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y" sheetId="1" state="visible" r:id="rId1"/>
    <sheet name="Report" sheetId="2" state="visible" r:id="rId2"/>
    <sheet name="Summary" sheetId="3" state="visible" r:id="rId3"/>
    <sheet name="Sync" sheetId="4" state="visible" r:id="rId4"/>
    <sheet name="Calc" sheetId="5" state="visible" r:id="rId5"/>
    <sheet name="Help" sheetId="6" state="visible" r:id="rId6"/>
  </sheets>
  <externalReferences>
    <externalReference r:id="rId9"/>
    <externalReference r:id="rId10"/>
  </externalReferences>
  <definedNames>
    <definedName name="AcctTbl">Sync!$A$6:$F$565</definedName>
    <definedName name="AcctCodes">Sync!$A$6:$A$565</definedName>
    <definedName name="CalcPartyA">Calc!$A$6:$A$1005</definedName>
    <definedName name="CalcKeyA">Calc!$B$6:$B$1005</definedName>
    <definedName name="CalcRankKeyA">Calc!$D$6:$D$1005</definedName>
    <definedName name="CalcDateA">Calc!$E$6:$E$1005</definedName>
    <definedName name="CalcTypeA">Calc!$G$6:$G$1005</definedName>
    <definedName name="CalcQtyA">Calc!$H$6:$H$1005</definedName>
    <definedName name="CalcPriceA">Calc!$I$6:$I$1005</definedName>
    <definedName name="CalcAmtA">Calc!$J$6:$J$1005</definedName>
    <definedName name="CalcDocA">Calc!$K$6:$K$1005</definedName>
    <definedName name="CalcNoteA">Calc!$L$6:$L$1005</definedName>
    <definedName name="CalcPartyB">Calc!$N$6:$N$2005</definedName>
    <definedName name="CalcDateB">Calc!$O$6:$O$2005</definedName>
    <definedName name="CalcKeyB">Calc!$P$6:$P$2005</definedName>
    <definedName name="CalcRankKeyB">Calc!$S$6:$S$2005</definedName>
    <definedName name="CalcDepB">Calc!$T$6:$T$2005</definedName>
    <definedName name="CalcWitB">Calc!$U$6:$U$2005</definedName>
    <definedName name="CalcBankB">Calc!$V$6:$V$2005</definedName>
    <definedName name="CalcNoteB">Calc!$W$6:$W$2005</definedName>
    <definedName name="PkBskParty">Calc!$AC$6:$AC$1005</definedName>
    <definedName name="NBskParty">Calc!$AB$1005</definedName>
    <definedName name="_xlnm.Print_Titles" localSheetId="0">'Entry'!$7:$8</definedName>
    <definedName name="_xlnm.Print_Area" localSheetId="0">'Entry'!$A$1:$L$1008</definedName>
    <definedName name="_xlnm.Print_Titles" localSheetId="1">'Report'!$15:$16</definedName>
    <definedName name="_xlnm.Print_Area" localSheetId="1">'Report'!$A$1:$K$2016</definedName>
    <definedName name="_xlnm.Print_Titles" localSheetId="2">'Summary'!$9:$10</definedName>
    <definedName name="_xlnm.Print_Area" localSheetId="2">'Summary'!$A$1:$I$1045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4">
    <font>
      <name val="Calibri"/>
      <family val="2"/>
      <color theme="1"/>
      <sz val="11"/>
      <scheme val="minor"/>
    </font>
    <font>
      <name val="Tahoma"/>
      <b val="1"/>
      <color rgb="00FFFFFF"/>
      <sz val="15"/>
    </font>
    <font>
      <name val="Tahoma"/>
      <color rgb="00C8E6C9"/>
      <sz val="8"/>
    </font>
    <font>
      <name val="Tahoma"/>
      <b val="1"/>
      <color rgb="00C62828"/>
      <sz val="8"/>
    </font>
    <font>
      <name val="Tahoma"/>
      <b val="1"/>
      <color rgb="00FFFFFF"/>
      <sz val="8"/>
    </font>
    <font>
      <name val="Tahoma"/>
      <b val="1"/>
      <color rgb="00E65100"/>
      <sz val="13"/>
    </font>
    <font>
      <name val="Tahoma"/>
      <i val="1"/>
      <color rgb="00607D8B"/>
      <sz val="8"/>
    </font>
    <font>
      <name val="Tahoma"/>
      <b val="1"/>
      <color rgb="00FFFFFF"/>
      <sz val="9.5"/>
    </font>
    <font>
      <name val="Tahoma"/>
      <color rgb="00546E7A"/>
      <sz val="6.5"/>
    </font>
    <font>
      <name val="Tahoma"/>
      <color rgb="00263238"/>
      <sz val="9"/>
    </font>
    <font>
      <name val="Tahoma"/>
      <b val="1"/>
      <color rgb="00263238"/>
      <sz val="9"/>
    </font>
    <font>
      <name val="Tahoma"/>
      <b val="1"/>
      <color rgb="00607D8B"/>
      <sz val="9"/>
    </font>
    <font>
      <name val="Tahoma"/>
      <b val="1"/>
      <color rgb="00E65100"/>
      <sz val="12"/>
    </font>
    <font>
      <name val="Tahoma"/>
      <i val="1"/>
      <color rgb="00607D8B"/>
      <sz val="7.5"/>
    </font>
    <font>
      <name val="Tahoma"/>
      <b val="1"/>
      <color rgb="00607D8B"/>
      <sz val="8.5"/>
    </font>
    <font>
      <name val="Tahoma"/>
      <color rgb="00263238"/>
      <sz val="10"/>
    </font>
    <font>
      <name val="Tahoma"/>
      <b val="1"/>
      <color rgb="00263238"/>
      <sz val="10"/>
    </font>
    <font>
      <name val="Tahoma"/>
      <b val="1"/>
      <color rgb="00607D8B"/>
      <sz val="7.5"/>
    </font>
    <font>
      <name val="Tahoma"/>
      <b val="1"/>
      <color rgb="00263238"/>
      <sz val="11"/>
    </font>
    <font>
      <name val="Tahoma"/>
      <color rgb="00607D8B"/>
      <sz val="9"/>
    </font>
    <font>
      <name val="Tahoma"/>
      <b val="1"/>
      <color rgb="00FFFFFF"/>
      <sz val="10"/>
    </font>
    <font>
      <name val="Tahoma"/>
      <b val="1"/>
      <color rgb="001B5E20"/>
      <sz val="9"/>
    </font>
    <font>
      <name val="Tahoma"/>
      <b val="1"/>
      <color rgb="001B5E20"/>
      <sz val="10"/>
    </font>
    <font>
      <name val="Tahoma"/>
      <b val="1"/>
      <color rgb="00FFFFFF"/>
      <sz val="10.5"/>
    </font>
  </fonts>
  <fills count="13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FFE0B2"/>
      </patternFill>
    </fill>
    <fill>
      <patternFill patternType="solid">
        <fgColor rgb="00607D8B"/>
      </patternFill>
    </fill>
    <fill>
      <patternFill patternType="solid">
        <fgColor rgb="00E65100"/>
      </patternFill>
    </fill>
    <fill>
      <patternFill patternType="solid">
        <fgColor rgb="00F1F8F2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EEF3F1"/>
      </patternFill>
    </fill>
    <fill>
      <patternFill patternType="solid">
        <fgColor rgb="00FFF9C4"/>
      </patternFill>
    </fill>
    <fill>
      <patternFill patternType="solid">
        <fgColor rgb="00F3F8F3"/>
      </patternFill>
    </fill>
  </fills>
  <borders count="5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medium">
        <color rgb="00EF6C00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medium">
        <color rgb="0078909C"/>
      </bottom>
    </border>
    <border>
      <left style="medium">
        <color rgb="0078909C"/>
      </left>
      <right style="medium">
        <color rgb="0078909C"/>
      </right>
      <top style="medium">
        <color rgb="0078909C"/>
      </top>
      <bottom style="medium">
        <color rgb="0078909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6" fillId="8" borderId="0" applyAlignment="1" pivotButton="0" quotePrefix="0" xfId="0">
      <alignment horizontal="right" vertical="center" wrapText="1"/>
    </xf>
    <xf numFmtId="0" fontId="7" fillId="3" borderId="2" applyAlignment="1" pivotButton="0" quotePrefix="0" xfId="0">
      <alignment horizontal="center" vertical="center" wrapText="1"/>
    </xf>
    <xf numFmtId="0" fontId="8" fillId="9" borderId="3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3" fontId="9" fillId="11" borderId="1" applyAlignment="1" pivotButton="0" quotePrefix="0" xfId="0">
      <alignment horizontal="center" vertical="center"/>
    </xf>
    <xf numFmtId="3" fontId="10" fillId="10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right" vertical="center"/>
    </xf>
    <xf numFmtId="49" fontId="12" fillId="11" borderId="4" applyAlignment="1" pivotButton="0" quotePrefix="0" xfId="0">
      <alignment horizontal="center" vertical="center"/>
    </xf>
    <xf numFmtId="0" fontId="13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right" vertical="center"/>
    </xf>
    <xf numFmtId="0" fontId="15" fillId="10" borderId="1" applyAlignment="1" pivotButton="0" quotePrefix="0" xfId="0">
      <alignment horizontal="right" vertical="center"/>
    </xf>
    <xf numFmtId="3" fontId="16" fillId="11" borderId="4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3" fontId="18" fillId="8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 vertical="center"/>
    </xf>
    <xf numFmtId="1" fontId="18" fillId="8" borderId="1" applyAlignment="1" pivotButton="0" quotePrefix="0" xfId="0">
      <alignment horizontal="center" vertical="center"/>
    </xf>
    <xf numFmtId="0" fontId="1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3" fontId="9" fillId="8" borderId="1" applyAlignment="1" pivotButton="0" quotePrefix="0" xfId="0">
      <alignment horizontal="center" vertical="center"/>
    </xf>
    <xf numFmtId="3" fontId="10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right" vertical="center"/>
    </xf>
    <xf numFmtId="0" fontId="19" fillId="12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3" fontId="9" fillId="12" borderId="1" applyAlignment="1" pivotButton="0" quotePrefix="0" xfId="0">
      <alignment horizontal="center" vertical="center"/>
    </xf>
    <xf numFmtId="3" fontId="10" fillId="12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right" vertical="center"/>
    </xf>
    <xf numFmtId="0" fontId="20" fillId="3" borderId="2" applyAlignment="1" pivotButton="0" quotePrefix="0" xfId="0">
      <alignment horizontal="right" vertical="center"/>
    </xf>
    <xf numFmtId="0" fontId="21" fillId="8" borderId="1" applyAlignment="1" pivotButton="0" quotePrefix="0" xfId="0">
      <alignment horizontal="center" vertical="center"/>
    </xf>
    <xf numFmtId="0" fontId="21" fillId="12" borderId="1" applyAlignment="1" pivotButton="0" quotePrefix="0" xfId="0">
      <alignment horizontal="center" vertical="center"/>
    </xf>
    <xf numFmtId="0" fontId="20" fillId="3" borderId="1" applyAlignment="1" pivotButton="0" quotePrefix="0" xfId="0">
      <alignment horizontal="right" vertical="center"/>
    </xf>
    <xf numFmtId="3" fontId="22" fillId="9" borderId="1" applyAlignment="1" pivotButton="0" quotePrefix="0" xfId="0">
      <alignment horizontal="center" vertical="center"/>
    </xf>
    <xf numFmtId="164" fontId="9" fillId="8" borderId="1" applyAlignment="1" pivotButton="0" quotePrefix="0" xfId="0">
      <alignment horizontal="center" vertical="center"/>
    </xf>
    <xf numFmtId="164" fontId="9" fillId="12" borderId="1" applyAlignment="1" pivotButton="0" quotePrefix="0" xfId="0">
      <alignment horizontal="center" vertical="center"/>
    </xf>
    <xf numFmtId="9" fontId="22" fillId="9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2" fillId="7" borderId="2" applyAlignment="1" pivotButton="0" quotePrefix="0" xfId="0">
      <alignment horizontal="center" vertical="center"/>
    </xf>
    <xf numFmtId="0" fontId="23" fillId="3" borderId="2" applyAlignment="1" pivotButton="0" quotePrefix="0" xfId="0">
      <alignment horizontal="right" vertical="center"/>
    </xf>
    <xf numFmtId="0" fontId="9" fillId="8" borderId="1" applyAlignment="1" pivotButton="0" quotePrefix="0" xfId="0">
      <alignment horizontal="right" vertical="center" wrapText="1"/>
    </xf>
    <xf numFmtId="0" fontId="9" fillId="12" borderId="1" applyAlignment="1" pivotButton="0" quotePrefix="0" xfId="0">
      <alignment horizontal="right" vertical="center" wrapText="1"/>
    </xf>
  </cellXfs>
  <cellStyles count="1">
    <cellStyle name="Normal" xfId="0" builtinId="0" hidden="0"/>
  </cellStyles>
  <dxfs count="5">
    <dxf>
      <font>
        <name val="Tahoma"/>
        <b val="1"/>
        <color rgb="00E65100"/>
        <sz val="9"/>
      </font>
    </dxf>
    <dxf>
      <font>
        <name val="Tahoma"/>
        <b val="1"/>
        <color rgb="00C62828"/>
        <sz val="9"/>
      </font>
    </dxf>
    <dxf>
      <font>
        <name val="Tahoma"/>
        <b val="1"/>
        <color rgb="00C62828"/>
        <sz val="9"/>
      </font>
      <fill>
        <patternFill patternType="solid">
          <fgColor rgb="00FFCDD2"/>
        </patternFill>
      </fill>
    </dxf>
    <dxf>
      <font>
        <name val="Tahoma"/>
        <b val="1"/>
        <color rgb="00E65100"/>
        <sz val="9"/>
      </font>
      <fill>
        <patternFill patternType="solid">
          <fgColor rgb="00FFE0B2"/>
        </patternFill>
      </fill>
    </dxf>
    <dxf>
      <font>
        <name val="Tahoma"/>
        <b val="1"/>
        <color rgb="002E7D32"/>
        <sz val="9"/>
      </font>
      <fill>
        <patternFill patternType="solid">
          <f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Relationship Id="rId9" Type="http://schemas.openxmlformats.org/officeDocument/2006/relationships/externalLink" Target="externalLinks/externalLink1.xml"/><Relationship Id="rId10" Type="http://schemas.openxmlformats.org/officeDocument/2006/relationships/externalLink" Target="externalLinks/externalLink2.xml"/></Relationships>
</file>

<file path=xl/comments/comment1.xml><?xml version="1.0" encoding="utf-8"?>
<comments xmlns="http://schemas.openxmlformats.org/spreadsheetml/2006/main">
  <authors>
    <author>راهنمای مازندشت</author>
  </authors>
  <commentList>
    <comment ref="B7" authorId="0" shapeId="0">
      <text>
        <t>تاریخ خرید سبد با قالب 1405/07/02 یا 14050702 — با ارقام لاتین.
ترتیب وارد کردن مهم نیست؛ مانده‌ها بر اساس تاریخ و ساعت مرتب می‌شوند.</t>
      </text>
    </comment>
    <comment ref="C7" authorId="0" shapeId="0">
      <text>
        <t>ساعت اختیاری با قالب 09:30 — فقط برای ترتیب دقیق رویدادهای هم‌تاریخ.</t>
      </text>
    </comment>
    <comment ref="E7" authorId="0" shapeId="0">
      <text>
        <t>کد حساب فروشنده سبد از INFO ← Accounts (مثل S004).
خرید سبد این حساب را بستانکار می‌کند (به او بدهکار می‌شویم) و پرداخت بانکی تسویه‌اش می‌کند.</t>
      </text>
    </comment>
    <comment ref="F7" authorId="0" shapeId="0">
      <text>
        <t>نام فروشنده — خودکار از INFO خوانده می‌شود؛ اینجا چیزی ننویسید.</t>
      </text>
    </comment>
    <comment ref="G7" authorId="0" shapeId="0">
      <text>
        <t>نوع سبد از کشویی: انواع در INFO ← Baskets تعریف می‌شوند (سبد ۵ کیلویی، جعبه و…).</t>
      </text>
    </comment>
    <comment ref="H7" authorId="0" shapeId="0">
      <text>
        <t>تعداد سبد خریداری‌شده (عدد صحیح).</t>
      </text>
    </comment>
    <comment ref="I7" authorId="0" shapeId="0">
      <text>
        <t>قیمت هر عدد سبد (فی — ریال).</t>
      </text>
    </comment>
    <comment ref="J7" authorId="0" shapeId="0">
      <text>
        <t>مبلغ = تعداد × فی — خودکار محاسبه می‌شود.</t>
      </text>
    </comment>
    <comment ref="K7" authorId="0" shapeId="0">
      <text>
        <t>مانده حساب فروشنده تا همین سطر (خودکار):
جمع خرید سبد تا این لحظه − پرداخت‌های بانکی تا این لحظه + دریافت‌های بانکی.
مثبت = بستانکار — به او بدهکاریم · منفی = بدهکار — به ما بدهکار است.
این مانده در همه ردیف‌های همان حساب به‌روز می‌شود؛ کارتکس کامل در شیت Report.</t>
      </text>
    </comment>
    <comment ref="L7" authorId="0" shapeId="0">
      <text>
        <t>توضیح آزاد (مثل شماره فاکتور کارگاه سبدسازی).</t>
      </text>
    </comment>
  </commentList>
</comments>
</file>

<file path=xl/comments/comment2.xml><?xml version="1.0" encoding="utf-8"?>
<comments xmlns="http://schemas.openxmlformats.org/spreadsheetml/2006/main">
  <authors>
    <author>راهنمای مازندشت</author>
  </authors>
  <commentList>
    <comment ref="C5" authorId="0" shapeId="0">
      <text>
        <t>کد حساب فروشنده سبد (مثل S004) از INFO ← Accounts.
کل کارتکس — سربرگ، کارت‌ها و ردیف‌ها — خودکار به‌روز می‌شود.</t>
      </text>
    </comment>
    <comment ref="C8" authorId="0" shapeId="0">
      <text>
        <t>اگر قبل از راه‌اندازی سیستم به او بدهی داشتید اینجا بنویسید (مثبت).</t>
      </text>
    </comment>
    <comment ref="E11" authorId="0" shapeId="0">
      <text>
        <t>مانده از دید حساب فروشنده: مثبت = بستانکار او = بدهی ما.</t>
      </text>
    </comment>
    <comment ref="C15" authorId="0" shapeId="0">
      <text>
        <t>نوع رویداد:
· خرید سبد = خرید نسیه از کارگاه (حساب او بستانکار می‌شود)
· پرداخت بانکی = برداشت از بانک با همین کد در Transactions
· دریافت بانکی = برگشت پول از او به بانک</t>
      </text>
    </comment>
  </commentList>
</comments>
</file>

<file path=xl/comments/comment3.xml><?xml version="1.0" encoding="utf-8"?>
<comments xmlns="http://schemas.openxmlformats.org/spreadsheetml/2006/main">
  <authors>
    <author>راهنمای مازندشت</author>
  </authors>
  <commentList>
    <comment ref="A6" authorId="0" shapeId="0">
      <text>
        <t>جمع مبلغ همه ردیف‌های خرید سبد (تعداد × فی).</t>
      </text>
    </comment>
    <comment ref="E6" authorId="0" shapeId="0">
      <text>
        <t>بدهی تسویه‌نشده به فروشندگان سبد = جمع خرید − پرداخت‌ها + دریافت‌ها.</t>
      </text>
    </comment>
  </commentList>
</comments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INFO.xlsx" TargetMode="External"/></Relationships>
</file>

<file path=xl/externalLinks/_rels/externalLink2.xml.rels><?xml version="1.0" encoding="UTF-8" standalone="yes"?>
<Relationships xmlns="http://schemas.openxmlformats.org/package/2006/relationships"><Relationship Id="rId1" Type="http://schemas.openxmlformats.org/officeDocument/2006/relationships/externalLinkPath" Target="Transactions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Home"/>
      <sheetName val="Company"/>
      <sheetName val="Params"/>
      <sheetName val="Groups"/>
      <sheetName val="MainGroups"/>
      <sheetName val="SubGroups"/>
      <sheetName val="WorkGroups"/>
      <sheetName val="Staff"/>
      <sheetName val="Accounts"/>
      <sheetName val="Banks"/>
      <sheetName val="Cheques"/>
      <sheetName val="TxnTypes"/>
      <sheetName val="Ops"/>
      <sheetName val="Products_Buy"/>
      <sheetName val="Products_Sell"/>
      <sheetName val="Baskets"/>
      <sheetName val="Warehouses"/>
      <sheetName val="Lists"/>
      <sheetName val="Help"/>
    </sheetNames>
    <sheetDataSet>
      <sheetData sheetId="1">
        <row r="5">
          <cell r="C5" t="str">
            <v>شرکت سورتینگ و بسته‌بندی مرکبات مازندشت</v>
          </cell>
        </row>
        <row r="6">
          <cell r="C6" t="str">
            <v>مازندشت</v>
          </cell>
        </row>
        <row r="7">
          <cell r="C7" t="str">
            <v>سورتینگ، بسته‌بندی و بازرگانی مرکبات</v>
          </cell>
        </row>
        <row r="8">
          <cell r="C8" t="str">
            <v>باغدشت، بخش مرکزی، شهرستان قائم‌شهر، استان مازندران، ایران</v>
          </cell>
        </row>
        <row r="9">
          <cell r="C9" t="str">
            <v>011-00000000</v>
          </cell>
        </row>
        <row r="10">
          <cell r="C10" t="str">
            <v>0911-0000000</v>
          </cell>
        </row>
        <row r="11">
          <cell r="C11" t="str">
            <v>(نام مدیرعامل)</v>
          </cell>
        </row>
        <row r="12">
          <cell r="C12" t="str">
            <v>1405</v>
          </cell>
        </row>
        <row r="13">
          <cell r="C13" t="str">
            <v>ریال</v>
          </cell>
        </row>
        <row r="14">
          <cell r="C14" t="str">
            <v>این اطلاعات به‌صورت خودکار در سرصفحه فایل‌های دیگر تکرار می‌شود.</v>
          </cell>
        </row>
      </sheetData>
      <sheetData sheetId="2">
        <row r="7">
          <cell r="A7" t="str">
            <v>P01</v>
          </cell>
          <cell r="B7" t="str">
            <v>وزن هر سبد (تار)</v>
          </cell>
          <cell r="C7">
            <v>1.5</v>
          </cell>
          <cell r="D7" t="str">
            <v>کیلوگرم</v>
          </cell>
          <cell r="E7" t="str">
            <v>در محاسبه وزن خالص خرید مرکبات کسر می‌شود</v>
          </cell>
        </row>
        <row r="8">
          <cell r="A8" t="str">
            <v>P02</v>
          </cell>
          <cell r="B8" t="str">
            <v>درصد افت</v>
          </cell>
          <cell r="C8">
            <v>1</v>
          </cell>
          <cell r="D8" t="str">
            <v>درصد</v>
          </cell>
          <cell r="E8" t="str">
            <v>از وزن خالص خرید کسر می‌شود</v>
          </cell>
        </row>
        <row r="9">
          <cell r="A9" t="str">
            <v>P03</v>
          </cell>
        </row>
        <row r="10">
          <cell r="A10" t="str">
            <v>P04</v>
          </cell>
        </row>
        <row r="11">
          <cell r="A11" t="str">
            <v>P05</v>
          </cell>
        </row>
        <row r="12">
          <cell r="A12" t="str">
            <v>P06</v>
          </cell>
        </row>
        <row r="13">
          <cell r="A13" t="str">
            <v>P07</v>
          </cell>
        </row>
        <row r="14">
          <cell r="A14" t="str">
            <v>P08</v>
          </cell>
        </row>
        <row r="15">
          <cell r="A15" t="str">
            <v>P09</v>
          </cell>
        </row>
        <row r="16">
          <cell r="A16" t="str">
            <v>P10</v>
          </cell>
        </row>
        <row r="17">
          <cell r="A17" t="str">
            <v>P11</v>
          </cell>
        </row>
        <row r="18">
          <cell r="A18" t="str">
            <v>P12</v>
          </cell>
        </row>
      </sheetData>
      <sheetData sheetId="3">
        <row r="7">
          <cell r="A7" t="str">
            <v>عمده</v>
          </cell>
          <cell r="B7" t="str">
            <v>حجره‌دار میدان بار</v>
          </cell>
          <cell r="C7" t="str">
            <v>باغ‌دار</v>
          </cell>
          <cell r="D7" t="str">
            <v>مدیرعامل</v>
          </cell>
          <cell r="E7" t="str">
            <v>حساب اداری/داخلی</v>
          </cell>
          <cell r="F7" t="str">
            <v>زمین و ساختمان</v>
          </cell>
          <cell r="G7" t="str">
            <v>وام بانکی</v>
          </cell>
          <cell r="H7" t="str">
            <v>سرمایه اولیه و آورده نقدی</v>
          </cell>
          <cell r="I7" t="str">
            <v>کلیدی</v>
          </cell>
          <cell r="J7" t="str">
            <v>پایش کامل</v>
          </cell>
        </row>
        <row r="8">
          <cell r="A8" t="str">
            <v>صادراتی</v>
          </cell>
          <cell r="B8" t="str">
            <v>صادراتی</v>
          </cell>
          <cell r="C8" t="str">
            <v>حجره‌دار میدان بار</v>
          </cell>
          <cell r="D8" t="str">
            <v>حسابدار</v>
          </cell>
          <cell r="E8" t="str">
            <v>کارمزد بانکی</v>
          </cell>
          <cell r="F8" t="str">
            <v>خودرو و حمل‌ونقل</v>
          </cell>
          <cell r="G8" t="str">
            <v>تسهیلات و اعتبارات</v>
          </cell>
          <cell r="H8" t="str">
            <v>برداشت سرمایه</v>
          </cell>
          <cell r="I8" t="str">
            <v>عادی</v>
          </cell>
          <cell r="J8" t="str">
            <v>نمونه‌ای</v>
          </cell>
        </row>
        <row r="9">
          <cell r="A9" t="str">
            <v>خرده‌فروش</v>
          </cell>
          <cell r="B9" t="str">
            <v>واسطه</v>
          </cell>
          <cell r="C9" t="str">
            <v>عامل خرید</v>
          </cell>
          <cell r="D9" t="str">
            <v>فروشنده</v>
          </cell>
          <cell r="E9" t="str">
            <v>مالیات</v>
          </cell>
          <cell r="F9" t="str">
            <v>ماشین‌آلات و تجهیزات</v>
          </cell>
          <cell r="G9" t="str">
            <v>قرض از اشخاص</v>
          </cell>
          <cell r="I9" t="str">
            <v>موقت</v>
          </cell>
          <cell r="J9" t="str">
            <v>معاف</v>
          </cell>
        </row>
        <row r="10">
          <cell r="A10" t="str">
            <v>نقدی</v>
          </cell>
          <cell r="B10" t="str">
            <v>نقدی</v>
          </cell>
          <cell r="C10" t="str">
            <v>فروشنده سبد</v>
          </cell>
          <cell r="D10" t="str">
            <v>انباردار</v>
          </cell>
          <cell r="E10" t="str">
            <v>صندوق</v>
          </cell>
        </row>
        <row r="11">
          <cell r="C11" t="str">
            <v>متفرقه</v>
          </cell>
          <cell r="D11" t="str">
            <v>سرپرست خط</v>
          </cell>
          <cell r="E11" t="str">
            <v>متفرقه</v>
          </cell>
        </row>
        <row r="12">
          <cell r="D12" t="str">
            <v>کارگر</v>
          </cell>
        </row>
      </sheetData>
      <sheetData sheetId="4">
        <row r="7">
          <cell r="A7" t="str">
            <v>G01</v>
          </cell>
          <cell r="B7" t="str">
            <v>خرید</v>
          </cell>
          <cell r="C7" t="str">
            <v>خرید کالا و مرکبات</v>
          </cell>
        </row>
        <row r="8">
          <cell r="A8" t="str">
            <v>G02</v>
          </cell>
          <cell r="B8" t="str">
            <v>فروش</v>
          </cell>
          <cell r="C8" t="str">
            <v>فروش کالا و مرکبات</v>
          </cell>
        </row>
        <row r="9">
          <cell r="A9" t="str">
            <v>G03</v>
          </cell>
          <cell r="B9" t="str">
            <v>هزینه</v>
          </cell>
          <cell r="C9" t="str">
            <v>هزینه‌های عملیاتی شرکت</v>
          </cell>
        </row>
        <row r="10">
          <cell r="A10" t="str">
            <v>G04</v>
          </cell>
          <cell r="B10" t="str">
            <v>شخصی قاسم</v>
          </cell>
          <cell r="C10" t="str">
            <v>تراکنش‌های شخصی مدیریت — خارج از محاسبات درآمدی و ترازنامه‌ای شرکت</v>
          </cell>
        </row>
        <row r="11">
          <cell r="A11" t="str">
            <v>G05</v>
          </cell>
          <cell r="B11" t="str">
            <v>وام و تسهیلات</v>
          </cell>
          <cell r="C11" t="str">
            <v>دریافت وام / پرداخت اقساط — طرف حساب = حساب وام L… (بهره: گروه هزینه)</v>
          </cell>
        </row>
        <row r="12">
          <cell r="A12" t="str">
            <v>G06</v>
          </cell>
          <cell r="B12" t="str">
            <v>سرمایه و آورده</v>
          </cell>
          <cell r="C12" t="str">
            <v>آورده / برداشت صاحب سرمایه — طرف حساب = CAP… (در حقوق ترازنامه)</v>
          </cell>
        </row>
        <row r="13">
          <cell r="A13" t="str">
            <v>G07</v>
          </cell>
          <cell r="B13" t="str">
            <v>دارایی ثابت</v>
          </cell>
          <cell r="C13" t="str">
            <v>خرید / فروش زمین، خودرو، تجهیزات — طرف حساب = F… (در دارایی ترازنامه)</v>
          </cell>
        </row>
        <row r="14">
          <cell r="A14" t="str">
            <v>G08</v>
          </cell>
        </row>
        <row r="15">
          <cell r="A15" t="str">
            <v>G09</v>
          </cell>
        </row>
        <row r="16">
          <cell r="A16" t="str">
            <v>G10</v>
          </cell>
        </row>
      </sheetData>
      <sheetData sheetId="5">
        <row r="7">
          <cell r="A7" t="str">
            <v>SG001</v>
          </cell>
          <cell r="B7" t="str">
            <v>هزینه</v>
          </cell>
          <cell r="C7" t="str">
            <v>مواد غذایی</v>
          </cell>
          <cell r="D7" t="str">
            <v>خوراک سالن و پرسنل</v>
          </cell>
        </row>
        <row r="8">
          <cell r="A8" t="str">
            <v>SG002</v>
          </cell>
          <cell r="B8" t="str">
            <v>هزینه</v>
          </cell>
          <cell r="C8" t="str">
            <v>دستمزد کارکنان</v>
          </cell>
        </row>
        <row r="9">
          <cell r="A9" t="str">
            <v>SG003</v>
          </cell>
          <cell r="B9" t="str">
            <v>هزینه</v>
          </cell>
          <cell r="C9" t="str">
            <v>بهره و کارمزد وام</v>
          </cell>
          <cell r="D9" t="str">
            <v>اقساط بهره و کارمزد وام‌ها — اصل وام حساب L… دارد</v>
          </cell>
        </row>
        <row r="10">
          <cell r="A10" t="str">
            <v>SG004</v>
          </cell>
          <cell r="B10" t="str">
            <v>هزینه</v>
          </cell>
          <cell r="C10" t="str">
            <v>رنگ و واکس</v>
          </cell>
          <cell r="D10" t="str">
            <v>مواد مصرفی بسته‌بندی</v>
          </cell>
        </row>
        <row r="11">
          <cell r="A11" t="str">
            <v>SG005</v>
          </cell>
          <cell r="B11" t="str">
            <v>هزینه</v>
          </cell>
          <cell r="C11" t="str">
            <v>کارمزد بانکی</v>
          </cell>
        </row>
        <row r="12">
          <cell r="A12" t="str">
            <v>SG006</v>
          </cell>
        </row>
        <row r="13">
          <cell r="A13" t="str">
            <v>SG007</v>
          </cell>
        </row>
        <row r="14">
          <cell r="A14" t="str">
            <v>SG008</v>
          </cell>
        </row>
        <row r="15">
          <cell r="A15" t="str">
            <v>SG009</v>
          </cell>
        </row>
        <row r="16">
          <cell r="A16" t="str">
            <v>SG010</v>
          </cell>
        </row>
        <row r="17">
          <cell r="A17" t="str">
            <v>SG011</v>
          </cell>
        </row>
        <row r="18">
          <cell r="A18" t="str">
            <v>SG012</v>
          </cell>
        </row>
        <row r="19">
          <cell r="A19" t="str">
            <v>SG013</v>
          </cell>
        </row>
        <row r="20">
          <cell r="A20" t="str">
            <v>SG014</v>
          </cell>
        </row>
        <row r="21">
          <cell r="A21" t="str">
            <v>SG015</v>
          </cell>
        </row>
        <row r="22">
          <cell r="A22" t="str">
            <v>SG016</v>
          </cell>
        </row>
        <row r="23">
          <cell r="A23" t="str">
            <v>SG017</v>
          </cell>
        </row>
        <row r="24">
          <cell r="A24" t="str">
            <v>SG018</v>
          </cell>
        </row>
        <row r="25">
          <cell r="A25" t="str">
            <v>SG019</v>
          </cell>
        </row>
        <row r="26">
          <cell r="A26" t="str">
            <v>SG020</v>
          </cell>
        </row>
        <row r="27">
          <cell r="A27" t="str">
            <v>SG021</v>
          </cell>
        </row>
        <row r="28">
          <cell r="A28" t="str">
            <v>SG022</v>
          </cell>
        </row>
        <row r="29">
          <cell r="A29" t="str">
            <v>SG023</v>
          </cell>
        </row>
        <row r="30">
          <cell r="A30" t="str">
            <v>SG024</v>
          </cell>
        </row>
        <row r="31">
          <cell r="A31" t="str">
            <v>SG025</v>
          </cell>
        </row>
        <row r="32">
          <cell r="A32" t="str">
            <v>SG026</v>
          </cell>
        </row>
        <row r="33">
          <cell r="A33" t="str">
            <v>SG027</v>
          </cell>
        </row>
        <row r="34">
          <cell r="A34" t="str">
            <v>SG028</v>
          </cell>
        </row>
        <row r="35">
          <cell r="A35" t="str">
            <v>SG029</v>
          </cell>
        </row>
        <row r="36">
          <cell r="A36" t="str">
            <v>SG030</v>
          </cell>
        </row>
        <row r="37">
          <cell r="A37" t="str">
            <v>SG031</v>
          </cell>
        </row>
        <row r="38">
          <cell r="A38" t="str">
            <v>SG032</v>
          </cell>
        </row>
        <row r="39">
          <cell r="A39" t="str">
            <v>SG033</v>
          </cell>
        </row>
        <row r="40">
          <cell r="A40" t="str">
            <v>SG034</v>
          </cell>
        </row>
        <row r="41">
          <cell r="A41" t="str">
            <v>SG035</v>
          </cell>
        </row>
        <row r="42">
          <cell r="A42" t="str">
            <v>SG036</v>
          </cell>
        </row>
        <row r="43">
          <cell r="A43" t="str">
            <v>SG037</v>
          </cell>
        </row>
        <row r="44">
          <cell r="A44" t="str">
            <v>SG038</v>
          </cell>
        </row>
        <row r="45">
          <cell r="A45" t="str">
            <v>SG039</v>
          </cell>
        </row>
        <row r="46">
          <cell r="A46" t="str">
            <v>SG040</v>
          </cell>
        </row>
        <row r="47">
          <cell r="A47" t="str">
            <v>SG041</v>
          </cell>
        </row>
        <row r="48">
          <cell r="A48" t="str">
            <v>SG042</v>
          </cell>
        </row>
        <row r="49">
          <cell r="A49" t="str">
            <v>SG043</v>
          </cell>
        </row>
        <row r="50">
          <cell r="A50" t="str">
            <v>SG044</v>
          </cell>
        </row>
        <row r="51">
          <cell r="A51" t="str">
            <v>SG045</v>
          </cell>
        </row>
        <row r="52">
          <cell r="A52" t="str">
            <v>SG046</v>
          </cell>
        </row>
        <row r="53">
          <cell r="A53" t="str">
            <v>SG047</v>
          </cell>
        </row>
        <row r="54">
          <cell r="A54" t="str">
            <v>SG048</v>
          </cell>
        </row>
        <row r="55">
          <cell r="A55" t="str">
            <v>SG049</v>
          </cell>
        </row>
        <row r="56">
          <cell r="A56" t="str">
            <v>SG050</v>
          </cell>
        </row>
        <row r="57">
          <cell r="A57" t="str">
            <v>SG051</v>
          </cell>
        </row>
        <row r="58">
          <cell r="A58" t="str">
            <v>SG052</v>
          </cell>
        </row>
        <row r="59">
          <cell r="A59" t="str">
            <v>SG053</v>
          </cell>
        </row>
        <row r="60">
          <cell r="A60" t="str">
            <v>SG054</v>
          </cell>
        </row>
        <row r="61">
          <cell r="A61" t="str">
            <v>SG055</v>
          </cell>
        </row>
        <row r="62">
          <cell r="A62" t="str">
            <v>SG056</v>
          </cell>
        </row>
        <row r="63">
          <cell r="A63" t="str">
            <v>SG057</v>
          </cell>
        </row>
        <row r="64">
          <cell r="A64" t="str">
            <v>SG058</v>
          </cell>
        </row>
        <row r="65">
          <cell r="A65" t="str">
            <v>SG059</v>
          </cell>
        </row>
        <row r="66">
          <cell r="A66" t="str">
            <v>SG060</v>
          </cell>
        </row>
        <row r="67">
          <cell r="A67" t="str">
            <v>SG061</v>
          </cell>
        </row>
        <row r="68">
          <cell r="A68" t="str">
            <v>SG062</v>
          </cell>
        </row>
        <row r="69">
          <cell r="A69" t="str">
            <v>SG063</v>
          </cell>
        </row>
        <row r="70">
          <cell r="A70" t="str">
            <v>SG064</v>
          </cell>
        </row>
        <row r="71">
          <cell r="A71" t="str">
            <v>SG065</v>
          </cell>
        </row>
        <row r="72">
          <cell r="A72" t="str">
            <v>SG066</v>
          </cell>
        </row>
        <row r="73">
          <cell r="A73" t="str">
            <v>SG067</v>
          </cell>
        </row>
        <row r="74">
          <cell r="A74" t="str">
            <v>SG068</v>
          </cell>
        </row>
        <row r="75">
          <cell r="A75" t="str">
            <v>SG069</v>
          </cell>
        </row>
        <row r="76">
          <cell r="A76" t="str">
            <v>SG070</v>
          </cell>
        </row>
        <row r="77">
          <cell r="A77" t="str">
            <v>SG071</v>
          </cell>
        </row>
        <row r="78">
          <cell r="A78" t="str">
            <v>SG072</v>
          </cell>
        </row>
        <row r="79">
          <cell r="A79" t="str">
            <v>SG073</v>
          </cell>
        </row>
        <row r="80">
          <cell r="A80" t="str">
            <v>SG074</v>
          </cell>
        </row>
        <row r="81">
          <cell r="A81" t="str">
            <v>SG075</v>
          </cell>
        </row>
        <row r="82">
          <cell r="A82" t="str">
            <v>SG076</v>
          </cell>
        </row>
        <row r="83">
          <cell r="A83" t="str">
            <v>SG077</v>
          </cell>
        </row>
        <row r="84">
          <cell r="A84" t="str">
            <v>SG078</v>
          </cell>
        </row>
        <row r="85">
          <cell r="A85" t="str">
            <v>SG079</v>
          </cell>
        </row>
        <row r="86">
          <cell r="A86" t="str">
            <v>SG080</v>
          </cell>
        </row>
        <row r="87">
          <cell r="A87" t="str">
            <v>SG081</v>
          </cell>
        </row>
        <row r="88">
          <cell r="A88" t="str">
            <v>SG082</v>
          </cell>
        </row>
        <row r="89">
          <cell r="A89" t="str">
            <v>SG083</v>
          </cell>
        </row>
        <row r="90">
          <cell r="A90" t="str">
            <v>SG084</v>
          </cell>
        </row>
        <row r="91">
          <cell r="A91" t="str">
            <v>SG085</v>
          </cell>
        </row>
        <row r="92">
          <cell r="A92" t="str">
            <v>SG086</v>
          </cell>
        </row>
        <row r="93">
          <cell r="A93" t="str">
            <v>SG087</v>
          </cell>
        </row>
        <row r="94">
          <cell r="A94" t="str">
            <v>SG088</v>
          </cell>
        </row>
        <row r="95">
          <cell r="A95" t="str">
            <v>SG089</v>
          </cell>
        </row>
        <row r="96">
          <cell r="A96" t="str">
            <v>SG090</v>
          </cell>
        </row>
        <row r="97">
          <cell r="A97" t="str">
            <v>SG091</v>
          </cell>
        </row>
        <row r="98">
          <cell r="A98" t="str">
            <v>SG092</v>
          </cell>
        </row>
        <row r="99">
          <cell r="A99" t="str">
            <v>SG093</v>
          </cell>
        </row>
        <row r="100">
          <cell r="A100" t="str">
            <v>SG094</v>
          </cell>
        </row>
        <row r="101">
          <cell r="A101" t="str">
            <v>SG095</v>
          </cell>
        </row>
        <row r="102">
          <cell r="A102" t="str">
            <v>SG096</v>
          </cell>
        </row>
        <row r="103">
          <cell r="A103" t="str">
            <v>SG097</v>
          </cell>
        </row>
        <row r="104">
          <cell r="A104" t="str">
            <v>SG098</v>
          </cell>
        </row>
        <row r="105">
          <cell r="A105" t="str">
            <v>SG099</v>
          </cell>
        </row>
        <row r="106">
          <cell r="A106" t="str">
            <v>SG100</v>
          </cell>
        </row>
      </sheetData>
      <sheetData sheetId="6">
        <row r="7">
          <cell r="A7" t="str">
            <v>WG01</v>
          </cell>
          <cell r="B7" t="str">
            <v>گروه سالن ۱</v>
          </cell>
          <cell r="C7" t="str">
            <v>خط سورتینگ — شیفت صبح</v>
          </cell>
        </row>
        <row r="8">
          <cell r="A8" t="str">
            <v>WG02</v>
          </cell>
          <cell r="B8" t="str">
            <v>گروه بسته‌بندی</v>
          </cell>
        </row>
        <row r="9">
          <cell r="A9" t="str">
            <v>WG03</v>
          </cell>
          <cell r="B9" t="str">
            <v>گروه باربری</v>
          </cell>
        </row>
        <row r="10">
          <cell r="A10" t="str">
            <v>WG04</v>
          </cell>
        </row>
        <row r="11">
          <cell r="A11" t="str">
            <v>WG05</v>
          </cell>
        </row>
        <row r="12">
          <cell r="A12" t="str">
            <v>WG06</v>
          </cell>
        </row>
        <row r="13">
          <cell r="A13" t="str">
            <v>WG07</v>
          </cell>
        </row>
        <row r="14">
          <cell r="A14" t="str">
            <v>WG08</v>
          </cell>
        </row>
        <row r="15">
          <cell r="A15" t="str">
            <v>WG09</v>
          </cell>
        </row>
        <row r="16">
          <cell r="A16" t="str">
            <v>WG10</v>
          </cell>
        </row>
        <row r="17">
          <cell r="A17" t="str">
            <v>WG11</v>
          </cell>
        </row>
        <row r="18">
          <cell r="A18" t="str">
            <v>WG12</v>
          </cell>
        </row>
        <row r="19">
          <cell r="A19" t="str">
            <v>WG13</v>
          </cell>
        </row>
        <row r="20">
          <cell r="A20" t="str">
            <v>WG14</v>
          </cell>
        </row>
        <row r="21">
          <cell r="A21" t="str">
            <v>WG15</v>
          </cell>
        </row>
        <row r="22">
          <cell r="A22" t="str">
            <v>WG16</v>
          </cell>
        </row>
        <row r="23">
          <cell r="A23" t="str">
            <v>WG17</v>
          </cell>
        </row>
        <row r="24">
          <cell r="A24" t="str">
            <v>WG18</v>
          </cell>
        </row>
        <row r="25">
          <cell r="A25" t="str">
            <v>WG19</v>
          </cell>
        </row>
        <row r="26">
          <cell r="A26" t="str">
            <v>WG20</v>
          </cell>
        </row>
        <row r="27">
          <cell r="A27" t="str">
            <v>WG21</v>
          </cell>
        </row>
        <row r="28">
          <cell r="A28" t="str">
            <v>WG22</v>
          </cell>
        </row>
        <row r="29">
          <cell r="A29" t="str">
            <v>WG23</v>
          </cell>
        </row>
        <row r="30">
          <cell r="A30" t="str">
            <v>WG24</v>
          </cell>
        </row>
        <row r="31">
          <cell r="A31" t="str">
            <v>WG25</v>
          </cell>
        </row>
        <row r="32">
          <cell r="A32" t="str">
            <v>WG26</v>
          </cell>
        </row>
        <row r="33">
          <cell r="A33" t="str">
            <v>WG27</v>
          </cell>
        </row>
        <row r="34">
          <cell r="A34" t="str">
            <v>WG28</v>
          </cell>
        </row>
        <row r="35">
          <cell r="A35" t="str">
            <v>WG29</v>
          </cell>
        </row>
        <row r="36">
          <cell r="A36" t="str">
            <v>WG30</v>
          </cell>
        </row>
      </sheetData>
      <sheetData sheetId="7">
        <row r="7">
          <cell r="A7" t="str">
            <v>E001</v>
          </cell>
          <cell r="D7" t="str">
            <v>مدیرعامل</v>
          </cell>
        </row>
        <row r="8">
          <cell r="A8" t="str">
            <v>E002</v>
          </cell>
          <cell r="D8" t="str">
            <v>حسابدار</v>
          </cell>
        </row>
        <row r="9">
          <cell r="A9" t="str">
            <v>E003</v>
          </cell>
          <cell r="D9" t="str">
            <v>فروشنده / بازاریاب</v>
          </cell>
        </row>
        <row r="10">
          <cell r="A10" t="str">
            <v>E004</v>
          </cell>
          <cell r="D10" t="str">
            <v>انباردار</v>
          </cell>
        </row>
        <row r="11">
          <cell r="A11" t="str">
            <v>E005</v>
          </cell>
          <cell r="C11" t="str">
            <v>WG01</v>
          </cell>
          <cell r="D11" t="str">
            <v>سرپرست خط</v>
          </cell>
          <cell r="E11" t="str">
            <v>6037-****-****-01 (نمونه)</v>
          </cell>
        </row>
        <row r="12">
          <cell r="A12" t="str">
            <v>E006</v>
          </cell>
          <cell r="C12" t="str">
            <v>WG01</v>
          </cell>
          <cell r="D12" t="str">
            <v>کارگر</v>
          </cell>
          <cell r="E12" t="str">
            <v>6037-****-****-02 (نمونه)</v>
          </cell>
        </row>
        <row r="13">
          <cell r="A13" t="str">
            <v>E007</v>
          </cell>
        </row>
        <row r="14">
          <cell r="A14" t="str">
            <v>E008</v>
          </cell>
        </row>
        <row r="15">
          <cell r="A15" t="str">
            <v>E009</v>
          </cell>
        </row>
        <row r="16">
          <cell r="A16" t="str">
            <v>E010</v>
          </cell>
        </row>
        <row r="17">
          <cell r="A17" t="str">
            <v>E011</v>
          </cell>
        </row>
        <row r="18">
          <cell r="A18" t="str">
            <v>E012</v>
          </cell>
        </row>
        <row r="19">
          <cell r="A19" t="str">
            <v>E013</v>
          </cell>
        </row>
        <row r="20">
          <cell r="A20" t="str">
            <v>E014</v>
          </cell>
        </row>
        <row r="21">
          <cell r="A21" t="str">
            <v>E015</v>
          </cell>
        </row>
        <row r="22">
          <cell r="A22" t="str">
            <v>E016</v>
          </cell>
        </row>
        <row r="23">
          <cell r="A23" t="str">
            <v>E017</v>
          </cell>
        </row>
        <row r="24">
          <cell r="A24" t="str">
            <v>E018</v>
          </cell>
        </row>
        <row r="25">
          <cell r="A25" t="str">
            <v>E019</v>
          </cell>
        </row>
        <row r="26">
          <cell r="A26" t="str">
            <v>E020</v>
          </cell>
        </row>
        <row r="27">
          <cell r="A27" t="str">
            <v>E021</v>
          </cell>
        </row>
        <row r="28">
          <cell r="A28" t="str">
            <v>E022</v>
          </cell>
        </row>
        <row r="29">
          <cell r="A29" t="str">
            <v>E023</v>
          </cell>
        </row>
        <row r="30">
          <cell r="A30" t="str">
            <v>E024</v>
          </cell>
        </row>
        <row r="31">
          <cell r="A31" t="str">
            <v>E025</v>
          </cell>
        </row>
        <row r="32">
          <cell r="A32" t="str">
            <v>E026</v>
          </cell>
        </row>
        <row r="33">
          <cell r="A33" t="str">
            <v>E027</v>
          </cell>
        </row>
        <row r="34">
          <cell r="A34" t="str">
            <v>E028</v>
          </cell>
        </row>
        <row r="35">
          <cell r="A35" t="str">
            <v>E029</v>
          </cell>
        </row>
        <row r="36">
          <cell r="A36" t="str">
            <v>E030</v>
          </cell>
        </row>
        <row r="37">
          <cell r="A37" t="str">
            <v>E031</v>
          </cell>
        </row>
        <row r="38">
          <cell r="A38" t="str">
            <v>E032</v>
          </cell>
        </row>
        <row r="39">
          <cell r="A39" t="str">
            <v>E033</v>
          </cell>
        </row>
        <row r="40">
          <cell r="A40" t="str">
            <v>E034</v>
          </cell>
        </row>
        <row r="41">
          <cell r="A41" t="str">
            <v>E035</v>
          </cell>
        </row>
        <row r="42">
          <cell r="A42" t="str">
            <v>E036</v>
          </cell>
        </row>
        <row r="43">
          <cell r="A43" t="str">
            <v>E037</v>
          </cell>
        </row>
        <row r="44">
          <cell r="A44" t="str">
            <v>E038</v>
          </cell>
        </row>
        <row r="45">
          <cell r="A45" t="str">
            <v>E039</v>
          </cell>
        </row>
        <row r="46">
          <cell r="A46" t="str">
            <v>E040</v>
          </cell>
        </row>
        <row r="47">
          <cell r="A47" t="str">
            <v>E041</v>
          </cell>
        </row>
        <row r="48">
          <cell r="A48" t="str">
            <v>E042</v>
          </cell>
        </row>
        <row r="49">
          <cell r="A49" t="str">
            <v>E043</v>
          </cell>
        </row>
        <row r="50">
          <cell r="A50" t="str">
            <v>E044</v>
          </cell>
        </row>
        <row r="51">
          <cell r="A51" t="str">
            <v>E045</v>
          </cell>
        </row>
        <row r="52">
          <cell r="A52" t="str">
            <v>E046</v>
          </cell>
        </row>
        <row r="53">
          <cell r="A53" t="str">
            <v>E047</v>
          </cell>
        </row>
        <row r="54">
          <cell r="A54" t="str">
            <v>E048</v>
          </cell>
        </row>
        <row r="55">
          <cell r="A55" t="str">
            <v>E049</v>
          </cell>
        </row>
        <row r="56">
          <cell r="A56" t="str">
            <v>E050</v>
          </cell>
        </row>
      </sheetData>
      <sheetData sheetId="8">
        <row r="7">
          <cell r="A7" t="str">
            <v>C001</v>
          </cell>
          <cell r="B7" t="str">
            <v>مشتری</v>
          </cell>
          <cell r="C7" t="str">
            <v>عمده</v>
          </cell>
          <cell r="D7" t="str">
            <v>علی محمدی (نمونه)</v>
          </cell>
          <cell r="E7" t="str">
            <v>011-33330001</v>
          </cell>
          <cell r="F7" t="str">
            <v>09110000001</v>
          </cell>
          <cell r="G7" t="str">
            <v>بابل — میدان مرکبات</v>
          </cell>
          <cell r="H7" t="str">
            <v>نمونه — ویرایش کنید</v>
          </cell>
          <cell r="J7" t="str">
            <v>کلیدی</v>
          </cell>
          <cell r="K7" t="str">
            <v>پایش کامل</v>
          </cell>
        </row>
        <row r="8">
          <cell r="A8" t="str">
            <v>C002</v>
          </cell>
          <cell r="B8" t="str">
            <v>مشتری</v>
          </cell>
          <cell r="C8" t="str">
            <v>صادراتی</v>
          </cell>
          <cell r="D8" t="str">
            <v>شرکت پارس میوه (نمونه)</v>
          </cell>
          <cell r="E8" t="str">
            <v>011-33330002</v>
          </cell>
          <cell r="F8" t="str">
            <v>09110000002</v>
          </cell>
          <cell r="G8" t="str">
            <v>ساری — شهرک صنعتی</v>
          </cell>
          <cell r="H8" t="str">
            <v>نمونه</v>
          </cell>
          <cell r="J8" t="str">
            <v>کلیدی</v>
          </cell>
          <cell r="K8" t="str">
            <v>پایش کامل</v>
          </cell>
        </row>
        <row r="9">
          <cell r="A9" t="str">
            <v>C003</v>
          </cell>
          <cell r="B9" t="str">
            <v>مشتری</v>
          </cell>
          <cell r="C9" t="str">
            <v>خرده‌فروش</v>
          </cell>
          <cell r="D9" t="str">
            <v>فروشگاه بهار (نمونه)</v>
          </cell>
          <cell r="E9" t="str">
            <v>011-33330003</v>
          </cell>
          <cell r="F9" t="str">
            <v>09110000003</v>
          </cell>
          <cell r="G9" t="str">
            <v>قائم‌شهر — خیابان طالب آملی</v>
          </cell>
          <cell r="H9" t="str">
            <v>نمونه</v>
          </cell>
          <cell r="J9" t="str">
            <v>عادی</v>
          </cell>
          <cell r="K9" t="str">
            <v>نمونه‌ای</v>
          </cell>
        </row>
        <row r="10">
          <cell r="A10" t="str">
            <v>C004</v>
          </cell>
        </row>
        <row r="11">
          <cell r="A11" t="str">
            <v>C005</v>
          </cell>
        </row>
        <row r="12">
          <cell r="A12" t="str">
            <v>C006</v>
          </cell>
        </row>
        <row r="13">
          <cell r="A13" t="str">
            <v>C007</v>
          </cell>
        </row>
        <row r="14">
          <cell r="A14" t="str">
            <v>C008</v>
          </cell>
        </row>
        <row r="15">
          <cell r="A15" t="str">
            <v>C009</v>
          </cell>
        </row>
        <row r="16">
          <cell r="A16" t="str">
            <v>C010</v>
          </cell>
        </row>
        <row r="17">
          <cell r="A17" t="str">
            <v>C011</v>
          </cell>
        </row>
        <row r="18">
          <cell r="A18" t="str">
            <v>C012</v>
          </cell>
        </row>
        <row r="19">
          <cell r="A19" t="str">
            <v>C013</v>
          </cell>
        </row>
        <row r="20">
          <cell r="A20" t="str">
            <v>C014</v>
          </cell>
        </row>
        <row r="21">
          <cell r="A21" t="str">
            <v>C015</v>
          </cell>
        </row>
        <row r="22">
          <cell r="A22" t="str">
            <v>C016</v>
          </cell>
        </row>
        <row r="23">
          <cell r="A23" t="str">
            <v>C017</v>
          </cell>
        </row>
        <row r="24">
          <cell r="A24" t="str">
            <v>C018</v>
          </cell>
        </row>
        <row r="25">
          <cell r="A25" t="str">
            <v>C019</v>
          </cell>
        </row>
        <row r="26">
          <cell r="A26" t="str">
            <v>C020</v>
          </cell>
        </row>
        <row r="27">
          <cell r="A27" t="str">
            <v>C021</v>
          </cell>
        </row>
        <row r="28">
          <cell r="A28" t="str">
            <v>C022</v>
          </cell>
        </row>
        <row r="29">
          <cell r="A29" t="str">
            <v>C023</v>
          </cell>
        </row>
        <row r="30">
          <cell r="A30" t="str">
            <v>C024</v>
          </cell>
        </row>
        <row r="31">
          <cell r="A31" t="str">
            <v>C025</v>
          </cell>
        </row>
        <row r="32">
          <cell r="A32" t="str">
            <v>C026</v>
          </cell>
        </row>
        <row r="33">
          <cell r="A33" t="str">
            <v>C027</v>
          </cell>
        </row>
        <row r="34">
          <cell r="A34" t="str">
            <v>C028</v>
          </cell>
        </row>
        <row r="35">
          <cell r="A35" t="str">
            <v>C029</v>
          </cell>
        </row>
        <row r="36">
          <cell r="A36" t="str">
            <v>C030</v>
          </cell>
        </row>
        <row r="37">
          <cell r="A37" t="str">
            <v>C031</v>
          </cell>
        </row>
        <row r="38">
          <cell r="A38" t="str">
            <v>C032</v>
          </cell>
        </row>
        <row r="39">
          <cell r="A39" t="str">
            <v>C033</v>
          </cell>
        </row>
        <row r="40">
          <cell r="A40" t="str">
            <v>C034</v>
          </cell>
        </row>
        <row r="41">
          <cell r="A41" t="str">
            <v>C035</v>
          </cell>
        </row>
        <row r="42">
          <cell r="A42" t="str">
            <v>C036</v>
          </cell>
        </row>
        <row r="43">
          <cell r="A43" t="str">
            <v>C037</v>
          </cell>
        </row>
        <row r="44">
          <cell r="A44" t="str">
            <v>C038</v>
          </cell>
        </row>
        <row r="45">
          <cell r="A45" t="str">
            <v>C039</v>
          </cell>
        </row>
        <row r="46">
          <cell r="A46" t="str">
            <v>C040</v>
          </cell>
        </row>
        <row r="47">
          <cell r="A47" t="str">
            <v>C041</v>
          </cell>
        </row>
        <row r="48">
          <cell r="A48" t="str">
            <v>C042</v>
          </cell>
        </row>
        <row r="49">
          <cell r="A49" t="str">
            <v>C043</v>
          </cell>
        </row>
        <row r="50">
          <cell r="A50" t="str">
            <v>C044</v>
          </cell>
        </row>
        <row r="51">
          <cell r="A51" t="str">
            <v>C045</v>
          </cell>
        </row>
        <row r="52">
          <cell r="A52" t="str">
            <v>C046</v>
          </cell>
        </row>
        <row r="53">
          <cell r="A53" t="str">
            <v>C047</v>
          </cell>
        </row>
        <row r="54">
          <cell r="A54" t="str">
            <v>C048</v>
          </cell>
        </row>
        <row r="55">
          <cell r="A55" t="str">
            <v>C049</v>
          </cell>
        </row>
        <row r="56">
          <cell r="A56" t="str">
            <v>C050</v>
          </cell>
        </row>
        <row r="57">
          <cell r="A57" t="str">
            <v>C051</v>
          </cell>
        </row>
        <row r="58">
          <cell r="A58" t="str">
            <v>C052</v>
          </cell>
        </row>
        <row r="59">
          <cell r="A59" t="str">
            <v>C053</v>
          </cell>
        </row>
        <row r="60">
          <cell r="A60" t="str">
            <v>C054</v>
          </cell>
        </row>
        <row r="61">
          <cell r="A61" t="str">
            <v>C055</v>
          </cell>
        </row>
        <row r="62">
          <cell r="A62" t="str">
            <v>C056</v>
          </cell>
        </row>
        <row r="63">
          <cell r="A63" t="str">
            <v>C057</v>
          </cell>
        </row>
        <row r="64">
          <cell r="A64" t="str">
            <v>C058</v>
          </cell>
        </row>
        <row r="65">
          <cell r="A65" t="str">
            <v>C059</v>
          </cell>
        </row>
        <row r="66">
          <cell r="A66" t="str">
            <v>C060</v>
          </cell>
        </row>
        <row r="67">
          <cell r="A67" t="str">
            <v>C061</v>
          </cell>
        </row>
        <row r="68">
          <cell r="A68" t="str">
            <v>C062</v>
          </cell>
        </row>
        <row r="69">
          <cell r="A69" t="str">
            <v>C063</v>
          </cell>
        </row>
        <row r="70">
          <cell r="A70" t="str">
            <v>C064</v>
          </cell>
        </row>
        <row r="71">
          <cell r="A71" t="str">
            <v>C065</v>
          </cell>
        </row>
        <row r="72">
          <cell r="A72" t="str">
            <v>C066</v>
          </cell>
        </row>
        <row r="73">
          <cell r="A73" t="str">
            <v>C067</v>
          </cell>
        </row>
        <row r="74">
          <cell r="A74" t="str">
            <v>C068</v>
          </cell>
        </row>
        <row r="75">
          <cell r="A75" t="str">
            <v>C069</v>
          </cell>
        </row>
        <row r="76">
          <cell r="A76" t="str">
            <v>C070</v>
          </cell>
        </row>
        <row r="77">
          <cell r="A77" t="str">
            <v>C071</v>
          </cell>
        </row>
        <row r="78">
          <cell r="A78" t="str">
            <v>C072</v>
          </cell>
        </row>
        <row r="79">
          <cell r="A79" t="str">
            <v>C073</v>
          </cell>
        </row>
        <row r="80">
          <cell r="A80" t="str">
            <v>C074</v>
          </cell>
        </row>
        <row r="81">
          <cell r="A81" t="str">
            <v>C075</v>
          </cell>
        </row>
        <row r="82">
          <cell r="A82" t="str">
            <v>C076</v>
          </cell>
        </row>
        <row r="83">
          <cell r="A83" t="str">
            <v>C077</v>
          </cell>
        </row>
        <row r="84">
          <cell r="A84" t="str">
            <v>C078</v>
          </cell>
        </row>
        <row r="85">
          <cell r="A85" t="str">
            <v>C079</v>
          </cell>
        </row>
        <row r="86">
          <cell r="A86" t="str">
            <v>C080</v>
          </cell>
        </row>
        <row r="87">
          <cell r="A87" t="str">
            <v>C081</v>
          </cell>
        </row>
        <row r="88">
          <cell r="A88" t="str">
            <v>C082</v>
          </cell>
        </row>
        <row r="89">
          <cell r="A89" t="str">
            <v>C083</v>
          </cell>
        </row>
        <row r="90">
          <cell r="A90" t="str">
            <v>C084</v>
          </cell>
        </row>
        <row r="91">
          <cell r="A91" t="str">
            <v>C085</v>
          </cell>
        </row>
        <row r="92">
          <cell r="A92" t="str">
            <v>C086</v>
          </cell>
        </row>
        <row r="93">
          <cell r="A93" t="str">
            <v>C087</v>
          </cell>
        </row>
        <row r="94">
          <cell r="A94" t="str">
            <v>C088</v>
          </cell>
        </row>
        <row r="95">
          <cell r="A95" t="str">
            <v>C089</v>
          </cell>
        </row>
        <row r="96">
          <cell r="A96" t="str">
            <v>C090</v>
          </cell>
        </row>
        <row r="97">
          <cell r="A97" t="str">
            <v>C091</v>
          </cell>
        </row>
        <row r="98">
          <cell r="A98" t="str">
            <v>C092</v>
          </cell>
        </row>
        <row r="99">
          <cell r="A99" t="str">
            <v>C093</v>
          </cell>
        </row>
        <row r="100">
          <cell r="A100" t="str">
            <v>C094</v>
          </cell>
        </row>
        <row r="101">
          <cell r="A101" t="str">
            <v>C095</v>
          </cell>
        </row>
        <row r="102">
          <cell r="A102" t="str">
            <v>C096</v>
          </cell>
        </row>
        <row r="103">
          <cell r="A103" t="str">
            <v>C097</v>
          </cell>
        </row>
        <row r="104">
          <cell r="A104" t="str">
            <v>C098</v>
          </cell>
        </row>
        <row r="105">
          <cell r="A105" t="str">
            <v>C099</v>
          </cell>
        </row>
        <row r="106">
          <cell r="A106" t="str">
            <v>C100</v>
          </cell>
        </row>
        <row r="107">
          <cell r="A107" t="str">
            <v>C101</v>
          </cell>
        </row>
        <row r="108">
          <cell r="A108" t="str">
            <v>C102</v>
          </cell>
        </row>
        <row r="109">
          <cell r="A109" t="str">
            <v>C103</v>
          </cell>
        </row>
        <row r="110">
          <cell r="A110" t="str">
            <v>C104</v>
          </cell>
        </row>
        <row r="111">
          <cell r="A111" t="str">
            <v>C105</v>
          </cell>
        </row>
        <row r="112">
          <cell r="A112" t="str">
            <v>C106</v>
          </cell>
        </row>
        <row r="113">
          <cell r="A113" t="str">
            <v>C107</v>
          </cell>
        </row>
        <row r="114">
          <cell r="A114" t="str">
            <v>C108</v>
          </cell>
        </row>
        <row r="115">
          <cell r="A115" t="str">
            <v>C109</v>
          </cell>
        </row>
        <row r="116">
          <cell r="A116" t="str">
            <v>C110</v>
          </cell>
        </row>
        <row r="117">
          <cell r="A117" t="str">
            <v>C111</v>
          </cell>
        </row>
        <row r="118">
          <cell r="A118" t="str">
            <v>C112</v>
          </cell>
        </row>
        <row r="119">
          <cell r="A119" t="str">
            <v>C113</v>
          </cell>
        </row>
        <row r="120">
          <cell r="A120" t="str">
            <v>C114</v>
          </cell>
        </row>
        <row r="121">
          <cell r="A121" t="str">
            <v>C115</v>
          </cell>
        </row>
        <row r="122">
          <cell r="A122" t="str">
            <v>C116</v>
          </cell>
        </row>
        <row r="123">
          <cell r="A123" t="str">
            <v>C117</v>
          </cell>
        </row>
        <row r="124">
          <cell r="A124" t="str">
            <v>C118</v>
          </cell>
        </row>
        <row r="125">
          <cell r="A125" t="str">
            <v>C119</v>
          </cell>
        </row>
        <row r="126">
          <cell r="A126" t="str">
            <v>C120</v>
          </cell>
        </row>
        <row r="127">
          <cell r="A127" t="str">
            <v>C121</v>
          </cell>
        </row>
        <row r="128">
          <cell r="A128" t="str">
            <v>C122</v>
          </cell>
        </row>
        <row r="129">
          <cell r="A129" t="str">
            <v>C123</v>
          </cell>
        </row>
        <row r="130">
          <cell r="A130" t="str">
            <v>C124</v>
          </cell>
        </row>
        <row r="131">
          <cell r="A131" t="str">
            <v>C125</v>
          </cell>
        </row>
        <row r="132">
          <cell r="A132" t="str">
            <v>C126</v>
          </cell>
        </row>
        <row r="133">
          <cell r="A133" t="str">
            <v>C127</v>
          </cell>
        </row>
        <row r="134">
          <cell r="A134" t="str">
            <v>C128</v>
          </cell>
        </row>
        <row r="135">
          <cell r="A135" t="str">
            <v>C129</v>
          </cell>
        </row>
        <row r="136">
          <cell r="A136" t="str">
            <v>C130</v>
          </cell>
        </row>
        <row r="137">
          <cell r="A137" t="str">
            <v>C131</v>
          </cell>
        </row>
        <row r="138">
          <cell r="A138" t="str">
            <v>C132</v>
          </cell>
        </row>
        <row r="139">
          <cell r="A139" t="str">
            <v>C133</v>
          </cell>
        </row>
        <row r="140">
          <cell r="A140" t="str">
            <v>C134</v>
          </cell>
        </row>
        <row r="141">
          <cell r="A141" t="str">
            <v>C135</v>
          </cell>
        </row>
        <row r="142">
          <cell r="A142" t="str">
            <v>C136</v>
          </cell>
        </row>
        <row r="143">
          <cell r="A143" t="str">
            <v>C137</v>
          </cell>
        </row>
        <row r="144">
          <cell r="A144" t="str">
            <v>C138</v>
          </cell>
        </row>
        <row r="145">
          <cell r="A145" t="str">
            <v>C139</v>
          </cell>
        </row>
        <row r="146">
          <cell r="A146" t="str">
            <v>C140</v>
          </cell>
        </row>
        <row r="147">
          <cell r="A147" t="str">
            <v>C141</v>
          </cell>
        </row>
        <row r="148">
          <cell r="A148" t="str">
            <v>C142</v>
          </cell>
        </row>
        <row r="149">
          <cell r="A149" t="str">
            <v>C143</v>
          </cell>
        </row>
        <row r="150">
          <cell r="A150" t="str">
            <v>C144</v>
          </cell>
        </row>
        <row r="151">
          <cell r="A151" t="str">
            <v>C145</v>
          </cell>
        </row>
        <row r="152">
          <cell r="A152" t="str">
            <v>C146</v>
          </cell>
        </row>
        <row r="153">
          <cell r="A153" t="str">
            <v>C147</v>
          </cell>
        </row>
        <row r="154">
          <cell r="A154" t="str">
            <v>C148</v>
          </cell>
        </row>
        <row r="155">
          <cell r="A155" t="str">
            <v>C149</v>
          </cell>
        </row>
        <row r="156">
          <cell r="A156" t="str">
            <v>C150</v>
          </cell>
        </row>
        <row r="157">
          <cell r="A157" t="str">
            <v>C151</v>
          </cell>
        </row>
        <row r="158">
          <cell r="A158" t="str">
            <v>C152</v>
          </cell>
        </row>
        <row r="159">
          <cell r="A159" t="str">
            <v>C153</v>
          </cell>
        </row>
        <row r="160">
          <cell r="A160" t="str">
            <v>C154</v>
          </cell>
        </row>
        <row r="161">
          <cell r="A161" t="str">
            <v>C155</v>
          </cell>
        </row>
        <row r="162">
          <cell r="A162" t="str">
            <v>C156</v>
          </cell>
        </row>
        <row r="163">
          <cell r="A163" t="str">
            <v>C157</v>
          </cell>
        </row>
        <row r="164">
          <cell r="A164" t="str">
            <v>C158</v>
          </cell>
        </row>
        <row r="165">
          <cell r="A165" t="str">
            <v>C159</v>
          </cell>
        </row>
        <row r="166">
          <cell r="A166" t="str">
            <v>C160</v>
          </cell>
        </row>
        <row r="167">
          <cell r="A167" t="str">
            <v>C161</v>
          </cell>
        </row>
        <row r="168">
          <cell r="A168" t="str">
            <v>C162</v>
          </cell>
        </row>
        <row r="169">
          <cell r="A169" t="str">
            <v>C163</v>
          </cell>
        </row>
        <row r="170">
          <cell r="A170" t="str">
            <v>C164</v>
          </cell>
        </row>
        <row r="171">
          <cell r="A171" t="str">
            <v>C165</v>
          </cell>
        </row>
        <row r="172">
          <cell r="A172" t="str">
            <v>C166</v>
          </cell>
        </row>
        <row r="173">
          <cell r="A173" t="str">
            <v>C167</v>
          </cell>
        </row>
        <row r="174">
          <cell r="A174" t="str">
            <v>C168</v>
          </cell>
        </row>
        <row r="175">
          <cell r="A175" t="str">
            <v>C169</v>
          </cell>
        </row>
        <row r="176">
          <cell r="A176" t="str">
            <v>C170</v>
          </cell>
        </row>
        <row r="177">
          <cell r="A177" t="str">
            <v>C171</v>
          </cell>
        </row>
        <row r="178">
          <cell r="A178" t="str">
            <v>C172</v>
          </cell>
        </row>
        <row r="179">
          <cell r="A179" t="str">
            <v>C173</v>
          </cell>
        </row>
        <row r="180">
          <cell r="A180" t="str">
            <v>C174</v>
          </cell>
        </row>
        <row r="181">
          <cell r="A181" t="str">
            <v>C175</v>
          </cell>
        </row>
        <row r="182">
          <cell r="A182" t="str">
            <v>C176</v>
          </cell>
        </row>
        <row r="183">
          <cell r="A183" t="str">
            <v>C177</v>
          </cell>
        </row>
        <row r="184">
          <cell r="A184" t="str">
            <v>C178</v>
          </cell>
        </row>
        <row r="185">
          <cell r="A185" t="str">
            <v>C179</v>
          </cell>
        </row>
        <row r="186">
          <cell r="A186" t="str">
            <v>C180</v>
          </cell>
        </row>
        <row r="187">
          <cell r="A187" t="str">
            <v>C181</v>
          </cell>
        </row>
        <row r="188">
          <cell r="A188" t="str">
            <v>C182</v>
          </cell>
        </row>
        <row r="189">
          <cell r="A189" t="str">
            <v>C183</v>
          </cell>
        </row>
        <row r="190">
          <cell r="A190" t="str">
            <v>C184</v>
          </cell>
        </row>
        <row r="191">
          <cell r="A191" t="str">
            <v>C185</v>
          </cell>
        </row>
        <row r="192">
          <cell r="A192" t="str">
            <v>C186</v>
          </cell>
        </row>
        <row r="193">
          <cell r="A193" t="str">
            <v>C187</v>
          </cell>
        </row>
        <row r="194">
          <cell r="A194" t="str">
            <v>C188</v>
          </cell>
        </row>
        <row r="195">
          <cell r="A195" t="str">
            <v>C189</v>
          </cell>
        </row>
        <row r="196">
          <cell r="A196" t="str">
            <v>C190</v>
          </cell>
        </row>
        <row r="197">
          <cell r="A197" t="str">
            <v>C191</v>
          </cell>
        </row>
        <row r="198">
          <cell r="A198" t="str">
            <v>C192</v>
          </cell>
        </row>
        <row r="199">
          <cell r="A199" t="str">
            <v>C193</v>
          </cell>
        </row>
        <row r="200">
          <cell r="A200" t="str">
            <v>C194</v>
          </cell>
        </row>
        <row r="201">
          <cell r="A201" t="str">
            <v>C195</v>
          </cell>
        </row>
        <row r="202">
          <cell r="A202" t="str">
            <v>C196</v>
          </cell>
        </row>
        <row r="203">
          <cell r="A203" t="str">
            <v>C197</v>
          </cell>
        </row>
        <row r="204">
          <cell r="A204" t="str">
            <v>C198</v>
          </cell>
        </row>
        <row r="205">
          <cell r="A205" t="str">
            <v>C199</v>
          </cell>
        </row>
        <row r="206">
          <cell r="A206" t="str">
            <v>C200</v>
          </cell>
        </row>
        <row r="207">
          <cell r="A207" t="str">
            <v>SL001</v>
          </cell>
          <cell r="B207" t="str">
            <v>فروشنده</v>
          </cell>
          <cell r="C207" t="str">
            <v>حجره‌دار میدان بار</v>
          </cell>
          <cell r="D207" t="str">
            <v>حاج رضا محمدی (نمونه)</v>
          </cell>
          <cell r="E207" t="str">
            <v>021-55550001</v>
          </cell>
          <cell r="F207" t="str">
            <v>09120000001</v>
          </cell>
          <cell r="G207" t="str">
            <v>تهران — میدان بار میوه و تره‌بار</v>
          </cell>
          <cell r="H207" t="str">
            <v>نمونه</v>
          </cell>
          <cell r="J207" t="str">
            <v>کلیدی</v>
          </cell>
          <cell r="K207" t="str">
            <v>پایش کامل</v>
          </cell>
        </row>
        <row r="208">
          <cell r="A208" t="str">
            <v>SL002</v>
          </cell>
          <cell r="B208" t="str">
            <v>فروشنده</v>
          </cell>
          <cell r="C208" t="str">
            <v>صادراتی</v>
          </cell>
          <cell r="D208" t="str">
            <v>شرکت گلسرای شمال (نمونه)</v>
          </cell>
          <cell r="E208" t="str">
            <v>011-55550002</v>
          </cell>
          <cell r="F208" t="str">
            <v>09120000002</v>
          </cell>
          <cell r="G208" t="str">
            <v>ساری — شهرک صنعتی</v>
          </cell>
          <cell r="H208" t="str">
            <v>نمونه</v>
          </cell>
          <cell r="J208" t="str">
            <v>کلیدی</v>
          </cell>
          <cell r="K208" t="str">
            <v>پایش کامل</v>
          </cell>
        </row>
        <row r="209">
          <cell r="A209" t="str">
            <v>SL003</v>
          </cell>
          <cell r="B209" t="str">
            <v>فروشنده</v>
          </cell>
          <cell r="C209" t="str">
            <v>واسطه</v>
          </cell>
          <cell r="D209" t="str">
            <v>عباس نیک‌پی (نمونه)</v>
          </cell>
          <cell r="E209" t="str">
            <v>011-55550003</v>
          </cell>
          <cell r="F209" t="str">
            <v>09120000003</v>
          </cell>
          <cell r="G209" t="str">
            <v>قائم‌شهر</v>
          </cell>
          <cell r="H209" t="str">
            <v>نمونه</v>
          </cell>
          <cell r="J209" t="str">
            <v>عادی</v>
          </cell>
          <cell r="K209" t="str">
            <v>نمونه‌ای</v>
          </cell>
        </row>
        <row r="210">
          <cell r="A210" t="str">
            <v>SL004</v>
          </cell>
          <cell r="B210" t="str">
            <v>فروشنده</v>
          </cell>
          <cell r="C210" t="str">
            <v>نقدی</v>
          </cell>
          <cell r="D210" t="str">
            <v>مشتری نقدی — پاساژ مرکزی (نمونه)</v>
          </cell>
          <cell r="E210" t="str">
            <v>011-55550004</v>
          </cell>
          <cell r="F210" t="str">
            <v>09120000004</v>
          </cell>
          <cell r="G210" t="str">
            <v>قائم‌شهر — پاساژ مرکزی</v>
          </cell>
          <cell r="H210" t="str">
            <v>نمونه</v>
          </cell>
          <cell r="J210" t="str">
            <v>موقت</v>
          </cell>
          <cell r="K210" t="str">
            <v>نمونه‌ای</v>
          </cell>
        </row>
        <row r="211">
          <cell r="A211" t="str">
            <v>SL005</v>
          </cell>
        </row>
        <row r="212">
          <cell r="A212" t="str">
            <v>SL006</v>
          </cell>
        </row>
        <row r="213">
          <cell r="A213" t="str">
            <v>SL007</v>
          </cell>
        </row>
        <row r="214">
          <cell r="A214" t="str">
            <v>SL008</v>
          </cell>
        </row>
        <row r="215">
          <cell r="A215" t="str">
            <v>SL009</v>
          </cell>
        </row>
        <row r="216">
          <cell r="A216" t="str">
            <v>SL010</v>
          </cell>
        </row>
        <row r="217">
          <cell r="A217" t="str">
            <v>SL011</v>
          </cell>
        </row>
        <row r="218">
          <cell r="A218" t="str">
            <v>SL012</v>
          </cell>
        </row>
        <row r="219">
          <cell r="A219" t="str">
            <v>SL013</v>
          </cell>
        </row>
        <row r="220">
          <cell r="A220" t="str">
            <v>SL014</v>
          </cell>
        </row>
        <row r="221">
          <cell r="A221" t="str">
            <v>SL015</v>
          </cell>
        </row>
        <row r="222">
          <cell r="A222" t="str">
            <v>SL016</v>
          </cell>
        </row>
        <row r="223">
          <cell r="A223" t="str">
            <v>SL017</v>
          </cell>
        </row>
        <row r="224">
          <cell r="A224" t="str">
            <v>SL018</v>
          </cell>
        </row>
        <row r="225">
          <cell r="A225" t="str">
            <v>SL019</v>
          </cell>
        </row>
        <row r="226">
          <cell r="A226" t="str">
            <v>SL020</v>
          </cell>
        </row>
        <row r="227">
          <cell r="A227" t="str">
            <v>SL021</v>
          </cell>
        </row>
        <row r="228">
          <cell r="A228" t="str">
            <v>SL022</v>
          </cell>
        </row>
        <row r="229">
          <cell r="A229" t="str">
            <v>SL023</v>
          </cell>
        </row>
        <row r="230">
          <cell r="A230" t="str">
            <v>SL024</v>
          </cell>
        </row>
        <row r="231">
          <cell r="A231" t="str">
            <v>SL025</v>
          </cell>
        </row>
        <row r="232">
          <cell r="A232" t="str">
            <v>SL026</v>
          </cell>
        </row>
        <row r="233">
          <cell r="A233" t="str">
            <v>SL027</v>
          </cell>
        </row>
        <row r="234">
          <cell r="A234" t="str">
            <v>SL028</v>
          </cell>
        </row>
        <row r="235">
          <cell r="A235" t="str">
            <v>SL029</v>
          </cell>
        </row>
        <row r="236">
          <cell r="A236" t="str">
            <v>SL030</v>
          </cell>
        </row>
        <row r="237">
          <cell r="A237" t="str">
            <v>SL031</v>
          </cell>
        </row>
        <row r="238">
          <cell r="A238" t="str">
            <v>SL032</v>
          </cell>
        </row>
        <row r="239">
          <cell r="A239" t="str">
            <v>SL033</v>
          </cell>
        </row>
        <row r="240">
          <cell r="A240" t="str">
            <v>SL034</v>
          </cell>
        </row>
        <row r="241">
          <cell r="A241" t="str">
            <v>SL035</v>
          </cell>
        </row>
        <row r="242">
          <cell r="A242" t="str">
            <v>SL036</v>
          </cell>
        </row>
        <row r="243">
          <cell r="A243" t="str">
            <v>SL037</v>
          </cell>
        </row>
        <row r="244">
          <cell r="A244" t="str">
            <v>SL038</v>
          </cell>
        </row>
        <row r="245">
          <cell r="A245" t="str">
            <v>SL039</v>
          </cell>
        </row>
        <row r="246">
          <cell r="A246" t="str">
            <v>SL040</v>
          </cell>
        </row>
        <row r="247">
          <cell r="A247" t="str">
            <v>SL041</v>
          </cell>
        </row>
        <row r="248">
          <cell r="A248" t="str">
            <v>SL042</v>
          </cell>
        </row>
        <row r="249">
          <cell r="A249" t="str">
            <v>SL043</v>
          </cell>
        </row>
        <row r="250">
          <cell r="A250" t="str">
            <v>SL044</v>
          </cell>
        </row>
        <row r="251">
          <cell r="A251" t="str">
            <v>SL045</v>
          </cell>
        </row>
        <row r="252">
          <cell r="A252" t="str">
            <v>SL046</v>
          </cell>
        </row>
        <row r="253">
          <cell r="A253" t="str">
            <v>SL047</v>
          </cell>
        </row>
        <row r="254">
          <cell r="A254" t="str">
            <v>SL048</v>
          </cell>
        </row>
        <row r="255">
          <cell r="A255" t="str">
            <v>SL049</v>
          </cell>
        </row>
        <row r="256">
          <cell r="A256" t="str">
            <v>SL050</v>
          </cell>
        </row>
        <row r="257">
          <cell r="A257" t="str">
            <v>SL051</v>
          </cell>
        </row>
        <row r="258">
          <cell r="A258" t="str">
            <v>SL052</v>
          </cell>
        </row>
        <row r="259">
          <cell r="A259" t="str">
            <v>SL053</v>
          </cell>
        </row>
        <row r="260">
          <cell r="A260" t="str">
            <v>SL054</v>
          </cell>
        </row>
        <row r="261">
          <cell r="A261" t="str">
            <v>SL055</v>
          </cell>
        </row>
        <row r="262">
          <cell r="A262" t="str">
            <v>SL056</v>
          </cell>
        </row>
        <row r="263">
          <cell r="A263" t="str">
            <v>SL057</v>
          </cell>
        </row>
        <row r="264">
          <cell r="A264" t="str">
            <v>SL058</v>
          </cell>
        </row>
        <row r="265">
          <cell r="A265" t="str">
            <v>SL059</v>
          </cell>
        </row>
        <row r="266">
          <cell r="A266" t="str">
            <v>SL060</v>
          </cell>
        </row>
        <row r="267">
          <cell r="A267" t="str">
            <v>SL061</v>
          </cell>
        </row>
        <row r="268">
          <cell r="A268" t="str">
            <v>SL062</v>
          </cell>
        </row>
        <row r="269">
          <cell r="A269" t="str">
            <v>SL063</v>
          </cell>
        </row>
        <row r="270">
          <cell r="A270" t="str">
            <v>SL064</v>
          </cell>
        </row>
        <row r="271">
          <cell r="A271" t="str">
            <v>SL065</v>
          </cell>
        </row>
        <row r="272">
          <cell r="A272" t="str">
            <v>SL066</v>
          </cell>
        </row>
        <row r="273">
          <cell r="A273" t="str">
            <v>SL067</v>
          </cell>
        </row>
        <row r="274">
          <cell r="A274" t="str">
            <v>SL068</v>
          </cell>
        </row>
        <row r="275">
          <cell r="A275" t="str">
            <v>SL069</v>
          </cell>
        </row>
        <row r="276">
          <cell r="A276" t="str">
            <v>SL070</v>
          </cell>
        </row>
        <row r="277">
          <cell r="A277" t="str">
            <v>SL071</v>
          </cell>
        </row>
        <row r="278">
          <cell r="A278" t="str">
            <v>SL072</v>
          </cell>
        </row>
        <row r="279">
          <cell r="A279" t="str">
            <v>SL073</v>
          </cell>
        </row>
        <row r="280">
          <cell r="A280" t="str">
            <v>SL074</v>
          </cell>
        </row>
        <row r="281">
          <cell r="A281" t="str">
            <v>SL075</v>
          </cell>
        </row>
        <row r="282">
          <cell r="A282" t="str">
            <v>SL076</v>
          </cell>
        </row>
        <row r="283">
          <cell r="A283" t="str">
            <v>SL077</v>
          </cell>
        </row>
        <row r="284">
          <cell r="A284" t="str">
            <v>SL078</v>
          </cell>
        </row>
        <row r="285">
          <cell r="A285" t="str">
            <v>SL079</v>
          </cell>
        </row>
        <row r="286">
          <cell r="A286" t="str">
            <v>SL080</v>
          </cell>
        </row>
        <row r="287">
          <cell r="A287" t="str">
            <v>SL081</v>
          </cell>
        </row>
        <row r="288">
          <cell r="A288" t="str">
            <v>SL082</v>
          </cell>
        </row>
        <row r="289">
          <cell r="A289" t="str">
            <v>SL083</v>
          </cell>
        </row>
        <row r="290">
          <cell r="A290" t="str">
            <v>SL084</v>
          </cell>
        </row>
        <row r="291">
          <cell r="A291" t="str">
            <v>SL085</v>
          </cell>
        </row>
        <row r="292">
          <cell r="A292" t="str">
            <v>SL086</v>
          </cell>
        </row>
        <row r="293">
          <cell r="A293" t="str">
            <v>SL087</v>
          </cell>
        </row>
        <row r="294">
          <cell r="A294" t="str">
            <v>SL088</v>
          </cell>
        </row>
        <row r="295">
          <cell r="A295" t="str">
            <v>SL089</v>
          </cell>
        </row>
        <row r="296">
          <cell r="A296" t="str">
            <v>SL090</v>
          </cell>
        </row>
        <row r="297">
          <cell r="A297" t="str">
            <v>SL091</v>
          </cell>
        </row>
        <row r="298">
          <cell r="A298" t="str">
            <v>SL092</v>
          </cell>
        </row>
        <row r="299">
          <cell r="A299" t="str">
            <v>SL093</v>
          </cell>
        </row>
        <row r="300">
          <cell r="A300" t="str">
            <v>SL094</v>
          </cell>
        </row>
        <row r="301">
          <cell r="A301" t="str">
            <v>SL095</v>
          </cell>
        </row>
        <row r="302">
          <cell r="A302" t="str">
            <v>SL096</v>
          </cell>
        </row>
        <row r="303">
          <cell r="A303" t="str">
            <v>SL097</v>
          </cell>
        </row>
        <row r="304">
          <cell r="A304" t="str">
            <v>SL098</v>
          </cell>
        </row>
        <row r="305">
          <cell r="A305" t="str">
            <v>SL099</v>
          </cell>
        </row>
        <row r="306">
          <cell r="A306" t="str">
            <v>SL100</v>
          </cell>
        </row>
        <row r="307">
          <cell r="A307" t="str">
            <v>S001</v>
          </cell>
          <cell r="B307" t="str">
            <v>تأمین‌کننده</v>
          </cell>
          <cell r="C307" t="str">
            <v>باغ‌دار</v>
          </cell>
          <cell r="D307" t="str">
            <v>حسن رستمی (نمونه)</v>
          </cell>
          <cell r="E307" t="str">
            <v>011-44440001</v>
          </cell>
          <cell r="F307" t="str">
            <v>09110000004</v>
          </cell>
          <cell r="G307" t="str">
            <v>باغدشت</v>
          </cell>
          <cell r="H307" t="str">
            <v>خرید از باغ</v>
          </cell>
          <cell r="J307" t="str">
            <v>کلیدی</v>
          </cell>
          <cell r="K307" t="str">
            <v>پایش کامل</v>
          </cell>
        </row>
        <row r="308">
          <cell r="A308" t="str">
            <v>S002</v>
          </cell>
          <cell r="B308" t="str">
            <v>تأمین‌کننده</v>
          </cell>
          <cell r="C308" t="str">
            <v>حجره‌دار میدان بار</v>
          </cell>
          <cell r="D308" t="str">
            <v>کریم نوری (نمونه)</v>
          </cell>
          <cell r="E308" t="str">
            <v>011-44440002</v>
          </cell>
          <cell r="F308" t="str">
            <v>09110000005</v>
          </cell>
          <cell r="G308" t="str">
            <v>قائم‌شهر — میدان بار</v>
          </cell>
          <cell r="H308" t="str">
            <v>خرید از میدان بار</v>
          </cell>
          <cell r="J308" t="str">
            <v>عادی</v>
          </cell>
          <cell r="K308" t="str">
            <v>نمونه‌ای</v>
          </cell>
        </row>
        <row r="309">
          <cell r="A309" t="str">
            <v>S003</v>
          </cell>
          <cell r="B309" t="str">
            <v>تأمین‌کننده</v>
          </cell>
          <cell r="C309" t="str">
            <v>عامل خرید</v>
          </cell>
          <cell r="D309" t="str">
            <v>محسن کاظمی (نمونه)</v>
          </cell>
          <cell r="E309" t="str">
            <v>011-44440003</v>
          </cell>
          <cell r="F309" t="str">
            <v>09110000006</v>
          </cell>
          <cell r="G309" t="str">
            <v>جویبار</v>
          </cell>
          <cell r="H309" t="str">
            <v>نمونه</v>
          </cell>
          <cell r="J309" t="str">
            <v>عادی</v>
          </cell>
          <cell r="K309" t="str">
            <v>نمونه‌ای</v>
          </cell>
        </row>
        <row r="310">
          <cell r="A310" t="str">
            <v>S004</v>
          </cell>
          <cell r="B310" t="str">
            <v>تأمین‌کننده</v>
          </cell>
          <cell r="C310" t="str">
            <v>فروشنده سبد</v>
          </cell>
          <cell r="D310" t="str">
            <v>کریمی — کارگاه سبدسازی (نمونه)</v>
          </cell>
          <cell r="F310" t="str">
            <v>011-44440004</v>
          </cell>
          <cell r="G310" t="str">
            <v>قائم‌شهر — جاده جویبار</v>
          </cell>
          <cell r="H310" t="str">
            <v>فروشنده سبد و ظروف — خرید در فایل Baskets.xlsx (نمونه)</v>
          </cell>
          <cell r="J310" t="str">
            <v>کلیدی</v>
          </cell>
          <cell r="K310" t="str">
            <v>پایش کامل</v>
          </cell>
        </row>
        <row r="311">
          <cell r="A311" t="str">
            <v>S005</v>
          </cell>
        </row>
        <row r="312">
          <cell r="A312" t="str">
            <v>S006</v>
          </cell>
        </row>
        <row r="313">
          <cell r="A313" t="str">
            <v>S007</v>
          </cell>
        </row>
        <row r="314">
          <cell r="A314" t="str">
            <v>S008</v>
          </cell>
        </row>
        <row r="315">
          <cell r="A315" t="str">
            <v>S009</v>
          </cell>
        </row>
        <row r="316">
          <cell r="A316" t="str">
            <v>S010</v>
          </cell>
        </row>
        <row r="317">
          <cell r="A317" t="str">
            <v>S011</v>
          </cell>
        </row>
        <row r="318">
          <cell r="A318" t="str">
            <v>S012</v>
          </cell>
        </row>
        <row r="319">
          <cell r="A319" t="str">
            <v>S013</v>
          </cell>
        </row>
        <row r="320">
          <cell r="A320" t="str">
            <v>S014</v>
          </cell>
        </row>
        <row r="321">
          <cell r="A321" t="str">
            <v>S015</v>
          </cell>
        </row>
        <row r="322">
          <cell r="A322" t="str">
            <v>S016</v>
          </cell>
        </row>
        <row r="323">
          <cell r="A323" t="str">
            <v>S017</v>
          </cell>
        </row>
        <row r="324">
          <cell r="A324" t="str">
            <v>S018</v>
          </cell>
        </row>
        <row r="325">
          <cell r="A325" t="str">
            <v>S019</v>
          </cell>
        </row>
        <row r="326">
          <cell r="A326" t="str">
            <v>S020</v>
          </cell>
        </row>
        <row r="327">
          <cell r="A327" t="str">
            <v>S021</v>
          </cell>
        </row>
        <row r="328">
          <cell r="A328" t="str">
            <v>S022</v>
          </cell>
        </row>
        <row r="329">
          <cell r="A329" t="str">
            <v>S023</v>
          </cell>
        </row>
        <row r="330">
          <cell r="A330" t="str">
            <v>S024</v>
          </cell>
        </row>
        <row r="331">
          <cell r="A331" t="str">
            <v>S025</v>
          </cell>
        </row>
        <row r="332">
          <cell r="A332" t="str">
            <v>S026</v>
          </cell>
        </row>
        <row r="333">
          <cell r="A333" t="str">
            <v>S027</v>
          </cell>
        </row>
        <row r="334">
          <cell r="A334" t="str">
            <v>S028</v>
          </cell>
        </row>
        <row r="335">
          <cell r="A335" t="str">
            <v>S029</v>
          </cell>
        </row>
        <row r="336">
          <cell r="A336" t="str">
            <v>S030</v>
          </cell>
        </row>
        <row r="337">
          <cell r="A337" t="str">
            <v>S031</v>
          </cell>
        </row>
        <row r="338">
          <cell r="A338" t="str">
            <v>S032</v>
          </cell>
        </row>
        <row r="339">
          <cell r="A339" t="str">
            <v>S033</v>
          </cell>
        </row>
        <row r="340">
          <cell r="A340" t="str">
            <v>S034</v>
          </cell>
        </row>
        <row r="341">
          <cell r="A341" t="str">
            <v>S035</v>
          </cell>
        </row>
        <row r="342">
          <cell r="A342" t="str">
            <v>S036</v>
          </cell>
        </row>
        <row r="343">
          <cell r="A343" t="str">
            <v>S037</v>
          </cell>
        </row>
        <row r="344">
          <cell r="A344" t="str">
            <v>S038</v>
          </cell>
        </row>
        <row r="345">
          <cell r="A345" t="str">
            <v>S039</v>
          </cell>
        </row>
        <row r="346">
          <cell r="A346" t="str">
            <v>S040</v>
          </cell>
        </row>
        <row r="347">
          <cell r="A347" t="str">
            <v>S041</v>
          </cell>
        </row>
        <row r="348">
          <cell r="A348" t="str">
            <v>S042</v>
          </cell>
        </row>
        <row r="349">
          <cell r="A349" t="str">
            <v>S043</v>
          </cell>
        </row>
        <row r="350">
          <cell r="A350" t="str">
            <v>S044</v>
          </cell>
        </row>
        <row r="351">
          <cell r="A351" t="str">
            <v>S045</v>
          </cell>
        </row>
        <row r="352">
          <cell r="A352" t="str">
            <v>S046</v>
          </cell>
        </row>
        <row r="353">
          <cell r="A353" t="str">
            <v>S047</v>
          </cell>
        </row>
        <row r="354">
          <cell r="A354" t="str">
            <v>S048</v>
          </cell>
        </row>
        <row r="355">
          <cell r="A355" t="str">
            <v>S049</v>
          </cell>
        </row>
        <row r="356">
          <cell r="A356" t="str">
            <v>S050</v>
          </cell>
        </row>
        <row r="357">
          <cell r="A357" t="str">
            <v>S051</v>
          </cell>
        </row>
        <row r="358">
          <cell r="A358" t="str">
            <v>S052</v>
          </cell>
        </row>
        <row r="359">
          <cell r="A359" t="str">
            <v>S053</v>
          </cell>
        </row>
        <row r="360">
          <cell r="A360" t="str">
            <v>S054</v>
          </cell>
        </row>
        <row r="361">
          <cell r="A361" t="str">
            <v>S055</v>
          </cell>
        </row>
        <row r="362">
          <cell r="A362" t="str">
            <v>S056</v>
          </cell>
        </row>
        <row r="363">
          <cell r="A363" t="str">
            <v>S057</v>
          </cell>
        </row>
        <row r="364">
          <cell r="A364" t="str">
            <v>S058</v>
          </cell>
        </row>
        <row r="365">
          <cell r="A365" t="str">
            <v>S059</v>
          </cell>
        </row>
        <row r="366">
          <cell r="A366" t="str">
            <v>S060</v>
          </cell>
        </row>
        <row r="367">
          <cell r="A367" t="str">
            <v>S061</v>
          </cell>
        </row>
        <row r="368">
          <cell r="A368" t="str">
            <v>S062</v>
          </cell>
        </row>
        <row r="369">
          <cell r="A369" t="str">
            <v>S063</v>
          </cell>
        </row>
        <row r="370">
          <cell r="A370" t="str">
            <v>S064</v>
          </cell>
        </row>
        <row r="371">
          <cell r="A371" t="str">
            <v>S065</v>
          </cell>
        </row>
        <row r="372">
          <cell r="A372" t="str">
            <v>S066</v>
          </cell>
        </row>
        <row r="373">
          <cell r="A373" t="str">
            <v>S067</v>
          </cell>
        </row>
        <row r="374">
          <cell r="A374" t="str">
            <v>S068</v>
          </cell>
        </row>
        <row r="375">
          <cell r="A375" t="str">
            <v>S069</v>
          </cell>
        </row>
        <row r="376">
          <cell r="A376" t="str">
            <v>S070</v>
          </cell>
        </row>
        <row r="377">
          <cell r="A377" t="str">
            <v>S071</v>
          </cell>
        </row>
        <row r="378">
          <cell r="A378" t="str">
            <v>S072</v>
          </cell>
        </row>
        <row r="379">
          <cell r="A379" t="str">
            <v>S073</v>
          </cell>
        </row>
        <row r="380">
          <cell r="A380" t="str">
            <v>S074</v>
          </cell>
        </row>
        <row r="381">
          <cell r="A381" t="str">
            <v>S075</v>
          </cell>
        </row>
        <row r="382">
          <cell r="A382" t="str">
            <v>S076</v>
          </cell>
        </row>
        <row r="383">
          <cell r="A383" t="str">
            <v>S077</v>
          </cell>
        </row>
        <row r="384">
          <cell r="A384" t="str">
            <v>S078</v>
          </cell>
        </row>
        <row r="385">
          <cell r="A385" t="str">
            <v>S079</v>
          </cell>
        </row>
        <row r="386">
          <cell r="A386" t="str">
            <v>S080</v>
          </cell>
        </row>
        <row r="387">
          <cell r="A387" t="str">
            <v>S081</v>
          </cell>
        </row>
        <row r="388">
          <cell r="A388" t="str">
            <v>S082</v>
          </cell>
        </row>
        <row r="389">
          <cell r="A389" t="str">
            <v>S083</v>
          </cell>
        </row>
        <row r="390">
          <cell r="A390" t="str">
            <v>S084</v>
          </cell>
        </row>
        <row r="391">
          <cell r="A391" t="str">
            <v>S085</v>
          </cell>
        </row>
        <row r="392">
          <cell r="A392" t="str">
            <v>S086</v>
          </cell>
        </row>
        <row r="393">
          <cell r="A393" t="str">
            <v>S087</v>
          </cell>
        </row>
        <row r="394">
          <cell r="A394" t="str">
            <v>S088</v>
          </cell>
        </row>
        <row r="395">
          <cell r="A395" t="str">
            <v>S089</v>
          </cell>
        </row>
        <row r="396">
          <cell r="A396" t="str">
            <v>S090</v>
          </cell>
        </row>
        <row r="397">
          <cell r="A397" t="str">
            <v>S091</v>
          </cell>
        </row>
        <row r="398">
          <cell r="A398" t="str">
            <v>S092</v>
          </cell>
        </row>
        <row r="399">
          <cell r="A399" t="str">
            <v>S093</v>
          </cell>
        </row>
        <row r="400">
          <cell r="A400" t="str">
            <v>S094</v>
          </cell>
        </row>
        <row r="401">
          <cell r="A401" t="str">
            <v>S095</v>
          </cell>
        </row>
        <row r="402">
          <cell r="A402" t="str">
            <v>S096</v>
          </cell>
        </row>
        <row r="403">
          <cell r="A403" t="str">
            <v>S097</v>
          </cell>
        </row>
        <row r="404">
          <cell r="A404" t="str">
            <v>S098</v>
          </cell>
        </row>
        <row r="405">
          <cell r="A405" t="str">
            <v>S099</v>
          </cell>
        </row>
        <row r="406">
          <cell r="A406" t="str">
            <v>S100</v>
          </cell>
        </row>
        <row r="407">
          <cell r="A407" t="str">
            <v>E001</v>
          </cell>
          <cell r="B407" t="str">
            <v>کارمند</v>
          </cell>
          <cell r="C407" t="str">
            <v>مدیرعامل</v>
          </cell>
          <cell r="D407" t="str">
            <v>(نام مدیرعامل)</v>
          </cell>
          <cell r="F407" t="str">
            <v>09110000010</v>
          </cell>
          <cell r="J407" t="str">
            <v>عادی</v>
          </cell>
          <cell r="K407" t="str">
            <v>معاف</v>
          </cell>
        </row>
        <row r="408">
          <cell r="A408" t="str">
            <v>E002</v>
          </cell>
          <cell r="B408" t="str">
            <v>کارمند</v>
          </cell>
          <cell r="C408" t="str">
            <v>حسابدار</v>
          </cell>
          <cell r="D408" t="str">
            <v>(نام حسابدار)</v>
          </cell>
          <cell r="F408" t="str">
            <v>09110000011</v>
          </cell>
          <cell r="J408" t="str">
            <v>عادی</v>
          </cell>
          <cell r="K408" t="str">
            <v>معاف</v>
          </cell>
        </row>
        <row r="409">
          <cell r="A409" t="str">
            <v>E003</v>
          </cell>
          <cell r="B409" t="str">
            <v>کارمند</v>
          </cell>
          <cell r="C409" t="str">
            <v>فروشنده</v>
          </cell>
          <cell r="D409" t="str">
            <v>(نام فروشنده ۱)</v>
          </cell>
          <cell r="F409" t="str">
            <v>09110000012</v>
          </cell>
          <cell r="J409" t="str">
            <v>عادی</v>
          </cell>
          <cell r="K409" t="str">
            <v>معاف</v>
          </cell>
        </row>
        <row r="410">
          <cell r="A410" t="str">
            <v>E004</v>
          </cell>
          <cell r="B410" t="str">
            <v>کارمند</v>
          </cell>
          <cell r="C410" t="str">
            <v>انباردار</v>
          </cell>
          <cell r="D410" t="str">
            <v>(نام انباردار)</v>
          </cell>
          <cell r="F410" t="str">
            <v>09110000013</v>
          </cell>
          <cell r="J410" t="str">
            <v>عادی</v>
          </cell>
          <cell r="K410" t="str">
            <v>معاف</v>
          </cell>
        </row>
        <row r="411">
          <cell r="A411" t="str">
            <v>E005</v>
          </cell>
          <cell r="B411" t="str">
            <v>کارمند</v>
          </cell>
          <cell r="C411" t="str">
            <v>سرپرست خط</v>
          </cell>
          <cell r="D411" t="str">
            <v>رضا کاظمی (نمونه)</v>
          </cell>
          <cell r="F411" t="str">
            <v>09110000014</v>
          </cell>
          <cell r="G411" t="str">
            <v>قائم‌شهر</v>
          </cell>
          <cell r="H411" t="str">
            <v>نمونه — گروه سالن ۱</v>
          </cell>
          <cell r="J411" t="str">
            <v>عادی</v>
          </cell>
          <cell r="K411" t="str">
            <v>معاف</v>
          </cell>
        </row>
        <row r="412">
          <cell r="A412" t="str">
            <v>E006</v>
          </cell>
          <cell r="B412" t="str">
            <v>کارمند</v>
          </cell>
          <cell r="C412" t="str">
            <v>کارگر</v>
          </cell>
          <cell r="D412" t="str">
            <v>علی احمدی (نمونه)</v>
          </cell>
          <cell r="F412" t="str">
            <v>09110000015</v>
          </cell>
          <cell r="G412" t="str">
            <v>قائم‌شهر</v>
          </cell>
          <cell r="H412" t="str">
            <v>نمونه — گروه سالن ۱</v>
          </cell>
          <cell r="J412" t="str">
            <v>عادی</v>
          </cell>
          <cell r="K412" t="str">
            <v>معاف</v>
          </cell>
        </row>
        <row r="413">
          <cell r="A413" t="str">
            <v>E007</v>
          </cell>
        </row>
        <row r="414">
          <cell r="A414" t="str">
            <v>E008</v>
          </cell>
        </row>
        <row r="415">
          <cell r="A415" t="str">
            <v>E009</v>
          </cell>
        </row>
        <row r="416">
          <cell r="A416" t="str">
            <v>E010</v>
          </cell>
        </row>
        <row r="417">
          <cell r="A417" t="str">
            <v>E011</v>
          </cell>
        </row>
        <row r="418">
          <cell r="A418" t="str">
            <v>E012</v>
          </cell>
        </row>
        <row r="419">
          <cell r="A419" t="str">
            <v>E013</v>
          </cell>
        </row>
        <row r="420">
          <cell r="A420" t="str">
            <v>E014</v>
          </cell>
        </row>
        <row r="421">
          <cell r="A421" t="str">
            <v>E015</v>
          </cell>
        </row>
        <row r="422">
          <cell r="A422" t="str">
            <v>E016</v>
          </cell>
        </row>
        <row r="423">
          <cell r="A423" t="str">
            <v>E017</v>
          </cell>
        </row>
        <row r="424">
          <cell r="A424" t="str">
            <v>E018</v>
          </cell>
        </row>
        <row r="425">
          <cell r="A425" t="str">
            <v>E019</v>
          </cell>
        </row>
        <row r="426">
          <cell r="A426" t="str">
            <v>E020</v>
          </cell>
        </row>
        <row r="427">
          <cell r="A427" t="str">
            <v>E021</v>
          </cell>
        </row>
        <row r="428">
          <cell r="A428" t="str">
            <v>E022</v>
          </cell>
        </row>
        <row r="429">
          <cell r="A429" t="str">
            <v>E023</v>
          </cell>
        </row>
        <row r="430">
          <cell r="A430" t="str">
            <v>E024</v>
          </cell>
        </row>
        <row r="431">
          <cell r="A431" t="str">
            <v>E025</v>
          </cell>
        </row>
        <row r="432">
          <cell r="A432" t="str">
            <v>E026</v>
          </cell>
        </row>
        <row r="433">
          <cell r="A433" t="str">
            <v>E027</v>
          </cell>
        </row>
        <row r="434">
          <cell r="A434" t="str">
            <v>E028</v>
          </cell>
        </row>
        <row r="435">
          <cell r="A435" t="str">
            <v>E029</v>
          </cell>
        </row>
        <row r="436">
          <cell r="A436" t="str">
            <v>E030</v>
          </cell>
        </row>
        <row r="437">
          <cell r="A437" t="str">
            <v>E031</v>
          </cell>
        </row>
        <row r="438">
          <cell r="A438" t="str">
            <v>E032</v>
          </cell>
        </row>
        <row r="439">
          <cell r="A439" t="str">
            <v>E033</v>
          </cell>
        </row>
        <row r="440">
          <cell r="A440" t="str">
            <v>E034</v>
          </cell>
        </row>
        <row r="441">
          <cell r="A441" t="str">
            <v>E035</v>
          </cell>
        </row>
        <row r="442">
          <cell r="A442" t="str">
            <v>E036</v>
          </cell>
        </row>
        <row r="443">
          <cell r="A443" t="str">
            <v>E037</v>
          </cell>
        </row>
        <row r="444">
          <cell r="A444" t="str">
            <v>E038</v>
          </cell>
        </row>
        <row r="445">
          <cell r="A445" t="str">
            <v>E039</v>
          </cell>
        </row>
        <row r="446">
          <cell r="A446" t="str">
            <v>E040</v>
          </cell>
        </row>
        <row r="447">
          <cell r="A447" t="str">
            <v>E041</v>
          </cell>
        </row>
        <row r="448">
          <cell r="A448" t="str">
            <v>E042</v>
          </cell>
        </row>
        <row r="449">
          <cell r="A449" t="str">
            <v>E043</v>
          </cell>
        </row>
        <row r="450">
          <cell r="A450" t="str">
            <v>E044</v>
          </cell>
        </row>
        <row r="451">
          <cell r="A451" t="str">
            <v>E045</v>
          </cell>
        </row>
        <row r="452">
          <cell r="A452" t="str">
            <v>E046</v>
          </cell>
        </row>
        <row r="453">
          <cell r="A453" t="str">
            <v>E047</v>
          </cell>
        </row>
        <row r="454">
          <cell r="A454" t="str">
            <v>E048</v>
          </cell>
        </row>
        <row r="455">
          <cell r="A455" t="str">
            <v>E049</v>
          </cell>
        </row>
        <row r="456">
          <cell r="A456" t="str">
            <v>E050</v>
          </cell>
        </row>
        <row r="457">
          <cell r="A457" t="str">
            <v>X001</v>
          </cell>
          <cell r="B457" t="str">
            <v>سایر حساب</v>
          </cell>
          <cell r="C457" t="str">
            <v>حساب اداری/داخلی</v>
          </cell>
          <cell r="D457" t="str">
            <v>کارمزد و هزینه بانکی</v>
          </cell>
          <cell r="J457" t="str">
            <v>عادی</v>
          </cell>
          <cell r="K457" t="str">
            <v>معاف</v>
          </cell>
        </row>
        <row r="458">
          <cell r="A458" t="str">
            <v>X002</v>
          </cell>
          <cell r="B458" t="str">
            <v>سایر حساب</v>
          </cell>
          <cell r="C458" t="str">
            <v>مالیات</v>
          </cell>
          <cell r="D458" t="str">
            <v>مالیات و عوارض</v>
          </cell>
          <cell r="J458" t="str">
            <v>عادی</v>
          </cell>
          <cell r="K458" t="str">
            <v>معاف</v>
          </cell>
        </row>
        <row r="459">
          <cell r="A459" t="str">
            <v>X003</v>
          </cell>
          <cell r="B459" t="str">
            <v>سایر حساب</v>
          </cell>
          <cell r="C459" t="str">
            <v>صندوق</v>
          </cell>
          <cell r="D459" t="str">
            <v>صندوق / نقدی</v>
          </cell>
          <cell r="J459" t="str">
            <v>موقت</v>
          </cell>
          <cell r="K459" t="str">
            <v>معاف</v>
          </cell>
        </row>
        <row r="460">
          <cell r="A460" t="str">
            <v>X004</v>
          </cell>
        </row>
        <row r="461">
          <cell r="A461" t="str">
            <v>X005</v>
          </cell>
        </row>
        <row r="462">
          <cell r="A462" t="str">
            <v>X006</v>
          </cell>
        </row>
        <row r="463">
          <cell r="A463" t="str">
            <v>X007</v>
          </cell>
        </row>
        <row r="464">
          <cell r="A464" t="str">
            <v>X008</v>
          </cell>
        </row>
        <row r="465">
          <cell r="A465" t="str">
            <v>X009</v>
          </cell>
        </row>
        <row r="466">
          <cell r="A466" t="str">
            <v>X010</v>
          </cell>
        </row>
        <row r="467">
          <cell r="A467" t="str">
            <v>X011</v>
          </cell>
        </row>
        <row r="468">
          <cell r="A468" t="str">
            <v>X012</v>
          </cell>
        </row>
        <row r="469">
          <cell r="A469" t="str">
            <v>X013</v>
          </cell>
        </row>
        <row r="470">
          <cell r="A470" t="str">
            <v>X014</v>
          </cell>
        </row>
        <row r="471">
          <cell r="A471" t="str">
            <v>X015</v>
          </cell>
        </row>
        <row r="472">
          <cell r="A472" t="str">
            <v>X016</v>
          </cell>
        </row>
        <row r="473">
          <cell r="A473" t="str">
            <v>X017</v>
          </cell>
        </row>
        <row r="474">
          <cell r="A474" t="str">
            <v>X018</v>
          </cell>
        </row>
        <row r="475">
          <cell r="A475" t="str">
            <v>X019</v>
          </cell>
        </row>
        <row r="476">
          <cell r="A476" t="str">
            <v>X020</v>
          </cell>
        </row>
        <row r="477">
          <cell r="A477" t="str">
            <v>X021</v>
          </cell>
        </row>
        <row r="478">
          <cell r="A478" t="str">
            <v>X022</v>
          </cell>
        </row>
        <row r="479">
          <cell r="A479" t="str">
            <v>X023</v>
          </cell>
        </row>
        <row r="480">
          <cell r="A480" t="str">
            <v>X024</v>
          </cell>
        </row>
        <row r="481">
          <cell r="A481" t="str">
            <v>X025</v>
          </cell>
        </row>
        <row r="482">
          <cell r="A482" t="str">
            <v>X026</v>
          </cell>
        </row>
        <row r="483">
          <cell r="A483" t="str">
            <v>X027</v>
          </cell>
        </row>
        <row r="484">
          <cell r="A484" t="str">
            <v>X028</v>
          </cell>
        </row>
        <row r="485">
          <cell r="A485" t="str">
            <v>X029</v>
          </cell>
        </row>
        <row r="486">
          <cell r="A486" t="str">
            <v>X030</v>
          </cell>
        </row>
        <row r="487">
          <cell r="A487" t="str">
            <v>X031</v>
          </cell>
        </row>
        <row r="488">
          <cell r="A488" t="str">
            <v>X032</v>
          </cell>
        </row>
        <row r="489">
          <cell r="A489" t="str">
            <v>X033</v>
          </cell>
        </row>
        <row r="490">
          <cell r="A490" t="str">
            <v>X034</v>
          </cell>
        </row>
        <row r="491">
          <cell r="A491" t="str">
            <v>X035</v>
          </cell>
        </row>
        <row r="492">
          <cell r="A492" t="str">
            <v>X036</v>
          </cell>
        </row>
        <row r="493">
          <cell r="A493" t="str">
            <v>X037</v>
          </cell>
        </row>
        <row r="494">
          <cell r="A494" t="str">
            <v>X038</v>
          </cell>
        </row>
        <row r="495">
          <cell r="A495" t="str">
            <v>X039</v>
          </cell>
        </row>
        <row r="496">
          <cell r="A496" t="str">
            <v>X040</v>
          </cell>
        </row>
        <row r="497">
          <cell r="A497" t="str">
            <v>X041</v>
          </cell>
        </row>
        <row r="498">
          <cell r="A498" t="str">
            <v>X042</v>
          </cell>
        </row>
        <row r="499">
          <cell r="A499" t="str">
            <v>X043</v>
          </cell>
        </row>
        <row r="500">
          <cell r="A500" t="str">
            <v>X044</v>
          </cell>
        </row>
        <row r="501">
          <cell r="A501" t="str">
            <v>X045</v>
          </cell>
        </row>
        <row r="502">
          <cell r="A502" t="str">
            <v>X046</v>
          </cell>
        </row>
        <row r="503">
          <cell r="A503" t="str">
            <v>X047</v>
          </cell>
        </row>
        <row r="504">
          <cell r="A504" t="str">
            <v>X048</v>
          </cell>
        </row>
        <row r="505">
          <cell r="A505" t="str">
            <v>X049</v>
          </cell>
        </row>
        <row r="506">
          <cell r="A506" t="str">
            <v>X050</v>
          </cell>
        </row>
        <row r="507">
          <cell r="A507" t="str">
            <v>F001</v>
          </cell>
          <cell r="B507" t="str">
            <v>دارایی ثابت</v>
          </cell>
          <cell r="C507" t="str">
            <v>زمین و ساختمان</v>
          </cell>
          <cell r="D507" t="str">
            <v>زمین باغدشت (نمونه)</v>
          </cell>
          <cell r="G507" t="str">
            <v>باغدشت</v>
          </cell>
          <cell r="H507" t="str">
            <v>دارایی ثابت شرکت — خرید/فروش با طرفِ این حساب (نمونه)</v>
          </cell>
          <cell r="J507" t="str">
            <v>عادی</v>
          </cell>
          <cell r="K507" t="str">
            <v>پایش کامل</v>
          </cell>
        </row>
        <row r="508">
          <cell r="A508" t="str">
            <v>F002</v>
          </cell>
          <cell r="B508" t="str">
            <v>دارایی ثابت</v>
          </cell>
          <cell r="C508" t="str">
            <v>خودرو و حمل‌ونقل</v>
          </cell>
          <cell r="D508" t="str">
            <v>خودرو وانت حمل بار (نمونه)</v>
          </cell>
          <cell r="H508" t="str">
            <v>دارایی ثابت شرکت (نمونه)</v>
          </cell>
          <cell r="J508" t="str">
            <v>عادی</v>
          </cell>
          <cell r="K508" t="str">
            <v>نمونه‌ای</v>
          </cell>
        </row>
        <row r="509">
          <cell r="A509" t="str">
            <v>F003</v>
          </cell>
          <cell r="B509" t="str">
            <v>دارایی ثابت</v>
          </cell>
          <cell r="C509" t="str">
            <v>ماشین‌آلات و تجهیزات</v>
          </cell>
          <cell r="D509" t="str">
            <v>ماشین‌آلات خط سورتینگ (نمونه)</v>
          </cell>
          <cell r="H509" t="str">
            <v>دارایی ثابت شرکت (نمونه)</v>
          </cell>
          <cell r="J509" t="str">
            <v>عادی</v>
          </cell>
          <cell r="K509" t="str">
            <v>نمونه‌ای</v>
          </cell>
        </row>
        <row r="510">
          <cell r="A510" t="str">
            <v>F004</v>
          </cell>
        </row>
        <row r="511">
          <cell r="A511" t="str">
            <v>F005</v>
          </cell>
        </row>
        <row r="512">
          <cell r="A512" t="str">
            <v>F006</v>
          </cell>
        </row>
        <row r="513">
          <cell r="A513" t="str">
            <v>F007</v>
          </cell>
        </row>
        <row r="514">
          <cell r="A514" t="str">
            <v>F008</v>
          </cell>
        </row>
        <row r="515">
          <cell r="A515" t="str">
            <v>F009</v>
          </cell>
        </row>
        <row r="516">
          <cell r="A516" t="str">
            <v>F010</v>
          </cell>
        </row>
        <row r="517">
          <cell r="A517" t="str">
            <v>F011</v>
          </cell>
        </row>
        <row r="518">
          <cell r="A518" t="str">
            <v>F012</v>
          </cell>
        </row>
        <row r="519">
          <cell r="A519" t="str">
            <v>F013</v>
          </cell>
        </row>
        <row r="520">
          <cell r="A520" t="str">
            <v>F014</v>
          </cell>
        </row>
        <row r="521">
          <cell r="A521" t="str">
            <v>F015</v>
          </cell>
        </row>
        <row r="522">
          <cell r="A522" t="str">
            <v>F016</v>
          </cell>
        </row>
        <row r="523">
          <cell r="A523" t="str">
            <v>F017</v>
          </cell>
        </row>
        <row r="524">
          <cell r="A524" t="str">
            <v>F018</v>
          </cell>
        </row>
        <row r="525">
          <cell r="A525" t="str">
            <v>F019</v>
          </cell>
        </row>
        <row r="526">
          <cell r="A526" t="str">
            <v>F020</v>
          </cell>
        </row>
        <row r="527">
          <cell r="A527" t="str">
            <v>F021</v>
          </cell>
        </row>
        <row r="528">
          <cell r="A528" t="str">
            <v>F022</v>
          </cell>
        </row>
        <row r="529">
          <cell r="A529" t="str">
            <v>F023</v>
          </cell>
        </row>
        <row r="530">
          <cell r="A530" t="str">
            <v>F024</v>
          </cell>
        </row>
        <row r="531">
          <cell r="A531" t="str">
            <v>F025</v>
          </cell>
        </row>
        <row r="532">
          <cell r="A532" t="str">
            <v>F026</v>
          </cell>
        </row>
        <row r="533">
          <cell r="A533" t="str">
            <v>F027</v>
          </cell>
        </row>
        <row r="534">
          <cell r="A534" t="str">
            <v>F028</v>
          </cell>
        </row>
        <row r="535">
          <cell r="A535" t="str">
            <v>F029</v>
          </cell>
        </row>
        <row r="536">
          <cell r="A536" t="str">
            <v>F030</v>
          </cell>
        </row>
        <row r="537">
          <cell r="A537" t="str">
            <v>L001</v>
          </cell>
          <cell r="B537" t="str">
            <v>وام و تسهیلات</v>
          </cell>
          <cell r="C537" t="str">
            <v>وام بانکی</v>
          </cell>
          <cell r="D537" t="str">
            <v>وام بانک ملت (نمونه)</v>
          </cell>
          <cell r="H537" t="str">
            <v>دریافت وام = واریز با این طرف؛ قسط = برداشت با این طرف؛ بهره = گروه هزینه (نمونه)</v>
          </cell>
          <cell r="J537" t="str">
            <v>کلیدی</v>
          </cell>
          <cell r="K537" t="str">
            <v>پایش کامل</v>
          </cell>
        </row>
        <row r="538">
          <cell r="A538" t="str">
            <v>L002</v>
          </cell>
        </row>
        <row r="539">
          <cell r="A539" t="str">
            <v>L003</v>
          </cell>
        </row>
        <row r="540">
          <cell r="A540" t="str">
            <v>L004</v>
          </cell>
        </row>
        <row r="541">
          <cell r="A541" t="str">
            <v>L005</v>
          </cell>
        </row>
        <row r="542">
          <cell r="A542" t="str">
            <v>L006</v>
          </cell>
        </row>
        <row r="543">
          <cell r="A543" t="str">
            <v>L007</v>
          </cell>
        </row>
        <row r="544">
          <cell r="A544" t="str">
            <v>L008</v>
          </cell>
        </row>
        <row r="545">
          <cell r="A545" t="str">
            <v>L009</v>
          </cell>
        </row>
        <row r="546">
          <cell r="A546" t="str">
            <v>L010</v>
          </cell>
        </row>
        <row r="547">
          <cell r="A547" t="str">
            <v>L011</v>
          </cell>
        </row>
        <row r="548">
          <cell r="A548" t="str">
            <v>L012</v>
          </cell>
        </row>
        <row r="549">
          <cell r="A549" t="str">
            <v>L013</v>
          </cell>
        </row>
        <row r="550">
          <cell r="A550" t="str">
            <v>L014</v>
          </cell>
        </row>
        <row r="551">
          <cell r="A551" t="str">
            <v>L015</v>
          </cell>
        </row>
        <row r="552">
          <cell r="A552" t="str">
            <v>L016</v>
          </cell>
        </row>
        <row r="553">
          <cell r="A553" t="str">
            <v>L017</v>
          </cell>
        </row>
        <row r="554">
          <cell r="A554" t="str">
            <v>L018</v>
          </cell>
        </row>
        <row r="555">
          <cell r="A555" t="str">
            <v>L019</v>
          </cell>
        </row>
        <row r="556">
          <cell r="A556" t="str">
            <v>L020</v>
          </cell>
        </row>
        <row r="557">
          <cell r="A557" t="str">
            <v>CAP001</v>
          </cell>
          <cell r="B557" t="str">
            <v>سرمایه و آورده صاحبان</v>
          </cell>
          <cell r="C557" t="str">
            <v>سرمایه اولیه و آورده نقدی</v>
          </cell>
          <cell r="D557" t="str">
            <v>سرمایه و آورده صاحبان (نمونه)</v>
          </cell>
          <cell r="H557" t="str">
            <v>آورده صاحب (مثل فروش دارایی شخصی) = واریز با این طرف؛ برداشت سرمایه = برداشت با این طرف (نمونه)</v>
          </cell>
          <cell r="J557" t="str">
            <v>کلیدی</v>
          </cell>
          <cell r="K557" t="str">
            <v>پایش کامل</v>
          </cell>
        </row>
        <row r="558">
          <cell r="A558" t="str">
            <v>CAP002</v>
          </cell>
        </row>
        <row r="559">
          <cell r="A559" t="str">
            <v>CAP003</v>
          </cell>
        </row>
        <row r="560">
          <cell r="A560" t="str">
            <v>CAP004</v>
          </cell>
        </row>
        <row r="561">
          <cell r="A561" t="str">
            <v>CAP005</v>
          </cell>
        </row>
        <row r="562">
          <cell r="A562" t="str">
            <v>CAP006</v>
          </cell>
        </row>
        <row r="563">
          <cell r="A563" t="str">
            <v>CAP007</v>
          </cell>
        </row>
        <row r="564">
          <cell r="A564" t="str">
            <v>CAP008</v>
          </cell>
        </row>
        <row r="565">
          <cell r="A565" t="str">
            <v>CAP009</v>
          </cell>
        </row>
        <row r="566">
          <cell r="A566" t="str">
            <v>CAP010</v>
          </cell>
        </row>
      </sheetData>
      <sheetData sheetId="9">
        <row r="7">
          <cell r="A7" t="str">
            <v>BANK01</v>
          </cell>
          <cell r="B7" t="str">
            <v>ملت — جاری شرکت</v>
          </cell>
          <cell r="C7">
            <v>500000000</v>
          </cell>
          <cell r="D7" t="str">
            <v>بله</v>
          </cell>
        </row>
        <row r="8">
          <cell r="A8" t="str">
            <v>BANK02</v>
          </cell>
          <cell r="B8" t="str">
            <v>صادرات — جاری شرکت</v>
          </cell>
          <cell r="C8">
            <v>120000000</v>
          </cell>
          <cell r="D8" t="str">
            <v>بله</v>
          </cell>
        </row>
        <row r="9">
          <cell r="A9" t="str">
            <v>BANK03</v>
          </cell>
          <cell r="B9" t="str">
            <v>حساب ۳ — تعریف نشده</v>
          </cell>
          <cell r="C9">
            <v>0</v>
          </cell>
          <cell r="D9" t="str">
            <v>بله</v>
          </cell>
        </row>
        <row r="10">
          <cell r="A10" t="str">
            <v>BANK04</v>
          </cell>
          <cell r="B10" t="str">
            <v>حساب ۴ — تعریف نشده</v>
          </cell>
          <cell r="C10">
            <v>0</v>
          </cell>
          <cell r="D10" t="str">
            <v>بله</v>
          </cell>
        </row>
        <row r="11">
          <cell r="A11" t="str">
            <v>BANK05</v>
          </cell>
          <cell r="B11" t="str">
            <v>حساب ۵ — تعریف نشده</v>
          </cell>
          <cell r="C11">
            <v>0</v>
          </cell>
          <cell r="D11" t="str">
            <v>بله</v>
          </cell>
        </row>
        <row r="12">
          <cell r="A12" t="str">
            <v>BANK06</v>
          </cell>
          <cell r="B12" t="str">
            <v>حساب ۶ — تعریف نشده</v>
          </cell>
          <cell r="C12">
            <v>0</v>
          </cell>
          <cell r="D12" t="str">
            <v>بله</v>
          </cell>
        </row>
        <row r="13">
          <cell r="A13" t="str">
            <v>BANK07</v>
          </cell>
          <cell r="B13" t="str">
            <v>حساب ۷ — تعریف نشده</v>
          </cell>
          <cell r="C13">
            <v>0</v>
          </cell>
          <cell r="D13" t="str">
            <v>بله</v>
          </cell>
        </row>
        <row r="14">
          <cell r="A14" t="str">
            <v>BANK08</v>
          </cell>
          <cell r="B14" t="str">
            <v>حساب ۸ — تعریف نشده</v>
          </cell>
          <cell r="C14">
            <v>0</v>
          </cell>
          <cell r="D14" t="str">
            <v>بله</v>
          </cell>
        </row>
        <row r="15">
          <cell r="A15" t="str">
            <v>BANK09</v>
          </cell>
          <cell r="B15" t="str">
            <v>حساب ۹ — تعریف نشده</v>
          </cell>
          <cell r="C15">
            <v>0</v>
          </cell>
          <cell r="D15" t="str">
            <v>بله</v>
          </cell>
        </row>
        <row r="16">
          <cell r="A16" t="str">
            <v>BANK10</v>
          </cell>
          <cell r="B16" t="str">
            <v>حساب ۱۰ — تعریف نشده</v>
          </cell>
          <cell r="C16">
            <v>0</v>
          </cell>
          <cell r="D16" t="str">
            <v>بله</v>
          </cell>
        </row>
      </sheetData>
      <sheetData sheetId="10"/>
      <sheetData sheetId="11">
        <row r="7">
          <cell r="A7" t="str">
            <v>T01</v>
          </cell>
          <cell r="B7" t="str">
            <v>واریز</v>
          </cell>
        </row>
        <row r="8">
          <cell r="A8" t="str">
            <v>T02</v>
          </cell>
          <cell r="B8" t="str">
            <v>برداشت</v>
          </cell>
        </row>
        <row r="9">
          <cell r="A9" t="str">
            <v>T03</v>
          </cell>
          <cell r="B9" t="str">
            <v>انتقال بین بانکی</v>
          </cell>
        </row>
        <row r="10">
          <cell r="A10" t="str">
            <v>T04</v>
          </cell>
          <cell r="B10" t="str">
            <v>اصلاحیه / تعدیل</v>
          </cell>
        </row>
        <row r="11">
          <cell r="A11" t="str">
            <v>T05</v>
          </cell>
          <cell r="B11" t="str">
            <v>پاس چک</v>
          </cell>
        </row>
        <row r="12">
          <cell r="A12" t="str">
            <v>T06</v>
          </cell>
          <cell r="B12" t="str">
            <v>سایر</v>
          </cell>
        </row>
        <row r="13">
          <cell r="A13" t="str">
            <v>T07</v>
          </cell>
        </row>
        <row r="14">
          <cell r="A14" t="str">
            <v>T08</v>
          </cell>
        </row>
        <row r="15">
          <cell r="A15" t="str">
            <v>T09</v>
          </cell>
        </row>
        <row r="16">
          <cell r="A16" t="str">
            <v>T10</v>
          </cell>
        </row>
        <row r="17">
          <cell r="A17" t="str">
            <v>T11</v>
          </cell>
        </row>
        <row r="18">
          <cell r="A18" t="str">
            <v>T12</v>
          </cell>
        </row>
        <row r="19">
          <cell r="A19" t="str">
            <v>T13</v>
          </cell>
        </row>
        <row r="20">
          <cell r="A20" t="str">
            <v>T14</v>
          </cell>
        </row>
      </sheetData>
      <sheetData sheetId="12">
        <row r="7">
          <cell r="A7" t="str">
            <v>OP01</v>
          </cell>
          <cell r="B7" t="str">
            <v>خرید مرکبات</v>
          </cell>
          <cell r="C7" t="str">
            <v>ورود</v>
          </cell>
          <cell r="D7" t="str">
            <v>خرید</v>
          </cell>
        </row>
        <row r="8">
          <cell r="A8" t="str">
            <v>OP02</v>
          </cell>
          <cell r="B8" t="str">
            <v>فروش</v>
          </cell>
          <cell r="C8" t="str">
            <v>خروج</v>
          </cell>
          <cell r="D8" t="str">
            <v>فروش</v>
          </cell>
        </row>
        <row r="9">
          <cell r="A9" t="str">
            <v>OP03</v>
          </cell>
          <cell r="B9" t="str">
            <v>مرجوعی خرید</v>
          </cell>
          <cell r="C9" t="str">
            <v>خروج</v>
          </cell>
          <cell r="D9" t="str">
            <v>خرید</v>
          </cell>
        </row>
        <row r="10">
          <cell r="A10" t="str">
            <v>OP04</v>
          </cell>
          <cell r="B10" t="str">
            <v>مرجوعی فروش</v>
          </cell>
          <cell r="C10" t="str">
            <v>ورود</v>
          </cell>
          <cell r="D10" t="str">
            <v>فروش</v>
          </cell>
        </row>
        <row r="11">
          <cell r="A11" t="str">
            <v>OP05</v>
          </cell>
          <cell r="B11" t="str">
            <v>انتقال به انبار دیگر</v>
          </cell>
          <cell r="C11" t="str">
            <v>خروج</v>
          </cell>
        </row>
        <row r="12">
          <cell r="A12" t="str">
            <v>OP06</v>
          </cell>
          <cell r="B12" t="str">
            <v>انتقال از انبار دیگر</v>
          </cell>
          <cell r="C12" t="str">
            <v>ورود</v>
          </cell>
        </row>
        <row r="13">
          <cell r="A13" t="str">
            <v>OP07</v>
          </cell>
          <cell r="B13" t="str">
            <v>سایر ورود</v>
          </cell>
          <cell r="C13" t="str">
            <v>ورود</v>
          </cell>
        </row>
        <row r="14">
          <cell r="A14" t="str">
            <v>OP08</v>
          </cell>
          <cell r="B14" t="str">
            <v>سایر خروج</v>
          </cell>
          <cell r="C14" t="str">
            <v>خروج</v>
          </cell>
        </row>
        <row r="15">
          <cell r="A15" t="str">
            <v>OP09</v>
          </cell>
        </row>
        <row r="16">
          <cell r="A16" t="str">
            <v>OP10</v>
          </cell>
        </row>
        <row r="17">
          <cell r="A17" t="str">
            <v>OP11</v>
          </cell>
        </row>
        <row r="18">
          <cell r="A18" t="str">
            <v>OP12</v>
          </cell>
        </row>
        <row r="19">
          <cell r="A19" t="str">
            <v>OP13</v>
          </cell>
        </row>
        <row r="20">
          <cell r="A20" t="str">
            <v>OP14</v>
          </cell>
        </row>
        <row r="21">
          <cell r="A21" t="str">
            <v>OP15</v>
          </cell>
        </row>
        <row r="22">
          <cell r="A22" t="str">
            <v>OP16</v>
          </cell>
        </row>
        <row r="23">
          <cell r="A23" t="str">
            <v>OP17</v>
          </cell>
        </row>
        <row r="24">
          <cell r="A24" t="str">
            <v>OP18</v>
          </cell>
        </row>
        <row r="25">
          <cell r="A25" t="str">
            <v>OP19</v>
          </cell>
        </row>
        <row r="26">
          <cell r="A26" t="str">
            <v>OP20</v>
          </cell>
        </row>
      </sheetData>
      <sheetData sheetId="13">
        <row r="7">
          <cell r="A7" t="str">
            <v>PB01</v>
          </cell>
          <cell r="B7" t="str">
            <v>پرتقال (عمومی)</v>
          </cell>
        </row>
        <row r="8">
          <cell r="A8" t="str">
            <v>PB02</v>
          </cell>
          <cell r="B8" t="str">
            <v>نارنگی</v>
          </cell>
        </row>
        <row r="9">
          <cell r="A9" t="str">
            <v>PB03</v>
          </cell>
          <cell r="B9" t="str">
            <v>لیمو ترش</v>
          </cell>
        </row>
        <row r="10">
          <cell r="A10" t="str">
            <v>PB04</v>
          </cell>
          <cell r="B10" t="str">
            <v>گریپ‌فرویت</v>
          </cell>
        </row>
        <row r="11">
          <cell r="A11" t="str">
            <v>PB05</v>
          </cell>
        </row>
        <row r="12">
          <cell r="A12" t="str">
            <v>PB06</v>
          </cell>
        </row>
        <row r="13">
          <cell r="A13" t="str">
            <v>PB07</v>
          </cell>
        </row>
        <row r="14">
          <cell r="A14" t="str">
            <v>PB08</v>
          </cell>
        </row>
        <row r="15">
          <cell r="A15" t="str">
            <v>PB09</v>
          </cell>
        </row>
        <row r="16">
          <cell r="A16" t="str">
            <v>PB10</v>
          </cell>
        </row>
        <row r="17">
          <cell r="A17" t="str">
            <v>PB11</v>
          </cell>
        </row>
        <row r="18">
          <cell r="A18" t="str">
            <v>PB12</v>
          </cell>
        </row>
        <row r="19">
          <cell r="A19" t="str">
            <v>PB13</v>
          </cell>
        </row>
        <row r="20">
          <cell r="A20" t="str">
            <v>PB14</v>
          </cell>
        </row>
        <row r="21">
          <cell r="A21" t="str">
            <v>PB15</v>
          </cell>
        </row>
        <row r="22">
          <cell r="A22" t="str">
            <v>PB16</v>
          </cell>
        </row>
        <row r="23">
          <cell r="A23" t="str">
            <v>PB17</v>
          </cell>
        </row>
        <row r="24">
          <cell r="A24" t="str">
            <v>PB18</v>
          </cell>
        </row>
        <row r="25">
          <cell r="A25" t="str">
            <v>PB19</v>
          </cell>
        </row>
        <row r="26">
          <cell r="A26" t="str">
            <v>PB20</v>
          </cell>
        </row>
        <row r="27">
          <cell r="A27" t="str">
            <v>PB21</v>
          </cell>
        </row>
        <row r="28">
          <cell r="A28" t="str">
            <v>PB22</v>
          </cell>
        </row>
        <row r="29">
          <cell r="A29" t="str">
            <v>PB23</v>
          </cell>
        </row>
        <row r="30">
          <cell r="A30" t="str">
            <v>PB24</v>
          </cell>
        </row>
        <row r="31">
          <cell r="A31" t="str">
            <v>PB25</v>
          </cell>
        </row>
        <row r="32">
          <cell r="A32" t="str">
            <v>PB26</v>
          </cell>
        </row>
        <row r="33">
          <cell r="A33" t="str">
            <v>PB27</v>
          </cell>
        </row>
        <row r="34">
          <cell r="A34" t="str">
            <v>PB28</v>
          </cell>
        </row>
        <row r="35">
          <cell r="A35" t="str">
            <v>PB29</v>
          </cell>
        </row>
        <row r="36">
          <cell r="A36" t="str">
            <v>PB30</v>
          </cell>
        </row>
        <row r="37">
          <cell r="A37" t="str">
            <v>PB31</v>
          </cell>
        </row>
        <row r="38">
          <cell r="A38" t="str">
            <v>PB32</v>
          </cell>
        </row>
        <row r="39">
          <cell r="A39" t="str">
            <v>PB33</v>
          </cell>
        </row>
        <row r="40">
          <cell r="A40" t="str">
            <v>PB34</v>
          </cell>
        </row>
        <row r="41">
          <cell r="A41" t="str">
            <v>PB35</v>
          </cell>
        </row>
        <row r="42">
          <cell r="A42" t="str">
            <v>PB36</v>
          </cell>
        </row>
        <row r="43">
          <cell r="A43" t="str">
            <v>PB37</v>
          </cell>
        </row>
        <row r="44">
          <cell r="A44" t="str">
            <v>PB38</v>
          </cell>
        </row>
        <row r="45">
          <cell r="A45" t="str">
            <v>PB39</v>
          </cell>
        </row>
        <row r="46">
          <cell r="A46" t="str">
            <v>PB40</v>
          </cell>
        </row>
        <row r="47">
          <cell r="A47" t="str">
            <v>PB41</v>
          </cell>
        </row>
        <row r="48">
          <cell r="A48" t="str">
            <v>PB42</v>
          </cell>
        </row>
        <row r="49">
          <cell r="A49" t="str">
            <v>PB43</v>
          </cell>
        </row>
        <row r="50">
          <cell r="A50" t="str">
            <v>PB44</v>
          </cell>
        </row>
        <row r="51">
          <cell r="A51" t="str">
            <v>PB45</v>
          </cell>
        </row>
        <row r="52">
          <cell r="A52" t="str">
            <v>PB46</v>
          </cell>
        </row>
        <row r="53">
          <cell r="A53" t="str">
            <v>PB47</v>
          </cell>
        </row>
        <row r="54">
          <cell r="A54" t="str">
            <v>PB48</v>
          </cell>
        </row>
        <row r="55">
          <cell r="A55" t="str">
            <v>PB49</v>
          </cell>
        </row>
        <row r="56">
          <cell r="A56" t="str">
            <v>PB50</v>
          </cell>
        </row>
        <row r="57">
          <cell r="A57" t="str">
            <v>PB51</v>
          </cell>
        </row>
        <row r="58">
          <cell r="A58" t="str">
            <v>PB52</v>
          </cell>
        </row>
        <row r="59">
          <cell r="A59" t="str">
            <v>PB53</v>
          </cell>
        </row>
        <row r="60">
          <cell r="A60" t="str">
            <v>PB54</v>
          </cell>
        </row>
        <row r="61">
          <cell r="A61" t="str">
            <v>PB55</v>
          </cell>
        </row>
        <row r="62">
          <cell r="A62" t="str">
            <v>PB56</v>
          </cell>
        </row>
        <row r="63">
          <cell r="A63" t="str">
            <v>PB57</v>
          </cell>
        </row>
        <row r="64">
          <cell r="A64" t="str">
            <v>PB58</v>
          </cell>
        </row>
        <row r="65">
          <cell r="A65" t="str">
            <v>PB59</v>
          </cell>
        </row>
        <row r="66">
          <cell r="A66" t="str">
            <v>PB60</v>
          </cell>
        </row>
        <row r="67">
          <cell r="A67" t="str">
            <v>PB61</v>
          </cell>
        </row>
        <row r="68">
          <cell r="A68" t="str">
            <v>PB62</v>
          </cell>
        </row>
        <row r="69">
          <cell r="A69" t="str">
            <v>PB63</v>
          </cell>
        </row>
        <row r="70">
          <cell r="A70" t="str">
            <v>PB64</v>
          </cell>
        </row>
        <row r="71">
          <cell r="A71" t="str">
            <v>PB65</v>
          </cell>
        </row>
        <row r="72">
          <cell r="A72" t="str">
            <v>PB66</v>
          </cell>
        </row>
        <row r="73">
          <cell r="A73" t="str">
            <v>PB67</v>
          </cell>
        </row>
        <row r="74">
          <cell r="A74" t="str">
            <v>PB68</v>
          </cell>
        </row>
        <row r="75">
          <cell r="A75" t="str">
            <v>PB69</v>
          </cell>
        </row>
        <row r="76">
          <cell r="A76" t="str">
            <v>PB70</v>
          </cell>
        </row>
        <row r="77">
          <cell r="A77" t="str">
            <v>PB71</v>
          </cell>
        </row>
        <row r="78">
          <cell r="A78" t="str">
            <v>PB72</v>
          </cell>
        </row>
        <row r="79">
          <cell r="A79" t="str">
            <v>PB73</v>
          </cell>
        </row>
        <row r="80">
          <cell r="A80" t="str">
            <v>PB74</v>
          </cell>
        </row>
        <row r="81">
          <cell r="A81" t="str">
            <v>PB75</v>
          </cell>
        </row>
        <row r="82">
          <cell r="A82" t="str">
            <v>PB76</v>
          </cell>
        </row>
        <row r="83">
          <cell r="A83" t="str">
            <v>PB77</v>
          </cell>
        </row>
        <row r="84">
          <cell r="A84" t="str">
            <v>PB78</v>
          </cell>
        </row>
        <row r="85">
          <cell r="A85" t="str">
            <v>PB79</v>
          </cell>
        </row>
        <row r="86">
          <cell r="A86" t="str">
            <v>PB80</v>
          </cell>
        </row>
        <row r="87">
          <cell r="A87" t="str">
            <v>PB81</v>
          </cell>
        </row>
        <row r="88">
          <cell r="A88" t="str">
            <v>PB82</v>
          </cell>
        </row>
        <row r="89">
          <cell r="A89" t="str">
            <v>PB83</v>
          </cell>
        </row>
        <row r="90">
          <cell r="A90" t="str">
            <v>PB84</v>
          </cell>
        </row>
        <row r="91">
          <cell r="A91" t="str">
            <v>PB85</v>
          </cell>
        </row>
        <row r="92">
          <cell r="A92" t="str">
            <v>PB86</v>
          </cell>
        </row>
        <row r="93">
          <cell r="A93" t="str">
            <v>PB87</v>
          </cell>
        </row>
        <row r="94">
          <cell r="A94" t="str">
            <v>PB88</v>
          </cell>
        </row>
        <row r="95">
          <cell r="A95" t="str">
            <v>PB89</v>
          </cell>
        </row>
        <row r="96">
          <cell r="A96" t="str">
            <v>PB90</v>
          </cell>
        </row>
        <row r="97">
          <cell r="A97" t="str">
            <v>PB91</v>
          </cell>
        </row>
        <row r="98">
          <cell r="A98" t="str">
            <v>PB92</v>
          </cell>
        </row>
        <row r="99">
          <cell r="A99" t="str">
            <v>PB93</v>
          </cell>
        </row>
        <row r="100">
          <cell r="A100" t="str">
            <v>PB94</v>
          </cell>
        </row>
        <row r="101">
          <cell r="A101" t="str">
            <v>PB95</v>
          </cell>
        </row>
        <row r="102">
          <cell r="A102" t="str">
            <v>PB96</v>
          </cell>
        </row>
        <row r="103">
          <cell r="A103" t="str">
            <v>PB97</v>
          </cell>
        </row>
        <row r="104">
          <cell r="A104" t="str">
            <v>PB98</v>
          </cell>
        </row>
        <row r="105">
          <cell r="A105" t="str">
            <v>PB99</v>
          </cell>
        </row>
        <row r="106">
          <cell r="A106" t="str">
            <v>PB100</v>
          </cell>
        </row>
      </sheetData>
      <sheetData sheetId="14">
        <row r="7">
          <cell r="A7" t="str">
            <v>PS01</v>
          </cell>
          <cell r="B7" t="str">
            <v>پرتقال درجه ۱ — بسته‌بندی</v>
          </cell>
          <cell r="C7" t="str">
            <v>پرتقال</v>
          </cell>
          <cell r="D7" t="str">
            <v>کیلوگرم</v>
          </cell>
          <cell r="E7" t="str">
            <v>BK03</v>
          </cell>
        </row>
        <row r="8">
          <cell r="A8" t="str">
            <v>PS02</v>
          </cell>
          <cell r="B8" t="str">
            <v>پرتقال درجه ۲ — عمومی</v>
          </cell>
          <cell r="C8" t="str">
            <v>پرتقال</v>
          </cell>
          <cell r="D8" t="str">
            <v>کیلوگرم</v>
          </cell>
          <cell r="E8" t="str">
            <v>BK02</v>
          </cell>
        </row>
        <row r="9">
          <cell r="A9" t="str">
            <v>PS03</v>
          </cell>
          <cell r="B9" t="str">
            <v>نارنگی درجه ۱ — بسته‌بندی</v>
          </cell>
          <cell r="C9" t="str">
            <v>نارنگی</v>
          </cell>
          <cell r="D9" t="str">
            <v>کیلوگرم</v>
          </cell>
          <cell r="E9" t="str">
            <v>BK03</v>
          </cell>
        </row>
        <row r="10">
          <cell r="A10" t="str">
            <v>PS04</v>
          </cell>
          <cell r="B10" t="str">
            <v>نارنگی عمومی</v>
          </cell>
          <cell r="C10" t="str">
            <v>نارنگی</v>
          </cell>
          <cell r="D10" t="str">
            <v>کیلوگرم</v>
          </cell>
          <cell r="E10" t="str">
            <v>BK01</v>
          </cell>
        </row>
        <row r="11">
          <cell r="A11" t="str">
            <v>PS05</v>
          </cell>
        </row>
        <row r="12">
          <cell r="A12" t="str">
            <v>PS06</v>
          </cell>
        </row>
        <row r="13">
          <cell r="A13" t="str">
            <v>PS07</v>
          </cell>
        </row>
        <row r="14">
          <cell r="A14" t="str">
            <v>PS08</v>
          </cell>
        </row>
        <row r="15">
          <cell r="A15" t="str">
            <v>PS09</v>
          </cell>
        </row>
        <row r="16">
          <cell r="A16" t="str">
            <v>PS10</v>
          </cell>
        </row>
        <row r="17">
          <cell r="A17" t="str">
            <v>PS11</v>
          </cell>
        </row>
        <row r="18">
          <cell r="A18" t="str">
            <v>PS12</v>
          </cell>
        </row>
        <row r="19">
          <cell r="A19" t="str">
            <v>PS13</v>
          </cell>
        </row>
        <row r="20">
          <cell r="A20" t="str">
            <v>PS14</v>
          </cell>
        </row>
        <row r="21">
          <cell r="A21" t="str">
            <v>PS15</v>
          </cell>
        </row>
        <row r="22">
          <cell r="A22" t="str">
            <v>PS16</v>
          </cell>
        </row>
        <row r="23">
          <cell r="A23" t="str">
            <v>PS17</v>
          </cell>
        </row>
        <row r="24">
          <cell r="A24" t="str">
            <v>PS18</v>
          </cell>
        </row>
        <row r="25">
          <cell r="A25" t="str">
            <v>PS19</v>
          </cell>
        </row>
        <row r="26">
          <cell r="A26" t="str">
            <v>PS20</v>
          </cell>
        </row>
        <row r="27">
          <cell r="A27" t="str">
            <v>PS21</v>
          </cell>
        </row>
        <row r="28">
          <cell r="A28" t="str">
            <v>PS22</v>
          </cell>
        </row>
        <row r="29">
          <cell r="A29" t="str">
            <v>PS23</v>
          </cell>
        </row>
        <row r="30">
          <cell r="A30" t="str">
            <v>PS24</v>
          </cell>
        </row>
        <row r="31">
          <cell r="A31" t="str">
            <v>PS25</v>
          </cell>
        </row>
        <row r="32">
          <cell r="A32" t="str">
            <v>PS26</v>
          </cell>
        </row>
        <row r="33">
          <cell r="A33" t="str">
            <v>PS27</v>
          </cell>
        </row>
        <row r="34">
          <cell r="A34" t="str">
            <v>PS28</v>
          </cell>
        </row>
        <row r="35">
          <cell r="A35" t="str">
            <v>PS29</v>
          </cell>
        </row>
        <row r="36">
          <cell r="A36" t="str">
            <v>PS30</v>
          </cell>
        </row>
        <row r="37">
          <cell r="A37" t="str">
            <v>PS31</v>
          </cell>
        </row>
        <row r="38">
          <cell r="A38" t="str">
            <v>PS32</v>
          </cell>
        </row>
        <row r="39">
          <cell r="A39" t="str">
            <v>PS33</v>
          </cell>
        </row>
        <row r="40">
          <cell r="A40" t="str">
            <v>PS34</v>
          </cell>
        </row>
        <row r="41">
          <cell r="A41" t="str">
            <v>PS35</v>
          </cell>
        </row>
        <row r="42">
          <cell r="A42" t="str">
            <v>PS36</v>
          </cell>
        </row>
        <row r="43">
          <cell r="A43" t="str">
            <v>PS37</v>
          </cell>
        </row>
        <row r="44">
          <cell r="A44" t="str">
            <v>PS38</v>
          </cell>
        </row>
        <row r="45">
          <cell r="A45" t="str">
            <v>PS39</v>
          </cell>
        </row>
        <row r="46">
          <cell r="A46" t="str">
            <v>PS40</v>
          </cell>
        </row>
        <row r="47">
          <cell r="A47" t="str">
            <v>PS41</v>
          </cell>
        </row>
        <row r="48">
          <cell r="A48" t="str">
            <v>PS42</v>
          </cell>
        </row>
        <row r="49">
          <cell r="A49" t="str">
            <v>PS43</v>
          </cell>
        </row>
        <row r="50">
          <cell r="A50" t="str">
            <v>PS44</v>
          </cell>
        </row>
        <row r="51">
          <cell r="A51" t="str">
            <v>PS45</v>
          </cell>
        </row>
        <row r="52">
          <cell r="A52" t="str">
            <v>PS46</v>
          </cell>
        </row>
        <row r="53">
          <cell r="A53" t="str">
            <v>PS47</v>
          </cell>
        </row>
        <row r="54">
          <cell r="A54" t="str">
            <v>PS48</v>
          </cell>
        </row>
        <row r="55">
          <cell r="A55" t="str">
            <v>PS49</v>
          </cell>
        </row>
        <row r="56">
          <cell r="A56" t="str">
            <v>PS50</v>
          </cell>
        </row>
        <row r="57">
          <cell r="A57" t="str">
            <v>PS51</v>
          </cell>
        </row>
        <row r="58">
          <cell r="A58" t="str">
            <v>PS52</v>
          </cell>
        </row>
        <row r="59">
          <cell r="A59" t="str">
            <v>PS53</v>
          </cell>
        </row>
        <row r="60">
          <cell r="A60" t="str">
            <v>PS54</v>
          </cell>
        </row>
        <row r="61">
          <cell r="A61" t="str">
            <v>PS55</v>
          </cell>
        </row>
        <row r="62">
          <cell r="A62" t="str">
            <v>PS56</v>
          </cell>
        </row>
        <row r="63">
          <cell r="A63" t="str">
            <v>PS57</v>
          </cell>
        </row>
        <row r="64">
          <cell r="A64" t="str">
            <v>PS58</v>
          </cell>
        </row>
        <row r="65">
          <cell r="A65" t="str">
            <v>PS59</v>
          </cell>
        </row>
        <row r="66">
          <cell r="A66" t="str">
            <v>PS60</v>
          </cell>
        </row>
        <row r="67">
          <cell r="A67" t="str">
            <v>PS61</v>
          </cell>
        </row>
        <row r="68">
          <cell r="A68" t="str">
            <v>PS62</v>
          </cell>
        </row>
        <row r="69">
          <cell r="A69" t="str">
            <v>PS63</v>
          </cell>
        </row>
        <row r="70">
          <cell r="A70" t="str">
            <v>PS64</v>
          </cell>
        </row>
        <row r="71">
          <cell r="A71" t="str">
            <v>PS65</v>
          </cell>
        </row>
        <row r="72">
          <cell r="A72" t="str">
            <v>PS66</v>
          </cell>
        </row>
        <row r="73">
          <cell r="A73" t="str">
            <v>PS67</v>
          </cell>
        </row>
        <row r="74">
          <cell r="A74" t="str">
            <v>PS68</v>
          </cell>
        </row>
        <row r="75">
          <cell r="A75" t="str">
            <v>PS69</v>
          </cell>
        </row>
        <row r="76">
          <cell r="A76" t="str">
            <v>PS70</v>
          </cell>
        </row>
        <row r="77">
          <cell r="A77" t="str">
            <v>PS71</v>
          </cell>
        </row>
        <row r="78">
          <cell r="A78" t="str">
            <v>PS72</v>
          </cell>
        </row>
        <row r="79">
          <cell r="A79" t="str">
            <v>PS73</v>
          </cell>
        </row>
        <row r="80">
          <cell r="A80" t="str">
            <v>PS74</v>
          </cell>
        </row>
        <row r="81">
          <cell r="A81" t="str">
            <v>PS75</v>
          </cell>
        </row>
        <row r="82">
          <cell r="A82" t="str">
            <v>PS76</v>
          </cell>
        </row>
        <row r="83">
          <cell r="A83" t="str">
            <v>PS77</v>
          </cell>
        </row>
        <row r="84">
          <cell r="A84" t="str">
            <v>PS78</v>
          </cell>
        </row>
        <row r="85">
          <cell r="A85" t="str">
            <v>PS79</v>
          </cell>
        </row>
        <row r="86">
          <cell r="A86" t="str">
            <v>PS80</v>
          </cell>
        </row>
        <row r="87">
          <cell r="A87" t="str">
            <v>PS81</v>
          </cell>
        </row>
        <row r="88">
          <cell r="A88" t="str">
            <v>PS82</v>
          </cell>
        </row>
        <row r="89">
          <cell r="A89" t="str">
            <v>PS83</v>
          </cell>
        </row>
        <row r="90">
          <cell r="A90" t="str">
            <v>PS84</v>
          </cell>
        </row>
        <row r="91">
          <cell r="A91" t="str">
            <v>PS85</v>
          </cell>
        </row>
        <row r="92">
          <cell r="A92" t="str">
            <v>PS86</v>
          </cell>
        </row>
        <row r="93">
          <cell r="A93" t="str">
            <v>PS87</v>
          </cell>
        </row>
        <row r="94">
          <cell r="A94" t="str">
            <v>PS88</v>
          </cell>
        </row>
        <row r="95">
          <cell r="A95" t="str">
            <v>PS89</v>
          </cell>
        </row>
        <row r="96">
          <cell r="A96" t="str">
            <v>PS90</v>
          </cell>
        </row>
        <row r="97">
          <cell r="A97" t="str">
            <v>PS91</v>
          </cell>
        </row>
        <row r="98">
          <cell r="A98" t="str">
            <v>PS92</v>
          </cell>
        </row>
        <row r="99">
          <cell r="A99" t="str">
            <v>PS93</v>
          </cell>
        </row>
        <row r="100">
          <cell r="A100" t="str">
            <v>PS94</v>
          </cell>
        </row>
        <row r="101">
          <cell r="A101" t="str">
            <v>PS95</v>
          </cell>
        </row>
        <row r="102">
          <cell r="A102" t="str">
            <v>PS96</v>
          </cell>
        </row>
        <row r="103">
          <cell r="A103" t="str">
            <v>PS97</v>
          </cell>
        </row>
        <row r="104">
          <cell r="A104" t="str">
            <v>PS98</v>
          </cell>
        </row>
        <row r="105">
          <cell r="A105" t="str">
            <v>PS99</v>
          </cell>
        </row>
        <row r="106">
          <cell r="A106" t="str">
            <v>PS100</v>
          </cell>
        </row>
      </sheetData>
      <sheetData sheetId="15">
        <row r="7">
          <cell r="A7" t="str">
            <v>BK01</v>
          </cell>
          <cell r="B7" t="str">
            <v>سبد ۵ کیلویی</v>
          </cell>
        </row>
        <row r="8">
          <cell r="A8" t="str">
            <v>BK02</v>
          </cell>
          <cell r="B8" t="str">
            <v>سبد ۱۰ کیلویی</v>
          </cell>
        </row>
        <row r="9">
          <cell r="A9" t="str">
            <v>BK03</v>
          </cell>
          <cell r="B9" t="str">
            <v>جعبه ۱۰ کیلویی</v>
          </cell>
        </row>
        <row r="10">
          <cell r="A10" t="str">
            <v>BK04</v>
          </cell>
        </row>
        <row r="11">
          <cell r="A11" t="str">
            <v>BK05</v>
          </cell>
        </row>
        <row r="12">
          <cell r="A12" t="str">
            <v>BK06</v>
          </cell>
        </row>
        <row r="13">
          <cell r="A13" t="str">
            <v>BK07</v>
          </cell>
        </row>
        <row r="14">
          <cell r="A14" t="str">
            <v>BK08</v>
          </cell>
        </row>
        <row r="15">
          <cell r="A15" t="str">
            <v>BK09</v>
          </cell>
        </row>
        <row r="16">
          <cell r="A16" t="str">
            <v>BK10</v>
          </cell>
        </row>
        <row r="17">
          <cell r="A17" t="str">
            <v>BK11</v>
          </cell>
        </row>
        <row r="18">
          <cell r="A18" t="str">
            <v>BK12</v>
          </cell>
        </row>
        <row r="19">
          <cell r="A19" t="str">
            <v>BK13</v>
          </cell>
        </row>
        <row r="20">
          <cell r="A20" t="str">
            <v>BK14</v>
          </cell>
        </row>
        <row r="21">
          <cell r="A21" t="str">
            <v>BK15</v>
          </cell>
        </row>
        <row r="22">
          <cell r="A22" t="str">
            <v>BK16</v>
          </cell>
        </row>
        <row r="23">
          <cell r="A23" t="str">
            <v>BK17</v>
          </cell>
        </row>
        <row r="24">
          <cell r="A24" t="str">
            <v>BK18</v>
          </cell>
        </row>
        <row r="25">
          <cell r="A25" t="str">
            <v>BK19</v>
          </cell>
        </row>
        <row r="26">
          <cell r="A26" t="str">
            <v>BK20</v>
          </cell>
        </row>
        <row r="27">
          <cell r="A27" t="str">
            <v>BK21</v>
          </cell>
        </row>
        <row r="28">
          <cell r="A28" t="str">
            <v>BK22</v>
          </cell>
        </row>
        <row r="29">
          <cell r="A29" t="str">
            <v>BK23</v>
          </cell>
        </row>
        <row r="30">
          <cell r="A30" t="str">
            <v>BK24</v>
          </cell>
        </row>
        <row r="31">
          <cell r="A31" t="str">
            <v>BK25</v>
          </cell>
        </row>
        <row r="32">
          <cell r="A32" t="str">
            <v>BK26</v>
          </cell>
        </row>
        <row r="33">
          <cell r="A33" t="str">
            <v>BK27</v>
          </cell>
        </row>
        <row r="34">
          <cell r="A34" t="str">
            <v>BK28</v>
          </cell>
        </row>
        <row r="35">
          <cell r="A35" t="str">
            <v>BK29</v>
          </cell>
        </row>
        <row r="36">
          <cell r="A36" t="str">
            <v>BK30</v>
          </cell>
        </row>
      </sheetData>
      <sheetData sheetId="16">
        <row r="7">
          <cell r="A7" t="str">
            <v>W01</v>
          </cell>
          <cell r="B7" t="str">
            <v>انبار اصلی (باغدشت)</v>
          </cell>
        </row>
        <row r="8">
          <cell r="A8" t="str">
            <v>W02</v>
          </cell>
          <cell r="B8" t="str">
            <v>سردخانه ۱</v>
          </cell>
        </row>
        <row r="9">
          <cell r="A9" t="str">
            <v>W03</v>
          </cell>
          <cell r="B9" t="str">
            <v>سایبان سورتینگ</v>
          </cell>
        </row>
        <row r="10">
          <cell r="A10" t="str">
            <v>W04</v>
          </cell>
        </row>
        <row r="11">
          <cell r="A11" t="str">
            <v>W05</v>
          </cell>
        </row>
        <row r="12">
          <cell r="A12" t="str">
            <v>W06</v>
          </cell>
        </row>
        <row r="13">
          <cell r="A13" t="str">
            <v>W07</v>
          </cell>
        </row>
        <row r="14">
          <cell r="A14" t="str">
            <v>W08</v>
          </cell>
        </row>
        <row r="15">
          <cell r="A15" t="str">
            <v>W09</v>
          </cell>
        </row>
        <row r="16">
          <cell r="A16" t="str">
            <v>W10</v>
          </cell>
        </row>
        <row r="17">
          <cell r="A17" t="str">
            <v>W11</v>
          </cell>
        </row>
        <row r="18">
          <cell r="A18" t="str">
            <v>W12</v>
          </cell>
        </row>
        <row r="19">
          <cell r="A19" t="str">
            <v>W13</v>
          </cell>
        </row>
        <row r="20">
          <cell r="A20" t="str">
            <v>W14</v>
          </cell>
        </row>
        <row r="21">
          <cell r="A21" t="str">
            <v>W15</v>
          </cell>
        </row>
      </sheetData>
      <sheetData sheetId="17">
        <row r="7">
          <cell r="A7" t="str">
            <v>کیلوگرم</v>
          </cell>
          <cell r="B7" t="str">
            <v>مدیرعامل</v>
          </cell>
          <cell r="C7" t="str">
            <v>پرتقال</v>
          </cell>
          <cell r="D7" t="str">
            <v>بله</v>
          </cell>
          <cell r="E7" t="str">
            <v>ورود</v>
          </cell>
        </row>
        <row r="8">
          <cell r="A8" t="str">
            <v>جعبه</v>
          </cell>
          <cell r="B8" t="str">
            <v>حسابدار</v>
          </cell>
          <cell r="C8" t="str">
            <v>نارنگی</v>
          </cell>
          <cell r="D8" t="str">
            <v>خیر</v>
          </cell>
          <cell r="E8" t="str">
            <v>خروج</v>
          </cell>
        </row>
        <row r="9">
          <cell r="A9" t="str">
            <v>سبد</v>
          </cell>
          <cell r="B9" t="str">
            <v>فروشنده</v>
          </cell>
          <cell r="C9" t="str">
            <v>لیمو</v>
          </cell>
        </row>
        <row r="10">
          <cell r="A10" t="str">
            <v>تن</v>
          </cell>
          <cell r="B10" t="str">
            <v>انباردار</v>
          </cell>
          <cell r="C10" t="str">
            <v>گریپ‌فرویت</v>
          </cell>
        </row>
        <row r="11">
          <cell r="A11" t="str">
            <v>عدد</v>
          </cell>
          <cell r="B11" t="str">
            <v>سرپرست خط</v>
          </cell>
          <cell r="C11" t="str">
            <v>گیلاس</v>
          </cell>
        </row>
        <row r="12">
          <cell r="B12" t="str">
            <v>کارگر</v>
          </cell>
          <cell r="C12" t="str">
            <v>سایر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>
  <externalBook r:id="rId1">
    <sheetNames>
      <sheetName val="Entry"/>
      <sheetName val="Bank1"/>
      <sheetName val="Bank2"/>
      <sheetName val="Bank3"/>
      <sheetName val="Bank4"/>
      <sheetName val="Bank5"/>
      <sheetName val="Bank6"/>
      <sheetName val="Bank7"/>
      <sheetName val="Bank8"/>
      <sheetName val="Bank9"/>
      <sheetName val="Bank10"/>
      <sheetName val="Summary"/>
      <sheetName val="Sync"/>
      <sheetName val="Calc"/>
      <sheetName val="Help"/>
    </sheetNames>
    <sheetDataSet>
      <sheetData sheetId="0">
        <row r="9">
          <cell r="C9" t="str">
            <v>1405/07/01</v>
          </cell>
          <cell r="D9" t="str">
            <v>08:30</v>
          </cell>
          <cell r="E9" t="str">
            <v>BANK01 – ملت — جاری شرکت</v>
          </cell>
          <cell r="G9" t="str">
            <v>C001</v>
          </cell>
          <cell r="J9" t="str">
            <v>واریز</v>
          </cell>
          <cell r="K9" t="str">
            <v>فروش</v>
          </cell>
          <cell r="M9">
            <v>250000000</v>
          </cell>
          <cell r="O9">
            <v>750000000</v>
          </cell>
          <cell r="R9" t="str">
            <v>واریز بابت خرید مرکبات (ردیف نمونه)</v>
          </cell>
        </row>
        <row r="10">
          <cell r="C10" t="str">
            <v>1405/07/01</v>
          </cell>
          <cell r="D10" t="str">
            <v>10:15</v>
          </cell>
          <cell r="E10" t="str">
            <v>BANK01 – ملت — جاری شرکت</v>
          </cell>
          <cell r="G10" t="str">
            <v>X001</v>
          </cell>
          <cell r="J10" t="str">
            <v>برداشت</v>
          </cell>
          <cell r="K10" t="str">
            <v>هزینه</v>
          </cell>
          <cell r="L10" t="str">
            <v>کارمزد بانکی</v>
          </cell>
          <cell r="N10">
            <v>1200000</v>
          </cell>
          <cell r="O10">
            <v>748800000</v>
          </cell>
          <cell r="R10" t="str">
            <v>کارمزد بانکی (نمونه)</v>
          </cell>
        </row>
        <row r="11">
          <cell r="C11" t="str">
            <v>1405/07/02</v>
          </cell>
          <cell r="D11" t="str">
            <v>09:00</v>
          </cell>
          <cell r="E11" t="str">
            <v>BANK01 – ملت — جاری شرکت</v>
          </cell>
          <cell r="G11" t="str">
            <v>S002</v>
          </cell>
          <cell r="J11" t="str">
            <v>برداشت</v>
          </cell>
          <cell r="K11" t="str">
            <v>خرید</v>
          </cell>
          <cell r="N11">
            <v>80000000</v>
          </cell>
          <cell r="O11">
            <v>668800000</v>
          </cell>
          <cell r="R11" t="str">
            <v>خرید پرتقال از میدان بار (نمونه)</v>
          </cell>
        </row>
        <row r="12">
          <cell r="C12" t="str">
            <v>1405/07/02</v>
          </cell>
          <cell r="D12" t="str">
            <v>12:45</v>
          </cell>
          <cell r="E12" t="str">
            <v>BANK02 – صادرات — جاری شرکت</v>
          </cell>
          <cell r="G12" t="str">
            <v>C002</v>
          </cell>
          <cell r="J12" t="str">
            <v>واریز</v>
          </cell>
          <cell r="K12" t="str">
            <v>فروش</v>
          </cell>
          <cell r="M12">
            <v>90000000</v>
          </cell>
          <cell r="O12">
            <v>215000000</v>
          </cell>
          <cell r="R12" t="str">
            <v>واریز مشتری — مغایرت عمدی برای نمایش × (نمونه)</v>
          </cell>
        </row>
        <row r="13">
          <cell r="C13" t="str">
            <v>1405/07/03</v>
          </cell>
          <cell r="D13" t="str">
            <v>11:20</v>
          </cell>
          <cell r="E13" t="str">
            <v>BANK02 – صادرات — جاری شرکت</v>
          </cell>
          <cell r="G13" t="str">
            <v>X003</v>
          </cell>
          <cell r="J13" t="str">
            <v>برداشت</v>
          </cell>
          <cell r="N13">
            <v>15000000</v>
          </cell>
          <cell r="R13" t="str">
            <v>برداشت نقدی به صندوق — بدون گروه (نمونه)</v>
          </cell>
        </row>
        <row r="14">
          <cell r="C14" t="str">
            <v>1405/07/01</v>
          </cell>
          <cell r="D14" t="str">
            <v>08:30</v>
          </cell>
          <cell r="E14" t="str">
            <v>BANK01 – ملت — جاری شرکت</v>
          </cell>
          <cell r="G14" t="str">
            <v>C001</v>
          </cell>
          <cell r="J14" t="str">
            <v>واریز</v>
          </cell>
          <cell r="K14" t="str">
            <v>فروش</v>
          </cell>
          <cell r="M14">
            <v>250000000</v>
          </cell>
          <cell r="O14">
            <v>750000000</v>
          </cell>
          <cell r="R14" t="str">
            <v>ردیف تکراری — اثر آن را بر ستون وضعیت ببینید (نمونه)</v>
          </cell>
        </row>
        <row r="15">
          <cell r="C15" t="str">
            <v>1405/07/04</v>
          </cell>
          <cell r="D15" t="str">
            <v>10:30</v>
          </cell>
          <cell r="E15" t="str">
            <v>BANK01 – ملت — جاری شرکت</v>
          </cell>
          <cell r="G15" t="str">
            <v>SL001</v>
          </cell>
          <cell r="J15" t="str">
            <v>واریز</v>
          </cell>
          <cell r="K15" t="str">
            <v>فروش</v>
          </cell>
          <cell r="M15">
            <v>300000000</v>
          </cell>
          <cell r="R15" t="str">
            <v>واریز فروشنده SL001 (نمونه)</v>
          </cell>
        </row>
        <row r="16">
          <cell r="C16" t="str">
            <v>1405/07/09</v>
          </cell>
          <cell r="D16" t="str">
            <v>11:30</v>
          </cell>
          <cell r="E16" t="str">
            <v>BANK02 – صادرات — جاری شرکت</v>
          </cell>
          <cell r="G16" t="str">
            <v>SL002</v>
          </cell>
          <cell r="J16" t="str">
            <v>واریز</v>
          </cell>
          <cell r="K16" t="str">
            <v>فروش</v>
          </cell>
          <cell r="M16">
            <v>1600000000</v>
          </cell>
          <cell r="R16" t="str">
            <v>تسویه فروشنده SL002 (نمونه)</v>
          </cell>
        </row>
        <row r="17">
          <cell r="C17" t="str">
            <v>1405/07/05</v>
          </cell>
          <cell r="D17" t="str">
            <v>13:00</v>
          </cell>
          <cell r="E17" t="str">
            <v>BANK01 – ملت — جاری شرکت</v>
          </cell>
          <cell r="G17" t="str">
            <v>E002</v>
          </cell>
          <cell r="J17" t="str">
            <v>برداشت</v>
          </cell>
          <cell r="K17" t="str">
            <v>هزینه</v>
          </cell>
          <cell r="L17" t="str">
            <v>دستمزد کارکنان</v>
          </cell>
          <cell r="N17">
            <v>25000000</v>
          </cell>
          <cell r="R17" t="str">
            <v>دستمزد هفتگی (نمونه)</v>
          </cell>
        </row>
        <row r="18">
          <cell r="C18" t="str">
            <v>1405/07/06</v>
          </cell>
          <cell r="D18" t="str">
            <v>16:30</v>
          </cell>
          <cell r="E18" t="str">
            <v>BANK02 – صادرات — جاری شرکت</v>
          </cell>
          <cell r="G18" t="str">
            <v>S002</v>
          </cell>
          <cell r="J18" t="str">
            <v>برداشت</v>
          </cell>
          <cell r="K18" t="str">
            <v>هزینه</v>
          </cell>
          <cell r="L18" t="str">
            <v>رنگ و واکس</v>
          </cell>
          <cell r="N18">
            <v>4500000</v>
          </cell>
          <cell r="R18" t="str">
            <v>خرید رنگ و واکس بسته‌بندی (نمونه)</v>
          </cell>
        </row>
        <row r="19">
          <cell r="C19" t="str">
            <v>1405/07/07</v>
          </cell>
          <cell r="D19" t="str">
            <v>09:15</v>
          </cell>
          <cell r="E19" t="str">
            <v>BANK01 – ملت — جاری شرکت</v>
          </cell>
          <cell r="G19" t="str">
            <v>E003</v>
          </cell>
          <cell r="J19" t="str">
            <v>برداشت</v>
          </cell>
          <cell r="K19" t="str">
            <v>هزینه</v>
          </cell>
          <cell r="L19" t="str">
            <v>مواد غذایی</v>
          </cell>
          <cell r="N19">
            <v>8000000</v>
          </cell>
          <cell r="R19" t="str">
            <v>خوراک سالن (نمونه)</v>
          </cell>
        </row>
        <row r="20">
          <cell r="C20" t="str">
            <v>1405/07/08</v>
          </cell>
          <cell r="D20" t="str">
            <v>12:00</v>
          </cell>
          <cell r="E20" t="str">
            <v>BANK01 – ملت — جاری شرکت</v>
          </cell>
          <cell r="G20" t="str">
            <v>E001</v>
          </cell>
          <cell r="J20" t="str">
            <v>برداشت</v>
          </cell>
          <cell r="K20" t="str">
            <v>شخصی قاسم</v>
          </cell>
          <cell r="N20">
            <v>20000000</v>
          </cell>
          <cell r="R20" t="str">
            <v>برداشت شخصی مدیریت (نمونه)</v>
          </cell>
        </row>
        <row r="21">
          <cell r="C21" t="str">
            <v>1405/07/07</v>
          </cell>
          <cell r="D21" t="str">
            <v>10:00</v>
          </cell>
          <cell r="E21" t="str">
            <v>BANK01 – ملت — جاری شرکت</v>
          </cell>
          <cell r="G21" t="str">
            <v>S001</v>
          </cell>
          <cell r="J21" t="str">
            <v>برداشت</v>
          </cell>
          <cell r="K21" t="str">
            <v>خرید</v>
          </cell>
          <cell r="N21">
            <v>15000000</v>
          </cell>
          <cell r="R21" t="str">
            <v>پیش‌پرداخت باغ آقای رستمی (نمونه)</v>
          </cell>
        </row>
        <row r="22">
          <cell r="C22" t="str">
            <v>1405/07/15</v>
          </cell>
          <cell r="D22" t="str">
            <v>09:00</v>
          </cell>
          <cell r="E22" t="str">
            <v>BANK01 – ملت — جاری شرکت</v>
          </cell>
          <cell r="G22" t="str">
            <v>S001</v>
          </cell>
          <cell r="J22" t="str">
            <v>پاس چک</v>
          </cell>
          <cell r="N22">
            <v>80000000</v>
          </cell>
          <cell r="R22" t="str">
            <v>پاس شدن چک ۲۴۰۱۲۳۴۵ — تسویه خرید باغ (نمونه)</v>
          </cell>
          <cell r="S22" t="str">
            <v>24012345</v>
          </cell>
        </row>
        <row r="23">
          <cell r="C23" t="str">
            <v>1405/07/11</v>
          </cell>
          <cell r="D23" t="str">
            <v>10:00</v>
          </cell>
          <cell r="E23" t="str">
            <v>BANK01 – ملت — جاری شرکت</v>
          </cell>
          <cell r="G23" t="str">
            <v>CAP001</v>
          </cell>
          <cell r="J23" t="str">
            <v>واریز</v>
          </cell>
          <cell r="K23" t="str">
            <v>سرمایه و آورده</v>
          </cell>
          <cell r="L23" t="str">
            <v>سرمایه اولیه و آورده نقدی</v>
          </cell>
          <cell r="M23">
            <v>400000000</v>
          </cell>
          <cell r="R23" t="str">
            <v>فروش زمین شخصی و آورده نقدی صاحب سرمایه (نمونه)</v>
          </cell>
        </row>
        <row r="24">
          <cell r="C24" t="str">
            <v>1405/07/12</v>
          </cell>
          <cell r="D24" t="str">
            <v>09:30</v>
          </cell>
          <cell r="E24" t="str">
            <v>BANK02 – صادرات — جاری شرکت</v>
          </cell>
          <cell r="G24" t="str">
            <v>L001</v>
          </cell>
          <cell r="J24" t="str">
            <v>واریز</v>
          </cell>
          <cell r="K24" t="str">
            <v>وام و تسهیلات</v>
          </cell>
          <cell r="M24">
            <v>200000000</v>
          </cell>
          <cell r="R24" t="str">
            <v>دریافت وام بانک ملت (نمونه)</v>
          </cell>
        </row>
        <row r="25">
          <cell r="C25" t="str">
            <v>1405/07/16</v>
          </cell>
          <cell r="D25" t="str">
            <v>10:00</v>
          </cell>
          <cell r="E25" t="str">
            <v>BANK02 – صادرات — جاری شرکت</v>
          </cell>
          <cell r="G25" t="str">
            <v>L001</v>
          </cell>
          <cell r="J25" t="str">
            <v>برداشت</v>
          </cell>
          <cell r="K25" t="str">
            <v>وام و تسهیلات</v>
          </cell>
          <cell r="N25">
            <v>20000000</v>
          </cell>
          <cell r="R25" t="str">
            <v>پرداخت قسط وام — اصل (نمونه)</v>
          </cell>
        </row>
        <row r="26">
          <cell r="C26" t="str">
            <v>1405/07/16</v>
          </cell>
          <cell r="D26" t="str">
            <v>10:05</v>
          </cell>
          <cell r="E26" t="str">
            <v>BANK01 – ملت — جاری شرکت</v>
          </cell>
          <cell r="G26" t="str">
            <v>L001</v>
          </cell>
          <cell r="J26" t="str">
            <v>برداشت</v>
          </cell>
          <cell r="K26" t="str">
            <v>هزینه</v>
          </cell>
          <cell r="L26" t="str">
            <v>بهره و کارمزد وام</v>
          </cell>
          <cell r="N26">
            <v>2000000</v>
          </cell>
          <cell r="R26" t="str">
            <v>بهره و کارمزد اقساط وام — گروه هزینه (نمونه)</v>
          </cell>
        </row>
        <row r="27">
          <cell r="C27" t="str">
            <v>1405/07/18</v>
          </cell>
          <cell r="D27" t="str">
            <v>11:00</v>
          </cell>
          <cell r="E27" t="str">
            <v>BANK01 – ملت — جاری شرکت</v>
          </cell>
          <cell r="G27" t="str">
            <v>F002</v>
          </cell>
          <cell r="J27" t="str">
            <v>برداشت</v>
          </cell>
          <cell r="K27" t="str">
            <v>دارایی ثابت</v>
          </cell>
          <cell r="N27">
            <v>150000000</v>
          </cell>
          <cell r="R27" t="str">
            <v>خرید خودرو وانت حمل بار — دارایی ثابت شرکت (نمونه)</v>
          </cell>
        </row>
        <row r="28">
          <cell r="C28" t="str">
            <v>1405/07/15</v>
          </cell>
          <cell r="D28" t="str">
            <v>10:30</v>
          </cell>
          <cell r="E28" t="str">
            <v>BANK01 – ملت — جاری شرکت</v>
          </cell>
          <cell r="G28" t="str">
            <v>S004</v>
          </cell>
          <cell r="J28" t="str">
            <v>برداشت</v>
          </cell>
          <cell r="K28" t="str">
            <v>خرید</v>
          </cell>
          <cell r="N28">
            <v>25000000</v>
          </cell>
          <cell r="R28" t="str">
            <v>پرداخت بابت سبد خریداری‌شده — تسویه فایل Baskets.xlsx (نمونه)</v>
          </cell>
        </row>
        <row r="29">
          <cell r="C29" t="str">
            <v>1405/07/20</v>
          </cell>
          <cell r="D29" t="str">
            <v>12:00</v>
          </cell>
          <cell r="E29" t="str">
            <v>BANK01 – ملت — جاری شرکت</v>
          </cell>
          <cell r="G29" t="str">
            <v>C099</v>
          </cell>
          <cell r="J29" t="str">
            <v>واریز</v>
          </cell>
          <cell r="K29" t="str">
            <v>فروش</v>
          </cell>
          <cell r="M29">
            <v>5000000</v>
          </cell>
          <cell r="R29" t="str">
            <v>مشتری جدید — هنوز در INFO تعریف نشده (نمونه برای شیت کنترل)</v>
          </cell>
        </row>
        <row r="30">
          <cell r="C30" t="str">
            <v>1405/07/21</v>
          </cell>
          <cell r="D30" t="str">
            <v>09:40</v>
          </cell>
          <cell r="E30" t="str">
            <v>BANK01 – ملت — جاری شرکت</v>
          </cell>
          <cell r="G30" t="str">
            <v>X003</v>
          </cell>
          <cell r="J30" t="str">
            <v>برداشت</v>
          </cell>
          <cell r="K30" t="str">
            <v>هزینه</v>
          </cell>
          <cell r="N30">
            <v>3000000</v>
          </cell>
          <cell r="R30" t="str">
            <v>هزینه بدون زیرگروه — برای نمایش در شیت کنترل (نمونه)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rgb="00558B2F"/>
    <outlinePr summaryBelow="1" summaryRight="1"/>
    <pageSetUpPr fitToPage="1"/>
  </sheetPr>
  <dimension ref="A1:L1008"/>
  <sheetViews>
    <sheetView showGridLines="0" rightToLeft="1" zoomScale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.5" customWidth="1" min="1" max="1"/>
    <col width="11" customWidth="1" min="2" max="2"/>
    <col width="7" customWidth="1" min="3" max="3"/>
    <col width="9" customWidth="1" min="4" max="4"/>
    <col width="11" customWidth="1" min="5" max="5"/>
    <col width="24" customWidth="1" min="6" max="6"/>
    <col width="15" customWidth="1" min="7" max="7"/>
    <col width="9" customWidth="1" min="8" max="8"/>
    <col width="12" customWidth="1" min="9" max="9"/>
    <col width="15" customWidth="1" min="10" max="10"/>
    <col width="17" customWidth="1" min="11" max="11"/>
    <col width="26" customWidth="1" min="12" max="12"/>
  </cols>
  <sheetData>
    <row r="1" ht="26" customHeight="1">
      <c r="A1" s="1">
        <f>IF(Sync!$N$6="","مازندشت",Sync!$N$6)&amp;" — "&amp;IF(Sync!$N$9="","سورتینگ و بسته‌بندی مرکبات",Sync!$N$9)</f>
        <v/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4" customHeight="1">
      <c r="A2" s="2">
        <f>IF(Sync!$N$7="","باغدشت، بخش مرکزی، شهرستان قائم‌شهر، استان مازندران، ایران",Sync!$N$7)&amp;"     |     MAZANDASHT · CITRUS SORTING &amp; PACKING"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4" customHeight="1">
      <c r="A3" s="3" t="inlineStr">
        <is>
          <t>دفتر سبد و ظروف — خرید سبد از فروشنده (هر ردیف = یک خرید)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40" customHeight="1">
      <c r="A4" s="4" t="inlineStr">
        <is>
          <t>هر ردیف: تاریخ، کد فروشنده سبد (از INFO ← Accounts — مثل S004)، نوع سبد (کشویی از INFO ← Baskets)، تعداد و فی. مبلغ و نام فروشنده و «مانده حساب» خودکار است: مانده = جمع خرید سبد تا این سطر − پرداخت‌های بانکی تا همین لحظه (به همه ردیف‌های همان حساب اعمال می‌شود). پرداخت به فروشنده را در Transactions.xlsx (برداشت با همان کد) ثبت کنید — اینجا خودش کم می‌شود.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7" ht="30" customHeight="1">
      <c r="A7" s="5" t="inlineStr">
        <is>
          <t>ردیف</t>
        </is>
      </c>
      <c r="B7" s="5" t="inlineStr">
        <is>
          <t>تاریخ</t>
        </is>
      </c>
      <c r="C7" s="5" t="inlineStr">
        <is>
          <t>ساعت</t>
        </is>
      </c>
      <c r="D7" s="5" t="inlineStr">
        <is>
          <t>شماره سند</t>
        </is>
      </c>
      <c r="E7" s="5" t="inlineStr">
        <is>
          <t>کد فروشنده</t>
        </is>
      </c>
      <c r="F7" s="5" t="inlineStr">
        <is>
          <t>نام فروشنده</t>
        </is>
      </c>
      <c r="G7" s="5" t="inlineStr">
        <is>
          <t>نوع سبد</t>
        </is>
      </c>
      <c r="H7" s="5" t="inlineStr">
        <is>
          <t>تعداد</t>
        </is>
      </c>
      <c r="I7" s="5" t="inlineStr">
        <is>
          <t>فی (ریال)</t>
        </is>
      </c>
      <c r="J7" s="5" t="inlineStr">
        <is>
          <t>مبلغ (ریال)</t>
        </is>
      </c>
      <c r="K7" s="5" t="inlineStr">
        <is>
          <t>مانده حساب (ریال)</t>
        </is>
      </c>
      <c r="L7" s="5" t="inlineStr">
        <is>
          <t>توضیحات</t>
        </is>
      </c>
    </row>
    <row r="8" ht="13" customHeight="1">
      <c r="A8" s="6" t="inlineStr">
        <is>
          <t>No.</t>
        </is>
      </c>
      <c r="B8" s="6" t="inlineStr">
        <is>
          <t>Date</t>
        </is>
      </c>
      <c r="C8" s="6" t="inlineStr">
        <is>
          <t>Time</t>
        </is>
      </c>
      <c r="D8" s="6" t="inlineStr">
        <is>
          <t>Doc</t>
        </is>
      </c>
      <c r="E8" s="6" t="inlineStr">
        <is>
          <t>Seller Code</t>
        </is>
      </c>
      <c r="F8" s="6" t="inlineStr">
        <is>
          <t>Seller Name</t>
        </is>
      </c>
      <c r="G8" s="6" t="inlineStr">
        <is>
          <t>Basket Type</t>
        </is>
      </c>
      <c r="H8" s="6" t="inlineStr">
        <is>
          <t>Qty</t>
        </is>
      </c>
      <c r="I8" s="6" t="inlineStr">
        <is>
          <t>Unit Price</t>
        </is>
      </c>
      <c r="J8" s="6" t="inlineStr">
        <is>
          <t>Amount</t>
        </is>
      </c>
      <c r="K8" s="6" t="inlineStr">
        <is>
          <t>Account Balance</t>
        </is>
      </c>
      <c r="L8" s="6" t="inlineStr">
        <is>
          <t>Notes</t>
        </is>
      </c>
    </row>
    <row r="9">
      <c r="A9" s="7">
        <f>IF($B9="","",COUNTA($B$9:$B9))</f>
        <v/>
      </c>
      <c r="B9" s="8" t="inlineStr">
        <is>
          <t>1405/07/02</t>
        </is>
      </c>
      <c r="C9" s="8" t="inlineStr">
        <is>
          <t>09:00</t>
        </is>
      </c>
      <c r="D9" s="8" t="inlineStr">
        <is>
          <t>SB-01</t>
        </is>
      </c>
      <c r="E9" s="8" t="inlineStr">
        <is>
          <t>S004</t>
        </is>
      </c>
      <c r="F9" s="7">
        <f>IF($E9="","",IFERROR(IF(VLOOKUP($E9,AcctTbl,4,0)="","",VLOOKUP($E9,AcctTbl,4,0)),"—"))</f>
        <v/>
      </c>
      <c r="G9" s="8" t="inlineStr">
        <is>
          <t>سبد ۵ کیلویی</t>
        </is>
      </c>
      <c r="H9" s="9" t="n">
        <v>500</v>
      </c>
      <c r="I9" s="9" t="n">
        <v>45000</v>
      </c>
      <c r="J9" s="10">
        <f>IF(OR($H9="",$I9=""),"",ROUND($H9*$I9,0))</f>
        <v/>
      </c>
      <c r="K9" s="10">
        <f>IF(OR($B9="",$E9="",Calc!$B6=""),"",SUMIFS(CalcAmtA,CalcPartyA,$E9,CalcKeyA,"&lt;="&amp;Calc!$B6)-SUMIFS(CalcWitB,CalcPartyB,$E9,CalcKeyB,"&lt;="&amp;Calc!$B6)+SUMIFS(CalcDepB,CalcPartyB,$E9,CalcKeyB,"&lt;="&amp;Calc!$B6))</f>
        <v/>
      </c>
      <c r="L9" s="8" t="inlineStr">
        <is>
          <t>خرید سبد از کارگاه (نمونه)</t>
        </is>
      </c>
    </row>
    <row r="10">
      <c r="A10" s="7">
        <f>IF($B10="","",COUNTA($B$9:$B10))</f>
        <v/>
      </c>
      <c r="B10" s="8" t="inlineStr">
        <is>
          <t>1405/07/09</t>
        </is>
      </c>
      <c r="C10" s="8" t="inlineStr">
        <is>
          <t>10:00</t>
        </is>
      </c>
      <c r="D10" s="8" t="inlineStr">
        <is>
          <t>SB-02</t>
        </is>
      </c>
      <c r="E10" s="8" t="inlineStr">
        <is>
          <t>S004</t>
        </is>
      </c>
      <c r="F10" s="7">
        <f>IF($E10="","",IFERROR(IF(VLOOKUP($E10,AcctTbl,4,0)="","",VLOOKUP($E10,AcctTbl,4,0)),"—"))</f>
        <v/>
      </c>
      <c r="G10" s="8" t="inlineStr">
        <is>
          <t>جعبه ۱۰ کیلویی</t>
        </is>
      </c>
      <c r="H10" s="9" t="n">
        <v>300</v>
      </c>
      <c r="I10" s="9" t="n">
        <v>80000</v>
      </c>
      <c r="J10" s="10">
        <f>IF(OR($H10="",$I10=""),"",ROUND($H10*$I10,0))</f>
        <v/>
      </c>
      <c r="K10" s="10">
        <f>IF(OR($B10="",$E10="",Calc!$B7=""),"",SUMIFS(CalcAmtA,CalcPartyA,$E10,CalcKeyA,"&lt;="&amp;Calc!$B7)-SUMIFS(CalcWitB,CalcPartyB,$E10,CalcKeyB,"&lt;="&amp;Calc!$B7)+SUMIFS(CalcDepB,CalcPartyB,$E10,CalcKeyB,"&lt;="&amp;Calc!$B7))</f>
        <v/>
      </c>
      <c r="L10" s="8" t="inlineStr">
        <is>
          <t>خرید جعبه کارتنی (نمونه)</t>
        </is>
      </c>
    </row>
    <row r="11">
      <c r="A11" s="7">
        <f>IF($B11="","",COUNTA($B$9:$B11))</f>
        <v/>
      </c>
      <c r="B11" s="8" t="inlineStr">
        <is>
          <t>1405/07/14</t>
        </is>
      </c>
      <c r="C11" s="8" t="inlineStr">
        <is>
          <t>11:00</t>
        </is>
      </c>
      <c r="D11" s="8" t="inlineStr">
        <is>
          <t>SB-03</t>
        </is>
      </c>
      <c r="E11" s="8" t="inlineStr">
        <is>
          <t>S004</t>
        </is>
      </c>
      <c r="F11" s="7">
        <f>IF($E11="","",IFERROR(IF(VLOOKUP($E11,AcctTbl,4,0)="","",VLOOKUP($E11,AcctTbl,4,0)),"—"))</f>
        <v/>
      </c>
      <c r="G11" s="8" t="inlineStr">
        <is>
          <t>سبد ۱۰ کیلویی</t>
        </is>
      </c>
      <c r="H11" s="9" t="n">
        <v>200</v>
      </c>
      <c r="I11" s="9" t="n">
        <v>60000</v>
      </c>
      <c r="J11" s="10">
        <f>IF(OR($H11="",$I11=""),"",ROUND($H11*$I11,0))</f>
        <v/>
      </c>
      <c r="K11" s="10">
        <f>IF(OR($B11="",$E11="",Calc!$B8=""),"",SUMIFS(CalcAmtA,CalcPartyA,$E11,CalcKeyA,"&lt;="&amp;Calc!$B8)-SUMIFS(CalcWitB,CalcPartyB,$E11,CalcKeyB,"&lt;="&amp;Calc!$B8)+SUMIFS(CalcDepB,CalcPartyB,$E11,CalcKeyB,"&lt;="&amp;Calc!$B8))</f>
        <v/>
      </c>
      <c r="L11" s="8" t="n"/>
    </row>
    <row r="12">
      <c r="A12" s="7">
        <f>IF($B12="","",COUNTA($B$9:$B12))</f>
        <v/>
      </c>
      <c r="B12" s="8" t="n"/>
      <c r="C12" s="8" t="n"/>
      <c r="D12" s="8" t="n"/>
      <c r="E12" s="8" t="n"/>
      <c r="F12" s="7">
        <f>IF($E12="","",IFERROR(IF(VLOOKUP($E12,AcctTbl,4,0)="","",VLOOKUP($E12,AcctTbl,4,0)),"—"))</f>
        <v/>
      </c>
      <c r="G12" s="8" t="n"/>
      <c r="H12" s="9" t="n"/>
      <c r="I12" s="9" t="n"/>
      <c r="J12" s="10">
        <f>IF(OR($H12="",$I12=""),"",ROUND($H12*$I12,0))</f>
        <v/>
      </c>
      <c r="K12" s="10">
        <f>IF(OR($B12="",$E12="",Calc!$B9=""),"",SUMIFS(CalcAmtA,CalcPartyA,$E12,CalcKeyA,"&lt;="&amp;Calc!$B9)-SUMIFS(CalcWitB,CalcPartyB,$E12,CalcKeyB,"&lt;="&amp;Calc!$B9)+SUMIFS(CalcDepB,CalcPartyB,$E12,CalcKeyB,"&lt;="&amp;Calc!$B9))</f>
        <v/>
      </c>
      <c r="L12" s="8" t="n"/>
    </row>
    <row r="13">
      <c r="A13" s="7">
        <f>IF($B13="","",COUNTA($B$9:$B13))</f>
        <v/>
      </c>
      <c r="B13" s="8" t="n"/>
      <c r="C13" s="8" t="n"/>
      <c r="D13" s="8" t="n"/>
      <c r="E13" s="8" t="n"/>
      <c r="F13" s="7">
        <f>IF($E13="","",IFERROR(IF(VLOOKUP($E13,AcctTbl,4,0)="","",VLOOKUP($E13,AcctTbl,4,0)),"—"))</f>
        <v/>
      </c>
      <c r="G13" s="8" t="n"/>
      <c r="H13" s="9" t="n"/>
      <c r="I13" s="9" t="n"/>
      <c r="J13" s="10">
        <f>IF(OR($H13="",$I13=""),"",ROUND($H13*$I13,0))</f>
        <v/>
      </c>
      <c r="K13" s="10">
        <f>IF(OR($B13="",$E13="",Calc!$B10=""),"",SUMIFS(CalcAmtA,CalcPartyA,$E13,CalcKeyA,"&lt;="&amp;Calc!$B10)-SUMIFS(CalcWitB,CalcPartyB,$E13,CalcKeyB,"&lt;="&amp;Calc!$B10)+SUMIFS(CalcDepB,CalcPartyB,$E13,CalcKeyB,"&lt;="&amp;Calc!$B10))</f>
        <v/>
      </c>
      <c r="L13" s="8" t="n"/>
    </row>
    <row r="14">
      <c r="A14" s="7">
        <f>IF($B14="","",COUNTA($B$9:$B14))</f>
        <v/>
      </c>
      <c r="B14" s="8" t="n"/>
      <c r="C14" s="8" t="n"/>
      <c r="D14" s="8" t="n"/>
      <c r="E14" s="8" t="n"/>
      <c r="F14" s="7">
        <f>IF($E14="","",IFERROR(IF(VLOOKUP($E14,AcctTbl,4,0)="","",VLOOKUP($E14,AcctTbl,4,0)),"—"))</f>
        <v/>
      </c>
      <c r="G14" s="8" t="n"/>
      <c r="H14" s="9" t="n"/>
      <c r="I14" s="9" t="n"/>
      <c r="J14" s="10">
        <f>IF(OR($H14="",$I14=""),"",ROUND($H14*$I14,0))</f>
        <v/>
      </c>
      <c r="K14" s="10">
        <f>IF(OR($B14="",$E14="",Calc!$B11=""),"",SUMIFS(CalcAmtA,CalcPartyA,$E14,CalcKeyA,"&lt;="&amp;Calc!$B11)-SUMIFS(CalcWitB,CalcPartyB,$E14,CalcKeyB,"&lt;="&amp;Calc!$B11)+SUMIFS(CalcDepB,CalcPartyB,$E14,CalcKeyB,"&lt;="&amp;Calc!$B11))</f>
        <v/>
      </c>
      <c r="L14" s="8" t="n"/>
    </row>
    <row r="15">
      <c r="A15" s="7">
        <f>IF($B15="","",COUNTA($B$9:$B15))</f>
        <v/>
      </c>
      <c r="B15" s="8" t="n"/>
      <c r="C15" s="8" t="n"/>
      <c r="D15" s="8" t="n"/>
      <c r="E15" s="8" t="n"/>
      <c r="F15" s="7">
        <f>IF($E15="","",IFERROR(IF(VLOOKUP($E15,AcctTbl,4,0)="","",VLOOKUP($E15,AcctTbl,4,0)),"—"))</f>
        <v/>
      </c>
      <c r="G15" s="8" t="n"/>
      <c r="H15" s="9" t="n"/>
      <c r="I15" s="9" t="n"/>
      <c r="J15" s="10">
        <f>IF(OR($H15="",$I15=""),"",ROUND($H15*$I15,0))</f>
        <v/>
      </c>
      <c r="K15" s="10">
        <f>IF(OR($B15="",$E15="",Calc!$B12=""),"",SUMIFS(CalcAmtA,CalcPartyA,$E15,CalcKeyA,"&lt;="&amp;Calc!$B12)-SUMIFS(CalcWitB,CalcPartyB,$E15,CalcKeyB,"&lt;="&amp;Calc!$B12)+SUMIFS(CalcDepB,CalcPartyB,$E15,CalcKeyB,"&lt;="&amp;Calc!$B12))</f>
        <v/>
      </c>
      <c r="L15" s="8" t="n"/>
    </row>
    <row r="16">
      <c r="A16" s="7">
        <f>IF($B16="","",COUNTA($B$9:$B16))</f>
        <v/>
      </c>
      <c r="B16" s="8" t="n"/>
      <c r="C16" s="8" t="n"/>
      <c r="D16" s="8" t="n"/>
      <c r="E16" s="8" t="n"/>
      <c r="F16" s="7">
        <f>IF($E16="","",IFERROR(IF(VLOOKUP($E16,AcctTbl,4,0)="","",VLOOKUP($E16,AcctTbl,4,0)),"—"))</f>
        <v/>
      </c>
      <c r="G16" s="8" t="n"/>
      <c r="H16" s="9" t="n"/>
      <c r="I16" s="9" t="n"/>
      <c r="J16" s="10">
        <f>IF(OR($H16="",$I16=""),"",ROUND($H16*$I16,0))</f>
        <v/>
      </c>
      <c r="K16" s="10">
        <f>IF(OR($B16="",$E16="",Calc!$B13=""),"",SUMIFS(CalcAmtA,CalcPartyA,$E16,CalcKeyA,"&lt;="&amp;Calc!$B13)-SUMIFS(CalcWitB,CalcPartyB,$E16,CalcKeyB,"&lt;="&amp;Calc!$B13)+SUMIFS(CalcDepB,CalcPartyB,$E16,CalcKeyB,"&lt;="&amp;Calc!$B13))</f>
        <v/>
      </c>
      <c r="L16" s="8" t="n"/>
    </row>
    <row r="17">
      <c r="A17" s="7">
        <f>IF($B17="","",COUNTA($B$9:$B17))</f>
        <v/>
      </c>
      <c r="B17" s="8" t="n"/>
      <c r="C17" s="8" t="n"/>
      <c r="D17" s="8" t="n"/>
      <c r="E17" s="8" t="n"/>
      <c r="F17" s="7">
        <f>IF($E17="","",IFERROR(IF(VLOOKUP($E17,AcctTbl,4,0)="","",VLOOKUP($E17,AcctTbl,4,0)),"—"))</f>
        <v/>
      </c>
      <c r="G17" s="8" t="n"/>
      <c r="H17" s="9" t="n"/>
      <c r="I17" s="9" t="n"/>
      <c r="J17" s="10">
        <f>IF(OR($H17="",$I17=""),"",ROUND($H17*$I17,0))</f>
        <v/>
      </c>
      <c r="K17" s="10">
        <f>IF(OR($B17="",$E17="",Calc!$B14=""),"",SUMIFS(CalcAmtA,CalcPartyA,$E17,CalcKeyA,"&lt;="&amp;Calc!$B14)-SUMIFS(CalcWitB,CalcPartyB,$E17,CalcKeyB,"&lt;="&amp;Calc!$B14)+SUMIFS(CalcDepB,CalcPartyB,$E17,CalcKeyB,"&lt;="&amp;Calc!$B14))</f>
        <v/>
      </c>
      <c r="L17" s="8" t="n"/>
    </row>
    <row r="18">
      <c r="A18" s="7">
        <f>IF($B18="","",COUNTA($B$9:$B18))</f>
        <v/>
      </c>
      <c r="B18" s="8" t="n"/>
      <c r="C18" s="8" t="n"/>
      <c r="D18" s="8" t="n"/>
      <c r="E18" s="8" t="n"/>
      <c r="F18" s="7">
        <f>IF($E18="","",IFERROR(IF(VLOOKUP($E18,AcctTbl,4,0)="","",VLOOKUP($E18,AcctTbl,4,0)),"—"))</f>
        <v/>
      </c>
      <c r="G18" s="8" t="n"/>
      <c r="H18" s="9" t="n"/>
      <c r="I18" s="9" t="n"/>
      <c r="J18" s="10">
        <f>IF(OR($H18="",$I18=""),"",ROUND($H18*$I18,0))</f>
        <v/>
      </c>
      <c r="K18" s="10">
        <f>IF(OR($B18="",$E18="",Calc!$B15=""),"",SUMIFS(CalcAmtA,CalcPartyA,$E18,CalcKeyA,"&lt;="&amp;Calc!$B15)-SUMIFS(CalcWitB,CalcPartyB,$E18,CalcKeyB,"&lt;="&amp;Calc!$B15)+SUMIFS(CalcDepB,CalcPartyB,$E18,CalcKeyB,"&lt;="&amp;Calc!$B15))</f>
        <v/>
      </c>
      <c r="L18" s="8" t="n"/>
    </row>
    <row r="19">
      <c r="A19" s="7">
        <f>IF($B19="","",COUNTA($B$9:$B19))</f>
        <v/>
      </c>
      <c r="B19" s="8" t="n"/>
      <c r="C19" s="8" t="n"/>
      <c r="D19" s="8" t="n"/>
      <c r="E19" s="8" t="n"/>
      <c r="F19" s="7">
        <f>IF($E19="","",IFERROR(IF(VLOOKUP($E19,AcctTbl,4,0)="","",VLOOKUP($E19,AcctTbl,4,0)),"—"))</f>
        <v/>
      </c>
      <c r="G19" s="8" t="n"/>
      <c r="H19" s="9" t="n"/>
      <c r="I19" s="9" t="n"/>
      <c r="J19" s="10">
        <f>IF(OR($H19="",$I19=""),"",ROUND($H19*$I19,0))</f>
        <v/>
      </c>
      <c r="K19" s="10">
        <f>IF(OR($B19="",$E19="",Calc!$B16=""),"",SUMIFS(CalcAmtA,CalcPartyA,$E19,CalcKeyA,"&lt;="&amp;Calc!$B16)-SUMIFS(CalcWitB,CalcPartyB,$E19,CalcKeyB,"&lt;="&amp;Calc!$B16)+SUMIFS(CalcDepB,CalcPartyB,$E19,CalcKeyB,"&lt;="&amp;Calc!$B16))</f>
        <v/>
      </c>
      <c r="L19" s="8" t="n"/>
    </row>
    <row r="20">
      <c r="A20" s="7">
        <f>IF($B20="","",COUNTA($B$9:$B20))</f>
        <v/>
      </c>
      <c r="B20" s="8" t="n"/>
      <c r="C20" s="8" t="n"/>
      <c r="D20" s="8" t="n"/>
      <c r="E20" s="8" t="n"/>
      <c r="F20" s="7">
        <f>IF($E20="","",IFERROR(IF(VLOOKUP($E20,AcctTbl,4,0)="","",VLOOKUP($E20,AcctTbl,4,0)),"—"))</f>
        <v/>
      </c>
      <c r="G20" s="8" t="n"/>
      <c r="H20" s="9" t="n"/>
      <c r="I20" s="9" t="n"/>
      <c r="J20" s="10">
        <f>IF(OR($H20="",$I20=""),"",ROUND($H20*$I20,0))</f>
        <v/>
      </c>
      <c r="K20" s="10">
        <f>IF(OR($B20="",$E20="",Calc!$B17=""),"",SUMIFS(CalcAmtA,CalcPartyA,$E20,CalcKeyA,"&lt;="&amp;Calc!$B17)-SUMIFS(CalcWitB,CalcPartyB,$E20,CalcKeyB,"&lt;="&amp;Calc!$B17)+SUMIFS(CalcDepB,CalcPartyB,$E20,CalcKeyB,"&lt;="&amp;Calc!$B17))</f>
        <v/>
      </c>
      <c r="L20" s="8" t="n"/>
    </row>
    <row r="21">
      <c r="A21" s="7">
        <f>IF($B21="","",COUNTA($B$9:$B21))</f>
        <v/>
      </c>
      <c r="B21" s="8" t="n"/>
      <c r="C21" s="8" t="n"/>
      <c r="D21" s="8" t="n"/>
      <c r="E21" s="8" t="n"/>
      <c r="F21" s="7">
        <f>IF($E21="","",IFERROR(IF(VLOOKUP($E21,AcctTbl,4,0)="","",VLOOKUP($E21,AcctTbl,4,0)),"—"))</f>
        <v/>
      </c>
      <c r="G21" s="8" t="n"/>
      <c r="H21" s="9" t="n"/>
      <c r="I21" s="9" t="n"/>
      <c r="J21" s="10">
        <f>IF(OR($H21="",$I21=""),"",ROUND($H21*$I21,0))</f>
        <v/>
      </c>
      <c r="K21" s="10">
        <f>IF(OR($B21="",$E21="",Calc!$B18=""),"",SUMIFS(CalcAmtA,CalcPartyA,$E21,CalcKeyA,"&lt;="&amp;Calc!$B18)-SUMIFS(CalcWitB,CalcPartyB,$E21,CalcKeyB,"&lt;="&amp;Calc!$B18)+SUMIFS(CalcDepB,CalcPartyB,$E21,CalcKeyB,"&lt;="&amp;Calc!$B18))</f>
        <v/>
      </c>
      <c r="L21" s="8" t="n"/>
    </row>
    <row r="22">
      <c r="A22" s="7">
        <f>IF($B22="","",COUNTA($B$9:$B22))</f>
        <v/>
      </c>
      <c r="B22" s="8" t="n"/>
      <c r="C22" s="8" t="n"/>
      <c r="D22" s="8" t="n"/>
      <c r="E22" s="8" t="n"/>
      <c r="F22" s="7">
        <f>IF($E22="","",IFERROR(IF(VLOOKUP($E22,AcctTbl,4,0)="","",VLOOKUP($E22,AcctTbl,4,0)),"—"))</f>
        <v/>
      </c>
      <c r="G22" s="8" t="n"/>
      <c r="H22" s="9" t="n"/>
      <c r="I22" s="9" t="n"/>
      <c r="J22" s="10">
        <f>IF(OR($H22="",$I22=""),"",ROUND($H22*$I22,0))</f>
        <v/>
      </c>
      <c r="K22" s="10">
        <f>IF(OR($B22="",$E22="",Calc!$B19=""),"",SUMIFS(CalcAmtA,CalcPartyA,$E22,CalcKeyA,"&lt;="&amp;Calc!$B19)-SUMIFS(CalcWitB,CalcPartyB,$E22,CalcKeyB,"&lt;="&amp;Calc!$B19)+SUMIFS(CalcDepB,CalcPartyB,$E22,CalcKeyB,"&lt;="&amp;Calc!$B19))</f>
        <v/>
      </c>
      <c r="L22" s="8" t="n"/>
    </row>
    <row r="23">
      <c r="A23" s="7">
        <f>IF($B23="","",COUNTA($B$9:$B23))</f>
        <v/>
      </c>
      <c r="B23" s="8" t="n"/>
      <c r="C23" s="8" t="n"/>
      <c r="D23" s="8" t="n"/>
      <c r="E23" s="8" t="n"/>
      <c r="F23" s="7">
        <f>IF($E23="","",IFERROR(IF(VLOOKUP($E23,AcctTbl,4,0)="","",VLOOKUP($E23,AcctTbl,4,0)),"—"))</f>
        <v/>
      </c>
      <c r="G23" s="8" t="n"/>
      <c r="H23" s="9" t="n"/>
      <c r="I23" s="9" t="n"/>
      <c r="J23" s="10">
        <f>IF(OR($H23="",$I23=""),"",ROUND($H23*$I23,0))</f>
        <v/>
      </c>
      <c r="K23" s="10">
        <f>IF(OR($B23="",$E23="",Calc!$B20=""),"",SUMIFS(CalcAmtA,CalcPartyA,$E23,CalcKeyA,"&lt;="&amp;Calc!$B20)-SUMIFS(CalcWitB,CalcPartyB,$E23,CalcKeyB,"&lt;="&amp;Calc!$B20)+SUMIFS(CalcDepB,CalcPartyB,$E23,CalcKeyB,"&lt;="&amp;Calc!$B20))</f>
        <v/>
      </c>
      <c r="L23" s="8" t="n"/>
    </row>
    <row r="24">
      <c r="A24" s="7">
        <f>IF($B24="","",COUNTA($B$9:$B24))</f>
        <v/>
      </c>
      <c r="B24" s="8" t="n"/>
      <c r="C24" s="8" t="n"/>
      <c r="D24" s="8" t="n"/>
      <c r="E24" s="8" t="n"/>
      <c r="F24" s="7">
        <f>IF($E24="","",IFERROR(IF(VLOOKUP($E24,AcctTbl,4,0)="","",VLOOKUP($E24,AcctTbl,4,0)),"—"))</f>
        <v/>
      </c>
      <c r="G24" s="8" t="n"/>
      <c r="H24" s="9" t="n"/>
      <c r="I24" s="9" t="n"/>
      <c r="J24" s="10">
        <f>IF(OR($H24="",$I24=""),"",ROUND($H24*$I24,0))</f>
        <v/>
      </c>
      <c r="K24" s="10">
        <f>IF(OR($B24="",$E24="",Calc!$B21=""),"",SUMIFS(CalcAmtA,CalcPartyA,$E24,CalcKeyA,"&lt;="&amp;Calc!$B21)-SUMIFS(CalcWitB,CalcPartyB,$E24,CalcKeyB,"&lt;="&amp;Calc!$B21)+SUMIFS(CalcDepB,CalcPartyB,$E24,CalcKeyB,"&lt;="&amp;Calc!$B21))</f>
        <v/>
      </c>
      <c r="L24" s="8" t="n"/>
    </row>
    <row r="25">
      <c r="A25" s="7">
        <f>IF($B25="","",COUNTA($B$9:$B25))</f>
        <v/>
      </c>
      <c r="B25" s="8" t="n"/>
      <c r="C25" s="8" t="n"/>
      <c r="D25" s="8" t="n"/>
      <c r="E25" s="8" t="n"/>
      <c r="F25" s="7">
        <f>IF($E25="","",IFERROR(IF(VLOOKUP($E25,AcctTbl,4,0)="","",VLOOKUP($E25,AcctTbl,4,0)),"—"))</f>
        <v/>
      </c>
      <c r="G25" s="8" t="n"/>
      <c r="H25" s="9" t="n"/>
      <c r="I25" s="9" t="n"/>
      <c r="J25" s="10">
        <f>IF(OR($H25="",$I25=""),"",ROUND($H25*$I25,0))</f>
        <v/>
      </c>
      <c r="K25" s="10">
        <f>IF(OR($B25="",$E25="",Calc!$B22=""),"",SUMIFS(CalcAmtA,CalcPartyA,$E25,CalcKeyA,"&lt;="&amp;Calc!$B22)-SUMIFS(CalcWitB,CalcPartyB,$E25,CalcKeyB,"&lt;="&amp;Calc!$B22)+SUMIFS(CalcDepB,CalcPartyB,$E25,CalcKeyB,"&lt;="&amp;Calc!$B22))</f>
        <v/>
      </c>
      <c r="L25" s="8" t="n"/>
    </row>
    <row r="26">
      <c r="A26" s="7">
        <f>IF($B26="","",COUNTA($B$9:$B26))</f>
        <v/>
      </c>
      <c r="B26" s="8" t="n"/>
      <c r="C26" s="8" t="n"/>
      <c r="D26" s="8" t="n"/>
      <c r="E26" s="8" t="n"/>
      <c r="F26" s="7">
        <f>IF($E26="","",IFERROR(IF(VLOOKUP($E26,AcctTbl,4,0)="","",VLOOKUP($E26,AcctTbl,4,0)),"—"))</f>
        <v/>
      </c>
      <c r="G26" s="8" t="n"/>
      <c r="H26" s="9" t="n"/>
      <c r="I26" s="9" t="n"/>
      <c r="J26" s="10">
        <f>IF(OR($H26="",$I26=""),"",ROUND($H26*$I26,0))</f>
        <v/>
      </c>
      <c r="K26" s="10">
        <f>IF(OR($B26="",$E26="",Calc!$B23=""),"",SUMIFS(CalcAmtA,CalcPartyA,$E26,CalcKeyA,"&lt;="&amp;Calc!$B23)-SUMIFS(CalcWitB,CalcPartyB,$E26,CalcKeyB,"&lt;="&amp;Calc!$B23)+SUMIFS(CalcDepB,CalcPartyB,$E26,CalcKeyB,"&lt;="&amp;Calc!$B23))</f>
        <v/>
      </c>
      <c r="L26" s="8" t="n"/>
    </row>
    <row r="27">
      <c r="A27" s="7">
        <f>IF($B27="","",COUNTA($B$9:$B27))</f>
        <v/>
      </c>
      <c r="B27" s="8" t="n"/>
      <c r="C27" s="8" t="n"/>
      <c r="D27" s="8" t="n"/>
      <c r="E27" s="8" t="n"/>
      <c r="F27" s="7">
        <f>IF($E27="","",IFERROR(IF(VLOOKUP($E27,AcctTbl,4,0)="","",VLOOKUP($E27,AcctTbl,4,0)),"—"))</f>
        <v/>
      </c>
      <c r="G27" s="8" t="n"/>
      <c r="H27" s="9" t="n"/>
      <c r="I27" s="9" t="n"/>
      <c r="J27" s="10">
        <f>IF(OR($H27="",$I27=""),"",ROUND($H27*$I27,0))</f>
        <v/>
      </c>
      <c r="K27" s="10">
        <f>IF(OR($B27="",$E27="",Calc!$B24=""),"",SUMIFS(CalcAmtA,CalcPartyA,$E27,CalcKeyA,"&lt;="&amp;Calc!$B24)-SUMIFS(CalcWitB,CalcPartyB,$E27,CalcKeyB,"&lt;="&amp;Calc!$B24)+SUMIFS(CalcDepB,CalcPartyB,$E27,CalcKeyB,"&lt;="&amp;Calc!$B24))</f>
        <v/>
      </c>
      <c r="L27" s="8" t="n"/>
    </row>
    <row r="28">
      <c r="A28" s="7">
        <f>IF($B28="","",COUNTA($B$9:$B28))</f>
        <v/>
      </c>
      <c r="B28" s="8" t="n"/>
      <c r="C28" s="8" t="n"/>
      <c r="D28" s="8" t="n"/>
      <c r="E28" s="8" t="n"/>
      <c r="F28" s="7">
        <f>IF($E28="","",IFERROR(IF(VLOOKUP($E28,AcctTbl,4,0)="","",VLOOKUP($E28,AcctTbl,4,0)),"—"))</f>
        <v/>
      </c>
      <c r="G28" s="8" t="n"/>
      <c r="H28" s="9" t="n"/>
      <c r="I28" s="9" t="n"/>
      <c r="J28" s="10">
        <f>IF(OR($H28="",$I28=""),"",ROUND($H28*$I28,0))</f>
        <v/>
      </c>
      <c r="K28" s="10">
        <f>IF(OR($B28="",$E28="",Calc!$B25=""),"",SUMIFS(CalcAmtA,CalcPartyA,$E28,CalcKeyA,"&lt;="&amp;Calc!$B25)-SUMIFS(CalcWitB,CalcPartyB,$E28,CalcKeyB,"&lt;="&amp;Calc!$B25)+SUMIFS(CalcDepB,CalcPartyB,$E28,CalcKeyB,"&lt;="&amp;Calc!$B25))</f>
        <v/>
      </c>
      <c r="L28" s="8" t="n"/>
    </row>
    <row r="29">
      <c r="A29" s="7">
        <f>IF($B29="","",COUNTA($B$9:$B29))</f>
        <v/>
      </c>
      <c r="B29" s="8" t="n"/>
      <c r="C29" s="8" t="n"/>
      <c r="D29" s="8" t="n"/>
      <c r="E29" s="8" t="n"/>
      <c r="F29" s="7">
        <f>IF($E29="","",IFERROR(IF(VLOOKUP($E29,AcctTbl,4,0)="","",VLOOKUP($E29,AcctTbl,4,0)),"—"))</f>
        <v/>
      </c>
      <c r="G29" s="8" t="n"/>
      <c r="H29" s="9" t="n"/>
      <c r="I29" s="9" t="n"/>
      <c r="J29" s="10">
        <f>IF(OR($H29="",$I29=""),"",ROUND($H29*$I29,0))</f>
        <v/>
      </c>
      <c r="K29" s="10">
        <f>IF(OR($B29="",$E29="",Calc!$B26=""),"",SUMIFS(CalcAmtA,CalcPartyA,$E29,CalcKeyA,"&lt;="&amp;Calc!$B26)-SUMIFS(CalcWitB,CalcPartyB,$E29,CalcKeyB,"&lt;="&amp;Calc!$B26)+SUMIFS(CalcDepB,CalcPartyB,$E29,CalcKeyB,"&lt;="&amp;Calc!$B26))</f>
        <v/>
      </c>
      <c r="L29" s="8" t="n"/>
    </row>
    <row r="30">
      <c r="A30" s="7">
        <f>IF($B30="","",COUNTA($B$9:$B30))</f>
        <v/>
      </c>
      <c r="B30" s="8" t="n"/>
      <c r="C30" s="8" t="n"/>
      <c r="D30" s="8" t="n"/>
      <c r="E30" s="8" t="n"/>
      <c r="F30" s="7">
        <f>IF($E30="","",IFERROR(IF(VLOOKUP($E30,AcctTbl,4,0)="","",VLOOKUP($E30,AcctTbl,4,0)),"—"))</f>
        <v/>
      </c>
      <c r="G30" s="8" t="n"/>
      <c r="H30" s="9" t="n"/>
      <c r="I30" s="9" t="n"/>
      <c r="J30" s="10">
        <f>IF(OR($H30="",$I30=""),"",ROUND($H30*$I30,0))</f>
        <v/>
      </c>
      <c r="K30" s="10">
        <f>IF(OR($B30="",$E30="",Calc!$B27=""),"",SUMIFS(CalcAmtA,CalcPartyA,$E30,CalcKeyA,"&lt;="&amp;Calc!$B27)-SUMIFS(CalcWitB,CalcPartyB,$E30,CalcKeyB,"&lt;="&amp;Calc!$B27)+SUMIFS(CalcDepB,CalcPartyB,$E30,CalcKeyB,"&lt;="&amp;Calc!$B27))</f>
        <v/>
      </c>
      <c r="L30" s="8" t="n"/>
    </row>
    <row r="31">
      <c r="A31" s="7">
        <f>IF($B31="","",COUNTA($B$9:$B31))</f>
        <v/>
      </c>
      <c r="B31" s="8" t="n"/>
      <c r="C31" s="8" t="n"/>
      <c r="D31" s="8" t="n"/>
      <c r="E31" s="8" t="n"/>
      <c r="F31" s="7">
        <f>IF($E31="","",IFERROR(IF(VLOOKUP($E31,AcctTbl,4,0)="","",VLOOKUP($E31,AcctTbl,4,0)),"—"))</f>
        <v/>
      </c>
      <c r="G31" s="8" t="n"/>
      <c r="H31" s="9" t="n"/>
      <c r="I31" s="9" t="n"/>
      <c r="J31" s="10">
        <f>IF(OR($H31="",$I31=""),"",ROUND($H31*$I31,0))</f>
        <v/>
      </c>
      <c r="K31" s="10">
        <f>IF(OR($B31="",$E31="",Calc!$B28=""),"",SUMIFS(CalcAmtA,CalcPartyA,$E31,CalcKeyA,"&lt;="&amp;Calc!$B28)-SUMIFS(CalcWitB,CalcPartyB,$E31,CalcKeyB,"&lt;="&amp;Calc!$B28)+SUMIFS(CalcDepB,CalcPartyB,$E31,CalcKeyB,"&lt;="&amp;Calc!$B28))</f>
        <v/>
      </c>
      <c r="L31" s="8" t="n"/>
    </row>
    <row r="32">
      <c r="A32" s="7">
        <f>IF($B32="","",COUNTA($B$9:$B32))</f>
        <v/>
      </c>
      <c r="B32" s="8" t="n"/>
      <c r="C32" s="8" t="n"/>
      <c r="D32" s="8" t="n"/>
      <c r="E32" s="8" t="n"/>
      <c r="F32" s="7">
        <f>IF($E32="","",IFERROR(IF(VLOOKUP($E32,AcctTbl,4,0)="","",VLOOKUP($E32,AcctTbl,4,0)),"—"))</f>
        <v/>
      </c>
      <c r="G32" s="8" t="n"/>
      <c r="H32" s="9" t="n"/>
      <c r="I32" s="9" t="n"/>
      <c r="J32" s="10">
        <f>IF(OR($H32="",$I32=""),"",ROUND($H32*$I32,0))</f>
        <v/>
      </c>
      <c r="K32" s="10">
        <f>IF(OR($B32="",$E32="",Calc!$B29=""),"",SUMIFS(CalcAmtA,CalcPartyA,$E32,CalcKeyA,"&lt;="&amp;Calc!$B29)-SUMIFS(CalcWitB,CalcPartyB,$E32,CalcKeyB,"&lt;="&amp;Calc!$B29)+SUMIFS(CalcDepB,CalcPartyB,$E32,CalcKeyB,"&lt;="&amp;Calc!$B29))</f>
        <v/>
      </c>
      <c r="L32" s="8" t="n"/>
    </row>
    <row r="33">
      <c r="A33" s="7">
        <f>IF($B33="","",COUNTA($B$9:$B33))</f>
        <v/>
      </c>
      <c r="B33" s="8" t="n"/>
      <c r="C33" s="8" t="n"/>
      <c r="D33" s="8" t="n"/>
      <c r="E33" s="8" t="n"/>
      <c r="F33" s="7">
        <f>IF($E33="","",IFERROR(IF(VLOOKUP($E33,AcctTbl,4,0)="","",VLOOKUP($E33,AcctTbl,4,0)),"—"))</f>
        <v/>
      </c>
      <c r="G33" s="8" t="n"/>
      <c r="H33" s="9" t="n"/>
      <c r="I33" s="9" t="n"/>
      <c r="J33" s="10">
        <f>IF(OR($H33="",$I33=""),"",ROUND($H33*$I33,0))</f>
        <v/>
      </c>
      <c r="K33" s="10">
        <f>IF(OR($B33="",$E33="",Calc!$B30=""),"",SUMIFS(CalcAmtA,CalcPartyA,$E33,CalcKeyA,"&lt;="&amp;Calc!$B30)-SUMIFS(CalcWitB,CalcPartyB,$E33,CalcKeyB,"&lt;="&amp;Calc!$B30)+SUMIFS(CalcDepB,CalcPartyB,$E33,CalcKeyB,"&lt;="&amp;Calc!$B30))</f>
        <v/>
      </c>
      <c r="L33" s="8" t="n"/>
    </row>
    <row r="34">
      <c r="A34" s="7">
        <f>IF($B34="","",COUNTA($B$9:$B34))</f>
        <v/>
      </c>
      <c r="B34" s="8" t="n"/>
      <c r="C34" s="8" t="n"/>
      <c r="D34" s="8" t="n"/>
      <c r="E34" s="8" t="n"/>
      <c r="F34" s="7">
        <f>IF($E34="","",IFERROR(IF(VLOOKUP($E34,AcctTbl,4,0)="","",VLOOKUP($E34,AcctTbl,4,0)),"—"))</f>
        <v/>
      </c>
      <c r="G34" s="8" t="n"/>
      <c r="H34" s="9" t="n"/>
      <c r="I34" s="9" t="n"/>
      <c r="J34" s="10">
        <f>IF(OR($H34="",$I34=""),"",ROUND($H34*$I34,0))</f>
        <v/>
      </c>
      <c r="K34" s="10">
        <f>IF(OR($B34="",$E34="",Calc!$B31=""),"",SUMIFS(CalcAmtA,CalcPartyA,$E34,CalcKeyA,"&lt;="&amp;Calc!$B31)-SUMIFS(CalcWitB,CalcPartyB,$E34,CalcKeyB,"&lt;="&amp;Calc!$B31)+SUMIFS(CalcDepB,CalcPartyB,$E34,CalcKeyB,"&lt;="&amp;Calc!$B31))</f>
        <v/>
      </c>
      <c r="L34" s="8" t="n"/>
    </row>
    <row r="35">
      <c r="A35" s="7">
        <f>IF($B35="","",COUNTA($B$9:$B35))</f>
        <v/>
      </c>
      <c r="B35" s="8" t="n"/>
      <c r="C35" s="8" t="n"/>
      <c r="D35" s="8" t="n"/>
      <c r="E35" s="8" t="n"/>
      <c r="F35" s="7">
        <f>IF($E35="","",IFERROR(IF(VLOOKUP($E35,AcctTbl,4,0)="","",VLOOKUP($E35,AcctTbl,4,0)),"—"))</f>
        <v/>
      </c>
      <c r="G35" s="8" t="n"/>
      <c r="H35" s="9" t="n"/>
      <c r="I35" s="9" t="n"/>
      <c r="J35" s="10">
        <f>IF(OR($H35="",$I35=""),"",ROUND($H35*$I35,0))</f>
        <v/>
      </c>
      <c r="K35" s="10">
        <f>IF(OR($B35="",$E35="",Calc!$B32=""),"",SUMIFS(CalcAmtA,CalcPartyA,$E35,CalcKeyA,"&lt;="&amp;Calc!$B32)-SUMIFS(CalcWitB,CalcPartyB,$E35,CalcKeyB,"&lt;="&amp;Calc!$B32)+SUMIFS(CalcDepB,CalcPartyB,$E35,CalcKeyB,"&lt;="&amp;Calc!$B32))</f>
        <v/>
      </c>
      <c r="L35" s="8" t="n"/>
    </row>
    <row r="36">
      <c r="A36" s="7">
        <f>IF($B36="","",COUNTA($B$9:$B36))</f>
        <v/>
      </c>
      <c r="B36" s="8" t="n"/>
      <c r="C36" s="8" t="n"/>
      <c r="D36" s="8" t="n"/>
      <c r="E36" s="8" t="n"/>
      <c r="F36" s="7">
        <f>IF($E36="","",IFERROR(IF(VLOOKUP($E36,AcctTbl,4,0)="","",VLOOKUP($E36,AcctTbl,4,0)),"—"))</f>
        <v/>
      </c>
      <c r="G36" s="8" t="n"/>
      <c r="H36" s="9" t="n"/>
      <c r="I36" s="9" t="n"/>
      <c r="J36" s="10">
        <f>IF(OR($H36="",$I36=""),"",ROUND($H36*$I36,0))</f>
        <v/>
      </c>
      <c r="K36" s="10">
        <f>IF(OR($B36="",$E36="",Calc!$B33=""),"",SUMIFS(CalcAmtA,CalcPartyA,$E36,CalcKeyA,"&lt;="&amp;Calc!$B33)-SUMIFS(CalcWitB,CalcPartyB,$E36,CalcKeyB,"&lt;="&amp;Calc!$B33)+SUMIFS(CalcDepB,CalcPartyB,$E36,CalcKeyB,"&lt;="&amp;Calc!$B33))</f>
        <v/>
      </c>
      <c r="L36" s="8" t="n"/>
    </row>
    <row r="37">
      <c r="A37" s="7">
        <f>IF($B37="","",COUNTA($B$9:$B37))</f>
        <v/>
      </c>
      <c r="B37" s="8" t="n"/>
      <c r="C37" s="8" t="n"/>
      <c r="D37" s="8" t="n"/>
      <c r="E37" s="8" t="n"/>
      <c r="F37" s="7">
        <f>IF($E37="","",IFERROR(IF(VLOOKUP($E37,AcctTbl,4,0)="","",VLOOKUP($E37,AcctTbl,4,0)),"—"))</f>
        <v/>
      </c>
      <c r="G37" s="8" t="n"/>
      <c r="H37" s="9" t="n"/>
      <c r="I37" s="9" t="n"/>
      <c r="J37" s="10">
        <f>IF(OR($H37="",$I37=""),"",ROUND($H37*$I37,0))</f>
        <v/>
      </c>
      <c r="K37" s="10">
        <f>IF(OR($B37="",$E37="",Calc!$B34=""),"",SUMIFS(CalcAmtA,CalcPartyA,$E37,CalcKeyA,"&lt;="&amp;Calc!$B34)-SUMIFS(CalcWitB,CalcPartyB,$E37,CalcKeyB,"&lt;="&amp;Calc!$B34)+SUMIFS(CalcDepB,CalcPartyB,$E37,CalcKeyB,"&lt;="&amp;Calc!$B34))</f>
        <v/>
      </c>
      <c r="L37" s="8" t="n"/>
    </row>
    <row r="38">
      <c r="A38" s="7">
        <f>IF($B38="","",COUNTA($B$9:$B38))</f>
        <v/>
      </c>
      <c r="B38" s="8" t="n"/>
      <c r="C38" s="8" t="n"/>
      <c r="D38" s="8" t="n"/>
      <c r="E38" s="8" t="n"/>
      <c r="F38" s="7">
        <f>IF($E38="","",IFERROR(IF(VLOOKUP($E38,AcctTbl,4,0)="","",VLOOKUP($E38,AcctTbl,4,0)),"—"))</f>
        <v/>
      </c>
      <c r="G38" s="8" t="n"/>
      <c r="H38" s="9" t="n"/>
      <c r="I38" s="9" t="n"/>
      <c r="J38" s="10">
        <f>IF(OR($H38="",$I38=""),"",ROUND($H38*$I38,0))</f>
        <v/>
      </c>
      <c r="K38" s="10">
        <f>IF(OR($B38="",$E38="",Calc!$B35=""),"",SUMIFS(CalcAmtA,CalcPartyA,$E38,CalcKeyA,"&lt;="&amp;Calc!$B35)-SUMIFS(CalcWitB,CalcPartyB,$E38,CalcKeyB,"&lt;="&amp;Calc!$B35)+SUMIFS(CalcDepB,CalcPartyB,$E38,CalcKeyB,"&lt;="&amp;Calc!$B35))</f>
        <v/>
      </c>
      <c r="L38" s="8" t="n"/>
    </row>
    <row r="39">
      <c r="A39" s="7">
        <f>IF($B39="","",COUNTA($B$9:$B39))</f>
        <v/>
      </c>
      <c r="B39" s="8" t="n"/>
      <c r="C39" s="8" t="n"/>
      <c r="D39" s="8" t="n"/>
      <c r="E39" s="8" t="n"/>
      <c r="F39" s="7">
        <f>IF($E39="","",IFERROR(IF(VLOOKUP($E39,AcctTbl,4,0)="","",VLOOKUP($E39,AcctTbl,4,0)),"—"))</f>
        <v/>
      </c>
      <c r="G39" s="8" t="n"/>
      <c r="H39" s="9" t="n"/>
      <c r="I39" s="9" t="n"/>
      <c r="J39" s="10">
        <f>IF(OR($H39="",$I39=""),"",ROUND($H39*$I39,0))</f>
        <v/>
      </c>
      <c r="K39" s="10">
        <f>IF(OR($B39="",$E39="",Calc!$B36=""),"",SUMIFS(CalcAmtA,CalcPartyA,$E39,CalcKeyA,"&lt;="&amp;Calc!$B36)-SUMIFS(CalcWitB,CalcPartyB,$E39,CalcKeyB,"&lt;="&amp;Calc!$B36)+SUMIFS(CalcDepB,CalcPartyB,$E39,CalcKeyB,"&lt;="&amp;Calc!$B36))</f>
        <v/>
      </c>
      <c r="L39" s="8" t="n"/>
    </row>
    <row r="40">
      <c r="A40" s="7">
        <f>IF($B40="","",COUNTA($B$9:$B40))</f>
        <v/>
      </c>
      <c r="B40" s="8" t="n"/>
      <c r="C40" s="8" t="n"/>
      <c r="D40" s="8" t="n"/>
      <c r="E40" s="8" t="n"/>
      <c r="F40" s="7">
        <f>IF($E40="","",IFERROR(IF(VLOOKUP($E40,AcctTbl,4,0)="","",VLOOKUP($E40,AcctTbl,4,0)),"—"))</f>
        <v/>
      </c>
      <c r="G40" s="8" t="n"/>
      <c r="H40" s="9" t="n"/>
      <c r="I40" s="9" t="n"/>
      <c r="J40" s="10">
        <f>IF(OR($H40="",$I40=""),"",ROUND($H40*$I40,0))</f>
        <v/>
      </c>
      <c r="K40" s="10">
        <f>IF(OR($B40="",$E40="",Calc!$B37=""),"",SUMIFS(CalcAmtA,CalcPartyA,$E40,CalcKeyA,"&lt;="&amp;Calc!$B37)-SUMIFS(CalcWitB,CalcPartyB,$E40,CalcKeyB,"&lt;="&amp;Calc!$B37)+SUMIFS(CalcDepB,CalcPartyB,$E40,CalcKeyB,"&lt;="&amp;Calc!$B37))</f>
        <v/>
      </c>
      <c r="L40" s="8" t="n"/>
    </row>
    <row r="41">
      <c r="A41" s="7">
        <f>IF($B41="","",COUNTA($B$9:$B41))</f>
        <v/>
      </c>
      <c r="B41" s="8" t="n"/>
      <c r="C41" s="8" t="n"/>
      <c r="D41" s="8" t="n"/>
      <c r="E41" s="8" t="n"/>
      <c r="F41" s="7">
        <f>IF($E41="","",IFERROR(IF(VLOOKUP($E41,AcctTbl,4,0)="","",VLOOKUP($E41,AcctTbl,4,0)),"—"))</f>
        <v/>
      </c>
      <c r="G41" s="8" t="n"/>
      <c r="H41" s="9" t="n"/>
      <c r="I41" s="9" t="n"/>
      <c r="J41" s="10">
        <f>IF(OR($H41="",$I41=""),"",ROUND($H41*$I41,0))</f>
        <v/>
      </c>
      <c r="K41" s="10">
        <f>IF(OR($B41="",$E41="",Calc!$B38=""),"",SUMIFS(CalcAmtA,CalcPartyA,$E41,CalcKeyA,"&lt;="&amp;Calc!$B38)-SUMIFS(CalcWitB,CalcPartyB,$E41,CalcKeyB,"&lt;="&amp;Calc!$B38)+SUMIFS(CalcDepB,CalcPartyB,$E41,CalcKeyB,"&lt;="&amp;Calc!$B38))</f>
        <v/>
      </c>
      <c r="L41" s="8" t="n"/>
    </row>
    <row r="42">
      <c r="A42" s="7">
        <f>IF($B42="","",COUNTA($B$9:$B42))</f>
        <v/>
      </c>
      <c r="B42" s="8" t="n"/>
      <c r="C42" s="8" t="n"/>
      <c r="D42" s="8" t="n"/>
      <c r="E42" s="8" t="n"/>
      <c r="F42" s="7">
        <f>IF($E42="","",IFERROR(IF(VLOOKUP($E42,AcctTbl,4,0)="","",VLOOKUP($E42,AcctTbl,4,0)),"—"))</f>
        <v/>
      </c>
      <c r="G42" s="8" t="n"/>
      <c r="H42" s="9" t="n"/>
      <c r="I42" s="9" t="n"/>
      <c r="J42" s="10">
        <f>IF(OR($H42="",$I42=""),"",ROUND($H42*$I42,0))</f>
        <v/>
      </c>
      <c r="K42" s="10">
        <f>IF(OR($B42="",$E42="",Calc!$B39=""),"",SUMIFS(CalcAmtA,CalcPartyA,$E42,CalcKeyA,"&lt;="&amp;Calc!$B39)-SUMIFS(CalcWitB,CalcPartyB,$E42,CalcKeyB,"&lt;="&amp;Calc!$B39)+SUMIFS(CalcDepB,CalcPartyB,$E42,CalcKeyB,"&lt;="&amp;Calc!$B39))</f>
        <v/>
      </c>
      <c r="L42" s="8" t="n"/>
    </row>
    <row r="43">
      <c r="A43" s="7">
        <f>IF($B43="","",COUNTA($B$9:$B43))</f>
        <v/>
      </c>
      <c r="B43" s="8" t="n"/>
      <c r="C43" s="8" t="n"/>
      <c r="D43" s="8" t="n"/>
      <c r="E43" s="8" t="n"/>
      <c r="F43" s="7">
        <f>IF($E43="","",IFERROR(IF(VLOOKUP($E43,AcctTbl,4,0)="","",VLOOKUP($E43,AcctTbl,4,0)),"—"))</f>
        <v/>
      </c>
      <c r="G43" s="8" t="n"/>
      <c r="H43" s="9" t="n"/>
      <c r="I43" s="9" t="n"/>
      <c r="J43" s="10">
        <f>IF(OR($H43="",$I43=""),"",ROUND($H43*$I43,0))</f>
        <v/>
      </c>
      <c r="K43" s="10">
        <f>IF(OR($B43="",$E43="",Calc!$B40=""),"",SUMIFS(CalcAmtA,CalcPartyA,$E43,CalcKeyA,"&lt;="&amp;Calc!$B40)-SUMIFS(CalcWitB,CalcPartyB,$E43,CalcKeyB,"&lt;="&amp;Calc!$B40)+SUMIFS(CalcDepB,CalcPartyB,$E43,CalcKeyB,"&lt;="&amp;Calc!$B40))</f>
        <v/>
      </c>
      <c r="L43" s="8" t="n"/>
    </row>
    <row r="44">
      <c r="A44" s="7">
        <f>IF($B44="","",COUNTA($B$9:$B44))</f>
        <v/>
      </c>
      <c r="B44" s="8" t="n"/>
      <c r="C44" s="8" t="n"/>
      <c r="D44" s="8" t="n"/>
      <c r="E44" s="8" t="n"/>
      <c r="F44" s="7">
        <f>IF($E44="","",IFERROR(IF(VLOOKUP($E44,AcctTbl,4,0)="","",VLOOKUP($E44,AcctTbl,4,0)),"—"))</f>
        <v/>
      </c>
      <c r="G44" s="8" t="n"/>
      <c r="H44" s="9" t="n"/>
      <c r="I44" s="9" t="n"/>
      <c r="J44" s="10">
        <f>IF(OR($H44="",$I44=""),"",ROUND($H44*$I44,0))</f>
        <v/>
      </c>
      <c r="K44" s="10">
        <f>IF(OR($B44="",$E44="",Calc!$B41=""),"",SUMIFS(CalcAmtA,CalcPartyA,$E44,CalcKeyA,"&lt;="&amp;Calc!$B41)-SUMIFS(CalcWitB,CalcPartyB,$E44,CalcKeyB,"&lt;="&amp;Calc!$B41)+SUMIFS(CalcDepB,CalcPartyB,$E44,CalcKeyB,"&lt;="&amp;Calc!$B41))</f>
        <v/>
      </c>
      <c r="L44" s="8" t="n"/>
    </row>
    <row r="45">
      <c r="A45" s="7">
        <f>IF($B45="","",COUNTA($B$9:$B45))</f>
        <v/>
      </c>
      <c r="B45" s="8" t="n"/>
      <c r="C45" s="8" t="n"/>
      <c r="D45" s="8" t="n"/>
      <c r="E45" s="8" t="n"/>
      <c r="F45" s="7">
        <f>IF($E45="","",IFERROR(IF(VLOOKUP($E45,AcctTbl,4,0)="","",VLOOKUP($E45,AcctTbl,4,0)),"—"))</f>
        <v/>
      </c>
      <c r="G45" s="8" t="n"/>
      <c r="H45" s="9" t="n"/>
      <c r="I45" s="9" t="n"/>
      <c r="J45" s="10">
        <f>IF(OR($H45="",$I45=""),"",ROUND($H45*$I45,0))</f>
        <v/>
      </c>
      <c r="K45" s="10">
        <f>IF(OR($B45="",$E45="",Calc!$B42=""),"",SUMIFS(CalcAmtA,CalcPartyA,$E45,CalcKeyA,"&lt;="&amp;Calc!$B42)-SUMIFS(CalcWitB,CalcPartyB,$E45,CalcKeyB,"&lt;="&amp;Calc!$B42)+SUMIFS(CalcDepB,CalcPartyB,$E45,CalcKeyB,"&lt;="&amp;Calc!$B42))</f>
        <v/>
      </c>
      <c r="L45" s="8" t="n"/>
    </row>
    <row r="46">
      <c r="A46" s="7">
        <f>IF($B46="","",COUNTA($B$9:$B46))</f>
        <v/>
      </c>
      <c r="B46" s="8" t="n"/>
      <c r="C46" s="8" t="n"/>
      <c r="D46" s="8" t="n"/>
      <c r="E46" s="8" t="n"/>
      <c r="F46" s="7">
        <f>IF($E46="","",IFERROR(IF(VLOOKUP($E46,AcctTbl,4,0)="","",VLOOKUP($E46,AcctTbl,4,0)),"—"))</f>
        <v/>
      </c>
      <c r="G46" s="8" t="n"/>
      <c r="H46" s="9" t="n"/>
      <c r="I46" s="9" t="n"/>
      <c r="J46" s="10">
        <f>IF(OR($H46="",$I46=""),"",ROUND($H46*$I46,0))</f>
        <v/>
      </c>
      <c r="K46" s="10">
        <f>IF(OR($B46="",$E46="",Calc!$B43=""),"",SUMIFS(CalcAmtA,CalcPartyA,$E46,CalcKeyA,"&lt;="&amp;Calc!$B43)-SUMIFS(CalcWitB,CalcPartyB,$E46,CalcKeyB,"&lt;="&amp;Calc!$B43)+SUMIFS(CalcDepB,CalcPartyB,$E46,CalcKeyB,"&lt;="&amp;Calc!$B43))</f>
        <v/>
      </c>
      <c r="L46" s="8" t="n"/>
    </row>
    <row r="47">
      <c r="A47" s="7">
        <f>IF($B47="","",COUNTA($B$9:$B47))</f>
        <v/>
      </c>
      <c r="B47" s="8" t="n"/>
      <c r="C47" s="8" t="n"/>
      <c r="D47" s="8" t="n"/>
      <c r="E47" s="8" t="n"/>
      <c r="F47" s="7">
        <f>IF($E47="","",IFERROR(IF(VLOOKUP($E47,AcctTbl,4,0)="","",VLOOKUP($E47,AcctTbl,4,0)),"—"))</f>
        <v/>
      </c>
      <c r="G47" s="8" t="n"/>
      <c r="H47" s="9" t="n"/>
      <c r="I47" s="9" t="n"/>
      <c r="J47" s="10">
        <f>IF(OR($H47="",$I47=""),"",ROUND($H47*$I47,0))</f>
        <v/>
      </c>
      <c r="K47" s="10">
        <f>IF(OR($B47="",$E47="",Calc!$B44=""),"",SUMIFS(CalcAmtA,CalcPartyA,$E47,CalcKeyA,"&lt;="&amp;Calc!$B44)-SUMIFS(CalcWitB,CalcPartyB,$E47,CalcKeyB,"&lt;="&amp;Calc!$B44)+SUMIFS(CalcDepB,CalcPartyB,$E47,CalcKeyB,"&lt;="&amp;Calc!$B44))</f>
        <v/>
      </c>
      <c r="L47" s="8" t="n"/>
    </row>
    <row r="48">
      <c r="A48" s="7">
        <f>IF($B48="","",COUNTA($B$9:$B48))</f>
        <v/>
      </c>
      <c r="B48" s="8" t="n"/>
      <c r="C48" s="8" t="n"/>
      <c r="D48" s="8" t="n"/>
      <c r="E48" s="8" t="n"/>
      <c r="F48" s="7">
        <f>IF($E48="","",IFERROR(IF(VLOOKUP($E48,AcctTbl,4,0)="","",VLOOKUP($E48,AcctTbl,4,0)),"—"))</f>
        <v/>
      </c>
      <c r="G48" s="8" t="n"/>
      <c r="H48" s="9" t="n"/>
      <c r="I48" s="9" t="n"/>
      <c r="J48" s="10">
        <f>IF(OR($H48="",$I48=""),"",ROUND($H48*$I48,0))</f>
        <v/>
      </c>
      <c r="K48" s="10">
        <f>IF(OR($B48="",$E48="",Calc!$B45=""),"",SUMIFS(CalcAmtA,CalcPartyA,$E48,CalcKeyA,"&lt;="&amp;Calc!$B45)-SUMIFS(CalcWitB,CalcPartyB,$E48,CalcKeyB,"&lt;="&amp;Calc!$B45)+SUMIFS(CalcDepB,CalcPartyB,$E48,CalcKeyB,"&lt;="&amp;Calc!$B45))</f>
        <v/>
      </c>
      <c r="L48" s="8" t="n"/>
    </row>
    <row r="49">
      <c r="A49" s="7">
        <f>IF($B49="","",COUNTA($B$9:$B49))</f>
        <v/>
      </c>
      <c r="B49" s="8" t="n"/>
      <c r="C49" s="8" t="n"/>
      <c r="D49" s="8" t="n"/>
      <c r="E49" s="8" t="n"/>
      <c r="F49" s="7">
        <f>IF($E49="","",IFERROR(IF(VLOOKUP($E49,AcctTbl,4,0)="","",VLOOKUP($E49,AcctTbl,4,0)),"—"))</f>
        <v/>
      </c>
      <c r="G49" s="8" t="n"/>
      <c r="H49" s="9" t="n"/>
      <c r="I49" s="9" t="n"/>
      <c r="J49" s="10">
        <f>IF(OR($H49="",$I49=""),"",ROUND($H49*$I49,0))</f>
        <v/>
      </c>
      <c r="K49" s="10">
        <f>IF(OR($B49="",$E49="",Calc!$B46=""),"",SUMIFS(CalcAmtA,CalcPartyA,$E49,CalcKeyA,"&lt;="&amp;Calc!$B46)-SUMIFS(CalcWitB,CalcPartyB,$E49,CalcKeyB,"&lt;="&amp;Calc!$B46)+SUMIFS(CalcDepB,CalcPartyB,$E49,CalcKeyB,"&lt;="&amp;Calc!$B46))</f>
        <v/>
      </c>
      <c r="L49" s="8" t="n"/>
    </row>
    <row r="50">
      <c r="A50" s="7">
        <f>IF($B50="","",COUNTA($B$9:$B50))</f>
        <v/>
      </c>
      <c r="B50" s="8" t="n"/>
      <c r="C50" s="8" t="n"/>
      <c r="D50" s="8" t="n"/>
      <c r="E50" s="8" t="n"/>
      <c r="F50" s="7">
        <f>IF($E50="","",IFERROR(IF(VLOOKUP($E50,AcctTbl,4,0)="","",VLOOKUP($E50,AcctTbl,4,0)),"—"))</f>
        <v/>
      </c>
      <c r="G50" s="8" t="n"/>
      <c r="H50" s="9" t="n"/>
      <c r="I50" s="9" t="n"/>
      <c r="J50" s="10">
        <f>IF(OR($H50="",$I50=""),"",ROUND($H50*$I50,0))</f>
        <v/>
      </c>
      <c r="K50" s="10">
        <f>IF(OR($B50="",$E50="",Calc!$B47=""),"",SUMIFS(CalcAmtA,CalcPartyA,$E50,CalcKeyA,"&lt;="&amp;Calc!$B47)-SUMIFS(CalcWitB,CalcPartyB,$E50,CalcKeyB,"&lt;="&amp;Calc!$B47)+SUMIFS(CalcDepB,CalcPartyB,$E50,CalcKeyB,"&lt;="&amp;Calc!$B47))</f>
        <v/>
      </c>
      <c r="L50" s="8" t="n"/>
    </row>
    <row r="51">
      <c r="A51" s="7">
        <f>IF($B51="","",COUNTA($B$9:$B51))</f>
        <v/>
      </c>
      <c r="B51" s="8" t="n"/>
      <c r="C51" s="8" t="n"/>
      <c r="D51" s="8" t="n"/>
      <c r="E51" s="8" t="n"/>
      <c r="F51" s="7">
        <f>IF($E51="","",IFERROR(IF(VLOOKUP($E51,AcctTbl,4,0)="","",VLOOKUP($E51,AcctTbl,4,0)),"—"))</f>
        <v/>
      </c>
      <c r="G51" s="8" t="n"/>
      <c r="H51" s="9" t="n"/>
      <c r="I51" s="9" t="n"/>
      <c r="J51" s="10">
        <f>IF(OR($H51="",$I51=""),"",ROUND($H51*$I51,0))</f>
        <v/>
      </c>
      <c r="K51" s="10">
        <f>IF(OR($B51="",$E51="",Calc!$B48=""),"",SUMIFS(CalcAmtA,CalcPartyA,$E51,CalcKeyA,"&lt;="&amp;Calc!$B48)-SUMIFS(CalcWitB,CalcPartyB,$E51,CalcKeyB,"&lt;="&amp;Calc!$B48)+SUMIFS(CalcDepB,CalcPartyB,$E51,CalcKeyB,"&lt;="&amp;Calc!$B48))</f>
        <v/>
      </c>
      <c r="L51" s="8" t="n"/>
    </row>
    <row r="52">
      <c r="A52" s="7">
        <f>IF($B52="","",COUNTA($B$9:$B52))</f>
        <v/>
      </c>
      <c r="B52" s="8" t="n"/>
      <c r="C52" s="8" t="n"/>
      <c r="D52" s="8" t="n"/>
      <c r="E52" s="8" t="n"/>
      <c r="F52" s="7">
        <f>IF($E52="","",IFERROR(IF(VLOOKUP($E52,AcctTbl,4,0)="","",VLOOKUP($E52,AcctTbl,4,0)),"—"))</f>
        <v/>
      </c>
      <c r="G52" s="8" t="n"/>
      <c r="H52" s="9" t="n"/>
      <c r="I52" s="9" t="n"/>
      <c r="J52" s="10">
        <f>IF(OR($H52="",$I52=""),"",ROUND($H52*$I52,0))</f>
        <v/>
      </c>
      <c r="K52" s="10">
        <f>IF(OR($B52="",$E52="",Calc!$B49=""),"",SUMIFS(CalcAmtA,CalcPartyA,$E52,CalcKeyA,"&lt;="&amp;Calc!$B49)-SUMIFS(CalcWitB,CalcPartyB,$E52,CalcKeyB,"&lt;="&amp;Calc!$B49)+SUMIFS(CalcDepB,CalcPartyB,$E52,CalcKeyB,"&lt;="&amp;Calc!$B49))</f>
        <v/>
      </c>
      <c r="L52" s="8" t="n"/>
    </row>
    <row r="53">
      <c r="A53" s="7">
        <f>IF($B53="","",COUNTA($B$9:$B53))</f>
        <v/>
      </c>
      <c r="B53" s="8" t="n"/>
      <c r="C53" s="8" t="n"/>
      <c r="D53" s="8" t="n"/>
      <c r="E53" s="8" t="n"/>
      <c r="F53" s="7">
        <f>IF($E53="","",IFERROR(IF(VLOOKUP($E53,AcctTbl,4,0)="","",VLOOKUP($E53,AcctTbl,4,0)),"—"))</f>
        <v/>
      </c>
      <c r="G53" s="8" t="n"/>
      <c r="H53" s="9" t="n"/>
      <c r="I53" s="9" t="n"/>
      <c r="J53" s="10">
        <f>IF(OR($H53="",$I53=""),"",ROUND($H53*$I53,0))</f>
        <v/>
      </c>
      <c r="K53" s="10">
        <f>IF(OR($B53="",$E53="",Calc!$B50=""),"",SUMIFS(CalcAmtA,CalcPartyA,$E53,CalcKeyA,"&lt;="&amp;Calc!$B50)-SUMIFS(CalcWitB,CalcPartyB,$E53,CalcKeyB,"&lt;="&amp;Calc!$B50)+SUMIFS(CalcDepB,CalcPartyB,$E53,CalcKeyB,"&lt;="&amp;Calc!$B50))</f>
        <v/>
      </c>
      <c r="L53" s="8" t="n"/>
    </row>
    <row r="54">
      <c r="A54" s="7">
        <f>IF($B54="","",COUNTA($B$9:$B54))</f>
        <v/>
      </c>
      <c r="B54" s="8" t="n"/>
      <c r="C54" s="8" t="n"/>
      <c r="D54" s="8" t="n"/>
      <c r="E54" s="8" t="n"/>
      <c r="F54" s="7">
        <f>IF($E54="","",IFERROR(IF(VLOOKUP($E54,AcctTbl,4,0)="","",VLOOKUP($E54,AcctTbl,4,0)),"—"))</f>
        <v/>
      </c>
      <c r="G54" s="8" t="n"/>
      <c r="H54" s="9" t="n"/>
      <c r="I54" s="9" t="n"/>
      <c r="J54" s="10">
        <f>IF(OR($H54="",$I54=""),"",ROUND($H54*$I54,0))</f>
        <v/>
      </c>
      <c r="K54" s="10">
        <f>IF(OR($B54="",$E54="",Calc!$B51=""),"",SUMIFS(CalcAmtA,CalcPartyA,$E54,CalcKeyA,"&lt;="&amp;Calc!$B51)-SUMIFS(CalcWitB,CalcPartyB,$E54,CalcKeyB,"&lt;="&amp;Calc!$B51)+SUMIFS(CalcDepB,CalcPartyB,$E54,CalcKeyB,"&lt;="&amp;Calc!$B51))</f>
        <v/>
      </c>
      <c r="L54" s="8" t="n"/>
    </row>
    <row r="55">
      <c r="A55" s="7">
        <f>IF($B55="","",COUNTA($B$9:$B55))</f>
        <v/>
      </c>
      <c r="B55" s="8" t="n"/>
      <c r="C55" s="8" t="n"/>
      <c r="D55" s="8" t="n"/>
      <c r="E55" s="8" t="n"/>
      <c r="F55" s="7">
        <f>IF($E55="","",IFERROR(IF(VLOOKUP($E55,AcctTbl,4,0)="","",VLOOKUP($E55,AcctTbl,4,0)),"—"))</f>
        <v/>
      </c>
      <c r="G55" s="8" t="n"/>
      <c r="H55" s="9" t="n"/>
      <c r="I55" s="9" t="n"/>
      <c r="J55" s="10">
        <f>IF(OR($H55="",$I55=""),"",ROUND($H55*$I55,0))</f>
        <v/>
      </c>
      <c r="K55" s="10">
        <f>IF(OR($B55="",$E55="",Calc!$B52=""),"",SUMIFS(CalcAmtA,CalcPartyA,$E55,CalcKeyA,"&lt;="&amp;Calc!$B52)-SUMIFS(CalcWitB,CalcPartyB,$E55,CalcKeyB,"&lt;="&amp;Calc!$B52)+SUMIFS(CalcDepB,CalcPartyB,$E55,CalcKeyB,"&lt;="&amp;Calc!$B52))</f>
        <v/>
      </c>
      <c r="L55" s="8" t="n"/>
    </row>
    <row r="56">
      <c r="A56" s="7">
        <f>IF($B56="","",COUNTA($B$9:$B56))</f>
        <v/>
      </c>
      <c r="B56" s="8" t="n"/>
      <c r="C56" s="8" t="n"/>
      <c r="D56" s="8" t="n"/>
      <c r="E56" s="8" t="n"/>
      <c r="F56" s="7">
        <f>IF($E56="","",IFERROR(IF(VLOOKUP($E56,AcctTbl,4,0)="","",VLOOKUP($E56,AcctTbl,4,0)),"—"))</f>
        <v/>
      </c>
      <c r="G56" s="8" t="n"/>
      <c r="H56" s="9" t="n"/>
      <c r="I56" s="9" t="n"/>
      <c r="J56" s="10">
        <f>IF(OR($H56="",$I56=""),"",ROUND($H56*$I56,0))</f>
        <v/>
      </c>
      <c r="K56" s="10">
        <f>IF(OR($B56="",$E56="",Calc!$B53=""),"",SUMIFS(CalcAmtA,CalcPartyA,$E56,CalcKeyA,"&lt;="&amp;Calc!$B53)-SUMIFS(CalcWitB,CalcPartyB,$E56,CalcKeyB,"&lt;="&amp;Calc!$B53)+SUMIFS(CalcDepB,CalcPartyB,$E56,CalcKeyB,"&lt;="&amp;Calc!$B53))</f>
        <v/>
      </c>
      <c r="L56" s="8" t="n"/>
    </row>
    <row r="57">
      <c r="A57" s="7">
        <f>IF($B57="","",COUNTA($B$9:$B57))</f>
        <v/>
      </c>
      <c r="B57" s="8" t="n"/>
      <c r="C57" s="8" t="n"/>
      <c r="D57" s="8" t="n"/>
      <c r="E57" s="8" t="n"/>
      <c r="F57" s="7">
        <f>IF($E57="","",IFERROR(IF(VLOOKUP($E57,AcctTbl,4,0)="","",VLOOKUP($E57,AcctTbl,4,0)),"—"))</f>
        <v/>
      </c>
      <c r="G57" s="8" t="n"/>
      <c r="H57" s="9" t="n"/>
      <c r="I57" s="9" t="n"/>
      <c r="J57" s="10">
        <f>IF(OR($H57="",$I57=""),"",ROUND($H57*$I57,0))</f>
        <v/>
      </c>
      <c r="K57" s="10">
        <f>IF(OR($B57="",$E57="",Calc!$B54=""),"",SUMIFS(CalcAmtA,CalcPartyA,$E57,CalcKeyA,"&lt;="&amp;Calc!$B54)-SUMIFS(CalcWitB,CalcPartyB,$E57,CalcKeyB,"&lt;="&amp;Calc!$B54)+SUMIFS(CalcDepB,CalcPartyB,$E57,CalcKeyB,"&lt;="&amp;Calc!$B54))</f>
        <v/>
      </c>
      <c r="L57" s="8" t="n"/>
    </row>
    <row r="58">
      <c r="A58" s="7">
        <f>IF($B58="","",COUNTA($B$9:$B58))</f>
        <v/>
      </c>
      <c r="B58" s="8" t="n"/>
      <c r="C58" s="8" t="n"/>
      <c r="D58" s="8" t="n"/>
      <c r="E58" s="8" t="n"/>
      <c r="F58" s="7">
        <f>IF($E58="","",IFERROR(IF(VLOOKUP($E58,AcctTbl,4,0)="","",VLOOKUP($E58,AcctTbl,4,0)),"—"))</f>
        <v/>
      </c>
      <c r="G58" s="8" t="n"/>
      <c r="H58" s="9" t="n"/>
      <c r="I58" s="9" t="n"/>
      <c r="J58" s="10">
        <f>IF(OR($H58="",$I58=""),"",ROUND($H58*$I58,0))</f>
        <v/>
      </c>
      <c r="K58" s="10">
        <f>IF(OR($B58="",$E58="",Calc!$B55=""),"",SUMIFS(CalcAmtA,CalcPartyA,$E58,CalcKeyA,"&lt;="&amp;Calc!$B55)-SUMIFS(CalcWitB,CalcPartyB,$E58,CalcKeyB,"&lt;="&amp;Calc!$B55)+SUMIFS(CalcDepB,CalcPartyB,$E58,CalcKeyB,"&lt;="&amp;Calc!$B55))</f>
        <v/>
      </c>
      <c r="L58" s="8" t="n"/>
    </row>
    <row r="59">
      <c r="A59" s="7">
        <f>IF($B59="","",COUNTA($B$9:$B59))</f>
        <v/>
      </c>
      <c r="B59" s="8" t="n"/>
      <c r="C59" s="8" t="n"/>
      <c r="D59" s="8" t="n"/>
      <c r="E59" s="8" t="n"/>
      <c r="F59" s="7">
        <f>IF($E59="","",IFERROR(IF(VLOOKUP($E59,AcctTbl,4,0)="","",VLOOKUP($E59,AcctTbl,4,0)),"—"))</f>
        <v/>
      </c>
      <c r="G59" s="8" t="n"/>
      <c r="H59" s="9" t="n"/>
      <c r="I59" s="9" t="n"/>
      <c r="J59" s="10">
        <f>IF(OR($H59="",$I59=""),"",ROUND($H59*$I59,0))</f>
        <v/>
      </c>
      <c r="K59" s="10">
        <f>IF(OR($B59="",$E59="",Calc!$B56=""),"",SUMIFS(CalcAmtA,CalcPartyA,$E59,CalcKeyA,"&lt;="&amp;Calc!$B56)-SUMIFS(CalcWitB,CalcPartyB,$E59,CalcKeyB,"&lt;="&amp;Calc!$B56)+SUMIFS(CalcDepB,CalcPartyB,$E59,CalcKeyB,"&lt;="&amp;Calc!$B56))</f>
        <v/>
      </c>
      <c r="L59" s="8" t="n"/>
    </row>
    <row r="60">
      <c r="A60" s="7">
        <f>IF($B60="","",COUNTA($B$9:$B60))</f>
        <v/>
      </c>
      <c r="B60" s="8" t="n"/>
      <c r="C60" s="8" t="n"/>
      <c r="D60" s="8" t="n"/>
      <c r="E60" s="8" t="n"/>
      <c r="F60" s="7">
        <f>IF($E60="","",IFERROR(IF(VLOOKUP($E60,AcctTbl,4,0)="","",VLOOKUP($E60,AcctTbl,4,0)),"—"))</f>
        <v/>
      </c>
      <c r="G60" s="8" t="n"/>
      <c r="H60" s="9" t="n"/>
      <c r="I60" s="9" t="n"/>
      <c r="J60" s="10">
        <f>IF(OR($H60="",$I60=""),"",ROUND($H60*$I60,0))</f>
        <v/>
      </c>
      <c r="K60" s="10">
        <f>IF(OR($B60="",$E60="",Calc!$B57=""),"",SUMIFS(CalcAmtA,CalcPartyA,$E60,CalcKeyA,"&lt;="&amp;Calc!$B57)-SUMIFS(CalcWitB,CalcPartyB,$E60,CalcKeyB,"&lt;="&amp;Calc!$B57)+SUMIFS(CalcDepB,CalcPartyB,$E60,CalcKeyB,"&lt;="&amp;Calc!$B57))</f>
        <v/>
      </c>
      <c r="L60" s="8" t="n"/>
    </row>
    <row r="61">
      <c r="A61" s="7">
        <f>IF($B61="","",COUNTA($B$9:$B61))</f>
        <v/>
      </c>
      <c r="B61" s="8" t="n"/>
      <c r="C61" s="8" t="n"/>
      <c r="D61" s="8" t="n"/>
      <c r="E61" s="8" t="n"/>
      <c r="F61" s="7">
        <f>IF($E61="","",IFERROR(IF(VLOOKUP($E61,AcctTbl,4,0)="","",VLOOKUP($E61,AcctTbl,4,0)),"—"))</f>
        <v/>
      </c>
      <c r="G61" s="8" t="n"/>
      <c r="H61" s="9" t="n"/>
      <c r="I61" s="9" t="n"/>
      <c r="J61" s="10">
        <f>IF(OR($H61="",$I61=""),"",ROUND($H61*$I61,0))</f>
        <v/>
      </c>
      <c r="K61" s="10">
        <f>IF(OR($B61="",$E61="",Calc!$B58=""),"",SUMIFS(CalcAmtA,CalcPartyA,$E61,CalcKeyA,"&lt;="&amp;Calc!$B58)-SUMIFS(CalcWitB,CalcPartyB,$E61,CalcKeyB,"&lt;="&amp;Calc!$B58)+SUMIFS(CalcDepB,CalcPartyB,$E61,CalcKeyB,"&lt;="&amp;Calc!$B58))</f>
        <v/>
      </c>
      <c r="L61" s="8" t="n"/>
    </row>
    <row r="62">
      <c r="A62" s="7">
        <f>IF($B62="","",COUNTA($B$9:$B62))</f>
        <v/>
      </c>
      <c r="B62" s="8" t="n"/>
      <c r="C62" s="8" t="n"/>
      <c r="D62" s="8" t="n"/>
      <c r="E62" s="8" t="n"/>
      <c r="F62" s="7">
        <f>IF($E62="","",IFERROR(IF(VLOOKUP($E62,AcctTbl,4,0)="","",VLOOKUP($E62,AcctTbl,4,0)),"—"))</f>
        <v/>
      </c>
      <c r="G62" s="8" t="n"/>
      <c r="H62" s="9" t="n"/>
      <c r="I62" s="9" t="n"/>
      <c r="J62" s="10">
        <f>IF(OR($H62="",$I62=""),"",ROUND($H62*$I62,0))</f>
        <v/>
      </c>
      <c r="K62" s="10">
        <f>IF(OR($B62="",$E62="",Calc!$B59=""),"",SUMIFS(CalcAmtA,CalcPartyA,$E62,CalcKeyA,"&lt;="&amp;Calc!$B59)-SUMIFS(CalcWitB,CalcPartyB,$E62,CalcKeyB,"&lt;="&amp;Calc!$B59)+SUMIFS(CalcDepB,CalcPartyB,$E62,CalcKeyB,"&lt;="&amp;Calc!$B59))</f>
        <v/>
      </c>
      <c r="L62" s="8" t="n"/>
    </row>
    <row r="63">
      <c r="A63" s="7">
        <f>IF($B63="","",COUNTA($B$9:$B63))</f>
        <v/>
      </c>
      <c r="B63" s="8" t="n"/>
      <c r="C63" s="8" t="n"/>
      <c r="D63" s="8" t="n"/>
      <c r="E63" s="8" t="n"/>
      <c r="F63" s="7">
        <f>IF($E63="","",IFERROR(IF(VLOOKUP($E63,AcctTbl,4,0)="","",VLOOKUP($E63,AcctTbl,4,0)),"—"))</f>
        <v/>
      </c>
      <c r="G63" s="8" t="n"/>
      <c r="H63" s="9" t="n"/>
      <c r="I63" s="9" t="n"/>
      <c r="J63" s="10">
        <f>IF(OR($H63="",$I63=""),"",ROUND($H63*$I63,0))</f>
        <v/>
      </c>
      <c r="K63" s="10">
        <f>IF(OR($B63="",$E63="",Calc!$B60=""),"",SUMIFS(CalcAmtA,CalcPartyA,$E63,CalcKeyA,"&lt;="&amp;Calc!$B60)-SUMIFS(CalcWitB,CalcPartyB,$E63,CalcKeyB,"&lt;="&amp;Calc!$B60)+SUMIFS(CalcDepB,CalcPartyB,$E63,CalcKeyB,"&lt;="&amp;Calc!$B60))</f>
        <v/>
      </c>
      <c r="L63" s="8" t="n"/>
    </row>
    <row r="64">
      <c r="A64" s="7">
        <f>IF($B64="","",COUNTA($B$9:$B64))</f>
        <v/>
      </c>
      <c r="B64" s="8" t="n"/>
      <c r="C64" s="8" t="n"/>
      <c r="D64" s="8" t="n"/>
      <c r="E64" s="8" t="n"/>
      <c r="F64" s="7">
        <f>IF($E64="","",IFERROR(IF(VLOOKUP($E64,AcctTbl,4,0)="","",VLOOKUP($E64,AcctTbl,4,0)),"—"))</f>
        <v/>
      </c>
      <c r="G64" s="8" t="n"/>
      <c r="H64" s="9" t="n"/>
      <c r="I64" s="9" t="n"/>
      <c r="J64" s="10">
        <f>IF(OR($H64="",$I64=""),"",ROUND($H64*$I64,0))</f>
        <v/>
      </c>
      <c r="K64" s="10">
        <f>IF(OR($B64="",$E64="",Calc!$B61=""),"",SUMIFS(CalcAmtA,CalcPartyA,$E64,CalcKeyA,"&lt;="&amp;Calc!$B61)-SUMIFS(CalcWitB,CalcPartyB,$E64,CalcKeyB,"&lt;="&amp;Calc!$B61)+SUMIFS(CalcDepB,CalcPartyB,$E64,CalcKeyB,"&lt;="&amp;Calc!$B61))</f>
        <v/>
      </c>
      <c r="L64" s="8" t="n"/>
    </row>
    <row r="65">
      <c r="A65" s="7">
        <f>IF($B65="","",COUNTA($B$9:$B65))</f>
        <v/>
      </c>
      <c r="B65" s="8" t="n"/>
      <c r="C65" s="8" t="n"/>
      <c r="D65" s="8" t="n"/>
      <c r="E65" s="8" t="n"/>
      <c r="F65" s="7">
        <f>IF($E65="","",IFERROR(IF(VLOOKUP($E65,AcctTbl,4,0)="","",VLOOKUP($E65,AcctTbl,4,0)),"—"))</f>
        <v/>
      </c>
      <c r="G65" s="8" t="n"/>
      <c r="H65" s="9" t="n"/>
      <c r="I65" s="9" t="n"/>
      <c r="J65" s="10">
        <f>IF(OR($H65="",$I65=""),"",ROUND($H65*$I65,0))</f>
        <v/>
      </c>
      <c r="K65" s="10">
        <f>IF(OR($B65="",$E65="",Calc!$B62=""),"",SUMIFS(CalcAmtA,CalcPartyA,$E65,CalcKeyA,"&lt;="&amp;Calc!$B62)-SUMIFS(CalcWitB,CalcPartyB,$E65,CalcKeyB,"&lt;="&amp;Calc!$B62)+SUMIFS(CalcDepB,CalcPartyB,$E65,CalcKeyB,"&lt;="&amp;Calc!$B62))</f>
        <v/>
      </c>
      <c r="L65" s="8" t="n"/>
    </row>
    <row r="66">
      <c r="A66" s="7">
        <f>IF($B66="","",COUNTA($B$9:$B66))</f>
        <v/>
      </c>
      <c r="B66" s="8" t="n"/>
      <c r="C66" s="8" t="n"/>
      <c r="D66" s="8" t="n"/>
      <c r="E66" s="8" t="n"/>
      <c r="F66" s="7">
        <f>IF($E66="","",IFERROR(IF(VLOOKUP($E66,AcctTbl,4,0)="","",VLOOKUP($E66,AcctTbl,4,0)),"—"))</f>
        <v/>
      </c>
      <c r="G66" s="8" t="n"/>
      <c r="H66" s="9" t="n"/>
      <c r="I66" s="9" t="n"/>
      <c r="J66" s="10">
        <f>IF(OR($H66="",$I66=""),"",ROUND($H66*$I66,0))</f>
        <v/>
      </c>
      <c r="K66" s="10">
        <f>IF(OR($B66="",$E66="",Calc!$B63=""),"",SUMIFS(CalcAmtA,CalcPartyA,$E66,CalcKeyA,"&lt;="&amp;Calc!$B63)-SUMIFS(CalcWitB,CalcPartyB,$E66,CalcKeyB,"&lt;="&amp;Calc!$B63)+SUMIFS(CalcDepB,CalcPartyB,$E66,CalcKeyB,"&lt;="&amp;Calc!$B63))</f>
        <v/>
      </c>
      <c r="L66" s="8" t="n"/>
    </row>
    <row r="67">
      <c r="A67" s="7">
        <f>IF($B67="","",COUNTA($B$9:$B67))</f>
        <v/>
      </c>
      <c r="B67" s="8" t="n"/>
      <c r="C67" s="8" t="n"/>
      <c r="D67" s="8" t="n"/>
      <c r="E67" s="8" t="n"/>
      <c r="F67" s="7">
        <f>IF($E67="","",IFERROR(IF(VLOOKUP($E67,AcctTbl,4,0)="","",VLOOKUP($E67,AcctTbl,4,0)),"—"))</f>
        <v/>
      </c>
      <c r="G67" s="8" t="n"/>
      <c r="H67" s="9" t="n"/>
      <c r="I67" s="9" t="n"/>
      <c r="J67" s="10">
        <f>IF(OR($H67="",$I67=""),"",ROUND($H67*$I67,0))</f>
        <v/>
      </c>
      <c r="K67" s="10">
        <f>IF(OR($B67="",$E67="",Calc!$B64=""),"",SUMIFS(CalcAmtA,CalcPartyA,$E67,CalcKeyA,"&lt;="&amp;Calc!$B64)-SUMIFS(CalcWitB,CalcPartyB,$E67,CalcKeyB,"&lt;="&amp;Calc!$B64)+SUMIFS(CalcDepB,CalcPartyB,$E67,CalcKeyB,"&lt;="&amp;Calc!$B64))</f>
        <v/>
      </c>
      <c r="L67" s="8" t="n"/>
    </row>
    <row r="68">
      <c r="A68" s="7">
        <f>IF($B68="","",COUNTA($B$9:$B68))</f>
        <v/>
      </c>
      <c r="B68" s="8" t="n"/>
      <c r="C68" s="8" t="n"/>
      <c r="D68" s="8" t="n"/>
      <c r="E68" s="8" t="n"/>
      <c r="F68" s="7">
        <f>IF($E68="","",IFERROR(IF(VLOOKUP($E68,AcctTbl,4,0)="","",VLOOKUP($E68,AcctTbl,4,0)),"—"))</f>
        <v/>
      </c>
      <c r="G68" s="8" t="n"/>
      <c r="H68" s="9" t="n"/>
      <c r="I68" s="9" t="n"/>
      <c r="J68" s="10">
        <f>IF(OR($H68="",$I68=""),"",ROUND($H68*$I68,0))</f>
        <v/>
      </c>
      <c r="K68" s="10">
        <f>IF(OR($B68="",$E68="",Calc!$B65=""),"",SUMIFS(CalcAmtA,CalcPartyA,$E68,CalcKeyA,"&lt;="&amp;Calc!$B65)-SUMIFS(CalcWitB,CalcPartyB,$E68,CalcKeyB,"&lt;="&amp;Calc!$B65)+SUMIFS(CalcDepB,CalcPartyB,$E68,CalcKeyB,"&lt;="&amp;Calc!$B65))</f>
        <v/>
      </c>
      <c r="L68" s="8" t="n"/>
    </row>
    <row r="69">
      <c r="A69" s="7">
        <f>IF($B69="","",COUNTA($B$9:$B69))</f>
        <v/>
      </c>
      <c r="B69" s="8" t="n"/>
      <c r="C69" s="8" t="n"/>
      <c r="D69" s="8" t="n"/>
      <c r="E69" s="8" t="n"/>
      <c r="F69" s="7">
        <f>IF($E69="","",IFERROR(IF(VLOOKUP($E69,AcctTbl,4,0)="","",VLOOKUP($E69,AcctTbl,4,0)),"—"))</f>
        <v/>
      </c>
      <c r="G69" s="8" t="n"/>
      <c r="H69" s="9" t="n"/>
      <c r="I69" s="9" t="n"/>
      <c r="J69" s="10">
        <f>IF(OR($H69="",$I69=""),"",ROUND($H69*$I69,0))</f>
        <v/>
      </c>
      <c r="K69" s="10">
        <f>IF(OR($B69="",$E69="",Calc!$B66=""),"",SUMIFS(CalcAmtA,CalcPartyA,$E69,CalcKeyA,"&lt;="&amp;Calc!$B66)-SUMIFS(CalcWitB,CalcPartyB,$E69,CalcKeyB,"&lt;="&amp;Calc!$B66)+SUMIFS(CalcDepB,CalcPartyB,$E69,CalcKeyB,"&lt;="&amp;Calc!$B66))</f>
        <v/>
      </c>
      <c r="L69" s="8" t="n"/>
    </row>
    <row r="70">
      <c r="A70" s="7">
        <f>IF($B70="","",COUNTA($B$9:$B70))</f>
        <v/>
      </c>
      <c r="B70" s="8" t="n"/>
      <c r="C70" s="8" t="n"/>
      <c r="D70" s="8" t="n"/>
      <c r="E70" s="8" t="n"/>
      <c r="F70" s="7">
        <f>IF($E70="","",IFERROR(IF(VLOOKUP($E70,AcctTbl,4,0)="","",VLOOKUP($E70,AcctTbl,4,0)),"—"))</f>
        <v/>
      </c>
      <c r="G70" s="8" t="n"/>
      <c r="H70" s="9" t="n"/>
      <c r="I70" s="9" t="n"/>
      <c r="J70" s="10">
        <f>IF(OR($H70="",$I70=""),"",ROUND($H70*$I70,0))</f>
        <v/>
      </c>
      <c r="K70" s="10">
        <f>IF(OR($B70="",$E70="",Calc!$B67=""),"",SUMIFS(CalcAmtA,CalcPartyA,$E70,CalcKeyA,"&lt;="&amp;Calc!$B67)-SUMIFS(CalcWitB,CalcPartyB,$E70,CalcKeyB,"&lt;="&amp;Calc!$B67)+SUMIFS(CalcDepB,CalcPartyB,$E70,CalcKeyB,"&lt;="&amp;Calc!$B67))</f>
        <v/>
      </c>
      <c r="L70" s="8" t="n"/>
    </row>
    <row r="71">
      <c r="A71" s="7">
        <f>IF($B71="","",COUNTA($B$9:$B71))</f>
        <v/>
      </c>
      <c r="B71" s="8" t="n"/>
      <c r="C71" s="8" t="n"/>
      <c r="D71" s="8" t="n"/>
      <c r="E71" s="8" t="n"/>
      <c r="F71" s="7">
        <f>IF($E71="","",IFERROR(IF(VLOOKUP($E71,AcctTbl,4,0)="","",VLOOKUP($E71,AcctTbl,4,0)),"—"))</f>
        <v/>
      </c>
      <c r="G71" s="8" t="n"/>
      <c r="H71" s="9" t="n"/>
      <c r="I71" s="9" t="n"/>
      <c r="J71" s="10">
        <f>IF(OR($H71="",$I71=""),"",ROUND($H71*$I71,0))</f>
        <v/>
      </c>
      <c r="K71" s="10">
        <f>IF(OR($B71="",$E71="",Calc!$B68=""),"",SUMIFS(CalcAmtA,CalcPartyA,$E71,CalcKeyA,"&lt;="&amp;Calc!$B68)-SUMIFS(CalcWitB,CalcPartyB,$E71,CalcKeyB,"&lt;="&amp;Calc!$B68)+SUMIFS(CalcDepB,CalcPartyB,$E71,CalcKeyB,"&lt;="&amp;Calc!$B68))</f>
        <v/>
      </c>
      <c r="L71" s="8" t="n"/>
    </row>
    <row r="72">
      <c r="A72" s="7">
        <f>IF($B72="","",COUNTA($B$9:$B72))</f>
        <v/>
      </c>
      <c r="B72" s="8" t="n"/>
      <c r="C72" s="8" t="n"/>
      <c r="D72" s="8" t="n"/>
      <c r="E72" s="8" t="n"/>
      <c r="F72" s="7">
        <f>IF($E72="","",IFERROR(IF(VLOOKUP($E72,AcctTbl,4,0)="","",VLOOKUP($E72,AcctTbl,4,0)),"—"))</f>
        <v/>
      </c>
      <c r="G72" s="8" t="n"/>
      <c r="H72" s="9" t="n"/>
      <c r="I72" s="9" t="n"/>
      <c r="J72" s="10">
        <f>IF(OR($H72="",$I72=""),"",ROUND($H72*$I72,0))</f>
        <v/>
      </c>
      <c r="K72" s="10">
        <f>IF(OR($B72="",$E72="",Calc!$B69=""),"",SUMIFS(CalcAmtA,CalcPartyA,$E72,CalcKeyA,"&lt;="&amp;Calc!$B69)-SUMIFS(CalcWitB,CalcPartyB,$E72,CalcKeyB,"&lt;="&amp;Calc!$B69)+SUMIFS(CalcDepB,CalcPartyB,$E72,CalcKeyB,"&lt;="&amp;Calc!$B69))</f>
        <v/>
      </c>
      <c r="L72" s="8" t="n"/>
    </row>
    <row r="73">
      <c r="A73" s="7">
        <f>IF($B73="","",COUNTA($B$9:$B73))</f>
        <v/>
      </c>
      <c r="B73" s="8" t="n"/>
      <c r="C73" s="8" t="n"/>
      <c r="D73" s="8" t="n"/>
      <c r="E73" s="8" t="n"/>
      <c r="F73" s="7">
        <f>IF($E73="","",IFERROR(IF(VLOOKUP($E73,AcctTbl,4,0)="","",VLOOKUP($E73,AcctTbl,4,0)),"—"))</f>
        <v/>
      </c>
      <c r="G73" s="8" t="n"/>
      <c r="H73" s="9" t="n"/>
      <c r="I73" s="9" t="n"/>
      <c r="J73" s="10">
        <f>IF(OR($H73="",$I73=""),"",ROUND($H73*$I73,0))</f>
        <v/>
      </c>
      <c r="K73" s="10">
        <f>IF(OR($B73="",$E73="",Calc!$B70=""),"",SUMIFS(CalcAmtA,CalcPartyA,$E73,CalcKeyA,"&lt;="&amp;Calc!$B70)-SUMIFS(CalcWitB,CalcPartyB,$E73,CalcKeyB,"&lt;="&amp;Calc!$B70)+SUMIFS(CalcDepB,CalcPartyB,$E73,CalcKeyB,"&lt;="&amp;Calc!$B70))</f>
        <v/>
      </c>
      <c r="L73" s="8" t="n"/>
    </row>
    <row r="74">
      <c r="A74" s="7">
        <f>IF($B74="","",COUNTA($B$9:$B74))</f>
        <v/>
      </c>
      <c r="B74" s="8" t="n"/>
      <c r="C74" s="8" t="n"/>
      <c r="D74" s="8" t="n"/>
      <c r="E74" s="8" t="n"/>
      <c r="F74" s="7">
        <f>IF($E74="","",IFERROR(IF(VLOOKUP($E74,AcctTbl,4,0)="","",VLOOKUP($E74,AcctTbl,4,0)),"—"))</f>
        <v/>
      </c>
      <c r="G74" s="8" t="n"/>
      <c r="H74" s="9" t="n"/>
      <c r="I74" s="9" t="n"/>
      <c r="J74" s="10">
        <f>IF(OR($H74="",$I74=""),"",ROUND($H74*$I74,0))</f>
        <v/>
      </c>
      <c r="K74" s="10">
        <f>IF(OR($B74="",$E74="",Calc!$B71=""),"",SUMIFS(CalcAmtA,CalcPartyA,$E74,CalcKeyA,"&lt;="&amp;Calc!$B71)-SUMIFS(CalcWitB,CalcPartyB,$E74,CalcKeyB,"&lt;="&amp;Calc!$B71)+SUMIFS(CalcDepB,CalcPartyB,$E74,CalcKeyB,"&lt;="&amp;Calc!$B71))</f>
        <v/>
      </c>
      <c r="L74" s="8" t="n"/>
    </row>
    <row r="75">
      <c r="A75" s="7">
        <f>IF($B75="","",COUNTA($B$9:$B75))</f>
        <v/>
      </c>
      <c r="B75" s="8" t="n"/>
      <c r="C75" s="8" t="n"/>
      <c r="D75" s="8" t="n"/>
      <c r="E75" s="8" t="n"/>
      <c r="F75" s="7">
        <f>IF($E75="","",IFERROR(IF(VLOOKUP($E75,AcctTbl,4,0)="","",VLOOKUP($E75,AcctTbl,4,0)),"—"))</f>
        <v/>
      </c>
      <c r="G75" s="8" t="n"/>
      <c r="H75" s="9" t="n"/>
      <c r="I75" s="9" t="n"/>
      <c r="J75" s="10">
        <f>IF(OR($H75="",$I75=""),"",ROUND($H75*$I75,0))</f>
        <v/>
      </c>
      <c r="K75" s="10">
        <f>IF(OR($B75="",$E75="",Calc!$B72=""),"",SUMIFS(CalcAmtA,CalcPartyA,$E75,CalcKeyA,"&lt;="&amp;Calc!$B72)-SUMIFS(CalcWitB,CalcPartyB,$E75,CalcKeyB,"&lt;="&amp;Calc!$B72)+SUMIFS(CalcDepB,CalcPartyB,$E75,CalcKeyB,"&lt;="&amp;Calc!$B72))</f>
        <v/>
      </c>
      <c r="L75" s="8" t="n"/>
    </row>
    <row r="76">
      <c r="A76" s="7">
        <f>IF($B76="","",COUNTA($B$9:$B76))</f>
        <v/>
      </c>
      <c r="B76" s="8" t="n"/>
      <c r="C76" s="8" t="n"/>
      <c r="D76" s="8" t="n"/>
      <c r="E76" s="8" t="n"/>
      <c r="F76" s="7">
        <f>IF($E76="","",IFERROR(IF(VLOOKUP($E76,AcctTbl,4,0)="","",VLOOKUP($E76,AcctTbl,4,0)),"—"))</f>
        <v/>
      </c>
      <c r="G76" s="8" t="n"/>
      <c r="H76" s="9" t="n"/>
      <c r="I76" s="9" t="n"/>
      <c r="J76" s="10">
        <f>IF(OR($H76="",$I76=""),"",ROUND($H76*$I76,0))</f>
        <v/>
      </c>
      <c r="K76" s="10">
        <f>IF(OR($B76="",$E76="",Calc!$B73=""),"",SUMIFS(CalcAmtA,CalcPartyA,$E76,CalcKeyA,"&lt;="&amp;Calc!$B73)-SUMIFS(CalcWitB,CalcPartyB,$E76,CalcKeyB,"&lt;="&amp;Calc!$B73)+SUMIFS(CalcDepB,CalcPartyB,$E76,CalcKeyB,"&lt;="&amp;Calc!$B73))</f>
        <v/>
      </c>
      <c r="L76" s="8" t="n"/>
    </row>
    <row r="77">
      <c r="A77" s="7">
        <f>IF($B77="","",COUNTA($B$9:$B77))</f>
        <v/>
      </c>
      <c r="B77" s="8" t="n"/>
      <c r="C77" s="8" t="n"/>
      <c r="D77" s="8" t="n"/>
      <c r="E77" s="8" t="n"/>
      <c r="F77" s="7">
        <f>IF($E77="","",IFERROR(IF(VLOOKUP($E77,AcctTbl,4,0)="","",VLOOKUP($E77,AcctTbl,4,0)),"—"))</f>
        <v/>
      </c>
      <c r="G77" s="8" t="n"/>
      <c r="H77" s="9" t="n"/>
      <c r="I77" s="9" t="n"/>
      <c r="J77" s="10">
        <f>IF(OR($H77="",$I77=""),"",ROUND($H77*$I77,0))</f>
        <v/>
      </c>
      <c r="K77" s="10">
        <f>IF(OR($B77="",$E77="",Calc!$B74=""),"",SUMIFS(CalcAmtA,CalcPartyA,$E77,CalcKeyA,"&lt;="&amp;Calc!$B74)-SUMIFS(CalcWitB,CalcPartyB,$E77,CalcKeyB,"&lt;="&amp;Calc!$B74)+SUMIFS(CalcDepB,CalcPartyB,$E77,CalcKeyB,"&lt;="&amp;Calc!$B74))</f>
        <v/>
      </c>
      <c r="L77" s="8" t="n"/>
    </row>
    <row r="78">
      <c r="A78" s="7">
        <f>IF($B78="","",COUNTA($B$9:$B78))</f>
        <v/>
      </c>
      <c r="B78" s="8" t="n"/>
      <c r="C78" s="8" t="n"/>
      <c r="D78" s="8" t="n"/>
      <c r="E78" s="8" t="n"/>
      <c r="F78" s="7">
        <f>IF($E78="","",IFERROR(IF(VLOOKUP($E78,AcctTbl,4,0)="","",VLOOKUP($E78,AcctTbl,4,0)),"—"))</f>
        <v/>
      </c>
      <c r="G78" s="8" t="n"/>
      <c r="H78" s="9" t="n"/>
      <c r="I78" s="9" t="n"/>
      <c r="J78" s="10">
        <f>IF(OR($H78="",$I78=""),"",ROUND($H78*$I78,0))</f>
        <v/>
      </c>
      <c r="K78" s="10">
        <f>IF(OR($B78="",$E78="",Calc!$B75=""),"",SUMIFS(CalcAmtA,CalcPartyA,$E78,CalcKeyA,"&lt;="&amp;Calc!$B75)-SUMIFS(CalcWitB,CalcPartyB,$E78,CalcKeyB,"&lt;="&amp;Calc!$B75)+SUMIFS(CalcDepB,CalcPartyB,$E78,CalcKeyB,"&lt;="&amp;Calc!$B75))</f>
        <v/>
      </c>
      <c r="L78" s="8" t="n"/>
    </row>
    <row r="79">
      <c r="A79" s="7">
        <f>IF($B79="","",COUNTA($B$9:$B79))</f>
        <v/>
      </c>
      <c r="B79" s="8" t="n"/>
      <c r="C79" s="8" t="n"/>
      <c r="D79" s="8" t="n"/>
      <c r="E79" s="8" t="n"/>
      <c r="F79" s="7">
        <f>IF($E79="","",IFERROR(IF(VLOOKUP($E79,AcctTbl,4,0)="","",VLOOKUP($E79,AcctTbl,4,0)),"—"))</f>
        <v/>
      </c>
      <c r="G79" s="8" t="n"/>
      <c r="H79" s="9" t="n"/>
      <c r="I79" s="9" t="n"/>
      <c r="J79" s="10">
        <f>IF(OR($H79="",$I79=""),"",ROUND($H79*$I79,0))</f>
        <v/>
      </c>
      <c r="K79" s="10">
        <f>IF(OR($B79="",$E79="",Calc!$B76=""),"",SUMIFS(CalcAmtA,CalcPartyA,$E79,CalcKeyA,"&lt;="&amp;Calc!$B76)-SUMIFS(CalcWitB,CalcPartyB,$E79,CalcKeyB,"&lt;="&amp;Calc!$B76)+SUMIFS(CalcDepB,CalcPartyB,$E79,CalcKeyB,"&lt;="&amp;Calc!$B76))</f>
        <v/>
      </c>
      <c r="L79" s="8" t="n"/>
    </row>
    <row r="80">
      <c r="A80" s="7">
        <f>IF($B80="","",COUNTA($B$9:$B80))</f>
        <v/>
      </c>
      <c r="B80" s="8" t="n"/>
      <c r="C80" s="8" t="n"/>
      <c r="D80" s="8" t="n"/>
      <c r="E80" s="8" t="n"/>
      <c r="F80" s="7">
        <f>IF($E80="","",IFERROR(IF(VLOOKUP($E80,AcctTbl,4,0)="","",VLOOKUP($E80,AcctTbl,4,0)),"—"))</f>
        <v/>
      </c>
      <c r="G80" s="8" t="n"/>
      <c r="H80" s="9" t="n"/>
      <c r="I80" s="9" t="n"/>
      <c r="J80" s="10">
        <f>IF(OR($H80="",$I80=""),"",ROUND($H80*$I80,0))</f>
        <v/>
      </c>
      <c r="K80" s="10">
        <f>IF(OR($B80="",$E80="",Calc!$B77=""),"",SUMIFS(CalcAmtA,CalcPartyA,$E80,CalcKeyA,"&lt;="&amp;Calc!$B77)-SUMIFS(CalcWitB,CalcPartyB,$E80,CalcKeyB,"&lt;="&amp;Calc!$B77)+SUMIFS(CalcDepB,CalcPartyB,$E80,CalcKeyB,"&lt;="&amp;Calc!$B77))</f>
        <v/>
      </c>
      <c r="L80" s="8" t="n"/>
    </row>
    <row r="81">
      <c r="A81" s="7">
        <f>IF($B81="","",COUNTA($B$9:$B81))</f>
        <v/>
      </c>
      <c r="B81" s="8" t="n"/>
      <c r="C81" s="8" t="n"/>
      <c r="D81" s="8" t="n"/>
      <c r="E81" s="8" t="n"/>
      <c r="F81" s="7">
        <f>IF($E81="","",IFERROR(IF(VLOOKUP($E81,AcctTbl,4,0)="","",VLOOKUP($E81,AcctTbl,4,0)),"—"))</f>
        <v/>
      </c>
      <c r="G81" s="8" t="n"/>
      <c r="H81" s="9" t="n"/>
      <c r="I81" s="9" t="n"/>
      <c r="J81" s="10">
        <f>IF(OR($H81="",$I81=""),"",ROUND($H81*$I81,0))</f>
        <v/>
      </c>
      <c r="K81" s="10">
        <f>IF(OR($B81="",$E81="",Calc!$B78=""),"",SUMIFS(CalcAmtA,CalcPartyA,$E81,CalcKeyA,"&lt;="&amp;Calc!$B78)-SUMIFS(CalcWitB,CalcPartyB,$E81,CalcKeyB,"&lt;="&amp;Calc!$B78)+SUMIFS(CalcDepB,CalcPartyB,$E81,CalcKeyB,"&lt;="&amp;Calc!$B78))</f>
        <v/>
      </c>
      <c r="L81" s="8" t="n"/>
    </row>
    <row r="82">
      <c r="A82" s="7">
        <f>IF($B82="","",COUNTA($B$9:$B82))</f>
        <v/>
      </c>
      <c r="B82" s="8" t="n"/>
      <c r="C82" s="8" t="n"/>
      <c r="D82" s="8" t="n"/>
      <c r="E82" s="8" t="n"/>
      <c r="F82" s="7">
        <f>IF($E82="","",IFERROR(IF(VLOOKUP($E82,AcctTbl,4,0)="","",VLOOKUP($E82,AcctTbl,4,0)),"—"))</f>
        <v/>
      </c>
      <c r="G82" s="8" t="n"/>
      <c r="H82" s="9" t="n"/>
      <c r="I82" s="9" t="n"/>
      <c r="J82" s="10">
        <f>IF(OR($H82="",$I82=""),"",ROUND($H82*$I82,0))</f>
        <v/>
      </c>
      <c r="K82" s="10">
        <f>IF(OR($B82="",$E82="",Calc!$B79=""),"",SUMIFS(CalcAmtA,CalcPartyA,$E82,CalcKeyA,"&lt;="&amp;Calc!$B79)-SUMIFS(CalcWitB,CalcPartyB,$E82,CalcKeyB,"&lt;="&amp;Calc!$B79)+SUMIFS(CalcDepB,CalcPartyB,$E82,CalcKeyB,"&lt;="&amp;Calc!$B79))</f>
        <v/>
      </c>
      <c r="L82" s="8" t="n"/>
    </row>
    <row r="83">
      <c r="A83" s="7">
        <f>IF($B83="","",COUNTA($B$9:$B83))</f>
        <v/>
      </c>
      <c r="B83" s="8" t="n"/>
      <c r="C83" s="8" t="n"/>
      <c r="D83" s="8" t="n"/>
      <c r="E83" s="8" t="n"/>
      <c r="F83" s="7">
        <f>IF($E83="","",IFERROR(IF(VLOOKUP($E83,AcctTbl,4,0)="","",VLOOKUP($E83,AcctTbl,4,0)),"—"))</f>
        <v/>
      </c>
      <c r="G83" s="8" t="n"/>
      <c r="H83" s="9" t="n"/>
      <c r="I83" s="9" t="n"/>
      <c r="J83" s="10">
        <f>IF(OR($H83="",$I83=""),"",ROUND($H83*$I83,0))</f>
        <v/>
      </c>
      <c r="K83" s="10">
        <f>IF(OR($B83="",$E83="",Calc!$B80=""),"",SUMIFS(CalcAmtA,CalcPartyA,$E83,CalcKeyA,"&lt;="&amp;Calc!$B80)-SUMIFS(CalcWitB,CalcPartyB,$E83,CalcKeyB,"&lt;="&amp;Calc!$B80)+SUMIFS(CalcDepB,CalcPartyB,$E83,CalcKeyB,"&lt;="&amp;Calc!$B80))</f>
        <v/>
      </c>
      <c r="L83" s="8" t="n"/>
    </row>
    <row r="84">
      <c r="A84" s="7">
        <f>IF($B84="","",COUNTA($B$9:$B84))</f>
        <v/>
      </c>
      <c r="B84" s="8" t="n"/>
      <c r="C84" s="8" t="n"/>
      <c r="D84" s="8" t="n"/>
      <c r="E84" s="8" t="n"/>
      <c r="F84" s="7">
        <f>IF($E84="","",IFERROR(IF(VLOOKUP($E84,AcctTbl,4,0)="","",VLOOKUP($E84,AcctTbl,4,0)),"—"))</f>
        <v/>
      </c>
      <c r="G84" s="8" t="n"/>
      <c r="H84" s="9" t="n"/>
      <c r="I84" s="9" t="n"/>
      <c r="J84" s="10">
        <f>IF(OR($H84="",$I84=""),"",ROUND($H84*$I84,0))</f>
        <v/>
      </c>
      <c r="K84" s="10">
        <f>IF(OR($B84="",$E84="",Calc!$B81=""),"",SUMIFS(CalcAmtA,CalcPartyA,$E84,CalcKeyA,"&lt;="&amp;Calc!$B81)-SUMIFS(CalcWitB,CalcPartyB,$E84,CalcKeyB,"&lt;="&amp;Calc!$B81)+SUMIFS(CalcDepB,CalcPartyB,$E84,CalcKeyB,"&lt;="&amp;Calc!$B81))</f>
        <v/>
      </c>
      <c r="L84" s="8" t="n"/>
    </row>
    <row r="85">
      <c r="A85" s="7">
        <f>IF($B85="","",COUNTA($B$9:$B85))</f>
        <v/>
      </c>
      <c r="B85" s="8" t="n"/>
      <c r="C85" s="8" t="n"/>
      <c r="D85" s="8" t="n"/>
      <c r="E85" s="8" t="n"/>
      <c r="F85" s="7">
        <f>IF($E85="","",IFERROR(IF(VLOOKUP($E85,AcctTbl,4,0)="","",VLOOKUP($E85,AcctTbl,4,0)),"—"))</f>
        <v/>
      </c>
      <c r="G85" s="8" t="n"/>
      <c r="H85" s="9" t="n"/>
      <c r="I85" s="9" t="n"/>
      <c r="J85" s="10">
        <f>IF(OR($H85="",$I85=""),"",ROUND($H85*$I85,0))</f>
        <v/>
      </c>
      <c r="K85" s="10">
        <f>IF(OR($B85="",$E85="",Calc!$B82=""),"",SUMIFS(CalcAmtA,CalcPartyA,$E85,CalcKeyA,"&lt;="&amp;Calc!$B82)-SUMIFS(CalcWitB,CalcPartyB,$E85,CalcKeyB,"&lt;="&amp;Calc!$B82)+SUMIFS(CalcDepB,CalcPartyB,$E85,CalcKeyB,"&lt;="&amp;Calc!$B82))</f>
        <v/>
      </c>
      <c r="L85" s="8" t="n"/>
    </row>
    <row r="86">
      <c r="A86" s="7">
        <f>IF($B86="","",COUNTA($B$9:$B86))</f>
        <v/>
      </c>
      <c r="B86" s="8" t="n"/>
      <c r="C86" s="8" t="n"/>
      <c r="D86" s="8" t="n"/>
      <c r="E86" s="8" t="n"/>
      <c r="F86" s="7">
        <f>IF($E86="","",IFERROR(IF(VLOOKUP($E86,AcctTbl,4,0)="","",VLOOKUP($E86,AcctTbl,4,0)),"—"))</f>
        <v/>
      </c>
      <c r="G86" s="8" t="n"/>
      <c r="H86" s="9" t="n"/>
      <c r="I86" s="9" t="n"/>
      <c r="J86" s="10">
        <f>IF(OR($H86="",$I86=""),"",ROUND($H86*$I86,0))</f>
        <v/>
      </c>
      <c r="K86" s="10">
        <f>IF(OR($B86="",$E86="",Calc!$B83=""),"",SUMIFS(CalcAmtA,CalcPartyA,$E86,CalcKeyA,"&lt;="&amp;Calc!$B83)-SUMIFS(CalcWitB,CalcPartyB,$E86,CalcKeyB,"&lt;="&amp;Calc!$B83)+SUMIFS(CalcDepB,CalcPartyB,$E86,CalcKeyB,"&lt;="&amp;Calc!$B83))</f>
        <v/>
      </c>
      <c r="L86" s="8" t="n"/>
    </row>
    <row r="87">
      <c r="A87" s="7">
        <f>IF($B87="","",COUNTA($B$9:$B87))</f>
        <v/>
      </c>
      <c r="B87" s="8" t="n"/>
      <c r="C87" s="8" t="n"/>
      <c r="D87" s="8" t="n"/>
      <c r="E87" s="8" t="n"/>
      <c r="F87" s="7">
        <f>IF($E87="","",IFERROR(IF(VLOOKUP($E87,AcctTbl,4,0)="","",VLOOKUP($E87,AcctTbl,4,0)),"—"))</f>
        <v/>
      </c>
      <c r="G87" s="8" t="n"/>
      <c r="H87" s="9" t="n"/>
      <c r="I87" s="9" t="n"/>
      <c r="J87" s="10">
        <f>IF(OR($H87="",$I87=""),"",ROUND($H87*$I87,0))</f>
        <v/>
      </c>
      <c r="K87" s="10">
        <f>IF(OR($B87="",$E87="",Calc!$B84=""),"",SUMIFS(CalcAmtA,CalcPartyA,$E87,CalcKeyA,"&lt;="&amp;Calc!$B84)-SUMIFS(CalcWitB,CalcPartyB,$E87,CalcKeyB,"&lt;="&amp;Calc!$B84)+SUMIFS(CalcDepB,CalcPartyB,$E87,CalcKeyB,"&lt;="&amp;Calc!$B84))</f>
        <v/>
      </c>
      <c r="L87" s="8" t="n"/>
    </row>
    <row r="88">
      <c r="A88" s="7">
        <f>IF($B88="","",COUNTA($B$9:$B88))</f>
        <v/>
      </c>
      <c r="B88" s="8" t="n"/>
      <c r="C88" s="8" t="n"/>
      <c r="D88" s="8" t="n"/>
      <c r="E88" s="8" t="n"/>
      <c r="F88" s="7">
        <f>IF($E88="","",IFERROR(IF(VLOOKUP($E88,AcctTbl,4,0)="","",VLOOKUP($E88,AcctTbl,4,0)),"—"))</f>
        <v/>
      </c>
      <c r="G88" s="8" t="n"/>
      <c r="H88" s="9" t="n"/>
      <c r="I88" s="9" t="n"/>
      <c r="J88" s="10">
        <f>IF(OR($H88="",$I88=""),"",ROUND($H88*$I88,0))</f>
        <v/>
      </c>
      <c r="K88" s="10">
        <f>IF(OR($B88="",$E88="",Calc!$B85=""),"",SUMIFS(CalcAmtA,CalcPartyA,$E88,CalcKeyA,"&lt;="&amp;Calc!$B85)-SUMIFS(CalcWitB,CalcPartyB,$E88,CalcKeyB,"&lt;="&amp;Calc!$B85)+SUMIFS(CalcDepB,CalcPartyB,$E88,CalcKeyB,"&lt;="&amp;Calc!$B85))</f>
        <v/>
      </c>
      <c r="L88" s="8" t="n"/>
    </row>
    <row r="89">
      <c r="A89" s="7">
        <f>IF($B89="","",COUNTA($B$9:$B89))</f>
        <v/>
      </c>
      <c r="B89" s="8" t="n"/>
      <c r="C89" s="8" t="n"/>
      <c r="D89" s="8" t="n"/>
      <c r="E89" s="8" t="n"/>
      <c r="F89" s="7">
        <f>IF($E89="","",IFERROR(IF(VLOOKUP($E89,AcctTbl,4,0)="","",VLOOKUP($E89,AcctTbl,4,0)),"—"))</f>
        <v/>
      </c>
      <c r="G89" s="8" t="n"/>
      <c r="H89" s="9" t="n"/>
      <c r="I89" s="9" t="n"/>
      <c r="J89" s="10">
        <f>IF(OR($H89="",$I89=""),"",ROUND($H89*$I89,0))</f>
        <v/>
      </c>
      <c r="K89" s="10">
        <f>IF(OR($B89="",$E89="",Calc!$B86=""),"",SUMIFS(CalcAmtA,CalcPartyA,$E89,CalcKeyA,"&lt;="&amp;Calc!$B86)-SUMIFS(CalcWitB,CalcPartyB,$E89,CalcKeyB,"&lt;="&amp;Calc!$B86)+SUMIFS(CalcDepB,CalcPartyB,$E89,CalcKeyB,"&lt;="&amp;Calc!$B86))</f>
        <v/>
      </c>
      <c r="L89" s="8" t="n"/>
    </row>
    <row r="90">
      <c r="A90" s="7">
        <f>IF($B90="","",COUNTA($B$9:$B90))</f>
        <v/>
      </c>
      <c r="B90" s="8" t="n"/>
      <c r="C90" s="8" t="n"/>
      <c r="D90" s="8" t="n"/>
      <c r="E90" s="8" t="n"/>
      <c r="F90" s="7">
        <f>IF($E90="","",IFERROR(IF(VLOOKUP($E90,AcctTbl,4,0)="","",VLOOKUP($E90,AcctTbl,4,0)),"—"))</f>
        <v/>
      </c>
      <c r="G90" s="8" t="n"/>
      <c r="H90" s="9" t="n"/>
      <c r="I90" s="9" t="n"/>
      <c r="J90" s="10">
        <f>IF(OR($H90="",$I90=""),"",ROUND($H90*$I90,0))</f>
        <v/>
      </c>
      <c r="K90" s="10">
        <f>IF(OR($B90="",$E90="",Calc!$B87=""),"",SUMIFS(CalcAmtA,CalcPartyA,$E90,CalcKeyA,"&lt;="&amp;Calc!$B87)-SUMIFS(CalcWitB,CalcPartyB,$E90,CalcKeyB,"&lt;="&amp;Calc!$B87)+SUMIFS(CalcDepB,CalcPartyB,$E90,CalcKeyB,"&lt;="&amp;Calc!$B87))</f>
        <v/>
      </c>
      <c r="L90" s="8" t="n"/>
    </row>
    <row r="91">
      <c r="A91" s="7">
        <f>IF($B91="","",COUNTA($B$9:$B91))</f>
        <v/>
      </c>
      <c r="B91" s="8" t="n"/>
      <c r="C91" s="8" t="n"/>
      <c r="D91" s="8" t="n"/>
      <c r="E91" s="8" t="n"/>
      <c r="F91" s="7">
        <f>IF($E91="","",IFERROR(IF(VLOOKUP($E91,AcctTbl,4,0)="","",VLOOKUP($E91,AcctTbl,4,0)),"—"))</f>
        <v/>
      </c>
      <c r="G91" s="8" t="n"/>
      <c r="H91" s="9" t="n"/>
      <c r="I91" s="9" t="n"/>
      <c r="J91" s="10">
        <f>IF(OR($H91="",$I91=""),"",ROUND($H91*$I91,0))</f>
        <v/>
      </c>
      <c r="K91" s="10">
        <f>IF(OR($B91="",$E91="",Calc!$B88=""),"",SUMIFS(CalcAmtA,CalcPartyA,$E91,CalcKeyA,"&lt;="&amp;Calc!$B88)-SUMIFS(CalcWitB,CalcPartyB,$E91,CalcKeyB,"&lt;="&amp;Calc!$B88)+SUMIFS(CalcDepB,CalcPartyB,$E91,CalcKeyB,"&lt;="&amp;Calc!$B88))</f>
        <v/>
      </c>
      <c r="L91" s="8" t="n"/>
    </row>
    <row r="92">
      <c r="A92" s="7">
        <f>IF($B92="","",COUNTA($B$9:$B92))</f>
        <v/>
      </c>
      <c r="B92" s="8" t="n"/>
      <c r="C92" s="8" t="n"/>
      <c r="D92" s="8" t="n"/>
      <c r="E92" s="8" t="n"/>
      <c r="F92" s="7">
        <f>IF($E92="","",IFERROR(IF(VLOOKUP($E92,AcctTbl,4,0)="","",VLOOKUP($E92,AcctTbl,4,0)),"—"))</f>
        <v/>
      </c>
      <c r="G92" s="8" t="n"/>
      <c r="H92" s="9" t="n"/>
      <c r="I92" s="9" t="n"/>
      <c r="J92" s="10">
        <f>IF(OR($H92="",$I92=""),"",ROUND($H92*$I92,0))</f>
        <v/>
      </c>
      <c r="K92" s="10">
        <f>IF(OR($B92="",$E92="",Calc!$B89=""),"",SUMIFS(CalcAmtA,CalcPartyA,$E92,CalcKeyA,"&lt;="&amp;Calc!$B89)-SUMIFS(CalcWitB,CalcPartyB,$E92,CalcKeyB,"&lt;="&amp;Calc!$B89)+SUMIFS(CalcDepB,CalcPartyB,$E92,CalcKeyB,"&lt;="&amp;Calc!$B89))</f>
        <v/>
      </c>
      <c r="L92" s="8" t="n"/>
    </row>
    <row r="93">
      <c r="A93" s="7">
        <f>IF($B93="","",COUNTA($B$9:$B93))</f>
        <v/>
      </c>
      <c r="B93" s="8" t="n"/>
      <c r="C93" s="8" t="n"/>
      <c r="D93" s="8" t="n"/>
      <c r="E93" s="8" t="n"/>
      <c r="F93" s="7">
        <f>IF($E93="","",IFERROR(IF(VLOOKUP($E93,AcctTbl,4,0)="","",VLOOKUP($E93,AcctTbl,4,0)),"—"))</f>
        <v/>
      </c>
      <c r="G93" s="8" t="n"/>
      <c r="H93" s="9" t="n"/>
      <c r="I93" s="9" t="n"/>
      <c r="J93" s="10">
        <f>IF(OR($H93="",$I93=""),"",ROUND($H93*$I93,0))</f>
        <v/>
      </c>
      <c r="K93" s="10">
        <f>IF(OR($B93="",$E93="",Calc!$B90=""),"",SUMIFS(CalcAmtA,CalcPartyA,$E93,CalcKeyA,"&lt;="&amp;Calc!$B90)-SUMIFS(CalcWitB,CalcPartyB,$E93,CalcKeyB,"&lt;="&amp;Calc!$B90)+SUMIFS(CalcDepB,CalcPartyB,$E93,CalcKeyB,"&lt;="&amp;Calc!$B90))</f>
        <v/>
      </c>
      <c r="L93" s="8" t="n"/>
    </row>
    <row r="94">
      <c r="A94" s="7">
        <f>IF($B94="","",COUNTA($B$9:$B94))</f>
        <v/>
      </c>
      <c r="B94" s="8" t="n"/>
      <c r="C94" s="8" t="n"/>
      <c r="D94" s="8" t="n"/>
      <c r="E94" s="8" t="n"/>
      <c r="F94" s="7">
        <f>IF($E94="","",IFERROR(IF(VLOOKUP($E94,AcctTbl,4,0)="","",VLOOKUP($E94,AcctTbl,4,0)),"—"))</f>
        <v/>
      </c>
      <c r="G94" s="8" t="n"/>
      <c r="H94" s="9" t="n"/>
      <c r="I94" s="9" t="n"/>
      <c r="J94" s="10">
        <f>IF(OR($H94="",$I94=""),"",ROUND($H94*$I94,0))</f>
        <v/>
      </c>
      <c r="K94" s="10">
        <f>IF(OR($B94="",$E94="",Calc!$B91=""),"",SUMIFS(CalcAmtA,CalcPartyA,$E94,CalcKeyA,"&lt;="&amp;Calc!$B91)-SUMIFS(CalcWitB,CalcPartyB,$E94,CalcKeyB,"&lt;="&amp;Calc!$B91)+SUMIFS(CalcDepB,CalcPartyB,$E94,CalcKeyB,"&lt;="&amp;Calc!$B91))</f>
        <v/>
      </c>
      <c r="L94" s="8" t="n"/>
    </row>
    <row r="95">
      <c r="A95" s="7">
        <f>IF($B95="","",COUNTA($B$9:$B95))</f>
        <v/>
      </c>
      <c r="B95" s="8" t="n"/>
      <c r="C95" s="8" t="n"/>
      <c r="D95" s="8" t="n"/>
      <c r="E95" s="8" t="n"/>
      <c r="F95" s="7">
        <f>IF($E95="","",IFERROR(IF(VLOOKUP($E95,AcctTbl,4,0)="","",VLOOKUP($E95,AcctTbl,4,0)),"—"))</f>
        <v/>
      </c>
      <c r="G95" s="8" t="n"/>
      <c r="H95" s="9" t="n"/>
      <c r="I95" s="9" t="n"/>
      <c r="J95" s="10">
        <f>IF(OR($H95="",$I95=""),"",ROUND($H95*$I95,0))</f>
        <v/>
      </c>
      <c r="K95" s="10">
        <f>IF(OR($B95="",$E95="",Calc!$B92=""),"",SUMIFS(CalcAmtA,CalcPartyA,$E95,CalcKeyA,"&lt;="&amp;Calc!$B92)-SUMIFS(CalcWitB,CalcPartyB,$E95,CalcKeyB,"&lt;="&amp;Calc!$B92)+SUMIFS(CalcDepB,CalcPartyB,$E95,CalcKeyB,"&lt;="&amp;Calc!$B92))</f>
        <v/>
      </c>
      <c r="L95" s="8" t="n"/>
    </row>
    <row r="96">
      <c r="A96" s="7">
        <f>IF($B96="","",COUNTA($B$9:$B96))</f>
        <v/>
      </c>
      <c r="B96" s="8" t="n"/>
      <c r="C96" s="8" t="n"/>
      <c r="D96" s="8" t="n"/>
      <c r="E96" s="8" t="n"/>
      <c r="F96" s="7">
        <f>IF($E96="","",IFERROR(IF(VLOOKUP($E96,AcctTbl,4,0)="","",VLOOKUP($E96,AcctTbl,4,0)),"—"))</f>
        <v/>
      </c>
      <c r="G96" s="8" t="n"/>
      <c r="H96" s="9" t="n"/>
      <c r="I96" s="9" t="n"/>
      <c r="J96" s="10">
        <f>IF(OR($H96="",$I96=""),"",ROUND($H96*$I96,0))</f>
        <v/>
      </c>
      <c r="K96" s="10">
        <f>IF(OR($B96="",$E96="",Calc!$B93=""),"",SUMIFS(CalcAmtA,CalcPartyA,$E96,CalcKeyA,"&lt;="&amp;Calc!$B93)-SUMIFS(CalcWitB,CalcPartyB,$E96,CalcKeyB,"&lt;="&amp;Calc!$B93)+SUMIFS(CalcDepB,CalcPartyB,$E96,CalcKeyB,"&lt;="&amp;Calc!$B93))</f>
        <v/>
      </c>
      <c r="L96" s="8" t="n"/>
    </row>
    <row r="97">
      <c r="A97" s="7">
        <f>IF($B97="","",COUNTA($B$9:$B97))</f>
        <v/>
      </c>
      <c r="B97" s="8" t="n"/>
      <c r="C97" s="8" t="n"/>
      <c r="D97" s="8" t="n"/>
      <c r="E97" s="8" t="n"/>
      <c r="F97" s="7">
        <f>IF($E97="","",IFERROR(IF(VLOOKUP($E97,AcctTbl,4,0)="","",VLOOKUP($E97,AcctTbl,4,0)),"—"))</f>
        <v/>
      </c>
      <c r="G97" s="8" t="n"/>
      <c r="H97" s="9" t="n"/>
      <c r="I97" s="9" t="n"/>
      <c r="J97" s="10">
        <f>IF(OR($H97="",$I97=""),"",ROUND($H97*$I97,0))</f>
        <v/>
      </c>
      <c r="K97" s="10">
        <f>IF(OR($B97="",$E97="",Calc!$B94=""),"",SUMIFS(CalcAmtA,CalcPartyA,$E97,CalcKeyA,"&lt;="&amp;Calc!$B94)-SUMIFS(CalcWitB,CalcPartyB,$E97,CalcKeyB,"&lt;="&amp;Calc!$B94)+SUMIFS(CalcDepB,CalcPartyB,$E97,CalcKeyB,"&lt;="&amp;Calc!$B94))</f>
        <v/>
      </c>
      <c r="L97" s="8" t="n"/>
    </row>
    <row r="98">
      <c r="A98" s="7">
        <f>IF($B98="","",COUNTA($B$9:$B98))</f>
        <v/>
      </c>
      <c r="B98" s="8" t="n"/>
      <c r="C98" s="8" t="n"/>
      <c r="D98" s="8" t="n"/>
      <c r="E98" s="8" t="n"/>
      <c r="F98" s="7">
        <f>IF($E98="","",IFERROR(IF(VLOOKUP($E98,AcctTbl,4,0)="","",VLOOKUP($E98,AcctTbl,4,0)),"—"))</f>
        <v/>
      </c>
      <c r="G98" s="8" t="n"/>
      <c r="H98" s="9" t="n"/>
      <c r="I98" s="9" t="n"/>
      <c r="J98" s="10">
        <f>IF(OR($H98="",$I98=""),"",ROUND($H98*$I98,0))</f>
        <v/>
      </c>
      <c r="K98" s="10">
        <f>IF(OR($B98="",$E98="",Calc!$B95=""),"",SUMIFS(CalcAmtA,CalcPartyA,$E98,CalcKeyA,"&lt;="&amp;Calc!$B95)-SUMIFS(CalcWitB,CalcPartyB,$E98,CalcKeyB,"&lt;="&amp;Calc!$B95)+SUMIFS(CalcDepB,CalcPartyB,$E98,CalcKeyB,"&lt;="&amp;Calc!$B95))</f>
        <v/>
      </c>
      <c r="L98" s="8" t="n"/>
    </row>
    <row r="99">
      <c r="A99" s="7">
        <f>IF($B99="","",COUNTA($B$9:$B99))</f>
        <v/>
      </c>
      <c r="B99" s="8" t="n"/>
      <c r="C99" s="8" t="n"/>
      <c r="D99" s="8" t="n"/>
      <c r="E99" s="8" t="n"/>
      <c r="F99" s="7">
        <f>IF($E99="","",IFERROR(IF(VLOOKUP($E99,AcctTbl,4,0)="","",VLOOKUP($E99,AcctTbl,4,0)),"—"))</f>
        <v/>
      </c>
      <c r="G99" s="8" t="n"/>
      <c r="H99" s="9" t="n"/>
      <c r="I99" s="9" t="n"/>
      <c r="J99" s="10">
        <f>IF(OR($H99="",$I99=""),"",ROUND($H99*$I99,0))</f>
        <v/>
      </c>
      <c r="K99" s="10">
        <f>IF(OR($B99="",$E99="",Calc!$B96=""),"",SUMIFS(CalcAmtA,CalcPartyA,$E99,CalcKeyA,"&lt;="&amp;Calc!$B96)-SUMIFS(CalcWitB,CalcPartyB,$E99,CalcKeyB,"&lt;="&amp;Calc!$B96)+SUMIFS(CalcDepB,CalcPartyB,$E99,CalcKeyB,"&lt;="&amp;Calc!$B96))</f>
        <v/>
      </c>
      <c r="L99" s="8" t="n"/>
    </row>
    <row r="100">
      <c r="A100" s="7">
        <f>IF($B100="","",COUNTA($B$9:$B100))</f>
        <v/>
      </c>
      <c r="B100" s="8" t="n"/>
      <c r="C100" s="8" t="n"/>
      <c r="D100" s="8" t="n"/>
      <c r="E100" s="8" t="n"/>
      <c r="F100" s="7">
        <f>IF($E100="","",IFERROR(IF(VLOOKUP($E100,AcctTbl,4,0)="","",VLOOKUP($E100,AcctTbl,4,0)),"—"))</f>
        <v/>
      </c>
      <c r="G100" s="8" t="n"/>
      <c r="H100" s="9" t="n"/>
      <c r="I100" s="9" t="n"/>
      <c r="J100" s="10">
        <f>IF(OR($H100="",$I100=""),"",ROUND($H100*$I100,0))</f>
        <v/>
      </c>
      <c r="K100" s="10">
        <f>IF(OR($B100="",$E100="",Calc!$B97=""),"",SUMIFS(CalcAmtA,CalcPartyA,$E100,CalcKeyA,"&lt;="&amp;Calc!$B97)-SUMIFS(CalcWitB,CalcPartyB,$E100,CalcKeyB,"&lt;="&amp;Calc!$B97)+SUMIFS(CalcDepB,CalcPartyB,$E100,CalcKeyB,"&lt;="&amp;Calc!$B97))</f>
        <v/>
      </c>
      <c r="L100" s="8" t="n"/>
    </row>
    <row r="101">
      <c r="A101" s="7">
        <f>IF($B101="","",COUNTA($B$9:$B101))</f>
        <v/>
      </c>
      <c r="B101" s="8" t="n"/>
      <c r="C101" s="8" t="n"/>
      <c r="D101" s="8" t="n"/>
      <c r="E101" s="8" t="n"/>
      <c r="F101" s="7">
        <f>IF($E101="","",IFERROR(IF(VLOOKUP($E101,AcctTbl,4,0)="","",VLOOKUP($E101,AcctTbl,4,0)),"—"))</f>
        <v/>
      </c>
      <c r="G101" s="8" t="n"/>
      <c r="H101" s="9" t="n"/>
      <c r="I101" s="9" t="n"/>
      <c r="J101" s="10">
        <f>IF(OR($H101="",$I101=""),"",ROUND($H101*$I101,0))</f>
        <v/>
      </c>
      <c r="K101" s="10">
        <f>IF(OR($B101="",$E101="",Calc!$B98=""),"",SUMIFS(CalcAmtA,CalcPartyA,$E101,CalcKeyA,"&lt;="&amp;Calc!$B98)-SUMIFS(CalcWitB,CalcPartyB,$E101,CalcKeyB,"&lt;="&amp;Calc!$B98)+SUMIFS(CalcDepB,CalcPartyB,$E101,CalcKeyB,"&lt;="&amp;Calc!$B98))</f>
        <v/>
      </c>
      <c r="L101" s="8" t="n"/>
    </row>
    <row r="102">
      <c r="A102" s="7">
        <f>IF($B102="","",COUNTA($B$9:$B102))</f>
        <v/>
      </c>
      <c r="B102" s="8" t="n"/>
      <c r="C102" s="8" t="n"/>
      <c r="D102" s="8" t="n"/>
      <c r="E102" s="8" t="n"/>
      <c r="F102" s="7">
        <f>IF($E102="","",IFERROR(IF(VLOOKUP($E102,AcctTbl,4,0)="","",VLOOKUP($E102,AcctTbl,4,0)),"—"))</f>
        <v/>
      </c>
      <c r="G102" s="8" t="n"/>
      <c r="H102" s="9" t="n"/>
      <c r="I102" s="9" t="n"/>
      <c r="J102" s="10">
        <f>IF(OR($H102="",$I102=""),"",ROUND($H102*$I102,0))</f>
        <v/>
      </c>
      <c r="K102" s="10">
        <f>IF(OR($B102="",$E102="",Calc!$B99=""),"",SUMIFS(CalcAmtA,CalcPartyA,$E102,CalcKeyA,"&lt;="&amp;Calc!$B99)-SUMIFS(CalcWitB,CalcPartyB,$E102,CalcKeyB,"&lt;="&amp;Calc!$B99)+SUMIFS(CalcDepB,CalcPartyB,$E102,CalcKeyB,"&lt;="&amp;Calc!$B99))</f>
        <v/>
      </c>
      <c r="L102" s="8" t="n"/>
    </row>
    <row r="103">
      <c r="A103" s="7">
        <f>IF($B103="","",COUNTA($B$9:$B103))</f>
        <v/>
      </c>
      <c r="B103" s="8" t="n"/>
      <c r="C103" s="8" t="n"/>
      <c r="D103" s="8" t="n"/>
      <c r="E103" s="8" t="n"/>
      <c r="F103" s="7">
        <f>IF($E103="","",IFERROR(IF(VLOOKUP($E103,AcctTbl,4,0)="","",VLOOKUP($E103,AcctTbl,4,0)),"—"))</f>
        <v/>
      </c>
      <c r="G103" s="8" t="n"/>
      <c r="H103" s="9" t="n"/>
      <c r="I103" s="9" t="n"/>
      <c r="J103" s="10">
        <f>IF(OR($H103="",$I103=""),"",ROUND($H103*$I103,0))</f>
        <v/>
      </c>
      <c r="K103" s="10">
        <f>IF(OR($B103="",$E103="",Calc!$B100=""),"",SUMIFS(CalcAmtA,CalcPartyA,$E103,CalcKeyA,"&lt;="&amp;Calc!$B100)-SUMIFS(CalcWitB,CalcPartyB,$E103,CalcKeyB,"&lt;="&amp;Calc!$B100)+SUMIFS(CalcDepB,CalcPartyB,$E103,CalcKeyB,"&lt;="&amp;Calc!$B100))</f>
        <v/>
      </c>
      <c r="L103" s="8" t="n"/>
    </row>
    <row r="104">
      <c r="A104" s="7">
        <f>IF($B104="","",COUNTA($B$9:$B104))</f>
        <v/>
      </c>
      <c r="B104" s="8" t="n"/>
      <c r="C104" s="8" t="n"/>
      <c r="D104" s="8" t="n"/>
      <c r="E104" s="8" t="n"/>
      <c r="F104" s="7">
        <f>IF($E104="","",IFERROR(IF(VLOOKUP($E104,AcctTbl,4,0)="","",VLOOKUP($E104,AcctTbl,4,0)),"—"))</f>
        <v/>
      </c>
      <c r="G104" s="8" t="n"/>
      <c r="H104" s="9" t="n"/>
      <c r="I104" s="9" t="n"/>
      <c r="J104" s="10">
        <f>IF(OR($H104="",$I104=""),"",ROUND($H104*$I104,0))</f>
        <v/>
      </c>
      <c r="K104" s="10">
        <f>IF(OR($B104="",$E104="",Calc!$B101=""),"",SUMIFS(CalcAmtA,CalcPartyA,$E104,CalcKeyA,"&lt;="&amp;Calc!$B101)-SUMIFS(CalcWitB,CalcPartyB,$E104,CalcKeyB,"&lt;="&amp;Calc!$B101)+SUMIFS(CalcDepB,CalcPartyB,$E104,CalcKeyB,"&lt;="&amp;Calc!$B101))</f>
        <v/>
      </c>
      <c r="L104" s="8" t="n"/>
    </row>
    <row r="105">
      <c r="A105" s="7">
        <f>IF($B105="","",COUNTA($B$9:$B105))</f>
        <v/>
      </c>
      <c r="B105" s="8" t="n"/>
      <c r="C105" s="8" t="n"/>
      <c r="D105" s="8" t="n"/>
      <c r="E105" s="8" t="n"/>
      <c r="F105" s="7">
        <f>IF($E105="","",IFERROR(IF(VLOOKUP($E105,AcctTbl,4,0)="","",VLOOKUP($E105,AcctTbl,4,0)),"—"))</f>
        <v/>
      </c>
      <c r="G105" s="8" t="n"/>
      <c r="H105" s="9" t="n"/>
      <c r="I105" s="9" t="n"/>
      <c r="J105" s="10">
        <f>IF(OR($H105="",$I105=""),"",ROUND($H105*$I105,0))</f>
        <v/>
      </c>
      <c r="K105" s="10">
        <f>IF(OR($B105="",$E105="",Calc!$B102=""),"",SUMIFS(CalcAmtA,CalcPartyA,$E105,CalcKeyA,"&lt;="&amp;Calc!$B102)-SUMIFS(CalcWitB,CalcPartyB,$E105,CalcKeyB,"&lt;="&amp;Calc!$B102)+SUMIFS(CalcDepB,CalcPartyB,$E105,CalcKeyB,"&lt;="&amp;Calc!$B102))</f>
        <v/>
      </c>
      <c r="L105" s="8" t="n"/>
    </row>
    <row r="106">
      <c r="A106" s="7">
        <f>IF($B106="","",COUNTA($B$9:$B106))</f>
        <v/>
      </c>
      <c r="B106" s="8" t="n"/>
      <c r="C106" s="8" t="n"/>
      <c r="D106" s="8" t="n"/>
      <c r="E106" s="8" t="n"/>
      <c r="F106" s="7">
        <f>IF($E106="","",IFERROR(IF(VLOOKUP($E106,AcctTbl,4,0)="","",VLOOKUP($E106,AcctTbl,4,0)),"—"))</f>
        <v/>
      </c>
      <c r="G106" s="8" t="n"/>
      <c r="H106" s="9" t="n"/>
      <c r="I106" s="9" t="n"/>
      <c r="J106" s="10">
        <f>IF(OR($H106="",$I106=""),"",ROUND($H106*$I106,0))</f>
        <v/>
      </c>
      <c r="K106" s="10">
        <f>IF(OR($B106="",$E106="",Calc!$B103=""),"",SUMIFS(CalcAmtA,CalcPartyA,$E106,CalcKeyA,"&lt;="&amp;Calc!$B103)-SUMIFS(CalcWitB,CalcPartyB,$E106,CalcKeyB,"&lt;="&amp;Calc!$B103)+SUMIFS(CalcDepB,CalcPartyB,$E106,CalcKeyB,"&lt;="&amp;Calc!$B103))</f>
        <v/>
      </c>
      <c r="L106" s="8" t="n"/>
    </row>
    <row r="107">
      <c r="A107" s="7">
        <f>IF($B107="","",COUNTA($B$9:$B107))</f>
        <v/>
      </c>
      <c r="B107" s="8" t="n"/>
      <c r="C107" s="8" t="n"/>
      <c r="D107" s="8" t="n"/>
      <c r="E107" s="8" t="n"/>
      <c r="F107" s="7">
        <f>IF($E107="","",IFERROR(IF(VLOOKUP($E107,AcctTbl,4,0)="","",VLOOKUP($E107,AcctTbl,4,0)),"—"))</f>
        <v/>
      </c>
      <c r="G107" s="8" t="n"/>
      <c r="H107" s="9" t="n"/>
      <c r="I107" s="9" t="n"/>
      <c r="J107" s="10">
        <f>IF(OR($H107="",$I107=""),"",ROUND($H107*$I107,0))</f>
        <v/>
      </c>
      <c r="K107" s="10">
        <f>IF(OR($B107="",$E107="",Calc!$B104=""),"",SUMIFS(CalcAmtA,CalcPartyA,$E107,CalcKeyA,"&lt;="&amp;Calc!$B104)-SUMIFS(CalcWitB,CalcPartyB,$E107,CalcKeyB,"&lt;="&amp;Calc!$B104)+SUMIFS(CalcDepB,CalcPartyB,$E107,CalcKeyB,"&lt;="&amp;Calc!$B104))</f>
        <v/>
      </c>
      <c r="L107" s="8" t="n"/>
    </row>
    <row r="108">
      <c r="A108" s="7">
        <f>IF($B108="","",COUNTA($B$9:$B108))</f>
        <v/>
      </c>
      <c r="B108" s="8" t="n"/>
      <c r="C108" s="8" t="n"/>
      <c r="D108" s="8" t="n"/>
      <c r="E108" s="8" t="n"/>
      <c r="F108" s="7">
        <f>IF($E108="","",IFERROR(IF(VLOOKUP($E108,AcctTbl,4,0)="","",VLOOKUP($E108,AcctTbl,4,0)),"—"))</f>
        <v/>
      </c>
      <c r="G108" s="8" t="n"/>
      <c r="H108" s="9" t="n"/>
      <c r="I108" s="9" t="n"/>
      <c r="J108" s="10">
        <f>IF(OR($H108="",$I108=""),"",ROUND($H108*$I108,0))</f>
        <v/>
      </c>
      <c r="K108" s="10">
        <f>IF(OR($B108="",$E108="",Calc!$B105=""),"",SUMIFS(CalcAmtA,CalcPartyA,$E108,CalcKeyA,"&lt;="&amp;Calc!$B105)-SUMIFS(CalcWitB,CalcPartyB,$E108,CalcKeyB,"&lt;="&amp;Calc!$B105)+SUMIFS(CalcDepB,CalcPartyB,$E108,CalcKeyB,"&lt;="&amp;Calc!$B105))</f>
        <v/>
      </c>
      <c r="L108" s="8" t="n"/>
    </row>
    <row r="109">
      <c r="A109" s="7">
        <f>IF($B109="","",COUNTA($B$9:$B109))</f>
        <v/>
      </c>
      <c r="B109" s="8" t="n"/>
      <c r="C109" s="8" t="n"/>
      <c r="D109" s="8" t="n"/>
      <c r="E109" s="8" t="n"/>
      <c r="F109" s="7">
        <f>IF($E109="","",IFERROR(IF(VLOOKUP($E109,AcctTbl,4,0)="","",VLOOKUP($E109,AcctTbl,4,0)),"—"))</f>
        <v/>
      </c>
      <c r="G109" s="8" t="n"/>
      <c r="H109" s="9" t="n"/>
      <c r="I109" s="9" t="n"/>
      <c r="J109" s="10">
        <f>IF(OR($H109="",$I109=""),"",ROUND($H109*$I109,0))</f>
        <v/>
      </c>
      <c r="K109" s="10">
        <f>IF(OR($B109="",$E109="",Calc!$B106=""),"",SUMIFS(CalcAmtA,CalcPartyA,$E109,CalcKeyA,"&lt;="&amp;Calc!$B106)-SUMIFS(CalcWitB,CalcPartyB,$E109,CalcKeyB,"&lt;="&amp;Calc!$B106)+SUMIFS(CalcDepB,CalcPartyB,$E109,CalcKeyB,"&lt;="&amp;Calc!$B106))</f>
        <v/>
      </c>
      <c r="L109" s="8" t="n"/>
    </row>
    <row r="110">
      <c r="A110" s="7">
        <f>IF($B110="","",COUNTA($B$9:$B110))</f>
        <v/>
      </c>
      <c r="B110" s="8" t="n"/>
      <c r="C110" s="8" t="n"/>
      <c r="D110" s="8" t="n"/>
      <c r="E110" s="8" t="n"/>
      <c r="F110" s="7">
        <f>IF($E110="","",IFERROR(IF(VLOOKUP($E110,AcctTbl,4,0)="","",VLOOKUP($E110,AcctTbl,4,0)),"—"))</f>
        <v/>
      </c>
      <c r="G110" s="8" t="n"/>
      <c r="H110" s="9" t="n"/>
      <c r="I110" s="9" t="n"/>
      <c r="J110" s="10">
        <f>IF(OR($H110="",$I110=""),"",ROUND($H110*$I110,0))</f>
        <v/>
      </c>
      <c r="K110" s="10">
        <f>IF(OR($B110="",$E110="",Calc!$B107=""),"",SUMIFS(CalcAmtA,CalcPartyA,$E110,CalcKeyA,"&lt;="&amp;Calc!$B107)-SUMIFS(CalcWitB,CalcPartyB,$E110,CalcKeyB,"&lt;="&amp;Calc!$B107)+SUMIFS(CalcDepB,CalcPartyB,$E110,CalcKeyB,"&lt;="&amp;Calc!$B107))</f>
        <v/>
      </c>
      <c r="L110" s="8" t="n"/>
    </row>
    <row r="111">
      <c r="A111" s="7">
        <f>IF($B111="","",COUNTA($B$9:$B111))</f>
        <v/>
      </c>
      <c r="B111" s="8" t="n"/>
      <c r="C111" s="8" t="n"/>
      <c r="D111" s="8" t="n"/>
      <c r="E111" s="8" t="n"/>
      <c r="F111" s="7">
        <f>IF($E111="","",IFERROR(IF(VLOOKUP($E111,AcctTbl,4,0)="","",VLOOKUP($E111,AcctTbl,4,0)),"—"))</f>
        <v/>
      </c>
      <c r="G111" s="8" t="n"/>
      <c r="H111" s="9" t="n"/>
      <c r="I111" s="9" t="n"/>
      <c r="J111" s="10">
        <f>IF(OR($H111="",$I111=""),"",ROUND($H111*$I111,0))</f>
        <v/>
      </c>
      <c r="K111" s="10">
        <f>IF(OR($B111="",$E111="",Calc!$B108=""),"",SUMIFS(CalcAmtA,CalcPartyA,$E111,CalcKeyA,"&lt;="&amp;Calc!$B108)-SUMIFS(CalcWitB,CalcPartyB,$E111,CalcKeyB,"&lt;="&amp;Calc!$B108)+SUMIFS(CalcDepB,CalcPartyB,$E111,CalcKeyB,"&lt;="&amp;Calc!$B108))</f>
        <v/>
      </c>
      <c r="L111" s="8" t="n"/>
    </row>
    <row r="112">
      <c r="A112" s="7">
        <f>IF($B112="","",COUNTA($B$9:$B112))</f>
        <v/>
      </c>
      <c r="B112" s="8" t="n"/>
      <c r="C112" s="8" t="n"/>
      <c r="D112" s="8" t="n"/>
      <c r="E112" s="8" t="n"/>
      <c r="F112" s="7">
        <f>IF($E112="","",IFERROR(IF(VLOOKUP($E112,AcctTbl,4,0)="","",VLOOKUP($E112,AcctTbl,4,0)),"—"))</f>
        <v/>
      </c>
      <c r="G112" s="8" t="n"/>
      <c r="H112" s="9" t="n"/>
      <c r="I112" s="9" t="n"/>
      <c r="J112" s="10">
        <f>IF(OR($H112="",$I112=""),"",ROUND($H112*$I112,0))</f>
        <v/>
      </c>
      <c r="K112" s="10">
        <f>IF(OR($B112="",$E112="",Calc!$B109=""),"",SUMIFS(CalcAmtA,CalcPartyA,$E112,CalcKeyA,"&lt;="&amp;Calc!$B109)-SUMIFS(CalcWitB,CalcPartyB,$E112,CalcKeyB,"&lt;="&amp;Calc!$B109)+SUMIFS(CalcDepB,CalcPartyB,$E112,CalcKeyB,"&lt;="&amp;Calc!$B109))</f>
        <v/>
      </c>
      <c r="L112" s="8" t="n"/>
    </row>
    <row r="113">
      <c r="A113" s="7">
        <f>IF($B113="","",COUNTA($B$9:$B113))</f>
        <v/>
      </c>
      <c r="B113" s="8" t="n"/>
      <c r="C113" s="8" t="n"/>
      <c r="D113" s="8" t="n"/>
      <c r="E113" s="8" t="n"/>
      <c r="F113" s="7">
        <f>IF($E113="","",IFERROR(IF(VLOOKUP($E113,AcctTbl,4,0)="","",VLOOKUP($E113,AcctTbl,4,0)),"—"))</f>
        <v/>
      </c>
      <c r="G113" s="8" t="n"/>
      <c r="H113" s="9" t="n"/>
      <c r="I113" s="9" t="n"/>
      <c r="J113" s="10">
        <f>IF(OR($H113="",$I113=""),"",ROUND($H113*$I113,0))</f>
        <v/>
      </c>
      <c r="K113" s="10">
        <f>IF(OR($B113="",$E113="",Calc!$B110=""),"",SUMIFS(CalcAmtA,CalcPartyA,$E113,CalcKeyA,"&lt;="&amp;Calc!$B110)-SUMIFS(CalcWitB,CalcPartyB,$E113,CalcKeyB,"&lt;="&amp;Calc!$B110)+SUMIFS(CalcDepB,CalcPartyB,$E113,CalcKeyB,"&lt;="&amp;Calc!$B110))</f>
        <v/>
      </c>
      <c r="L113" s="8" t="n"/>
    </row>
    <row r="114">
      <c r="A114" s="7">
        <f>IF($B114="","",COUNTA($B$9:$B114))</f>
        <v/>
      </c>
      <c r="B114" s="8" t="n"/>
      <c r="C114" s="8" t="n"/>
      <c r="D114" s="8" t="n"/>
      <c r="E114" s="8" t="n"/>
      <c r="F114" s="7">
        <f>IF($E114="","",IFERROR(IF(VLOOKUP($E114,AcctTbl,4,0)="","",VLOOKUP($E114,AcctTbl,4,0)),"—"))</f>
        <v/>
      </c>
      <c r="G114" s="8" t="n"/>
      <c r="H114" s="9" t="n"/>
      <c r="I114" s="9" t="n"/>
      <c r="J114" s="10">
        <f>IF(OR($H114="",$I114=""),"",ROUND($H114*$I114,0))</f>
        <v/>
      </c>
      <c r="K114" s="10">
        <f>IF(OR($B114="",$E114="",Calc!$B111=""),"",SUMIFS(CalcAmtA,CalcPartyA,$E114,CalcKeyA,"&lt;="&amp;Calc!$B111)-SUMIFS(CalcWitB,CalcPartyB,$E114,CalcKeyB,"&lt;="&amp;Calc!$B111)+SUMIFS(CalcDepB,CalcPartyB,$E114,CalcKeyB,"&lt;="&amp;Calc!$B111))</f>
        <v/>
      </c>
      <c r="L114" s="8" t="n"/>
    </row>
    <row r="115">
      <c r="A115" s="7">
        <f>IF($B115="","",COUNTA($B$9:$B115))</f>
        <v/>
      </c>
      <c r="B115" s="8" t="n"/>
      <c r="C115" s="8" t="n"/>
      <c r="D115" s="8" t="n"/>
      <c r="E115" s="8" t="n"/>
      <c r="F115" s="7">
        <f>IF($E115="","",IFERROR(IF(VLOOKUP($E115,AcctTbl,4,0)="","",VLOOKUP($E115,AcctTbl,4,0)),"—"))</f>
        <v/>
      </c>
      <c r="G115" s="8" t="n"/>
      <c r="H115" s="9" t="n"/>
      <c r="I115" s="9" t="n"/>
      <c r="J115" s="10">
        <f>IF(OR($H115="",$I115=""),"",ROUND($H115*$I115,0))</f>
        <v/>
      </c>
      <c r="K115" s="10">
        <f>IF(OR($B115="",$E115="",Calc!$B112=""),"",SUMIFS(CalcAmtA,CalcPartyA,$E115,CalcKeyA,"&lt;="&amp;Calc!$B112)-SUMIFS(CalcWitB,CalcPartyB,$E115,CalcKeyB,"&lt;="&amp;Calc!$B112)+SUMIFS(CalcDepB,CalcPartyB,$E115,CalcKeyB,"&lt;="&amp;Calc!$B112))</f>
        <v/>
      </c>
      <c r="L115" s="8" t="n"/>
    </row>
    <row r="116">
      <c r="A116" s="7">
        <f>IF($B116="","",COUNTA($B$9:$B116))</f>
        <v/>
      </c>
      <c r="B116" s="8" t="n"/>
      <c r="C116" s="8" t="n"/>
      <c r="D116" s="8" t="n"/>
      <c r="E116" s="8" t="n"/>
      <c r="F116" s="7">
        <f>IF($E116="","",IFERROR(IF(VLOOKUP($E116,AcctTbl,4,0)="","",VLOOKUP($E116,AcctTbl,4,0)),"—"))</f>
        <v/>
      </c>
      <c r="G116" s="8" t="n"/>
      <c r="H116" s="9" t="n"/>
      <c r="I116" s="9" t="n"/>
      <c r="J116" s="10">
        <f>IF(OR($H116="",$I116=""),"",ROUND($H116*$I116,0))</f>
        <v/>
      </c>
      <c r="K116" s="10">
        <f>IF(OR($B116="",$E116="",Calc!$B113=""),"",SUMIFS(CalcAmtA,CalcPartyA,$E116,CalcKeyA,"&lt;="&amp;Calc!$B113)-SUMIFS(CalcWitB,CalcPartyB,$E116,CalcKeyB,"&lt;="&amp;Calc!$B113)+SUMIFS(CalcDepB,CalcPartyB,$E116,CalcKeyB,"&lt;="&amp;Calc!$B113))</f>
        <v/>
      </c>
      <c r="L116" s="8" t="n"/>
    </row>
    <row r="117">
      <c r="A117" s="7">
        <f>IF($B117="","",COUNTA($B$9:$B117))</f>
        <v/>
      </c>
      <c r="B117" s="8" t="n"/>
      <c r="C117" s="8" t="n"/>
      <c r="D117" s="8" t="n"/>
      <c r="E117" s="8" t="n"/>
      <c r="F117" s="7">
        <f>IF($E117="","",IFERROR(IF(VLOOKUP($E117,AcctTbl,4,0)="","",VLOOKUP($E117,AcctTbl,4,0)),"—"))</f>
        <v/>
      </c>
      <c r="G117" s="8" t="n"/>
      <c r="H117" s="9" t="n"/>
      <c r="I117" s="9" t="n"/>
      <c r="J117" s="10">
        <f>IF(OR($H117="",$I117=""),"",ROUND($H117*$I117,0))</f>
        <v/>
      </c>
      <c r="K117" s="10">
        <f>IF(OR($B117="",$E117="",Calc!$B114=""),"",SUMIFS(CalcAmtA,CalcPartyA,$E117,CalcKeyA,"&lt;="&amp;Calc!$B114)-SUMIFS(CalcWitB,CalcPartyB,$E117,CalcKeyB,"&lt;="&amp;Calc!$B114)+SUMIFS(CalcDepB,CalcPartyB,$E117,CalcKeyB,"&lt;="&amp;Calc!$B114))</f>
        <v/>
      </c>
      <c r="L117" s="8" t="n"/>
    </row>
    <row r="118">
      <c r="A118" s="7">
        <f>IF($B118="","",COUNTA($B$9:$B118))</f>
        <v/>
      </c>
      <c r="B118" s="8" t="n"/>
      <c r="C118" s="8" t="n"/>
      <c r="D118" s="8" t="n"/>
      <c r="E118" s="8" t="n"/>
      <c r="F118" s="7">
        <f>IF($E118="","",IFERROR(IF(VLOOKUP($E118,AcctTbl,4,0)="","",VLOOKUP($E118,AcctTbl,4,0)),"—"))</f>
        <v/>
      </c>
      <c r="G118" s="8" t="n"/>
      <c r="H118" s="9" t="n"/>
      <c r="I118" s="9" t="n"/>
      <c r="J118" s="10">
        <f>IF(OR($H118="",$I118=""),"",ROUND($H118*$I118,0))</f>
        <v/>
      </c>
      <c r="K118" s="10">
        <f>IF(OR($B118="",$E118="",Calc!$B115=""),"",SUMIFS(CalcAmtA,CalcPartyA,$E118,CalcKeyA,"&lt;="&amp;Calc!$B115)-SUMIFS(CalcWitB,CalcPartyB,$E118,CalcKeyB,"&lt;="&amp;Calc!$B115)+SUMIFS(CalcDepB,CalcPartyB,$E118,CalcKeyB,"&lt;="&amp;Calc!$B115))</f>
        <v/>
      </c>
      <c r="L118" s="8" t="n"/>
    </row>
    <row r="119">
      <c r="A119" s="7">
        <f>IF($B119="","",COUNTA($B$9:$B119))</f>
        <v/>
      </c>
      <c r="B119" s="8" t="n"/>
      <c r="C119" s="8" t="n"/>
      <c r="D119" s="8" t="n"/>
      <c r="E119" s="8" t="n"/>
      <c r="F119" s="7">
        <f>IF($E119="","",IFERROR(IF(VLOOKUP($E119,AcctTbl,4,0)="","",VLOOKUP($E119,AcctTbl,4,0)),"—"))</f>
        <v/>
      </c>
      <c r="G119" s="8" t="n"/>
      <c r="H119" s="9" t="n"/>
      <c r="I119" s="9" t="n"/>
      <c r="J119" s="10">
        <f>IF(OR($H119="",$I119=""),"",ROUND($H119*$I119,0))</f>
        <v/>
      </c>
      <c r="K119" s="10">
        <f>IF(OR($B119="",$E119="",Calc!$B116=""),"",SUMIFS(CalcAmtA,CalcPartyA,$E119,CalcKeyA,"&lt;="&amp;Calc!$B116)-SUMIFS(CalcWitB,CalcPartyB,$E119,CalcKeyB,"&lt;="&amp;Calc!$B116)+SUMIFS(CalcDepB,CalcPartyB,$E119,CalcKeyB,"&lt;="&amp;Calc!$B116))</f>
        <v/>
      </c>
      <c r="L119" s="8" t="n"/>
    </row>
    <row r="120">
      <c r="A120" s="7">
        <f>IF($B120="","",COUNTA($B$9:$B120))</f>
        <v/>
      </c>
      <c r="B120" s="8" t="n"/>
      <c r="C120" s="8" t="n"/>
      <c r="D120" s="8" t="n"/>
      <c r="E120" s="8" t="n"/>
      <c r="F120" s="7">
        <f>IF($E120="","",IFERROR(IF(VLOOKUP($E120,AcctTbl,4,0)="","",VLOOKUP($E120,AcctTbl,4,0)),"—"))</f>
        <v/>
      </c>
      <c r="G120" s="8" t="n"/>
      <c r="H120" s="9" t="n"/>
      <c r="I120" s="9" t="n"/>
      <c r="J120" s="10">
        <f>IF(OR($H120="",$I120=""),"",ROUND($H120*$I120,0))</f>
        <v/>
      </c>
      <c r="K120" s="10">
        <f>IF(OR($B120="",$E120="",Calc!$B117=""),"",SUMIFS(CalcAmtA,CalcPartyA,$E120,CalcKeyA,"&lt;="&amp;Calc!$B117)-SUMIFS(CalcWitB,CalcPartyB,$E120,CalcKeyB,"&lt;="&amp;Calc!$B117)+SUMIFS(CalcDepB,CalcPartyB,$E120,CalcKeyB,"&lt;="&amp;Calc!$B117))</f>
        <v/>
      </c>
      <c r="L120" s="8" t="n"/>
    </row>
    <row r="121">
      <c r="A121" s="7">
        <f>IF($B121="","",COUNTA($B$9:$B121))</f>
        <v/>
      </c>
      <c r="B121" s="8" t="n"/>
      <c r="C121" s="8" t="n"/>
      <c r="D121" s="8" t="n"/>
      <c r="E121" s="8" t="n"/>
      <c r="F121" s="7">
        <f>IF($E121="","",IFERROR(IF(VLOOKUP($E121,AcctTbl,4,0)="","",VLOOKUP($E121,AcctTbl,4,0)),"—"))</f>
        <v/>
      </c>
      <c r="G121" s="8" t="n"/>
      <c r="H121" s="9" t="n"/>
      <c r="I121" s="9" t="n"/>
      <c r="J121" s="10">
        <f>IF(OR($H121="",$I121=""),"",ROUND($H121*$I121,0))</f>
        <v/>
      </c>
      <c r="K121" s="10">
        <f>IF(OR($B121="",$E121="",Calc!$B118=""),"",SUMIFS(CalcAmtA,CalcPartyA,$E121,CalcKeyA,"&lt;="&amp;Calc!$B118)-SUMIFS(CalcWitB,CalcPartyB,$E121,CalcKeyB,"&lt;="&amp;Calc!$B118)+SUMIFS(CalcDepB,CalcPartyB,$E121,CalcKeyB,"&lt;="&amp;Calc!$B118))</f>
        <v/>
      </c>
      <c r="L121" s="8" t="n"/>
    </row>
    <row r="122">
      <c r="A122" s="7">
        <f>IF($B122="","",COUNTA($B$9:$B122))</f>
        <v/>
      </c>
      <c r="B122" s="8" t="n"/>
      <c r="C122" s="8" t="n"/>
      <c r="D122" s="8" t="n"/>
      <c r="E122" s="8" t="n"/>
      <c r="F122" s="7">
        <f>IF($E122="","",IFERROR(IF(VLOOKUP($E122,AcctTbl,4,0)="","",VLOOKUP($E122,AcctTbl,4,0)),"—"))</f>
        <v/>
      </c>
      <c r="G122" s="8" t="n"/>
      <c r="H122" s="9" t="n"/>
      <c r="I122" s="9" t="n"/>
      <c r="J122" s="10">
        <f>IF(OR($H122="",$I122=""),"",ROUND($H122*$I122,0))</f>
        <v/>
      </c>
      <c r="K122" s="10">
        <f>IF(OR($B122="",$E122="",Calc!$B119=""),"",SUMIFS(CalcAmtA,CalcPartyA,$E122,CalcKeyA,"&lt;="&amp;Calc!$B119)-SUMIFS(CalcWitB,CalcPartyB,$E122,CalcKeyB,"&lt;="&amp;Calc!$B119)+SUMIFS(CalcDepB,CalcPartyB,$E122,CalcKeyB,"&lt;="&amp;Calc!$B119))</f>
        <v/>
      </c>
      <c r="L122" s="8" t="n"/>
    </row>
    <row r="123">
      <c r="A123" s="7">
        <f>IF($B123="","",COUNTA($B$9:$B123))</f>
        <v/>
      </c>
      <c r="B123" s="8" t="n"/>
      <c r="C123" s="8" t="n"/>
      <c r="D123" s="8" t="n"/>
      <c r="E123" s="8" t="n"/>
      <c r="F123" s="7">
        <f>IF($E123="","",IFERROR(IF(VLOOKUP($E123,AcctTbl,4,0)="","",VLOOKUP($E123,AcctTbl,4,0)),"—"))</f>
        <v/>
      </c>
      <c r="G123" s="8" t="n"/>
      <c r="H123" s="9" t="n"/>
      <c r="I123" s="9" t="n"/>
      <c r="J123" s="10">
        <f>IF(OR($H123="",$I123=""),"",ROUND($H123*$I123,0))</f>
        <v/>
      </c>
      <c r="K123" s="10">
        <f>IF(OR($B123="",$E123="",Calc!$B120=""),"",SUMIFS(CalcAmtA,CalcPartyA,$E123,CalcKeyA,"&lt;="&amp;Calc!$B120)-SUMIFS(CalcWitB,CalcPartyB,$E123,CalcKeyB,"&lt;="&amp;Calc!$B120)+SUMIFS(CalcDepB,CalcPartyB,$E123,CalcKeyB,"&lt;="&amp;Calc!$B120))</f>
        <v/>
      </c>
      <c r="L123" s="8" t="n"/>
    </row>
    <row r="124">
      <c r="A124" s="7">
        <f>IF($B124="","",COUNTA($B$9:$B124))</f>
        <v/>
      </c>
      <c r="B124" s="8" t="n"/>
      <c r="C124" s="8" t="n"/>
      <c r="D124" s="8" t="n"/>
      <c r="E124" s="8" t="n"/>
      <c r="F124" s="7">
        <f>IF($E124="","",IFERROR(IF(VLOOKUP($E124,AcctTbl,4,0)="","",VLOOKUP($E124,AcctTbl,4,0)),"—"))</f>
        <v/>
      </c>
      <c r="G124" s="8" t="n"/>
      <c r="H124" s="9" t="n"/>
      <c r="I124" s="9" t="n"/>
      <c r="J124" s="10">
        <f>IF(OR($H124="",$I124=""),"",ROUND($H124*$I124,0))</f>
        <v/>
      </c>
      <c r="K124" s="10">
        <f>IF(OR($B124="",$E124="",Calc!$B121=""),"",SUMIFS(CalcAmtA,CalcPartyA,$E124,CalcKeyA,"&lt;="&amp;Calc!$B121)-SUMIFS(CalcWitB,CalcPartyB,$E124,CalcKeyB,"&lt;="&amp;Calc!$B121)+SUMIFS(CalcDepB,CalcPartyB,$E124,CalcKeyB,"&lt;="&amp;Calc!$B121))</f>
        <v/>
      </c>
      <c r="L124" s="8" t="n"/>
    </row>
    <row r="125">
      <c r="A125" s="7">
        <f>IF($B125="","",COUNTA($B$9:$B125))</f>
        <v/>
      </c>
      <c r="B125" s="8" t="n"/>
      <c r="C125" s="8" t="n"/>
      <c r="D125" s="8" t="n"/>
      <c r="E125" s="8" t="n"/>
      <c r="F125" s="7">
        <f>IF($E125="","",IFERROR(IF(VLOOKUP($E125,AcctTbl,4,0)="","",VLOOKUP($E125,AcctTbl,4,0)),"—"))</f>
        <v/>
      </c>
      <c r="G125" s="8" t="n"/>
      <c r="H125" s="9" t="n"/>
      <c r="I125" s="9" t="n"/>
      <c r="J125" s="10">
        <f>IF(OR($H125="",$I125=""),"",ROUND($H125*$I125,0))</f>
        <v/>
      </c>
      <c r="K125" s="10">
        <f>IF(OR($B125="",$E125="",Calc!$B122=""),"",SUMIFS(CalcAmtA,CalcPartyA,$E125,CalcKeyA,"&lt;="&amp;Calc!$B122)-SUMIFS(CalcWitB,CalcPartyB,$E125,CalcKeyB,"&lt;="&amp;Calc!$B122)+SUMIFS(CalcDepB,CalcPartyB,$E125,CalcKeyB,"&lt;="&amp;Calc!$B122))</f>
        <v/>
      </c>
      <c r="L125" s="8" t="n"/>
    </row>
    <row r="126">
      <c r="A126" s="7">
        <f>IF($B126="","",COUNTA($B$9:$B126))</f>
        <v/>
      </c>
      <c r="B126" s="8" t="n"/>
      <c r="C126" s="8" t="n"/>
      <c r="D126" s="8" t="n"/>
      <c r="E126" s="8" t="n"/>
      <c r="F126" s="7">
        <f>IF($E126="","",IFERROR(IF(VLOOKUP($E126,AcctTbl,4,0)="","",VLOOKUP($E126,AcctTbl,4,0)),"—"))</f>
        <v/>
      </c>
      <c r="G126" s="8" t="n"/>
      <c r="H126" s="9" t="n"/>
      <c r="I126" s="9" t="n"/>
      <c r="J126" s="10">
        <f>IF(OR($H126="",$I126=""),"",ROUND($H126*$I126,0))</f>
        <v/>
      </c>
      <c r="K126" s="10">
        <f>IF(OR($B126="",$E126="",Calc!$B123=""),"",SUMIFS(CalcAmtA,CalcPartyA,$E126,CalcKeyA,"&lt;="&amp;Calc!$B123)-SUMIFS(CalcWitB,CalcPartyB,$E126,CalcKeyB,"&lt;="&amp;Calc!$B123)+SUMIFS(CalcDepB,CalcPartyB,$E126,CalcKeyB,"&lt;="&amp;Calc!$B123))</f>
        <v/>
      </c>
      <c r="L126" s="8" t="n"/>
    </row>
    <row r="127">
      <c r="A127" s="7">
        <f>IF($B127="","",COUNTA($B$9:$B127))</f>
        <v/>
      </c>
      <c r="B127" s="8" t="n"/>
      <c r="C127" s="8" t="n"/>
      <c r="D127" s="8" t="n"/>
      <c r="E127" s="8" t="n"/>
      <c r="F127" s="7">
        <f>IF($E127="","",IFERROR(IF(VLOOKUP($E127,AcctTbl,4,0)="","",VLOOKUP($E127,AcctTbl,4,0)),"—"))</f>
        <v/>
      </c>
      <c r="G127" s="8" t="n"/>
      <c r="H127" s="9" t="n"/>
      <c r="I127" s="9" t="n"/>
      <c r="J127" s="10">
        <f>IF(OR($H127="",$I127=""),"",ROUND($H127*$I127,0))</f>
        <v/>
      </c>
      <c r="K127" s="10">
        <f>IF(OR($B127="",$E127="",Calc!$B124=""),"",SUMIFS(CalcAmtA,CalcPartyA,$E127,CalcKeyA,"&lt;="&amp;Calc!$B124)-SUMIFS(CalcWitB,CalcPartyB,$E127,CalcKeyB,"&lt;="&amp;Calc!$B124)+SUMIFS(CalcDepB,CalcPartyB,$E127,CalcKeyB,"&lt;="&amp;Calc!$B124))</f>
        <v/>
      </c>
      <c r="L127" s="8" t="n"/>
    </row>
    <row r="128">
      <c r="A128" s="7">
        <f>IF($B128="","",COUNTA($B$9:$B128))</f>
        <v/>
      </c>
      <c r="B128" s="8" t="n"/>
      <c r="C128" s="8" t="n"/>
      <c r="D128" s="8" t="n"/>
      <c r="E128" s="8" t="n"/>
      <c r="F128" s="7">
        <f>IF($E128="","",IFERROR(IF(VLOOKUP($E128,AcctTbl,4,0)="","",VLOOKUP($E128,AcctTbl,4,0)),"—"))</f>
        <v/>
      </c>
      <c r="G128" s="8" t="n"/>
      <c r="H128" s="9" t="n"/>
      <c r="I128" s="9" t="n"/>
      <c r="J128" s="10">
        <f>IF(OR($H128="",$I128=""),"",ROUND($H128*$I128,0))</f>
        <v/>
      </c>
      <c r="K128" s="10">
        <f>IF(OR($B128="",$E128="",Calc!$B125=""),"",SUMIFS(CalcAmtA,CalcPartyA,$E128,CalcKeyA,"&lt;="&amp;Calc!$B125)-SUMIFS(CalcWitB,CalcPartyB,$E128,CalcKeyB,"&lt;="&amp;Calc!$B125)+SUMIFS(CalcDepB,CalcPartyB,$E128,CalcKeyB,"&lt;="&amp;Calc!$B125))</f>
        <v/>
      </c>
      <c r="L128" s="8" t="n"/>
    </row>
    <row r="129">
      <c r="A129" s="7">
        <f>IF($B129="","",COUNTA($B$9:$B129))</f>
        <v/>
      </c>
      <c r="B129" s="8" t="n"/>
      <c r="C129" s="8" t="n"/>
      <c r="D129" s="8" t="n"/>
      <c r="E129" s="8" t="n"/>
      <c r="F129" s="7">
        <f>IF($E129="","",IFERROR(IF(VLOOKUP($E129,AcctTbl,4,0)="","",VLOOKUP($E129,AcctTbl,4,0)),"—"))</f>
        <v/>
      </c>
      <c r="G129" s="8" t="n"/>
      <c r="H129" s="9" t="n"/>
      <c r="I129" s="9" t="n"/>
      <c r="J129" s="10">
        <f>IF(OR($H129="",$I129=""),"",ROUND($H129*$I129,0))</f>
        <v/>
      </c>
      <c r="K129" s="10">
        <f>IF(OR($B129="",$E129="",Calc!$B126=""),"",SUMIFS(CalcAmtA,CalcPartyA,$E129,CalcKeyA,"&lt;="&amp;Calc!$B126)-SUMIFS(CalcWitB,CalcPartyB,$E129,CalcKeyB,"&lt;="&amp;Calc!$B126)+SUMIFS(CalcDepB,CalcPartyB,$E129,CalcKeyB,"&lt;="&amp;Calc!$B126))</f>
        <v/>
      </c>
      <c r="L129" s="8" t="n"/>
    </row>
    <row r="130">
      <c r="A130" s="7">
        <f>IF($B130="","",COUNTA($B$9:$B130))</f>
        <v/>
      </c>
      <c r="B130" s="8" t="n"/>
      <c r="C130" s="8" t="n"/>
      <c r="D130" s="8" t="n"/>
      <c r="E130" s="8" t="n"/>
      <c r="F130" s="7">
        <f>IF($E130="","",IFERROR(IF(VLOOKUP($E130,AcctTbl,4,0)="","",VLOOKUP($E130,AcctTbl,4,0)),"—"))</f>
        <v/>
      </c>
      <c r="G130" s="8" t="n"/>
      <c r="H130" s="9" t="n"/>
      <c r="I130" s="9" t="n"/>
      <c r="J130" s="10">
        <f>IF(OR($H130="",$I130=""),"",ROUND($H130*$I130,0))</f>
        <v/>
      </c>
      <c r="K130" s="10">
        <f>IF(OR($B130="",$E130="",Calc!$B127=""),"",SUMIFS(CalcAmtA,CalcPartyA,$E130,CalcKeyA,"&lt;="&amp;Calc!$B127)-SUMIFS(CalcWitB,CalcPartyB,$E130,CalcKeyB,"&lt;="&amp;Calc!$B127)+SUMIFS(CalcDepB,CalcPartyB,$E130,CalcKeyB,"&lt;="&amp;Calc!$B127))</f>
        <v/>
      </c>
      <c r="L130" s="8" t="n"/>
    </row>
    <row r="131">
      <c r="A131" s="7">
        <f>IF($B131="","",COUNTA($B$9:$B131))</f>
        <v/>
      </c>
      <c r="B131" s="8" t="n"/>
      <c r="C131" s="8" t="n"/>
      <c r="D131" s="8" t="n"/>
      <c r="E131" s="8" t="n"/>
      <c r="F131" s="7">
        <f>IF($E131="","",IFERROR(IF(VLOOKUP($E131,AcctTbl,4,0)="","",VLOOKUP($E131,AcctTbl,4,0)),"—"))</f>
        <v/>
      </c>
      <c r="G131" s="8" t="n"/>
      <c r="H131" s="9" t="n"/>
      <c r="I131" s="9" t="n"/>
      <c r="J131" s="10">
        <f>IF(OR($H131="",$I131=""),"",ROUND($H131*$I131,0))</f>
        <v/>
      </c>
      <c r="K131" s="10">
        <f>IF(OR($B131="",$E131="",Calc!$B128=""),"",SUMIFS(CalcAmtA,CalcPartyA,$E131,CalcKeyA,"&lt;="&amp;Calc!$B128)-SUMIFS(CalcWitB,CalcPartyB,$E131,CalcKeyB,"&lt;="&amp;Calc!$B128)+SUMIFS(CalcDepB,CalcPartyB,$E131,CalcKeyB,"&lt;="&amp;Calc!$B128))</f>
        <v/>
      </c>
      <c r="L131" s="8" t="n"/>
    </row>
    <row r="132">
      <c r="A132" s="7">
        <f>IF($B132="","",COUNTA($B$9:$B132))</f>
        <v/>
      </c>
      <c r="B132" s="8" t="n"/>
      <c r="C132" s="8" t="n"/>
      <c r="D132" s="8" t="n"/>
      <c r="E132" s="8" t="n"/>
      <c r="F132" s="7">
        <f>IF($E132="","",IFERROR(IF(VLOOKUP($E132,AcctTbl,4,0)="","",VLOOKUP($E132,AcctTbl,4,0)),"—"))</f>
        <v/>
      </c>
      <c r="G132" s="8" t="n"/>
      <c r="H132" s="9" t="n"/>
      <c r="I132" s="9" t="n"/>
      <c r="J132" s="10">
        <f>IF(OR($H132="",$I132=""),"",ROUND($H132*$I132,0))</f>
        <v/>
      </c>
      <c r="K132" s="10">
        <f>IF(OR($B132="",$E132="",Calc!$B129=""),"",SUMIFS(CalcAmtA,CalcPartyA,$E132,CalcKeyA,"&lt;="&amp;Calc!$B129)-SUMIFS(CalcWitB,CalcPartyB,$E132,CalcKeyB,"&lt;="&amp;Calc!$B129)+SUMIFS(CalcDepB,CalcPartyB,$E132,CalcKeyB,"&lt;="&amp;Calc!$B129))</f>
        <v/>
      </c>
      <c r="L132" s="8" t="n"/>
    </row>
    <row r="133">
      <c r="A133" s="7">
        <f>IF($B133="","",COUNTA($B$9:$B133))</f>
        <v/>
      </c>
      <c r="B133" s="8" t="n"/>
      <c r="C133" s="8" t="n"/>
      <c r="D133" s="8" t="n"/>
      <c r="E133" s="8" t="n"/>
      <c r="F133" s="7">
        <f>IF($E133="","",IFERROR(IF(VLOOKUP($E133,AcctTbl,4,0)="","",VLOOKUP($E133,AcctTbl,4,0)),"—"))</f>
        <v/>
      </c>
      <c r="G133" s="8" t="n"/>
      <c r="H133" s="9" t="n"/>
      <c r="I133" s="9" t="n"/>
      <c r="J133" s="10">
        <f>IF(OR($H133="",$I133=""),"",ROUND($H133*$I133,0))</f>
        <v/>
      </c>
      <c r="K133" s="10">
        <f>IF(OR($B133="",$E133="",Calc!$B130=""),"",SUMIFS(CalcAmtA,CalcPartyA,$E133,CalcKeyA,"&lt;="&amp;Calc!$B130)-SUMIFS(CalcWitB,CalcPartyB,$E133,CalcKeyB,"&lt;="&amp;Calc!$B130)+SUMIFS(CalcDepB,CalcPartyB,$E133,CalcKeyB,"&lt;="&amp;Calc!$B130))</f>
        <v/>
      </c>
      <c r="L133" s="8" t="n"/>
    </row>
    <row r="134">
      <c r="A134" s="7">
        <f>IF($B134="","",COUNTA($B$9:$B134))</f>
        <v/>
      </c>
      <c r="B134" s="8" t="n"/>
      <c r="C134" s="8" t="n"/>
      <c r="D134" s="8" t="n"/>
      <c r="E134" s="8" t="n"/>
      <c r="F134" s="7">
        <f>IF($E134="","",IFERROR(IF(VLOOKUP($E134,AcctTbl,4,0)="","",VLOOKUP($E134,AcctTbl,4,0)),"—"))</f>
        <v/>
      </c>
      <c r="G134" s="8" t="n"/>
      <c r="H134" s="9" t="n"/>
      <c r="I134" s="9" t="n"/>
      <c r="J134" s="10">
        <f>IF(OR($H134="",$I134=""),"",ROUND($H134*$I134,0))</f>
        <v/>
      </c>
      <c r="K134" s="10">
        <f>IF(OR($B134="",$E134="",Calc!$B131=""),"",SUMIFS(CalcAmtA,CalcPartyA,$E134,CalcKeyA,"&lt;="&amp;Calc!$B131)-SUMIFS(CalcWitB,CalcPartyB,$E134,CalcKeyB,"&lt;="&amp;Calc!$B131)+SUMIFS(CalcDepB,CalcPartyB,$E134,CalcKeyB,"&lt;="&amp;Calc!$B131))</f>
        <v/>
      </c>
      <c r="L134" s="8" t="n"/>
    </row>
    <row r="135">
      <c r="A135" s="7">
        <f>IF($B135="","",COUNTA($B$9:$B135))</f>
        <v/>
      </c>
      <c r="B135" s="8" t="n"/>
      <c r="C135" s="8" t="n"/>
      <c r="D135" s="8" t="n"/>
      <c r="E135" s="8" t="n"/>
      <c r="F135" s="7">
        <f>IF($E135="","",IFERROR(IF(VLOOKUP($E135,AcctTbl,4,0)="","",VLOOKUP($E135,AcctTbl,4,0)),"—"))</f>
        <v/>
      </c>
      <c r="G135" s="8" t="n"/>
      <c r="H135" s="9" t="n"/>
      <c r="I135" s="9" t="n"/>
      <c r="J135" s="10">
        <f>IF(OR($H135="",$I135=""),"",ROUND($H135*$I135,0))</f>
        <v/>
      </c>
      <c r="K135" s="10">
        <f>IF(OR($B135="",$E135="",Calc!$B132=""),"",SUMIFS(CalcAmtA,CalcPartyA,$E135,CalcKeyA,"&lt;="&amp;Calc!$B132)-SUMIFS(CalcWitB,CalcPartyB,$E135,CalcKeyB,"&lt;="&amp;Calc!$B132)+SUMIFS(CalcDepB,CalcPartyB,$E135,CalcKeyB,"&lt;="&amp;Calc!$B132))</f>
        <v/>
      </c>
      <c r="L135" s="8" t="n"/>
    </row>
    <row r="136">
      <c r="A136" s="7">
        <f>IF($B136="","",COUNTA($B$9:$B136))</f>
        <v/>
      </c>
      <c r="B136" s="8" t="n"/>
      <c r="C136" s="8" t="n"/>
      <c r="D136" s="8" t="n"/>
      <c r="E136" s="8" t="n"/>
      <c r="F136" s="7">
        <f>IF($E136="","",IFERROR(IF(VLOOKUP($E136,AcctTbl,4,0)="","",VLOOKUP($E136,AcctTbl,4,0)),"—"))</f>
        <v/>
      </c>
      <c r="G136" s="8" t="n"/>
      <c r="H136" s="9" t="n"/>
      <c r="I136" s="9" t="n"/>
      <c r="J136" s="10">
        <f>IF(OR($H136="",$I136=""),"",ROUND($H136*$I136,0))</f>
        <v/>
      </c>
      <c r="K136" s="10">
        <f>IF(OR($B136="",$E136="",Calc!$B133=""),"",SUMIFS(CalcAmtA,CalcPartyA,$E136,CalcKeyA,"&lt;="&amp;Calc!$B133)-SUMIFS(CalcWitB,CalcPartyB,$E136,CalcKeyB,"&lt;="&amp;Calc!$B133)+SUMIFS(CalcDepB,CalcPartyB,$E136,CalcKeyB,"&lt;="&amp;Calc!$B133))</f>
        <v/>
      </c>
      <c r="L136" s="8" t="n"/>
    </row>
    <row r="137">
      <c r="A137" s="7">
        <f>IF($B137="","",COUNTA($B$9:$B137))</f>
        <v/>
      </c>
      <c r="B137" s="8" t="n"/>
      <c r="C137" s="8" t="n"/>
      <c r="D137" s="8" t="n"/>
      <c r="E137" s="8" t="n"/>
      <c r="F137" s="7">
        <f>IF($E137="","",IFERROR(IF(VLOOKUP($E137,AcctTbl,4,0)="","",VLOOKUP($E137,AcctTbl,4,0)),"—"))</f>
        <v/>
      </c>
      <c r="G137" s="8" t="n"/>
      <c r="H137" s="9" t="n"/>
      <c r="I137" s="9" t="n"/>
      <c r="J137" s="10">
        <f>IF(OR($H137="",$I137=""),"",ROUND($H137*$I137,0))</f>
        <v/>
      </c>
      <c r="K137" s="10">
        <f>IF(OR($B137="",$E137="",Calc!$B134=""),"",SUMIFS(CalcAmtA,CalcPartyA,$E137,CalcKeyA,"&lt;="&amp;Calc!$B134)-SUMIFS(CalcWitB,CalcPartyB,$E137,CalcKeyB,"&lt;="&amp;Calc!$B134)+SUMIFS(CalcDepB,CalcPartyB,$E137,CalcKeyB,"&lt;="&amp;Calc!$B134))</f>
        <v/>
      </c>
      <c r="L137" s="8" t="n"/>
    </row>
    <row r="138">
      <c r="A138" s="7">
        <f>IF($B138="","",COUNTA($B$9:$B138))</f>
        <v/>
      </c>
      <c r="B138" s="8" t="n"/>
      <c r="C138" s="8" t="n"/>
      <c r="D138" s="8" t="n"/>
      <c r="E138" s="8" t="n"/>
      <c r="F138" s="7">
        <f>IF($E138="","",IFERROR(IF(VLOOKUP($E138,AcctTbl,4,0)="","",VLOOKUP($E138,AcctTbl,4,0)),"—"))</f>
        <v/>
      </c>
      <c r="G138" s="8" t="n"/>
      <c r="H138" s="9" t="n"/>
      <c r="I138" s="9" t="n"/>
      <c r="J138" s="10">
        <f>IF(OR($H138="",$I138=""),"",ROUND($H138*$I138,0))</f>
        <v/>
      </c>
      <c r="K138" s="10">
        <f>IF(OR($B138="",$E138="",Calc!$B135=""),"",SUMIFS(CalcAmtA,CalcPartyA,$E138,CalcKeyA,"&lt;="&amp;Calc!$B135)-SUMIFS(CalcWitB,CalcPartyB,$E138,CalcKeyB,"&lt;="&amp;Calc!$B135)+SUMIFS(CalcDepB,CalcPartyB,$E138,CalcKeyB,"&lt;="&amp;Calc!$B135))</f>
        <v/>
      </c>
      <c r="L138" s="8" t="n"/>
    </row>
    <row r="139">
      <c r="A139" s="7">
        <f>IF($B139="","",COUNTA($B$9:$B139))</f>
        <v/>
      </c>
      <c r="B139" s="8" t="n"/>
      <c r="C139" s="8" t="n"/>
      <c r="D139" s="8" t="n"/>
      <c r="E139" s="8" t="n"/>
      <c r="F139" s="7">
        <f>IF($E139="","",IFERROR(IF(VLOOKUP($E139,AcctTbl,4,0)="","",VLOOKUP($E139,AcctTbl,4,0)),"—"))</f>
        <v/>
      </c>
      <c r="G139" s="8" t="n"/>
      <c r="H139" s="9" t="n"/>
      <c r="I139" s="9" t="n"/>
      <c r="J139" s="10">
        <f>IF(OR($H139="",$I139=""),"",ROUND($H139*$I139,0))</f>
        <v/>
      </c>
      <c r="K139" s="10">
        <f>IF(OR($B139="",$E139="",Calc!$B136=""),"",SUMIFS(CalcAmtA,CalcPartyA,$E139,CalcKeyA,"&lt;="&amp;Calc!$B136)-SUMIFS(CalcWitB,CalcPartyB,$E139,CalcKeyB,"&lt;="&amp;Calc!$B136)+SUMIFS(CalcDepB,CalcPartyB,$E139,CalcKeyB,"&lt;="&amp;Calc!$B136))</f>
        <v/>
      </c>
      <c r="L139" s="8" t="n"/>
    </row>
    <row r="140">
      <c r="A140" s="7">
        <f>IF($B140="","",COUNTA($B$9:$B140))</f>
        <v/>
      </c>
      <c r="B140" s="8" t="n"/>
      <c r="C140" s="8" t="n"/>
      <c r="D140" s="8" t="n"/>
      <c r="E140" s="8" t="n"/>
      <c r="F140" s="7">
        <f>IF($E140="","",IFERROR(IF(VLOOKUP($E140,AcctTbl,4,0)="","",VLOOKUP($E140,AcctTbl,4,0)),"—"))</f>
        <v/>
      </c>
      <c r="G140" s="8" t="n"/>
      <c r="H140" s="9" t="n"/>
      <c r="I140" s="9" t="n"/>
      <c r="J140" s="10">
        <f>IF(OR($H140="",$I140=""),"",ROUND($H140*$I140,0))</f>
        <v/>
      </c>
      <c r="K140" s="10">
        <f>IF(OR($B140="",$E140="",Calc!$B137=""),"",SUMIFS(CalcAmtA,CalcPartyA,$E140,CalcKeyA,"&lt;="&amp;Calc!$B137)-SUMIFS(CalcWitB,CalcPartyB,$E140,CalcKeyB,"&lt;="&amp;Calc!$B137)+SUMIFS(CalcDepB,CalcPartyB,$E140,CalcKeyB,"&lt;="&amp;Calc!$B137))</f>
        <v/>
      </c>
      <c r="L140" s="8" t="n"/>
    </row>
    <row r="141">
      <c r="A141" s="7">
        <f>IF($B141="","",COUNTA($B$9:$B141))</f>
        <v/>
      </c>
      <c r="B141" s="8" t="n"/>
      <c r="C141" s="8" t="n"/>
      <c r="D141" s="8" t="n"/>
      <c r="E141" s="8" t="n"/>
      <c r="F141" s="7">
        <f>IF($E141="","",IFERROR(IF(VLOOKUP($E141,AcctTbl,4,0)="","",VLOOKUP($E141,AcctTbl,4,0)),"—"))</f>
        <v/>
      </c>
      <c r="G141" s="8" t="n"/>
      <c r="H141" s="9" t="n"/>
      <c r="I141" s="9" t="n"/>
      <c r="J141" s="10">
        <f>IF(OR($H141="",$I141=""),"",ROUND($H141*$I141,0))</f>
        <v/>
      </c>
      <c r="K141" s="10">
        <f>IF(OR($B141="",$E141="",Calc!$B138=""),"",SUMIFS(CalcAmtA,CalcPartyA,$E141,CalcKeyA,"&lt;="&amp;Calc!$B138)-SUMIFS(CalcWitB,CalcPartyB,$E141,CalcKeyB,"&lt;="&amp;Calc!$B138)+SUMIFS(CalcDepB,CalcPartyB,$E141,CalcKeyB,"&lt;="&amp;Calc!$B138))</f>
        <v/>
      </c>
      <c r="L141" s="8" t="n"/>
    </row>
    <row r="142">
      <c r="A142" s="7">
        <f>IF($B142="","",COUNTA($B$9:$B142))</f>
        <v/>
      </c>
      <c r="B142" s="8" t="n"/>
      <c r="C142" s="8" t="n"/>
      <c r="D142" s="8" t="n"/>
      <c r="E142" s="8" t="n"/>
      <c r="F142" s="7">
        <f>IF($E142="","",IFERROR(IF(VLOOKUP($E142,AcctTbl,4,0)="","",VLOOKUP($E142,AcctTbl,4,0)),"—"))</f>
        <v/>
      </c>
      <c r="G142" s="8" t="n"/>
      <c r="H142" s="9" t="n"/>
      <c r="I142" s="9" t="n"/>
      <c r="J142" s="10">
        <f>IF(OR($H142="",$I142=""),"",ROUND($H142*$I142,0))</f>
        <v/>
      </c>
      <c r="K142" s="10">
        <f>IF(OR($B142="",$E142="",Calc!$B139=""),"",SUMIFS(CalcAmtA,CalcPartyA,$E142,CalcKeyA,"&lt;="&amp;Calc!$B139)-SUMIFS(CalcWitB,CalcPartyB,$E142,CalcKeyB,"&lt;="&amp;Calc!$B139)+SUMIFS(CalcDepB,CalcPartyB,$E142,CalcKeyB,"&lt;="&amp;Calc!$B139))</f>
        <v/>
      </c>
      <c r="L142" s="8" t="n"/>
    </row>
    <row r="143">
      <c r="A143" s="7">
        <f>IF($B143="","",COUNTA($B$9:$B143))</f>
        <v/>
      </c>
      <c r="B143" s="8" t="n"/>
      <c r="C143" s="8" t="n"/>
      <c r="D143" s="8" t="n"/>
      <c r="E143" s="8" t="n"/>
      <c r="F143" s="7">
        <f>IF($E143="","",IFERROR(IF(VLOOKUP($E143,AcctTbl,4,0)="","",VLOOKUP($E143,AcctTbl,4,0)),"—"))</f>
        <v/>
      </c>
      <c r="G143" s="8" t="n"/>
      <c r="H143" s="9" t="n"/>
      <c r="I143" s="9" t="n"/>
      <c r="J143" s="10">
        <f>IF(OR($H143="",$I143=""),"",ROUND($H143*$I143,0))</f>
        <v/>
      </c>
      <c r="K143" s="10">
        <f>IF(OR($B143="",$E143="",Calc!$B140=""),"",SUMIFS(CalcAmtA,CalcPartyA,$E143,CalcKeyA,"&lt;="&amp;Calc!$B140)-SUMIFS(CalcWitB,CalcPartyB,$E143,CalcKeyB,"&lt;="&amp;Calc!$B140)+SUMIFS(CalcDepB,CalcPartyB,$E143,CalcKeyB,"&lt;="&amp;Calc!$B140))</f>
        <v/>
      </c>
      <c r="L143" s="8" t="n"/>
    </row>
    <row r="144">
      <c r="A144" s="7">
        <f>IF($B144="","",COUNTA($B$9:$B144))</f>
        <v/>
      </c>
      <c r="B144" s="8" t="n"/>
      <c r="C144" s="8" t="n"/>
      <c r="D144" s="8" t="n"/>
      <c r="E144" s="8" t="n"/>
      <c r="F144" s="7">
        <f>IF($E144="","",IFERROR(IF(VLOOKUP($E144,AcctTbl,4,0)="","",VLOOKUP($E144,AcctTbl,4,0)),"—"))</f>
        <v/>
      </c>
      <c r="G144" s="8" t="n"/>
      <c r="H144" s="9" t="n"/>
      <c r="I144" s="9" t="n"/>
      <c r="J144" s="10">
        <f>IF(OR($H144="",$I144=""),"",ROUND($H144*$I144,0))</f>
        <v/>
      </c>
      <c r="K144" s="10">
        <f>IF(OR($B144="",$E144="",Calc!$B141=""),"",SUMIFS(CalcAmtA,CalcPartyA,$E144,CalcKeyA,"&lt;="&amp;Calc!$B141)-SUMIFS(CalcWitB,CalcPartyB,$E144,CalcKeyB,"&lt;="&amp;Calc!$B141)+SUMIFS(CalcDepB,CalcPartyB,$E144,CalcKeyB,"&lt;="&amp;Calc!$B141))</f>
        <v/>
      </c>
      <c r="L144" s="8" t="n"/>
    </row>
    <row r="145">
      <c r="A145" s="7">
        <f>IF($B145="","",COUNTA($B$9:$B145))</f>
        <v/>
      </c>
      <c r="B145" s="8" t="n"/>
      <c r="C145" s="8" t="n"/>
      <c r="D145" s="8" t="n"/>
      <c r="E145" s="8" t="n"/>
      <c r="F145" s="7">
        <f>IF($E145="","",IFERROR(IF(VLOOKUP($E145,AcctTbl,4,0)="","",VLOOKUP($E145,AcctTbl,4,0)),"—"))</f>
        <v/>
      </c>
      <c r="G145" s="8" t="n"/>
      <c r="H145" s="9" t="n"/>
      <c r="I145" s="9" t="n"/>
      <c r="J145" s="10">
        <f>IF(OR($H145="",$I145=""),"",ROUND($H145*$I145,0))</f>
        <v/>
      </c>
      <c r="K145" s="10">
        <f>IF(OR($B145="",$E145="",Calc!$B142=""),"",SUMIFS(CalcAmtA,CalcPartyA,$E145,CalcKeyA,"&lt;="&amp;Calc!$B142)-SUMIFS(CalcWitB,CalcPartyB,$E145,CalcKeyB,"&lt;="&amp;Calc!$B142)+SUMIFS(CalcDepB,CalcPartyB,$E145,CalcKeyB,"&lt;="&amp;Calc!$B142))</f>
        <v/>
      </c>
      <c r="L145" s="8" t="n"/>
    </row>
    <row r="146">
      <c r="A146" s="7">
        <f>IF($B146="","",COUNTA($B$9:$B146))</f>
        <v/>
      </c>
      <c r="B146" s="8" t="n"/>
      <c r="C146" s="8" t="n"/>
      <c r="D146" s="8" t="n"/>
      <c r="E146" s="8" t="n"/>
      <c r="F146" s="7">
        <f>IF($E146="","",IFERROR(IF(VLOOKUP($E146,AcctTbl,4,0)="","",VLOOKUP($E146,AcctTbl,4,0)),"—"))</f>
        <v/>
      </c>
      <c r="G146" s="8" t="n"/>
      <c r="H146" s="9" t="n"/>
      <c r="I146" s="9" t="n"/>
      <c r="J146" s="10">
        <f>IF(OR($H146="",$I146=""),"",ROUND($H146*$I146,0))</f>
        <v/>
      </c>
      <c r="K146" s="10">
        <f>IF(OR($B146="",$E146="",Calc!$B143=""),"",SUMIFS(CalcAmtA,CalcPartyA,$E146,CalcKeyA,"&lt;="&amp;Calc!$B143)-SUMIFS(CalcWitB,CalcPartyB,$E146,CalcKeyB,"&lt;="&amp;Calc!$B143)+SUMIFS(CalcDepB,CalcPartyB,$E146,CalcKeyB,"&lt;="&amp;Calc!$B143))</f>
        <v/>
      </c>
      <c r="L146" s="8" t="n"/>
    </row>
    <row r="147">
      <c r="A147" s="7">
        <f>IF($B147="","",COUNTA($B$9:$B147))</f>
        <v/>
      </c>
      <c r="B147" s="8" t="n"/>
      <c r="C147" s="8" t="n"/>
      <c r="D147" s="8" t="n"/>
      <c r="E147" s="8" t="n"/>
      <c r="F147" s="7">
        <f>IF($E147="","",IFERROR(IF(VLOOKUP($E147,AcctTbl,4,0)="","",VLOOKUP($E147,AcctTbl,4,0)),"—"))</f>
        <v/>
      </c>
      <c r="G147" s="8" t="n"/>
      <c r="H147" s="9" t="n"/>
      <c r="I147" s="9" t="n"/>
      <c r="J147" s="10">
        <f>IF(OR($H147="",$I147=""),"",ROUND($H147*$I147,0))</f>
        <v/>
      </c>
      <c r="K147" s="10">
        <f>IF(OR($B147="",$E147="",Calc!$B144=""),"",SUMIFS(CalcAmtA,CalcPartyA,$E147,CalcKeyA,"&lt;="&amp;Calc!$B144)-SUMIFS(CalcWitB,CalcPartyB,$E147,CalcKeyB,"&lt;="&amp;Calc!$B144)+SUMIFS(CalcDepB,CalcPartyB,$E147,CalcKeyB,"&lt;="&amp;Calc!$B144))</f>
        <v/>
      </c>
      <c r="L147" s="8" t="n"/>
    </row>
    <row r="148">
      <c r="A148" s="7">
        <f>IF($B148="","",COUNTA($B$9:$B148))</f>
        <v/>
      </c>
      <c r="B148" s="8" t="n"/>
      <c r="C148" s="8" t="n"/>
      <c r="D148" s="8" t="n"/>
      <c r="E148" s="8" t="n"/>
      <c r="F148" s="7">
        <f>IF($E148="","",IFERROR(IF(VLOOKUP($E148,AcctTbl,4,0)="","",VLOOKUP($E148,AcctTbl,4,0)),"—"))</f>
        <v/>
      </c>
      <c r="G148" s="8" t="n"/>
      <c r="H148" s="9" t="n"/>
      <c r="I148" s="9" t="n"/>
      <c r="J148" s="10">
        <f>IF(OR($H148="",$I148=""),"",ROUND($H148*$I148,0))</f>
        <v/>
      </c>
      <c r="K148" s="10">
        <f>IF(OR($B148="",$E148="",Calc!$B145=""),"",SUMIFS(CalcAmtA,CalcPartyA,$E148,CalcKeyA,"&lt;="&amp;Calc!$B145)-SUMIFS(CalcWitB,CalcPartyB,$E148,CalcKeyB,"&lt;="&amp;Calc!$B145)+SUMIFS(CalcDepB,CalcPartyB,$E148,CalcKeyB,"&lt;="&amp;Calc!$B145))</f>
        <v/>
      </c>
      <c r="L148" s="8" t="n"/>
    </row>
    <row r="149">
      <c r="A149" s="7">
        <f>IF($B149="","",COUNTA($B$9:$B149))</f>
        <v/>
      </c>
      <c r="B149" s="8" t="n"/>
      <c r="C149" s="8" t="n"/>
      <c r="D149" s="8" t="n"/>
      <c r="E149" s="8" t="n"/>
      <c r="F149" s="7">
        <f>IF($E149="","",IFERROR(IF(VLOOKUP($E149,AcctTbl,4,0)="","",VLOOKUP($E149,AcctTbl,4,0)),"—"))</f>
        <v/>
      </c>
      <c r="G149" s="8" t="n"/>
      <c r="H149" s="9" t="n"/>
      <c r="I149" s="9" t="n"/>
      <c r="J149" s="10">
        <f>IF(OR($H149="",$I149=""),"",ROUND($H149*$I149,0))</f>
        <v/>
      </c>
      <c r="K149" s="10">
        <f>IF(OR($B149="",$E149="",Calc!$B146=""),"",SUMIFS(CalcAmtA,CalcPartyA,$E149,CalcKeyA,"&lt;="&amp;Calc!$B146)-SUMIFS(CalcWitB,CalcPartyB,$E149,CalcKeyB,"&lt;="&amp;Calc!$B146)+SUMIFS(CalcDepB,CalcPartyB,$E149,CalcKeyB,"&lt;="&amp;Calc!$B146))</f>
        <v/>
      </c>
      <c r="L149" s="8" t="n"/>
    </row>
    <row r="150">
      <c r="A150" s="7">
        <f>IF($B150="","",COUNTA($B$9:$B150))</f>
        <v/>
      </c>
      <c r="B150" s="8" t="n"/>
      <c r="C150" s="8" t="n"/>
      <c r="D150" s="8" t="n"/>
      <c r="E150" s="8" t="n"/>
      <c r="F150" s="7">
        <f>IF($E150="","",IFERROR(IF(VLOOKUP($E150,AcctTbl,4,0)="","",VLOOKUP($E150,AcctTbl,4,0)),"—"))</f>
        <v/>
      </c>
      <c r="G150" s="8" t="n"/>
      <c r="H150" s="9" t="n"/>
      <c r="I150" s="9" t="n"/>
      <c r="J150" s="10">
        <f>IF(OR($H150="",$I150=""),"",ROUND($H150*$I150,0))</f>
        <v/>
      </c>
      <c r="K150" s="10">
        <f>IF(OR($B150="",$E150="",Calc!$B147=""),"",SUMIFS(CalcAmtA,CalcPartyA,$E150,CalcKeyA,"&lt;="&amp;Calc!$B147)-SUMIFS(CalcWitB,CalcPartyB,$E150,CalcKeyB,"&lt;="&amp;Calc!$B147)+SUMIFS(CalcDepB,CalcPartyB,$E150,CalcKeyB,"&lt;="&amp;Calc!$B147))</f>
        <v/>
      </c>
      <c r="L150" s="8" t="n"/>
    </row>
    <row r="151">
      <c r="A151" s="7">
        <f>IF($B151="","",COUNTA($B$9:$B151))</f>
        <v/>
      </c>
      <c r="B151" s="8" t="n"/>
      <c r="C151" s="8" t="n"/>
      <c r="D151" s="8" t="n"/>
      <c r="E151" s="8" t="n"/>
      <c r="F151" s="7">
        <f>IF($E151="","",IFERROR(IF(VLOOKUP($E151,AcctTbl,4,0)="","",VLOOKUP($E151,AcctTbl,4,0)),"—"))</f>
        <v/>
      </c>
      <c r="G151" s="8" t="n"/>
      <c r="H151" s="9" t="n"/>
      <c r="I151" s="9" t="n"/>
      <c r="J151" s="10">
        <f>IF(OR($H151="",$I151=""),"",ROUND($H151*$I151,0))</f>
        <v/>
      </c>
      <c r="K151" s="10">
        <f>IF(OR($B151="",$E151="",Calc!$B148=""),"",SUMIFS(CalcAmtA,CalcPartyA,$E151,CalcKeyA,"&lt;="&amp;Calc!$B148)-SUMIFS(CalcWitB,CalcPartyB,$E151,CalcKeyB,"&lt;="&amp;Calc!$B148)+SUMIFS(CalcDepB,CalcPartyB,$E151,CalcKeyB,"&lt;="&amp;Calc!$B148))</f>
        <v/>
      </c>
      <c r="L151" s="8" t="n"/>
    </row>
    <row r="152">
      <c r="A152" s="7">
        <f>IF($B152="","",COUNTA($B$9:$B152))</f>
        <v/>
      </c>
      <c r="B152" s="8" t="n"/>
      <c r="C152" s="8" t="n"/>
      <c r="D152" s="8" t="n"/>
      <c r="E152" s="8" t="n"/>
      <c r="F152" s="7">
        <f>IF($E152="","",IFERROR(IF(VLOOKUP($E152,AcctTbl,4,0)="","",VLOOKUP($E152,AcctTbl,4,0)),"—"))</f>
        <v/>
      </c>
      <c r="G152" s="8" t="n"/>
      <c r="H152" s="9" t="n"/>
      <c r="I152" s="9" t="n"/>
      <c r="J152" s="10">
        <f>IF(OR($H152="",$I152=""),"",ROUND($H152*$I152,0))</f>
        <v/>
      </c>
      <c r="K152" s="10">
        <f>IF(OR($B152="",$E152="",Calc!$B149=""),"",SUMIFS(CalcAmtA,CalcPartyA,$E152,CalcKeyA,"&lt;="&amp;Calc!$B149)-SUMIFS(CalcWitB,CalcPartyB,$E152,CalcKeyB,"&lt;="&amp;Calc!$B149)+SUMIFS(CalcDepB,CalcPartyB,$E152,CalcKeyB,"&lt;="&amp;Calc!$B149))</f>
        <v/>
      </c>
      <c r="L152" s="8" t="n"/>
    </row>
    <row r="153">
      <c r="A153" s="7">
        <f>IF($B153="","",COUNTA($B$9:$B153))</f>
        <v/>
      </c>
      <c r="B153" s="8" t="n"/>
      <c r="C153" s="8" t="n"/>
      <c r="D153" s="8" t="n"/>
      <c r="E153" s="8" t="n"/>
      <c r="F153" s="7">
        <f>IF($E153="","",IFERROR(IF(VLOOKUP($E153,AcctTbl,4,0)="","",VLOOKUP($E153,AcctTbl,4,0)),"—"))</f>
        <v/>
      </c>
      <c r="G153" s="8" t="n"/>
      <c r="H153" s="9" t="n"/>
      <c r="I153" s="9" t="n"/>
      <c r="J153" s="10">
        <f>IF(OR($H153="",$I153=""),"",ROUND($H153*$I153,0))</f>
        <v/>
      </c>
      <c r="K153" s="10">
        <f>IF(OR($B153="",$E153="",Calc!$B150=""),"",SUMIFS(CalcAmtA,CalcPartyA,$E153,CalcKeyA,"&lt;="&amp;Calc!$B150)-SUMIFS(CalcWitB,CalcPartyB,$E153,CalcKeyB,"&lt;="&amp;Calc!$B150)+SUMIFS(CalcDepB,CalcPartyB,$E153,CalcKeyB,"&lt;="&amp;Calc!$B150))</f>
        <v/>
      </c>
      <c r="L153" s="8" t="n"/>
    </row>
    <row r="154">
      <c r="A154" s="7">
        <f>IF($B154="","",COUNTA($B$9:$B154))</f>
        <v/>
      </c>
      <c r="B154" s="8" t="n"/>
      <c r="C154" s="8" t="n"/>
      <c r="D154" s="8" t="n"/>
      <c r="E154" s="8" t="n"/>
      <c r="F154" s="7">
        <f>IF($E154="","",IFERROR(IF(VLOOKUP($E154,AcctTbl,4,0)="","",VLOOKUP($E154,AcctTbl,4,0)),"—"))</f>
        <v/>
      </c>
      <c r="G154" s="8" t="n"/>
      <c r="H154" s="9" t="n"/>
      <c r="I154" s="9" t="n"/>
      <c r="J154" s="10">
        <f>IF(OR($H154="",$I154=""),"",ROUND($H154*$I154,0))</f>
        <v/>
      </c>
      <c r="K154" s="10">
        <f>IF(OR($B154="",$E154="",Calc!$B151=""),"",SUMIFS(CalcAmtA,CalcPartyA,$E154,CalcKeyA,"&lt;="&amp;Calc!$B151)-SUMIFS(CalcWitB,CalcPartyB,$E154,CalcKeyB,"&lt;="&amp;Calc!$B151)+SUMIFS(CalcDepB,CalcPartyB,$E154,CalcKeyB,"&lt;="&amp;Calc!$B151))</f>
        <v/>
      </c>
      <c r="L154" s="8" t="n"/>
    </row>
    <row r="155">
      <c r="A155" s="7">
        <f>IF($B155="","",COUNTA($B$9:$B155))</f>
        <v/>
      </c>
      <c r="B155" s="8" t="n"/>
      <c r="C155" s="8" t="n"/>
      <c r="D155" s="8" t="n"/>
      <c r="E155" s="8" t="n"/>
      <c r="F155" s="7">
        <f>IF($E155="","",IFERROR(IF(VLOOKUP($E155,AcctTbl,4,0)="","",VLOOKUP($E155,AcctTbl,4,0)),"—"))</f>
        <v/>
      </c>
      <c r="G155" s="8" t="n"/>
      <c r="H155" s="9" t="n"/>
      <c r="I155" s="9" t="n"/>
      <c r="J155" s="10">
        <f>IF(OR($H155="",$I155=""),"",ROUND($H155*$I155,0))</f>
        <v/>
      </c>
      <c r="K155" s="10">
        <f>IF(OR($B155="",$E155="",Calc!$B152=""),"",SUMIFS(CalcAmtA,CalcPartyA,$E155,CalcKeyA,"&lt;="&amp;Calc!$B152)-SUMIFS(CalcWitB,CalcPartyB,$E155,CalcKeyB,"&lt;="&amp;Calc!$B152)+SUMIFS(CalcDepB,CalcPartyB,$E155,CalcKeyB,"&lt;="&amp;Calc!$B152))</f>
        <v/>
      </c>
      <c r="L155" s="8" t="n"/>
    </row>
    <row r="156">
      <c r="A156" s="7">
        <f>IF($B156="","",COUNTA($B$9:$B156))</f>
        <v/>
      </c>
      <c r="B156" s="8" t="n"/>
      <c r="C156" s="8" t="n"/>
      <c r="D156" s="8" t="n"/>
      <c r="E156" s="8" t="n"/>
      <c r="F156" s="7">
        <f>IF($E156="","",IFERROR(IF(VLOOKUP($E156,AcctTbl,4,0)="","",VLOOKUP($E156,AcctTbl,4,0)),"—"))</f>
        <v/>
      </c>
      <c r="G156" s="8" t="n"/>
      <c r="H156" s="9" t="n"/>
      <c r="I156" s="9" t="n"/>
      <c r="J156" s="10">
        <f>IF(OR($H156="",$I156=""),"",ROUND($H156*$I156,0))</f>
        <v/>
      </c>
      <c r="K156" s="10">
        <f>IF(OR($B156="",$E156="",Calc!$B153=""),"",SUMIFS(CalcAmtA,CalcPartyA,$E156,CalcKeyA,"&lt;="&amp;Calc!$B153)-SUMIFS(CalcWitB,CalcPartyB,$E156,CalcKeyB,"&lt;="&amp;Calc!$B153)+SUMIFS(CalcDepB,CalcPartyB,$E156,CalcKeyB,"&lt;="&amp;Calc!$B153))</f>
        <v/>
      </c>
      <c r="L156" s="8" t="n"/>
    </row>
    <row r="157">
      <c r="A157" s="7">
        <f>IF($B157="","",COUNTA($B$9:$B157))</f>
        <v/>
      </c>
      <c r="B157" s="8" t="n"/>
      <c r="C157" s="8" t="n"/>
      <c r="D157" s="8" t="n"/>
      <c r="E157" s="8" t="n"/>
      <c r="F157" s="7">
        <f>IF($E157="","",IFERROR(IF(VLOOKUP($E157,AcctTbl,4,0)="","",VLOOKUP($E157,AcctTbl,4,0)),"—"))</f>
        <v/>
      </c>
      <c r="G157" s="8" t="n"/>
      <c r="H157" s="9" t="n"/>
      <c r="I157" s="9" t="n"/>
      <c r="J157" s="10">
        <f>IF(OR($H157="",$I157=""),"",ROUND($H157*$I157,0))</f>
        <v/>
      </c>
      <c r="K157" s="10">
        <f>IF(OR($B157="",$E157="",Calc!$B154=""),"",SUMIFS(CalcAmtA,CalcPartyA,$E157,CalcKeyA,"&lt;="&amp;Calc!$B154)-SUMIFS(CalcWitB,CalcPartyB,$E157,CalcKeyB,"&lt;="&amp;Calc!$B154)+SUMIFS(CalcDepB,CalcPartyB,$E157,CalcKeyB,"&lt;="&amp;Calc!$B154))</f>
        <v/>
      </c>
      <c r="L157" s="8" t="n"/>
    </row>
    <row r="158">
      <c r="A158" s="7">
        <f>IF($B158="","",COUNTA($B$9:$B158))</f>
        <v/>
      </c>
      <c r="B158" s="8" t="n"/>
      <c r="C158" s="8" t="n"/>
      <c r="D158" s="8" t="n"/>
      <c r="E158" s="8" t="n"/>
      <c r="F158" s="7">
        <f>IF($E158="","",IFERROR(IF(VLOOKUP($E158,AcctTbl,4,0)="","",VLOOKUP($E158,AcctTbl,4,0)),"—"))</f>
        <v/>
      </c>
      <c r="G158" s="8" t="n"/>
      <c r="H158" s="9" t="n"/>
      <c r="I158" s="9" t="n"/>
      <c r="J158" s="10">
        <f>IF(OR($H158="",$I158=""),"",ROUND($H158*$I158,0))</f>
        <v/>
      </c>
      <c r="K158" s="10">
        <f>IF(OR($B158="",$E158="",Calc!$B155=""),"",SUMIFS(CalcAmtA,CalcPartyA,$E158,CalcKeyA,"&lt;="&amp;Calc!$B155)-SUMIFS(CalcWitB,CalcPartyB,$E158,CalcKeyB,"&lt;="&amp;Calc!$B155)+SUMIFS(CalcDepB,CalcPartyB,$E158,CalcKeyB,"&lt;="&amp;Calc!$B155))</f>
        <v/>
      </c>
      <c r="L158" s="8" t="n"/>
    </row>
    <row r="159">
      <c r="A159" s="7">
        <f>IF($B159="","",COUNTA($B$9:$B159))</f>
        <v/>
      </c>
      <c r="B159" s="8" t="n"/>
      <c r="C159" s="8" t="n"/>
      <c r="D159" s="8" t="n"/>
      <c r="E159" s="8" t="n"/>
      <c r="F159" s="7">
        <f>IF($E159="","",IFERROR(IF(VLOOKUP($E159,AcctTbl,4,0)="","",VLOOKUP($E159,AcctTbl,4,0)),"—"))</f>
        <v/>
      </c>
      <c r="G159" s="8" t="n"/>
      <c r="H159" s="9" t="n"/>
      <c r="I159" s="9" t="n"/>
      <c r="J159" s="10">
        <f>IF(OR($H159="",$I159=""),"",ROUND($H159*$I159,0))</f>
        <v/>
      </c>
      <c r="K159" s="10">
        <f>IF(OR($B159="",$E159="",Calc!$B156=""),"",SUMIFS(CalcAmtA,CalcPartyA,$E159,CalcKeyA,"&lt;="&amp;Calc!$B156)-SUMIFS(CalcWitB,CalcPartyB,$E159,CalcKeyB,"&lt;="&amp;Calc!$B156)+SUMIFS(CalcDepB,CalcPartyB,$E159,CalcKeyB,"&lt;="&amp;Calc!$B156))</f>
        <v/>
      </c>
      <c r="L159" s="8" t="n"/>
    </row>
    <row r="160">
      <c r="A160" s="7">
        <f>IF($B160="","",COUNTA($B$9:$B160))</f>
        <v/>
      </c>
      <c r="B160" s="8" t="n"/>
      <c r="C160" s="8" t="n"/>
      <c r="D160" s="8" t="n"/>
      <c r="E160" s="8" t="n"/>
      <c r="F160" s="7">
        <f>IF($E160="","",IFERROR(IF(VLOOKUP($E160,AcctTbl,4,0)="","",VLOOKUP($E160,AcctTbl,4,0)),"—"))</f>
        <v/>
      </c>
      <c r="G160" s="8" t="n"/>
      <c r="H160" s="9" t="n"/>
      <c r="I160" s="9" t="n"/>
      <c r="J160" s="10">
        <f>IF(OR($H160="",$I160=""),"",ROUND($H160*$I160,0))</f>
        <v/>
      </c>
      <c r="K160" s="10">
        <f>IF(OR($B160="",$E160="",Calc!$B157=""),"",SUMIFS(CalcAmtA,CalcPartyA,$E160,CalcKeyA,"&lt;="&amp;Calc!$B157)-SUMIFS(CalcWitB,CalcPartyB,$E160,CalcKeyB,"&lt;="&amp;Calc!$B157)+SUMIFS(CalcDepB,CalcPartyB,$E160,CalcKeyB,"&lt;="&amp;Calc!$B157))</f>
        <v/>
      </c>
      <c r="L160" s="8" t="n"/>
    </row>
    <row r="161">
      <c r="A161" s="7">
        <f>IF($B161="","",COUNTA($B$9:$B161))</f>
        <v/>
      </c>
      <c r="B161" s="8" t="n"/>
      <c r="C161" s="8" t="n"/>
      <c r="D161" s="8" t="n"/>
      <c r="E161" s="8" t="n"/>
      <c r="F161" s="7">
        <f>IF($E161="","",IFERROR(IF(VLOOKUP($E161,AcctTbl,4,0)="","",VLOOKUP($E161,AcctTbl,4,0)),"—"))</f>
        <v/>
      </c>
      <c r="G161" s="8" t="n"/>
      <c r="H161" s="9" t="n"/>
      <c r="I161" s="9" t="n"/>
      <c r="J161" s="10">
        <f>IF(OR($H161="",$I161=""),"",ROUND($H161*$I161,0))</f>
        <v/>
      </c>
      <c r="K161" s="10">
        <f>IF(OR($B161="",$E161="",Calc!$B158=""),"",SUMIFS(CalcAmtA,CalcPartyA,$E161,CalcKeyA,"&lt;="&amp;Calc!$B158)-SUMIFS(CalcWitB,CalcPartyB,$E161,CalcKeyB,"&lt;="&amp;Calc!$B158)+SUMIFS(CalcDepB,CalcPartyB,$E161,CalcKeyB,"&lt;="&amp;Calc!$B158))</f>
        <v/>
      </c>
      <c r="L161" s="8" t="n"/>
    </row>
    <row r="162">
      <c r="A162" s="7">
        <f>IF($B162="","",COUNTA($B$9:$B162))</f>
        <v/>
      </c>
      <c r="B162" s="8" t="n"/>
      <c r="C162" s="8" t="n"/>
      <c r="D162" s="8" t="n"/>
      <c r="E162" s="8" t="n"/>
      <c r="F162" s="7">
        <f>IF($E162="","",IFERROR(IF(VLOOKUP($E162,AcctTbl,4,0)="","",VLOOKUP($E162,AcctTbl,4,0)),"—"))</f>
        <v/>
      </c>
      <c r="G162" s="8" t="n"/>
      <c r="H162" s="9" t="n"/>
      <c r="I162" s="9" t="n"/>
      <c r="J162" s="10">
        <f>IF(OR($H162="",$I162=""),"",ROUND($H162*$I162,0))</f>
        <v/>
      </c>
      <c r="K162" s="10">
        <f>IF(OR($B162="",$E162="",Calc!$B159=""),"",SUMIFS(CalcAmtA,CalcPartyA,$E162,CalcKeyA,"&lt;="&amp;Calc!$B159)-SUMIFS(CalcWitB,CalcPartyB,$E162,CalcKeyB,"&lt;="&amp;Calc!$B159)+SUMIFS(CalcDepB,CalcPartyB,$E162,CalcKeyB,"&lt;="&amp;Calc!$B159))</f>
        <v/>
      </c>
      <c r="L162" s="8" t="n"/>
    </row>
    <row r="163">
      <c r="A163" s="7">
        <f>IF($B163="","",COUNTA($B$9:$B163))</f>
        <v/>
      </c>
      <c r="B163" s="8" t="n"/>
      <c r="C163" s="8" t="n"/>
      <c r="D163" s="8" t="n"/>
      <c r="E163" s="8" t="n"/>
      <c r="F163" s="7">
        <f>IF($E163="","",IFERROR(IF(VLOOKUP($E163,AcctTbl,4,0)="","",VLOOKUP($E163,AcctTbl,4,0)),"—"))</f>
        <v/>
      </c>
      <c r="G163" s="8" t="n"/>
      <c r="H163" s="9" t="n"/>
      <c r="I163" s="9" t="n"/>
      <c r="J163" s="10">
        <f>IF(OR($H163="",$I163=""),"",ROUND($H163*$I163,0))</f>
        <v/>
      </c>
      <c r="K163" s="10">
        <f>IF(OR($B163="",$E163="",Calc!$B160=""),"",SUMIFS(CalcAmtA,CalcPartyA,$E163,CalcKeyA,"&lt;="&amp;Calc!$B160)-SUMIFS(CalcWitB,CalcPartyB,$E163,CalcKeyB,"&lt;="&amp;Calc!$B160)+SUMIFS(CalcDepB,CalcPartyB,$E163,CalcKeyB,"&lt;="&amp;Calc!$B160))</f>
        <v/>
      </c>
      <c r="L163" s="8" t="n"/>
    </row>
    <row r="164">
      <c r="A164" s="7">
        <f>IF($B164="","",COUNTA($B$9:$B164))</f>
        <v/>
      </c>
      <c r="B164" s="8" t="n"/>
      <c r="C164" s="8" t="n"/>
      <c r="D164" s="8" t="n"/>
      <c r="E164" s="8" t="n"/>
      <c r="F164" s="7">
        <f>IF($E164="","",IFERROR(IF(VLOOKUP($E164,AcctTbl,4,0)="","",VLOOKUP($E164,AcctTbl,4,0)),"—"))</f>
        <v/>
      </c>
      <c r="G164" s="8" t="n"/>
      <c r="H164" s="9" t="n"/>
      <c r="I164" s="9" t="n"/>
      <c r="J164" s="10">
        <f>IF(OR($H164="",$I164=""),"",ROUND($H164*$I164,0))</f>
        <v/>
      </c>
      <c r="K164" s="10">
        <f>IF(OR($B164="",$E164="",Calc!$B161=""),"",SUMIFS(CalcAmtA,CalcPartyA,$E164,CalcKeyA,"&lt;="&amp;Calc!$B161)-SUMIFS(CalcWitB,CalcPartyB,$E164,CalcKeyB,"&lt;="&amp;Calc!$B161)+SUMIFS(CalcDepB,CalcPartyB,$E164,CalcKeyB,"&lt;="&amp;Calc!$B161))</f>
        <v/>
      </c>
      <c r="L164" s="8" t="n"/>
    </row>
    <row r="165">
      <c r="A165" s="7">
        <f>IF($B165="","",COUNTA($B$9:$B165))</f>
        <v/>
      </c>
      <c r="B165" s="8" t="n"/>
      <c r="C165" s="8" t="n"/>
      <c r="D165" s="8" t="n"/>
      <c r="E165" s="8" t="n"/>
      <c r="F165" s="7">
        <f>IF($E165="","",IFERROR(IF(VLOOKUP($E165,AcctTbl,4,0)="","",VLOOKUP($E165,AcctTbl,4,0)),"—"))</f>
        <v/>
      </c>
      <c r="G165" s="8" t="n"/>
      <c r="H165" s="9" t="n"/>
      <c r="I165" s="9" t="n"/>
      <c r="J165" s="10">
        <f>IF(OR($H165="",$I165=""),"",ROUND($H165*$I165,0))</f>
        <v/>
      </c>
      <c r="K165" s="10">
        <f>IF(OR($B165="",$E165="",Calc!$B162=""),"",SUMIFS(CalcAmtA,CalcPartyA,$E165,CalcKeyA,"&lt;="&amp;Calc!$B162)-SUMIFS(CalcWitB,CalcPartyB,$E165,CalcKeyB,"&lt;="&amp;Calc!$B162)+SUMIFS(CalcDepB,CalcPartyB,$E165,CalcKeyB,"&lt;="&amp;Calc!$B162))</f>
        <v/>
      </c>
      <c r="L165" s="8" t="n"/>
    </row>
    <row r="166">
      <c r="A166" s="7">
        <f>IF($B166="","",COUNTA($B$9:$B166))</f>
        <v/>
      </c>
      <c r="B166" s="8" t="n"/>
      <c r="C166" s="8" t="n"/>
      <c r="D166" s="8" t="n"/>
      <c r="E166" s="8" t="n"/>
      <c r="F166" s="7">
        <f>IF($E166="","",IFERROR(IF(VLOOKUP($E166,AcctTbl,4,0)="","",VLOOKUP($E166,AcctTbl,4,0)),"—"))</f>
        <v/>
      </c>
      <c r="G166" s="8" t="n"/>
      <c r="H166" s="9" t="n"/>
      <c r="I166" s="9" t="n"/>
      <c r="J166" s="10">
        <f>IF(OR($H166="",$I166=""),"",ROUND($H166*$I166,0))</f>
        <v/>
      </c>
      <c r="K166" s="10">
        <f>IF(OR($B166="",$E166="",Calc!$B163=""),"",SUMIFS(CalcAmtA,CalcPartyA,$E166,CalcKeyA,"&lt;="&amp;Calc!$B163)-SUMIFS(CalcWitB,CalcPartyB,$E166,CalcKeyB,"&lt;="&amp;Calc!$B163)+SUMIFS(CalcDepB,CalcPartyB,$E166,CalcKeyB,"&lt;="&amp;Calc!$B163))</f>
        <v/>
      </c>
      <c r="L166" s="8" t="n"/>
    </row>
    <row r="167">
      <c r="A167" s="7">
        <f>IF($B167="","",COUNTA($B$9:$B167))</f>
        <v/>
      </c>
      <c r="B167" s="8" t="n"/>
      <c r="C167" s="8" t="n"/>
      <c r="D167" s="8" t="n"/>
      <c r="E167" s="8" t="n"/>
      <c r="F167" s="7">
        <f>IF($E167="","",IFERROR(IF(VLOOKUP($E167,AcctTbl,4,0)="","",VLOOKUP($E167,AcctTbl,4,0)),"—"))</f>
        <v/>
      </c>
      <c r="G167" s="8" t="n"/>
      <c r="H167" s="9" t="n"/>
      <c r="I167" s="9" t="n"/>
      <c r="J167" s="10">
        <f>IF(OR($H167="",$I167=""),"",ROUND($H167*$I167,0))</f>
        <v/>
      </c>
      <c r="K167" s="10">
        <f>IF(OR($B167="",$E167="",Calc!$B164=""),"",SUMIFS(CalcAmtA,CalcPartyA,$E167,CalcKeyA,"&lt;="&amp;Calc!$B164)-SUMIFS(CalcWitB,CalcPartyB,$E167,CalcKeyB,"&lt;="&amp;Calc!$B164)+SUMIFS(CalcDepB,CalcPartyB,$E167,CalcKeyB,"&lt;="&amp;Calc!$B164))</f>
        <v/>
      </c>
      <c r="L167" s="8" t="n"/>
    </row>
    <row r="168">
      <c r="A168" s="7">
        <f>IF($B168="","",COUNTA($B$9:$B168))</f>
        <v/>
      </c>
      <c r="B168" s="8" t="n"/>
      <c r="C168" s="8" t="n"/>
      <c r="D168" s="8" t="n"/>
      <c r="E168" s="8" t="n"/>
      <c r="F168" s="7">
        <f>IF($E168="","",IFERROR(IF(VLOOKUP($E168,AcctTbl,4,0)="","",VLOOKUP($E168,AcctTbl,4,0)),"—"))</f>
        <v/>
      </c>
      <c r="G168" s="8" t="n"/>
      <c r="H168" s="9" t="n"/>
      <c r="I168" s="9" t="n"/>
      <c r="J168" s="10">
        <f>IF(OR($H168="",$I168=""),"",ROUND($H168*$I168,0))</f>
        <v/>
      </c>
      <c r="K168" s="10">
        <f>IF(OR($B168="",$E168="",Calc!$B165=""),"",SUMIFS(CalcAmtA,CalcPartyA,$E168,CalcKeyA,"&lt;="&amp;Calc!$B165)-SUMIFS(CalcWitB,CalcPartyB,$E168,CalcKeyB,"&lt;="&amp;Calc!$B165)+SUMIFS(CalcDepB,CalcPartyB,$E168,CalcKeyB,"&lt;="&amp;Calc!$B165))</f>
        <v/>
      </c>
      <c r="L168" s="8" t="n"/>
    </row>
    <row r="169">
      <c r="A169" s="7">
        <f>IF($B169="","",COUNTA($B$9:$B169))</f>
        <v/>
      </c>
      <c r="B169" s="8" t="n"/>
      <c r="C169" s="8" t="n"/>
      <c r="D169" s="8" t="n"/>
      <c r="E169" s="8" t="n"/>
      <c r="F169" s="7">
        <f>IF($E169="","",IFERROR(IF(VLOOKUP($E169,AcctTbl,4,0)="","",VLOOKUP($E169,AcctTbl,4,0)),"—"))</f>
        <v/>
      </c>
      <c r="G169" s="8" t="n"/>
      <c r="H169" s="9" t="n"/>
      <c r="I169" s="9" t="n"/>
      <c r="J169" s="10">
        <f>IF(OR($H169="",$I169=""),"",ROUND($H169*$I169,0))</f>
        <v/>
      </c>
      <c r="K169" s="10">
        <f>IF(OR($B169="",$E169="",Calc!$B166=""),"",SUMIFS(CalcAmtA,CalcPartyA,$E169,CalcKeyA,"&lt;="&amp;Calc!$B166)-SUMIFS(CalcWitB,CalcPartyB,$E169,CalcKeyB,"&lt;="&amp;Calc!$B166)+SUMIFS(CalcDepB,CalcPartyB,$E169,CalcKeyB,"&lt;="&amp;Calc!$B166))</f>
        <v/>
      </c>
      <c r="L169" s="8" t="n"/>
    </row>
    <row r="170">
      <c r="A170" s="7">
        <f>IF($B170="","",COUNTA($B$9:$B170))</f>
        <v/>
      </c>
      <c r="B170" s="8" t="n"/>
      <c r="C170" s="8" t="n"/>
      <c r="D170" s="8" t="n"/>
      <c r="E170" s="8" t="n"/>
      <c r="F170" s="7">
        <f>IF($E170="","",IFERROR(IF(VLOOKUP($E170,AcctTbl,4,0)="","",VLOOKUP($E170,AcctTbl,4,0)),"—"))</f>
        <v/>
      </c>
      <c r="G170" s="8" t="n"/>
      <c r="H170" s="9" t="n"/>
      <c r="I170" s="9" t="n"/>
      <c r="J170" s="10">
        <f>IF(OR($H170="",$I170=""),"",ROUND($H170*$I170,0))</f>
        <v/>
      </c>
      <c r="K170" s="10">
        <f>IF(OR($B170="",$E170="",Calc!$B167=""),"",SUMIFS(CalcAmtA,CalcPartyA,$E170,CalcKeyA,"&lt;="&amp;Calc!$B167)-SUMIFS(CalcWitB,CalcPartyB,$E170,CalcKeyB,"&lt;="&amp;Calc!$B167)+SUMIFS(CalcDepB,CalcPartyB,$E170,CalcKeyB,"&lt;="&amp;Calc!$B167))</f>
        <v/>
      </c>
      <c r="L170" s="8" t="n"/>
    </row>
    <row r="171">
      <c r="A171" s="7">
        <f>IF($B171="","",COUNTA($B$9:$B171))</f>
        <v/>
      </c>
      <c r="B171" s="8" t="n"/>
      <c r="C171" s="8" t="n"/>
      <c r="D171" s="8" t="n"/>
      <c r="E171" s="8" t="n"/>
      <c r="F171" s="7">
        <f>IF($E171="","",IFERROR(IF(VLOOKUP($E171,AcctTbl,4,0)="","",VLOOKUP($E171,AcctTbl,4,0)),"—"))</f>
        <v/>
      </c>
      <c r="G171" s="8" t="n"/>
      <c r="H171" s="9" t="n"/>
      <c r="I171" s="9" t="n"/>
      <c r="J171" s="10">
        <f>IF(OR($H171="",$I171=""),"",ROUND($H171*$I171,0))</f>
        <v/>
      </c>
      <c r="K171" s="10">
        <f>IF(OR($B171="",$E171="",Calc!$B168=""),"",SUMIFS(CalcAmtA,CalcPartyA,$E171,CalcKeyA,"&lt;="&amp;Calc!$B168)-SUMIFS(CalcWitB,CalcPartyB,$E171,CalcKeyB,"&lt;="&amp;Calc!$B168)+SUMIFS(CalcDepB,CalcPartyB,$E171,CalcKeyB,"&lt;="&amp;Calc!$B168))</f>
        <v/>
      </c>
      <c r="L171" s="8" t="n"/>
    </row>
    <row r="172">
      <c r="A172" s="7">
        <f>IF($B172="","",COUNTA($B$9:$B172))</f>
        <v/>
      </c>
      <c r="B172" s="8" t="n"/>
      <c r="C172" s="8" t="n"/>
      <c r="D172" s="8" t="n"/>
      <c r="E172" s="8" t="n"/>
      <c r="F172" s="7">
        <f>IF($E172="","",IFERROR(IF(VLOOKUP($E172,AcctTbl,4,0)="","",VLOOKUP($E172,AcctTbl,4,0)),"—"))</f>
        <v/>
      </c>
      <c r="G172" s="8" t="n"/>
      <c r="H172" s="9" t="n"/>
      <c r="I172" s="9" t="n"/>
      <c r="J172" s="10">
        <f>IF(OR($H172="",$I172=""),"",ROUND($H172*$I172,0))</f>
        <v/>
      </c>
      <c r="K172" s="10">
        <f>IF(OR($B172="",$E172="",Calc!$B169=""),"",SUMIFS(CalcAmtA,CalcPartyA,$E172,CalcKeyA,"&lt;="&amp;Calc!$B169)-SUMIFS(CalcWitB,CalcPartyB,$E172,CalcKeyB,"&lt;="&amp;Calc!$B169)+SUMIFS(CalcDepB,CalcPartyB,$E172,CalcKeyB,"&lt;="&amp;Calc!$B169))</f>
        <v/>
      </c>
      <c r="L172" s="8" t="n"/>
    </row>
    <row r="173">
      <c r="A173" s="7">
        <f>IF($B173="","",COUNTA($B$9:$B173))</f>
        <v/>
      </c>
      <c r="B173" s="8" t="n"/>
      <c r="C173" s="8" t="n"/>
      <c r="D173" s="8" t="n"/>
      <c r="E173" s="8" t="n"/>
      <c r="F173" s="7">
        <f>IF($E173="","",IFERROR(IF(VLOOKUP($E173,AcctTbl,4,0)="","",VLOOKUP($E173,AcctTbl,4,0)),"—"))</f>
        <v/>
      </c>
      <c r="G173" s="8" t="n"/>
      <c r="H173" s="9" t="n"/>
      <c r="I173" s="9" t="n"/>
      <c r="J173" s="10">
        <f>IF(OR($H173="",$I173=""),"",ROUND($H173*$I173,0))</f>
        <v/>
      </c>
      <c r="K173" s="10">
        <f>IF(OR($B173="",$E173="",Calc!$B170=""),"",SUMIFS(CalcAmtA,CalcPartyA,$E173,CalcKeyA,"&lt;="&amp;Calc!$B170)-SUMIFS(CalcWitB,CalcPartyB,$E173,CalcKeyB,"&lt;="&amp;Calc!$B170)+SUMIFS(CalcDepB,CalcPartyB,$E173,CalcKeyB,"&lt;="&amp;Calc!$B170))</f>
        <v/>
      </c>
      <c r="L173" s="8" t="n"/>
    </row>
    <row r="174">
      <c r="A174" s="7">
        <f>IF($B174="","",COUNTA($B$9:$B174))</f>
        <v/>
      </c>
      <c r="B174" s="8" t="n"/>
      <c r="C174" s="8" t="n"/>
      <c r="D174" s="8" t="n"/>
      <c r="E174" s="8" t="n"/>
      <c r="F174" s="7">
        <f>IF($E174="","",IFERROR(IF(VLOOKUP($E174,AcctTbl,4,0)="","",VLOOKUP($E174,AcctTbl,4,0)),"—"))</f>
        <v/>
      </c>
      <c r="G174" s="8" t="n"/>
      <c r="H174" s="9" t="n"/>
      <c r="I174" s="9" t="n"/>
      <c r="J174" s="10">
        <f>IF(OR($H174="",$I174=""),"",ROUND($H174*$I174,0))</f>
        <v/>
      </c>
      <c r="K174" s="10">
        <f>IF(OR($B174="",$E174="",Calc!$B171=""),"",SUMIFS(CalcAmtA,CalcPartyA,$E174,CalcKeyA,"&lt;="&amp;Calc!$B171)-SUMIFS(CalcWitB,CalcPartyB,$E174,CalcKeyB,"&lt;="&amp;Calc!$B171)+SUMIFS(CalcDepB,CalcPartyB,$E174,CalcKeyB,"&lt;="&amp;Calc!$B171))</f>
        <v/>
      </c>
      <c r="L174" s="8" t="n"/>
    </row>
    <row r="175">
      <c r="A175" s="7">
        <f>IF($B175="","",COUNTA($B$9:$B175))</f>
        <v/>
      </c>
      <c r="B175" s="8" t="n"/>
      <c r="C175" s="8" t="n"/>
      <c r="D175" s="8" t="n"/>
      <c r="E175" s="8" t="n"/>
      <c r="F175" s="7">
        <f>IF($E175="","",IFERROR(IF(VLOOKUP($E175,AcctTbl,4,0)="","",VLOOKUP($E175,AcctTbl,4,0)),"—"))</f>
        <v/>
      </c>
      <c r="G175" s="8" t="n"/>
      <c r="H175" s="9" t="n"/>
      <c r="I175" s="9" t="n"/>
      <c r="J175" s="10">
        <f>IF(OR($H175="",$I175=""),"",ROUND($H175*$I175,0))</f>
        <v/>
      </c>
      <c r="K175" s="10">
        <f>IF(OR($B175="",$E175="",Calc!$B172=""),"",SUMIFS(CalcAmtA,CalcPartyA,$E175,CalcKeyA,"&lt;="&amp;Calc!$B172)-SUMIFS(CalcWitB,CalcPartyB,$E175,CalcKeyB,"&lt;="&amp;Calc!$B172)+SUMIFS(CalcDepB,CalcPartyB,$E175,CalcKeyB,"&lt;="&amp;Calc!$B172))</f>
        <v/>
      </c>
      <c r="L175" s="8" t="n"/>
    </row>
    <row r="176">
      <c r="A176" s="7">
        <f>IF($B176="","",COUNTA($B$9:$B176))</f>
        <v/>
      </c>
      <c r="B176" s="8" t="n"/>
      <c r="C176" s="8" t="n"/>
      <c r="D176" s="8" t="n"/>
      <c r="E176" s="8" t="n"/>
      <c r="F176" s="7">
        <f>IF($E176="","",IFERROR(IF(VLOOKUP($E176,AcctTbl,4,0)="","",VLOOKUP($E176,AcctTbl,4,0)),"—"))</f>
        <v/>
      </c>
      <c r="G176" s="8" t="n"/>
      <c r="H176" s="9" t="n"/>
      <c r="I176" s="9" t="n"/>
      <c r="J176" s="10">
        <f>IF(OR($H176="",$I176=""),"",ROUND($H176*$I176,0))</f>
        <v/>
      </c>
      <c r="K176" s="10">
        <f>IF(OR($B176="",$E176="",Calc!$B173=""),"",SUMIFS(CalcAmtA,CalcPartyA,$E176,CalcKeyA,"&lt;="&amp;Calc!$B173)-SUMIFS(CalcWitB,CalcPartyB,$E176,CalcKeyB,"&lt;="&amp;Calc!$B173)+SUMIFS(CalcDepB,CalcPartyB,$E176,CalcKeyB,"&lt;="&amp;Calc!$B173))</f>
        <v/>
      </c>
      <c r="L176" s="8" t="n"/>
    </row>
    <row r="177">
      <c r="A177" s="7">
        <f>IF($B177="","",COUNTA($B$9:$B177))</f>
        <v/>
      </c>
      <c r="B177" s="8" t="n"/>
      <c r="C177" s="8" t="n"/>
      <c r="D177" s="8" t="n"/>
      <c r="E177" s="8" t="n"/>
      <c r="F177" s="7">
        <f>IF($E177="","",IFERROR(IF(VLOOKUP($E177,AcctTbl,4,0)="","",VLOOKUP($E177,AcctTbl,4,0)),"—"))</f>
        <v/>
      </c>
      <c r="G177" s="8" t="n"/>
      <c r="H177" s="9" t="n"/>
      <c r="I177" s="9" t="n"/>
      <c r="J177" s="10">
        <f>IF(OR($H177="",$I177=""),"",ROUND($H177*$I177,0))</f>
        <v/>
      </c>
      <c r="K177" s="10">
        <f>IF(OR($B177="",$E177="",Calc!$B174=""),"",SUMIFS(CalcAmtA,CalcPartyA,$E177,CalcKeyA,"&lt;="&amp;Calc!$B174)-SUMIFS(CalcWitB,CalcPartyB,$E177,CalcKeyB,"&lt;="&amp;Calc!$B174)+SUMIFS(CalcDepB,CalcPartyB,$E177,CalcKeyB,"&lt;="&amp;Calc!$B174))</f>
        <v/>
      </c>
      <c r="L177" s="8" t="n"/>
    </row>
    <row r="178">
      <c r="A178" s="7">
        <f>IF($B178="","",COUNTA($B$9:$B178))</f>
        <v/>
      </c>
      <c r="B178" s="8" t="n"/>
      <c r="C178" s="8" t="n"/>
      <c r="D178" s="8" t="n"/>
      <c r="E178" s="8" t="n"/>
      <c r="F178" s="7">
        <f>IF($E178="","",IFERROR(IF(VLOOKUP($E178,AcctTbl,4,0)="","",VLOOKUP($E178,AcctTbl,4,0)),"—"))</f>
        <v/>
      </c>
      <c r="G178" s="8" t="n"/>
      <c r="H178" s="9" t="n"/>
      <c r="I178" s="9" t="n"/>
      <c r="J178" s="10">
        <f>IF(OR($H178="",$I178=""),"",ROUND($H178*$I178,0))</f>
        <v/>
      </c>
      <c r="K178" s="10">
        <f>IF(OR($B178="",$E178="",Calc!$B175=""),"",SUMIFS(CalcAmtA,CalcPartyA,$E178,CalcKeyA,"&lt;="&amp;Calc!$B175)-SUMIFS(CalcWitB,CalcPartyB,$E178,CalcKeyB,"&lt;="&amp;Calc!$B175)+SUMIFS(CalcDepB,CalcPartyB,$E178,CalcKeyB,"&lt;="&amp;Calc!$B175))</f>
        <v/>
      </c>
      <c r="L178" s="8" t="n"/>
    </row>
    <row r="179">
      <c r="A179" s="7">
        <f>IF($B179="","",COUNTA($B$9:$B179))</f>
        <v/>
      </c>
      <c r="B179" s="8" t="n"/>
      <c r="C179" s="8" t="n"/>
      <c r="D179" s="8" t="n"/>
      <c r="E179" s="8" t="n"/>
      <c r="F179" s="7">
        <f>IF($E179="","",IFERROR(IF(VLOOKUP($E179,AcctTbl,4,0)="","",VLOOKUP($E179,AcctTbl,4,0)),"—"))</f>
        <v/>
      </c>
      <c r="G179" s="8" t="n"/>
      <c r="H179" s="9" t="n"/>
      <c r="I179" s="9" t="n"/>
      <c r="J179" s="10">
        <f>IF(OR($H179="",$I179=""),"",ROUND($H179*$I179,0))</f>
        <v/>
      </c>
      <c r="K179" s="10">
        <f>IF(OR($B179="",$E179="",Calc!$B176=""),"",SUMIFS(CalcAmtA,CalcPartyA,$E179,CalcKeyA,"&lt;="&amp;Calc!$B176)-SUMIFS(CalcWitB,CalcPartyB,$E179,CalcKeyB,"&lt;="&amp;Calc!$B176)+SUMIFS(CalcDepB,CalcPartyB,$E179,CalcKeyB,"&lt;="&amp;Calc!$B176))</f>
        <v/>
      </c>
      <c r="L179" s="8" t="n"/>
    </row>
    <row r="180">
      <c r="A180" s="7">
        <f>IF($B180="","",COUNTA($B$9:$B180))</f>
        <v/>
      </c>
      <c r="B180" s="8" t="n"/>
      <c r="C180" s="8" t="n"/>
      <c r="D180" s="8" t="n"/>
      <c r="E180" s="8" t="n"/>
      <c r="F180" s="7">
        <f>IF($E180="","",IFERROR(IF(VLOOKUP($E180,AcctTbl,4,0)="","",VLOOKUP($E180,AcctTbl,4,0)),"—"))</f>
        <v/>
      </c>
      <c r="G180" s="8" t="n"/>
      <c r="H180" s="9" t="n"/>
      <c r="I180" s="9" t="n"/>
      <c r="J180" s="10">
        <f>IF(OR($H180="",$I180=""),"",ROUND($H180*$I180,0))</f>
        <v/>
      </c>
      <c r="K180" s="10">
        <f>IF(OR($B180="",$E180="",Calc!$B177=""),"",SUMIFS(CalcAmtA,CalcPartyA,$E180,CalcKeyA,"&lt;="&amp;Calc!$B177)-SUMIFS(CalcWitB,CalcPartyB,$E180,CalcKeyB,"&lt;="&amp;Calc!$B177)+SUMIFS(CalcDepB,CalcPartyB,$E180,CalcKeyB,"&lt;="&amp;Calc!$B177))</f>
        <v/>
      </c>
      <c r="L180" s="8" t="n"/>
    </row>
    <row r="181">
      <c r="A181" s="7">
        <f>IF($B181="","",COUNTA($B$9:$B181))</f>
        <v/>
      </c>
      <c r="B181" s="8" t="n"/>
      <c r="C181" s="8" t="n"/>
      <c r="D181" s="8" t="n"/>
      <c r="E181" s="8" t="n"/>
      <c r="F181" s="7">
        <f>IF($E181="","",IFERROR(IF(VLOOKUP($E181,AcctTbl,4,0)="","",VLOOKUP($E181,AcctTbl,4,0)),"—"))</f>
        <v/>
      </c>
      <c r="G181" s="8" t="n"/>
      <c r="H181" s="9" t="n"/>
      <c r="I181" s="9" t="n"/>
      <c r="J181" s="10">
        <f>IF(OR($H181="",$I181=""),"",ROUND($H181*$I181,0))</f>
        <v/>
      </c>
      <c r="K181" s="10">
        <f>IF(OR($B181="",$E181="",Calc!$B178=""),"",SUMIFS(CalcAmtA,CalcPartyA,$E181,CalcKeyA,"&lt;="&amp;Calc!$B178)-SUMIFS(CalcWitB,CalcPartyB,$E181,CalcKeyB,"&lt;="&amp;Calc!$B178)+SUMIFS(CalcDepB,CalcPartyB,$E181,CalcKeyB,"&lt;="&amp;Calc!$B178))</f>
        <v/>
      </c>
      <c r="L181" s="8" t="n"/>
    </row>
    <row r="182">
      <c r="A182" s="7">
        <f>IF($B182="","",COUNTA($B$9:$B182))</f>
        <v/>
      </c>
      <c r="B182" s="8" t="n"/>
      <c r="C182" s="8" t="n"/>
      <c r="D182" s="8" t="n"/>
      <c r="E182" s="8" t="n"/>
      <c r="F182" s="7">
        <f>IF($E182="","",IFERROR(IF(VLOOKUP($E182,AcctTbl,4,0)="","",VLOOKUP($E182,AcctTbl,4,0)),"—"))</f>
        <v/>
      </c>
      <c r="G182" s="8" t="n"/>
      <c r="H182" s="9" t="n"/>
      <c r="I182" s="9" t="n"/>
      <c r="J182" s="10">
        <f>IF(OR($H182="",$I182=""),"",ROUND($H182*$I182,0))</f>
        <v/>
      </c>
      <c r="K182" s="10">
        <f>IF(OR($B182="",$E182="",Calc!$B179=""),"",SUMIFS(CalcAmtA,CalcPartyA,$E182,CalcKeyA,"&lt;="&amp;Calc!$B179)-SUMIFS(CalcWitB,CalcPartyB,$E182,CalcKeyB,"&lt;="&amp;Calc!$B179)+SUMIFS(CalcDepB,CalcPartyB,$E182,CalcKeyB,"&lt;="&amp;Calc!$B179))</f>
        <v/>
      </c>
      <c r="L182" s="8" t="n"/>
    </row>
    <row r="183">
      <c r="A183" s="7">
        <f>IF($B183="","",COUNTA($B$9:$B183))</f>
        <v/>
      </c>
      <c r="B183" s="8" t="n"/>
      <c r="C183" s="8" t="n"/>
      <c r="D183" s="8" t="n"/>
      <c r="E183" s="8" t="n"/>
      <c r="F183" s="7">
        <f>IF($E183="","",IFERROR(IF(VLOOKUP($E183,AcctTbl,4,0)="","",VLOOKUP($E183,AcctTbl,4,0)),"—"))</f>
        <v/>
      </c>
      <c r="G183" s="8" t="n"/>
      <c r="H183" s="9" t="n"/>
      <c r="I183" s="9" t="n"/>
      <c r="J183" s="10">
        <f>IF(OR($H183="",$I183=""),"",ROUND($H183*$I183,0))</f>
        <v/>
      </c>
      <c r="K183" s="10">
        <f>IF(OR($B183="",$E183="",Calc!$B180=""),"",SUMIFS(CalcAmtA,CalcPartyA,$E183,CalcKeyA,"&lt;="&amp;Calc!$B180)-SUMIFS(CalcWitB,CalcPartyB,$E183,CalcKeyB,"&lt;="&amp;Calc!$B180)+SUMIFS(CalcDepB,CalcPartyB,$E183,CalcKeyB,"&lt;="&amp;Calc!$B180))</f>
        <v/>
      </c>
      <c r="L183" s="8" t="n"/>
    </row>
    <row r="184">
      <c r="A184" s="7">
        <f>IF($B184="","",COUNTA($B$9:$B184))</f>
        <v/>
      </c>
      <c r="B184" s="8" t="n"/>
      <c r="C184" s="8" t="n"/>
      <c r="D184" s="8" t="n"/>
      <c r="E184" s="8" t="n"/>
      <c r="F184" s="7">
        <f>IF($E184="","",IFERROR(IF(VLOOKUP($E184,AcctTbl,4,0)="","",VLOOKUP($E184,AcctTbl,4,0)),"—"))</f>
        <v/>
      </c>
      <c r="G184" s="8" t="n"/>
      <c r="H184" s="9" t="n"/>
      <c r="I184" s="9" t="n"/>
      <c r="J184" s="10">
        <f>IF(OR($H184="",$I184=""),"",ROUND($H184*$I184,0))</f>
        <v/>
      </c>
      <c r="K184" s="10">
        <f>IF(OR($B184="",$E184="",Calc!$B181=""),"",SUMIFS(CalcAmtA,CalcPartyA,$E184,CalcKeyA,"&lt;="&amp;Calc!$B181)-SUMIFS(CalcWitB,CalcPartyB,$E184,CalcKeyB,"&lt;="&amp;Calc!$B181)+SUMIFS(CalcDepB,CalcPartyB,$E184,CalcKeyB,"&lt;="&amp;Calc!$B181))</f>
        <v/>
      </c>
      <c r="L184" s="8" t="n"/>
    </row>
    <row r="185">
      <c r="A185" s="7">
        <f>IF($B185="","",COUNTA($B$9:$B185))</f>
        <v/>
      </c>
      <c r="B185" s="8" t="n"/>
      <c r="C185" s="8" t="n"/>
      <c r="D185" s="8" t="n"/>
      <c r="E185" s="8" t="n"/>
      <c r="F185" s="7">
        <f>IF($E185="","",IFERROR(IF(VLOOKUP($E185,AcctTbl,4,0)="","",VLOOKUP($E185,AcctTbl,4,0)),"—"))</f>
        <v/>
      </c>
      <c r="G185" s="8" t="n"/>
      <c r="H185" s="9" t="n"/>
      <c r="I185" s="9" t="n"/>
      <c r="J185" s="10">
        <f>IF(OR($H185="",$I185=""),"",ROUND($H185*$I185,0))</f>
        <v/>
      </c>
      <c r="K185" s="10">
        <f>IF(OR($B185="",$E185="",Calc!$B182=""),"",SUMIFS(CalcAmtA,CalcPartyA,$E185,CalcKeyA,"&lt;="&amp;Calc!$B182)-SUMIFS(CalcWitB,CalcPartyB,$E185,CalcKeyB,"&lt;="&amp;Calc!$B182)+SUMIFS(CalcDepB,CalcPartyB,$E185,CalcKeyB,"&lt;="&amp;Calc!$B182))</f>
        <v/>
      </c>
      <c r="L185" s="8" t="n"/>
    </row>
    <row r="186">
      <c r="A186" s="7">
        <f>IF($B186="","",COUNTA($B$9:$B186))</f>
        <v/>
      </c>
      <c r="B186" s="8" t="n"/>
      <c r="C186" s="8" t="n"/>
      <c r="D186" s="8" t="n"/>
      <c r="E186" s="8" t="n"/>
      <c r="F186" s="7">
        <f>IF($E186="","",IFERROR(IF(VLOOKUP($E186,AcctTbl,4,0)="","",VLOOKUP($E186,AcctTbl,4,0)),"—"))</f>
        <v/>
      </c>
      <c r="G186" s="8" t="n"/>
      <c r="H186" s="9" t="n"/>
      <c r="I186" s="9" t="n"/>
      <c r="J186" s="10">
        <f>IF(OR($H186="",$I186=""),"",ROUND($H186*$I186,0))</f>
        <v/>
      </c>
      <c r="K186" s="10">
        <f>IF(OR($B186="",$E186="",Calc!$B183=""),"",SUMIFS(CalcAmtA,CalcPartyA,$E186,CalcKeyA,"&lt;="&amp;Calc!$B183)-SUMIFS(CalcWitB,CalcPartyB,$E186,CalcKeyB,"&lt;="&amp;Calc!$B183)+SUMIFS(CalcDepB,CalcPartyB,$E186,CalcKeyB,"&lt;="&amp;Calc!$B183))</f>
        <v/>
      </c>
      <c r="L186" s="8" t="n"/>
    </row>
    <row r="187">
      <c r="A187" s="7">
        <f>IF($B187="","",COUNTA($B$9:$B187))</f>
        <v/>
      </c>
      <c r="B187" s="8" t="n"/>
      <c r="C187" s="8" t="n"/>
      <c r="D187" s="8" t="n"/>
      <c r="E187" s="8" t="n"/>
      <c r="F187" s="7">
        <f>IF($E187="","",IFERROR(IF(VLOOKUP($E187,AcctTbl,4,0)="","",VLOOKUP($E187,AcctTbl,4,0)),"—"))</f>
        <v/>
      </c>
      <c r="G187" s="8" t="n"/>
      <c r="H187" s="9" t="n"/>
      <c r="I187" s="9" t="n"/>
      <c r="J187" s="10">
        <f>IF(OR($H187="",$I187=""),"",ROUND($H187*$I187,0))</f>
        <v/>
      </c>
      <c r="K187" s="10">
        <f>IF(OR($B187="",$E187="",Calc!$B184=""),"",SUMIFS(CalcAmtA,CalcPartyA,$E187,CalcKeyA,"&lt;="&amp;Calc!$B184)-SUMIFS(CalcWitB,CalcPartyB,$E187,CalcKeyB,"&lt;="&amp;Calc!$B184)+SUMIFS(CalcDepB,CalcPartyB,$E187,CalcKeyB,"&lt;="&amp;Calc!$B184))</f>
        <v/>
      </c>
      <c r="L187" s="8" t="n"/>
    </row>
    <row r="188">
      <c r="A188" s="7">
        <f>IF($B188="","",COUNTA($B$9:$B188))</f>
        <v/>
      </c>
      <c r="B188" s="8" t="n"/>
      <c r="C188" s="8" t="n"/>
      <c r="D188" s="8" t="n"/>
      <c r="E188" s="8" t="n"/>
      <c r="F188" s="7">
        <f>IF($E188="","",IFERROR(IF(VLOOKUP($E188,AcctTbl,4,0)="","",VLOOKUP($E188,AcctTbl,4,0)),"—"))</f>
        <v/>
      </c>
      <c r="G188" s="8" t="n"/>
      <c r="H188" s="9" t="n"/>
      <c r="I188" s="9" t="n"/>
      <c r="J188" s="10">
        <f>IF(OR($H188="",$I188=""),"",ROUND($H188*$I188,0))</f>
        <v/>
      </c>
      <c r="K188" s="10">
        <f>IF(OR($B188="",$E188="",Calc!$B185=""),"",SUMIFS(CalcAmtA,CalcPartyA,$E188,CalcKeyA,"&lt;="&amp;Calc!$B185)-SUMIFS(CalcWitB,CalcPartyB,$E188,CalcKeyB,"&lt;="&amp;Calc!$B185)+SUMIFS(CalcDepB,CalcPartyB,$E188,CalcKeyB,"&lt;="&amp;Calc!$B185))</f>
        <v/>
      </c>
      <c r="L188" s="8" t="n"/>
    </row>
    <row r="189">
      <c r="A189" s="7">
        <f>IF($B189="","",COUNTA($B$9:$B189))</f>
        <v/>
      </c>
      <c r="B189" s="8" t="n"/>
      <c r="C189" s="8" t="n"/>
      <c r="D189" s="8" t="n"/>
      <c r="E189" s="8" t="n"/>
      <c r="F189" s="7">
        <f>IF($E189="","",IFERROR(IF(VLOOKUP($E189,AcctTbl,4,0)="","",VLOOKUP($E189,AcctTbl,4,0)),"—"))</f>
        <v/>
      </c>
      <c r="G189" s="8" t="n"/>
      <c r="H189" s="9" t="n"/>
      <c r="I189" s="9" t="n"/>
      <c r="J189" s="10">
        <f>IF(OR($H189="",$I189=""),"",ROUND($H189*$I189,0))</f>
        <v/>
      </c>
      <c r="K189" s="10">
        <f>IF(OR($B189="",$E189="",Calc!$B186=""),"",SUMIFS(CalcAmtA,CalcPartyA,$E189,CalcKeyA,"&lt;="&amp;Calc!$B186)-SUMIFS(CalcWitB,CalcPartyB,$E189,CalcKeyB,"&lt;="&amp;Calc!$B186)+SUMIFS(CalcDepB,CalcPartyB,$E189,CalcKeyB,"&lt;="&amp;Calc!$B186))</f>
        <v/>
      </c>
      <c r="L189" s="8" t="n"/>
    </row>
    <row r="190">
      <c r="A190" s="7">
        <f>IF($B190="","",COUNTA($B$9:$B190))</f>
        <v/>
      </c>
      <c r="B190" s="8" t="n"/>
      <c r="C190" s="8" t="n"/>
      <c r="D190" s="8" t="n"/>
      <c r="E190" s="8" t="n"/>
      <c r="F190" s="7">
        <f>IF($E190="","",IFERROR(IF(VLOOKUP($E190,AcctTbl,4,0)="","",VLOOKUP($E190,AcctTbl,4,0)),"—"))</f>
        <v/>
      </c>
      <c r="G190" s="8" t="n"/>
      <c r="H190" s="9" t="n"/>
      <c r="I190" s="9" t="n"/>
      <c r="J190" s="10">
        <f>IF(OR($H190="",$I190=""),"",ROUND($H190*$I190,0))</f>
        <v/>
      </c>
      <c r="K190" s="10">
        <f>IF(OR($B190="",$E190="",Calc!$B187=""),"",SUMIFS(CalcAmtA,CalcPartyA,$E190,CalcKeyA,"&lt;="&amp;Calc!$B187)-SUMIFS(CalcWitB,CalcPartyB,$E190,CalcKeyB,"&lt;="&amp;Calc!$B187)+SUMIFS(CalcDepB,CalcPartyB,$E190,CalcKeyB,"&lt;="&amp;Calc!$B187))</f>
        <v/>
      </c>
      <c r="L190" s="8" t="n"/>
    </row>
    <row r="191">
      <c r="A191" s="7">
        <f>IF($B191="","",COUNTA($B$9:$B191))</f>
        <v/>
      </c>
      <c r="B191" s="8" t="n"/>
      <c r="C191" s="8" t="n"/>
      <c r="D191" s="8" t="n"/>
      <c r="E191" s="8" t="n"/>
      <c r="F191" s="7">
        <f>IF($E191="","",IFERROR(IF(VLOOKUP($E191,AcctTbl,4,0)="","",VLOOKUP($E191,AcctTbl,4,0)),"—"))</f>
        <v/>
      </c>
      <c r="G191" s="8" t="n"/>
      <c r="H191" s="9" t="n"/>
      <c r="I191" s="9" t="n"/>
      <c r="J191" s="10">
        <f>IF(OR($H191="",$I191=""),"",ROUND($H191*$I191,0))</f>
        <v/>
      </c>
      <c r="K191" s="10">
        <f>IF(OR($B191="",$E191="",Calc!$B188=""),"",SUMIFS(CalcAmtA,CalcPartyA,$E191,CalcKeyA,"&lt;="&amp;Calc!$B188)-SUMIFS(CalcWitB,CalcPartyB,$E191,CalcKeyB,"&lt;="&amp;Calc!$B188)+SUMIFS(CalcDepB,CalcPartyB,$E191,CalcKeyB,"&lt;="&amp;Calc!$B188))</f>
        <v/>
      </c>
      <c r="L191" s="8" t="n"/>
    </row>
    <row r="192">
      <c r="A192" s="7">
        <f>IF($B192="","",COUNTA($B$9:$B192))</f>
        <v/>
      </c>
      <c r="B192" s="8" t="n"/>
      <c r="C192" s="8" t="n"/>
      <c r="D192" s="8" t="n"/>
      <c r="E192" s="8" t="n"/>
      <c r="F192" s="7">
        <f>IF($E192="","",IFERROR(IF(VLOOKUP($E192,AcctTbl,4,0)="","",VLOOKUP($E192,AcctTbl,4,0)),"—"))</f>
        <v/>
      </c>
      <c r="G192" s="8" t="n"/>
      <c r="H192" s="9" t="n"/>
      <c r="I192" s="9" t="n"/>
      <c r="J192" s="10">
        <f>IF(OR($H192="",$I192=""),"",ROUND($H192*$I192,0))</f>
        <v/>
      </c>
      <c r="K192" s="10">
        <f>IF(OR($B192="",$E192="",Calc!$B189=""),"",SUMIFS(CalcAmtA,CalcPartyA,$E192,CalcKeyA,"&lt;="&amp;Calc!$B189)-SUMIFS(CalcWitB,CalcPartyB,$E192,CalcKeyB,"&lt;="&amp;Calc!$B189)+SUMIFS(CalcDepB,CalcPartyB,$E192,CalcKeyB,"&lt;="&amp;Calc!$B189))</f>
        <v/>
      </c>
      <c r="L192" s="8" t="n"/>
    </row>
    <row r="193">
      <c r="A193" s="7">
        <f>IF($B193="","",COUNTA($B$9:$B193))</f>
        <v/>
      </c>
      <c r="B193" s="8" t="n"/>
      <c r="C193" s="8" t="n"/>
      <c r="D193" s="8" t="n"/>
      <c r="E193" s="8" t="n"/>
      <c r="F193" s="7">
        <f>IF($E193="","",IFERROR(IF(VLOOKUP($E193,AcctTbl,4,0)="","",VLOOKUP($E193,AcctTbl,4,0)),"—"))</f>
        <v/>
      </c>
      <c r="G193" s="8" t="n"/>
      <c r="H193" s="9" t="n"/>
      <c r="I193" s="9" t="n"/>
      <c r="J193" s="10">
        <f>IF(OR($H193="",$I193=""),"",ROUND($H193*$I193,0))</f>
        <v/>
      </c>
      <c r="K193" s="10">
        <f>IF(OR($B193="",$E193="",Calc!$B190=""),"",SUMIFS(CalcAmtA,CalcPartyA,$E193,CalcKeyA,"&lt;="&amp;Calc!$B190)-SUMIFS(CalcWitB,CalcPartyB,$E193,CalcKeyB,"&lt;="&amp;Calc!$B190)+SUMIFS(CalcDepB,CalcPartyB,$E193,CalcKeyB,"&lt;="&amp;Calc!$B190))</f>
        <v/>
      </c>
      <c r="L193" s="8" t="n"/>
    </row>
    <row r="194">
      <c r="A194" s="7">
        <f>IF($B194="","",COUNTA($B$9:$B194))</f>
        <v/>
      </c>
      <c r="B194" s="8" t="n"/>
      <c r="C194" s="8" t="n"/>
      <c r="D194" s="8" t="n"/>
      <c r="E194" s="8" t="n"/>
      <c r="F194" s="7">
        <f>IF($E194="","",IFERROR(IF(VLOOKUP($E194,AcctTbl,4,0)="","",VLOOKUP($E194,AcctTbl,4,0)),"—"))</f>
        <v/>
      </c>
      <c r="G194" s="8" t="n"/>
      <c r="H194" s="9" t="n"/>
      <c r="I194" s="9" t="n"/>
      <c r="J194" s="10">
        <f>IF(OR($H194="",$I194=""),"",ROUND($H194*$I194,0))</f>
        <v/>
      </c>
      <c r="K194" s="10">
        <f>IF(OR($B194="",$E194="",Calc!$B191=""),"",SUMIFS(CalcAmtA,CalcPartyA,$E194,CalcKeyA,"&lt;="&amp;Calc!$B191)-SUMIFS(CalcWitB,CalcPartyB,$E194,CalcKeyB,"&lt;="&amp;Calc!$B191)+SUMIFS(CalcDepB,CalcPartyB,$E194,CalcKeyB,"&lt;="&amp;Calc!$B191))</f>
        <v/>
      </c>
      <c r="L194" s="8" t="n"/>
    </row>
    <row r="195">
      <c r="A195" s="7">
        <f>IF($B195="","",COUNTA($B$9:$B195))</f>
        <v/>
      </c>
      <c r="B195" s="8" t="n"/>
      <c r="C195" s="8" t="n"/>
      <c r="D195" s="8" t="n"/>
      <c r="E195" s="8" t="n"/>
      <c r="F195" s="7">
        <f>IF($E195="","",IFERROR(IF(VLOOKUP($E195,AcctTbl,4,0)="","",VLOOKUP($E195,AcctTbl,4,0)),"—"))</f>
        <v/>
      </c>
      <c r="G195" s="8" t="n"/>
      <c r="H195" s="9" t="n"/>
      <c r="I195" s="9" t="n"/>
      <c r="J195" s="10">
        <f>IF(OR($H195="",$I195=""),"",ROUND($H195*$I195,0))</f>
        <v/>
      </c>
      <c r="K195" s="10">
        <f>IF(OR($B195="",$E195="",Calc!$B192=""),"",SUMIFS(CalcAmtA,CalcPartyA,$E195,CalcKeyA,"&lt;="&amp;Calc!$B192)-SUMIFS(CalcWitB,CalcPartyB,$E195,CalcKeyB,"&lt;="&amp;Calc!$B192)+SUMIFS(CalcDepB,CalcPartyB,$E195,CalcKeyB,"&lt;="&amp;Calc!$B192))</f>
        <v/>
      </c>
      <c r="L195" s="8" t="n"/>
    </row>
    <row r="196">
      <c r="A196" s="7">
        <f>IF($B196="","",COUNTA($B$9:$B196))</f>
        <v/>
      </c>
      <c r="B196" s="8" t="n"/>
      <c r="C196" s="8" t="n"/>
      <c r="D196" s="8" t="n"/>
      <c r="E196" s="8" t="n"/>
      <c r="F196" s="7">
        <f>IF($E196="","",IFERROR(IF(VLOOKUP($E196,AcctTbl,4,0)="","",VLOOKUP($E196,AcctTbl,4,0)),"—"))</f>
        <v/>
      </c>
      <c r="G196" s="8" t="n"/>
      <c r="H196" s="9" t="n"/>
      <c r="I196" s="9" t="n"/>
      <c r="J196" s="10">
        <f>IF(OR($H196="",$I196=""),"",ROUND($H196*$I196,0))</f>
        <v/>
      </c>
      <c r="K196" s="10">
        <f>IF(OR($B196="",$E196="",Calc!$B193=""),"",SUMIFS(CalcAmtA,CalcPartyA,$E196,CalcKeyA,"&lt;="&amp;Calc!$B193)-SUMIFS(CalcWitB,CalcPartyB,$E196,CalcKeyB,"&lt;="&amp;Calc!$B193)+SUMIFS(CalcDepB,CalcPartyB,$E196,CalcKeyB,"&lt;="&amp;Calc!$B193))</f>
        <v/>
      </c>
      <c r="L196" s="8" t="n"/>
    </row>
    <row r="197">
      <c r="A197" s="7">
        <f>IF($B197="","",COUNTA($B$9:$B197))</f>
        <v/>
      </c>
      <c r="B197" s="8" t="n"/>
      <c r="C197" s="8" t="n"/>
      <c r="D197" s="8" t="n"/>
      <c r="E197" s="8" t="n"/>
      <c r="F197" s="7">
        <f>IF($E197="","",IFERROR(IF(VLOOKUP($E197,AcctTbl,4,0)="","",VLOOKUP($E197,AcctTbl,4,0)),"—"))</f>
        <v/>
      </c>
      <c r="G197" s="8" t="n"/>
      <c r="H197" s="9" t="n"/>
      <c r="I197" s="9" t="n"/>
      <c r="J197" s="10">
        <f>IF(OR($H197="",$I197=""),"",ROUND($H197*$I197,0))</f>
        <v/>
      </c>
      <c r="K197" s="10">
        <f>IF(OR($B197="",$E197="",Calc!$B194=""),"",SUMIFS(CalcAmtA,CalcPartyA,$E197,CalcKeyA,"&lt;="&amp;Calc!$B194)-SUMIFS(CalcWitB,CalcPartyB,$E197,CalcKeyB,"&lt;="&amp;Calc!$B194)+SUMIFS(CalcDepB,CalcPartyB,$E197,CalcKeyB,"&lt;="&amp;Calc!$B194))</f>
        <v/>
      </c>
      <c r="L197" s="8" t="n"/>
    </row>
    <row r="198">
      <c r="A198" s="7">
        <f>IF($B198="","",COUNTA($B$9:$B198))</f>
        <v/>
      </c>
      <c r="B198" s="8" t="n"/>
      <c r="C198" s="8" t="n"/>
      <c r="D198" s="8" t="n"/>
      <c r="E198" s="8" t="n"/>
      <c r="F198" s="7">
        <f>IF($E198="","",IFERROR(IF(VLOOKUP($E198,AcctTbl,4,0)="","",VLOOKUP($E198,AcctTbl,4,0)),"—"))</f>
        <v/>
      </c>
      <c r="G198" s="8" t="n"/>
      <c r="H198" s="9" t="n"/>
      <c r="I198" s="9" t="n"/>
      <c r="J198" s="10">
        <f>IF(OR($H198="",$I198=""),"",ROUND($H198*$I198,0))</f>
        <v/>
      </c>
      <c r="K198" s="10">
        <f>IF(OR($B198="",$E198="",Calc!$B195=""),"",SUMIFS(CalcAmtA,CalcPartyA,$E198,CalcKeyA,"&lt;="&amp;Calc!$B195)-SUMIFS(CalcWitB,CalcPartyB,$E198,CalcKeyB,"&lt;="&amp;Calc!$B195)+SUMIFS(CalcDepB,CalcPartyB,$E198,CalcKeyB,"&lt;="&amp;Calc!$B195))</f>
        <v/>
      </c>
      <c r="L198" s="8" t="n"/>
    </row>
    <row r="199">
      <c r="A199" s="7">
        <f>IF($B199="","",COUNTA($B$9:$B199))</f>
        <v/>
      </c>
      <c r="B199" s="8" t="n"/>
      <c r="C199" s="8" t="n"/>
      <c r="D199" s="8" t="n"/>
      <c r="E199" s="8" t="n"/>
      <c r="F199" s="7">
        <f>IF($E199="","",IFERROR(IF(VLOOKUP($E199,AcctTbl,4,0)="","",VLOOKUP($E199,AcctTbl,4,0)),"—"))</f>
        <v/>
      </c>
      <c r="G199" s="8" t="n"/>
      <c r="H199" s="9" t="n"/>
      <c r="I199" s="9" t="n"/>
      <c r="J199" s="10">
        <f>IF(OR($H199="",$I199=""),"",ROUND($H199*$I199,0))</f>
        <v/>
      </c>
      <c r="K199" s="10">
        <f>IF(OR($B199="",$E199="",Calc!$B196=""),"",SUMIFS(CalcAmtA,CalcPartyA,$E199,CalcKeyA,"&lt;="&amp;Calc!$B196)-SUMIFS(CalcWitB,CalcPartyB,$E199,CalcKeyB,"&lt;="&amp;Calc!$B196)+SUMIFS(CalcDepB,CalcPartyB,$E199,CalcKeyB,"&lt;="&amp;Calc!$B196))</f>
        <v/>
      </c>
      <c r="L199" s="8" t="n"/>
    </row>
    <row r="200">
      <c r="A200" s="7">
        <f>IF($B200="","",COUNTA($B$9:$B200))</f>
        <v/>
      </c>
      <c r="B200" s="8" t="n"/>
      <c r="C200" s="8" t="n"/>
      <c r="D200" s="8" t="n"/>
      <c r="E200" s="8" t="n"/>
      <c r="F200" s="7">
        <f>IF($E200="","",IFERROR(IF(VLOOKUP($E200,AcctTbl,4,0)="","",VLOOKUP($E200,AcctTbl,4,0)),"—"))</f>
        <v/>
      </c>
      <c r="G200" s="8" t="n"/>
      <c r="H200" s="9" t="n"/>
      <c r="I200" s="9" t="n"/>
      <c r="J200" s="10">
        <f>IF(OR($H200="",$I200=""),"",ROUND($H200*$I200,0))</f>
        <v/>
      </c>
      <c r="K200" s="10">
        <f>IF(OR($B200="",$E200="",Calc!$B197=""),"",SUMIFS(CalcAmtA,CalcPartyA,$E200,CalcKeyA,"&lt;="&amp;Calc!$B197)-SUMIFS(CalcWitB,CalcPartyB,$E200,CalcKeyB,"&lt;="&amp;Calc!$B197)+SUMIFS(CalcDepB,CalcPartyB,$E200,CalcKeyB,"&lt;="&amp;Calc!$B197))</f>
        <v/>
      </c>
      <c r="L200" s="8" t="n"/>
    </row>
    <row r="201">
      <c r="A201" s="7">
        <f>IF($B201="","",COUNTA($B$9:$B201))</f>
        <v/>
      </c>
      <c r="B201" s="8" t="n"/>
      <c r="C201" s="8" t="n"/>
      <c r="D201" s="8" t="n"/>
      <c r="E201" s="8" t="n"/>
      <c r="F201" s="7">
        <f>IF($E201="","",IFERROR(IF(VLOOKUP($E201,AcctTbl,4,0)="","",VLOOKUP($E201,AcctTbl,4,0)),"—"))</f>
        <v/>
      </c>
      <c r="G201" s="8" t="n"/>
      <c r="H201" s="9" t="n"/>
      <c r="I201" s="9" t="n"/>
      <c r="J201" s="10">
        <f>IF(OR($H201="",$I201=""),"",ROUND($H201*$I201,0))</f>
        <v/>
      </c>
      <c r="K201" s="10">
        <f>IF(OR($B201="",$E201="",Calc!$B198=""),"",SUMIFS(CalcAmtA,CalcPartyA,$E201,CalcKeyA,"&lt;="&amp;Calc!$B198)-SUMIFS(CalcWitB,CalcPartyB,$E201,CalcKeyB,"&lt;="&amp;Calc!$B198)+SUMIFS(CalcDepB,CalcPartyB,$E201,CalcKeyB,"&lt;="&amp;Calc!$B198))</f>
        <v/>
      </c>
      <c r="L201" s="8" t="n"/>
    </row>
    <row r="202">
      <c r="A202" s="7">
        <f>IF($B202="","",COUNTA($B$9:$B202))</f>
        <v/>
      </c>
      <c r="B202" s="8" t="n"/>
      <c r="C202" s="8" t="n"/>
      <c r="D202" s="8" t="n"/>
      <c r="E202" s="8" t="n"/>
      <c r="F202" s="7">
        <f>IF($E202="","",IFERROR(IF(VLOOKUP($E202,AcctTbl,4,0)="","",VLOOKUP($E202,AcctTbl,4,0)),"—"))</f>
        <v/>
      </c>
      <c r="G202" s="8" t="n"/>
      <c r="H202" s="9" t="n"/>
      <c r="I202" s="9" t="n"/>
      <c r="J202" s="10">
        <f>IF(OR($H202="",$I202=""),"",ROUND($H202*$I202,0))</f>
        <v/>
      </c>
      <c r="K202" s="10">
        <f>IF(OR($B202="",$E202="",Calc!$B199=""),"",SUMIFS(CalcAmtA,CalcPartyA,$E202,CalcKeyA,"&lt;="&amp;Calc!$B199)-SUMIFS(CalcWitB,CalcPartyB,$E202,CalcKeyB,"&lt;="&amp;Calc!$B199)+SUMIFS(CalcDepB,CalcPartyB,$E202,CalcKeyB,"&lt;="&amp;Calc!$B199))</f>
        <v/>
      </c>
      <c r="L202" s="8" t="n"/>
    </row>
    <row r="203">
      <c r="A203" s="7">
        <f>IF($B203="","",COUNTA($B$9:$B203))</f>
        <v/>
      </c>
      <c r="B203" s="8" t="n"/>
      <c r="C203" s="8" t="n"/>
      <c r="D203" s="8" t="n"/>
      <c r="E203" s="8" t="n"/>
      <c r="F203" s="7">
        <f>IF($E203="","",IFERROR(IF(VLOOKUP($E203,AcctTbl,4,0)="","",VLOOKUP($E203,AcctTbl,4,0)),"—"))</f>
        <v/>
      </c>
      <c r="G203" s="8" t="n"/>
      <c r="H203" s="9" t="n"/>
      <c r="I203" s="9" t="n"/>
      <c r="J203" s="10">
        <f>IF(OR($H203="",$I203=""),"",ROUND($H203*$I203,0))</f>
        <v/>
      </c>
      <c r="K203" s="10">
        <f>IF(OR($B203="",$E203="",Calc!$B200=""),"",SUMIFS(CalcAmtA,CalcPartyA,$E203,CalcKeyA,"&lt;="&amp;Calc!$B200)-SUMIFS(CalcWitB,CalcPartyB,$E203,CalcKeyB,"&lt;="&amp;Calc!$B200)+SUMIFS(CalcDepB,CalcPartyB,$E203,CalcKeyB,"&lt;="&amp;Calc!$B200))</f>
        <v/>
      </c>
      <c r="L203" s="8" t="n"/>
    </row>
    <row r="204">
      <c r="A204" s="7">
        <f>IF($B204="","",COUNTA($B$9:$B204))</f>
        <v/>
      </c>
      <c r="B204" s="8" t="n"/>
      <c r="C204" s="8" t="n"/>
      <c r="D204" s="8" t="n"/>
      <c r="E204" s="8" t="n"/>
      <c r="F204" s="7">
        <f>IF($E204="","",IFERROR(IF(VLOOKUP($E204,AcctTbl,4,0)="","",VLOOKUP($E204,AcctTbl,4,0)),"—"))</f>
        <v/>
      </c>
      <c r="G204" s="8" t="n"/>
      <c r="H204" s="9" t="n"/>
      <c r="I204" s="9" t="n"/>
      <c r="J204" s="10">
        <f>IF(OR($H204="",$I204=""),"",ROUND($H204*$I204,0))</f>
        <v/>
      </c>
      <c r="K204" s="10">
        <f>IF(OR($B204="",$E204="",Calc!$B201=""),"",SUMIFS(CalcAmtA,CalcPartyA,$E204,CalcKeyA,"&lt;="&amp;Calc!$B201)-SUMIFS(CalcWitB,CalcPartyB,$E204,CalcKeyB,"&lt;="&amp;Calc!$B201)+SUMIFS(CalcDepB,CalcPartyB,$E204,CalcKeyB,"&lt;="&amp;Calc!$B201))</f>
        <v/>
      </c>
      <c r="L204" s="8" t="n"/>
    </row>
    <row r="205">
      <c r="A205" s="7">
        <f>IF($B205="","",COUNTA($B$9:$B205))</f>
        <v/>
      </c>
      <c r="B205" s="8" t="n"/>
      <c r="C205" s="8" t="n"/>
      <c r="D205" s="8" t="n"/>
      <c r="E205" s="8" t="n"/>
      <c r="F205" s="7">
        <f>IF($E205="","",IFERROR(IF(VLOOKUP($E205,AcctTbl,4,0)="","",VLOOKUP($E205,AcctTbl,4,0)),"—"))</f>
        <v/>
      </c>
      <c r="G205" s="8" t="n"/>
      <c r="H205" s="9" t="n"/>
      <c r="I205" s="9" t="n"/>
      <c r="J205" s="10">
        <f>IF(OR($H205="",$I205=""),"",ROUND($H205*$I205,0))</f>
        <v/>
      </c>
      <c r="K205" s="10">
        <f>IF(OR($B205="",$E205="",Calc!$B202=""),"",SUMIFS(CalcAmtA,CalcPartyA,$E205,CalcKeyA,"&lt;="&amp;Calc!$B202)-SUMIFS(CalcWitB,CalcPartyB,$E205,CalcKeyB,"&lt;="&amp;Calc!$B202)+SUMIFS(CalcDepB,CalcPartyB,$E205,CalcKeyB,"&lt;="&amp;Calc!$B202))</f>
        <v/>
      </c>
      <c r="L205" s="8" t="n"/>
    </row>
    <row r="206">
      <c r="A206" s="7">
        <f>IF($B206="","",COUNTA($B$9:$B206))</f>
        <v/>
      </c>
      <c r="B206" s="8" t="n"/>
      <c r="C206" s="8" t="n"/>
      <c r="D206" s="8" t="n"/>
      <c r="E206" s="8" t="n"/>
      <c r="F206" s="7">
        <f>IF($E206="","",IFERROR(IF(VLOOKUP($E206,AcctTbl,4,0)="","",VLOOKUP($E206,AcctTbl,4,0)),"—"))</f>
        <v/>
      </c>
      <c r="G206" s="8" t="n"/>
      <c r="H206" s="9" t="n"/>
      <c r="I206" s="9" t="n"/>
      <c r="J206" s="10">
        <f>IF(OR($H206="",$I206=""),"",ROUND($H206*$I206,0))</f>
        <v/>
      </c>
      <c r="K206" s="10">
        <f>IF(OR($B206="",$E206="",Calc!$B203=""),"",SUMIFS(CalcAmtA,CalcPartyA,$E206,CalcKeyA,"&lt;="&amp;Calc!$B203)-SUMIFS(CalcWitB,CalcPartyB,$E206,CalcKeyB,"&lt;="&amp;Calc!$B203)+SUMIFS(CalcDepB,CalcPartyB,$E206,CalcKeyB,"&lt;="&amp;Calc!$B203))</f>
        <v/>
      </c>
      <c r="L206" s="8" t="n"/>
    </row>
    <row r="207">
      <c r="A207" s="7">
        <f>IF($B207="","",COUNTA($B$9:$B207))</f>
        <v/>
      </c>
      <c r="B207" s="8" t="n"/>
      <c r="C207" s="8" t="n"/>
      <c r="D207" s="8" t="n"/>
      <c r="E207" s="8" t="n"/>
      <c r="F207" s="7">
        <f>IF($E207="","",IFERROR(IF(VLOOKUP($E207,AcctTbl,4,0)="","",VLOOKUP($E207,AcctTbl,4,0)),"—"))</f>
        <v/>
      </c>
      <c r="G207" s="8" t="n"/>
      <c r="H207" s="9" t="n"/>
      <c r="I207" s="9" t="n"/>
      <c r="J207" s="10">
        <f>IF(OR($H207="",$I207=""),"",ROUND($H207*$I207,0))</f>
        <v/>
      </c>
      <c r="K207" s="10">
        <f>IF(OR($B207="",$E207="",Calc!$B204=""),"",SUMIFS(CalcAmtA,CalcPartyA,$E207,CalcKeyA,"&lt;="&amp;Calc!$B204)-SUMIFS(CalcWitB,CalcPartyB,$E207,CalcKeyB,"&lt;="&amp;Calc!$B204)+SUMIFS(CalcDepB,CalcPartyB,$E207,CalcKeyB,"&lt;="&amp;Calc!$B204))</f>
        <v/>
      </c>
      <c r="L207" s="8" t="n"/>
    </row>
    <row r="208">
      <c r="A208" s="7">
        <f>IF($B208="","",COUNTA($B$9:$B208))</f>
        <v/>
      </c>
      <c r="B208" s="8" t="n"/>
      <c r="C208" s="8" t="n"/>
      <c r="D208" s="8" t="n"/>
      <c r="E208" s="8" t="n"/>
      <c r="F208" s="7">
        <f>IF($E208="","",IFERROR(IF(VLOOKUP($E208,AcctTbl,4,0)="","",VLOOKUP($E208,AcctTbl,4,0)),"—"))</f>
        <v/>
      </c>
      <c r="G208" s="8" t="n"/>
      <c r="H208" s="9" t="n"/>
      <c r="I208" s="9" t="n"/>
      <c r="J208" s="10">
        <f>IF(OR($H208="",$I208=""),"",ROUND($H208*$I208,0))</f>
        <v/>
      </c>
      <c r="K208" s="10">
        <f>IF(OR($B208="",$E208="",Calc!$B205=""),"",SUMIFS(CalcAmtA,CalcPartyA,$E208,CalcKeyA,"&lt;="&amp;Calc!$B205)-SUMIFS(CalcWitB,CalcPartyB,$E208,CalcKeyB,"&lt;="&amp;Calc!$B205)+SUMIFS(CalcDepB,CalcPartyB,$E208,CalcKeyB,"&lt;="&amp;Calc!$B205))</f>
        <v/>
      </c>
      <c r="L208" s="8" t="n"/>
    </row>
    <row r="209">
      <c r="A209" s="7">
        <f>IF($B209="","",COUNTA($B$9:$B209))</f>
        <v/>
      </c>
      <c r="B209" s="8" t="n"/>
      <c r="C209" s="8" t="n"/>
      <c r="D209" s="8" t="n"/>
      <c r="E209" s="8" t="n"/>
      <c r="F209" s="7">
        <f>IF($E209="","",IFERROR(IF(VLOOKUP($E209,AcctTbl,4,0)="","",VLOOKUP($E209,AcctTbl,4,0)),"—"))</f>
        <v/>
      </c>
      <c r="G209" s="8" t="n"/>
      <c r="H209" s="9" t="n"/>
      <c r="I209" s="9" t="n"/>
      <c r="J209" s="10">
        <f>IF(OR($H209="",$I209=""),"",ROUND($H209*$I209,0))</f>
        <v/>
      </c>
      <c r="K209" s="10">
        <f>IF(OR($B209="",$E209="",Calc!$B206=""),"",SUMIFS(CalcAmtA,CalcPartyA,$E209,CalcKeyA,"&lt;="&amp;Calc!$B206)-SUMIFS(CalcWitB,CalcPartyB,$E209,CalcKeyB,"&lt;="&amp;Calc!$B206)+SUMIFS(CalcDepB,CalcPartyB,$E209,CalcKeyB,"&lt;="&amp;Calc!$B206))</f>
        <v/>
      </c>
      <c r="L209" s="8" t="n"/>
    </row>
    <row r="210">
      <c r="A210" s="7">
        <f>IF($B210="","",COUNTA($B$9:$B210))</f>
        <v/>
      </c>
      <c r="B210" s="8" t="n"/>
      <c r="C210" s="8" t="n"/>
      <c r="D210" s="8" t="n"/>
      <c r="E210" s="8" t="n"/>
      <c r="F210" s="7">
        <f>IF($E210="","",IFERROR(IF(VLOOKUP($E210,AcctTbl,4,0)="","",VLOOKUP($E210,AcctTbl,4,0)),"—"))</f>
        <v/>
      </c>
      <c r="G210" s="8" t="n"/>
      <c r="H210" s="9" t="n"/>
      <c r="I210" s="9" t="n"/>
      <c r="J210" s="10">
        <f>IF(OR($H210="",$I210=""),"",ROUND($H210*$I210,0))</f>
        <v/>
      </c>
      <c r="K210" s="10">
        <f>IF(OR($B210="",$E210="",Calc!$B207=""),"",SUMIFS(CalcAmtA,CalcPartyA,$E210,CalcKeyA,"&lt;="&amp;Calc!$B207)-SUMIFS(CalcWitB,CalcPartyB,$E210,CalcKeyB,"&lt;="&amp;Calc!$B207)+SUMIFS(CalcDepB,CalcPartyB,$E210,CalcKeyB,"&lt;="&amp;Calc!$B207))</f>
        <v/>
      </c>
      <c r="L210" s="8" t="n"/>
    </row>
    <row r="211">
      <c r="A211" s="7">
        <f>IF($B211="","",COUNTA($B$9:$B211))</f>
        <v/>
      </c>
      <c r="B211" s="8" t="n"/>
      <c r="C211" s="8" t="n"/>
      <c r="D211" s="8" t="n"/>
      <c r="E211" s="8" t="n"/>
      <c r="F211" s="7">
        <f>IF($E211="","",IFERROR(IF(VLOOKUP($E211,AcctTbl,4,0)="","",VLOOKUP($E211,AcctTbl,4,0)),"—"))</f>
        <v/>
      </c>
      <c r="G211" s="8" t="n"/>
      <c r="H211" s="9" t="n"/>
      <c r="I211" s="9" t="n"/>
      <c r="J211" s="10">
        <f>IF(OR($H211="",$I211=""),"",ROUND($H211*$I211,0))</f>
        <v/>
      </c>
      <c r="K211" s="10">
        <f>IF(OR($B211="",$E211="",Calc!$B208=""),"",SUMIFS(CalcAmtA,CalcPartyA,$E211,CalcKeyA,"&lt;="&amp;Calc!$B208)-SUMIFS(CalcWitB,CalcPartyB,$E211,CalcKeyB,"&lt;="&amp;Calc!$B208)+SUMIFS(CalcDepB,CalcPartyB,$E211,CalcKeyB,"&lt;="&amp;Calc!$B208))</f>
        <v/>
      </c>
      <c r="L211" s="8" t="n"/>
    </row>
    <row r="212">
      <c r="A212" s="7">
        <f>IF($B212="","",COUNTA($B$9:$B212))</f>
        <v/>
      </c>
      <c r="B212" s="8" t="n"/>
      <c r="C212" s="8" t="n"/>
      <c r="D212" s="8" t="n"/>
      <c r="E212" s="8" t="n"/>
      <c r="F212" s="7">
        <f>IF($E212="","",IFERROR(IF(VLOOKUP($E212,AcctTbl,4,0)="","",VLOOKUP($E212,AcctTbl,4,0)),"—"))</f>
        <v/>
      </c>
      <c r="G212" s="8" t="n"/>
      <c r="H212" s="9" t="n"/>
      <c r="I212" s="9" t="n"/>
      <c r="J212" s="10">
        <f>IF(OR($H212="",$I212=""),"",ROUND($H212*$I212,0))</f>
        <v/>
      </c>
      <c r="K212" s="10">
        <f>IF(OR($B212="",$E212="",Calc!$B209=""),"",SUMIFS(CalcAmtA,CalcPartyA,$E212,CalcKeyA,"&lt;="&amp;Calc!$B209)-SUMIFS(CalcWitB,CalcPartyB,$E212,CalcKeyB,"&lt;="&amp;Calc!$B209)+SUMIFS(CalcDepB,CalcPartyB,$E212,CalcKeyB,"&lt;="&amp;Calc!$B209))</f>
        <v/>
      </c>
      <c r="L212" s="8" t="n"/>
    </row>
    <row r="213">
      <c r="A213" s="7">
        <f>IF($B213="","",COUNTA($B$9:$B213))</f>
        <v/>
      </c>
      <c r="B213" s="8" t="n"/>
      <c r="C213" s="8" t="n"/>
      <c r="D213" s="8" t="n"/>
      <c r="E213" s="8" t="n"/>
      <c r="F213" s="7">
        <f>IF($E213="","",IFERROR(IF(VLOOKUP($E213,AcctTbl,4,0)="","",VLOOKUP($E213,AcctTbl,4,0)),"—"))</f>
        <v/>
      </c>
      <c r="G213" s="8" t="n"/>
      <c r="H213" s="9" t="n"/>
      <c r="I213" s="9" t="n"/>
      <c r="J213" s="10">
        <f>IF(OR($H213="",$I213=""),"",ROUND($H213*$I213,0))</f>
        <v/>
      </c>
      <c r="K213" s="10">
        <f>IF(OR($B213="",$E213="",Calc!$B210=""),"",SUMIFS(CalcAmtA,CalcPartyA,$E213,CalcKeyA,"&lt;="&amp;Calc!$B210)-SUMIFS(CalcWitB,CalcPartyB,$E213,CalcKeyB,"&lt;="&amp;Calc!$B210)+SUMIFS(CalcDepB,CalcPartyB,$E213,CalcKeyB,"&lt;="&amp;Calc!$B210))</f>
        <v/>
      </c>
      <c r="L213" s="8" t="n"/>
    </row>
    <row r="214">
      <c r="A214" s="7">
        <f>IF($B214="","",COUNTA($B$9:$B214))</f>
        <v/>
      </c>
      <c r="B214" s="8" t="n"/>
      <c r="C214" s="8" t="n"/>
      <c r="D214" s="8" t="n"/>
      <c r="E214" s="8" t="n"/>
      <c r="F214" s="7">
        <f>IF($E214="","",IFERROR(IF(VLOOKUP($E214,AcctTbl,4,0)="","",VLOOKUP($E214,AcctTbl,4,0)),"—"))</f>
        <v/>
      </c>
      <c r="G214" s="8" t="n"/>
      <c r="H214" s="9" t="n"/>
      <c r="I214" s="9" t="n"/>
      <c r="J214" s="10">
        <f>IF(OR($H214="",$I214=""),"",ROUND($H214*$I214,0))</f>
        <v/>
      </c>
      <c r="K214" s="10">
        <f>IF(OR($B214="",$E214="",Calc!$B211=""),"",SUMIFS(CalcAmtA,CalcPartyA,$E214,CalcKeyA,"&lt;="&amp;Calc!$B211)-SUMIFS(CalcWitB,CalcPartyB,$E214,CalcKeyB,"&lt;="&amp;Calc!$B211)+SUMIFS(CalcDepB,CalcPartyB,$E214,CalcKeyB,"&lt;="&amp;Calc!$B211))</f>
        <v/>
      </c>
      <c r="L214" s="8" t="n"/>
    </row>
    <row r="215">
      <c r="A215" s="7">
        <f>IF($B215="","",COUNTA($B$9:$B215))</f>
        <v/>
      </c>
      <c r="B215" s="8" t="n"/>
      <c r="C215" s="8" t="n"/>
      <c r="D215" s="8" t="n"/>
      <c r="E215" s="8" t="n"/>
      <c r="F215" s="7">
        <f>IF($E215="","",IFERROR(IF(VLOOKUP($E215,AcctTbl,4,0)="","",VLOOKUP($E215,AcctTbl,4,0)),"—"))</f>
        <v/>
      </c>
      <c r="G215" s="8" t="n"/>
      <c r="H215" s="9" t="n"/>
      <c r="I215" s="9" t="n"/>
      <c r="J215" s="10">
        <f>IF(OR($H215="",$I215=""),"",ROUND($H215*$I215,0))</f>
        <v/>
      </c>
      <c r="K215" s="10">
        <f>IF(OR($B215="",$E215="",Calc!$B212=""),"",SUMIFS(CalcAmtA,CalcPartyA,$E215,CalcKeyA,"&lt;="&amp;Calc!$B212)-SUMIFS(CalcWitB,CalcPartyB,$E215,CalcKeyB,"&lt;="&amp;Calc!$B212)+SUMIFS(CalcDepB,CalcPartyB,$E215,CalcKeyB,"&lt;="&amp;Calc!$B212))</f>
        <v/>
      </c>
      <c r="L215" s="8" t="n"/>
    </row>
    <row r="216">
      <c r="A216" s="7">
        <f>IF($B216="","",COUNTA($B$9:$B216))</f>
        <v/>
      </c>
      <c r="B216" s="8" t="n"/>
      <c r="C216" s="8" t="n"/>
      <c r="D216" s="8" t="n"/>
      <c r="E216" s="8" t="n"/>
      <c r="F216" s="7">
        <f>IF($E216="","",IFERROR(IF(VLOOKUP($E216,AcctTbl,4,0)="","",VLOOKUP($E216,AcctTbl,4,0)),"—"))</f>
        <v/>
      </c>
      <c r="G216" s="8" t="n"/>
      <c r="H216" s="9" t="n"/>
      <c r="I216" s="9" t="n"/>
      <c r="J216" s="10">
        <f>IF(OR($H216="",$I216=""),"",ROUND($H216*$I216,0))</f>
        <v/>
      </c>
      <c r="K216" s="10">
        <f>IF(OR($B216="",$E216="",Calc!$B213=""),"",SUMIFS(CalcAmtA,CalcPartyA,$E216,CalcKeyA,"&lt;="&amp;Calc!$B213)-SUMIFS(CalcWitB,CalcPartyB,$E216,CalcKeyB,"&lt;="&amp;Calc!$B213)+SUMIFS(CalcDepB,CalcPartyB,$E216,CalcKeyB,"&lt;="&amp;Calc!$B213))</f>
        <v/>
      </c>
      <c r="L216" s="8" t="n"/>
    </row>
    <row r="217">
      <c r="A217" s="7">
        <f>IF($B217="","",COUNTA($B$9:$B217))</f>
        <v/>
      </c>
      <c r="B217" s="8" t="n"/>
      <c r="C217" s="8" t="n"/>
      <c r="D217" s="8" t="n"/>
      <c r="E217" s="8" t="n"/>
      <c r="F217" s="7">
        <f>IF($E217="","",IFERROR(IF(VLOOKUP($E217,AcctTbl,4,0)="","",VLOOKUP($E217,AcctTbl,4,0)),"—"))</f>
        <v/>
      </c>
      <c r="G217" s="8" t="n"/>
      <c r="H217" s="9" t="n"/>
      <c r="I217" s="9" t="n"/>
      <c r="J217" s="10">
        <f>IF(OR($H217="",$I217=""),"",ROUND($H217*$I217,0))</f>
        <v/>
      </c>
      <c r="K217" s="10">
        <f>IF(OR($B217="",$E217="",Calc!$B214=""),"",SUMIFS(CalcAmtA,CalcPartyA,$E217,CalcKeyA,"&lt;="&amp;Calc!$B214)-SUMIFS(CalcWitB,CalcPartyB,$E217,CalcKeyB,"&lt;="&amp;Calc!$B214)+SUMIFS(CalcDepB,CalcPartyB,$E217,CalcKeyB,"&lt;="&amp;Calc!$B214))</f>
        <v/>
      </c>
      <c r="L217" s="8" t="n"/>
    </row>
    <row r="218">
      <c r="A218" s="7">
        <f>IF($B218="","",COUNTA($B$9:$B218))</f>
        <v/>
      </c>
      <c r="B218" s="8" t="n"/>
      <c r="C218" s="8" t="n"/>
      <c r="D218" s="8" t="n"/>
      <c r="E218" s="8" t="n"/>
      <c r="F218" s="7">
        <f>IF($E218="","",IFERROR(IF(VLOOKUP($E218,AcctTbl,4,0)="","",VLOOKUP($E218,AcctTbl,4,0)),"—"))</f>
        <v/>
      </c>
      <c r="G218" s="8" t="n"/>
      <c r="H218" s="9" t="n"/>
      <c r="I218" s="9" t="n"/>
      <c r="J218" s="10">
        <f>IF(OR($H218="",$I218=""),"",ROUND($H218*$I218,0))</f>
        <v/>
      </c>
      <c r="K218" s="10">
        <f>IF(OR($B218="",$E218="",Calc!$B215=""),"",SUMIFS(CalcAmtA,CalcPartyA,$E218,CalcKeyA,"&lt;="&amp;Calc!$B215)-SUMIFS(CalcWitB,CalcPartyB,$E218,CalcKeyB,"&lt;="&amp;Calc!$B215)+SUMIFS(CalcDepB,CalcPartyB,$E218,CalcKeyB,"&lt;="&amp;Calc!$B215))</f>
        <v/>
      </c>
      <c r="L218" s="8" t="n"/>
    </row>
    <row r="219">
      <c r="A219" s="7">
        <f>IF($B219="","",COUNTA($B$9:$B219))</f>
        <v/>
      </c>
      <c r="B219" s="8" t="n"/>
      <c r="C219" s="8" t="n"/>
      <c r="D219" s="8" t="n"/>
      <c r="E219" s="8" t="n"/>
      <c r="F219" s="7">
        <f>IF($E219="","",IFERROR(IF(VLOOKUP($E219,AcctTbl,4,0)="","",VLOOKUP($E219,AcctTbl,4,0)),"—"))</f>
        <v/>
      </c>
      <c r="G219" s="8" t="n"/>
      <c r="H219" s="9" t="n"/>
      <c r="I219" s="9" t="n"/>
      <c r="J219" s="10">
        <f>IF(OR($H219="",$I219=""),"",ROUND($H219*$I219,0))</f>
        <v/>
      </c>
      <c r="K219" s="10">
        <f>IF(OR($B219="",$E219="",Calc!$B216=""),"",SUMIFS(CalcAmtA,CalcPartyA,$E219,CalcKeyA,"&lt;="&amp;Calc!$B216)-SUMIFS(CalcWitB,CalcPartyB,$E219,CalcKeyB,"&lt;="&amp;Calc!$B216)+SUMIFS(CalcDepB,CalcPartyB,$E219,CalcKeyB,"&lt;="&amp;Calc!$B216))</f>
        <v/>
      </c>
      <c r="L219" s="8" t="n"/>
    </row>
    <row r="220">
      <c r="A220" s="7">
        <f>IF($B220="","",COUNTA($B$9:$B220))</f>
        <v/>
      </c>
      <c r="B220" s="8" t="n"/>
      <c r="C220" s="8" t="n"/>
      <c r="D220" s="8" t="n"/>
      <c r="E220" s="8" t="n"/>
      <c r="F220" s="7">
        <f>IF($E220="","",IFERROR(IF(VLOOKUP($E220,AcctTbl,4,0)="","",VLOOKUP($E220,AcctTbl,4,0)),"—"))</f>
        <v/>
      </c>
      <c r="G220" s="8" t="n"/>
      <c r="H220" s="9" t="n"/>
      <c r="I220" s="9" t="n"/>
      <c r="J220" s="10">
        <f>IF(OR($H220="",$I220=""),"",ROUND($H220*$I220,0))</f>
        <v/>
      </c>
      <c r="K220" s="10">
        <f>IF(OR($B220="",$E220="",Calc!$B217=""),"",SUMIFS(CalcAmtA,CalcPartyA,$E220,CalcKeyA,"&lt;="&amp;Calc!$B217)-SUMIFS(CalcWitB,CalcPartyB,$E220,CalcKeyB,"&lt;="&amp;Calc!$B217)+SUMIFS(CalcDepB,CalcPartyB,$E220,CalcKeyB,"&lt;="&amp;Calc!$B217))</f>
        <v/>
      </c>
      <c r="L220" s="8" t="n"/>
    </row>
    <row r="221">
      <c r="A221" s="7">
        <f>IF($B221="","",COUNTA($B$9:$B221))</f>
        <v/>
      </c>
      <c r="B221" s="8" t="n"/>
      <c r="C221" s="8" t="n"/>
      <c r="D221" s="8" t="n"/>
      <c r="E221" s="8" t="n"/>
      <c r="F221" s="7">
        <f>IF($E221="","",IFERROR(IF(VLOOKUP($E221,AcctTbl,4,0)="","",VLOOKUP($E221,AcctTbl,4,0)),"—"))</f>
        <v/>
      </c>
      <c r="G221" s="8" t="n"/>
      <c r="H221" s="9" t="n"/>
      <c r="I221" s="9" t="n"/>
      <c r="J221" s="10">
        <f>IF(OR($H221="",$I221=""),"",ROUND($H221*$I221,0))</f>
        <v/>
      </c>
      <c r="K221" s="10">
        <f>IF(OR($B221="",$E221="",Calc!$B218=""),"",SUMIFS(CalcAmtA,CalcPartyA,$E221,CalcKeyA,"&lt;="&amp;Calc!$B218)-SUMIFS(CalcWitB,CalcPartyB,$E221,CalcKeyB,"&lt;="&amp;Calc!$B218)+SUMIFS(CalcDepB,CalcPartyB,$E221,CalcKeyB,"&lt;="&amp;Calc!$B218))</f>
        <v/>
      </c>
      <c r="L221" s="8" t="n"/>
    </row>
    <row r="222">
      <c r="A222" s="7">
        <f>IF($B222="","",COUNTA($B$9:$B222))</f>
        <v/>
      </c>
      <c r="B222" s="8" t="n"/>
      <c r="C222" s="8" t="n"/>
      <c r="D222" s="8" t="n"/>
      <c r="E222" s="8" t="n"/>
      <c r="F222" s="7">
        <f>IF($E222="","",IFERROR(IF(VLOOKUP($E222,AcctTbl,4,0)="","",VLOOKUP($E222,AcctTbl,4,0)),"—"))</f>
        <v/>
      </c>
      <c r="G222" s="8" t="n"/>
      <c r="H222" s="9" t="n"/>
      <c r="I222" s="9" t="n"/>
      <c r="J222" s="10">
        <f>IF(OR($H222="",$I222=""),"",ROUND($H222*$I222,0))</f>
        <v/>
      </c>
      <c r="K222" s="10">
        <f>IF(OR($B222="",$E222="",Calc!$B219=""),"",SUMIFS(CalcAmtA,CalcPartyA,$E222,CalcKeyA,"&lt;="&amp;Calc!$B219)-SUMIFS(CalcWitB,CalcPartyB,$E222,CalcKeyB,"&lt;="&amp;Calc!$B219)+SUMIFS(CalcDepB,CalcPartyB,$E222,CalcKeyB,"&lt;="&amp;Calc!$B219))</f>
        <v/>
      </c>
      <c r="L222" s="8" t="n"/>
    </row>
    <row r="223">
      <c r="A223" s="7">
        <f>IF($B223="","",COUNTA($B$9:$B223))</f>
        <v/>
      </c>
      <c r="B223" s="8" t="n"/>
      <c r="C223" s="8" t="n"/>
      <c r="D223" s="8" t="n"/>
      <c r="E223" s="8" t="n"/>
      <c r="F223" s="7">
        <f>IF($E223="","",IFERROR(IF(VLOOKUP($E223,AcctTbl,4,0)="","",VLOOKUP($E223,AcctTbl,4,0)),"—"))</f>
        <v/>
      </c>
      <c r="G223" s="8" t="n"/>
      <c r="H223" s="9" t="n"/>
      <c r="I223" s="9" t="n"/>
      <c r="J223" s="10">
        <f>IF(OR($H223="",$I223=""),"",ROUND($H223*$I223,0))</f>
        <v/>
      </c>
      <c r="K223" s="10">
        <f>IF(OR($B223="",$E223="",Calc!$B220=""),"",SUMIFS(CalcAmtA,CalcPartyA,$E223,CalcKeyA,"&lt;="&amp;Calc!$B220)-SUMIFS(CalcWitB,CalcPartyB,$E223,CalcKeyB,"&lt;="&amp;Calc!$B220)+SUMIFS(CalcDepB,CalcPartyB,$E223,CalcKeyB,"&lt;="&amp;Calc!$B220))</f>
        <v/>
      </c>
      <c r="L223" s="8" t="n"/>
    </row>
    <row r="224">
      <c r="A224" s="7">
        <f>IF($B224="","",COUNTA($B$9:$B224))</f>
        <v/>
      </c>
      <c r="B224" s="8" t="n"/>
      <c r="C224" s="8" t="n"/>
      <c r="D224" s="8" t="n"/>
      <c r="E224" s="8" t="n"/>
      <c r="F224" s="7">
        <f>IF($E224="","",IFERROR(IF(VLOOKUP($E224,AcctTbl,4,0)="","",VLOOKUP($E224,AcctTbl,4,0)),"—"))</f>
        <v/>
      </c>
      <c r="G224" s="8" t="n"/>
      <c r="H224" s="9" t="n"/>
      <c r="I224" s="9" t="n"/>
      <c r="J224" s="10">
        <f>IF(OR($H224="",$I224=""),"",ROUND($H224*$I224,0))</f>
        <v/>
      </c>
      <c r="K224" s="10">
        <f>IF(OR($B224="",$E224="",Calc!$B221=""),"",SUMIFS(CalcAmtA,CalcPartyA,$E224,CalcKeyA,"&lt;="&amp;Calc!$B221)-SUMIFS(CalcWitB,CalcPartyB,$E224,CalcKeyB,"&lt;="&amp;Calc!$B221)+SUMIFS(CalcDepB,CalcPartyB,$E224,CalcKeyB,"&lt;="&amp;Calc!$B221))</f>
        <v/>
      </c>
      <c r="L224" s="8" t="n"/>
    </row>
    <row r="225">
      <c r="A225" s="7">
        <f>IF($B225="","",COUNTA($B$9:$B225))</f>
        <v/>
      </c>
      <c r="B225" s="8" t="n"/>
      <c r="C225" s="8" t="n"/>
      <c r="D225" s="8" t="n"/>
      <c r="E225" s="8" t="n"/>
      <c r="F225" s="7">
        <f>IF($E225="","",IFERROR(IF(VLOOKUP($E225,AcctTbl,4,0)="","",VLOOKUP($E225,AcctTbl,4,0)),"—"))</f>
        <v/>
      </c>
      <c r="G225" s="8" t="n"/>
      <c r="H225" s="9" t="n"/>
      <c r="I225" s="9" t="n"/>
      <c r="J225" s="10">
        <f>IF(OR($H225="",$I225=""),"",ROUND($H225*$I225,0))</f>
        <v/>
      </c>
      <c r="K225" s="10">
        <f>IF(OR($B225="",$E225="",Calc!$B222=""),"",SUMIFS(CalcAmtA,CalcPartyA,$E225,CalcKeyA,"&lt;="&amp;Calc!$B222)-SUMIFS(CalcWitB,CalcPartyB,$E225,CalcKeyB,"&lt;="&amp;Calc!$B222)+SUMIFS(CalcDepB,CalcPartyB,$E225,CalcKeyB,"&lt;="&amp;Calc!$B222))</f>
        <v/>
      </c>
      <c r="L225" s="8" t="n"/>
    </row>
    <row r="226">
      <c r="A226" s="7">
        <f>IF($B226="","",COUNTA($B$9:$B226))</f>
        <v/>
      </c>
      <c r="B226" s="8" t="n"/>
      <c r="C226" s="8" t="n"/>
      <c r="D226" s="8" t="n"/>
      <c r="E226" s="8" t="n"/>
      <c r="F226" s="7">
        <f>IF($E226="","",IFERROR(IF(VLOOKUP($E226,AcctTbl,4,0)="","",VLOOKUP($E226,AcctTbl,4,0)),"—"))</f>
        <v/>
      </c>
      <c r="G226" s="8" t="n"/>
      <c r="H226" s="9" t="n"/>
      <c r="I226" s="9" t="n"/>
      <c r="J226" s="10">
        <f>IF(OR($H226="",$I226=""),"",ROUND($H226*$I226,0))</f>
        <v/>
      </c>
      <c r="K226" s="10">
        <f>IF(OR($B226="",$E226="",Calc!$B223=""),"",SUMIFS(CalcAmtA,CalcPartyA,$E226,CalcKeyA,"&lt;="&amp;Calc!$B223)-SUMIFS(CalcWitB,CalcPartyB,$E226,CalcKeyB,"&lt;="&amp;Calc!$B223)+SUMIFS(CalcDepB,CalcPartyB,$E226,CalcKeyB,"&lt;="&amp;Calc!$B223))</f>
        <v/>
      </c>
      <c r="L226" s="8" t="n"/>
    </row>
    <row r="227">
      <c r="A227" s="7">
        <f>IF($B227="","",COUNTA($B$9:$B227))</f>
        <v/>
      </c>
      <c r="B227" s="8" t="n"/>
      <c r="C227" s="8" t="n"/>
      <c r="D227" s="8" t="n"/>
      <c r="E227" s="8" t="n"/>
      <c r="F227" s="7">
        <f>IF($E227="","",IFERROR(IF(VLOOKUP($E227,AcctTbl,4,0)="","",VLOOKUP($E227,AcctTbl,4,0)),"—"))</f>
        <v/>
      </c>
      <c r="G227" s="8" t="n"/>
      <c r="H227" s="9" t="n"/>
      <c r="I227" s="9" t="n"/>
      <c r="J227" s="10">
        <f>IF(OR($H227="",$I227=""),"",ROUND($H227*$I227,0))</f>
        <v/>
      </c>
      <c r="K227" s="10">
        <f>IF(OR($B227="",$E227="",Calc!$B224=""),"",SUMIFS(CalcAmtA,CalcPartyA,$E227,CalcKeyA,"&lt;="&amp;Calc!$B224)-SUMIFS(CalcWitB,CalcPartyB,$E227,CalcKeyB,"&lt;="&amp;Calc!$B224)+SUMIFS(CalcDepB,CalcPartyB,$E227,CalcKeyB,"&lt;="&amp;Calc!$B224))</f>
        <v/>
      </c>
      <c r="L227" s="8" t="n"/>
    </row>
    <row r="228">
      <c r="A228" s="7">
        <f>IF($B228="","",COUNTA($B$9:$B228))</f>
        <v/>
      </c>
      <c r="B228" s="8" t="n"/>
      <c r="C228" s="8" t="n"/>
      <c r="D228" s="8" t="n"/>
      <c r="E228" s="8" t="n"/>
      <c r="F228" s="7">
        <f>IF($E228="","",IFERROR(IF(VLOOKUP($E228,AcctTbl,4,0)="","",VLOOKUP($E228,AcctTbl,4,0)),"—"))</f>
        <v/>
      </c>
      <c r="G228" s="8" t="n"/>
      <c r="H228" s="9" t="n"/>
      <c r="I228" s="9" t="n"/>
      <c r="J228" s="10">
        <f>IF(OR($H228="",$I228=""),"",ROUND($H228*$I228,0))</f>
        <v/>
      </c>
      <c r="K228" s="10">
        <f>IF(OR($B228="",$E228="",Calc!$B225=""),"",SUMIFS(CalcAmtA,CalcPartyA,$E228,CalcKeyA,"&lt;="&amp;Calc!$B225)-SUMIFS(CalcWitB,CalcPartyB,$E228,CalcKeyB,"&lt;="&amp;Calc!$B225)+SUMIFS(CalcDepB,CalcPartyB,$E228,CalcKeyB,"&lt;="&amp;Calc!$B225))</f>
        <v/>
      </c>
      <c r="L228" s="8" t="n"/>
    </row>
    <row r="229">
      <c r="A229" s="7">
        <f>IF($B229="","",COUNTA($B$9:$B229))</f>
        <v/>
      </c>
      <c r="B229" s="8" t="n"/>
      <c r="C229" s="8" t="n"/>
      <c r="D229" s="8" t="n"/>
      <c r="E229" s="8" t="n"/>
      <c r="F229" s="7">
        <f>IF($E229="","",IFERROR(IF(VLOOKUP($E229,AcctTbl,4,0)="","",VLOOKUP($E229,AcctTbl,4,0)),"—"))</f>
        <v/>
      </c>
      <c r="G229" s="8" t="n"/>
      <c r="H229" s="9" t="n"/>
      <c r="I229" s="9" t="n"/>
      <c r="J229" s="10">
        <f>IF(OR($H229="",$I229=""),"",ROUND($H229*$I229,0))</f>
        <v/>
      </c>
      <c r="K229" s="10">
        <f>IF(OR($B229="",$E229="",Calc!$B226=""),"",SUMIFS(CalcAmtA,CalcPartyA,$E229,CalcKeyA,"&lt;="&amp;Calc!$B226)-SUMIFS(CalcWitB,CalcPartyB,$E229,CalcKeyB,"&lt;="&amp;Calc!$B226)+SUMIFS(CalcDepB,CalcPartyB,$E229,CalcKeyB,"&lt;="&amp;Calc!$B226))</f>
        <v/>
      </c>
      <c r="L229" s="8" t="n"/>
    </row>
    <row r="230">
      <c r="A230" s="7">
        <f>IF($B230="","",COUNTA($B$9:$B230))</f>
        <v/>
      </c>
      <c r="B230" s="8" t="n"/>
      <c r="C230" s="8" t="n"/>
      <c r="D230" s="8" t="n"/>
      <c r="E230" s="8" t="n"/>
      <c r="F230" s="7">
        <f>IF($E230="","",IFERROR(IF(VLOOKUP($E230,AcctTbl,4,0)="","",VLOOKUP($E230,AcctTbl,4,0)),"—"))</f>
        <v/>
      </c>
      <c r="G230" s="8" t="n"/>
      <c r="H230" s="9" t="n"/>
      <c r="I230" s="9" t="n"/>
      <c r="J230" s="10">
        <f>IF(OR($H230="",$I230=""),"",ROUND($H230*$I230,0))</f>
        <v/>
      </c>
      <c r="K230" s="10">
        <f>IF(OR($B230="",$E230="",Calc!$B227=""),"",SUMIFS(CalcAmtA,CalcPartyA,$E230,CalcKeyA,"&lt;="&amp;Calc!$B227)-SUMIFS(CalcWitB,CalcPartyB,$E230,CalcKeyB,"&lt;="&amp;Calc!$B227)+SUMIFS(CalcDepB,CalcPartyB,$E230,CalcKeyB,"&lt;="&amp;Calc!$B227))</f>
        <v/>
      </c>
      <c r="L230" s="8" t="n"/>
    </row>
    <row r="231">
      <c r="A231" s="7">
        <f>IF($B231="","",COUNTA($B$9:$B231))</f>
        <v/>
      </c>
      <c r="B231" s="8" t="n"/>
      <c r="C231" s="8" t="n"/>
      <c r="D231" s="8" t="n"/>
      <c r="E231" s="8" t="n"/>
      <c r="F231" s="7">
        <f>IF($E231="","",IFERROR(IF(VLOOKUP($E231,AcctTbl,4,0)="","",VLOOKUP($E231,AcctTbl,4,0)),"—"))</f>
        <v/>
      </c>
      <c r="G231" s="8" t="n"/>
      <c r="H231" s="9" t="n"/>
      <c r="I231" s="9" t="n"/>
      <c r="J231" s="10">
        <f>IF(OR($H231="",$I231=""),"",ROUND($H231*$I231,0))</f>
        <v/>
      </c>
      <c r="K231" s="10">
        <f>IF(OR($B231="",$E231="",Calc!$B228=""),"",SUMIFS(CalcAmtA,CalcPartyA,$E231,CalcKeyA,"&lt;="&amp;Calc!$B228)-SUMIFS(CalcWitB,CalcPartyB,$E231,CalcKeyB,"&lt;="&amp;Calc!$B228)+SUMIFS(CalcDepB,CalcPartyB,$E231,CalcKeyB,"&lt;="&amp;Calc!$B228))</f>
        <v/>
      </c>
      <c r="L231" s="8" t="n"/>
    </row>
    <row r="232">
      <c r="A232" s="7">
        <f>IF($B232="","",COUNTA($B$9:$B232))</f>
        <v/>
      </c>
      <c r="B232" s="8" t="n"/>
      <c r="C232" s="8" t="n"/>
      <c r="D232" s="8" t="n"/>
      <c r="E232" s="8" t="n"/>
      <c r="F232" s="7">
        <f>IF($E232="","",IFERROR(IF(VLOOKUP($E232,AcctTbl,4,0)="","",VLOOKUP($E232,AcctTbl,4,0)),"—"))</f>
        <v/>
      </c>
      <c r="G232" s="8" t="n"/>
      <c r="H232" s="9" t="n"/>
      <c r="I232" s="9" t="n"/>
      <c r="J232" s="10">
        <f>IF(OR($H232="",$I232=""),"",ROUND($H232*$I232,0))</f>
        <v/>
      </c>
      <c r="K232" s="10">
        <f>IF(OR($B232="",$E232="",Calc!$B229=""),"",SUMIFS(CalcAmtA,CalcPartyA,$E232,CalcKeyA,"&lt;="&amp;Calc!$B229)-SUMIFS(CalcWitB,CalcPartyB,$E232,CalcKeyB,"&lt;="&amp;Calc!$B229)+SUMIFS(CalcDepB,CalcPartyB,$E232,CalcKeyB,"&lt;="&amp;Calc!$B229))</f>
        <v/>
      </c>
      <c r="L232" s="8" t="n"/>
    </row>
    <row r="233">
      <c r="A233" s="7">
        <f>IF($B233="","",COUNTA($B$9:$B233))</f>
        <v/>
      </c>
      <c r="B233" s="8" t="n"/>
      <c r="C233" s="8" t="n"/>
      <c r="D233" s="8" t="n"/>
      <c r="E233" s="8" t="n"/>
      <c r="F233" s="7">
        <f>IF($E233="","",IFERROR(IF(VLOOKUP($E233,AcctTbl,4,0)="","",VLOOKUP($E233,AcctTbl,4,0)),"—"))</f>
        <v/>
      </c>
      <c r="G233" s="8" t="n"/>
      <c r="H233" s="9" t="n"/>
      <c r="I233" s="9" t="n"/>
      <c r="J233" s="10">
        <f>IF(OR($H233="",$I233=""),"",ROUND($H233*$I233,0))</f>
        <v/>
      </c>
      <c r="K233" s="10">
        <f>IF(OR($B233="",$E233="",Calc!$B230=""),"",SUMIFS(CalcAmtA,CalcPartyA,$E233,CalcKeyA,"&lt;="&amp;Calc!$B230)-SUMIFS(CalcWitB,CalcPartyB,$E233,CalcKeyB,"&lt;="&amp;Calc!$B230)+SUMIFS(CalcDepB,CalcPartyB,$E233,CalcKeyB,"&lt;="&amp;Calc!$B230))</f>
        <v/>
      </c>
      <c r="L233" s="8" t="n"/>
    </row>
    <row r="234">
      <c r="A234" s="7">
        <f>IF($B234="","",COUNTA($B$9:$B234))</f>
        <v/>
      </c>
      <c r="B234" s="8" t="n"/>
      <c r="C234" s="8" t="n"/>
      <c r="D234" s="8" t="n"/>
      <c r="E234" s="8" t="n"/>
      <c r="F234" s="7">
        <f>IF($E234="","",IFERROR(IF(VLOOKUP($E234,AcctTbl,4,0)="","",VLOOKUP($E234,AcctTbl,4,0)),"—"))</f>
        <v/>
      </c>
      <c r="G234" s="8" t="n"/>
      <c r="H234" s="9" t="n"/>
      <c r="I234" s="9" t="n"/>
      <c r="J234" s="10">
        <f>IF(OR($H234="",$I234=""),"",ROUND($H234*$I234,0))</f>
        <v/>
      </c>
      <c r="K234" s="10">
        <f>IF(OR($B234="",$E234="",Calc!$B231=""),"",SUMIFS(CalcAmtA,CalcPartyA,$E234,CalcKeyA,"&lt;="&amp;Calc!$B231)-SUMIFS(CalcWitB,CalcPartyB,$E234,CalcKeyB,"&lt;="&amp;Calc!$B231)+SUMIFS(CalcDepB,CalcPartyB,$E234,CalcKeyB,"&lt;="&amp;Calc!$B231))</f>
        <v/>
      </c>
      <c r="L234" s="8" t="n"/>
    </row>
    <row r="235">
      <c r="A235" s="7">
        <f>IF($B235="","",COUNTA($B$9:$B235))</f>
        <v/>
      </c>
      <c r="B235" s="8" t="n"/>
      <c r="C235" s="8" t="n"/>
      <c r="D235" s="8" t="n"/>
      <c r="E235" s="8" t="n"/>
      <c r="F235" s="7">
        <f>IF($E235="","",IFERROR(IF(VLOOKUP($E235,AcctTbl,4,0)="","",VLOOKUP($E235,AcctTbl,4,0)),"—"))</f>
        <v/>
      </c>
      <c r="G235" s="8" t="n"/>
      <c r="H235" s="9" t="n"/>
      <c r="I235" s="9" t="n"/>
      <c r="J235" s="10">
        <f>IF(OR($H235="",$I235=""),"",ROUND($H235*$I235,0))</f>
        <v/>
      </c>
      <c r="K235" s="10">
        <f>IF(OR($B235="",$E235="",Calc!$B232=""),"",SUMIFS(CalcAmtA,CalcPartyA,$E235,CalcKeyA,"&lt;="&amp;Calc!$B232)-SUMIFS(CalcWitB,CalcPartyB,$E235,CalcKeyB,"&lt;="&amp;Calc!$B232)+SUMIFS(CalcDepB,CalcPartyB,$E235,CalcKeyB,"&lt;="&amp;Calc!$B232))</f>
        <v/>
      </c>
      <c r="L235" s="8" t="n"/>
    </row>
    <row r="236">
      <c r="A236" s="7">
        <f>IF($B236="","",COUNTA($B$9:$B236))</f>
        <v/>
      </c>
      <c r="B236" s="8" t="n"/>
      <c r="C236" s="8" t="n"/>
      <c r="D236" s="8" t="n"/>
      <c r="E236" s="8" t="n"/>
      <c r="F236" s="7">
        <f>IF($E236="","",IFERROR(IF(VLOOKUP($E236,AcctTbl,4,0)="","",VLOOKUP($E236,AcctTbl,4,0)),"—"))</f>
        <v/>
      </c>
      <c r="G236" s="8" t="n"/>
      <c r="H236" s="9" t="n"/>
      <c r="I236" s="9" t="n"/>
      <c r="J236" s="10">
        <f>IF(OR($H236="",$I236=""),"",ROUND($H236*$I236,0))</f>
        <v/>
      </c>
      <c r="K236" s="10">
        <f>IF(OR($B236="",$E236="",Calc!$B233=""),"",SUMIFS(CalcAmtA,CalcPartyA,$E236,CalcKeyA,"&lt;="&amp;Calc!$B233)-SUMIFS(CalcWitB,CalcPartyB,$E236,CalcKeyB,"&lt;="&amp;Calc!$B233)+SUMIFS(CalcDepB,CalcPartyB,$E236,CalcKeyB,"&lt;="&amp;Calc!$B233))</f>
        <v/>
      </c>
      <c r="L236" s="8" t="n"/>
    </row>
    <row r="237">
      <c r="A237" s="7">
        <f>IF($B237="","",COUNTA($B$9:$B237))</f>
        <v/>
      </c>
      <c r="B237" s="8" t="n"/>
      <c r="C237" s="8" t="n"/>
      <c r="D237" s="8" t="n"/>
      <c r="E237" s="8" t="n"/>
      <c r="F237" s="7">
        <f>IF($E237="","",IFERROR(IF(VLOOKUP($E237,AcctTbl,4,0)="","",VLOOKUP($E237,AcctTbl,4,0)),"—"))</f>
        <v/>
      </c>
      <c r="G237" s="8" t="n"/>
      <c r="H237" s="9" t="n"/>
      <c r="I237" s="9" t="n"/>
      <c r="J237" s="10">
        <f>IF(OR($H237="",$I237=""),"",ROUND($H237*$I237,0))</f>
        <v/>
      </c>
      <c r="K237" s="10">
        <f>IF(OR($B237="",$E237="",Calc!$B234=""),"",SUMIFS(CalcAmtA,CalcPartyA,$E237,CalcKeyA,"&lt;="&amp;Calc!$B234)-SUMIFS(CalcWitB,CalcPartyB,$E237,CalcKeyB,"&lt;="&amp;Calc!$B234)+SUMIFS(CalcDepB,CalcPartyB,$E237,CalcKeyB,"&lt;="&amp;Calc!$B234))</f>
        <v/>
      </c>
      <c r="L237" s="8" t="n"/>
    </row>
    <row r="238">
      <c r="A238" s="7">
        <f>IF($B238="","",COUNTA($B$9:$B238))</f>
        <v/>
      </c>
      <c r="B238" s="8" t="n"/>
      <c r="C238" s="8" t="n"/>
      <c r="D238" s="8" t="n"/>
      <c r="E238" s="8" t="n"/>
      <c r="F238" s="7">
        <f>IF($E238="","",IFERROR(IF(VLOOKUP($E238,AcctTbl,4,0)="","",VLOOKUP($E238,AcctTbl,4,0)),"—"))</f>
        <v/>
      </c>
      <c r="G238" s="8" t="n"/>
      <c r="H238" s="9" t="n"/>
      <c r="I238" s="9" t="n"/>
      <c r="J238" s="10">
        <f>IF(OR($H238="",$I238=""),"",ROUND($H238*$I238,0))</f>
        <v/>
      </c>
      <c r="K238" s="10">
        <f>IF(OR($B238="",$E238="",Calc!$B235=""),"",SUMIFS(CalcAmtA,CalcPartyA,$E238,CalcKeyA,"&lt;="&amp;Calc!$B235)-SUMIFS(CalcWitB,CalcPartyB,$E238,CalcKeyB,"&lt;="&amp;Calc!$B235)+SUMIFS(CalcDepB,CalcPartyB,$E238,CalcKeyB,"&lt;="&amp;Calc!$B235))</f>
        <v/>
      </c>
      <c r="L238" s="8" t="n"/>
    </row>
    <row r="239">
      <c r="A239" s="7">
        <f>IF($B239="","",COUNTA($B$9:$B239))</f>
        <v/>
      </c>
      <c r="B239" s="8" t="n"/>
      <c r="C239" s="8" t="n"/>
      <c r="D239" s="8" t="n"/>
      <c r="E239" s="8" t="n"/>
      <c r="F239" s="7">
        <f>IF($E239="","",IFERROR(IF(VLOOKUP($E239,AcctTbl,4,0)="","",VLOOKUP($E239,AcctTbl,4,0)),"—"))</f>
        <v/>
      </c>
      <c r="G239" s="8" t="n"/>
      <c r="H239" s="9" t="n"/>
      <c r="I239" s="9" t="n"/>
      <c r="J239" s="10">
        <f>IF(OR($H239="",$I239=""),"",ROUND($H239*$I239,0))</f>
        <v/>
      </c>
      <c r="K239" s="10">
        <f>IF(OR($B239="",$E239="",Calc!$B236=""),"",SUMIFS(CalcAmtA,CalcPartyA,$E239,CalcKeyA,"&lt;="&amp;Calc!$B236)-SUMIFS(CalcWitB,CalcPartyB,$E239,CalcKeyB,"&lt;="&amp;Calc!$B236)+SUMIFS(CalcDepB,CalcPartyB,$E239,CalcKeyB,"&lt;="&amp;Calc!$B236))</f>
        <v/>
      </c>
      <c r="L239" s="8" t="n"/>
    </row>
    <row r="240">
      <c r="A240" s="7">
        <f>IF($B240="","",COUNTA($B$9:$B240))</f>
        <v/>
      </c>
      <c r="B240" s="8" t="n"/>
      <c r="C240" s="8" t="n"/>
      <c r="D240" s="8" t="n"/>
      <c r="E240" s="8" t="n"/>
      <c r="F240" s="7">
        <f>IF($E240="","",IFERROR(IF(VLOOKUP($E240,AcctTbl,4,0)="","",VLOOKUP($E240,AcctTbl,4,0)),"—"))</f>
        <v/>
      </c>
      <c r="G240" s="8" t="n"/>
      <c r="H240" s="9" t="n"/>
      <c r="I240" s="9" t="n"/>
      <c r="J240" s="10">
        <f>IF(OR($H240="",$I240=""),"",ROUND($H240*$I240,0))</f>
        <v/>
      </c>
      <c r="K240" s="10">
        <f>IF(OR($B240="",$E240="",Calc!$B237=""),"",SUMIFS(CalcAmtA,CalcPartyA,$E240,CalcKeyA,"&lt;="&amp;Calc!$B237)-SUMIFS(CalcWitB,CalcPartyB,$E240,CalcKeyB,"&lt;="&amp;Calc!$B237)+SUMIFS(CalcDepB,CalcPartyB,$E240,CalcKeyB,"&lt;="&amp;Calc!$B237))</f>
        <v/>
      </c>
      <c r="L240" s="8" t="n"/>
    </row>
    <row r="241">
      <c r="A241" s="7">
        <f>IF($B241="","",COUNTA($B$9:$B241))</f>
        <v/>
      </c>
      <c r="B241" s="8" t="n"/>
      <c r="C241" s="8" t="n"/>
      <c r="D241" s="8" t="n"/>
      <c r="E241" s="8" t="n"/>
      <c r="F241" s="7">
        <f>IF($E241="","",IFERROR(IF(VLOOKUP($E241,AcctTbl,4,0)="","",VLOOKUP($E241,AcctTbl,4,0)),"—"))</f>
        <v/>
      </c>
      <c r="G241" s="8" t="n"/>
      <c r="H241" s="9" t="n"/>
      <c r="I241" s="9" t="n"/>
      <c r="J241" s="10">
        <f>IF(OR($H241="",$I241=""),"",ROUND($H241*$I241,0))</f>
        <v/>
      </c>
      <c r="K241" s="10">
        <f>IF(OR($B241="",$E241="",Calc!$B238=""),"",SUMIFS(CalcAmtA,CalcPartyA,$E241,CalcKeyA,"&lt;="&amp;Calc!$B238)-SUMIFS(CalcWitB,CalcPartyB,$E241,CalcKeyB,"&lt;="&amp;Calc!$B238)+SUMIFS(CalcDepB,CalcPartyB,$E241,CalcKeyB,"&lt;="&amp;Calc!$B238))</f>
        <v/>
      </c>
      <c r="L241" s="8" t="n"/>
    </row>
    <row r="242">
      <c r="A242" s="7">
        <f>IF($B242="","",COUNTA($B$9:$B242))</f>
        <v/>
      </c>
      <c r="B242" s="8" t="n"/>
      <c r="C242" s="8" t="n"/>
      <c r="D242" s="8" t="n"/>
      <c r="E242" s="8" t="n"/>
      <c r="F242" s="7">
        <f>IF($E242="","",IFERROR(IF(VLOOKUP($E242,AcctTbl,4,0)="","",VLOOKUP($E242,AcctTbl,4,0)),"—"))</f>
        <v/>
      </c>
      <c r="G242" s="8" t="n"/>
      <c r="H242" s="9" t="n"/>
      <c r="I242" s="9" t="n"/>
      <c r="J242" s="10">
        <f>IF(OR($H242="",$I242=""),"",ROUND($H242*$I242,0))</f>
        <v/>
      </c>
      <c r="K242" s="10">
        <f>IF(OR($B242="",$E242="",Calc!$B239=""),"",SUMIFS(CalcAmtA,CalcPartyA,$E242,CalcKeyA,"&lt;="&amp;Calc!$B239)-SUMIFS(CalcWitB,CalcPartyB,$E242,CalcKeyB,"&lt;="&amp;Calc!$B239)+SUMIFS(CalcDepB,CalcPartyB,$E242,CalcKeyB,"&lt;="&amp;Calc!$B239))</f>
        <v/>
      </c>
      <c r="L242" s="8" t="n"/>
    </row>
    <row r="243">
      <c r="A243" s="7">
        <f>IF($B243="","",COUNTA($B$9:$B243))</f>
        <v/>
      </c>
      <c r="B243" s="8" t="n"/>
      <c r="C243" s="8" t="n"/>
      <c r="D243" s="8" t="n"/>
      <c r="E243" s="8" t="n"/>
      <c r="F243" s="7">
        <f>IF($E243="","",IFERROR(IF(VLOOKUP($E243,AcctTbl,4,0)="","",VLOOKUP($E243,AcctTbl,4,0)),"—"))</f>
        <v/>
      </c>
      <c r="G243" s="8" t="n"/>
      <c r="H243" s="9" t="n"/>
      <c r="I243" s="9" t="n"/>
      <c r="J243" s="10">
        <f>IF(OR($H243="",$I243=""),"",ROUND($H243*$I243,0))</f>
        <v/>
      </c>
      <c r="K243" s="10">
        <f>IF(OR($B243="",$E243="",Calc!$B240=""),"",SUMIFS(CalcAmtA,CalcPartyA,$E243,CalcKeyA,"&lt;="&amp;Calc!$B240)-SUMIFS(CalcWitB,CalcPartyB,$E243,CalcKeyB,"&lt;="&amp;Calc!$B240)+SUMIFS(CalcDepB,CalcPartyB,$E243,CalcKeyB,"&lt;="&amp;Calc!$B240))</f>
        <v/>
      </c>
      <c r="L243" s="8" t="n"/>
    </row>
    <row r="244">
      <c r="A244" s="7">
        <f>IF($B244="","",COUNTA($B$9:$B244))</f>
        <v/>
      </c>
      <c r="B244" s="8" t="n"/>
      <c r="C244" s="8" t="n"/>
      <c r="D244" s="8" t="n"/>
      <c r="E244" s="8" t="n"/>
      <c r="F244" s="7">
        <f>IF($E244="","",IFERROR(IF(VLOOKUP($E244,AcctTbl,4,0)="","",VLOOKUP($E244,AcctTbl,4,0)),"—"))</f>
        <v/>
      </c>
      <c r="G244" s="8" t="n"/>
      <c r="H244" s="9" t="n"/>
      <c r="I244" s="9" t="n"/>
      <c r="J244" s="10">
        <f>IF(OR($H244="",$I244=""),"",ROUND($H244*$I244,0))</f>
        <v/>
      </c>
      <c r="K244" s="10">
        <f>IF(OR($B244="",$E244="",Calc!$B241=""),"",SUMIFS(CalcAmtA,CalcPartyA,$E244,CalcKeyA,"&lt;="&amp;Calc!$B241)-SUMIFS(CalcWitB,CalcPartyB,$E244,CalcKeyB,"&lt;="&amp;Calc!$B241)+SUMIFS(CalcDepB,CalcPartyB,$E244,CalcKeyB,"&lt;="&amp;Calc!$B241))</f>
        <v/>
      </c>
      <c r="L244" s="8" t="n"/>
    </row>
    <row r="245">
      <c r="A245" s="7">
        <f>IF($B245="","",COUNTA($B$9:$B245))</f>
        <v/>
      </c>
      <c r="B245" s="8" t="n"/>
      <c r="C245" s="8" t="n"/>
      <c r="D245" s="8" t="n"/>
      <c r="E245" s="8" t="n"/>
      <c r="F245" s="7">
        <f>IF($E245="","",IFERROR(IF(VLOOKUP($E245,AcctTbl,4,0)="","",VLOOKUP($E245,AcctTbl,4,0)),"—"))</f>
        <v/>
      </c>
      <c r="G245" s="8" t="n"/>
      <c r="H245" s="9" t="n"/>
      <c r="I245" s="9" t="n"/>
      <c r="J245" s="10">
        <f>IF(OR($H245="",$I245=""),"",ROUND($H245*$I245,0))</f>
        <v/>
      </c>
      <c r="K245" s="10">
        <f>IF(OR($B245="",$E245="",Calc!$B242=""),"",SUMIFS(CalcAmtA,CalcPartyA,$E245,CalcKeyA,"&lt;="&amp;Calc!$B242)-SUMIFS(CalcWitB,CalcPartyB,$E245,CalcKeyB,"&lt;="&amp;Calc!$B242)+SUMIFS(CalcDepB,CalcPartyB,$E245,CalcKeyB,"&lt;="&amp;Calc!$B242))</f>
        <v/>
      </c>
      <c r="L245" s="8" t="n"/>
    </row>
    <row r="246">
      <c r="A246" s="7">
        <f>IF($B246="","",COUNTA($B$9:$B246))</f>
        <v/>
      </c>
      <c r="B246" s="8" t="n"/>
      <c r="C246" s="8" t="n"/>
      <c r="D246" s="8" t="n"/>
      <c r="E246" s="8" t="n"/>
      <c r="F246" s="7">
        <f>IF($E246="","",IFERROR(IF(VLOOKUP($E246,AcctTbl,4,0)="","",VLOOKUP($E246,AcctTbl,4,0)),"—"))</f>
        <v/>
      </c>
      <c r="G246" s="8" t="n"/>
      <c r="H246" s="9" t="n"/>
      <c r="I246" s="9" t="n"/>
      <c r="J246" s="10">
        <f>IF(OR($H246="",$I246=""),"",ROUND($H246*$I246,0))</f>
        <v/>
      </c>
      <c r="K246" s="10">
        <f>IF(OR($B246="",$E246="",Calc!$B243=""),"",SUMIFS(CalcAmtA,CalcPartyA,$E246,CalcKeyA,"&lt;="&amp;Calc!$B243)-SUMIFS(CalcWitB,CalcPartyB,$E246,CalcKeyB,"&lt;="&amp;Calc!$B243)+SUMIFS(CalcDepB,CalcPartyB,$E246,CalcKeyB,"&lt;="&amp;Calc!$B243))</f>
        <v/>
      </c>
      <c r="L246" s="8" t="n"/>
    </row>
    <row r="247">
      <c r="A247" s="7">
        <f>IF($B247="","",COUNTA($B$9:$B247))</f>
        <v/>
      </c>
      <c r="B247" s="8" t="n"/>
      <c r="C247" s="8" t="n"/>
      <c r="D247" s="8" t="n"/>
      <c r="E247" s="8" t="n"/>
      <c r="F247" s="7">
        <f>IF($E247="","",IFERROR(IF(VLOOKUP($E247,AcctTbl,4,0)="","",VLOOKUP($E247,AcctTbl,4,0)),"—"))</f>
        <v/>
      </c>
      <c r="G247" s="8" t="n"/>
      <c r="H247" s="9" t="n"/>
      <c r="I247" s="9" t="n"/>
      <c r="J247" s="10">
        <f>IF(OR($H247="",$I247=""),"",ROUND($H247*$I247,0))</f>
        <v/>
      </c>
      <c r="K247" s="10">
        <f>IF(OR($B247="",$E247="",Calc!$B244=""),"",SUMIFS(CalcAmtA,CalcPartyA,$E247,CalcKeyA,"&lt;="&amp;Calc!$B244)-SUMIFS(CalcWitB,CalcPartyB,$E247,CalcKeyB,"&lt;="&amp;Calc!$B244)+SUMIFS(CalcDepB,CalcPartyB,$E247,CalcKeyB,"&lt;="&amp;Calc!$B244))</f>
        <v/>
      </c>
      <c r="L247" s="8" t="n"/>
    </row>
    <row r="248">
      <c r="A248" s="7">
        <f>IF($B248="","",COUNTA($B$9:$B248))</f>
        <v/>
      </c>
      <c r="B248" s="8" t="n"/>
      <c r="C248" s="8" t="n"/>
      <c r="D248" s="8" t="n"/>
      <c r="E248" s="8" t="n"/>
      <c r="F248" s="7">
        <f>IF($E248="","",IFERROR(IF(VLOOKUP($E248,AcctTbl,4,0)="","",VLOOKUP($E248,AcctTbl,4,0)),"—"))</f>
        <v/>
      </c>
      <c r="G248" s="8" t="n"/>
      <c r="H248" s="9" t="n"/>
      <c r="I248" s="9" t="n"/>
      <c r="J248" s="10">
        <f>IF(OR($H248="",$I248=""),"",ROUND($H248*$I248,0))</f>
        <v/>
      </c>
      <c r="K248" s="10">
        <f>IF(OR($B248="",$E248="",Calc!$B245=""),"",SUMIFS(CalcAmtA,CalcPartyA,$E248,CalcKeyA,"&lt;="&amp;Calc!$B245)-SUMIFS(CalcWitB,CalcPartyB,$E248,CalcKeyB,"&lt;="&amp;Calc!$B245)+SUMIFS(CalcDepB,CalcPartyB,$E248,CalcKeyB,"&lt;="&amp;Calc!$B245))</f>
        <v/>
      </c>
      <c r="L248" s="8" t="n"/>
    </row>
    <row r="249">
      <c r="A249" s="7">
        <f>IF($B249="","",COUNTA($B$9:$B249))</f>
        <v/>
      </c>
      <c r="B249" s="8" t="n"/>
      <c r="C249" s="8" t="n"/>
      <c r="D249" s="8" t="n"/>
      <c r="E249" s="8" t="n"/>
      <c r="F249" s="7">
        <f>IF($E249="","",IFERROR(IF(VLOOKUP($E249,AcctTbl,4,0)="","",VLOOKUP($E249,AcctTbl,4,0)),"—"))</f>
        <v/>
      </c>
      <c r="G249" s="8" t="n"/>
      <c r="H249" s="9" t="n"/>
      <c r="I249" s="9" t="n"/>
      <c r="J249" s="10">
        <f>IF(OR($H249="",$I249=""),"",ROUND($H249*$I249,0))</f>
        <v/>
      </c>
      <c r="K249" s="10">
        <f>IF(OR($B249="",$E249="",Calc!$B246=""),"",SUMIFS(CalcAmtA,CalcPartyA,$E249,CalcKeyA,"&lt;="&amp;Calc!$B246)-SUMIFS(CalcWitB,CalcPartyB,$E249,CalcKeyB,"&lt;="&amp;Calc!$B246)+SUMIFS(CalcDepB,CalcPartyB,$E249,CalcKeyB,"&lt;="&amp;Calc!$B246))</f>
        <v/>
      </c>
      <c r="L249" s="8" t="n"/>
    </row>
    <row r="250">
      <c r="A250" s="7">
        <f>IF($B250="","",COUNTA($B$9:$B250))</f>
        <v/>
      </c>
      <c r="B250" s="8" t="n"/>
      <c r="C250" s="8" t="n"/>
      <c r="D250" s="8" t="n"/>
      <c r="E250" s="8" t="n"/>
      <c r="F250" s="7">
        <f>IF($E250="","",IFERROR(IF(VLOOKUP($E250,AcctTbl,4,0)="","",VLOOKUP($E250,AcctTbl,4,0)),"—"))</f>
        <v/>
      </c>
      <c r="G250" s="8" t="n"/>
      <c r="H250" s="9" t="n"/>
      <c r="I250" s="9" t="n"/>
      <c r="J250" s="10">
        <f>IF(OR($H250="",$I250=""),"",ROUND($H250*$I250,0))</f>
        <v/>
      </c>
      <c r="K250" s="10">
        <f>IF(OR($B250="",$E250="",Calc!$B247=""),"",SUMIFS(CalcAmtA,CalcPartyA,$E250,CalcKeyA,"&lt;="&amp;Calc!$B247)-SUMIFS(CalcWitB,CalcPartyB,$E250,CalcKeyB,"&lt;="&amp;Calc!$B247)+SUMIFS(CalcDepB,CalcPartyB,$E250,CalcKeyB,"&lt;="&amp;Calc!$B247))</f>
        <v/>
      </c>
      <c r="L250" s="8" t="n"/>
    </row>
    <row r="251">
      <c r="A251" s="7">
        <f>IF($B251="","",COUNTA($B$9:$B251))</f>
        <v/>
      </c>
      <c r="B251" s="8" t="n"/>
      <c r="C251" s="8" t="n"/>
      <c r="D251" s="8" t="n"/>
      <c r="E251" s="8" t="n"/>
      <c r="F251" s="7">
        <f>IF($E251="","",IFERROR(IF(VLOOKUP($E251,AcctTbl,4,0)="","",VLOOKUP($E251,AcctTbl,4,0)),"—"))</f>
        <v/>
      </c>
      <c r="G251" s="8" t="n"/>
      <c r="H251" s="9" t="n"/>
      <c r="I251" s="9" t="n"/>
      <c r="J251" s="10">
        <f>IF(OR($H251="",$I251=""),"",ROUND($H251*$I251,0))</f>
        <v/>
      </c>
      <c r="K251" s="10">
        <f>IF(OR($B251="",$E251="",Calc!$B248=""),"",SUMIFS(CalcAmtA,CalcPartyA,$E251,CalcKeyA,"&lt;="&amp;Calc!$B248)-SUMIFS(CalcWitB,CalcPartyB,$E251,CalcKeyB,"&lt;="&amp;Calc!$B248)+SUMIFS(CalcDepB,CalcPartyB,$E251,CalcKeyB,"&lt;="&amp;Calc!$B248))</f>
        <v/>
      </c>
      <c r="L251" s="8" t="n"/>
    </row>
    <row r="252">
      <c r="A252" s="7">
        <f>IF($B252="","",COUNTA($B$9:$B252))</f>
        <v/>
      </c>
      <c r="B252" s="8" t="n"/>
      <c r="C252" s="8" t="n"/>
      <c r="D252" s="8" t="n"/>
      <c r="E252" s="8" t="n"/>
      <c r="F252" s="7">
        <f>IF($E252="","",IFERROR(IF(VLOOKUP($E252,AcctTbl,4,0)="","",VLOOKUP($E252,AcctTbl,4,0)),"—"))</f>
        <v/>
      </c>
      <c r="G252" s="8" t="n"/>
      <c r="H252" s="9" t="n"/>
      <c r="I252" s="9" t="n"/>
      <c r="J252" s="10">
        <f>IF(OR($H252="",$I252=""),"",ROUND($H252*$I252,0))</f>
        <v/>
      </c>
      <c r="K252" s="10">
        <f>IF(OR($B252="",$E252="",Calc!$B249=""),"",SUMIFS(CalcAmtA,CalcPartyA,$E252,CalcKeyA,"&lt;="&amp;Calc!$B249)-SUMIFS(CalcWitB,CalcPartyB,$E252,CalcKeyB,"&lt;="&amp;Calc!$B249)+SUMIFS(CalcDepB,CalcPartyB,$E252,CalcKeyB,"&lt;="&amp;Calc!$B249))</f>
        <v/>
      </c>
      <c r="L252" s="8" t="n"/>
    </row>
    <row r="253">
      <c r="A253" s="7">
        <f>IF($B253="","",COUNTA($B$9:$B253))</f>
        <v/>
      </c>
      <c r="B253" s="8" t="n"/>
      <c r="C253" s="8" t="n"/>
      <c r="D253" s="8" t="n"/>
      <c r="E253" s="8" t="n"/>
      <c r="F253" s="7">
        <f>IF($E253="","",IFERROR(IF(VLOOKUP($E253,AcctTbl,4,0)="","",VLOOKUP($E253,AcctTbl,4,0)),"—"))</f>
        <v/>
      </c>
      <c r="G253" s="8" t="n"/>
      <c r="H253" s="9" t="n"/>
      <c r="I253" s="9" t="n"/>
      <c r="J253" s="10">
        <f>IF(OR($H253="",$I253=""),"",ROUND($H253*$I253,0))</f>
        <v/>
      </c>
      <c r="K253" s="10">
        <f>IF(OR($B253="",$E253="",Calc!$B250=""),"",SUMIFS(CalcAmtA,CalcPartyA,$E253,CalcKeyA,"&lt;="&amp;Calc!$B250)-SUMIFS(CalcWitB,CalcPartyB,$E253,CalcKeyB,"&lt;="&amp;Calc!$B250)+SUMIFS(CalcDepB,CalcPartyB,$E253,CalcKeyB,"&lt;="&amp;Calc!$B250))</f>
        <v/>
      </c>
      <c r="L253" s="8" t="n"/>
    </row>
    <row r="254">
      <c r="A254" s="7">
        <f>IF($B254="","",COUNTA($B$9:$B254))</f>
        <v/>
      </c>
      <c r="B254" s="8" t="n"/>
      <c r="C254" s="8" t="n"/>
      <c r="D254" s="8" t="n"/>
      <c r="E254" s="8" t="n"/>
      <c r="F254" s="7">
        <f>IF($E254="","",IFERROR(IF(VLOOKUP($E254,AcctTbl,4,0)="","",VLOOKUP($E254,AcctTbl,4,0)),"—"))</f>
        <v/>
      </c>
      <c r="G254" s="8" t="n"/>
      <c r="H254" s="9" t="n"/>
      <c r="I254" s="9" t="n"/>
      <c r="J254" s="10">
        <f>IF(OR($H254="",$I254=""),"",ROUND($H254*$I254,0))</f>
        <v/>
      </c>
      <c r="K254" s="10">
        <f>IF(OR($B254="",$E254="",Calc!$B251=""),"",SUMIFS(CalcAmtA,CalcPartyA,$E254,CalcKeyA,"&lt;="&amp;Calc!$B251)-SUMIFS(CalcWitB,CalcPartyB,$E254,CalcKeyB,"&lt;="&amp;Calc!$B251)+SUMIFS(CalcDepB,CalcPartyB,$E254,CalcKeyB,"&lt;="&amp;Calc!$B251))</f>
        <v/>
      </c>
      <c r="L254" s="8" t="n"/>
    </row>
    <row r="255">
      <c r="A255" s="7">
        <f>IF($B255="","",COUNTA($B$9:$B255))</f>
        <v/>
      </c>
      <c r="B255" s="8" t="n"/>
      <c r="C255" s="8" t="n"/>
      <c r="D255" s="8" t="n"/>
      <c r="E255" s="8" t="n"/>
      <c r="F255" s="7">
        <f>IF($E255="","",IFERROR(IF(VLOOKUP($E255,AcctTbl,4,0)="","",VLOOKUP($E255,AcctTbl,4,0)),"—"))</f>
        <v/>
      </c>
      <c r="G255" s="8" t="n"/>
      <c r="H255" s="9" t="n"/>
      <c r="I255" s="9" t="n"/>
      <c r="J255" s="10">
        <f>IF(OR($H255="",$I255=""),"",ROUND($H255*$I255,0))</f>
        <v/>
      </c>
      <c r="K255" s="10">
        <f>IF(OR($B255="",$E255="",Calc!$B252=""),"",SUMIFS(CalcAmtA,CalcPartyA,$E255,CalcKeyA,"&lt;="&amp;Calc!$B252)-SUMIFS(CalcWitB,CalcPartyB,$E255,CalcKeyB,"&lt;="&amp;Calc!$B252)+SUMIFS(CalcDepB,CalcPartyB,$E255,CalcKeyB,"&lt;="&amp;Calc!$B252))</f>
        <v/>
      </c>
      <c r="L255" s="8" t="n"/>
    </row>
    <row r="256">
      <c r="A256" s="7">
        <f>IF($B256="","",COUNTA($B$9:$B256))</f>
        <v/>
      </c>
      <c r="B256" s="8" t="n"/>
      <c r="C256" s="8" t="n"/>
      <c r="D256" s="8" t="n"/>
      <c r="E256" s="8" t="n"/>
      <c r="F256" s="7">
        <f>IF($E256="","",IFERROR(IF(VLOOKUP($E256,AcctTbl,4,0)="","",VLOOKUP($E256,AcctTbl,4,0)),"—"))</f>
        <v/>
      </c>
      <c r="G256" s="8" t="n"/>
      <c r="H256" s="9" t="n"/>
      <c r="I256" s="9" t="n"/>
      <c r="J256" s="10">
        <f>IF(OR($H256="",$I256=""),"",ROUND($H256*$I256,0))</f>
        <v/>
      </c>
      <c r="K256" s="10">
        <f>IF(OR($B256="",$E256="",Calc!$B253=""),"",SUMIFS(CalcAmtA,CalcPartyA,$E256,CalcKeyA,"&lt;="&amp;Calc!$B253)-SUMIFS(CalcWitB,CalcPartyB,$E256,CalcKeyB,"&lt;="&amp;Calc!$B253)+SUMIFS(CalcDepB,CalcPartyB,$E256,CalcKeyB,"&lt;="&amp;Calc!$B253))</f>
        <v/>
      </c>
      <c r="L256" s="8" t="n"/>
    </row>
    <row r="257">
      <c r="A257" s="7">
        <f>IF($B257="","",COUNTA($B$9:$B257))</f>
        <v/>
      </c>
      <c r="B257" s="8" t="n"/>
      <c r="C257" s="8" t="n"/>
      <c r="D257" s="8" t="n"/>
      <c r="E257" s="8" t="n"/>
      <c r="F257" s="7">
        <f>IF($E257="","",IFERROR(IF(VLOOKUP($E257,AcctTbl,4,0)="","",VLOOKUP($E257,AcctTbl,4,0)),"—"))</f>
        <v/>
      </c>
      <c r="G257" s="8" t="n"/>
      <c r="H257" s="9" t="n"/>
      <c r="I257" s="9" t="n"/>
      <c r="J257" s="10">
        <f>IF(OR($H257="",$I257=""),"",ROUND($H257*$I257,0))</f>
        <v/>
      </c>
      <c r="K257" s="10">
        <f>IF(OR($B257="",$E257="",Calc!$B254=""),"",SUMIFS(CalcAmtA,CalcPartyA,$E257,CalcKeyA,"&lt;="&amp;Calc!$B254)-SUMIFS(CalcWitB,CalcPartyB,$E257,CalcKeyB,"&lt;="&amp;Calc!$B254)+SUMIFS(CalcDepB,CalcPartyB,$E257,CalcKeyB,"&lt;="&amp;Calc!$B254))</f>
        <v/>
      </c>
      <c r="L257" s="8" t="n"/>
    </row>
    <row r="258">
      <c r="A258" s="7">
        <f>IF($B258="","",COUNTA($B$9:$B258))</f>
        <v/>
      </c>
      <c r="B258" s="8" t="n"/>
      <c r="C258" s="8" t="n"/>
      <c r="D258" s="8" t="n"/>
      <c r="E258" s="8" t="n"/>
      <c r="F258" s="7">
        <f>IF($E258="","",IFERROR(IF(VLOOKUP($E258,AcctTbl,4,0)="","",VLOOKUP($E258,AcctTbl,4,0)),"—"))</f>
        <v/>
      </c>
      <c r="G258" s="8" t="n"/>
      <c r="H258" s="9" t="n"/>
      <c r="I258" s="9" t="n"/>
      <c r="J258" s="10">
        <f>IF(OR($H258="",$I258=""),"",ROUND($H258*$I258,0))</f>
        <v/>
      </c>
      <c r="K258" s="10">
        <f>IF(OR($B258="",$E258="",Calc!$B255=""),"",SUMIFS(CalcAmtA,CalcPartyA,$E258,CalcKeyA,"&lt;="&amp;Calc!$B255)-SUMIFS(CalcWitB,CalcPartyB,$E258,CalcKeyB,"&lt;="&amp;Calc!$B255)+SUMIFS(CalcDepB,CalcPartyB,$E258,CalcKeyB,"&lt;="&amp;Calc!$B255))</f>
        <v/>
      </c>
      <c r="L258" s="8" t="n"/>
    </row>
    <row r="259">
      <c r="A259" s="7">
        <f>IF($B259="","",COUNTA($B$9:$B259))</f>
        <v/>
      </c>
      <c r="B259" s="8" t="n"/>
      <c r="C259" s="8" t="n"/>
      <c r="D259" s="8" t="n"/>
      <c r="E259" s="8" t="n"/>
      <c r="F259" s="7">
        <f>IF($E259="","",IFERROR(IF(VLOOKUP($E259,AcctTbl,4,0)="","",VLOOKUP($E259,AcctTbl,4,0)),"—"))</f>
        <v/>
      </c>
      <c r="G259" s="8" t="n"/>
      <c r="H259" s="9" t="n"/>
      <c r="I259" s="9" t="n"/>
      <c r="J259" s="10">
        <f>IF(OR($H259="",$I259=""),"",ROUND($H259*$I259,0))</f>
        <v/>
      </c>
      <c r="K259" s="10">
        <f>IF(OR($B259="",$E259="",Calc!$B256=""),"",SUMIFS(CalcAmtA,CalcPartyA,$E259,CalcKeyA,"&lt;="&amp;Calc!$B256)-SUMIFS(CalcWitB,CalcPartyB,$E259,CalcKeyB,"&lt;="&amp;Calc!$B256)+SUMIFS(CalcDepB,CalcPartyB,$E259,CalcKeyB,"&lt;="&amp;Calc!$B256))</f>
        <v/>
      </c>
      <c r="L259" s="8" t="n"/>
    </row>
    <row r="260">
      <c r="A260" s="7">
        <f>IF($B260="","",COUNTA($B$9:$B260))</f>
        <v/>
      </c>
      <c r="B260" s="8" t="n"/>
      <c r="C260" s="8" t="n"/>
      <c r="D260" s="8" t="n"/>
      <c r="E260" s="8" t="n"/>
      <c r="F260" s="7">
        <f>IF($E260="","",IFERROR(IF(VLOOKUP($E260,AcctTbl,4,0)="","",VLOOKUP($E260,AcctTbl,4,0)),"—"))</f>
        <v/>
      </c>
      <c r="G260" s="8" t="n"/>
      <c r="H260" s="9" t="n"/>
      <c r="I260" s="9" t="n"/>
      <c r="J260" s="10">
        <f>IF(OR($H260="",$I260=""),"",ROUND($H260*$I260,0))</f>
        <v/>
      </c>
      <c r="K260" s="10">
        <f>IF(OR($B260="",$E260="",Calc!$B257=""),"",SUMIFS(CalcAmtA,CalcPartyA,$E260,CalcKeyA,"&lt;="&amp;Calc!$B257)-SUMIFS(CalcWitB,CalcPartyB,$E260,CalcKeyB,"&lt;="&amp;Calc!$B257)+SUMIFS(CalcDepB,CalcPartyB,$E260,CalcKeyB,"&lt;="&amp;Calc!$B257))</f>
        <v/>
      </c>
      <c r="L260" s="8" t="n"/>
    </row>
    <row r="261">
      <c r="A261" s="7">
        <f>IF($B261="","",COUNTA($B$9:$B261))</f>
        <v/>
      </c>
      <c r="B261" s="8" t="n"/>
      <c r="C261" s="8" t="n"/>
      <c r="D261" s="8" t="n"/>
      <c r="E261" s="8" t="n"/>
      <c r="F261" s="7">
        <f>IF($E261="","",IFERROR(IF(VLOOKUP($E261,AcctTbl,4,0)="","",VLOOKUP($E261,AcctTbl,4,0)),"—"))</f>
        <v/>
      </c>
      <c r="G261" s="8" t="n"/>
      <c r="H261" s="9" t="n"/>
      <c r="I261" s="9" t="n"/>
      <c r="J261" s="10">
        <f>IF(OR($H261="",$I261=""),"",ROUND($H261*$I261,0))</f>
        <v/>
      </c>
      <c r="K261" s="10">
        <f>IF(OR($B261="",$E261="",Calc!$B258=""),"",SUMIFS(CalcAmtA,CalcPartyA,$E261,CalcKeyA,"&lt;="&amp;Calc!$B258)-SUMIFS(CalcWitB,CalcPartyB,$E261,CalcKeyB,"&lt;="&amp;Calc!$B258)+SUMIFS(CalcDepB,CalcPartyB,$E261,CalcKeyB,"&lt;="&amp;Calc!$B258))</f>
        <v/>
      </c>
      <c r="L261" s="8" t="n"/>
    </row>
    <row r="262">
      <c r="A262" s="7">
        <f>IF($B262="","",COUNTA($B$9:$B262))</f>
        <v/>
      </c>
      <c r="B262" s="8" t="n"/>
      <c r="C262" s="8" t="n"/>
      <c r="D262" s="8" t="n"/>
      <c r="E262" s="8" t="n"/>
      <c r="F262" s="7">
        <f>IF($E262="","",IFERROR(IF(VLOOKUP($E262,AcctTbl,4,0)="","",VLOOKUP($E262,AcctTbl,4,0)),"—"))</f>
        <v/>
      </c>
      <c r="G262" s="8" t="n"/>
      <c r="H262" s="9" t="n"/>
      <c r="I262" s="9" t="n"/>
      <c r="J262" s="10">
        <f>IF(OR($H262="",$I262=""),"",ROUND($H262*$I262,0))</f>
        <v/>
      </c>
      <c r="K262" s="10">
        <f>IF(OR($B262="",$E262="",Calc!$B259=""),"",SUMIFS(CalcAmtA,CalcPartyA,$E262,CalcKeyA,"&lt;="&amp;Calc!$B259)-SUMIFS(CalcWitB,CalcPartyB,$E262,CalcKeyB,"&lt;="&amp;Calc!$B259)+SUMIFS(CalcDepB,CalcPartyB,$E262,CalcKeyB,"&lt;="&amp;Calc!$B259))</f>
        <v/>
      </c>
      <c r="L262" s="8" t="n"/>
    </row>
    <row r="263">
      <c r="A263" s="7">
        <f>IF($B263="","",COUNTA($B$9:$B263))</f>
        <v/>
      </c>
      <c r="B263" s="8" t="n"/>
      <c r="C263" s="8" t="n"/>
      <c r="D263" s="8" t="n"/>
      <c r="E263" s="8" t="n"/>
      <c r="F263" s="7">
        <f>IF($E263="","",IFERROR(IF(VLOOKUP($E263,AcctTbl,4,0)="","",VLOOKUP($E263,AcctTbl,4,0)),"—"))</f>
        <v/>
      </c>
      <c r="G263" s="8" t="n"/>
      <c r="H263" s="9" t="n"/>
      <c r="I263" s="9" t="n"/>
      <c r="J263" s="10">
        <f>IF(OR($H263="",$I263=""),"",ROUND($H263*$I263,0))</f>
        <v/>
      </c>
      <c r="K263" s="10">
        <f>IF(OR($B263="",$E263="",Calc!$B260=""),"",SUMIFS(CalcAmtA,CalcPartyA,$E263,CalcKeyA,"&lt;="&amp;Calc!$B260)-SUMIFS(CalcWitB,CalcPartyB,$E263,CalcKeyB,"&lt;="&amp;Calc!$B260)+SUMIFS(CalcDepB,CalcPartyB,$E263,CalcKeyB,"&lt;="&amp;Calc!$B260))</f>
        <v/>
      </c>
      <c r="L263" s="8" t="n"/>
    </row>
    <row r="264">
      <c r="A264" s="7">
        <f>IF($B264="","",COUNTA($B$9:$B264))</f>
        <v/>
      </c>
      <c r="B264" s="8" t="n"/>
      <c r="C264" s="8" t="n"/>
      <c r="D264" s="8" t="n"/>
      <c r="E264" s="8" t="n"/>
      <c r="F264" s="7">
        <f>IF($E264="","",IFERROR(IF(VLOOKUP($E264,AcctTbl,4,0)="","",VLOOKUP($E264,AcctTbl,4,0)),"—"))</f>
        <v/>
      </c>
      <c r="G264" s="8" t="n"/>
      <c r="H264" s="9" t="n"/>
      <c r="I264" s="9" t="n"/>
      <c r="J264" s="10">
        <f>IF(OR($H264="",$I264=""),"",ROUND($H264*$I264,0))</f>
        <v/>
      </c>
      <c r="K264" s="10">
        <f>IF(OR($B264="",$E264="",Calc!$B261=""),"",SUMIFS(CalcAmtA,CalcPartyA,$E264,CalcKeyA,"&lt;="&amp;Calc!$B261)-SUMIFS(CalcWitB,CalcPartyB,$E264,CalcKeyB,"&lt;="&amp;Calc!$B261)+SUMIFS(CalcDepB,CalcPartyB,$E264,CalcKeyB,"&lt;="&amp;Calc!$B261))</f>
        <v/>
      </c>
      <c r="L264" s="8" t="n"/>
    </row>
    <row r="265">
      <c r="A265" s="7">
        <f>IF($B265="","",COUNTA($B$9:$B265))</f>
        <v/>
      </c>
      <c r="B265" s="8" t="n"/>
      <c r="C265" s="8" t="n"/>
      <c r="D265" s="8" t="n"/>
      <c r="E265" s="8" t="n"/>
      <c r="F265" s="7">
        <f>IF($E265="","",IFERROR(IF(VLOOKUP($E265,AcctTbl,4,0)="","",VLOOKUP($E265,AcctTbl,4,0)),"—"))</f>
        <v/>
      </c>
      <c r="G265" s="8" t="n"/>
      <c r="H265" s="9" t="n"/>
      <c r="I265" s="9" t="n"/>
      <c r="J265" s="10">
        <f>IF(OR($H265="",$I265=""),"",ROUND($H265*$I265,0))</f>
        <v/>
      </c>
      <c r="K265" s="10">
        <f>IF(OR($B265="",$E265="",Calc!$B262=""),"",SUMIFS(CalcAmtA,CalcPartyA,$E265,CalcKeyA,"&lt;="&amp;Calc!$B262)-SUMIFS(CalcWitB,CalcPartyB,$E265,CalcKeyB,"&lt;="&amp;Calc!$B262)+SUMIFS(CalcDepB,CalcPartyB,$E265,CalcKeyB,"&lt;="&amp;Calc!$B262))</f>
        <v/>
      </c>
      <c r="L265" s="8" t="n"/>
    </row>
    <row r="266">
      <c r="A266" s="7">
        <f>IF($B266="","",COUNTA($B$9:$B266))</f>
        <v/>
      </c>
      <c r="B266" s="8" t="n"/>
      <c r="C266" s="8" t="n"/>
      <c r="D266" s="8" t="n"/>
      <c r="E266" s="8" t="n"/>
      <c r="F266" s="7">
        <f>IF($E266="","",IFERROR(IF(VLOOKUP($E266,AcctTbl,4,0)="","",VLOOKUP($E266,AcctTbl,4,0)),"—"))</f>
        <v/>
      </c>
      <c r="G266" s="8" t="n"/>
      <c r="H266" s="9" t="n"/>
      <c r="I266" s="9" t="n"/>
      <c r="J266" s="10">
        <f>IF(OR($H266="",$I266=""),"",ROUND($H266*$I266,0))</f>
        <v/>
      </c>
      <c r="K266" s="10">
        <f>IF(OR($B266="",$E266="",Calc!$B263=""),"",SUMIFS(CalcAmtA,CalcPartyA,$E266,CalcKeyA,"&lt;="&amp;Calc!$B263)-SUMIFS(CalcWitB,CalcPartyB,$E266,CalcKeyB,"&lt;="&amp;Calc!$B263)+SUMIFS(CalcDepB,CalcPartyB,$E266,CalcKeyB,"&lt;="&amp;Calc!$B263))</f>
        <v/>
      </c>
      <c r="L266" s="8" t="n"/>
    </row>
    <row r="267">
      <c r="A267" s="7">
        <f>IF($B267="","",COUNTA($B$9:$B267))</f>
        <v/>
      </c>
      <c r="B267" s="8" t="n"/>
      <c r="C267" s="8" t="n"/>
      <c r="D267" s="8" t="n"/>
      <c r="E267" s="8" t="n"/>
      <c r="F267" s="7">
        <f>IF($E267="","",IFERROR(IF(VLOOKUP($E267,AcctTbl,4,0)="","",VLOOKUP($E267,AcctTbl,4,0)),"—"))</f>
        <v/>
      </c>
      <c r="G267" s="8" t="n"/>
      <c r="H267" s="9" t="n"/>
      <c r="I267" s="9" t="n"/>
      <c r="J267" s="10">
        <f>IF(OR($H267="",$I267=""),"",ROUND($H267*$I267,0))</f>
        <v/>
      </c>
      <c r="K267" s="10">
        <f>IF(OR($B267="",$E267="",Calc!$B264=""),"",SUMIFS(CalcAmtA,CalcPartyA,$E267,CalcKeyA,"&lt;="&amp;Calc!$B264)-SUMIFS(CalcWitB,CalcPartyB,$E267,CalcKeyB,"&lt;="&amp;Calc!$B264)+SUMIFS(CalcDepB,CalcPartyB,$E267,CalcKeyB,"&lt;="&amp;Calc!$B264))</f>
        <v/>
      </c>
      <c r="L267" s="8" t="n"/>
    </row>
    <row r="268">
      <c r="A268" s="7">
        <f>IF($B268="","",COUNTA($B$9:$B268))</f>
        <v/>
      </c>
      <c r="B268" s="8" t="n"/>
      <c r="C268" s="8" t="n"/>
      <c r="D268" s="8" t="n"/>
      <c r="E268" s="8" t="n"/>
      <c r="F268" s="7">
        <f>IF($E268="","",IFERROR(IF(VLOOKUP($E268,AcctTbl,4,0)="","",VLOOKUP($E268,AcctTbl,4,0)),"—"))</f>
        <v/>
      </c>
      <c r="G268" s="8" t="n"/>
      <c r="H268" s="9" t="n"/>
      <c r="I268" s="9" t="n"/>
      <c r="J268" s="10">
        <f>IF(OR($H268="",$I268=""),"",ROUND($H268*$I268,0))</f>
        <v/>
      </c>
      <c r="K268" s="10">
        <f>IF(OR($B268="",$E268="",Calc!$B265=""),"",SUMIFS(CalcAmtA,CalcPartyA,$E268,CalcKeyA,"&lt;="&amp;Calc!$B265)-SUMIFS(CalcWitB,CalcPartyB,$E268,CalcKeyB,"&lt;="&amp;Calc!$B265)+SUMIFS(CalcDepB,CalcPartyB,$E268,CalcKeyB,"&lt;="&amp;Calc!$B265))</f>
        <v/>
      </c>
      <c r="L268" s="8" t="n"/>
    </row>
    <row r="269">
      <c r="A269" s="7">
        <f>IF($B269="","",COUNTA($B$9:$B269))</f>
        <v/>
      </c>
      <c r="B269" s="8" t="n"/>
      <c r="C269" s="8" t="n"/>
      <c r="D269" s="8" t="n"/>
      <c r="E269" s="8" t="n"/>
      <c r="F269" s="7">
        <f>IF($E269="","",IFERROR(IF(VLOOKUP($E269,AcctTbl,4,0)="","",VLOOKUP($E269,AcctTbl,4,0)),"—"))</f>
        <v/>
      </c>
      <c r="G269" s="8" t="n"/>
      <c r="H269" s="9" t="n"/>
      <c r="I269" s="9" t="n"/>
      <c r="J269" s="10">
        <f>IF(OR($H269="",$I269=""),"",ROUND($H269*$I269,0))</f>
        <v/>
      </c>
      <c r="K269" s="10">
        <f>IF(OR($B269="",$E269="",Calc!$B266=""),"",SUMIFS(CalcAmtA,CalcPartyA,$E269,CalcKeyA,"&lt;="&amp;Calc!$B266)-SUMIFS(CalcWitB,CalcPartyB,$E269,CalcKeyB,"&lt;="&amp;Calc!$B266)+SUMIFS(CalcDepB,CalcPartyB,$E269,CalcKeyB,"&lt;="&amp;Calc!$B266))</f>
        <v/>
      </c>
      <c r="L269" s="8" t="n"/>
    </row>
    <row r="270">
      <c r="A270" s="7">
        <f>IF($B270="","",COUNTA($B$9:$B270))</f>
        <v/>
      </c>
      <c r="B270" s="8" t="n"/>
      <c r="C270" s="8" t="n"/>
      <c r="D270" s="8" t="n"/>
      <c r="E270" s="8" t="n"/>
      <c r="F270" s="7">
        <f>IF($E270="","",IFERROR(IF(VLOOKUP($E270,AcctTbl,4,0)="","",VLOOKUP($E270,AcctTbl,4,0)),"—"))</f>
        <v/>
      </c>
      <c r="G270" s="8" t="n"/>
      <c r="H270" s="9" t="n"/>
      <c r="I270" s="9" t="n"/>
      <c r="J270" s="10">
        <f>IF(OR($H270="",$I270=""),"",ROUND($H270*$I270,0))</f>
        <v/>
      </c>
      <c r="K270" s="10">
        <f>IF(OR($B270="",$E270="",Calc!$B267=""),"",SUMIFS(CalcAmtA,CalcPartyA,$E270,CalcKeyA,"&lt;="&amp;Calc!$B267)-SUMIFS(CalcWitB,CalcPartyB,$E270,CalcKeyB,"&lt;="&amp;Calc!$B267)+SUMIFS(CalcDepB,CalcPartyB,$E270,CalcKeyB,"&lt;="&amp;Calc!$B267))</f>
        <v/>
      </c>
      <c r="L270" s="8" t="n"/>
    </row>
    <row r="271">
      <c r="A271" s="7">
        <f>IF($B271="","",COUNTA($B$9:$B271))</f>
        <v/>
      </c>
      <c r="B271" s="8" t="n"/>
      <c r="C271" s="8" t="n"/>
      <c r="D271" s="8" t="n"/>
      <c r="E271" s="8" t="n"/>
      <c r="F271" s="7">
        <f>IF($E271="","",IFERROR(IF(VLOOKUP($E271,AcctTbl,4,0)="","",VLOOKUP($E271,AcctTbl,4,0)),"—"))</f>
        <v/>
      </c>
      <c r="G271" s="8" t="n"/>
      <c r="H271" s="9" t="n"/>
      <c r="I271" s="9" t="n"/>
      <c r="J271" s="10">
        <f>IF(OR($H271="",$I271=""),"",ROUND($H271*$I271,0))</f>
        <v/>
      </c>
      <c r="K271" s="10">
        <f>IF(OR($B271="",$E271="",Calc!$B268=""),"",SUMIFS(CalcAmtA,CalcPartyA,$E271,CalcKeyA,"&lt;="&amp;Calc!$B268)-SUMIFS(CalcWitB,CalcPartyB,$E271,CalcKeyB,"&lt;="&amp;Calc!$B268)+SUMIFS(CalcDepB,CalcPartyB,$E271,CalcKeyB,"&lt;="&amp;Calc!$B268))</f>
        <v/>
      </c>
      <c r="L271" s="8" t="n"/>
    </row>
    <row r="272">
      <c r="A272" s="7">
        <f>IF($B272="","",COUNTA($B$9:$B272))</f>
        <v/>
      </c>
      <c r="B272" s="8" t="n"/>
      <c r="C272" s="8" t="n"/>
      <c r="D272" s="8" t="n"/>
      <c r="E272" s="8" t="n"/>
      <c r="F272" s="7">
        <f>IF($E272="","",IFERROR(IF(VLOOKUP($E272,AcctTbl,4,0)="","",VLOOKUP($E272,AcctTbl,4,0)),"—"))</f>
        <v/>
      </c>
      <c r="G272" s="8" t="n"/>
      <c r="H272" s="9" t="n"/>
      <c r="I272" s="9" t="n"/>
      <c r="J272" s="10">
        <f>IF(OR($H272="",$I272=""),"",ROUND($H272*$I272,0))</f>
        <v/>
      </c>
      <c r="K272" s="10">
        <f>IF(OR($B272="",$E272="",Calc!$B269=""),"",SUMIFS(CalcAmtA,CalcPartyA,$E272,CalcKeyA,"&lt;="&amp;Calc!$B269)-SUMIFS(CalcWitB,CalcPartyB,$E272,CalcKeyB,"&lt;="&amp;Calc!$B269)+SUMIFS(CalcDepB,CalcPartyB,$E272,CalcKeyB,"&lt;="&amp;Calc!$B269))</f>
        <v/>
      </c>
      <c r="L272" s="8" t="n"/>
    </row>
    <row r="273">
      <c r="A273" s="7">
        <f>IF($B273="","",COUNTA($B$9:$B273))</f>
        <v/>
      </c>
      <c r="B273" s="8" t="n"/>
      <c r="C273" s="8" t="n"/>
      <c r="D273" s="8" t="n"/>
      <c r="E273" s="8" t="n"/>
      <c r="F273" s="7">
        <f>IF($E273="","",IFERROR(IF(VLOOKUP($E273,AcctTbl,4,0)="","",VLOOKUP($E273,AcctTbl,4,0)),"—"))</f>
        <v/>
      </c>
      <c r="G273" s="8" t="n"/>
      <c r="H273" s="9" t="n"/>
      <c r="I273" s="9" t="n"/>
      <c r="J273" s="10">
        <f>IF(OR($H273="",$I273=""),"",ROUND($H273*$I273,0))</f>
        <v/>
      </c>
      <c r="K273" s="10">
        <f>IF(OR($B273="",$E273="",Calc!$B270=""),"",SUMIFS(CalcAmtA,CalcPartyA,$E273,CalcKeyA,"&lt;="&amp;Calc!$B270)-SUMIFS(CalcWitB,CalcPartyB,$E273,CalcKeyB,"&lt;="&amp;Calc!$B270)+SUMIFS(CalcDepB,CalcPartyB,$E273,CalcKeyB,"&lt;="&amp;Calc!$B270))</f>
        <v/>
      </c>
      <c r="L273" s="8" t="n"/>
    </row>
    <row r="274">
      <c r="A274" s="7">
        <f>IF($B274="","",COUNTA($B$9:$B274))</f>
        <v/>
      </c>
      <c r="B274" s="8" t="n"/>
      <c r="C274" s="8" t="n"/>
      <c r="D274" s="8" t="n"/>
      <c r="E274" s="8" t="n"/>
      <c r="F274" s="7">
        <f>IF($E274="","",IFERROR(IF(VLOOKUP($E274,AcctTbl,4,0)="","",VLOOKUP($E274,AcctTbl,4,0)),"—"))</f>
        <v/>
      </c>
      <c r="G274" s="8" t="n"/>
      <c r="H274" s="9" t="n"/>
      <c r="I274" s="9" t="n"/>
      <c r="J274" s="10">
        <f>IF(OR($H274="",$I274=""),"",ROUND($H274*$I274,0))</f>
        <v/>
      </c>
      <c r="K274" s="10">
        <f>IF(OR($B274="",$E274="",Calc!$B271=""),"",SUMIFS(CalcAmtA,CalcPartyA,$E274,CalcKeyA,"&lt;="&amp;Calc!$B271)-SUMIFS(CalcWitB,CalcPartyB,$E274,CalcKeyB,"&lt;="&amp;Calc!$B271)+SUMIFS(CalcDepB,CalcPartyB,$E274,CalcKeyB,"&lt;="&amp;Calc!$B271))</f>
        <v/>
      </c>
      <c r="L274" s="8" t="n"/>
    </row>
    <row r="275">
      <c r="A275" s="7">
        <f>IF($B275="","",COUNTA($B$9:$B275))</f>
        <v/>
      </c>
      <c r="B275" s="8" t="n"/>
      <c r="C275" s="8" t="n"/>
      <c r="D275" s="8" t="n"/>
      <c r="E275" s="8" t="n"/>
      <c r="F275" s="7">
        <f>IF($E275="","",IFERROR(IF(VLOOKUP($E275,AcctTbl,4,0)="","",VLOOKUP($E275,AcctTbl,4,0)),"—"))</f>
        <v/>
      </c>
      <c r="G275" s="8" t="n"/>
      <c r="H275" s="9" t="n"/>
      <c r="I275" s="9" t="n"/>
      <c r="J275" s="10">
        <f>IF(OR($H275="",$I275=""),"",ROUND($H275*$I275,0))</f>
        <v/>
      </c>
      <c r="K275" s="10">
        <f>IF(OR($B275="",$E275="",Calc!$B272=""),"",SUMIFS(CalcAmtA,CalcPartyA,$E275,CalcKeyA,"&lt;="&amp;Calc!$B272)-SUMIFS(CalcWitB,CalcPartyB,$E275,CalcKeyB,"&lt;="&amp;Calc!$B272)+SUMIFS(CalcDepB,CalcPartyB,$E275,CalcKeyB,"&lt;="&amp;Calc!$B272))</f>
        <v/>
      </c>
      <c r="L275" s="8" t="n"/>
    </row>
    <row r="276">
      <c r="A276" s="7">
        <f>IF($B276="","",COUNTA($B$9:$B276))</f>
        <v/>
      </c>
      <c r="B276" s="8" t="n"/>
      <c r="C276" s="8" t="n"/>
      <c r="D276" s="8" t="n"/>
      <c r="E276" s="8" t="n"/>
      <c r="F276" s="7">
        <f>IF($E276="","",IFERROR(IF(VLOOKUP($E276,AcctTbl,4,0)="","",VLOOKUP($E276,AcctTbl,4,0)),"—"))</f>
        <v/>
      </c>
      <c r="G276" s="8" t="n"/>
      <c r="H276" s="9" t="n"/>
      <c r="I276" s="9" t="n"/>
      <c r="J276" s="10">
        <f>IF(OR($H276="",$I276=""),"",ROUND($H276*$I276,0))</f>
        <v/>
      </c>
      <c r="K276" s="10">
        <f>IF(OR($B276="",$E276="",Calc!$B273=""),"",SUMIFS(CalcAmtA,CalcPartyA,$E276,CalcKeyA,"&lt;="&amp;Calc!$B273)-SUMIFS(CalcWitB,CalcPartyB,$E276,CalcKeyB,"&lt;="&amp;Calc!$B273)+SUMIFS(CalcDepB,CalcPartyB,$E276,CalcKeyB,"&lt;="&amp;Calc!$B273))</f>
        <v/>
      </c>
      <c r="L276" s="8" t="n"/>
    </row>
    <row r="277">
      <c r="A277" s="7">
        <f>IF($B277="","",COUNTA($B$9:$B277))</f>
        <v/>
      </c>
      <c r="B277" s="8" t="n"/>
      <c r="C277" s="8" t="n"/>
      <c r="D277" s="8" t="n"/>
      <c r="E277" s="8" t="n"/>
      <c r="F277" s="7">
        <f>IF($E277="","",IFERROR(IF(VLOOKUP($E277,AcctTbl,4,0)="","",VLOOKUP($E277,AcctTbl,4,0)),"—"))</f>
        <v/>
      </c>
      <c r="G277" s="8" t="n"/>
      <c r="H277" s="9" t="n"/>
      <c r="I277" s="9" t="n"/>
      <c r="J277" s="10">
        <f>IF(OR($H277="",$I277=""),"",ROUND($H277*$I277,0))</f>
        <v/>
      </c>
      <c r="K277" s="10">
        <f>IF(OR($B277="",$E277="",Calc!$B274=""),"",SUMIFS(CalcAmtA,CalcPartyA,$E277,CalcKeyA,"&lt;="&amp;Calc!$B274)-SUMIFS(CalcWitB,CalcPartyB,$E277,CalcKeyB,"&lt;="&amp;Calc!$B274)+SUMIFS(CalcDepB,CalcPartyB,$E277,CalcKeyB,"&lt;="&amp;Calc!$B274))</f>
        <v/>
      </c>
      <c r="L277" s="8" t="n"/>
    </row>
    <row r="278">
      <c r="A278" s="7">
        <f>IF($B278="","",COUNTA($B$9:$B278))</f>
        <v/>
      </c>
      <c r="B278" s="8" t="n"/>
      <c r="C278" s="8" t="n"/>
      <c r="D278" s="8" t="n"/>
      <c r="E278" s="8" t="n"/>
      <c r="F278" s="7">
        <f>IF($E278="","",IFERROR(IF(VLOOKUP($E278,AcctTbl,4,0)="","",VLOOKUP($E278,AcctTbl,4,0)),"—"))</f>
        <v/>
      </c>
      <c r="G278" s="8" t="n"/>
      <c r="H278" s="9" t="n"/>
      <c r="I278" s="9" t="n"/>
      <c r="J278" s="10">
        <f>IF(OR($H278="",$I278=""),"",ROUND($H278*$I278,0))</f>
        <v/>
      </c>
      <c r="K278" s="10">
        <f>IF(OR($B278="",$E278="",Calc!$B275=""),"",SUMIFS(CalcAmtA,CalcPartyA,$E278,CalcKeyA,"&lt;="&amp;Calc!$B275)-SUMIFS(CalcWitB,CalcPartyB,$E278,CalcKeyB,"&lt;="&amp;Calc!$B275)+SUMIFS(CalcDepB,CalcPartyB,$E278,CalcKeyB,"&lt;="&amp;Calc!$B275))</f>
        <v/>
      </c>
      <c r="L278" s="8" t="n"/>
    </row>
    <row r="279">
      <c r="A279" s="7">
        <f>IF($B279="","",COUNTA($B$9:$B279))</f>
        <v/>
      </c>
      <c r="B279" s="8" t="n"/>
      <c r="C279" s="8" t="n"/>
      <c r="D279" s="8" t="n"/>
      <c r="E279" s="8" t="n"/>
      <c r="F279" s="7">
        <f>IF($E279="","",IFERROR(IF(VLOOKUP($E279,AcctTbl,4,0)="","",VLOOKUP($E279,AcctTbl,4,0)),"—"))</f>
        <v/>
      </c>
      <c r="G279" s="8" t="n"/>
      <c r="H279" s="9" t="n"/>
      <c r="I279" s="9" t="n"/>
      <c r="J279" s="10">
        <f>IF(OR($H279="",$I279=""),"",ROUND($H279*$I279,0))</f>
        <v/>
      </c>
      <c r="K279" s="10">
        <f>IF(OR($B279="",$E279="",Calc!$B276=""),"",SUMIFS(CalcAmtA,CalcPartyA,$E279,CalcKeyA,"&lt;="&amp;Calc!$B276)-SUMIFS(CalcWitB,CalcPartyB,$E279,CalcKeyB,"&lt;="&amp;Calc!$B276)+SUMIFS(CalcDepB,CalcPartyB,$E279,CalcKeyB,"&lt;="&amp;Calc!$B276))</f>
        <v/>
      </c>
      <c r="L279" s="8" t="n"/>
    </row>
    <row r="280">
      <c r="A280" s="7">
        <f>IF($B280="","",COUNTA($B$9:$B280))</f>
        <v/>
      </c>
      <c r="B280" s="8" t="n"/>
      <c r="C280" s="8" t="n"/>
      <c r="D280" s="8" t="n"/>
      <c r="E280" s="8" t="n"/>
      <c r="F280" s="7">
        <f>IF($E280="","",IFERROR(IF(VLOOKUP($E280,AcctTbl,4,0)="","",VLOOKUP($E280,AcctTbl,4,0)),"—"))</f>
        <v/>
      </c>
      <c r="G280" s="8" t="n"/>
      <c r="H280" s="9" t="n"/>
      <c r="I280" s="9" t="n"/>
      <c r="J280" s="10">
        <f>IF(OR($H280="",$I280=""),"",ROUND($H280*$I280,0))</f>
        <v/>
      </c>
      <c r="K280" s="10">
        <f>IF(OR($B280="",$E280="",Calc!$B277=""),"",SUMIFS(CalcAmtA,CalcPartyA,$E280,CalcKeyA,"&lt;="&amp;Calc!$B277)-SUMIFS(CalcWitB,CalcPartyB,$E280,CalcKeyB,"&lt;="&amp;Calc!$B277)+SUMIFS(CalcDepB,CalcPartyB,$E280,CalcKeyB,"&lt;="&amp;Calc!$B277))</f>
        <v/>
      </c>
      <c r="L280" s="8" t="n"/>
    </row>
    <row r="281">
      <c r="A281" s="7">
        <f>IF($B281="","",COUNTA($B$9:$B281))</f>
        <v/>
      </c>
      <c r="B281" s="8" t="n"/>
      <c r="C281" s="8" t="n"/>
      <c r="D281" s="8" t="n"/>
      <c r="E281" s="8" t="n"/>
      <c r="F281" s="7">
        <f>IF($E281="","",IFERROR(IF(VLOOKUP($E281,AcctTbl,4,0)="","",VLOOKUP($E281,AcctTbl,4,0)),"—"))</f>
        <v/>
      </c>
      <c r="G281" s="8" t="n"/>
      <c r="H281" s="9" t="n"/>
      <c r="I281" s="9" t="n"/>
      <c r="J281" s="10">
        <f>IF(OR($H281="",$I281=""),"",ROUND($H281*$I281,0))</f>
        <v/>
      </c>
      <c r="K281" s="10">
        <f>IF(OR($B281="",$E281="",Calc!$B278=""),"",SUMIFS(CalcAmtA,CalcPartyA,$E281,CalcKeyA,"&lt;="&amp;Calc!$B278)-SUMIFS(CalcWitB,CalcPartyB,$E281,CalcKeyB,"&lt;="&amp;Calc!$B278)+SUMIFS(CalcDepB,CalcPartyB,$E281,CalcKeyB,"&lt;="&amp;Calc!$B278))</f>
        <v/>
      </c>
      <c r="L281" s="8" t="n"/>
    </row>
    <row r="282">
      <c r="A282" s="7">
        <f>IF($B282="","",COUNTA($B$9:$B282))</f>
        <v/>
      </c>
      <c r="B282" s="8" t="n"/>
      <c r="C282" s="8" t="n"/>
      <c r="D282" s="8" t="n"/>
      <c r="E282" s="8" t="n"/>
      <c r="F282" s="7">
        <f>IF($E282="","",IFERROR(IF(VLOOKUP($E282,AcctTbl,4,0)="","",VLOOKUP($E282,AcctTbl,4,0)),"—"))</f>
        <v/>
      </c>
      <c r="G282" s="8" t="n"/>
      <c r="H282" s="9" t="n"/>
      <c r="I282" s="9" t="n"/>
      <c r="J282" s="10">
        <f>IF(OR($H282="",$I282=""),"",ROUND($H282*$I282,0))</f>
        <v/>
      </c>
      <c r="K282" s="10">
        <f>IF(OR($B282="",$E282="",Calc!$B279=""),"",SUMIFS(CalcAmtA,CalcPartyA,$E282,CalcKeyA,"&lt;="&amp;Calc!$B279)-SUMIFS(CalcWitB,CalcPartyB,$E282,CalcKeyB,"&lt;="&amp;Calc!$B279)+SUMIFS(CalcDepB,CalcPartyB,$E282,CalcKeyB,"&lt;="&amp;Calc!$B279))</f>
        <v/>
      </c>
      <c r="L282" s="8" t="n"/>
    </row>
    <row r="283">
      <c r="A283" s="7">
        <f>IF($B283="","",COUNTA($B$9:$B283))</f>
        <v/>
      </c>
      <c r="B283" s="8" t="n"/>
      <c r="C283" s="8" t="n"/>
      <c r="D283" s="8" t="n"/>
      <c r="E283" s="8" t="n"/>
      <c r="F283" s="7">
        <f>IF($E283="","",IFERROR(IF(VLOOKUP($E283,AcctTbl,4,0)="","",VLOOKUP($E283,AcctTbl,4,0)),"—"))</f>
        <v/>
      </c>
      <c r="G283" s="8" t="n"/>
      <c r="H283" s="9" t="n"/>
      <c r="I283" s="9" t="n"/>
      <c r="J283" s="10">
        <f>IF(OR($H283="",$I283=""),"",ROUND($H283*$I283,0))</f>
        <v/>
      </c>
      <c r="K283" s="10">
        <f>IF(OR($B283="",$E283="",Calc!$B280=""),"",SUMIFS(CalcAmtA,CalcPartyA,$E283,CalcKeyA,"&lt;="&amp;Calc!$B280)-SUMIFS(CalcWitB,CalcPartyB,$E283,CalcKeyB,"&lt;="&amp;Calc!$B280)+SUMIFS(CalcDepB,CalcPartyB,$E283,CalcKeyB,"&lt;="&amp;Calc!$B280))</f>
        <v/>
      </c>
      <c r="L283" s="8" t="n"/>
    </row>
    <row r="284">
      <c r="A284" s="7">
        <f>IF($B284="","",COUNTA($B$9:$B284))</f>
        <v/>
      </c>
      <c r="B284" s="8" t="n"/>
      <c r="C284" s="8" t="n"/>
      <c r="D284" s="8" t="n"/>
      <c r="E284" s="8" t="n"/>
      <c r="F284" s="7">
        <f>IF($E284="","",IFERROR(IF(VLOOKUP($E284,AcctTbl,4,0)="","",VLOOKUP($E284,AcctTbl,4,0)),"—"))</f>
        <v/>
      </c>
      <c r="G284" s="8" t="n"/>
      <c r="H284" s="9" t="n"/>
      <c r="I284" s="9" t="n"/>
      <c r="J284" s="10">
        <f>IF(OR($H284="",$I284=""),"",ROUND($H284*$I284,0))</f>
        <v/>
      </c>
      <c r="K284" s="10">
        <f>IF(OR($B284="",$E284="",Calc!$B281=""),"",SUMIFS(CalcAmtA,CalcPartyA,$E284,CalcKeyA,"&lt;="&amp;Calc!$B281)-SUMIFS(CalcWitB,CalcPartyB,$E284,CalcKeyB,"&lt;="&amp;Calc!$B281)+SUMIFS(CalcDepB,CalcPartyB,$E284,CalcKeyB,"&lt;="&amp;Calc!$B281))</f>
        <v/>
      </c>
      <c r="L284" s="8" t="n"/>
    </row>
    <row r="285">
      <c r="A285" s="7">
        <f>IF($B285="","",COUNTA($B$9:$B285))</f>
        <v/>
      </c>
      <c r="B285" s="8" t="n"/>
      <c r="C285" s="8" t="n"/>
      <c r="D285" s="8" t="n"/>
      <c r="E285" s="8" t="n"/>
      <c r="F285" s="7">
        <f>IF($E285="","",IFERROR(IF(VLOOKUP($E285,AcctTbl,4,0)="","",VLOOKUP($E285,AcctTbl,4,0)),"—"))</f>
        <v/>
      </c>
      <c r="G285" s="8" t="n"/>
      <c r="H285" s="9" t="n"/>
      <c r="I285" s="9" t="n"/>
      <c r="J285" s="10">
        <f>IF(OR($H285="",$I285=""),"",ROUND($H285*$I285,0))</f>
        <v/>
      </c>
      <c r="K285" s="10">
        <f>IF(OR($B285="",$E285="",Calc!$B282=""),"",SUMIFS(CalcAmtA,CalcPartyA,$E285,CalcKeyA,"&lt;="&amp;Calc!$B282)-SUMIFS(CalcWitB,CalcPartyB,$E285,CalcKeyB,"&lt;="&amp;Calc!$B282)+SUMIFS(CalcDepB,CalcPartyB,$E285,CalcKeyB,"&lt;="&amp;Calc!$B282))</f>
        <v/>
      </c>
      <c r="L285" s="8" t="n"/>
    </row>
    <row r="286">
      <c r="A286" s="7">
        <f>IF($B286="","",COUNTA($B$9:$B286))</f>
        <v/>
      </c>
      <c r="B286" s="8" t="n"/>
      <c r="C286" s="8" t="n"/>
      <c r="D286" s="8" t="n"/>
      <c r="E286" s="8" t="n"/>
      <c r="F286" s="7">
        <f>IF($E286="","",IFERROR(IF(VLOOKUP($E286,AcctTbl,4,0)="","",VLOOKUP($E286,AcctTbl,4,0)),"—"))</f>
        <v/>
      </c>
      <c r="G286" s="8" t="n"/>
      <c r="H286" s="9" t="n"/>
      <c r="I286" s="9" t="n"/>
      <c r="J286" s="10">
        <f>IF(OR($H286="",$I286=""),"",ROUND($H286*$I286,0))</f>
        <v/>
      </c>
      <c r="K286" s="10">
        <f>IF(OR($B286="",$E286="",Calc!$B283=""),"",SUMIFS(CalcAmtA,CalcPartyA,$E286,CalcKeyA,"&lt;="&amp;Calc!$B283)-SUMIFS(CalcWitB,CalcPartyB,$E286,CalcKeyB,"&lt;="&amp;Calc!$B283)+SUMIFS(CalcDepB,CalcPartyB,$E286,CalcKeyB,"&lt;="&amp;Calc!$B283))</f>
        <v/>
      </c>
      <c r="L286" s="8" t="n"/>
    </row>
    <row r="287">
      <c r="A287" s="7">
        <f>IF($B287="","",COUNTA($B$9:$B287))</f>
        <v/>
      </c>
      <c r="B287" s="8" t="n"/>
      <c r="C287" s="8" t="n"/>
      <c r="D287" s="8" t="n"/>
      <c r="E287" s="8" t="n"/>
      <c r="F287" s="7">
        <f>IF($E287="","",IFERROR(IF(VLOOKUP($E287,AcctTbl,4,0)="","",VLOOKUP($E287,AcctTbl,4,0)),"—"))</f>
        <v/>
      </c>
      <c r="G287" s="8" t="n"/>
      <c r="H287" s="9" t="n"/>
      <c r="I287" s="9" t="n"/>
      <c r="J287" s="10">
        <f>IF(OR($H287="",$I287=""),"",ROUND($H287*$I287,0))</f>
        <v/>
      </c>
      <c r="K287" s="10">
        <f>IF(OR($B287="",$E287="",Calc!$B284=""),"",SUMIFS(CalcAmtA,CalcPartyA,$E287,CalcKeyA,"&lt;="&amp;Calc!$B284)-SUMIFS(CalcWitB,CalcPartyB,$E287,CalcKeyB,"&lt;="&amp;Calc!$B284)+SUMIFS(CalcDepB,CalcPartyB,$E287,CalcKeyB,"&lt;="&amp;Calc!$B284))</f>
        <v/>
      </c>
      <c r="L287" s="8" t="n"/>
    </row>
    <row r="288">
      <c r="A288" s="7">
        <f>IF($B288="","",COUNTA($B$9:$B288))</f>
        <v/>
      </c>
      <c r="B288" s="8" t="n"/>
      <c r="C288" s="8" t="n"/>
      <c r="D288" s="8" t="n"/>
      <c r="E288" s="8" t="n"/>
      <c r="F288" s="7">
        <f>IF($E288="","",IFERROR(IF(VLOOKUP($E288,AcctTbl,4,0)="","",VLOOKUP($E288,AcctTbl,4,0)),"—"))</f>
        <v/>
      </c>
      <c r="G288" s="8" t="n"/>
      <c r="H288" s="9" t="n"/>
      <c r="I288" s="9" t="n"/>
      <c r="J288" s="10">
        <f>IF(OR($H288="",$I288=""),"",ROUND($H288*$I288,0))</f>
        <v/>
      </c>
      <c r="K288" s="10">
        <f>IF(OR($B288="",$E288="",Calc!$B285=""),"",SUMIFS(CalcAmtA,CalcPartyA,$E288,CalcKeyA,"&lt;="&amp;Calc!$B285)-SUMIFS(CalcWitB,CalcPartyB,$E288,CalcKeyB,"&lt;="&amp;Calc!$B285)+SUMIFS(CalcDepB,CalcPartyB,$E288,CalcKeyB,"&lt;="&amp;Calc!$B285))</f>
        <v/>
      </c>
      <c r="L288" s="8" t="n"/>
    </row>
    <row r="289">
      <c r="A289" s="7">
        <f>IF($B289="","",COUNTA($B$9:$B289))</f>
        <v/>
      </c>
      <c r="B289" s="8" t="n"/>
      <c r="C289" s="8" t="n"/>
      <c r="D289" s="8" t="n"/>
      <c r="E289" s="8" t="n"/>
      <c r="F289" s="7">
        <f>IF($E289="","",IFERROR(IF(VLOOKUP($E289,AcctTbl,4,0)="","",VLOOKUP($E289,AcctTbl,4,0)),"—"))</f>
        <v/>
      </c>
      <c r="G289" s="8" t="n"/>
      <c r="H289" s="9" t="n"/>
      <c r="I289" s="9" t="n"/>
      <c r="J289" s="10">
        <f>IF(OR($H289="",$I289=""),"",ROUND($H289*$I289,0))</f>
        <v/>
      </c>
      <c r="K289" s="10">
        <f>IF(OR($B289="",$E289="",Calc!$B286=""),"",SUMIFS(CalcAmtA,CalcPartyA,$E289,CalcKeyA,"&lt;="&amp;Calc!$B286)-SUMIFS(CalcWitB,CalcPartyB,$E289,CalcKeyB,"&lt;="&amp;Calc!$B286)+SUMIFS(CalcDepB,CalcPartyB,$E289,CalcKeyB,"&lt;="&amp;Calc!$B286))</f>
        <v/>
      </c>
      <c r="L289" s="8" t="n"/>
    </row>
    <row r="290">
      <c r="A290" s="7">
        <f>IF($B290="","",COUNTA($B$9:$B290))</f>
        <v/>
      </c>
      <c r="B290" s="8" t="n"/>
      <c r="C290" s="8" t="n"/>
      <c r="D290" s="8" t="n"/>
      <c r="E290" s="8" t="n"/>
      <c r="F290" s="7">
        <f>IF($E290="","",IFERROR(IF(VLOOKUP($E290,AcctTbl,4,0)="","",VLOOKUP($E290,AcctTbl,4,0)),"—"))</f>
        <v/>
      </c>
      <c r="G290" s="8" t="n"/>
      <c r="H290" s="9" t="n"/>
      <c r="I290" s="9" t="n"/>
      <c r="J290" s="10">
        <f>IF(OR($H290="",$I290=""),"",ROUND($H290*$I290,0))</f>
        <v/>
      </c>
      <c r="K290" s="10">
        <f>IF(OR($B290="",$E290="",Calc!$B287=""),"",SUMIFS(CalcAmtA,CalcPartyA,$E290,CalcKeyA,"&lt;="&amp;Calc!$B287)-SUMIFS(CalcWitB,CalcPartyB,$E290,CalcKeyB,"&lt;="&amp;Calc!$B287)+SUMIFS(CalcDepB,CalcPartyB,$E290,CalcKeyB,"&lt;="&amp;Calc!$B287))</f>
        <v/>
      </c>
      <c r="L290" s="8" t="n"/>
    </row>
    <row r="291">
      <c r="A291" s="7">
        <f>IF($B291="","",COUNTA($B$9:$B291))</f>
        <v/>
      </c>
      <c r="B291" s="8" t="n"/>
      <c r="C291" s="8" t="n"/>
      <c r="D291" s="8" t="n"/>
      <c r="E291" s="8" t="n"/>
      <c r="F291" s="7">
        <f>IF($E291="","",IFERROR(IF(VLOOKUP($E291,AcctTbl,4,0)="","",VLOOKUP($E291,AcctTbl,4,0)),"—"))</f>
        <v/>
      </c>
      <c r="G291" s="8" t="n"/>
      <c r="H291" s="9" t="n"/>
      <c r="I291" s="9" t="n"/>
      <c r="J291" s="10">
        <f>IF(OR($H291="",$I291=""),"",ROUND($H291*$I291,0))</f>
        <v/>
      </c>
      <c r="K291" s="10">
        <f>IF(OR($B291="",$E291="",Calc!$B288=""),"",SUMIFS(CalcAmtA,CalcPartyA,$E291,CalcKeyA,"&lt;="&amp;Calc!$B288)-SUMIFS(CalcWitB,CalcPartyB,$E291,CalcKeyB,"&lt;="&amp;Calc!$B288)+SUMIFS(CalcDepB,CalcPartyB,$E291,CalcKeyB,"&lt;="&amp;Calc!$B288))</f>
        <v/>
      </c>
      <c r="L291" s="8" t="n"/>
    </row>
    <row r="292">
      <c r="A292" s="7">
        <f>IF($B292="","",COUNTA($B$9:$B292))</f>
        <v/>
      </c>
      <c r="B292" s="8" t="n"/>
      <c r="C292" s="8" t="n"/>
      <c r="D292" s="8" t="n"/>
      <c r="E292" s="8" t="n"/>
      <c r="F292" s="7">
        <f>IF($E292="","",IFERROR(IF(VLOOKUP($E292,AcctTbl,4,0)="","",VLOOKUP($E292,AcctTbl,4,0)),"—"))</f>
        <v/>
      </c>
      <c r="G292" s="8" t="n"/>
      <c r="H292" s="9" t="n"/>
      <c r="I292" s="9" t="n"/>
      <c r="J292" s="10">
        <f>IF(OR($H292="",$I292=""),"",ROUND($H292*$I292,0))</f>
        <v/>
      </c>
      <c r="K292" s="10">
        <f>IF(OR($B292="",$E292="",Calc!$B289=""),"",SUMIFS(CalcAmtA,CalcPartyA,$E292,CalcKeyA,"&lt;="&amp;Calc!$B289)-SUMIFS(CalcWitB,CalcPartyB,$E292,CalcKeyB,"&lt;="&amp;Calc!$B289)+SUMIFS(CalcDepB,CalcPartyB,$E292,CalcKeyB,"&lt;="&amp;Calc!$B289))</f>
        <v/>
      </c>
      <c r="L292" s="8" t="n"/>
    </row>
    <row r="293">
      <c r="A293" s="7">
        <f>IF($B293="","",COUNTA($B$9:$B293))</f>
        <v/>
      </c>
      <c r="B293" s="8" t="n"/>
      <c r="C293" s="8" t="n"/>
      <c r="D293" s="8" t="n"/>
      <c r="E293" s="8" t="n"/>
      <c r="F293" s="7">
        <f>IF($E293="","",IFERROR(IF(VLOOKUP($E293,AcctTbl,4,0)="","",VLOOKUP($E293,AcctTbl,4,0)),"—"))</f>
        <v/>
      </c>
      <c r="G293" s="8" t="n"/>
      <c r="H293" s="9" t="n"/>
      <c r="I293" s="9" t="n"/>
      <c r="J293" s="10">
        <f>IF(OR($H293="",$I293=""),"",ROUND($H293*$I293,0))</f>
        <v/>
      </c>
      <c r="K293" s="10">
        <f>IF(OR($B293="",$E293="",Calc!$B290=""),"",SUMIFS(CalcAmtA,CalcPartyA,$E293,CalcKeyA,"&lt;="&amp;Calc!$B290)-SUMIFS(CalcWitB,CalcPartyB,$E293,CalcKeyB,"&lt;="&amp;Calc!$B290)+SUMIFS(CalcDepB,CalcPartyB,$E293,CalcKeyB,"&lt;="&amp;Calc!$B290))</f>
        <v/>
      </c>
      <c r="L293" s="8" t="n"/>
    </row>
    <row r="294">
      <c r="A294" s="7">
        <f>IF($B294="","",COUNTA($B$9:$B294))</f>
        <v/>
      </c>
      <c r="B294" s="8" t="n"/>
      <c r="C294" s="8" t="n"/>
      <c r="D294" s="8" t="n"/>
      <c r="E294" s="8" t="n"/>
      <c r="F294" s="7">
        <f>IF($E294="","",IFERROR(IF(VLOOKUP($E294,AcctTbl,4,0)="","",VLOOKUP($E294,AcctTbl,4,0)),"—"))</f>
        <v/>
      </c>
      <c r="G294" s="8" t="n"/>
      <c r="H294" s="9" t="n"/>
      <c r="I294" s="9" t="n"/>
      <c r="J294" s="10">
        <f>IF(OR($H294="",$I294=""),"",ROUND($H294*$I294,0))</f>
        <v/>
      </c>
      <c r="K294" s="10">
        <f>IF(OR($B294="",$E294="",Calc!$B291=""),"",SUMIFS(CalcAmtA,CalcPartyA,$E294,CalcKeyA,"&lt;="&amp;Calc!$B291)-SUMIFS(CalcWitB,CalcPartyB,$E294,CalcKeyB,"&lt;="&amp;Calc!$B291)+SUMIFS(CalcDepB,CalcPartyB,$E294,CalcKeyB,"&lt;="&amp;Calc!$B291))</f>
        <v/>
      </c>
      <c r="L294" s="8" t="n"/>
    </row>
    <row r="295">
      <c r="A295" s="7">
        <f>IF($B295="","",COUNTA($B$9:$B295))</f>
        <v/>
      </c>
      <c r="B295" s="8" t="n"/>
      <c r="C295" s="8" t="n"/>
      <c r="D295" s="8" t="n"/>
      <c r="E295" s="8" t="n"/>
      <c r="F295" s="7">
        <f>IF($E295="","",IFERROR(IF(VLOOKUP($E295,AcctTbl,4,0)="","",VLOOKUP($E295,AcctTbl,4,0)),"—"))</f>
        <v/>
      </c>
      <c r="G295" s="8" t="n"/>
      <c r="H295" s="9" t="n"/>
      <c r="I295" s="9" t="n"/>
      <c r="J295" s="10">
        <f>IF(OR($H295="",$I295=""),"",ROUND($H295*$I295,0))</f>
        <v/>
      </c>
      <c r="K295" s="10">
        <f>IF(OR($B295="",$E295="",Calc!$B292=""),"",SUMIFS(CalcAmtA,CalcPartyA,$E295,CalcKeyA,"&lt;="&amp;Calc!$B292)-SUMIFS(CalcWitB,CalcPartyB,$E295,CalcKeyB,"&lt;="&amp;Calc!$B292)+SUMIFS(CalcDepB,CalcPartyB,$E295,CalcKeyB,"&lt;="&amp;Calc!$B292))</f>
        <v/>
      </c>
      <c r="L295" s="8" t="n"/>
    </row>
    <row r="296">
      <c r="A296" s="7">
        <f>IF($B296="","",COUNTA($B$9:$B296))</f>
        <v/>
      </c>
      <c r="B296" s="8" t="n"/>
      <c r="C296" s="8" t="n"/>
      <c r="D296" s="8" t="n"/>
      <c r="E296" s="8" t="n"/>
      <c r="F296" s="7">
        <f>IF($E296="","",IFERROR(IF(VLOOKUP($E296,AcctTbl,4,0)="","",VLOOKUP($E296,AcctTbl,4,0)),"—"))</f>
        <v/>
      </c>
      <c r="G296" s="8" t="n"/>
      <c r="H296" s="9" t="n"/>
      <c r="I296" s="9" t="n"/>
      <c r="J296" s="10">
        <f>IF(OR($H296="",$I296=""),"",ROUND($H296*$I296,0))</f>
        <v/>
      </c>
      <c r="K296" s="10">
        <f>IF(OR($B296="",$E296="",Calc!$B293=""),"",SUMIFS(CalcAmtA,CalcPartyA,$E296,CalcKeyA,"&lt;="&amp;Calc!$B293)-SUMIFS(CalcWitB,CalcPartyB,$E296,CalcKeyB,"&lt;="&amp;Calc!$B293)+SUMIFS(CalcDepB,CalcPartyB,$E296,CalcKeyB,"&lt;="&amp;Calc!$B293))</f>
        <v/>
      </c>
      <c r="L296" s="8" t="n"/>
    </row>
    <row r="297">
      <c r="A297" s="7">
        <f>IF($B297="","",COUNTA($B$9:$B297))</f>
        <v/>
      </c>
      <c r="B297" s="8" t="n"/>
      <c r="C297" s="8" t="n"/>
      <c r="D297" s="8" t="n"/>
      <c r="E297" s="8" t="n"/>
      <c r="F297" s="7">
        <f>IF($E297="","",IFERROR(IF(VLOOKUP($E297,AcctTbl,4,0)="","",VLOOKUP($E297,AcctTbl,4,0)),"—"))</f>
        <v/>
      </c>
      <c r="G297" s="8" t="n"/>
      <c r="H297" s="9" t="n"/>
      <c r="I297" s="9" t="n"/>
      <c r="J297" s="10">
        <f>IF(OR($H297="",$I297=""),"",ROUND($H297*$I297,0))</f>
        <v/>
      </c>
      <c r="K297" s="10">
        <f>IF(OR($B297="",$E297="",Calc!$B294=""),"",SUMIFS(CalcAmtA,CalcPartyA,$E297,CalcKeyA,"&lt;="&amp;Calc!$B294)-SUMIFS(CalcWitB,CalcPartyB,$E297,CalcKeyB,"&lt;="&amp;Calc!$B294)+SUMIFS(CalcDepB,CalcPartyB,$E297,CalcKeyB,"&lt;="&amp;Calc!$B294))</f>
        <v/>
      </c>
      <c r="L297" s="8" t="n"/>
    </row>
    <row r="298">
      <c r="A298" s="7">
        <f>IF($B298="","",COUNTA($B$9:$B298))</f>
        <v/>
      </c>
      <c r="B298" s="8" t="n"/>
      <c r="C298" s="8" t="n"/>
      <c r="D298" s="8" t="n"/>
      <c r="E298" s="8" t="n"/>
      <c r="F298" s="7">
        <f>IF($E298="","",IFERROR(IF(VLOOKUP($E298,AcctTbl,4,0)="","",VLOOKUP($E298,AcctTbl,4,0)),"—"))</f>
        <v/>
      </c>
      <c r="G298" s="8" t="n"/>
      <c r="H298" s="9" t="n"/>
      <c r="I298" s="9" t="n"/>
      <c r="J298" s="10">
        <f>IF(OR($H298="",$I298=""),"",ROUND($H298*$I298,0))</f>
        <v/>
      </c>
      <c r="K298" s="10">
        <f>IF(OR($B298="",$E298="",Calc!$B295=""),"",SUMIFS(CalcAmtA,CalcPartyA,$E298,CalcKeyA,"&lt;="&amp;Calc!$B295)-SUMIFS(CalcWitB,CalcPartyB,$E298,CalcKeyB,"&lt;="&amp;Calc!$B295)+SUMIFS(CalcDepB,CalcPartyB,$E298,CalcKeyB,"&lt;="&amp;Calc!$B295))</f>
        <v/>
      </c>
      <c r="L298" s="8" t="n"/>
    </row>
    <row r="299">
      <c r="A299" s="7">
        <f>IF($B299="","",COUNTA($B$9:$B299))</f>
        <v/>
      </c>
      <c r="B299" s="8" t="n"/>
      <c r="C299" s="8" t="n"/>
      <c r="D299" s="8" t="n"/>
      <c r="E299" s="8" t="n"/>
      <c r="F299" s="7">
        <f>IF($E299="","",IFERROR(IF(VLOOKUP($E299,AcctTbl,4,0)="","",VLOOKUP($E299,AcctTbl,4,0)),"—"))</f>
        <v/>
      </c>
      <c r="G299" s="8" t="n"/>
      <c r="H299" s="9" t="n"/>
      <c r="I299" s="9" t="n"/>
      <c r="J299" s="10">
        <f>IF(OR($H299="",$I299=""),"",ROUND($H299*$I299,0))</f>
        <v/>
      </c>
      <c r="K299" s="10">
        <f>IF(OR($B299="",$E299="",Calc!$B296=""),"",SUMIFS(CalcAmtA,CalcPartyA,$E299,CalcKeyA,"&lt;="&amp;Calc!$B296)-SUMIFS(CalcWitB,CalcPartyB,$E299,CalcKeyB,"&lt;="&amp;Calc!$B296)+SUMIFS(CalcDepB,CalcPartyB,$E299,CalcKeyB,"&lt;="&amp;Calc!$B296))</f>
        <v/>
      </c>
      <c r="L299" s="8" t="n"/>
    </row>
    <row r="300">
      <c r="A300" s="7">
        <f>IF($B300="","",COUNTA($B$9:$B300))</f>
        <v/>
      </c>
      <c r="B300" s="8" t="n"/>
      <c r="C300" s="8" t="n"/>
      <c r="D300" s="8" t="n"/>
      <c r="E300" s="8" t="n"/>
      <c r="F300" s="7">
        <f>IF($E300="","",IFERROR(IF(VLOOKUP($E300,AcctTbl,4,0)="","",VLOOKUP($E300,AcctTbl,4,0)),"—"))</f>
        <v/>
      </c>
      <c r="G300" s="8" t="n"/>
      <c r="H300" s="9" t="n"/>
      <c r="I300" s="9" t="n"/>
      <c r="J300" s="10">
        <f>IF(OR($H300="",$I300=""),"",ROUND($H300*$I300,0))</f>
        <v/>
      </c>
      <c r="K300" s="10">
        <f>IF(OR($B300="",$E300="",Calc!$B297=""),"",SUMIFS(CalcAmtA,CalcPartyA,$E300,CalcKeyA,"&lt;="&amp;Calc!$B297)-SUMIFS(CalcWitB,CalcPartyB,$E300,CalcKeyB,"&lt;="&amp;Calc!$B297)+SUMIFS(CalcDepB,CalcPartyB,$E300,CalcKeyB,"&lt;="&amp;Calc!$B297))</f>
        <v/>
      </c>
      <c r="L300" s="8" t="n"/>
    </row>
    <row r="301">
      <c r="A301" s="7">
        <f>IF($B301="","",COUNTA($B$9:$B301))</f>
        <v/>
      </c>
      <c r="B301" s="8" t="n"/>
      <c r="C301" s="8" t="n"/>
      <c r="D301" s="8" t="n"/>
      <c r="E301" s="8" t="n"/>
      <c r="F301" s="7">
        <f>IF($E301="","",IFERROR(IF(VLOOKUP($E301,AcctTbl,4,0)="","",VLOOKUP($E301,AcctTbl,4,0)),"—"))</f>
        <v/>
      </c>
      <c r="G301" s="8" t="n"/>
      <c r="H301" s="9" t="n"/>
      <c r="I301" s="9" t="n"/>
      <c r="J301" s="10">
        <f>IF(OR($H301="",$I301=""),"",ROUND($H301*$I301,0))</f>
        <v/>
      </c>
      <c r="K301" s="10">
        <f>IF(OR($B301="",$E301="",Calc!$B298=""),"",SUMIFS(CalcAmtA,CalcPartyA,$E301,CalcKeyA,"&lt;="&amp;Calc!$B298)-SUMIFS(CalcWitB,CalcPartyB,$E301,CalcKeyB,"&lt;="&amp;Calc!$B298)+SUMIFS(CalcDepB,CalcPartyB,$E301,CalcKeyB,"&lt;="&amp;Calc!$B298))</f>
        <v/>
      </c>
      <c r="L301" s="8" t="n"/>
    </row>
    <row r="302">
      <c r="A302" s="7">
        <f>IF($B302="","",COUNTA($B$9:$B302))</f>
        <v/>
      </c>
      <c r="B302" s="8" t="n"/>
      <c r="C302" s="8" t="n"/>
      <c r="D302" s="8" t="n"/>
      <c r="E302" s="8" t="n"/>
      <c r="F302" s="7">
        <f>IF($E302="","",IFERROR(IF(VLOOKUP($E302,AcctTbl,4,0)="","",VLOOKUP($E302,AcctTbl,4,0)),"—"))</f>
        <v/>
      </c>
      <c r="G302" s="8" t="n"/>
      <c r="H302" s="9" t="n"/>
      <c r="I302" s="9" t="n"/>
      <c r="J302" s="10">
        <f>IF(OR($H302="",$I302=""),"",ROUND($H302*$I302,0))</f>
        <v/>
      </c>
      <c r="K302" s="10">
        <f>IF(OR($B302="",$E302="",Calc!$B299=""),"",SUMIFS(CalcAmtA,CalcPartyA,$E302,CalcKeyA,"&lt;="&amp;Calc!$B299)-SUMIFS(CalcWitB,CalcPartyB,$E302,CalcKeyB,"&lt;="&amp;Calc!$B299)+SUMIFS(CalcDepB,CalcPartyB,$E302,CalcKeyB,"&lt;="&amp;Calc!$B299))</f>
        <v/>
      </c>
      <c r="L302" s="8" t="n"/>
    </row>
    <row r="303">
      <c r="A303" s="7">
        <f>IF($B303="","",COUNTA($B$9:$B303))</f>
        <v/>
      </c>
      <c r="B303" s="8" t="n"/>
      <c r="C303" s="8" t="n"/>
      <c r="D303" s="8" t="n"/>
      <c r="E303" s="8" t="n"/>
      <c r="F303" s="7">
        <f>IF($E303="","",IFERROR(IF(VLOOKUP($E303,AcctTbl,4,0)="","",VLOOKUP($E303,AcctTbl,4,0)),"—"))</f>
        <v/>
      </c>
      <c r="G303" s="8" t="n"/>
      <c r="H303" s="9" t="n"/>
      <c r="I303" s="9" t="n"/>
      <c r="J303" s="10">
        <f>IF(OR($H303="",$I303=""),"",ROUND($H303*$I303,0))</f>
        <v/>
      </c>
      <c r="K303" s="10">
        <f>IF(OR($B303="",$E303="",Calc!$B300=""),"",SUMIFS(CalcAmtA,CalcPartyA,$E303,CalcKeyA,"&lt;="&amp;Calc!$B300)-SUMIFS(CalcWitB,CalcPartyB,$E303,CalcKeyB,"&lt;="&amp;Calc!$B300)+SUMIFS(CalcDepB,CalcPartyB,$E303,CalcKeyB,"&lt;="&amp;Calc!$B300))</f>
        <v/>
      </c>
      <c r="L303" s="8" t="n"/>
    </row>
    <row r="304">
      <c r="A304" s="7">
        <f>IF($B304="","",COUNTA($B$9:$B304))</f>
        <v/>
      </c>
      <c r="B304" s="8" t="n"/>
      <c r="C304" s="8" t="n"/>
      <c r="D304" s="8" t="n"/>
      <c r="E304" s="8" t="n"/>
      <c r="F304" s="7">
        <f>IF($E304="","",IFERROR(IF(VLOOKUP($E304,AcctTbl,4,0)="","",VLOOKUP($E304,AcctTbl,4,0)),"—"))</f>
        <v/>
      </c>
      <c r="G304" s="8" t="n"/>
      <c r="H304" s="9" t="n"/>
      <c r="I304" s="9" t="n"/>
      <c r="J304" s="10">
        <f>IF(OR($H304="",$I304=""),"",ROUND($H304*$I304,0))</f>
        <v/>
      </c>
      <c r="K304" s="10">
        <f>IF(OR($B304="",$E304="",Calc!$B301=""),"",SUMIFS(CalcAmtA,CalcPartyA,$E304,CalcKeyA,"&lt;="&amp;Calc!$B301)-SUMIFS(CalcWitB,CalcPartyB,$E304,CalcKeyB,"&lt;="&amp;Calc!$B301)+SUMIFS(CalcDepB,CalcPartyB,$E304,CalcKeyB,"&lt;="&amp;Calc!$B301))</f>
        <v/>
      </c>
      <c r="L304" s="8" t="n"/>
    </row>
    <row r="305">
      <c r="A305" s="7">
        <f>IF($B305="","",COUNTA($B$9:$B305))</f>
        <v/>
      </c>
      <c r="B305" s="8" t="n"/>
      <c r="C305" s="8" t="n"/>
      <c r="D305" s="8" t="n"/>
      <c r="E305" s="8" t="n"/>
      <c r="F305" s="7">
        <f>IF($E305="","",IFERROR(IF(VLOOKUP($E305,AcctTbl,4,0)="","",VLOOKUP($E305,AcctTbl,4,0)),"—"))</f>
        <v/>
      </c>
      <c r="G305" s="8" t="n"/>
      <c r="H305" s="9" t="n"/>
      <c r="I305" s="9" t="n"/>
      <c r="J305" s="10">
        <f>IF(OR($H305="",$I305=""),"",ROUND($H305*$I305,0))</f>
        <v/>
      </c>
      <c r="K305" s="10">
        <f>IF(OR($B305="",$E305="",Calc!$B302=""),"",SUMIFS(CalcAmtA,CalcPartyA,$E305,CalcKeyA,"&lt;="&amp;Calc!$B302)-SUMIFS(CalcWitB,CalcPartyB,$E305,CalcKeyB,"&lt;="&amp;Calc!$B302)+SUMIFS(CalcDepB,CalcPartyB,$E305,CalcKeyB,"&lt;="&amp;Calc!$B302))</f>
        <v/>
      </c>
      <c r="L305" s="8" t="n"/>
    </row>
    <row r="306">
      <c r="A306" s="7">
        <f>IF($B306="","",COUNTA($B$9:$B306))</f>
        <v/>
      </c>
      <c r="B306" s="8" t="n"/>
      <c r="C306" s="8" t="n"/>
      <c r="D306" s="8" t="n"/>
      <c r="E306" s="8" t="n"/>
      <c r="F306" s="7">
        <f>IF($E306="","",IFERROR(IF(VLOOKUP($E306,AcctTbl,4,0)="","",VLOOKUP($E306,AcctTbl,4,0)),"—"))</f>
        <v/>
      </c>
      <c r="G306" s="8" t="n"/>
      <c r="H306" s="9" t="n"/>
      <c r="I306" s="9" t="n"/>
      <c r="J306" s="10">
        <f>IF(OR($H306="",$I306=""),"",ROUND($H306*$I306,0))</f>
        <v/>
      </c>
      <c r="K306" s="10">
        <f>IF(OR($B306="",$E306="",Calc!$B303=""),"",SUMIFS(CalcAmtA,CalcPartyA,$E306,CalcKeyA,"&lt;="&amp;Calc!$B303)-SUMIFS(CalcWitB,CalcPartyB,$E306,CalcKeyB,"&lt;="&amp;Calc!$B303)+SUMIFS(CalcDepB,CalcPartyB,$E306,CalcKeyB,"&lt;="&amp;Calc!$B303))</f>
        <v/>
      </c>
      <c r="L306" s="8" t="n"/>
    </row>
    <row r="307">
      <c r="A307" s="7">
        <f>IF($B307="","",COUNTA($B$9:$B307))</f>
        <v/>
      </c>
      <c r="B307" s="8" t="n"/>
      <c r="C307" s="8" t="n"/>
      <c r="D307" s="8" t="n"/>
      <c r="E307" s="8" t="n"/>
      <c r="F307" s="7">
        <f>IF($E307="","",IFERROR(IF(VLOOKUP($E307,AcctTbl,4,0)="","",VLOOKUP($E307,AcctTbl,4,0)),"—"))</f>
        <v/>
      </c>
      <c r="G307" s="8" t="n"/>
      <c r="H307" s="9" t="n"/>
      <c r="I307" s="9" t="n"/>
      <c r="J307" s="10">
        <f>IF(OR($H307="",$I307=""),"",ROUND($H307*$I307,0))</f>
        <v/>
      </c>
      <c r="K307" s="10">
        <f>IF(OR($B307="",$E307="",Calc!$B304=""),"",SUMIFS(CalcAmtA,CalcPartyA,$E307,CalcKeyA,"&lt;="&amp;Calc!$B304)-SUMIFS(CalcWitB,CalcPartyB,$E307,CalcKeyB,"&lt;="&amp;Calc!$B304)+SUMIFS(CalcDepB,CalcPartyB,$E307,CalcKeyB,"&lt;="&amp;Calc!$B304))</f>
        <v/>
      </c>
      <c r="L307" s="8" t="n"/>
    </row>
    <row r="308">
      <c r="A308" s="7">
        <f>IF($B308="","",COUNTA($B$9:$B308))</f>
        <v/>
      </c>
      <c r="B308" s="8" t="n"/>
      <c r="C308" s="8" t="n"/>
      <c r="D308" s="8" t="n"/>
      <c r="E308" s="8" t="n"/>
      <c r="F308" s="7">
        <f>IF($E308="","",IFERROR(IF(VLOOKUP($E308,AcctTbl,4,0)="","",VLOOKUP($E308,AcctTbl,4,0)),"—"))</f>
        <v/>
      </c>
      <c r="G308" s="8" t="n"/>
      <c r="H308" s="9" t="n"/>
      <c r="I308" s="9" t="n"/>
      <c r="J308" s="10">
        <f>IF(OR($H308="",$I308=""),"",ROUND($H308*$I308,0))</f>
        <v/>
      </c>
      <c r="K308" s="10">
        <f>IF(OR($B308="",$E308="",Calc!$B305=""),"",SUMIFS(CalcAmtA,CalcPartyA,$E308,CalcKeyA,"&lt;="&amp;Calc!$B305)-SUMIFS(CalcWitB,CalcPartyB,$E308,CalcKeyB,"&lt;="&amp;Calc!$B305)+SUMIFS(CalcDepB,CalcPartyB,$E308,CalcKeyB,"&lt;="&amp;Calc!$B305))</f>
        <v/>
      </c>
      <c r="L308" s="8" t="n"/>
    </row>
    <row r="309">
      <c r="A309" s="7">
        <f>IF($B309="","",COUNTA($B$9:$B309))</f>
        <v/>
      </c>
      <c r="B309" s="8" t="n"/>
      <c r="C309" s="8" t="n"/>
      <c r="D309" s="8" t="n"/>
      <c r="E309" s="8" t="n"/>
      <c r="F309" s="7">
        <f>IF($E309="","",IFERROR(IF(VLOOKUP($E309,AcctTbl,4,0)="","",VLOOKUP($E309,AcctTbl,4,0)),"—"))</f>
        <v/>
      </c>
      <c r="G309" s="8" t="n"/>
      <c r="H309" s="9" t="n"/>
      <c r="I309" s="9" t="n"/>
      <c r="J309" s="10">
        <f>IF(OR($H309="",$I309=""),"",ROUND($H309*$I309,0))</f>
        <v/>
      </c>
      <c r="K309" s="10">
        <f>IF(OR($B309="",$E309="",Calc!$B306=""),"",SUMIFS(CalcAmtA,CalcPartyA,$E309,CalcKeyA,"&lt;="&amp;Calc!$B306)-SUMIFS(CalcWitB,CalcPartyB,$E309,CalcKeyB,"&lt;="&amp;Calc!$B306)+SUMIFS(CalcDepB,CalcPartyB,$E309,CalcKeyB,"&lt;="&amp;Calc!$B306))</f>
        <v/>
      </c>
      <c r="L309" s="8" t="n"/>
    </row>
    <row r="310">
      <c r="A310" s="7">
        <f>IF($B310="","",COUNTA($B$9:$B310))</f>
        <v/>
      </c>
      <c r="B310" s="8" t="n"/>
      <c r="C310" s="8" t="n"/>
      <c r="D310" s="8" t="n"/>
      <c r="E310" s="8" t="n"/>
      <c r="F310" s="7">
        <f>IF($E310="","",IFERROR(IF(VLOOKUP($E310,AcctTbl,4,0)="","",VLOOKUP($E310,AcctTbl,4,0)),"—"))</f>
        <v/>
      </c>
      <c r="G310" s="8" t="n"/>
      <c r="H310" s="9" t="n"/>
      <c r="I310" s="9" t="n"/>
      <c r="J310" s="10">
        <f>IF(OR($H310="",$I310=""),"",ROUND($H310*$I310,0))</f>
        <v/>
      </c>
      <c r="K310" s="10">
        <f>IF(OR($B310="",$E310="",Calc!$B307=""),"",SUMIFS(CalcAmtA,CalcPartyA,$E310,CalcKeyA,"&lt;="&amp;Calc!$B307)-SUMIFS(CalcWitB,CalcPartyB,$E310,CalcKeyB,"&lt;="&amp;Calc!$B307)+SUMIFS(CalcDepB,CalcPartyB,$E310,CalcKeyB,"&lt;="&amp;Calc!$B307))</f>
        <v/>
      </c>
      <c r="L310" s="8" t="n"/>
    </row>
    <row r="311">
      <c r="A311" s="7">
        <f>IF($B311="","",COUNTA($B$9:$B311))</f>
        <v/>
      </c>
      <c r="B311" s="8" t="n"/>
      <c r="C311" s="8" t="n"/>
      <c r="D311" s="8" t="n"/>
      <c r="E311" s="8" t="n"/>
      <c r="F311" s="7">
        <f>IF($E311="","",IFERROR(IF(VLOOKUP($E311,AcctTbl,4,0)="","",VLOOKUP($E311,AcctTbl,4,0)),"—"))</f>
        <v/>
      </c>
      <c r="G311" s="8" t="n"/>
      <c r="H311" s="9" t="n"/>
      <c r="I311" s="9" t="n"/>
      <c r="J311" s="10">
        <f>IF(OR($H311="",$I311=""),"",ROUND($H311*$I311,0))</f>
        <v/>
      </c>
      <c r="K311" s="10">
        <f>IF(OR($B311="",$E311="",Calc!$B308=""),"",SUMIFS(CalcAmtA,CalcPartyA,$E311,CalcKeyA,"&lt;="&amp;Calc!$B308)-SUMIFS(CalcWitB,CalcPartyB,$E311,CalcKeyB,"&lt;="&amp;Calc!$B308)+SUMIFS(CalcDepB,CalcPartyB,$E311,CalcKeyB,"&lt;="&amp;Calc!$B308))</f>
        <v/>
      </c>
      <c r="L311" s="8" t="n"/>
    </row>
    <row r="312">
      <c r="A312" s="7">
        <f>IF($B312="","",COUNTA($B$9:$B312))</f>
        <v/>
      </c>
      <c r="B312" s="8" t="n"/>
      <c r="C312" s="8" t="n"/>
      <c r="D312" s="8" t="n"/>
      <c r="E312" s="8" t="n"/>
      <c r="F312" s="7">
        <f>IF($E312="","",IFERROR(IF(VLOOKUP($E312,AcctTbl,4,0)="","",VLOOKUP($E312,AcctTbl,4,0)),"—"))</f>
        <v/>
      </c>
      <c r="G312" s="8" t="n"/>
      <c r="H312" s="9" t="n"/>
      <c r="I312" s="9" t="n"/>
      <c r="J312" s="10">
        <f>IF(OR($H312="",$I312=""),"",ROUND($H312*$I312,0))</f>
        <v/>
      </c>
      <c r="K312" s="10">
        <f>IF(OR($B312="",$E312="",Calc!$B309=""),"",SUMIFS(CalcAmtA,CalcPartyA,$E312,CalcKeyA,"&lt;="&amp;Calc!$B309)-SUMIFS(CalcWitB,CalcPartyB,$E312,CalcKeyB,"&lt;="&amp;Calc!$B309)+SUMIFS(CalcDepB,CalcPartyB,$E312,CalcKeyB,"&lt;="&amp;Calc!$B309))</f>
        <v/>
      </c>
      <c r="L312" s="8" t="n"/>
    </row>
    <row r="313">
      <c r="A313" s="7">
        <f>IF($B313="","",COUNTA($B$9:$B313))</f>
        <v/>
      </c>
      <c r="B313" s="8" t="n"/>
      <c r="C313" s="8" t="n"/>
      <c r="D313" s="8" t="n"/>
      <c r="E313" s="8" t="n"/>
      <c r="F313" s="7">
        <f>IF($E313="","",IFERROR(IF(VLOOKUP($E313,AcctTbl,4,0)="","",VLOOKUP($E313,AcctTbl,4,0)),"—"))</f>
        <v/>
      </c>
      <c r="G313" s="8" t="n"/>
      <c r="H313" s="9" t="n"/>
      <c r="I313" s="9" t="n"/>
      <c r="J313" s="10">
        <f>IF(OR($H313="",$I313=""),"",ROUND($H313*$I313,0))</f>
        <v/>
      </c>
      <c r="K313" s="10">
        <f>IF(OR($B313="",$E313="",Calc!$B310=""),"",SUMIFS(CalcAmtA,CalcPartyA,$E313,CalcKeyA,"&lt;="&amp;Calc!$B310)-SUMIFS(CalcWitB,CalcPartyB,$E313,CalcKeyB,"&lt;="&amp;Calc!$B310)+SUMIFS(CalcDepB,CalcPartyB,$E313,CalcKeyB,"&lt;="&amp;Calc!$B310))</f>
        <v/>
      </c>
      <c r="L313" s="8" t="n"/>
    </row>
    <row r="314">
      <c r="A314" s="7">
        <f>IF($B314="","",COUNTA($B$9:$B314))</f>
        <v/>
      </c>
      <c r="B314" s="8" t="n"/>
      <c r="C314" s="8" t="n"/>
      <c r="D314" s="8" t="n"/>
      <c r="E314" s="8" t="n"/>
      <c r="F314" s="7">
        <f>IF($E314="","",IFERROR(IF(VLOOKUP($E314,AcctTbl,4,0)="","",VLOOKUP($E314,AcctTbl,4,0)),"—"))</f>
        <v/>
      </c>
      <c r="G314" s="8" t="n"/>
      <c r="H314" s="9" t="n"/>
      <c r="I314" s="9" t="n"/>
      <c r="J314" s="10">
        <f>IF(OR($H314="",$I314=""),"",ROUND($H314*$I314,0))</f>
        <v/>
      </c>
      <c r="K314" s="10">
        <f>IF(OR($B314="",$E314="",Calc!$B311=""),"",SUMIFS(CalcAmtA,CalcPartyA,$E314,CalcKeyA,"&lt;="&amp;Calc!$B311)-SUMIFS(CalcWitB,CalcPartyB,$E314,CalcKeyB,"&lt;="&amp;Calc!$B311)+SUMIFS(CalcDepB,CalcPartyB,$E314,CalcKeyB,"&lt;="&amp;Calc!$B311))</f>
        <v/>
      </c>
      <c r="L314" s="8" t="n"/>
    </row>
    <row r="315">
      <c r="A315" s="7">
        <f>IF($B315="","",COUNTA($B$9:$B315))</f>
        <v/>
      </c>
      <c r="B315" s="8" t="n"/>
      <c r="C315" s="8" t="n"/>
      <c r="D315" s="8" t="n"/>
      <c r="E315" s="8" t="n"/>
      <c r="F315" s="7">
        <f>IF($E315="","",IFERROR(IF(VLOOKUP($E315,AcctTbl,4,0)="","",VLOOKUP($E315,AcctTbl,4,0)),"—"))</f>
        <v/>
      </c>
      <c r="G315" s="8" t="n"/>
      <c r="H315" s="9" t="n"/>
      <c r="I315" s="9" t="n"/>
      <c r="J315" s="10">
        <f>IF(OR($H315="",$I315=""),"",ROUND($H315*$I315,0))</f>
        <v/>
      </c>
      <c r="K315" s="10">
        <f>IF(OR($B315="",$E315="",Calc!$B312=""),"",SUMIFS(CalcAmtA,CalcPartyA,$E315,CalcKeyA,"&lt;="&amp;Calc!$B312)-SUMIFS(CalcWitB,CalcPartyB,$E315,CalcKeyB,"&lt;="&amp;Calc!$B312)+SUMIFS(CalcDepB,CalcPartyB,$E315,CalcKeyB,"&lt;="&amp;Calc!$B312))</f>
        <v/>
      </c>
      <c r="L315" s="8" t="n"/>
    </row>
    <row r="316">
      <c r="A316" s="7">
        <f>IF($B316="","",COUNTA($B$9:$B316))</f>
        <v/>
      </c>
      <c r="B316" s="8" t="n"/>
      <c r="C316" s="8" t="n"/>
      <c r="D316" s="8" t="n"/>
      <c r="E316" s="8" t="n"/>
      <c r="F316" s="7">
        <f>IF($E316="","",IFERROR(IF(VLOOKUP($E316,AcctTbl,4,0)="","",VLOOKUP($E316,AcctTbl,4,0)),"—"))</f>
        <v/>
      </c>
      <c r="G316" s="8" t="n"/>
      <c r="H316" s="9" t="n"/>
      <c r="I316" s="9" t="n"/>
      <c r="J316" s="10">
        <f>IF(OR($H316="",$I316=""),"",ROUND($H316*$I316,0))</f>
        <v/>
      </c>
      <c r="K316" s="10">
        <f>IF(OR($B316="",$E316="",Calc!$B313=""),"",SUMIFS(CalcAmtA,CalcPartyA,$E316,CalcKeyA,"&lt;="&amp;Calc!$B313)-SUMIFS(CalcWitB,CalcPartyB,$E316,CalcKeyB,"&lt;="&amp;Calc!$B313)+SUMIFS(CalcDepB,CalcPartyB,$E316,CalcKeyB,"&lt;="&amp;Calc!$B313))</f>
        <v/>
      </c>
      <c r="L316" s="8" t="n"/>
    </row>
    <row r="317">
      <c r="A317" s="7">
        <f>IF($B317="","",COUNTA($B$9:$B317))</f>
        <v/>
      </c>
      <c r="B317" s="8" t="n"/>
      <c r="C317" s="8" t="n"/>
      <c r="D317" s="8" t="n"/>
      <c r="E317" s="8" t="n"/>
      <c r="F317" s="7">
        <f>IF($E317="","",IFERROR(IF(VLOOKUP($E317,AcctTbl,4,0)="","",VLOOKUP($E317,AcctTbl,4,0)),"—"))</f>
        <v/>
      </c>
      <c r="G317" s="8" t="n"/>
      <c r="H317" s="9" t="n"/>
      <c r="I317" s="9" t="n"/>
      <c r="J317" s="10">
        <f>IF(OR($H317="",$I317=""),"",ROUND($H317*$I317,0))</f>
        <v/>
      </c>
      <c r="K317" s="10">
        <f>IF(OR($B317="",$E317="",Calc!$B314=""),"",SUMIFS(CalcAmtA,CalcPartyA,$E317,CalcKeyA,"&lt;="&amp;Calc!$B314)-SUMIFS(CalcWitB,CalcPartyB,$E317,CalcKeyB,"&lt;="&amp;Calc!$B314)+SUMIFS(CalcDepB,CalcPartyB,$E317,CalcKeyB,"&lt;="&amp;Calc!$B314))</f>
        <v/>
      </c>
      <c r="L317" s="8" t="n"/>
    </row>
    <row r="318">
      <c r="A318" s="7">
        <f>IF($B318="","",COUNTA($B$9:$B318))</f>
        <v/>
      </c>
      <c r="B318" s="8" t="n"/>
      <c r="C318" s="8" t="n"/>
      <c r="D318" s="8" t="n"/>
      <c r="E318" s="8" t="n"/>
      <c r="F318" s="7">
        <f>IF($E318="","",IFERROR(IF(VLOOKUP($E318,AcctTbl,4,0)="","",VLOOKUP($E318,AcctTbl,4,0)),"—"))</f>
        <v/>
      </c>
      <c r="G318" s="8" t="n"/>
      <c r="H318" s="9" t="n"/>
      <c r="I318" s="9" t="n"/>
      <c r="J318" s="10">
        <f>IF(OR($H318="",$I318=""),"",ROUND($H318*$I318,0))</f>
        <v/>
      </c>
      <c r="K318" s="10">
        <f>IF(OR($B318="",$E318="",Calc!$B315=""),"",SUMIFS(CalcAmtA,CalcPartyA,$E318,CalcKeyA,"&lt;="&amp;Calc!$B315)-SUMIFS(CalcWitB,CalcPartyB,$E318,CalcKeyB,"&lt;="&amp;Calc!$B315)+SUMIFS(CalcDepB,CalcPartyB,$E318,CalcKeyB,"&lt;="&amp;Calc!$B315))</f>
        <v/>
      </c>
      <c r="L318" s="8" t="n"/>
    </row>
    <row r="319">
      <c r="A319" s="7">
        <f>IF($B319="","",COUNTA($B$9:$B319))</f>
        <v/>
      </c>
      <c r="B319" s="8" t="n"/>
      <c r="C319" s="8" t="n"/>
      <c r="D319" s="8" t="n"/>
      <c r="E319" s="8" t="n"/>
      <c r="F319" s="7">
        <f>IF($E319="","",IFERROR(IF(VLOOKUP($E319,AcctTbl,4,0)="","",VLOOKUP($E319,AcctTbl,4,0)),"—"))</f>
        <v/>
      </c>
      <c r="G319" s="8" t="n"/>
      <c r="H319" s="9" t="n"/>
      <c r="I319" s="9" t="n"/>
      <c r="J319" s="10">
        <f>IF(OR($H319="",$I319=""),"",ROUND($H319*$I319,0))</f>
        <v/>
      </c>
      <c r="K319" s="10">
        <f>IF(OR($B319="",$E319="",Calc!$B316=""),"",SUMIFS(CalcAmtA,CalcPartyA,$E319,CalcKeyA,"&lt;="&amp;Calc!$B316)-SUMIFS(CalcWitB,CalcPartyB,$E319,CalcKeyB,"&lt;="&amp;Calc!$B316)+SUMIFS(CalcDepB,CalcPartyB,$E319,CalcKeyB,"&lt;="&amp;Calc!$B316))</f>
        <v/>
      </c>
      <c r="L319" s="8" t="n"/>
    </row>
    <row r="320">
      <c r="A320" s="7">
        <f>IF($B320="","",COUNTA($B$9:$B320))</f>
        <v/>
      </c>
      <c r="B320" s="8" t="n"/>
      <c r="C320" s="8" t="n"/>
      <c r="D320" s="8" t="n"/>
      <c r="E320" s="8" t="n"/>
      <c r="F320" s="7">
        <f>IF($E320="","",IFERROR(IF(VLOOKUP($E320,AcctTbl,4,0)="","",VLOOKUP($E320,AcctTbl,4,0)),"—"))</f>
        <v/>
      </c>
      <c r="G320" s="8" t="n"/>
      <c r="H320" s="9" t="n"/>
      <c r="I320" s="9" t="n"/>
      <c r="J320" s="10">
        <f>IF(OR($H320="",$I320=""),"",ROUND($H320*$I320,0))</f>
        <v/>
      </c>
      <c r="K320" s="10">
        <f>IF(OR($B320="",$E320="",Calc!$B317=""),"",SUMIFS(CalcAmtA,CalcPartyA,$E320,CalcKeyA,"&lt;="&amp;Calc!$B317)-SUMIFS(CalcWitB,CalcPartyB,$E320,CalcKeyB,"&lt;="&amp;Calc!$B317)+SUMIFS(CalcDepB,CalcPartyB,$E320,CalcKeyB,"&lt;="&amp;Calc!$B317))</f>
        <v/>
      </c>
      <c r="L320" s="8" t="n"/>
    </row>
    <row r="321">
      <c r="A321" s="7">
        <f>IF($B321="","",COUNTA($B$9:$B321))</f>
        <v/>
      </c>
      <c r="B321" s="8" t="n"/>
      <c r="C321" s="8" t="n"/>
      <c r="D321" s="8" t="n"/>
      <c r="E321" s="8" t="n"/>
      <c r="F321" s="7">
        <f>IF($E321="","",IFERROR(IF(VLOOKUP($E321,AcctTbl,4,0)="","",VLOOKUP($E321,AcctTbl,4,0)),"—"))</f>
        <v/>
      </c>
      <c r="G321" s="8" t="n"/>
      <c r="H321" s="9" t="n"/>
      <c r="I321" s="9" t="n"/>
      <c r="J321" s="10">
        <f>IF(OR($H321="",$I321=""),"",ROUND($H321*$I321,0))</f>
        <v/>
      </c>
      <c r="K321" s="10">
        <f>IF(OR($B321="",$E321="",Calc!$B318=""),"",SUMIFS(CalcAmtA,CalcPartyA,$E321,CalcKeyA,"&lt;="&amp;Calc!$B318)-SUMIFS(CalcWitB,CalcPartyB,$E321,CalcKeyB,"&lt;="&amp;Calc!$B318)+SUMIFS(CalcDepB,CalcPartyB,$E321,CalcKeyB,"&lt;="&amp;Calc!$B318))</f>
        <v/>
      </c>
      <c r="L321" s="8" t="n"/>
    </row>
    <row r="322">
      <c r="A322" s="7">
        <f>IF($B322="","",COUNTA($B$9:$B322))</f>
        <v/>
      </c>
      <c r="B322" s="8" t="n"/>
      <c r="C322" s="8" t="n"/>
      <c r="D322" s="8" t="n"/>
      <c r="E322" s="8" t="n"/>
      <c r="F322" s="7">
        <f>IF($E322="","",IFERROR(IF(VLOOKUP($E322,AcctTbl,4,0)="","",VLOOKUP($E322,AcctTbl,4,0)),"—"))</f>
        <v/>
      </c>
      <c r="G322" s="8" t="n"/>
      <c r="H322" s="9" t="n"/>
      <c r="I322" s="9" t="n"/>
      <c r="J322" s="10">
        <f>IF(OR($H322="",$I322=""),"",ROUND($H322*$I322,0))</f>
        <v/>
      </c>
      <c r="K322" s="10">
        <f>IF(OR($B322="",$E322="",Calc!$B319=""),"",SUMIFS(CalcAmtA,CalcPartyA,$E322,CalcKeyA,"&lt;="&amp;Calc!$B319)-SUMIFS(CalcWitB,CalcPartyB,$E322,CalcKeyB,"&lt;="&amp;Calc!$B319)+SUMIFS(CalcDepB,CalcPartyB,$E322,CalcKeyB,"&lt;="&amp;Calc!$B319))</f>
        <v/>
      </c>
      <c r="L322" s="8" t="n"/>
    </row>
    <row r="323">
      <c r="A323" s="7">
        <f>IF($B323="","",COUNTA($B$9:$B323))</f>
        <v/>
      </c>
      <c r="B323" s="8" t="n"/>
      <c r="C323" s="8" t="n"/>
      <c r="D323" s="8" t="n"/>
      <c r="E323" s="8" t="n"/>
      <c r="F323" s="7">
        <f>IF($E323="","",IFERROR(IF(VLOOKUP($E323,AcctTbl,4,0)="","",VLOOKUP($E323,AcctTbl,4,0)),"—"))</f>
        <v/>
      </c>
      <c r="G323" s="8" t="n"/>
      <c r="H323" s="9" t="n"/>
      <c r="I323" s="9" t="n"/>
      <c r="J323" s="10">
        <f>IF(OR($H323="",$I323=""),"",ROUND($H323*$I323,0))</f>
        <v/>
      </c>
      <c r="K323" s="10">
        <f>IF(OR($B323="",$E323="",Calc!$B320=""),"",SUMIFS(CalcAmtA,CalcPartyA,$E323,CalcKeyA,"&lt;="&amp;Calc!$B320)-SUMIFS(CalcWitB,CalcPartyB,$E323,CalcKeyB,"&lt;="&amp;Calc!$B320)+SUMIFS(CalcDepB,CalcPartyB,$E323,CalcKeyB,"&lt;="&amp;Calc!$B320))</f>
        <v/>
      </c>
      <c r="L323" s="8" t="n"/>
    </row>
    <row r="324">
      <c r="A324" s="7">
        <f>IF($B324="","",COUNTA($B$9:$B324))</f>
        <v/>
      </c>
      <c r="B324" s="8" t="n"/>
      <c r="C324" s="8" t="n"/>
      <c r="D324" s="8" t="n"/>
      <c r="E324" s="8" t="n"/>
      <c r="F324" s="7">
        <f>IF($E324="","",IFERROR(IF(VLOOKUP($E324,AcctTbl,4,0)="","",VLOOKUP($E324,AcctTbl,4,0)),"—"))</f>
        <v/>
      </c>
      <c r="G324" s="8" t="n"/>
      <c r="H324" s="9" t="n"/>
      <c r="I324" s="9" t="n"/>
      <c r="J324" s="10">
        <f>IF(OR($H324="",$I324=""),"",ROUND($H324*$I324,0))</f>
        <v/>
      </c>
      <c r="K324" s="10">
        <f>IF(OR($B324="",$E324="",Calc!$B321=""),"",SUMIFS(CalcAmtA,CalcPartyA,$E324,CalcKeyA,"&lt;="&amp;Calc!$B321)-SUMIFS(CalcWitB,CalcPartyB,$E324,CalcKeyB,"&lt;="&amp;Calc!$B321)+SUMIFS(CalcDepB,CalcPartyB,$E324,CalcKeyB,"&lt;="&amp;Calc!$B321))</f>
        <v/>
      </c>
      <c r="L324" s="8" t="n"/>
    </row>
    <row r="325">
      <c r="A325" s="7">
        <f>IF($B325="","",COUNTA($B$9:$B325))</f>
        <v/>
      </c>
      <c r="B325" s="8" t="n"/>
      <c r="C325" s="8" t="n"/>
      <c r="D325" s="8" t="n"/>
      <c r="E325" s="8" t="n"/>
      <c r="F325" s="7">
        <f>IF($E325="","",IFERROR(IF(VLOOKUP($E325,AcctTbl,4,0)="","",VLOOKUP($E325,AcctTbl,4,0)),"—"))</f>
        <v/>
      </c>
      <c r="G325" s="8" t="n"/>
      <c r="H325" s="9" t="n"/>
      <c r="I325" s="9" t="n"/>
      <c r="J325" s="10">
        <f>IF(OR($H325="",$I325=""),"",ROUND($H325*$I325,0))</f>
        <v/>
      </c>
      <c r="K325" s="10">
        <f>IF(OR($B325="",$E325="",Calc!$B322=""),"",SUMIFS(CalcAmtA,CalcPartyA,$E325,CalcKeyA,"&lt;="&amp;Calc!$B322)-SUMIFS(CalcWitB,CalcPartyB,$E325,CalcKeyB,"&lt;="&amp;Calc!$B322)+SUMIFS(CalcDepB,CalcPartyB,$E325,CalcKeyB,"&lt;="&amp;Calc!$B322))</f>
        <v/>
      </c>
      <c r="L325" s="8" t="n"/>
    </row>
    <row r="326">
      <c r="A326" s="7">
        <f>IF($B326="","",COUNTA($B$9:$B326))</f>
        <v/>
      </c>
      <c r="B326" s="8" t="n"/>
      <c r="C326" s="8" t="n"/>
      <c r="D326" s="8" t="n"/>
      <c r="E326" s="8" t="n"/>
      <c r="F326" s="7">
        <f>IF($E326="","",IFERROR(IF(VLOOKUP($E326,AcctTbl,4,0)="","",VLOOKUP($E326,AcctTbl,4,0)),"—"))</f>
        <v/>
      </c>
      <c r="G326" s="8" t="n"/>
      <c r="H326" s="9" t="n"/>
      <c r="I326" s="9" t="n"/>
      <c r="J326" s="10">
        <f>IF(OR($H326="",$I326=""),"",ROUND($H326*$I326,0))</f>
        <v/>
      </c>
      <c r="K326" s="10">
        <f>IF(OR($B326="",$E326="",Calc!$B323=""),"",SUMIFS(CalcAmtA,CalcPartyA,$E326,CalcKeyA,"&lt;="&amp;Calc!$B323)-SUMIFS(CalcWitB,CalcPartyB,$E326,CalcKeyB,"&lt;="&amp;Calc!$B323)+SUMIFS(CalcDepB,CalcPartyB,$E326,CalcKeyB,"&lt;="&amp;Calc!$B323))</f>
        <v/>
      </c>
      <c r="L326" s="8" t="n"/>
    </row>
    <row r="327">
      <c r="A327" s="7">
        <f>IF($B327="","",COUNTA($B$9:$B327))</f>
        <v/>
      </c>
      <c r="B327" s="8" t="n"/>
      <c r="C327" s="8" t="n"/>
      <c r="D327" s="8" t="n"/>
      <c r="E327" s="8" t="n"/>
      <c r="F327" s="7">
        <f>IF($E327="","",IFERROR(IF(VLOOKUP($E327,AcctTbl,4,0)="","",VLOOKUP($E327,AcctTbl,4,0)),"—"))</f>
        <v/>
      </c>
      <c r="G327" s="8" t="n"/>
      <c r="H327" s="9" t="n"/>
      <c r="I327" s="9" t="n"/>
      <c r="J327" s="10">
        <f>IF(OR($H327="",$I327=""),"",ROUND($H327*$I327,0))</f>
        <v/>
      </c>
      <c r="K327" s="10">
        <f>IF(OR($B327="",$E327="",Calc!$B324=""),"",SUMIFS(CalcAmtA,CalcPartyA,$E327,CalcKeyA,"&lt;="&amp;Calc!$B324)-SUMIFS(CalcWitB,CalcPartyB,$E327,CalcKeyB,"&lt;="&amp;Calc!$B324)+SUMIFS(CalcDepB,CalcPartyB,$E327,CalcKeyB,"&lt;="&amp;Calc!$B324))</f>
        <v/>
      </c>
      <c r="L327" s="8" t="n"/>
    </row>
    <row r="328">
      <c r="A328" s="7">
        <f>IF($B328="","",COUNTA($B$9:$B328))</f>
        <v/>
      </c>
      <c r="B328" s="8" t="n"/>
      <c r="C328" s="8" t="n"/>
      <c r="D328" s="8" t="n"/>
      <c r="E328" s="8" t="n"/>
      <c r="F328" s="7">
        <f>IF($E328="","",IFERROR(IF(VLOOKUP($E328,AcctTbl,4,0)="","",VLOOKUP($E328,AcctTbl,4,0)),"—"))</f>
        <v/>
      </c>
      <c r="G328" s="8" t="n"/>
      <c r="H328" s="9" t="n"/>
      <c r="I328" s="9" t="n"/>
      <c r="J328" s="10">
        <f>IF(OR($H328="",$I328=""),"",ROUND($H328*$I328,0))</f>
        <v/>
      </c>
      <c r="K328" s="10">
        <f>IF(OR($B328="",$E328="",Calc!$B325=""),"",SUMIFS(CalcAmtA,CalcPartyA,$E328,CalcKeyA,"&lt;="&amp;Calc!$B325)-SUMIFS(CalcWitB,CalcPartyB,$E328,CalcKeyB,"&lt;="&amp;Calc!$B325)+SUMIFS(CalcDepB,CalcPartyB,$E328,CalcKeyB,"&lt;="&amp;Calc!$B325))</f>
        <v/>
      </c>
      <c r="L328" s="8" t="n"/>
    </row>
    <row r="329">
      <c r="A329" s="7">
        <f>IF($B329="","",COUNTA($B$9:$B329))</f>
        <v/>
      </c>
      <c r="B329" s="8" t="n"/>
      <c r="C329" s="8" t="n"/>
      <c r="D329" s="8" t="n"/>
      <c r="E329" s="8" t="n"/>
      <c r="F329" s="7">
        <f>IF($E329="","",IFERROR(IF(VLOOKUP($E329,AcctTbl,4,0)="","",VLOOKUP($E329,AcctTbl,4,0)),"—"))</f>
        <v/>
      </c>
      <c r="G329" s="8" t="n"/>
      <c r="H329" s="9" t="n"/>
      <c r="I329" s="9" t="n"/>
      <c r="J329" s="10">
        <f>IF(OR($H329="",$I329=""),"",ROUND($H329*$I329,0))</f>
        <v/>
      </c>
      <c r="K329" s="10">
        <f>IF(OR($B329="",$E329="",Calc!$B326=""),"",SUMIFS(CalcAmtA,CalcPartyA,$E329,CalcKeyA,"&lt;="&amp;Calc!$B326)-SUMIFS(CalcWitB,CalcPartyB,$E329,CalcKeyB,"&lt;="&amp;Calc!$B326)+SUMIFS(CalcDepB,CalcPartyB,$E329,CalcKeyB,"&lt;="&amp;Calc!$B326))</f>
        <v/>
      </c>
      <c r="L329" s="8" t="n"/>
    </row>
    <row r="330">
      <c r="A330" s="7">
        <f>IF($B330="","",COUNTA($B$9:$B330))</f>
        <v/>
      </c>
      <c r="B330" s="8" t="n"/>
      <c r="C330" s="8" t="n"/>
      <c r="D330" s="8" t="n"/>
      <c r="E330" s="8" t="n"/>
      <c r="F330" s="7">
        <f>IF($E330="","",IFERROR(IF(VLOOKUP($E330,AcctTbl,4,0)="","",VLOOKUP($E330,AcctTbl,4,0)),"—"))</f>
        <v/>
      </c>
      <c r="G330" s="8" t="n"/>
      <c r="H330" s="9" t="n"/>
      <c r="I330" s="9" t="n"/>
      <c r="J330" s="10">
        <f>IF(OR($H330="",$I330=""),"",ROUND($H330*$I330,0))</f>
        <v/>
      </c>
      <c r="K330" s="10">
        <f>IF(OR($B330="",$E330="",Calc!$B327=""),"",SUMIFS(CalcAmtA,CalcPartyA,$E330,CalcKeyA,"&lt;="&amp;Calc!$B327)-SUMIFS(CalcWitB,CalcPartyB,$E330,CalcKeyB,"&lt;="&amp;Calc!$B327)+SUMIFS(CalcDepB,CalcPartyB,$E330,CalcKeyB,"&lt;="&amp;Calc!$B327))</f>
        <v/>
      </c>
      <c r="L330" s="8" t="n"/>
    </row>
    <row r="331">
      <c r="A331" s="7">
        <f>IF($B331="","",COUNTA($B$9:$B331))</f>
        <v/>
      </c>
      <c r="B331" s="8" t="n"/>
      <c r="C331" s="8" t="n"/>
      <c r="D331" s="8" t="n"/>
      <c r="E331" s="8" t="n"/>
      <c r="F331" s="7">
        <f>IF($E331="","",IFERROR(IF(VLOOKUP($E331,AcctTbl,4,0)="","",VLOOKUP($E331,AcctTbl,4,0)),"—"))</f>
        <v/>
      </c>
      <c r="G331" s="8" t="n"/>
      <c r="H331" s="9" t="n"/>
      <c r="I331" s="9" t="n"/>
      <c r="J331" s="10">
        <f>IF(OR($H331="",$I331=""),"",ROUND($H331*$I331,0))</f>
        <v/>
      </c>
      <c r="K331" s="10">
        <f>IF(OR($B331="",$E331="",Calc!$B328=""),"",SUMIFS(CalcAmtA,CalcPartyA,$E331,CalcKeyA,"&lt;="&amp;Calc!$B328)-SUMIFS(CalcWitB,CalcPartyB,$E331,CalcKeyB,"&lt;="&amp;Calc!$B328)+SUMIFS(CalcDepB,CalcPartyB,$E331,CalcKeyB,"&lt;="&amp;Calc!$B328))</f>
        <v/>
      </c>
      <c r="L331" s="8" t="n"/>
    </row>
    <row r="332">
      <c r="A332" s="7">
        <f>IF($B332="","",COUNTA($B$9:$B332))</f>
        <v/>
      </c>
      <c r="B332" s="8" t="n"/>
      <c r="C332" s="8" t="n"/>
      <c r="D332" s="8" t="n"/>
      <c r="E332" s="8" t="n"/>
      <c r="F332" s="7">
        <f>IF($E332="","",IFERROR(IF(VLOOKUP($E332,AcctTbl,4,0)="","",VLOOKUP($E332,AcctTbl,4,0)),"—"))</f>
        <v/>
      </c>
      <c r="G332" s="8" t="n"/>
      <c r="H332" s="9" t="n"/>
      <c r="I332" s="9" t="n"/>
      <c r="J332" s="10">
        <f>IF(OR($H332="",$I332=""),"",ROUND($H332*$I332,0))</f>
        <v/>
      </c>
      <c r="K332" s="10">
        <f>IF(OR($B332="",$E332="",Calc!$B329=""),"",SUMIFS(CalcAmtA,CalcPartyA,$E332,CalcKeyA,"&lt;="&amp;Calc!$B329)-SUMIFS(CalcWitB,CalcPartyB,$E332,CalcKeyB,"&lt;="&amp;Calc!$B329)+SUMIFS(CalcDepB,CalcPartyB,$E332,CalcKeyB,"&lt;="&amp;Calc!$B329))</f>
        <v/>
      </c>
      <c r="L332" s="8" t="n"/>
    </row>
    <row r="333">
      <c r="A333" s="7">
        <f>IF($B333="","",COUNTA($B$9:$B333))</f>
        <v/>
      </c>
      <c r="B333" s="8" t="n"/>
      <c r="C333" s="8" t="n"/>
      <c r="D333" s="8" t="n"/>
      <c r="E333" s="8" t="n"/>
      <c r="F333" s="7">
        <f>IF($E333="","",IFERROR(IF(VLOOKUP($E333,AcctTbl,4,0)="","",VLOOKUP($E333,AcctTbl,4,0)),"—"))</f>
        <v/>
      </c>
      <c r="G333" s="8" t="n"/>
      <c r="H333" s="9" t="n"/>
      <c r="I333" s="9" t="n"/>
      <c r="J333" s="10">
        <f>IF(OR($H333="",$I333=""),"",ROUND($H333*$I333,0))</f>
        <v/>
      </c>
      <c r="K333" s="10">
        <f>IF(OR($B333="",$E333="",Calc!$B330=""),"",SUMIFS(CalcAmtA,CalcPartyA,$E333,CalcKeyA,"&lt;="&amp;Calc!$B330)-SUMIFS(CalcWitB,CalcPartyB,$E333,CalcKeyB,"&lt;="&amp;Calc!$B330)+SUMIFS(CalcDepB,CalcPartyB,$E333,CalcKeyB,"&lt;="&amp;Calc!$B330))</f>
        <v/>
      </c>
      <c r="L333" s="8" t="n"/>
    </row>
    <row r="334">
      <c r="A334" s="7">
        <f>IF($B334="","",COUNTA($B$9:$B334))</f>
        <v/>
      </c>
      <c r="B334" s="8" t="n"/>
      <c r="C334" s="8" t="n"/>
      <c r="D334" s="8" t="n"/>
      <c r="E334" s="8" t="n"/>
      <c r="F334" s="7">
        <f>IF($E334="","",IFERROR(IF(VLOOKUP($E334,AcctTbl,4,0)="","",VLOOKUP($E334,AcctTbl,4,0)),"—"))</f>
        <v/>
      </c>
      <c r="G334" s="8" t="n"/>
      <c r="H334" s="9" t="n"/>
      <c r="I334" s="9" t="n"/>
      <c r="J334" s="10">
        <f>IF(OR($H334="",$I334=""),"",ROUND($H334*$I334,0))</f>
        <v/>
      </c>
      <c r="K334" s="10">
        <f>IF(OR($B334="",$E334="",Calc!$B331=""),"",SUMIFS(CalcAmtA,CalcPartyA,$E334,CalcKeyA,"&lt;="&amp;Calc!$B331)-SUMIFS(CalcWitB,CalcPartyB,$E334,CalcKeyB,"&lt;="&amp;Calc!$B331)+SUMIFS(CalcDepB,CalcPartyB,$E334,CalcKeyB,"&lt;="&amp;Calc!$B331))</f>
        <v/>
      </c>
      <c r="L334" s="8" t="n"/>
    </row>
    <row r="335">
      <c r="A335" s="7">
        <f>IF($B335="","",COUNTA($B$9:$B335))</f>
        <v/>
      </c>
      <c r="B335" s="8" t="n"/>
      <c r="C335" s="8" t="n"/>
      <c r="D335" s="8" t="n"/>
      <c r="E335" s="8" t="n"/>
      <c r="F335" s="7">
        <f>IF($E335="","",IFERROR(IF(VLOOKUP($E335,AcctTbl,4,0)="","",VLOOKUP($E335,AcctTbl,4,0)),"—"))</f>
        <v/>
      </c>
      <c r="G335" s="8" t="n"/>
      <c r="H335" s="9" t="n"/>
      <c r="I335" s="9" t="n"/>
      <c r="J335" s="10">
        <f>IF(OR($H335="",$I335=""),"",ROUND($H335*$I335,0))</f>
        <v/>
      </c>
      <c r="K335" s="10">
        <f>IF(OR($B335="",$E335="",Calc!$B332=""),"",SUMIFS(CalcAmtA,CalcPartyA,$E335,CalcKeyA,"&lt;="&amp;Calc!$B332)-SUMIFS(CalcWitB,CalcPartyB,$E335,CalcKeyB,"&lt;="&amp;Calc!$B332)+SUMIFS(CalcDepB,CalcPartyB,$E335,CalcKeyB,"&lt;="&amp;Calc!$B332))</f>
        <v/>
      </c>
      <c r="L335" s="8" t="n"/>
    </row>
    <row r="336">
      <c r="A336" s="7">
        <f>IF($B336="","",COUNTA($B$9:$B336))</f>
        <v/>
      </c>
      <c r="B336" s="8" t="n"/>
      <c r="C336" s="8" t="n"/>
      <c r="D336" s="8" t="n"/>
      <c r="E336" s="8" t="n"/>
      <c r="F336" s="7">
        <f>IF($E336="","",IFERROR(IF(VLOOKUP($E336,AcctTbl,4,0)="","",VLOOKUP($E336,AcctTbl,4,0)),"—"))</f>
        <v/>
      </c>
      <c r="G336" s="8" t="n"/>
      <c r="H336" s="9" t="n"/>
      <c r="I336" s="9" t="n"/>
      <c r="J336" s="10">
        <f>IF(OR($H336="",$I336=""),"",ROUND($H336*$I336,0))</f>
        <v/>
      </c>
      <c r="K336" s="10">
        <f>IF(OR($B336="",$E336="",Calc!$B333=""),"",SUMIFS(CalcAmtA,CalcPartyA,$E336,CalcKeyA,"&lt;="&amp;Calc!$B333)-SUMIFS(CalcWitB,CalcPartyB,$E336,CalcKeyB,"&lt;="&amp;Calc!$B333)+SUMIFS(CalcDepB,CalcPartyB,$E336,CalcKeyB,"&lt;="&amp;Calc!$B333))</f>
        <v/>
      </c>
      <c r="L336" s="8" t="n"/>
    </row>
    <row r="337">
      <c r="A337" s="7">
        <f>IF($B337="","",COUNTA($B$9:$B337))</f>
        <v/>
      </c>
      <c r="B337" s="8" t="n"/>
      <c r="C337" s="8" t="n"/>
      <c r="D337" s="8" t="n"/>
      <c r="E337" s="8" t="n"/>
      <c r="F337" s="7">
        <f>IF($E337="","",IFERROR(IF(VLOOKUP($E337,AcctTbl,4,0)="","",VLOOKUP($E337,AcctTbl,4,0)),"—"))</f>
        <v/>
      </c>
      <c r="G337" s="8" t="n"/>
      <c r="H337" s="9" t="n"/>
      <c r="I337" s="9" t="n"/>
      <c r="J337" s="10">
        <f>IF(OR($H337="",$I337=""),"",ROUND($H337*$I337,0))</f>
        <v/>
      </c>
      <c r="K337" s="10">
        <f>IF(OR($B337="",$E337="",Calc!$B334=""),"",SUMIFS(CalcAmtA,CalcPartyA,$E337,CalcKeyA,"&lt;="&amp;Calc!$B334)-SUMIFS(CalcWitB,CalcPartyB,$E337,CalcKeyB,"&lt;="&amp;Calc!$B334)+SUMIFS(CalcDepB,CalcPartyB,$E337,CalcKeyB,"&lt;="&amp;Calc!$B334))</f>
        <v/>
      </c>
      <c r="L337" s="8" t="n"/>
    </row>
    <row r="338">
      <c r="A338" s="7">
        <f>IF($B338="","",COUNTA($B$9:$B338))</f>
        <v/>
      </c>
      <c r="B338" s="8" t="n"/>
      <c r="C338" s="8" t="n"/>
      <c r="D338" s="8" t="n"/>
      <c r="E338" s="8" t="n"/>
      <c r="F338" s="7">
        <f>IF($E338="","",IFERROR(IF(VLOOKUP($E338,AcctTbl,4,0)="","",VLOOKUP($E338,AcctTbl,4,0)),"—"))</f>
        <v/>
      </c>
      <c r="G338" s="8" t="n"/>
      <c r="H338" s="9" t="n"/>
      <c r="I338" s="9" t="n"/>
      <c r="J338" s="10">
        <f>IF(OR($H338="",$I338=""),"",ROUND($H338*$I338,0))</f>
        <v/>
      </c>
      <c r="K338" s="10">
        <f>IF(OR($B338="",$E338="",Calc!$B335=""),"",SUMIFS(CalcAmtA,CalcPartyA,$E338,CalcKeyA,"&lt;="&amp;Calc!$B335)-SUMIFS(CalcWitB,CalcPartyB,$E338,CalcKeyB,"&lt;="&amp;Calc!$B335)+SUMIFS(CalcDepB,CalcPartyB,$E338,CalcKeyB,"&lt;="&amp;Calc!$B335))</f>
        <v/>
      </c>
      <c r="L338" s="8" t="n"/>
    </row>
    <row r="339">
      <c r="A339" s="7">
        <f>IF($B339="","",COUNTA($B$9:$B339))</f>
        <v/>
      </c>
      <c r="B339" s="8" t="n"/>
      <c r="C339" s="8" t="n"/>
      <c r="D339" s="8" t="n"/>
      <c r="E339" s="8" t="n"/>
      <c r="F339" s="7">
        <f>IF($E339="","",IFERROR(IF(VLOOKUP($E339,AcctTbl,4,0)="","",VLOOKUP($E339,AcctTbl,4,0)),"—"))</f>
        <v/>
      </c>
      <c r="G339" s="8" t="n"/>
      <c r="H339" s="9" t="n"/>
      <c r="I339" s="9" t="n"/>
      <c r="J339" s="10">
        <f>IF(OR($H339="",$I339=""),"",ROUND($H339*$I339,0))</f>
        <v/>
      </c>
      <c r="K339" s="10">
        <f>IF(OR($B339="",$E339="",Calc!$B336=""),"",SUMIFS(CalcAmtA,CalcPartyA,$E339,CalcKeyA,"&lt;="&amp;Calc!$B336)-SUMIFS(CalcWitB,CalcPartyB,$E339,CalcKeyB,"&lt;="&amp;Calc!$B336)+SUMIFS(CalcDepB,CalcPartyB,$E339,CalcKeyB,"&lt;="&amp;Calc!$B336))</f>
        <v/>
      </c>
      <c r="L339" s="8" t="n"/>
    </row>
    <row r="340">
      <c r="A340" s="7">
        <f>IF($B340="","",COUNTA($B$9:$B340))</f>
        <v/>
      </c>
      <c r="B340" s="8" t="n"/>
      <c r="C340" s="8" t="n"/>
      <c r="D340" s="8" t="n"/>
      <c r="E340" s="8" t="n"/>
      <c r="F340" s="7">
        <f>IF($E340="","",IFERROR(IF(VLOOKUP($E340,AcctTbl,4,0)="","",VLOOKUP($E340,AcctTbl,4,0)),"—"))</f>
        <v/>
      </c>
      <c r="G340" s="8" t="n"/>
      <c r="H340" s="9" t="n"/>
      <c r="I340" s="9" t="n"/>
      <c r="J340" s="10">
        <f>IF(OR($H340="",$I340=""),"",ROUND($H340*$I340,0))</f>
        <v/>
      </c>
      <c r="K340" s="10">
        <f>IF(OR($B340="",$E340="",Calc!$B337=""),"",SUMIFS(CalcAmtA,CalcPartyA,$E340,CalcKeyA,"&lt;="&amp;Calc!$B337)-SUMIFS(CalcWitB,CalcPartyB,$E340,CalcKeyB,"&lt;="&amp;Calc!$B337)+SUMIFS(CalcDepB,CalcPartyB,$E340,CalcKeyB,"&lt;="&amp;Calc!$B337))</f>
        <v/>
      </c>
      <c r="L340" s="8" t="n"/>
    </row>
    <row r="341">
      <c r="A341" s="7">
        <f>IF($B341="","",COUNTA($B$9:$B341))</f>
        <v/>
      </c>
      <c r="B341" s="8" t="n"/>
      <c r="C341" s="8" t="n"/>
      <c r="D341" s="8" t="n"/>
      <c r="E341" s="8" t="n"/>
      <c r="F341" s="7">
        <f>IF($E341="","",IFERROR(IF(VLOOKUP($E341,AcctTbl,4,0)="","",VLOOKUP($E341,AcctTbl,4,0)),"—"))</f>
        <v/>
      </c>
      <c r="G341" s="8" t="n"/>
      <c r="H341" s="9" t="n"/>
      <c r="I341" s="9" t="n"/>
      <c r="J341" s="10">
        <f>IF(OR($H341="",$I341=""),"",ROUND($H341*$I341,0))</f>
        <v/>
      </c>
      <c r="K341" s="10">
        <f>IF(OR($B341="",$E341="",Calc!$B338=""),"",SUMIFS(CalcAmtA,CalcPartyA,$E341,CalcKeyA,"&lt;="&amp;Calc!$B338)-SUMIFS(CalcWitB,CalcPartyB,$E341,CalcKeyB,"&lt;="&amp;Calc!$B338)+SUMIFS(CalcDepB,CalcPartyB,$E341,CalcKeyB,"&lt;="&amp;Calc!$B338))</f>
        <v/>
      </c>
      <c r="L341" s="8" t="n"/>
    </row>
    <row r="342">
      <c r="A342" s="7">
        <f>IF($B342="","",COUNTA($B$9:$B342))</f>
        <v/>
      </c>
      <c r="B342" s="8" t="n"/>
      <c r="C342" s="8" t="n"/>
      <c r="D342" s="8" t="n"/>
      <c r="E342" s="8" t="n"/>
      <c r="F342" s="7">
        <f>IF($E342="","",IFERROR(IF(VLOOKUP($E342,AcctTbl,4,0)="","",VLOOKUP($E342,AcctTbl,4,0)),"—"))</f>
        <v/>
      </c>
      <c r="G342" s="8" t="n"/>
      <c r="H342" s="9" t="n"/>
      <c r="I342" s="9" t="n"/>
      <c r="J342" s="10">
        <f>IF(OR($H342="",$I342=""),"",ROUND($H342*$I342,0))</f>
        <v/>
      </c>
      <c r="K342" s="10">
        <f>IF(OR($B342="",$E342="",Calc!$B339=""),"",SUMIFS(CalcAmtA,CalcPartyA,$E342,CalcKeyA,"&lt;="&amp;Calc!$B339)-SUMIFS(CalcWitB,CalcPartyB,$E342,CalcKeyB,"&lt;="&amp;Calc!$B339)+SUMIFS(CalcDepB,CalcPartyB,$E342,CalcKeyB,"&lt;="&amp;Calc!$B339))</f>
        <v/>
      </c>
      <c r="L342" s="8" t="n"/>
    </row>
    <row r="343">
      <c r="A343" s="7">
        <f>IF($B343="","",COUNTA($B$9:$B343))</f>
        <v/>
      </c>
      <c r="B343" s="8" t="n"/>
      <c r="C343" s="8" t="n"/>
      <c r="D343" s="8" t="n"/>
      <c r="E343" s="8" t="n"/>
      <c r="F343" s="7">
        <f>IF($E343="","",IFERROR(IF(VLOOKUP($E343,AcctTbl,4,0)="","",VLOOKUP($E343,AcctTbl,4,0)),"—"))</f>
        <v/>
      </c>
      <c r="G343" s="8" t="n"/>
      <c r="H343" s="9" t="n"/>
      <c r="I343" s="9" t="n"/>
      <c r="J343" s="10">
        <f>IF(OR($H343="",$I343=""),"",ROUND($H343*$I343,0))</f>
        <v/>
      </c>
      <c r="K343" s="10">
        <f>IF(OR($B343="",$E343="",Calc!$B340=""),"",SUMIFS(CalcAmtA,CalcPartyA,$E343,CalcKeyA,"&lt;="&amp;Calc!$B340)-SUMIFS(CalcWitB,CalcPartyB,$E343,CalcKeyB,"&lt;="&amp;Calc!$B340)+SUMIFS(CalcDepB,CalcPartyB,$E343,CalcKeyB,"&lt;="&amp;Calc!$B340))</f>
        <v/>
      </c>
      <c r="L343" s="8" t="n"/>
    </row>
    <row r="344">
      <c r="A344" s="7">
        <f>IF($B344="","",COUNTA($B$9:$B344))</f>
        <v/>
      </c>
      <c r="B344" s="8" t="n"/>
      <c r="C344" s="8" t="n"/>
      <c r="D344" s="8" t="n"/>
      <c r="E344" s="8" t="n"/>
      <c r="F344" s="7">
        <f>IF($E344="","",IFERROR(IF(VLOOKUP($E344,AcctTbl,4,0)="","",VLOOKUP($E344,AcctTbl,4,0)),"—"))</f>
        <v/>
      </c>
      <c r="G344" s="8" t="n"/>
      <c r="H344" s="9" t="n"/>
      <c r="I344" s="9" t="n"/>
      <c r="J344" s="10">
        <f>IF(OR($H344="",$I344=""),"",ROUND($H344*$I344,0))</f>
        <v/>
      </c>
      <c r="K344" s="10">
        <f>IF(OR($B344="",$E344="",Calc!$B341=""),"",SUMIFS(CalcAmtA,CalcPartyA,$E344,CalcKeyA,"&lt;="&amp;Calc!$B341)-SUMIFS(CalcWitB,CalcPartyB,$E344,CalcKeyB,"&lt;="&amp;Calc!$B341)+SUMIFS(CalcDepB,CalcPartyB,$E344,CalcKeyB,"&lt;="&amp;Calc!$B341))</f>
        <v/>
      </c>
      <c r="L344" s="8" t="n"/>
    </row>
    <row r="345">
      <c r="A345" s="7">
        <f>IF($B345="","",COUNTA($B$9:$B345))</f>
        <v/>
      </c>
      <c r="B345" s="8" t="n"/>
      <c r="C345" s="8" t="n"/>
      <c r="D345" s="8" t="n"/>
      <c r="E345" s="8" t="n"/>
      <c r="F345" s="7">
        <f>IF($E345="","",IFERROR(IF(VLOOKUP($E345,AcctTbl,4,0)="","",VLOOKUP($E345,AcctTbl,4,0)),"—"))</f>
        <v/>
      </c>
      <c r="G345" s="8" t="n"/>
      <c r="H345" s="9" t="n"/>
      <c r="I345" s="9" t="n"/>
      <c r="J345" s="10">
        <f>IF(OR($H345="",$I345=""),"",ROUND($H345*$I345,0))</f>
        <v/>
      </c>
      <c r="K345" s="10">
        <f>IF(OR($B345="",$E345="",Calc!$B342=""),"",SUMIFS(CalcAmtA,CalcPartyA,$E345,CalcKeyA,"&lt;="&amp;Calc!$B342)-SUMIFS(CalcWitB,CalcPartyB,$E345,CalcKeyB,"&lt;="&amp;Calc!$B342)+SUMIFS(CalcDepB,CalcPartyB,$E345,CalcKeyB,"&lt;="&amp;Calc!$B342))</f>
        <v/>
      </c>
      <c r="L345" s="8" t="n"/>
    </row>
    <row r="346">
      <c r="A346" s="7">
        <f>IF($B346="","",COUNTA($B$9:$B346))</f>
        <v/>
      </c>
      <c r="B346" s="8" t="n"/>
      <c r="C346" s="8" t="n"/>
      <c r="D346" s="8" t="n"/>
      <c r="E346" s="8" t="n"/>
      <c r="F346" s="7">
        <f>IF($E346="","",IFERROR(IF(VLOOKUP($E346,AcctTbl,4,0)="","",VLOOKUP($E346,AcctTbl,4,0)),"—"))</f>
        <v/>
      </c>
      <c r="G346" s="8" t="n"/>
      <c r="H346" s="9" t="n"/>
      <c r="I346" s="9" t="n"/>
      <c r="J346" s="10">
        <f>IF(OR($H346="",$I346=""),"",ROUND($H346*$I346,0))</f>
        <v/>
      </c>
      <c r="K346" s="10">
        <f>IF(OR($B346="",$E346="",Calc!$B343=""),"",SUMIFS(CalcAmtA,CalcPartyA,$E346,CalcKeyA,"&lt;="&amp;Calc!$B343)-SUMIFS(CalcWitB,CalcPartyB,$E346,CalcKeyB,"&lt;="&amp;Calc!$B343)+SUMIFS(CalcDepB,CalcPartyB,$E346,CalcKeyB,"&lt;="&amp;Calc!$B343))</f>
        <v/>
      </c>
      <c r="L346" s="8" t="n"/>
    </row>
    <row r="347">
      <c r="A347" s="7">
        <f>IF($B347="","",COUNTA($B$9:$B347))</f>
        <v/>
      </c>
      <c r="B347" s="8" t="n"/>
      <c r="C347" s="8" t="n"/>
      <c r="D347" s="8" t="n"/>
      <c r="E347" s="8" t="n"/>
      <c r="F347" s="7">
        <f>IF($E347="","",IFERROR(IF(VLOOKUP($E347,AcctTbl,4,0)="","",VLOOKUP($E347,AcctTbl,4,0)),"—"))</f>
        <v/>
      </c>
      <c r="G347" s="8" t="n"/>
      <c r="H347" s="9" t="n"/>
      <c r="I347" s="9" t="n"/>
      <c r="J347" s="10">
        <f>IF(OR($H347="",$I347=""),"",ROUND($H347*$I347,0))</f>
        <v/>
      </c>
      <c r="K347" s="10">
        <f>IF(OR($B347="",$E347="",Calc!$B344=""),"",SUMIFS(CalcAmtA,CalcPartyA,$E347,CalcKeyA,"&lt;="&amp;Calc!$B344)-SUMIFS(CalcWitB,CalcPartyB,$E347,CalcKeyB,"&lt;="&amp;Calc!$B344)+SUMIFS(CalcDepB,CalcPartyB,$E347,CalcKeyB,"&lt;="&amp;Calc!$B344))</f>
        <v/>
      </c>
      <c r="L347" s="8" t="n"/>
    </row>
    <row r="348">
      <c r="A348" s="7">
        <f>IF($B348="","",COUNTA($B$9:$B348))</f>
        <v/>
      </c>
      <c r="B348" s="8" t="n"/>
      <c r="C348" s="8" t="n"/>
      <c r="D348" s="8" t="n"/>
      <c r="E348" s="8" t="n"/>
      <c r="F348" s="7">
        <f>IF($E348="","",IFERROR(IF(VLOOKUP($E348,AcctTbl,4,0)="","",VLOOKUP($E348,AcctTbl,4,0)),"—"))</f>
        <v/>
      </c>
      <c r="G348" s="8" t="n"/>
      <c r="H348" s="9" t="n"/>
      <c r="I348" s="9" t="n"/>
      <c r="J348" s="10">
        <f>IF(OR($H348="",$I348=""),"",ROUND($H348*$I348,0))</f>
        <v/>
      </c>
      <c r="K348" s="10">
        <f>IF(OR($B348="",$E348="",Calc!$B345=""),"",SUMIFS(CalcAmtA,CalcPartyA,$E348,CalcKeyA,"&lt;="&amp;Calc!$B345)-SUMIFS(CalcWitB,CalcPartyB,$E348,CalcKeyB,"&lt;="&amp;Calc!$B345)+SUMIFS(CalcDepB,CalcPartyB,$E348,CalcKeyB,"&lt;="&amp;Calc!$B345))</f>
        <v/>
      </c>
      <c r="L348" s="8" t="n"/>
    </row>
    <row r="349">
      <c r="A349" s="7">
        <f>IF($B349="","",COUNTA($B$9:$B349))</f>
        <v/>
      </c>
      <c r="B349" s="8" t="n"/>
      <c r="C349" s="8" t="n"/>
      <c r="D349" s="8" t="n"/>
      <c r="E349" s="8" t="n"/>
      <c r="F349" s="7">
        <f>IF($E349="","",IFERROR(IF(VLOOKUP($E349,AcctTbl,4,0)="","",VLOOKUP($E349,AcctTbl,4,0)),"—"))</f>
        <v/>
      </c>
      <c r="G349" s="8" t="n"/>
      <c r="H349" s="9" t="n"/>
      <c r="I349" s="9" t="n"/>
      <c r="J349" s="10">
        <f>IF(OR($H349="",$I349=""),"",ROUND($H349*$I349,0))</f>
        <v/>
      </c>
      <c r="K349" s="10">
        <f>IF(OR($B349="",$E349="",Calc!$B346=""),"",SUMIFS(CalcAmtA,CalcPartyA,$E349,CalcKeyA,"&lt;="&amp;Calc!$B346)-SUMIFS(CalcWitB,CalcPartyB,$E349,CalcKeyB,"&lt;="&amp;Calc!$B346)+SUMIFS(CalcDepB,CalcPartyB,$E349,CalcKeyB,"&lt;="&amp;Calc!$B346))</f>
        <v/>
      </c>
      <c r="L349" s="8" t="n"/>
    </row>
    <row r="350">
      <c r="A350" s="7">
        <f>IF($B350="","",COUNTA($B$9:$B350))</f>
        <v/>
      </c>
      <c r="B350" s="8" t="n"/>
      <c r="C350" s="8" t="n"/>
      <c r="D350" s="8" t="n"/>
      <c r="E350" s="8" t="n"/>
      <c r="F350" s="7">
        <f>IF($E350="","",IFERROR(IF(VLOOKUP($E350,AcctTbl,4,0)="","",VLOOKUP($E350,AcctTbl,4,0)),"—"))</f>
        <v/>
      </c>
      <c r="G350" s="8" t="n"/>
      <c r="H350" s="9" t="n"/>
      <c r="I350" s="9" t="n"/>
      <c r="J350" s="10">
        <f>IF(OR($H350="",$I350=""),"",ROUND($H350*$I350,0))</f>
        <v/>
      </c>
      <c r="K350" s="10">
        <f>IF(OR($B350="",$E350="",Calc!$B347=""),"",SUMIFS(CalcAmtA,CalcPartyA,$E350,CalcKeyA,"&lt;="&amp;Calc!$B347)-SUMIFS(CalcWitB,CalcPartyB,$E350,CalcKeyB,"&lt;="&amp;Calc!$B347)+SUMIFS(CalcDepB,CalcPartyB,$E350,CalcKeyB,"&lt;="&amp;Calc!$B347))</f>
        <v/>
      </c>
      <c r="L350" s="8" t="n"/>
    </row>
    <row r="351">
      <c r="A351" s="7">
        <f>IF($B351="","",COUNTA($B$9:$B351))</f>
        <v/>
      </c>
      <c r="B351" s="8" t="n"/>
      <c r="C351" s="8" t="n"/>
      <c r="D351" s="8" t="n"/>
      <c r="E351" s="8" t="n"/>
      <c r="F351" s="7">
        <f>IF($E351="","",IFERROR(IF(VLOOKUP($E351,AcctTbl,4,0)="","",VLOOKUP($E351,AcctTbl,4,0)),"—"))</f>
        <v/>
      </c>
      <c r="G351" s="8" t="n"/>
      <c r="H351" s="9" t="n"/>
      <c r="I351" s="9" t="n"/>
      <c r="J351" s="10">
        <f>IF(OR($H351="",$I351=""),"",ROUND($H351*$I351,0))</f>
        <v/>
      </c>
      <c r="K351" s="10">
        <f>IF(OR($B351="",$E351="",Calc!$B348=""),"",SUMIFS(CalcAmtA,CalcPartyA,$E351,CalcKeyA,"&lt;="&amp;Calc!$B348)-SUMIFS(CalcWitB,CalcPartyB,$E351,CalcKeyB,"&lt;="&amp;Calc!$B348)+SUMIFS(CalcDepB,CalcPartyB,$E351,CalcKeyB,"&lt;="&amp;Calc!$B348))</f>
        <v/>
      </c>
      <c r="L351" s="8" t="n"/>
    </row>
    <row r="352">
      <c r="A352" s="7">
        <f>IF($B352="","",COUNTA($B$9:$B352))</f>
        <v/>
      </c>
      <c r="B352" s="8" t="n"/>
      <c r="C352" s="8" t="n"/>
      <c r="D352" s="8" t="n"/>
      <c r="E352" s="8" t="n"/>
      <c r="F352" s="7">
        <f>IF($E352="","",IFERROR(IF(VLOOKUP($E352,AcctTbl,4,0)="","",VLOOKUP($E352,AcctTbl,4,0)),"—"))</f>
        <v/>
      </c>
      <c r="G352" s="8" t="n"/>
      <c r="H352" s="9" t="n"/>
      <c r="I352" s="9" t="n"/>
      <c r="J352" s="10">
        <f>IF(OR($H352="",$I352=""),"",ROUND($H352*$I352,0))</f>
        <v/>
      </c>
      <c r="K352" s="10">
        <f>IF(OR($B352="",$E352="",Calc!$B349=""),"",SUMIFS(CalcAmtA,CalcPartyA,$E352,CalcKeyA,"&lt;="&amp;Calc!$B349)-SUMIFS(CalcWitB,CalcPartyB,$E352,CalcKeyB,"&lt;="&amp;Calc!$B349)+SUMIFS(CalcDepB,CalcPartyB,$E352,CalcKeyB,"&lt;="&amp;Calc!$B349))</f>
        <v/>
      </c>
      <c r="L352" s="8" t="n"/>
    </row>
    <row r="353">
      <c r="A353" s="7">
        <f>IF($B353="","",COUNTA($B$9:$B353))</f>
        <v/>
      </c>
      <c r="B353" s="8" t="n"/>
      <c r="C353" s="8" t="n"/>
      <c r="D353" s="8" t="n"/>
      <c r="E353" s="8" t="n"/>
      <c r="F353" s="7">
        <f>IF($E353="","",IFERROR(IF(VLOOKUP($E353,AcctTbl,4,0)="","",VLOOKUP($E353,AcctTbl,4,0)),"—"))</f>
        <v/>
      </c>
      <c r="G353" s="8" t="n"/>
      <c r="H353" s="9" t="n"/>
      <c r="I353" s="9" t="n"/>
      <c r="J353" s="10">
        <f>IF(OR($H353="",$I353=""),"",ROUND($H353*$I353,0))</f>
        <v/>
      </c>
      <c r="K353" s="10">
        <f>IF(OR($B353="",$E353="",Calc!$B350=""),"",SUMIFS(CalcAmtA,CalcPartyA,$E353,CalcKeyA,"&lt;="&amp;Calc!$B350)-SUMIFS(CalcWitB,CalcPartyB,$E353,CalcKeyB,"&lt;="&amp;Calc!$B350)+SUMIFS(CalcDepB,CalcPartyB,$E353,CalcKeyB,"&lt;="&amp;Calc!$B350))</f>
        <v/>
      </c>
      <c r="L353" s="8" t="n"/>
    </row>
    <row r="354">
      <c r="A354" s="7">
        <f>IF($B354="","",COUNTA($B$9:$B354))</f>
        <v/>
      </c>
      <c r="B354" s="8" t="n"/>
      <c r="C354" s="8" t="n"/>
      <c r="D354" s="8" t="n"/>
      <c r="E354" s="8" t="n"/>
      <c r="F354" s="7">
        <f>IF($E354="","",IFERROR(IF(VLOOKUP($E354,AcctTbl,4,0)="","",VLOOKUP($E354,AcctTbl,4,0)),"—"))</f>
        <v/>
      </c>
      <c r="G354" s="8" t="n"/>
      <c r="H354" s="9" t="n"/>
      <c r="I354" s="9" t="n"/>
      <c r="J354" s="10">
        <f>IF(OR($H354="",$I354=""),"",ROUND($H354*$I354,0))</f>
        <v/>
      </c>
      <c r="K354" s="10">
        <f>IF(OR($B354="",$E354="",Calc!$B351=""),"",SUMIFS(CalcAmtA,CalcPartyA,$E354,CalcKeyA,"&lt;="&amp;Calc!$B351)-SUMIFS(CalcWitB,CalcPartyB,$E354,CalcKeyB,"&lt;="&amp;Calc!$B351)+SUMIFS(CalcDepB,CalcPartyB,$E354,CalcKeyB,"&lt;="&amp;Calc!$B351))</f>
        <v/>
      </c>
      <c r="L354" s="8" t="n"/>
    </row>
    <row r="355">
      <c r="A355" s="7">
        <f>IF($B355="","",COUNTA($B$9:$B355))</f>
        <v/>
      </c>
      <c r="B355" s="8" t="n"/>
      <c r="C355" s="8" t="n"/>
      <c r="D355" s="8" t="n"/>
      <c r="E355" s="8" t="n"/>
      <c r="F355" s="7">
        <f>IF($E355="","",IFERROR(IF(VLOOKUP($E355,AcctTbl,4,0)="","",VLOOKUP($E355,AcctTbl,4,0)),"—"))</f>
        <v/>
      </c>
      <c r="G355" s="8" t="n"/>
      <c r="H355" s="9" t="n"/>
      <c r="I355" s="9" t="n"/>
      <c r="J355" s="10">
        <f>IF(OR($H355="",$I355=""),"",ROUND($H355*$I355,0))</f>
        <v/>
      </c>
      <c r="K355" s="10">
        <f>IF(OR($B355="",$E355="",Calc!$B352=""),"",SUMIFS(CalcAmtA,CalcPartyA,$E355,CalcKeyA,"&lt;="&amp;Calc!$B352)-SUMIFS(CalcWitB,CalcPartyB,$E355,CalcKeyB,"&lt;="&amp;Calc!$B352)+SUMIFS(CalcDepB,CalcPartyB,$E355,CalcKeyB,"&lt;="&amp;Calc!$B352))</f>
        <v/>
      </c>
      <c r="L355" s="8" t="n"/>
    </row>
    <row r="356">
      <c r="A356" s="7">
        <f>IF($B356="","",COUNTA($B$9:$B356))</f>
        <v/>
      </c>
      <c r="B356" s="8" t="n"/>
      <c r="C356" s="8" t="n"/>
      <c r="D356" s="8" t="n"/>
      <c r="E356" s="8" t="n"/>
      <c r="F356" s="7">
        <f>IF($E356="","",IFERROR(IF(VLOOKUP($E356,AcctTbl,4,0)="","",VLOOKUP($E356,AcctTbl,4,0)),"—"))</f>
        <v/>
      </c>
      <c r="G356" s="8" t="n"/>
      <c r="H356" s="9" t="n"/>
      <c r="I356" s="9" t="n"/>
      <c r="J356" s="10">
        <f>IF(OR($H356="",$I356=""),"",ROUND($H356*$I356,0))</f>
        <v/>
      </c>
      <c r="K356" s="10">
        <f>IF(OR($B356="",$E356="",Calc!$B353=""),"",SUMIFS(CalcAmtA,CalcPartyA,$E356,CalcKeyA,"&lt;="&amp;Calc!$B353)-SUMIFS(CalcWitB,CalcPartyB,$E356,CalcKeyB,"&lt;="&amp;Calc!$B353)+SUMIFS(CalcDepB,CalcPartyB,$E356,CalcKeyB,"&lt;="&amp;Calc!$B353))</f>
        <v/>
      </c>
      <c r="L356" s="8" t="n"/>
    </row>
    <row r="357">
      <c r="A357" s="7">
        <f>IF($B357="","",COUNTA($B$9:$B357))</f>
        <v/>
      </c>
      <c r="B357" s="8" t="n"/>
      <c r="C357" s="8" t="n"/>
      <c r="D357" s="8" t="n"/>
      <c r="E357" s="8" t="n"/>
      <c r="F357" s="7">
        <f>IF($E357="","",IFERROR(IF(VLOOKUP($E357,AcctTbl,4,0)="","",VLOOKUP($E357,AcctTbl,4,0)),"—"))</f>
        <v/>
      </c>
      <c r="G357" s="8" t="n"/>
      <c r="H357" s="9" t="n"/>
      <c r="I357" s="9" t="n"/>
      <c r="J357" s="10">
        <f>IF(OR($H357="",$I357=""),"",ROUND($H357*$I357,0))</f>
        <v/>
      </c>
      <c r="K357" s="10">
        <f>IF(OR($B357="",$E357="",Calc!$B354=""),"",SUMIFS(CalcAmtA,CalcPartyA,$E357,CalcKeyA,"&lt;="&amp;Calc!$B354)-SUMIFS(CalcWitB,CalcPartyB,$E357,CalcKeyB,"&lt;="&amp;Calc!$B354)+SUMIFS(CalcDepB,CalcPartyB,$E357,CalcKeyB,"&lt;="&amp;Calc!$B354))</f>
        <v/>
      </c>
      <c r="L357" s="8" t="n"/>
    </row>
    <row r="358">
      <c r="A358" s="7">
        <f>IF($B358="","",COUNTA($B$9:$B358))</f>
        <v/>
      </c>
      <c r="B358" s="8" t="n"/>
      <c r="C358" s="8" t="n"/>
      <c r="D358" s="8" t="n"/>
      <c r="E358" s="8" t="n"/>
      <c r="F358" s="7">
        <f>IF($E358="","",IFERROR(IF(VLOOKUP($E358,AcctTbl,4,0)="","",VLOOKUP($E358,AcctTbl,4,0)),"—"))</f>
        <v/>
      </c>
      <c r="G358" s="8" t="n"/>
      <c r="H358" s="9" t="n"/>
      <c r="I358" s="9" t="n"/>
      <c r="J358" s="10">
        <f>IF(OR($H358="",$I358=""),"",ROUND($H358*$I358,0))</f>
        <v/>
      </c>
      <c r="K358" s="10">
        <f>IF(OR($B358="",$E358="",Calc!$B355=""),"",SUMIFS(CalcAmtA,CalcPartyA,$E358,CalcKeyA,"&lt;="&amp;Calc!$B355)-SUMIFS(CalcWitB,CalcPartyB,$E358,CalcKeyB,"&lt;="&amp;Calc!$B355)+SUMIFS(CalcDepB,CalcPartyB,$E358,CalcKeyB,"&lt;="&amp;Calc!$B355))</f>
        <v/>
      </c>
      <c r="L358" s="8" t="n"/>
    </row>
    <row r="359">
      <c r="A359" s="7">
        <f>IF($B359="","",COUNTA($B$9:$B359))</f>
        <v/>
      </c>
      <c r="B359" s="8" t="n"/>
      <c r="C359" s="8" t="n"/>
      <c r="D359" s="8" t="n"/>
      <c r="E359" s="8" t="n"/>
      <c r="F359" s="7">
        <f>IF($E359="","",IFERROR(IF(VLOOKUP($E359,AcctTbl,4,0)="","",VLOOKUP($E359,AcctTbl,4,0)),"—"))</f>
        <v/>
      </c>
      <c r="G359" s="8" t="n"/>
      <c r="H359" s="9" t="n"/>
      <c r="I359" s="9" t="n"/>
      <c r="J359" s="10">
        <f>IF(OR($H359="",$I359=""),"",ROUND($H359*$I359,0))</f>
        <v/>
      </c>
      <c r="K359" s="10">
        <f>IF(OR($B359="",$E359="",Calc!$B356=""),"",SUMIFS(CalcAmtA,CalcPartyA,$E359,CalcKeyA,"&lt;="&amp;Calc!$B356)-SUMIFS(CalcWitB,CalcPartyB,$E359,CalcKeyB,"&lt;="&amp;Calc!$B356)+SUMIFS(CalcDepB,CalcPartyB,$E359,CalcKeyB,"&lt;="&amp;Calc!$B356))</f>
        <v/>
      </c>
      <c r="L359" s="8" t="n"/>
    </row>
    <row r="360">
      <c r="A360" s="7">
        <f>IF($B360="","",COUNTA($B$9:$B360))</f>
        <v/>
      </c>
      <c r="B360" s="8" t="n"/>
      <c r="C360" s="8" t="n"/>
      <c r="D360" s="8" t="n"/>
      <c r="E360" s="8" t="n"/>
      <c r="F360" s="7">
        <f>IF($E360="","",IFERROR(IF(VLOOKUP($E360,AcctTbl,4,0)="","",VLOOKUP($E360,AcctTbl,4,0)),"—"))</f>
        <v/>
      </c>
      <c r="G360" s="8" t="n"/>
      <c r="H360" s="9" t="n"/>
      <c r="I360" s="9" t="n"/>
      <c r="J360" s="10">
        <f>IF(OR($H360="",$I360=""),"",ROUND($H360*$I360,0))</f>
        <v/>
      </c>
      <c r="K360" s="10">
        <f>IF(OR($B360="",$E360="",Calc!$B357=""),"",SUMIFS(CalcAmtA,CalcPartyA,$E360,CalcKeyA,"&lt;="&amp;Calc!$B357)-SUMIFS(CalcWitB,CalcPartyB,$E360,CalcKeyB,"&lt;="&amp;Calc!$B357)+SUMIFS(CalcDepB,CalcPartyB,$E360,CalcKeyB,"&lt;="&amp;Calc!$B357))</f>
        <v/>
      </c>
      <c r="L360" s="8" t="n"/>
    </row>
    <row r="361">
      <c r="A361" s="7">
        <f>IF($B361="","",COUNTA($B$9:$B361))</f>
        <v/>
      </c>
      <c r="B361" s="8" t="n"/>
      <c r="C361" s="8" t="n"/>
      <c r="D361" s="8" t="n"/>
      <c r="E361" s="8" t="n"/>
      <c r="F361" s="7">
        <f>IF($E361="","",IFERROR(IF(VLOOKUP($E361,AcctTbl,4,0)="","",VLOOKUP($E361,AcctTbl,4,0)),"—"))</f>
        <v/>
      </c>
      <c r="G361" s="8" t="n"/>
      <c r="H361" s="9" t="n"/>
      <c r="I361" s="9" t="n"/>
      <c r="J361" s="10">
        <f>IF(OR($H361="",$I361=""),"",ROUND($H361*$I361,0))</f>
        <v/>
      </c>
      <c r="K361" s="10">
        <f>IF(OR($B361="",$E361="",Calc!$B358=""),"",SUMIFS(CalcAmtA,CalcPartyA,$E361,CalcKeyA,"&lt;="&amp;Calc!$B358)-SUMIFS(CalcWitB,CalcPartyB,$E361,CalcKeyB,"&lt;="&amp;Calc!$B358)+SUMIFS(CalcDepB,CalcPartyB,$E361,CalcKeyB,"&lt;="&amp;Calc!$B358))</f>
        <v/>
      </c>
      <c r="L361" s="8" t="n"/>
    </row>
    <row r="362">
      <c r="A362" s="7">
        <f>IF($B362="","",COUNTA($B$9:$B362))</f>
        <v/>
      </c>
      <c r="B362" s="8" t="n"/>
      <c r="C362" s="8" t="n"/>
      <c r="D362" s="8" t="n"/>
      <c r="E362" s="8" t="n"/>
      <c r="F362" s="7">
        <f>IF($E362="","",IFERROR(IF(VLOOKUP($E362,AcctTbl,4,0)="","",VLOOKUP($E362,AcctTbl,4,0)),"—"))</f>
        <v/>
      </c>
      <c r="G362" s="8" t="n"/>
      <c r="H362" s="9" t="n"/>
      <c r="I362" s="9" t="n"/>
      <c r="J362" s="10">
        <f>IF(OR($H362="",$I362=""),"",ROUND($H362*$I362,0))</f>
        <v/>
      </c>
      <c r="K362" s="10">
        <f>IF(OR($B362="",$E362="",Calc!$B359=""),"",SUMIFS(CalcAmtA,CalcPartyA,$E362,CalcKeyA,"&lt;="&amp;Calc!$B359)-SUMIFS(CalcWitB,CalcPartyB,$E362,CalcKeyB,"&lt;="&amp;Calc!$B359)+SUMIFS(CalcDepB,CalcPartyB,$E362,CalcKeyB,"&lt;="&amp;Calc!$B359))</f>
        <v/>
      </c>
      <c r="L362" s="8" t="n"/>
    </row>
    <row r="363">
      <c r="A363" s="7">
        <f>IF($B363="","",COUNTA($B$9:$B363))</f>
        <v/>
      </c>
      <c r="B363" s="8" t="n"/>
      <c r="C363" s="8" t="n"/>
      <c r="D363" s="8" t="n"/>
      <c r="E363" s="8" t="n"/>
      <c r="F363" s="7">
        <f>IF($E363="","",IFERROR(IF(VLOOKUP($E363,AcctTbl,4,0)="","",VLOOKUP($E363,AcctTbl,4,0)),"—"))</f>
        <v/>
      </c>
      <c r="G363" s="8" t="n"/>
      <c r="H363" s="9" t="n"/>
      <c r="I363" s="9" t="n"/>
      <c r="J363" s="10">
        <f>IF(OR($H363="",$I363=""),"",ROUND($H363*$I363,0))</f>
        <v/>
      </c>
      <c r="K363" s="10">
        <f>IF(OR($B363="",$E363="",Calc!$B360=""),"",SUMIFS(CalcAmtA,CalcPartyA,$E363,CalcKeyA,"&lt;="&amp;Calc!$B360)-SUMIFS(CalcWitB,CalcPartyB,$E363,CalcKeyB,"&lt;="&amp;Calc!$B360)+SUMIFS(CalcDepB,CalcPartyB,$E363,CalcKeyB,"&lt;="&amp;Calc!$B360))</f>
        <v/>
      </c>
      <c r="L363" s="8" t="n"/>
    </row>
    <row r="364">
      <c r="A364" s="7">
        <f>IF($B364="","",COUNTA($B$9:$B364))</f>
        <v/>
      </c>
      <c r="B364" s="8" t="n"/>
      <c r="C364" s="8" t="n"/>
      <c r="D364" s="8" t="n"/>
      <c r="E364" s="8" t="n"/>
      <c r="F364" s="7">
        <f>IF($E364="","",IFERROR(IF(VLOOKUP($E364,AcctTbl,4,0)="","",VLOOKUP($E364,AcctTbl,4,0)),"—"))</f>
        <v/>
      </c>
      <c r="G364" s="8" t="n"/>
      <c r="H364" s="9" t="n"/>
      <c r="I364" s="9" t="n"/>
      <c r="J364" s="10">
        <f>IF(OR($H364="",$I364=""),"",ROUND($H364*$I364,0))</f>
        <v/>
      </c>
      <c r="K364" s="10">
        <f>IF(OR($B364="",$E364="",Calc!$B361=""),"",SUMIFS(CalcAmtA,CalcPartyA,$E364,CalcKeyA,"&lt;="&amp;Calc!$B361)-SUMIFS(CalcWitB,CalcPartyB,$E364,CalcKeyB,"&lt;="&amp;Calc!$B361)+SUMIFS(CalcDepB,CalcPartyB,$E364,CalcKeyB,"&lt;="&amp;Calc!$B361))</f>
        <v/>
      </c>
      <c r="L364" s="8" t="n"/>
    </row>
    <row r="365">
      <c r="A365" s="7">
        <f>IF($B365="","",COUNTA($B$9:$B365))</f>
        <v/>
      </c>
      <c r="B365" s="8" t="n"/>
      <c r="C365" s="8" t="n"/>
      <c r="D365" s="8" t="n"/>
      <c r="E365" s="8" t="n"/>
      <c r="F365" s="7">
        <f>IF($E365="","",IFERROR(IF(VLOOKUP($E365,AcctTbl,4,0)="","",VLOOKUP($E365,AcctTbl,4,0)),"—"))</f>
        <v/>
      </c>
      <c r="G365" s="8" t="n"/>
      <c r="H365" s="9" t="n"/>
      <c r="I365" s="9" t="n"/>
      <c r="J365" s="10">
        <f>IF(OR($H365="",$I365=""),"",ROUND($H365*$I365,0))</f>
        <v/>
      </c>
      <c r="K365" s="10">
        <f>IF(OR($B365="",$E365="",Calc!$B362=""),"",SUMIFS(CalcAmtA,CalcPartyA,$E365,CalcKeyA,"&lt;="&amp;Calc!$B362)-SUMIFS(CalcWitB,CalcPartyB,$E365,CalcKeyB,"&lt;="&amp;Calc!$B362)+SUMIFS(CalcDepB,CalcPartyB,$E365,CalcKeyB,"&lt;="&amp;Calc!$B362))</f>
        <v/>
      </c>
      <c r="L365" s="8" t="n"/>
    </row>
    <row r="366">
      <c r="A366" s="7">
        <f>IF($B366="","",COUNTA($B$9:$B366))</f>
        <v/>
      </c>
      <c r="B366" s="8" t="n"/>
      <c r="C366" s="8" t="n"/>
      <c r="D366" s="8" t="n"/>
      <c r="E366" s="8" t="n"/>
      <c r="F366" s="7">
        <f>IF($E366="","",IFERROR(IF(VLOOKUP($E366,AcctTbl,4,0)="","",VLOOKUP($E366,AcctTbl,4,0)),"—"))</f>
        <v/>
      </c>
      <c r="G366" s="8" t="n"/>
      <c r="H366" s="9" t="n"/>
      <c r="I366" s="9" t="n"/>
      <c r="J366" s="10">
        <f>IF(OR($H366="",$I366=""),"",ROUND($H366*$I366,0))</f>
        <v/>
      </c>
      <c r="K366" s="10">
        <f>IF(OR($B366="",$E366="",Calc!$B363=""),"",SUMIFS(CalcAmtA,CalcPartyA,$E366,CalcKeyA,"&lt;="&amp;Calc!$B363)-SUMIFS(CalcWitB,CalcPartyB,$E366,CalcKeyB,"&lt;="&amp;Calc!$B363)+SUMIFS(CalcDepB,CalcPartyB,$E366,CalcKeyB,"&lt;="&amp;Calc!$B363))</f>
        <v/>
      </c>
      <c r="L366" s="8" t="n"/>
    </row>
    <row r="367">
      <c r="A367" s="7">
        <f>IF($B367="","",COUNTA($B$9:$B367))</f>
        <v/>
      </c>
      <c r="B367" s="8" t="n"/>
      <c r="C367" s="8" t="n"/>
      <c r="D367" s="8" t="n"/>
      <c r="E367" s="8" t="n"/>
      <c r="F367" s="7">
        <f>IF($E367="","",IFERROR(IF(VLOOKUP($E367,AcctTbl,4,0)="","",VLOOKUP($E367,AcctTbl,4,0)),"—"))</f>
        <v/>
      </c>
      <c r="G367" s="8" t="n"/>
      <c r="H367" s="9" t="n"/>
      <c r="I367" s="9" t="n"/>
      <c r="J367" s="10">
        <f>IF(OR($H367="",$I367=""),"",ROUND($H367*$I367,0))</f>
        <v/>
      </c>
      <c r="K367" s="10">
        <f>IF(OR($B367="",$E367="",Calc!$B364=""),"",SUMIFS(CalcAmtA,CalcPartyA,$E367,CalcKeyA,"&lt;="&amp;Calc!$B364)-SUMIFS(CalcWitB,CalcPartyB,$E367,CalcKeyB,"&lt;="&amp;Calc!$B364)+SUMIFS(CalcDepB,CalcPartyB,$E367,CalcKeyB,"&lt;="&amp;Calc!$B364))</f>
        <v/>
      </c>
      <c r="L367" s="8" t="n"/>
    </row>
    <row r="368">
      <c r="A368" s="7">
        <f>IF($B368="","",COUNTA($B$9:$B368))</f>
        <v/>
      </c>
      <c r="B368" s="8" t="n"/>
      <c r="C368" s="8" t="n"/>
      <c r="D368" s="8" t="n"/>
      <c r="E368" s="8" t="n"/>
      <c r="F368" s="7">
        <f>IF($E368="","",IFERROR(IF(VLOOKUP($E368,AcctTbl,4,0)="","",VLOOKUP($E368,AcctTbl,4,0)),"—"))</f>
        <v/>
      </c>
      <c r="G368" s="8" t="n"/>
      <c r="H368" s="9" t="n"/>
      <c r="I368" s="9" t="n"/>
      <c r="J368" s="10">
        <f>IF(OR($H368="",$I368=""),"",ROUND($H368*$I368,0))</f>
        <v/>
      </c>
      <c r="K368" s="10">
        <f>IF(OR($B368="",$E368="",Calc!$B365=""),"",SUMIFS(CalcAmtA,CalcPartyA,$E368,CalcKeyA,"&lt;="&amp;Calc!$B365)-SUMIFS(CalcWitB,CalcPartyB,$E368,CalcKeyB,"&lt;="&amp;Calc!$B365)+SUMIFS(CalcDepB,CalcPartyB,$E368,CalcKeyB,"&lt;="&amp;Calc!$B365))</f>
        <v/>
      </c>
      <c r="L368" s="8" t="n"/>
    </row>
    <row r="369">
      <c r="A369" s="7">
        <f>IF($B369="","",COUNTA($B$9:$B369))</f>
        <v/>
      </c>
      <c r="B369" s="8" t="n"/>
      <c r="C369" s="8" t="n"/>
      <c r="D369" s="8" t="n"/>
      <c r="E369" s="8" t="n"/>
      <c r="F369" s="7">
        <f>IF($E369="","",IFERROR(IF(VLOOKUP($E369,AcctTbl,4,0)="","",VLOOKUP($E369,AcctTbl,4,0)),"—"))</f>
        <v/>
      </c>
      <c r="G369" s="8" t="n"/>
      <c r="H369" s="9" t="n"/>
      <c r="I369" s="9" t="n"/>
      <c r="J369" s="10">
        <f>IF(OR($H369="",$I369=""),"",ROUND($H369*$I369,0))</f>
        <v/>
      </c>
      <c r="K369" s="10">
        <f>IF(OR($B369="",$E369="",Calc!$B366=""),"",SUMIFS(CalcAmtA,CalcPartyA,$E369,CalcKeyA,"&lt;="&amp;Calc!$B366)-SUMIFS(CalcWitB,CalcPartyB,$E369,CalcKeyB,"&lt;="&amp;Calc!$B366)+SUMIFS(CalcDepB,CalcPartyB,$E369,CalcKeyB,"&lt;="&amp;Calc!$B366))</f>
        <v/>
      </c>
      <c r="L369" s="8" t="n"/>
    </row>
    <row r="370">
      <c r="A370" s="7">
        <f>IF($B370="","",COUNTA($B$9:$B370))</f>
        <v/>
      </c>
      <c r="B370" s="8" t="n"/>
      <c r="C370" s="8" t="n"/>
      <c r="D370" s="8" t="n"/>
      <c r="E370" s="8" t="n"/>
      <c r="F370" s="7">
        <f>IF($E370="","",IFERROR(IF(VLOOKUP($E370,AcctTbl,4,0)="","",VLOOKUP($E370,AcctTbl,4,0)),"—"))</f>
        <v/>
      </c>
      <c r="G370" s="8" t="n"/>
      <c r="H370" s="9" t="n"/>
      <c r="I370" s="9" t="n"/>
      <c r="J370" s="10">
        <f>IF(OR($H370="",$I370=""),"",ROUND($H370*$I370,0))</f>
        <v/>
      </c>
      <c r="K370" s="10">
        <f>IF(OR($B370="",$E370="",Calc!$B367=""),"",SUMIFS(CalcAmtA,CalcPartyA,$E370,CalcKeyA,"&lt;="&amp;Calc!$B367)-SUMIFS(CalcWitB,CalcPartyB,$E370,CalcKeyB,"&lt;="&amp;Calc!$B367)+SUMIFS(CalcDepB,CalcPartyB,$E370,CalcKeyB,"&lt;="&amp;Calc!$B367))</f>
        <v/>
      </c>
      <c r="L370" s="8" t="n"/>
    </row>
    <row r="371">
      <c r="A371" s="7">
        <f>IF($B371="","",COUNTA($B$9:$B371))</f>
        <v/>
      </c>
      <c r="B371" s="8" t="n"/>
      <c r="C371" s="8" t="n"/>
      <c r="D371" s="8" t="n"/>
      <c r="E371" s="8" t="n"/>
      <c r="F371" s="7">
        <f>IF($E371="","",IFERROR(IF(VLOOKUP($E371,AcctTbl,4,0)="","",VLOOKUP($E371,AcctTbl,4,0)),"—"))</f>
        <v/>
      </c>
      <c r="G371" s="8" t="n"/>
      <c r="H371" s="9" t="n"/>
      <c r="I371" s="9" t="n"/>
      <c r="J371" s="10">
        <f>IF(OR($H371="",$I371=""),"",ROUND($H371*$I371,0))</f>
        <v/>
      </c>
      <c r="K371" s="10">
        <f>IF(OR($B371="",$E371="",Calc!$B368=""),"",SUMIFS(CalcAmtA,CalcPartyA,$E371,CalcKeyA,"&lt;="&amp;Calc!$B368)-SUMIFS(CalcWitB,CalcPartyB,$E371,CalcKeyB,"&lt;="&amp;Calc!$B368)+SUMIFS(CalcDepB,CalcPartyB,$E371,CalcKeyB,"&lt;="&amp;Calc!$B368))</f>
        <v/>
      </c>
      <c r="L371" s="8" t="n"/>
    </row>
    <row r="372">
      <c r="A372" s="7">
        <f>IF($B372="","",COUNTA($B$9:$B372))</f>
        <v/>
      </c>
      <c r="B372" s="8" t="n"/>
      <c r="C372" s="8" t="n"/>
      <c r="D372" s="8" t="n"/>
      <c r="E372" s="8" t="n"/>
      <c r="F372" s="7">
        <f>IF($E372="","",IFERROR(IF(VLOOKUP($E372,AcctTbl,4,0)="","",VLOOKUP($E372,AcctTbl,4,0)),"—"))</f>
        <v/>
      </c>
      <c r="G372" s="8" t="n"/>
      <c r="H372" s="9" t="n"/>
      <c r="I372" s="9" t="n"/>
      <c r="J372" s="10">
        <f>IF(OR($H372="",$I372=""),"",ROUND($H372*$I372,0))</f>
        <v/>
      </c>
      <c r="K372" s="10">
        <f>IF(OR($B372="",$E372="",Calc!$B369=""),"",SUMIFS(CalcAmtA,CalcPartyA,$E372,CalcKeyA,"&lt;="&amp;Calc!$B369)-SUMIFS(CalcWitB,CalcPartyB,$E372,CalcKeyB,"&lt;="&amp;Calc!$B369)+SUMIFS(CalcDepB,CalcPartyB,$E372,CalcKeyB,"&lt;="&amp;Calc!$B369))</f>
        <v/>
      </c>
      <c r="L372" s="8" t="n"/>
    </row>
    <row r="373">
      <c r="A373" s="7">
        <f>IF($B373="","",COUNTA($B$9:$B373))</f>
        <v/>
      </c>
      <c r="B373" s="8" t="n"/>
      <c r="C373" s="8" t="n"/>
      <c r="D373" s="8" t="n"/>
      <c r="E373" s="8" t="n"/>
      <c r="F373" s="7">
        <f>IF($E373="","",IFERROR(IF(VLOOKUP($E373,AcctTbl,4,0)="","",VLOOKUP($E373,AcctTbl,4,0)),"—"))</f>
        <v/>
      </c>
      <c r="G373" s="8" t="n"/>
      <c r="H373" s="9" t="n"/>
      <c r="I373" s="9" t="n"/>
      <c r="J373" s="10">
        <f>IF(OR($H373="",$I373=""),"",ROUND($H373*$I373,0))</f>
        <v/>
      </c>
      <c r="K373" s="10">
        <f>IF(OR($B373="",$E373="",Calc!$B370=""),"",SUMIFS(CalcAmtA,CalcPartyA,$E373,CalcKeyA,"&lt;="&amp;Calc!$B370)-SUMIFS(CalcWitB,CalcPartyB,$E373,CalcKeyB,"&lt;="&amp;Calc!$B370)+SUMIFS(CalcDepB,CalcPartyB,$E373,CalcKeyB,"&lt;="&amp;Calc!$B370))</f>
        <v/>
      </c>
      <c r="L373" s="8" t="n"/>
    </row>
    <row r="374">
      <c r="A374" s="7">
        <f>IF($B374="","",COUNTA($B$9:$B374))</f>
        <v/>
      </c>
      <c r="B374" s="8" t="n"/>
      <c r="C374" s="8" t="n"/>
      <c r="D374" s="8" t="n"/>
      <c r="E374" s="8" t="n"/>
      <c r="F374" s="7">
        <f>IF($E374="","",IFERROR(IF(VLOOKUP($E374,AcctTbl,4,0)="","",VLOOKUP($E374,AcctTbl,4,0)),"—"))</f>
        <v/>
      </c>
      <c r="G374" s="8" t="n"/>
      <c r="H374" s="9" t="n"/>
      <c r="I374" s="9" t="n"/>
      <c r="J374" s="10">
        <f>IF(OR($H374="",$I374=""),"",ROUND($H374*$I374,0))</f>
        <v/>
      </c>
      <c r="K374" s="10">
        <f>IF(OR($B374="",$E374="",Calc!$B371=""),"",SUMIFS(CalcAmtA,CalcPartyA,$E374,CalcKeyA,"&lt;="&amp;Calc!$B371)-SUMIFS(CalcWitB,CalcPartyB,$E374,CalcKeyB,"&lt;="&amp;Calc!$B371)+SUMIFS(CalcDepB,CalcPartyB,$E374,CalcKeyB,"&lt;="&amp;Calc!$B371))</f>
        <v/>
      </c>
      <c r="L374" s="8" t="n"/>
    </row>
    <row r="375">
      <c r="A375" s="7">
        <f>IF($B375="","",COUNTA($B$9:$B375))</f>
        <v/>
      </c>
      <c r="B375" s="8" t="n"/>
      <c r="C375" s="8" t="n"/>
      <c r="D375" s="8" t="n"/>
      <c r="E375" s="8" t="n"/>
      <c r="F375" s="7">
        <f>IF($E375="","",IFERROR(IF(VLOOKUP($E375,AcctTbl,4,0)="","",VLOOKUP($E375,AcctTbl,4,0)),"—"))</f>
        <v/>
      </c>
      <c r="G375" s="8" t="n"/>
      <c r="H375" s="9" t="n"/>
      <c r="I375" s="9" t="n"/>
      <c r="J375" s="10">
        <f>IF(OR($H375="",$I375=""),"",ROUND($H375*$I375,0))</f>
        <v/>
      </c>
      <c r="K375" s="10">
        <f>IF(OR($B375="",$E375="",Calc!$B372=""),"",SUMIFS(CalcAmtA,CalcPartyA,$E375,CalcKeyA,"&lt;="&amp;Calc!$B372)-SUMIFS(CalcWitB,CalcPartyB,$E375,CalcKeyB,"&lt;="&amp;Calc!$B372)+SUMIFS(CalcDepB,CalcPartyB,$E375,CalcKeyB,"&lt;="&amp;Calc!$B372))</f>
        <v/>
      </c>
      <c r="L375" s="8" t="n"/>
    </row>
    <row r="376">
      <c r="A376" s="7">
        <f>IF($B376="","",COUNTA($B$9:$B376))</f>
        <v/>
      </c>
      <c r="B376" s="8" t="n"/>
      <c r="C376" s="8" t="n"/>
      <c r="D376" s="8" t="n"/>
      <c r="E376" s="8" t="n"/>
      <c r="F376" s="7">
        <f>IF($E376="","",IFERROR(IF(VLOOKUP($E376,AcctTbl,4,0)="","",VLOOKUP($E376,AcctTbl,4,0)),"—"))</f>
        <v/>
      </c>
      <c r="G376" s="8" t="n"/>
      <c r="H376" s="9" t="n"/>
      <c r="I376" s="9" t="n"/>
      <c r="J376" s="10">
        <f>IF(OR($H376="",$I376=""),"",ROUND($H376*$I376,0))</f>
        <v/>
      </c>
      <c r="K376" s="10">
        <f>IF(OR($B376="",$E376="",Calc!$B373=""),"",SUMIFS(CalcAmtA,CalcPartyA,$E376,CalcKeyA,"&lt;="&amp;Calc!$B373)-SUMIFS(CalcWitB,CalcPartyB,$E376,CalcKeyB,"&lt;="&amp;Calc!$B373)+SUMIFS(CalcDepB,CalcPartyB,$E376,CalcKeyB,"&lt;="&amp;Calc!$B373))</f>
        <v/>
      </c>
      <c r="L376" s="8" t="n"/>
    </row>
    <row r="377">
      <c r="A377" s="7">
        <f>IF($B377="","",COUNTA($B$9:$B377))</f>
        <v/>
      </c>
      <c r="B377" s="8" t="n"/>
      <c r="C377" s="8" t="n"/>
      <c r="D377" s="8" t="n"/>
      <c r="E377" s="8" t="n"/>
      <c r="F377" s="7">
        <f>IF($E377="","",IFERROR(IF(VLOOKUP($E377,AcctTbl,4,0)="","",VLOOKUP($E377,AcctTbl,4,0)),"—"))</f>
        <v/>
      </c>
      <c r="G377" s="8" t="n"/>
      <c r="H377" s="9" t="n"/>
      <c r="I377" s="9" t="n"/>
      <c r="J377" s="10">
        <f>IF(OR($H377="",$I377=""),"",ROUND($H377*$I377,0))</f>
        <v/>
      </c>
      <c r="K377" s="10">
        <f>IF(OR($B377="",$E377="",Calc!$B374=""),"",SUMIFS(CalcAmtA,CalcPartyA,$E377,CalcKeyA,"&lt;="&amp;Calc!$B374)-SUMIFS(CalcWitB,CalcPartyB,$E377,CalcKeyB,"&lt;="&amp;Calc!$B374)+SUMIFS(CalcDepB,CalcPartyB,$E377,CalcKeyB,"&lt;="&amp;Calc!$B374))</f>
        <v/>
      </c>
      <c r="L377" s="8" t="n"/>
    </row>
    <row r="378">
      <c r="A378" s="7">
        <f>IF($B378="","",COUNTA($B$9:$B378))</f>
        <v/>
      </c>
      <c r="B378" s="8" t="n"/>
      <c r="C378" s="8" t="n"/>
      <c r="D378" s="8" t="n"/>
      <c r="E378" s="8" t="n"/>
      <c r="F378" s="7">
        <f>IF($E378="","",IFERROR(IF(VLOOKUP($E378,AcctTbl,4,0)="","",VLOOKUP($E378,AcctTbl,4,0)),"—"))</f>
        <v/>
      </c>
      <c r="G378" s="8" t="n"/>
      <c r="H378" s="9" t="n"/>
      <c r="I378" s="9" t="n"/>
      <c r="J378" s="10">
        <f>IF(OR($H378="",$I378=""),"",ROUND($H378*$I378,0))</f>
        <v/>
      </c>
      <c r="K378" s="10">
        <f>IF(OR($B378="",$E378="",Calc!$B375=""),"",SUMIFS(CalcAmtA,CalcPartyA,$E378,CalcKeyA,"&lt;="&amp;Calc!$B375)-SUMIFS(CalcWitB,CalcPartyB,$E378,CalcKeyB,"&lt;="&amp;Calc!$B375)+SUMIFS(CalcDepB,CalcPartyB,$E378,CalcKeyB,"&lt;="&amp;Calc!$B375))</f>
        <v/>
      </c>
      <c r="L378" s="8" t="n"/>
    </row>
    <row r="379">
      <c r="A379" s="7">
        <f>IF($B379="","",COUNTA($B$9:$B379))</f>
        <v/>
      </c>
      <c r="B379" s="8" t="n"/>
      <c r="C379" s="8" t="n"/>
      <c r="D379" s="8" t="n"/>
      <c r="E379" s="8" t="n"/>
      <c r="F379" s="7">
        <f>IF($E379="","",IFERROR(IF(VLOOKUP($E379,AcctTbl,4,0)="","",VLOOKUP($E379,AcctTbl,4,0)),"—"))</f>
        <v/>
      </c>
      <c r="G379" s="8" t="n"/>
      <c r="H379" s="9" t="n"/>
      <c r="I379" s="9" t="n"/>
      <c r="J379" s="10">
        <f>IF(OR($H379="",$I379=""),"",ROUND($H379*$I379,0))</f>
        <v/>
      </c>
      <c r="K379" s="10">
        <f>IF(OR($B379="",$E379="",Calc!$B376=""),"",SUMIFS(CalcAmtA,CalcPartyA,$E379,CalcKeyA,"&lt;="&amp;Calc!$B376)-SUMIFS(CalcWitB,CalcPartyB,$E379,CalcKeyB,"&lt;="&amp;Calc!$B376)+SUMIFS(CalcDepB,CalcPartyB,$E379,CalcKeyB,"&lt;="&amp;Calc!$B376))</f>
        <v/>
      </c>
      <c r="L379" s="8" t="n"/>
    </row>
    <row r="380">
      <c r="A380" s="7">
        <f>IF($B380="","",COUNTA($B$9:$B380))</f>
        <v/>
      </c>
      <c r="B380" s="8" t="n"/>
      <c r="C380" s="8" t="n"/>
      <c r="D380" s="8" t="n"/>
      <c r="E380" s="8" t="n"/>
      <c r="F380" s="7">
        <f>IF($E380="","",IFERROR(IF(VLOOKUP($E380,AcctTbl,4,0)="","",VLOOKUP($E380,AcctTbl,4,0)),"—"))</f>
        <v/>
      </c>
      <c r="G380" s="8" t="n"/>
      <c r="H380" s="9" t="n"/>
      <c r="I380" s="9" t="n"/>
      <c r="J380" s="10">
        <f>IF(OR($H380="",$I380=""),"",ROUND($H380*$I380,0))</f>
        <v/>
      </c>
      <c r="K380" s="10">
        <f>IF(OR($B380="",$E380="",Calc!$B377=""),"",SUMIFS(CalcAmtA,CalcPartyA,$E380,CalcKeyA,"&lt;="&amp;Calc!$B377)-SUMIFS(CalcWitB,CalcPartyB,$E380,CalcKeyB,"&lt;="&amp;Calc!$B377)+SUMIFS(CalcDepB,CalcPartyB,$E380,CalcKeyB,"&lt;="&amp;Calc!$B377))</f>
        <v/>
      </c>
      <c r="L380" s="8" t="n"/>
    </row>
    <row r="381">
      <c r="A381" s="7">
        <f>IF($B381="","",COUNTA($B$9:$B381))</f>
        <v/>
      </c>
      <c r="B381" s="8" t="n"/>
      <c r="C381" s="8" t="n"/>
      <c r="D381" s="8" t="n"/>
      <c r="E381" s="8" t="n"/>
      <c r="F381" s="7">
        <f>IF($E381="","",IFERROR(IF(VLOOKUP($E381,AcctTbl,4,0)="","",VLOOKUP($E381,AcctTbl,4,0)),"—"))</f>
        <v/>
      </c>
      <c r="G381" s="8" t="n"/>
      <c r="H381" s="9" t="n"/>
      <c r="I381" s="9" t="n"/>
      <c r="J381" s="10">
        <f>IF(OR($H381="",$I381=""),"",ROUND($H381*$I381,0))</f>
        <v/>
      </c>
      <c r="K381" s="10">
        <f>IF(OR($B381="",$E381="",Calc!$B378=""),"",SUMIFS(CalcAmtA,CalcPartyA,$E381,CalcKeyA,"&lt;="&amp;Calc!$B378)-SUMIFS(CalcWitB,CalcPartyB,$E381,CalcKeyB,"&lt;="&amp;Calc!$B378)+SUMIFS(CalcDepB,CalcPartyB,$E381,CalcKeyB,"&lt;="&amp;Calc!$B378))</f>
        <v/>
      </c>
      <c r="L381" s="8" t="n"/>
    </row>
    <row r="382">
      <c r="A382" s="7">
        <f>IF($B382="","",COUNTA($B$9:$B382))</f>
        <v/>
      </c>
      <c r="B382" s="8" t="n"/>
      <c r="C382" s="8" t="n"/>
      <c r="D382" s="8" t="n"/>
      <c r="E382" s="8" t="n"/>
      <c r="F382" s="7">
        <f>IF($E382="","",IFERROR(IF(VLOOKUP($E382,AcctTbl,4,0)="","",VLOOKUP($E382,AcctTbl,4,0)),"—"))</f>
        <v/>
      </c>
      <c r="G382" s="8" t="n"/>
      <c r="H382" s="9" t="n"/>
      <c r="I382" s="9" t="n"/>
      <c r="J382" s="10">
        <f>IF(OR($H382="",$I382=""),"",ROUND($H382*$I382,0))</f>
        <v/>
      </c>
      <c r="K382" s="10">
        <f>IF(OR($B382="",$E382="",Calc!$B379=""),"",SUMIFS(CalcAmtA,CalcPartyA,$E382,CalcKeyA,"&lt;="&amp;Calc!$B379)-SUMIFS(CalcWitB,CalcPartyB,$E382,CalcKeyB,"&lt;="&amp;Calc!$B379)+SUMIFS(CalcDepB,CalcPartyB,$E382,CalcKeyB,"&lt;="&amp;Calc!$B379))</f>
        <v/>
      </c>
      <c r="L382" s="8" t="n"/>
    </row>
    <row r="383">
      <c r="A383" s="7">
        <f>IF($B383="","",COUNTA($B$9:$B383))</f>
        <v/>
      </c>
      <c r="B383" s="8" t="n"/>
      <c r="C383" s="8" t="n"/>
      <c r="D383" s="8" t="n"/>
      <c r="E383" s="8" t="n"/>
      <c r="F383" s="7">
        <f>IF($E383="","",IFERROR(IF(VLOOKUP($E383,AcctTbl,4,0)="","",VLOOKUP($E383,AcctTbl,4,0)),"—"))</f>
        <v/>
      </c>
      <c r="G383" s="8" t="n"/>
      <c r="H383" s="9" t="n"/>
      <c r="I383" s="9" t="n"/>
      <c r="J383" s="10">
        <f>IF(OR($H383="",$I383=""),"",ROUND($H383*$I383,0))</f>
        <v/>
      </c>
      <c r="K383" s="10">
        <f>IF(OR($B383="",$E383="",Calc!$B380=""),"",SUMIFS(CalcAmtA,CalcPartyA,$E383,CalcKeyA,"&lt;="&amp;Calc!$B380)-SUMIFS(CalcWitB,CalcPartyB,$E383,CalcKeyB,"&lt;="&amp;Calc!$B380)+SUMIFS(CalcDepB,CalcPartyB,$E383,CalcKeyB,"&lt;="&amp;Calc!$B380))</f>
        <v/>
      </c>
      <c r="L383" s="8" t="n"/>
    </row>
    <row r="384">
      <c r="A384" s="7">
        <f>IF($B384="","",COUNTA($B$9:$B384))</f>
        <v/>
      </c>
      <c r="B384" s="8" t="n"/>
      <c r="C384" s="8" t="n"/>
      <c r="D384" s="8" t="n"/>
      <c r="E384" s="8" t="n"/>
      <c r="F384" s="7">
        <f>IF($E384="","",IFERROR(IF(VLOOKUP($E384,AcctTbl,4,0)="","",VLOOKUP($E384,AcctTbl,4,0)),"—"))</f>
        <v/>
      </c>
      <c r="G384" s="8" t="n"/>
      <c r="H384" s="9" t="n"/>
      <c r="I384" s="9" t="n"/>
      <c r="J384" s="10">
        <f>IF(OR($H384="",$I384=""),"",ROUND($H384*$I384,0))</f>
        <v/>
      </c>
      <c r="K384" s="10">
        <f>IF(OR($B384="",$E384="",Calc!$B381=""),"",SUMIFS(CalcAmtA,CalcPartyA,$E384,CalcKeyA,"&lt;="&amp;Calc!$B381)-SUMIFS(CalcWitB,CalcPartyB,$E384,CalcKeyB,"&lt;="&amp;Calc!$B381)+SUMIFS(CalcDepB,CalcPartyB,$E384,CalcKeyB,"&lt;="&amp;Calc!$B381))</f>
        <v/>
      </c>
      <c r="L384" s="8" t="n"/>
    </row>
    <row r="385">
      <c r="A385" s="7">
        <f>IF($B385="","",COUNTA($B$9:$B385))</f>
        <v/>
      </c>
      <c r="B385" s="8" t="n"/>
      <c r="C385" s="8" t="n"/>
      <c r="D385" s="8" t="n"/>
      <c r="E385" s="8" t="n"/>
      <c r="F385" s="7">
        <f>IF($E385="","",IFERROR(IF(VLOOKUP($E385,AcctTbl,4,0)="","",VLOOKUP($E385,AcctTbl,4,0)),"—"))</f>
        <v/>
      </c>
      <c r="G385" s="8" t="n"/>
      <c r="H385" s="9" t="n"/>
      <c r="I385" s="9" t="n"/>
      <c r="J385" s="10">
        <f>IF(OR($H385="",$I385=""),"",ROUND($H385*$I385,0))</f>
        <v/>
      </c>
      <c r="K385" s="10">
        <f>IF(OR($B385="",$E385="",Calc!$B382=""),"",SUMIFS(CalcAmtA,CalcPartyA,$E385,CalcKeyA,"&lt;="&amp;Calc!$B382)-SUMIFS(CalcWitB,CalcPartyB,$E385,CalcKeyB,"&lt;="&amp;Calc!$B382)+SUMIFS(CalcDepB,CalcPartyB,$E385,CalcKeyB,"&lt;="&amp;Calc!$B382))</f>
        <v/>
      </c>
      <c r="L385" s="8" t="n"/>
    </row>
    <row r="386">
      <c r="A386" s="7">
        <f>IF($B386="","",COUNTA($B$9:$B386))</f>
        <v/>
      </c>
      <c r="B386" s="8" t="n"/>
      <c r="C386" s="8" t="n"/>
      <c r="D386" s="8" t="n"/>
      <c r="E386" s="8" t="n"/>
      <c r="F386" s="7">
        <f>IF($E386="","",IFERROR(IF(VLOOKUP($E386,AcctTbl,4,0)="","",VLOOKUP($E386,AcctTbl,4,0)),"—"))</f>
        <v/>
      </c>
      <c r="G386" s="8" t="n"/>
      <c r="H386" s="9" t="n"/>
      <c r="I386" s="9" t="n"/>
      <c r="J386" s="10">
        <f>IF(OR($H386="",$I386=""),"",ROUND($H386*$I386,0))</f>
        <v/>
      </c>
      <c r="K386" s="10">
        <f>IF(OR($B386="",$E386="",Calc!$B383=""),"",SUMIFS(CalcAmtA,CalcPartyA,$E386,CalcKeyA,"&lt;="&amp;Calc!$B383)-SUMIFS(CalcWitB,CalcPartyB,$E386,CalcKeyB,"&lt;="&amp;Calc!$B383)+SUMIFS(CalcDepB,CalcPartyB,$E386,CalcKeyB,"&lt;="&amp;Calc!$B383))</f>
        <v/>
      </c>
      <c r="L386" s="8" t="n"/>
    </row>
    <row r="387">
      <c r="A387" s="7">
        <f>IF($B387="","",COUNTA($B$9:$B387))</f>
        <v/>
      </c>
      <c r="B387" s="8" t="n"/>
      <c r="C387" s="8" t="n"/>
      <c r="D387" s="8" t="n"/>
      <c r="E387" s="8" t="n"/>
      <c r="F387" s="7">
        <f>IF($E387="","",IFERROR(IF(VLOOKUP($E387,AcctTbl,4,0)="","",VLOOKUP($E387,AcctTbl,4,0)),"—"))</f>
        <v/>
      </c>
      <c r="G387" s="8" t="n"/>
      <c r="H387" s="9" t="n"/>
      <c r="I387" s="9" t="n"/>
      <c r="J387" s="10">
        <f>IF(OR($H387="",$I387=""),"",ROUND($H387*$I387,0))</f>
        <v/>
      </c>
      <c r="K387" s="10">
        <f>IF(OR($B387="",$E387="",Calc!$B384=""),"",SUMIFS(CalcAmtA,CalcPartyA,$E387,CalcKeyA,"&lt;="&amp;Calc!$B384)-SUMIFS(CalcWitB,CalcPartyB,$E387,CalcKeyB,"&lt;="&amp;Calc!$B384)+SUMIFS(CalcDepB,CalcPartyB,$E387,CalcKeyB,"&lt;="&amp;Calc!$B384))</f>
        <v/>
      </c>
      <c r="L387" s="8" t="n"/>
    </row>
    <row r="388">
      <c r="A388" s="7">
        <f>IF($B388="","",COUNTA($B$9:$B388))</f>
        <v/>
      </c>
      <c r="B388" s="8" t="n"/>
      <c r="C388" s="8" t="n"/>
      <c r="D388" s="8" t="n"/>
      <c r="E388" s="8" t="n"/>
      <c r="F388" s="7">
        <f>IF($E388="","",IFERROR(IF(VLOOKUP($E388,AcctTbl,4,0)="","",VLOOKUP($E388,AcctTbl,4,0)),"—"))</f>
        <v/>
      </c>
      <c r="G388" s="8" t="n"/>
      <c r="H388" s="9" t="n"/>
      <c r="I388" s="9" t="n"/>
      <c r="J388" s="10">
        <f>IF(OR($H388="",$I388=""),"",ROUND($H388*$I388,0))</f>
        <v/>
      </c>
      <c r="K388" s="10">
        <f>IF(OR($B388="",$E388="",Calc!$B385=""),"",SUMIFS(CalcAmtA,CalcPartyA,$E388,CalcKeyA,"&lt;="&amp;Calc!$B385)-SUMIFS(CalcWitB,CalcPartyB,$E388,CalcKeyB,"&lt;="&amp;Calc!$B385)+SUMIFS(CalcDepB,CalcPartyB,$E388,CalcKeyB,"&lt;="&amp;Calc!$B385))</f>
        <v/>
      </c>
      <c r="L388" s="8" t="n"/>
    </row>
    <row r="389">
      <c r="A389" s="7">
        <f>IF($B389="","",COUNTA($B$9:$B389))</f>
        <v/>
      </c>
      <c r="B389" s="8" t="n"/>
      <c r="C389" s="8" t="n"/>
      <c r="D389" s="8" t="n"/>
      <c r="E389" s="8" t="n"/>
      <c r="F389" s="7">
        <f>IF($E389="","",IFERROR(IF(VLOOKUP($E389,AcctTbl,4,0)="","",VLOOKUP($E389,AcctTbl,4,0)),"—"))</f>
        <v/>
      </c>
      <c r="G389" s="8" t="n"/>
      <c r="H389" s="9" t="n"/>
      <c r="I389" s="9" t="n"/>
      <c r="J389" s="10">
        <f>IF(OR($H389="",$I389=""),"",ROUND($H389*$I389,0))</f>
        <v/>
      </c>
      <c r="K389" s="10">
        <f>IF(OR($B389="",$E389="",Calc!$B386=""),"",SUMIFS(CalcAmtA,CalcPartyA,$E389,CalcKeyA,"&lt;="&amp;Calc!$B386)-SUMIFS(CalcWitB,CalcPartyB,$E389,CalcKeyB,"&lt;="&amp;Calc!$B386)+SUMIFS(CalcDepB,CalcPartyB,$E389,CalcKeyB,"&lt;="&amp;Calc!$B386))</f>
        <v/>
      </c>
      <c r="L389" s="8" t="n"/>
    </row>
    <row r="390">
      <c r="A390" s="7">
        <f>IF($B390="","",COUNTA($B$9:$B390))</f>
        <v/>
      </c>
      <c r="B390" s="8" t="n"/>
      <c r="C390" s="8" t="n"/>
      <c r="D390" s="8" t="n"/>
      <c r="E390" s="8" t="n"/>
      <c r="F390" s="7">
        <f>IF($E390="","",IFERROR(IF(VLOOKUP($E390,AcctTbl,4,0)="","",VLOOKUP($E390,AcctTbl,4,0)),"—"))</f>
        <v/>
      </c>
      <c r="G390" s="8" t="n"/>
      <c r="H390" s="9" t="n"/>
      <c r="I390" s="9" t="n"/>
      <c r="J390" s="10">
        <f>IF(OR($H390="",$I390=""),"",ROUND($H390*$I390,0))</f>
        <v/>
      </c>
      <c r="K390" s="10">
        <f>IF(OR($B390="",$E390="",Calc!$B387=""),"",SUMIFS(CalcAmtA,CalcPartyA,$E390,CalcKeyA,"&lt;="&amp;Calc!$B387)-SUMIFS(CalcWitB,CalcPartyB,$E390,CalcKeyB,"&lt;="&amp;Calc!$B387)+SUMIFS(CalcDepB,CalcPartyB,$E390,CalcKeyB,"&lt;="&amp;Calc!$B387))</f>
        <v/>
      </c>
      <c r="L390" s="8" t="n"/>
    </row>
    <row r="391">
      <c r="A391" s="7">
        <f>IF($B391="","",COUNTA($B$9:$B391))</f>
        <v/>
      </c>
      <c r="B391" s="8" t="n"/>
      <c r="C391" s="8" t="n"/>
      <c r="D391" s="8" t="n"/>
      <c r="E391" s="8" t="n"/>
      <c r="F391" s="7">
        <f>IF($E391="","",IFERROR(IF(VLOOKUP($E391,AcctTbl,4,0)="","",VLOOKUP($E391,AcctTbl,4,0)),"—"))</f>
        <v/>
      </c>
      <c r="G391" s="8" t="n"/>
      <c r="H391" s="9" t="n"/>
      <c r="I391" s="9" t="n"/>
      <c r="J391" s="10">
        <f>IF(OR($H391="",$I391=""),"",ROUND($H391*$I391,0))</f>
        <v/>
      </c>
      <c r="K391" s="10">
        <f>IF(OR($B391="",$E391="",Calc!$B388=""),"",SUMIFS(CalcAmtA,CalcPartyA,$E391,CalcKeyA,"&lt;="&amp;Calc!$B388)-SUMIFS(CalcWitB,CalcPartyB,$E391,CalcKeyB,"&lt;="&amp;Calc!$B388)+SUMIFS(CalcDepB,CalcPartyB,$E391,CalcKeyB,"&lt;="&amp;Calc!$B388))</f>
        <v/>
      </c>
      <c r="L391" s="8" t="n"/>
    </row>
    <row r="392">
      <c r="A392" s="7">
        <f>IF($B392="","",COUNTA($B$9:$B392))</f>
        <v/>
      </c>
      <c r="B392" s="8" t="n"/>
      <c r="C392" s="8" t="n"/>
      <c r="D392" s="8" t="n"/>
      <c r="E392" s="8" t="n"/>
      <c r="F392" s="7">
        <f>IF($E392="","",IFERROR(IF(VLOOKUP($E392,AcctTbl,4,0)="","",VLOOKUP($E392,AcctTbl,4,0)),"—"))</f>
        <v/>
      </c>
      <c r="G392" s="8" t="n"/>
      <c r="H392" s="9" t="n"/>
      <c r="I392" s="9" t="n"/>
      <c r="J392" s="10">
        <f>IF(OR($H392="",$I392=""),"",ROUND($H392*$I392,0))</f>
        <v/>
      </c>
      <c r="K392" s="10">
        <f>IF(OR($B392="",$E392="",Calc!$B389=""),"",SUMIFS(CalcAmtA,CalcPartyA,$E392,CalcKeyA,"&lt;="&amp;Calc!$B389)-SUMIFS(CalcWitB,CalcPartyB,$E392,CalcKeyB,"&lt;="&amp;Calc!$B389)+SUMIFS(CalcDepB,CalcPartyB,$E392,CalcKeyB,"&lt;="&amp;Calc!$B389))</f>
        <v/>
      </c>
      <c r="L392" s="8" t="n"/>
    </row>
    <row r="393">
      <c r="A393" s="7">
        <f>IF($B393="","",COUNTA($B$9:$B393))</f>
        <v/>
      </c>
      <c r="B393" s="8" t="n"/>
      <c r="C393" s="8" t="n"/>
      <c r="D393" s="8" t="n"/>
      <c r="E393" s="8" t="n"/>
      <c r="F393" s="7">
        <f>IF($E393="","",IFERROR(IF(VLOOKUP($E393,AcctTbl,4,0)="","",VLOOKUP($E393,AcctTbl,4,0)),"—"))</f>
        <v/>
      </c>
      <c r="G393" s="8" t="n"/>
      <c r="H393" s="9" t="n"/>
      <c r="I393" s="9" t="n"/>
      <c r="J393" s="10">
        <f>IF(OR($H393="",$I393=""),"",ROUND($H393*$I393,0))</f>
        <v/>
      </c>
      <c r="K393" s="10">
        <f>IF(OR($B393="",$E393="",Calc!$B390=""),"",SUMIFS(CalcAmtA,CalcPartyA,$E393,CalcKeyA,"&lt;="&amp;Calc!$B390)-SUMIFS(CalcWitB,CalcPartyB,$E393,CalcKeyB,"&lt;="&amp;Calc!$B390)+SUMIFS(CalcDepB,CalcPartyB,$E393,CalcKeyB,"&lt;="&amp;Calc!$B390))</f>
        <v/>
      </c>
      <c r="L393" s="8" t="n"/>
    </row>
    <row r="394">
      <c r="A394" s="7">
        <f>IF($B394="","",COUNTA($B$9:$B394))</f>
        <v/>
      </c>
      <c r="B394" s="8" t="n"/>
      <c r="C394" s="8" t="n"/>
      <c r="D394" s="8" t="n"/>
      <c r="E394" s="8" t="n"/>
      <c r="F394" s="7">
        <f>IF($E394="","",IFERROR(IF(VLOOKUP($E394,AcctTbl,4,0)="","",VLOOKUP($E394,AcctTbl,4,0)),"—"))</f>
        <v/>
      </c>
      <c r="G394" s="8" t="n"/>
      <c r="H394" s="9" t="n"/>
      <c r="I394" s="9" t="n"/>
      <c r="J394" s="10">
        <f>IF(OR($H394="",$I394=""),"",ROUND($H394*$I394,0))</f>
        <v/>
      </c>
      <c r="K394" s="10">
        <f>IF(OR($B394="",$E394="",Calc!$B391=""),"",SUMIFS(CalcAmtA,CalcPartyA,$E394,CalcKeyA,"&lt;="&amp;Calc!$B391)-SUMIFS(CalcWitB,CalcPartyB,$E394,CalcKeyB,"&lt;="&amp;Calc!$B391)+SUMIFS(CalcDepB,CalcPartyB,$E394,CalcKeyB,"&lt;="&amp;Calc!$B391))</f>
        <v/>
      </c>
      <c r="L394" s="8" t="n"/>
    </row>
    <row r="395">
      <c r="A395" s="7">
        <f>IF($B395="","",COUNTA($B$9:$B395))</f>
        <v/>
      </c>
      <c r="B395" s="8" t="n"/>
      <c r="C395" s="8" t="n"/>
      <c r="D395" s="8" t="n"/>
      <c r="E395" s="8" t="n"/>
      <c r="F395" s="7">
        <f>IF($E395="","",IFERROR(IF(VLOOKUP($E395,AcctTbl,4,0)="","",VLOOKUP($E395,AcctTbl,4,0)),"—"))</f>
        <v/>
      </c>
      <c r="G395" s="8" t="n"/>
      <c r="H395" s="9" t="n"/>
      <c r="I395" s="9" t="n"/>
      <c r="J395" s="10">
        <f>IF(OR($H395="",$I395=""),"",ROUND($H395*$I395,0))</f>
        <v/>
      </c>
      <c r="K395" s="10">
        <f>IF(OR($B395="",$E395="",Calc!$B392=""),"",SUMIFS(CalcAmtA,CalcPartyA,$E395,CalcKeyA,"&lt;="&amp;Calc!$B392)-SUMIFS(CalcWitB,CalcPartyB,$E395,CalcKeyB,"&lt;="&amp;Calc!$B392)+SUMIFS(CalcDepB,CalcPartyB,$E395,CalcKeyB,"&lt;="&amp;Calc!$B392))</f>
        <v/>
      </c>
      <c r="L395" s="8" t="n"/>
    </row>
    <row r="396">
      <c r="A396" s="7">
        <f>IF($B396="","",COUNTA($B$9:$B396))</f>
        <v/>
      </c>
      <c r="B396" s="8" t="n"/>
      <c r="C396" s="8" t="n"/>
      <c r="D396" s="8" t="n"/>
      <c r="E396" s="8" t="n"/>
      <c r="F396" s="7">
        <f>IF($E396="","",IFERROR(IF(VLOOKUP($E396,AcctTbl,4,0)="","",VLOOKUP($E396,AcctTbl,4,0)),"—"))</f>
        <v/>
      </c>
      <c r="G396" s="8" t="n"/>
      <c r="H396" s="9" t="n"/>
      <c r="I396" s="9" t="n"/>
      <c r="J396" s="10">
        <f>IF(OR($H396="",$I396=""),"",ROUND($H396*$I396,0))</f>
        <v/>
      </c>
      <c r="K396" s="10">
        <f>IF(OR($B396="",$E396="",Calc!$B393=""),"",SUMIFS(CalcAmtA,CalcPartyA,$E396,CalcKeyA,"&lt;="&amp;Calc!$B393)-SUMIFS(CalcWitB,CalcPartyB,$E396,CalcKeyB,"&lt;="&amp;Calc!$B393)+SUMIFS(CalcDepB,CalcPartyB,$E396,CalcKeyB,"&lt;="&amp;Calc!$B393))</f>
        <v/>
      </c>
      <c r="L396" s="8" t="n"/>
    </row>
    <row r="397">
      <c r="A397" s="7">
        <f>IF($B397="","",COUNTA($B$9:$B397))</f>
        <v/>
      </c>
      <c r="B397" s="8" t="n"/>
      <c r="C397" s="8" t="n"/>
      <c r="D397" s="8" t="n"/>
      <c r="E397" s="8" t="n"/>
      <c r="F397" s="7">
        <f>IF($E397="","",IFERROR(IF(VLOOKUP($E397,AcctTbl,4,0)="","",VLOOKUP($E397,AcctTbl,4,0)),"—"))</f>
        <v/>
      </c>
      <c r="G397" s="8" t="n"/>
      <c r="H397" s="9" t="n"/>
      <c r="I397" s="9" t="n"/>
      <c r="J397" s="10">
        <f>IF(OR($H397="",$I397=""),"",ROUND($H397*$I397,0))</f>
        <v/>
      </c>
      <c r="K397" s="10">
        <f>IF(OR($B397="",$E397="",Calc!$B394=""),"",SUMIFS(CalcAmtA,CalcPartyA,$E397,CalcKeyA,"&lt;="&amp;Calc!$B394)-SUMIFS(CalcWitB,CalcPartyB,$E397,CalcKeyB,"&lt;="&amp;Calc!$B394)+SUMIFS(CalcDepB,CalcPartyB,$E397,CalcKeyB,"&lt;="&amp;Calc!$B394))</f>
        <v/>
      </c>
      <c r="L397" s="8" t="n"/>
    </row>
    <row r="398">
      <c r="A398" s="7">
        <f>IF($B398="","",COUNTA($B$9:$B398))</f>
        <v/>
      </c>
      <c r="B398" s="8" t="n"/>
      <c r="C398" s="8" t="n"/>
      <c r="D398" s="8" t="n"/>
      <c r="E398" s="8" t="n"/>
      <c r="F398" s="7">
        <f>IF($E398="","",IFERROR(IF(VLOOKUP($E398,AcctTbl,4,0)="","",VLOOKUP($E398,AcctTbl,4,0)),"—"))</f>
        <v/>
      </c>
      <c r="G398" s="8" t="n"/>
      <c r="H398" s="9" t="n"/>
      <c r="I398" s="9" t="n"/>
      <c r="J398" s="10">
        <f>IF(OR($H398="",$I398=""),"",ROUND($H398*$I398,0))</f>
        <v/>
      </c>
      <c r="K398" s="10">
        <f>IF(OR($B398="",$E398="",Calc!$B395=""),"",SUMIFS(CalcAmtA,CalcPartyA,$E398,CalcKeyA,"&lt;="&amp;Calc!$B395)-SUMIFS(CalcWitB,CalcPartyB,$E398,CalcKeyB,"&lt;="&amp;Calc!$B395)+SUMIFS(CalcDepB,CalcPartyB,$E398,CalcKeyB,"&lt;="&amp;Calc!$B395))</f>
        <v/>
      </c>
      <c r="L398" s="8" t="n"/>
    </row>
    <row r="399">
      <c r="A399" s="7">
        <f>IF($B399="","",COUNTA($B$9:$B399))</f>
        <v/>
      </c>
      <c r="B399" s="8" t="n"/>
      <c r="C399" s="8" t="n"/>
      <c r="D399" s="8" t="n"/>
      <c r="E399" s="8" t="n"/>
      <c r="F399" s="7">
        <f>IF($E399="","",IFERROR(IF(VLOOKUP($E399,AcctTbl,4,0)="","",VLOOKUP($E399,AcctTbl,4,0)),"—"))</f>
        <v/>
      </c>
      <c r="G399" s="8" t="n"/>
      <c r="H399" s="9" t="n"/>
      <c r="I399" s="9" t="n"/>
      <c r="J399" s="10">
        <f>IF(OR($H399="",$I399=""),"",ROUND($H399*$I399,0))</f>
        <v/>
      </c>
      <c r="K399" s="10">
        <f>IF(OR($B399="",$E399="",Calc!$B396=""),"",SUMIFS(CalcAmtA,CalcPartyA,$E399,CalcKeyA,"&lt;="&amp;Calc!$B396)-SUMIFS(CalcWitB,CalcPartyB,$E399,CalcKeyB,"&lt;="&amp;Calc!$B396)+SUMIFS(CalcDepB,CalcPartyB,$E399,CalcKeyB,"&lt;="&amp;Calc!$B396))</f>
        <v/>
      </c>
      <c r="L399" s="8" t="n"/>
    </row>
    <row r="400">
      <c r="A400" s="7">
        <f>IF($B400="","",COUNTA($B$9:$B400))</f>
        <v/>
      </c>
      <c r="B400" s="8" t="n"/>
      <c r="C400" s="8" t="n"/>
      <c r="D400" s="8" t="n"/>
      <c r="E400" s="8" t="n"/>
      <c r="F400" s="7">
        <f>IF($E400="","",IFERROR(IF(VLOOKUP($E400,AcctTbl,4,0)="","",VLOOKUP($E400,AcctTbl,4,0)),"—"))</f>
        <v/>
      </c>
      <c r="G400" s="8" t="n"/>
      <c r="H400" s="9" t="n"/>
      <c r="I400" s="9" t="n"/>
      <c r="J400" s="10">
        <f>IF(OR($H400="",$I400=""),"",ROUND($H400*$I400,0))</f>
        <v/>
      </c>
      <c r="K400" s="10">
        <f>IF(OR($B400="",$E400="",Calc!$B397=""),"",SUMIFS(CalcAmtA,CalcPartyA,$E400,CalcKeyA,"&lt;="&amp;Calc!$B397)-SUMIFS(CalcWitB,CalcPartyB,$E400,CalcKeyB,"&lt;="&amp;Calc!$B397)+SUMIFS(CalcDepB,CalcPartyB,$E400,CalcKeyB,"&lt;="&amp;Calc!$B397))</f>
        <v/>
      </c>
      <c r="L400" s="8" t="n"/>
    </row>
    <row r="401">
      <c r="A401" s="7">
        <f>IF($B401="","",COUNTA($B$9:$B401))</f>
        <v/>
      </c>
      <c r="B401" s="8" t="n"/>
      <c r="C401" s="8" t="n"/>
      <c r="D401" s="8" t="n"/>
      <c r="E401" s="8" t="n"/>
      <c r="F401" s="7">
        <f>IF($E401="","",IFERROR(IF(VLOOKUP($E401,AcctTbl,4,0)="","",VLOOKUP($E401,AcctTbl,4,0)),"—"))</f>
        <v/>
      </c>
      <c r="G401" s="8" t="n"/>
      <c r="H401" s="9" t="n"/>
      <c r="I401" s="9" t="n"/>
      <c r="J401" s="10">
        <f>IF(OR($H401="",$I401=""),"",ROUND($H401*$I401,0))</f>
        <v/>
      </c>
      <c r="K401" s="10">
        <f>IF(OR($B401="",$E401="",Calc!$B398=""),"",SUMIFS(CalcAmtA,CalcPartyA,$E401,CalcKeyA,"&lt;="&amp;Calc!$B398)-SUMIFS(CalcWitB,CalcPartyB,$E401,CalcKeyB,"&lt;="&amp;Calc!$B398)+SUMIFS(CalcDepB,CalcPartyB,$E401,CalcKeyB,"&lt;="&amp;Calc!$B398))</f>
        <v/>
      </c>
      <c r="L401" s="8" t="n"/>
    </row>
    <row r="402">
      <c r="A402" s="7">
        <f>IF($B402="","",COUNTA($B$9:$B402))</f>
        <v/>
      </c>
      <c r="B402" s="8" t="n"/>
      <c r="C402" s="8" t="n"/>
      <c r="D402" s="8" t="n"/>
      <c r="E402" s="8" t="n"/>
      <c r="F402" s="7">
        <f>IF($E402="","",IFERROR(IF(VLOOKUP($E402,AcctTbl,4,0)="","",VLOOKUP($E402,AcctTbl,4,0)),"—"))</f>
        <v/>
      </c>
      <c r="G402" s="8" t="n"/>
      <c r="H402" s="9" t="n"/>
      <c r="I402" s="9" t="n"/>
      <c r="J402" s="10">
        <f>IF(OR($H402="",$I402=""),"",ROUND($H402*$I402,0))</f>
        <v/>
      </c>
      <c r="K402" s="10">
        <f>IF(OR($B402="",$E402="",Calc!$B399=""),"",SUMIFS(CalcAmtA,CalcPartyA,$E402,CalcKeyA,"&lt;="&amp;Calc!$B399)-SUMIFS(CalcWitB,CalcPartyB,$E402,CalcKeyB,"&lt;="&amp;Calc!$B399)+SUMIFS(CalcDepB,CalcPartyB,$E402,CalcKeyB,"&lt;="&amp;Calc!$B399))</f>
        <v/>
      </c>
      <c r="L402" s="8" t="n"/>
    </row>
    <row r="403">
      <c r="A403" s="7">
        <f>IF($B403="","",COUNTA($B$9:$B403))</f>
        <v/>
      </c>
      <c r="B403" s="8" t="n"/>
      <c r="C403" s="8" t="n"/>
      <c r="D403" s="8" t="n"/>
      <c r="E403" s="8" t="n"/>
      <c r="F403" s="7">
        <f>IF($E403="","",IFERROR(IF(VLOOKUP($E403,AcctTbl,4,0)="","",VLOOKUP($E403,AcctTbl,4,0)),"—"))</f>
        <v/>
      </c>
      <c r="G403" s="8" t="n"/>
      <c r="H403" s="9" t="n"/>
      <c r="I403" s="9" t="n"/>
      <c r="J403" s="10">
        <f>IF(OR($H403="",$I403=""),"",ROUND($H403*$I403,0))</f>
        <v/>
      </c>
      <c r="K403" s="10">
        <f>IF(OR($B403="",$E403="",Calc!$B400=""),"",SUMIFS(CalcAmtA,CalcPartyA,$E403,CalcKeyA,"&lt;="&amp;Calc!$B400)-SUMIFS(CalcWitB,CalcPartyB,$E403,CalcKeyB,"&lt;="&amp;Calc!$B400)+SUMIFS(CalcDepB,CalcPartyB,$E403,CalcKeyB,"&lt;="&amp;Calc!$B400))</f>
        <v/>
      </c>
      <c r="L403" s="8" t="n"/>
    </row>
    <row r="404">
      <c r="A404" s="7">
        <f>IF($B404="","",COUNTA($B$9:$B404))</f>
        <v/>
      </c>
      <c r="B404" s="8" t="n"/>
      <c r="C404" s="8" t="n"/>
      <c r="D404" s="8" t="n"/>
      <c r="E404" s="8" t="n"/>
      <c r="F404" s="7">
        <f>IF($E404="","",IFERROR(IF(VLOOKUP($E404,AcctTbl,4,0)="","",VLOOKUP($E404,AcctTbl,4,0)),"—"))</f>
        <v/>
      </c>
      <c r="G404" s="8" t="n"/>
      <c r="H404" s="9" t="n"/>
      <c r="I404" s="9" t="n"/>
      <c r="J404" s="10">
        <f>IF(OR($H404="",$I404=""),"",ROUND($H404*$I404,0))</f>
        <v/>
      </c>
      <c r="K404" s="10">
        <f>IF(OR($B404="",$E404="",Calc!$B401=""),"",SUMIFS(CalcAmtA,CalcPartyA,$E404,CalcKeyA,"&lt;="&amp;Calc!$B401)-SUMIFS(CalcWitB,CalcPartyB,$E404,CalcKeyB,"&lt;="&amp;Calc!$B401)+SUMIFS(CalcDepB,CalcPartyB,$E404,CalcKeyB,"&lt;="&amp;Calc!$B401))</f>
        <v/>
      </c>
      <c r="L404" s="8" t="n"/>
    </row>
    <row r="405">
      <c r="A405" s="7">
        <f>IF($B405="","",COUNTA($B$9:$B405))</f>
        <v/>
      </c>
      <c r="B405" s="8" t="n"/>
      <c r="C405" s="8" t="n"/>
      <c r="D405" s="8" t="n"/>
      <c r="E405" s="8" t="n"/>
      <c r="F405" s="7">
        <f>IF($E405="","",IFERROR(IF(VLOOKUP($E405,AcctTbl,4,0)="","",VLOOKUP($E405,AcctTbl,4,0)),"—"))</f>
        <v/>
      </c>
      <c r="G405" s="8" t="n"/>
      <c r="H405" s="9" t="n"/>
      <c r="I405" s="9" t="n"/>
      <c r="J405" s="10">
        <f>IF(OR($H405="",$I405=""),"",ROUND($H405*$I405,0))</f>
        <v/>
      </c>
      <c r="K405" s="10">
        <f>IF(OR($B405="",$E405="",Calc!$B402=""),"",SUMIFS(CalcAmtA,CalcPartyA,$E405,CalcKeyA,"&lt;="&amp;Calc!$B402)-SUMIFS(CalcWitB,CalcPartyB,$E405,CalcKeyB,"&lt;="&amp;Calc!$B402)+SUMIFS(CalcDepB,CalcPartyB,$E405,CalcKeyB,"&lt;="&amp;Calc!$B402))</f>
        <v/>
      </c>
      <c r="L405" s="8" t="n"/>
    </row>
    <row r="406">
      <c r="A406" s="7">
        <f>IF($B406="","",COUNTA($B$9:$B406))</f>
        <v/>
      </c>
      <c r="B406" s="8" t="n"/>
      <c r="C406" s="8" t="n"/>
      <c r="D406" s="8" t="n"/>
      <c r="E406" s="8" t="n"/>
      <c r="F406" s="7">
        <f>IF($E406="","",IFERROR(IF(VLOOKUP($E406,AcctTbl,4,0)="","",VLOOKUP($E406,AcctTbl,4,0)),"—"))</f>
        <v/>
      </c>
      <c r="G406" s="8" t="n"/>
      <c r="H406" s="9" t="n"/>
      <c r="I406" s="9" t="n"/>
      <c r="J406" s="10">
        <f>IF(OR($H406="",$I406=""),"",ROUND($H406*$I406,0))</f>
        <v/>
      </c>
      <c r="K406" s="10">
        <f>IF(OR($B406="",$E406="",Calc!$B403=""),"",SUMIFS(CalcAmtA,CalcPartyA,$E406,CalcKeyA,"&lt;="&amp;Calc!$B403)-SUMIFS(CalcWitB,CalcPartyB,$E406,CalcKeyB,"&lt;="&amp;Calc!$B403)+SUMIFS(CalcDepB,CalcPartyB,$E406,CalcKeyB,"&lt;="&amp;Calc!$B403))</f>
        <v/>
      </c>
      <c r="L406" s="8" t="n"/>
    </row>
    <row r="407">
      <c r="A407" s="7">
        <f>IF($B407="","",COUNTA($B$9:$B407))</f>
        <v/>
      </c>
      <c r="B407" s="8" t="n"/>
      <c r="C407" s="8" t="n"/>
      <c r="D407" s="8" t="n"/>
      <c r="E407" s="8" t="n"/>
      <c r="F407" s="7">
        <f>IF($E407="","",IFERROR(IF(VLOOKUP($E407,AcctTbl,4,0)="","",VLOOKUP($E407,AcctTbl,4,0)),"—"))</f>
        <v/>
      </c>
      <c r="G407" s="8" t="n"/>
      <c r="H407" s="9" t="n"/>
      <c r="I407" s="9" t="n"/>
      <c r="J407" s="10">
        <f>IF(OR($H407="",$I407=""),"",ROUND($H407*$I407,0))</f>
        <v/>
      </c>
      <c r="K407" s="10">
        <f>IF(OR($B407="",$E407="",Calc!$B404=""),"",SUMIFS(CalcAmtA,CalcPartyA,$E407,CalcKeyA,"&lt;="&amp;Calc!$B404)-SUMIFS(CalcWitB,CalcPartyB,$E407,CalcKeyB,"&lt;="&amp;Calc!$B404)+SUMIFS(CalcDepB,CalcPartyB,$E407,CalcKeyB,"&lt;="&amp;Calc!$B404))</f>
        <v/>
      </c>
      <c r="L407" s="8" t="n"/>
    </row>
    <row r="408">
      <c r="A408" s="7">
        <f>IF($B408="","",COUNTA($B$9:$B408))</f>
        <v/>
      </c>
      <c r="B408" s="8" t="n"/>
      <c r="C408" s="8" t="n"/>
      <c r="D408" s="8" t="n"/>
      <c r="E408" s="8" t="n"/>
      <c r="F408" s="7">
        <f>IF($E408="","",IFERROR(IF(VLOOKUP($E408,AcctTbl,4,0)="","",VLOOKUP($E408,AcctTbl,4,0)),"—"))</f>
        <v/>
      </c>
      <c r="G408" s="8" t="n"/>
      <c r="H408" s="9" t="n"/>
      <c r="I408" s="9" t="n"/>
      <c r="J408" s="10">
        <f>IF(OR($H408="",$I408=""),"",ROUND($H408*$I408,0))</f>
        <v/>
      </c>
      <c r="K408" s="10">
        <f>IF(OR($B408="",$E408="",Calc!$B405=""),"",SUMIFS(CalcAmtA,CalcPartyA,$E408,CalcKeyA,"&lt;="&amp;Calc!$B405)-SUMIFS(CalcWitB,CalcPartyB,$E408,CalcKeyB,"&lt;="&amp;Calc!$B405)+SUMIFS(CalcDepB,CalcPartyB,$E408,CalcKeyB,"&lt;="&amp;Calc!$B405))</f>
        <v/>
      </c>
      <c r="L408" s="8" t="n"/>
    </row>
    <row r="409">
      <c r="A409" s="7">
        <f>IF($B409="","",COUNTA($B$9:$B409))</f>
        <v/>
      </c>
      <c r="B409" s="8" t="n"/>
      <c r="C409" s="8" t="n"/>
      <c r="D409" s="8" t="n"/>
      <c r="E409" s="8" t="n"/>
      <c r="F409" s="7">
        <f>IF($E409="","",IFERROR(IF(VLOOKUP($E409,AcctTbl,4,0)="","",VLOOKUP($E409,AcctTbl,4,0)),"—"))</f>
        <v/>
      </c>
      <c r="G409" s="8" t="n"/>
      <c r="H409" s="9" t="n"/>
      <c r="I409" s="9" t="n"/>
      <c r="J409" s="10">
        <f>IF(OR($H409="",$I409=""),"",ROUND($H409*$I409,0))</f>
        <v/>
      </c>
      <c r="K409" s="10">
        <f>IF(OR($B409="",$E409="",Calc!$B406=""),"",SUMIFS(CalcAmtA,CalcPartyA,$E409,CalcKeyA,"&lt;="&amp;Calc!$B406)-SUMIFS(CalcWitB,CalcPartyB,$E409,CalcKeyB,"&lt;="&amp;Calc!$B406)+SUMIFS(CalcDepB,CalcPartyB,$E409,CalcKeyB,"&lt;="&amp;Calc!$B406))</f>
        <v/>
      </c>
      <c r="L409" s="8" t="n"/>
    </row>
    <row r="410">
      <c r="A410" s="7">
        <f>IF($B410="","",COUNTA($B$9:$B410))</f>
        <v/>
      </c>
      <c r="B410" s="8" t="n"/>
      <c r="C410" s="8" t="n"/>
      <c r="D410" s="8" t="n"/>
      <c r="E410" s="8" t="n"/>
      <c r="F410" s="7">
        <f>IF($E410="","",IFERROR(IF(VLOOKUP($E410,AcctTbl,4,0)="","",VLOOKUP($E410,AcctTbl,4,0)),"—"))</f>
        <v/>
      </c>
      <c r="G410" s="8" t="n"/>
      <c r="H410" s="9" t="n"/>
      <c r="I410" s="9" t="n"/>
      <c r="J410" s="10">
        <f>IF(OR($H410="",$I410=""),"",ROUND($H410*$I410,0))</f>
        <v/>
      </c>
      <c r="K410" s="10">
        <f>IF(OR($B410="",$E410="",Calc!$B407=""),"",SUMIFS(CalcAmtA,CalcPartyA,$E410,CalcKeyA,"&lt;="&amp;Calc!$B407)-SUMIFS(CalcWitB,CalcPartyB,$E410,CalcKeyB,"&lt;="&amp;Calc!$B407)+SUMIFS(CalcDepB,CalcPartyB,$E410,CalcKeyB,"&lt;="&amp;Calc!$B407))</f>
        <v/>
      </c>
      <c r="L410" s="8" t="n"/>
    </row>
    <row r="411">
      <c r="A411" s="7">
        <f>IF($B411="","",COUNTA($B$9:$B411))</f>
        <v/>
      </c>
      <c r="B411" s="8" t="n"/>
      <c r="C411" s="8" t="n"/>
      <c r="D411" s="8" t="n"/>
      <c r="E411" s="8" t="n"/>
      <c r="F411" s="7">
        <f>IF($E411="","",IFERROR(IF(VLOOKUP($E411,AcctTbl,4,0)="","",VLOOKUP($E411,AcctTbl,4,0)),"—"))</f>
        <v/>
      </c>
      <c r="G411" s="8" t="n"/>
      <c r="H411" s="9" t="n"/>
      <c r="I411" s="9" t="n"/>
      <c r="J411" s="10">
        <f>IF(OR($H411="",$I411=""),"",ROUND($H411*$I411,0))</f>
        <v/>
      </c>
      <c r="K411" s="10">
        <f>IF(OR($B411="",$E411="",Calc!$B408=""),"",SUMIFS(CalcAmtA,CalcPartyA,$E411,CalcKeyA,"&lt;="&amp;Calc!$B408)-SUMIFS(CalcWitB,CalcPartyB,$E411,CalcKeyB,"&lt;="&amp;Calc!$B408)+SUMIFS(CalcDepB,CalcPartyB,$E411,CalcKeyB,"&lt;="&amp;Calc!$B408))</f>
        <v/>
      </c>
      <c r="L411" s="8" t="n"/>
    </row>
    <row r="412">
      <c r="A412" s="7">
        <f>IF($B412="","",COUNTA($B$9:$B412))</f>
        <v/>
      </c>
      <c r="B412" s="8" t="n"/>
      <c r="C412" s="8" t="n"/>
      <c r="D412" s="8" t="n"/>
      <c r="E412" s="8" t="n"/>
      <c r="F412" s="7">
        <f>IF($E412="","",IFERROR(IF(VLOOKUP($E412,AcctTbl,4,0)="","",VLOOKUP($E412,AcctTbl,4,0)),"—"))</f>
        <v/>
      </c>
      <c r="G412" s="8" t="n"/>
      <c r="H412" s="9" t="n"/>
      <c r="I412" s="9" t="n"/>
      <c r="J412" s="10">
        <f>IF(OR($H412="",$I412=""),"",ROUND($H412*$I412,0))</f>
        <v/>
      </c>
      <c r="K412" s="10">
        <f>IF(OR($B412="",$E412="",Calc!$B409=""),"",SUMIFS(CalcAmtA,CalcPartyA,$E412,CalcKeyA,"&lt;="&amp;Calc!$B409)-SUMIFS(CalcWitB,CalcPartyB,$E412,CalcKeyB,"&lt;="&amp;Calc!$B409)+SUMIFS(CalcDepB,CalcPartyB,$E412,CalcKeyB,"&lt;="&amp;Calc!$B409))</f>
        <v/>
      </c>
      <c r="L412" s="8" t="n"/>
    </row>
    <row r="413">
      <c r="A413" s="7">
        <f>IF($B413="","",COUNTA($B$9:$B413))</f>
        <v/>
      </c>
      <c r="B413" s="8" t="n"/>
      <c r="C413" s="8" t="n"/>
      <c r="D413" s="8" t="n"/>
      <c r="E413" s="8" t="n"/>
      <c r="F413" s="7">
        <f>IF($E413="","",IFERROR(IF(VLOOKUP($E413,AcctTbl,4,0)="","",VLOOKUP($E413,AcctTbl,4,0)),"—"))</f>
        <v/>
      </c>
      <c r="G413" s="8" t="n"/>
      <c r="H413" s="9" t="n"/>
      <c r="I413" s="9" t="n"/>
      <c r="J413" s="10">
        <f>IF(OR($H413="",$I413=""),"",ROUND($H413*$I413,0))</f>
        <v/>
      </c>
      <c r="K413" s="10">
        <f>IF(OR($B413="",$E413="",Calc!$B410=""),"",SUMIFS(CalcAmtA,CalcPartyA,$E413,CalcKeyA,"&lt;="&amp;Calc!$B410)-SUMIFS(CalcWitB,CalcPartyB,$E413,CalcKeyB,"&lt;="&amp;Calc!$B410)+SUMIFS(CalcDepB,CalcPartyB,$E413,CalcKeyB,"&lt;="&amp;Calc!$B410))</f>
        <v/>
      </c>
      <c r="L413" s="8" t="n"/>
    </row>
    <row r="414">
      <c r="A414" s="7">
        <f>IF($B414="","",COUNTA($B$9:$B414))</f>
        <v/>
      </c>
      <c r="B414" s="8" t="n"/>
      <c r="C414" s="8" t="n"/>
      <c r="D414" s="8" t="n"/>
      <c r="E414" s="8" t="n"/>
      <c r="F414" s="7">
        <f>IF($E414="","",IFERROR(IF(VLOOKUP($E414,AcctTbl,4,0)="","",VLOOKUP($E414,AcctTbl,4,0)),"—"))</f>
        <v/>
      </c>
      <c r="G414" s="8" t="n"/>
      <c r="H414" s="9" t="n"/>
      <c r="I414" s="9" t="n"/>
      <c r="J414" s="10">
        <f>IF(OR($H414="",$I414=""),"",ROUND($H414*$I414,0))</f>
        <v/>
      </c>
      <c r="K414" s="10">
        <f>IF(OR($B414="",$E414="",Calc!$B411=""),"",SUMIFS(CalcAmtA,CalcPartyA,$E414,CalcKeyA,"&lt;="&amp;Calc!$B411)-SUMIFS(CalcWitB,CalcPartyB,$E414,CalcKeyB,"&lt;="&amp;Calc!$B411)+SUMIFS(CalcDepB,CalcPartyB,$E414,CalcKeyB,"&lt;="&amp;Calc!$B411))</f>
        <v/>
      </c>
      <c r="L414" s="8" t="n"/>
    </row>
    <row r="415">
      <c r="A415" s="7">
        <f>IF($B415="","",COUNTA($B$9:$B415))</f>
        <v/>
      </c>
      <c r="B415" s="8" t="n"/>
      <c r="C415" s="8" t="n"/>
      <c r="D415" s="8" t="n"/>
      <c r="E415" s="8" t="n"/>
      <c r="F415" s="7">
        <f>IF($E415="","",IFERROR(IF(VLOOKUP($E415,AcctTbl,4,0)="","",VLOOKUP($E415,AcctTbl,4,0)),"—"))</f>
        <v/>
      </c>
      <c r="G415" s="8" t="n"/>
      <c r="H415" s="9" t="n"/>
      <c r="I415" s="9" t="n"/>
      <c r="J415" s="10">
        <f>IF(OR($H415="",$I415=""),"",ROUND($H415*$I415,0))</f>
        <v/>
      </c>
      <c r="K415" s="10">
        <f>IF(OR($B415="",$E415="",Calc!$B412=""),"",SUMIFS(CalcAmtA,CalcPartyA,$E415,CalcKeyA,"&lt;="&amp;Calc!$B412)-SUMIFS(CalcWitB,CalcPartyB,$E415,CalcKeyB,"&lt;="&amp;Calc!$B412)+SUMIFS(CalcDepB,CalcPartyB,$E415,CalcKeyB,"&lt;="&amp;Calc!$B412))</f>
        <v/>
      </c>
      <c r="L415" s="8" t="n"/>
    </row>
    <row r="416">
      <c r="A416" s="7">
        <f>IF($B416="","",COUNTA($B$9:$B416))</f>
        <v/>
      </c>
      <c r="B416" s="8" t="n"/>
      <c r="C416" s="8" t="n"/>
      <c r="D416" s="8" t="n"/>
      <c r="E416" s="8" t="n"/>
      <c r="F416" s="7">
        <f>IF($E416="","",IFERROR(IF(VLOOKUP($E416,AcctTbl,4,0)="","",VLOOKUP($E416,AcctTbl,4,0)),"—"))</f>
        <v/>
      </c>
      <c r="G416" s="8" t="n"/>
      <c r="H416" s="9" t="n"/>
      <c r="I416" s="9" t="n"/>
      <c r="J416" s="10">
        <f>IF(OR($H416="",$I416=""),"",ROUND($H416*$I416,0))</f>
        <v/>
      </c>
      <c r="K416" s="10">
        <f>IF(OR($B416="",$E416="",Calc!$B413=""),"",SUMIFS(CalcAmtA,CalcPartyA,$E416,CalcKeyA,"&lt;="&amp;Calc!$B413)-SUMIFS(CalcWitB,CalcPartyB,$E416,CalcKeyB,"&lt;="&amp;Calc!$B413)+SUMIFS(CalcDepB,CalcPartyB,$E416,CalcKeyB,"&lt;="&amp;Calc!$B413))</f>
        <v/>
      </c>
      <c r="L416" s="8" t="n"/>
    </row>
    <row r="417">
      <c r="A417" s="7">
        <f>IF($B417="","",COUNTA($B$9:$B417))</f>
        <v/>
      </c>
      <c r="B417" s="8" t="n"/>
      <c r="C417" s="8" t="n"/>
      <c r="D417" s="8" t="n"/>
      <c r="E417" s="8" t="n"/>
      <c r="F417" s="7">
        <f>IF($E417="","",IFERROR(IF(VLOOKUP($E417,AcctTbl,4,0)="","",VLOOKUP($E417,AcctTbl,4,0)),"—"))</f>
        <v/>
      </c>
      <c r="G417" s="8" t="n"/>
      <c r="H417" s="9" t="n"/>
      <c r="I417" s="9" t="n"/>
      <c r="J417" s="10">
        <f>IF(OR($H417="",$I417=""),"",ROUND($H417*$I417,0))</f>
        <v/>
      </c>
      <c r="K417" s="10">
        <f>IF(OR($B417="",$E417="",Calc!$B414=""),"",SUMIFS(CalcAmtA,CalcPartyA,$E417,CalcKeyA,"&lt;="&amp;Calc!$B414)-SUMIFS(CalcWitB,CalcPartyB,$E417,CalcKeyB,"&lt;="&amp;Calc!$B414)+SUMIFS(CalcDepB,CalcPartyB,$E417,CalcKeyB,"&lt;="&amp;Calc!$B414))</f>
        <v/>
      </c>
      <c r="L417" s="8" t="n"/>
    </row>
    <row r="418">
      <c r="A418" s="7">
        <f>IF($B418="","",COUNTA($B$9:$B418))</f>
        <v/>
      </c>
      <c r="B418" s="8" t="n"/>
      <c r="C418" s="8" t="n"/>
      <c r="D418" s="8" t="n"/>
      <c r="E418" s="8" t="n"/>
      <c r="F418" s="7">
        <f>IF($E418="","",IFERROR(IF(VLOOKUP($E418,AcctTbl,4,0)="","",VLOOKUP($E418,AcctTbl,4,0)),"—"))</f>
        <v/>
      </c>
      <c r="G418" s="8" t="n"/>
      <c r="H418" s="9" t="n"/>
      <c r="I418" s="9" t="n"/>
      <c r="J418" s="10">
        <f>IF(OR($H418="",$I418=""),"",ROUND($H418*$I418,0))</f>
        <v/>
      </c>
      <c r="K418" s="10">
        <f>IF(OR($B418="",$E418="",Calc!$B415=""),"",SUMIFS(CalcAmtA,CalcPartyA,$E418,CalcKeyA,"&lt;="&amp;Calc!$B415)-SUMIFS(CalcWitB,CalcPartyB,$E418,CalcKeyB,"&lt;="&amp;Calc!$B415)+SUMIFS(CalcDepB,CalcPartyB,$E418,CalcKeyB,"&lt;="&amp;Calc!$B415))</f>
        <v/>
      </c>
      <c r="L418" s="8" t="n"/>
    </row>
    <row r="419">
      <c r="A419" s="7">
        <f>IF($B419="","",COUNTA($B$9:$B419))</f>
        <v/>
      </c>
      <c r="B419" s="8" t="n"/>
      <c r="C419" s="8" t="n"/>
      <c r="D419" s="8" t="n"/>
      <c r="E419" s="8" t="n"/>
      <c r="F419" s="7">
        <f>IF($E419="","",IFERROR(IF(VLOOKUP($E419,AcctTbl,4,0)="","",VLOOKUP($E419,AcctTbl,4,0)),"—"))</f>
        <v/>
      </c>
      <c r="G419" s="8" t="n"/>
      <c r="H419" s="9" t="n"/>
      <c r="I419" s="9" t="n"/>
      <c r="J419" s="10">
        <f>IF(OR($H419="",$I419=""),"",ROUND($H419*$I419,0))</f>
        <v/>
      </c>
      <c r="K419" s="10">
        <f>IF(OR($B419="",$E419="",Calc!$B416=""),"",SUMIFS(CalcAmtA,CalcPartyA,$E419,CalcKeyA,"&lt;="&amp;Calc!$B416)-SUMIFS(CalcWitB,CalcPartyB,$E419,CalcKeyB,"&lt;="&amp;Calc!$B416)+SUMIFS(CalcDepB,CalcPartyB,$E419,CalcKeyB,"&lt;="&amp;Calc!$B416))</f>
        <v/>
      </c>
      <c r="L419" s="8" t="n"/>
    </row>
    <row r="420">
      <c r="A420" s="7">
        <f>IF($B420="","",COUNTA($B$9:$B420))</f>
        <v/>
      </c>
      <c r="B420" s="8" t="n"/>
      <c r="C420" s="8" t="n"/>
      <c r="D420" s="8" t="n"/>
      <c r="E420" s="8" t="n"/>
      <c r="F420" s="7">
        <f>IF($E420="","",IFERROR(IF(VLOOKUP($E420,AcctTbl,4,0)="","",VLOOKUP($E420,AcctTbl,4,0)),"—"))</f>
        <v/>
      </c>
      <c r="G420" s="8" t="n"/>
      <c r="H420" s="9" t="n"/>
      <c r="I420" s="9" t="n"/>
      <c r="J420" s="10">
        <f>IF(OR($H420="",$I420=""),"",ROUND($H420*$I420,0))</f>
        <v/>
      </c>
      <c r="K420" s="10">
        <f>IF(OR($B420="",$E420="",Calc!$B417=""),"",SUMIFS(CalcAmtA,CalcPartyA,$E420,CalcKeyA,"&lt;="&amp;Calc!$B417)-SUMIFS(CalcWitB,CalcPartyB,$E420,CalcKeyB,"&lt;="&amp;Calc!$B417)+SUMIFS(CalcDepB,CalcPartyB,$E420,CalcKeyB,"&lt;="&amp;Calc!$B417))</f>
        <v/>
      </c>
      <c r="L420" s="8" t="n"/>
    </row>
    <row r="421">
      <c r="A421" s="7">
        <f>IF($B421="","",COUNTA($B$9:$B421))</f>
        <v/>
      </c>
      <c r="B421" s="8" t="n"/>
      <c r="C421" s="8" t="n"/>
      <c r="D421" s="8" t="n"/>
      <c r="E421" s="8" t="n"/>
      <c r="F421" s="7">
        <f>IF($E421="","",IFERROR(IF(VLOOKUP($E421,AcctTbl,4,0)="","",VLOOKUP($E421,AcctTbl,4,0)),"—"))</f>
        <v/>
      </c>
      <c r="G421" s="8" t="n"/>
      <c r="H421" s="9" t="n"/>
      <c r="I421" s="9" t="n"/>
      <c r="J421" s="10">
        <f>IF(OR($H421="",$I421=""),"",ROUND($H421*$I421,0))</f>
        <v/>
      </c>
      <c r="K421" s="10">
        <f>IF(OR($B421="",$E421="",Calc!$B418=""),"",SUMIFS(CalcAmtA,CalcPartyA,$E421,CalcKeyA,"&lt;="&amp;Calc!$B418)-SUMIFS(CalcWitB,CalcPartyB,$E421,CalcKeyB,"&lt;="&amp;Calc!$B418)+SUMIFS(CalcDepB,CalcPartyB,$E421,CalcKeyB,"&lt;="&amp;Calc!$B418))</f>
        <v/>
      </c>
      <c r="L421" s="8" t="n"/>
    </row>
    <row r="422">
      <c r="A422" s="7">
        <f>IF($B422="","",COUNTA($B$9:$B422))</f>
        <v/>
      </c>
      <c r="B422" s="8" t="n"/>
      <c r="C422" s="8" t="n"/>
      <c r="D422" s="8" t="n"/>
      <c r="E422" s="8" t="n"/>
      <c r="F422" s="7">
        <f>IF($E422="","",IFERROR(IF(VLOOKUP($E422,AcctTbl,4,0)="","",VLOOKUP($E422,AcctTbl,4,0)),"—"))</f>
        <v/>
      </c>
      <c r="G422" s="8" t="n"/>
      <c r="H422" s="9" t="n"/>
      <c r="I422" s="9" t="n"/>
      <c r="J422" s="10">
        <f>IF(OR($H422="",$I422=""),"",ROUND($H422*$I422,0))</f>
        <v/>
      </c>
      <c r="K422" s="10">
        <f>IF(OR($B422="",$E422="",Calc!$B419=""),"",SUMIFS(CalcAmtA,CalcPartyA,$E422,CalcKeyA,"&lt;="&amp;Calc!$B419)-SUMIFS(CalcWitB,CalcPartyB,$E422,CalcKeyB,"&lt;="&amp;Calc!$B419)+SUMIFS(CalcDepB,CalcPartyB,$E422,CalcKeyB,"&lt;="&amp;Calc!$B419))</f>
        <v/>
      </c>
      <c r="L422" s="8" t="n"/>
    </row>
    <row r="423">
      <c r="A423" s="7">
        <f>IF($B423="","",COUNTA($B$9:$B423))</f>
        <v/>
      </c>
      <c r="B423" s="8" t="n"/>
      <c r="C423" s="8" t="n"/>
      <c r="D423" s="8" t="n"/>
      <c r="E423" s="8" t="n"/>
      <c r="F423" s="7">
        <f>IF($E423="","",IFERROR(IF(VLOOKUP($E423,AcctTbl,4,0)="","",VLOOKUP($E423,AcctTbl,4,0)),"—"))</f>
        <v/>
      </c>
      <c r="G423" s="8" t="n"/>
      <c r="H423" s="9" t="n"/>
      <c r="I423" s="9" t="n"/>
      <c r="J423" s="10">
        <f>IF(OR($H423="",$I423=""),"",ROUND($H423*$I423,0))</f>
        <v/>
      </c>
      <c r="K423" s="10">
        <f>IF(OR($B423="",$E423="",Calc!$B420=""),"",SUMIFS(CalcAmtA,CalcPartyA,$E423,CalcKeyA,"&lt;="&amp;Calc!$B420)-SUMIFS(CalcWitB,CalcPartyB,$E423,CalcKeyB,"&lt;="&amp;Calc!$B420)+SUMIFS(CalcDepB,CalcPartyB,$E423,CalcKeyB,"&lt;="&amp;Calc!$B420))</f>
        <v/>
      </c>
      <c r="L423" s="8" t="n"/>
    </row>
    <row r="424">
      <c r="A424" s="7">
        <f>IF($B424="","",COUNTA($B$9:$B424))</f>
        <v/>
      </c>
      <c r="B424" s="8" t="n"/>
      <c r="C424" s="8" t="n"/>
      <c r="D424" s="8" t="n"/>
      <c r="E424" s="8" t="n"/>
      <c r="F424" s="7">
        <f>IF($E424="","",IFERROR(IF(VLOOKUP($E424,AcctTbl,4,0)="","",VLOOKUP($E424,AcctTbl,4,0)),"—"))</f>
        <v/>
      </c>
      <c r="G424" s="8" t="n"/>
      <c r="H424" s="9" t="n"/>
      <c r="I424" s="9" t="n"/>
      <c r="J424" s="10">
        <f>IF(OR($H424="",$I424=""),"",ROUND($H424*$I424,0))</f>
        <v/>
      </c>
      <c r="K424" s="10">
        <f>IF(OR($B424="",$E424="",Calc!$B421=""),"",SUMIFS(CalcAmtA,CalcPartyA,$E424,CalcKeyA,"&lt;="&amp;Calc!$B421)-SUMIFS(CalcWitB,CalcPartyB,$E424,CalcKeyB,"&lt;="&amp;Calc!$B421)+SUMIFS(CalcDepB,CalcPartyB,$E424,CalcKeyB,"&lt;="&amp;Calc!$B421))</f>
        <v/>
      </c>
      <c r="L424" s="8" t="n"/>
    </row>
    <row r="425">
      <c r="A425" s="7">
        <f>IF($B425="","",COUNTA($B$9:$B425))</f>
        <v/>
      </c>
      <c r="B425" s="8" t="n"/>
      <c r="C425" s="8" t="n"/>
      <c r="D425" s="8" t="n"/>
      <c r="E425" s="8" t="n"/>
      <c r="F425" s="7">
        <f>IF($E425="","",IFERROR(IF(VLOOKUP($E425,AcctTbl,4,0)="","",VLOOKUP($E425,AcctTbl,4,0)),"—"))</f>
        <v/>
      </c>
      <c r="G425" s="8" t="n"/>
      <c r="H425" s="9" t="n"/>
      <c r="I425" s="9" t="n"/>
      <c r="J425" s="10">
        <f>IF(OR($H425="",$I425=""),"",ROUND($H425*$I425,0))</f>
        <v/>
      </c>
      <c r="K425" s="10">
        <f>IF(OR($B425="",$E425="",Calc!$B422=""),"",SUMIFS(CalcAmtA,CalcPartyA,$E425,CalcKeyA,"&lt;="&amp;Calc!$B422)-SUMIFS(CalcWitB,CalcPartyB,$E425,CalcKeyB,"&lt;="&amp;Calc!$B422)+SUMIFS(CalcDepB,CalcPartyB,$E425,CalcKeyB,"&lt;="&amp;Calc!$B422))</f>
        <v/>
      </c>
      <c r="L425" s="8" t="n"/>
    </row>
    <row r="426">
      <c r="A426" s="7">
        <f>IF($B426="","",COUNTA($B$9:$B426))</f>
        <v/>
      </c>
      <c r="B426" s="8" t="n"/>
      <c r="C426" s="8" t="n"/>
      <c r="D426" s="8" t="n"/>
      <c r="E426" s="8" t="n"/>
      <c r="F426" s="7">
        <f>IF($E426="","",IFERROR(IF(VLOOKUP($E426,AcctTbl,4,0)="","",VLOOKUP($E426,AcctTbl,4,0)),"—"))</f>
        <v/>
      </c>
      <c r="G426" s="8" t="n"/>
      <c r="H426" s="9" t="n"/>
      <c r="I426" s="9" t="n"/>
      <c r="J426" s="10">
        <f>IF(OR($H426="",$I426=""),"",ROUND($H426*$I426,0))</f>
        <v/>
      </c>
      <c r="K426" s="10">
        <f>IF(OR($B426="",$E426="",Calc!$B423=""),"",SUMIFS(CalcAmtA,CalcPartyA,$E426,CalcKeyA,"&lt;="&amp;Calc!$B423)-SUMIFS(CalcWitB,CalcPartyB,$E426,CalcKeyB,"&lt;="&amp;Calc!$B423)+SUMIFS(CalcDepB,CalcPartyB,$E426,CalcKeyB,"&lt;="&amp;Calc!$B423))</f>
        <v/>
      </c>
      <c r="L426" s="8" t="n"/>
    </row>
    <row r="427">
      <c r="A427" s="7">
        <f>IF($B427="","",COUNTA($B$9:$B427))</f>
        <v/>
      </c>
      <c r="B427" s="8" t="n"/>
      <c r="C427" s="8" t="n"/>
      <c r="D427" s="8" t="n"/>
      <c r="E427" s="8" t="n"/>
      <c r="F427" s="7">
        <f>IF($E427="","",IFERROR(IF(VLOOKUP($E427,AcctTbl,4,0)="","",VLOOKUP($E427,AcctTbl,4,0)),"—"))</f>
        <v/>
      </c>
      <c r="G427" s="8" t="n"/>
      <c r="H427" s="9" t="n"/>
      <c r="I427" s="9" t="n"/>
      <c r="J427" s="10">
        <f>IF(OR($H427="",$I427=""),"",ROUND($H427*$I427,0))</f>
        <v/>
      </c>
      <c r="K427" s="10">
        <f>IF(OR($B427="",$E427="",Calc!$B424=""),"",SUMIFS(CalcAmtA,CalcPartyA,$E427,CalcKeyA,"&lt;="&amp;Calc!$B424)-SUMIFS(CalcWitB,CalcPartyB,$E427,CalcKeyB,"&lt;="&amp;Calc!$B424)+SUMIFS(CalcDepB,CalcPartyB,$E427,CalcKeyB,"&lt;="&amp;Calc!$B424))</f>
        <v/>
      </c>
      <c r="L427" s="8" t="n"/>
    </row>
    <row r="428">
      <c r="A428" s="7">
        <f>IF($B428="","",COUNTA($B$9:$B428))</f>
        <v/>
      </c>
      <c r="B428" s="8" t="n"/>
      <c r="C428" s="8" t="n"/>
      <c r="D428" s="8" t="n"/>
      <c r="E428" s="8" t="n"/>
      <c r="F428" s="7">
        <f>IF($E428="","",IFERROR(IF(VLOOKUP($E428,AcctTbl,4,0)="","",VLOOKUP($E428,AcctTbl,4,0)),"—"))</f>
        <v/>
      </c>
      <c r="G428" s="8" t="n"/>
      <c r="H428" s="9" t="n"/>
      <c r="I428" s="9" t="n"/>
      <c r="J428" s="10">
        <f>IF(OR($H428="",$I428=""),"",ROUND($H428*$I428,0))</f>
        <v/>
      </c>
      <c r="K428" s="10">
        <f>IF(OR($B428="",$E428="",Calc!$B425=""),"",SUMIFS(CalcAmtA,CalcPartyA,$E428,CalcKeyA,"&lt;="&amp;Calc!$B425)-SUMIFS(CalcWitB,CalcPartyB,$E428,CalcKeyB,"&lt;="&amp;Calc!$B425)+SUMIFS(CalcDepB,CalcPartyB,$E428,CalcKeyB,"&lt;="&amp;Calc!$B425))</f>
        <v/>
      </c>
      <c r="L428" s="8" t="n"/>
    </row>
    <row r="429">
      <c r="A429" s="7">
        <f>IF($B429="","",COUNTA($B$9:$B429))</f>
        <v/>
      </c>
      <c r="B429" s="8" t="n"/>
      <c r="C429" s="8" t="n"/>
      <c r="D429" s="8" t="n"/>
      <c r="E429" s="8" t="n"/>
      <c r="F429" s="7">
        <f>IF($E429="","",IFERROR(IF(VLOOKUP($E429,AcctTbl,4,0)="","",VLOOKUP($E429,AcctTbl,4,0)),"—"))</f>
        <v/>
      </c>
      <c r="G429" s="8" t="n"/>
      <c r="H429" s="9" t="n"/>
      <c r="I429" s="9" t="n"/>
      <c r="J429" s="10">
        <f>IF(OR($H429="",$I429=""),"",ROUND($H429*$I429,0))</f>
        <v/>
      </c>
      <c r="K429" s="10">
        <f>IF(OR($B429="",$E429="",Calc!$B426=""),"",SUMIFS(CalcAmtA,CalcPartyA,$E429,CalcKeyA,"&lt;="&amp;Calc!$B426)-SUMIFS(CalcWitB,CalcPartyB,$E429,CalcKeyB,"&lt;="&amp;Calc!$B426)+SUMIFS(CalcDepB,CalcPartyB,$E429,CalcKeyB,"&lt;="&amp;Calc!$B426))</f>
        <v/>
      </c>
      <c r="L429" s="8" t="n"/>
    </row>
    <row r="430">
      <c r="A430" s="7">
        <f>IF($B430="","",COUNTA($B$9:$B430))</f>
        <v/>
      </c>
      <c r="B430" s="8" t="n"/>
      <c r="C430" s="8" t="n"/>
      <c r="D430" s="8" t="n"/>
      <c r="E430" s="8" t="n"/>
      <c r="F430" s="7">
        <f>IF($E430="","",IFERROR(IF(VLOOKUP($E430,AcctTbl,4,0)="","",VLOOKUP($E430,AcctTbl,4,0)),"—"))</f>
        <v/>
      </c>
      <c r="G430" s="8" t="n"/>
      <c r="H430" s="9" t="n"/>
      <c r="I430" s="9" t="n"/>
      <c r="J430" s="10">
        <f>IF(OR($H430="",$I430=""),"",ROUND($H430*$I430,0))</f>
        <v/>
      </c>
      <c r="K430" s="10">
        <f>IF(OR($B430="",$E430="",Calc!$B427=""),"",SUMIFS(CalcAmtA,CalcPartyA,$E430,CalcKeyA,"&lt;="&amp;Calc!$B427)-SUMIFS(CalcWitB,CalcPartyB,$E430,CalcKeyB,"&lt;="&amp;Calc!$B427)+SUMIFS(CalcDepB,CalcPartyB,$E430,CalcKeyB,"&lt;="&amp;Calc!$B427))</f>
        <v/>
      </c>
      <c r="L430" s="8" t="n"/>
    </row>
    <row r="431">
      <c r="A431" s="7">
        <f>IF($B431="","",COUNTA($B$9:$B431))</f>
        <v/>
      </c>
      <c r="B431" s="8" t="n"/>
      <c r="C431" s="8" t="n"/>
      <c r="D431" s="8" t="n"/>
      <c r="E431" s="8" t="n"/>
      <c r="F431" s="7">
        <f>IF($E431="","",IFERROR(IF(VLOOKUP($E431,AcctTbl,4,0)="","",VLOOKUP($E431,AcctTbl,4,0)),"—"))</f>
        <v/>
      </c>
      <c r="G431" s="8" t="n"/>
      <c r="H431" s="9" t="n"/>
      <c r="I431" s="9" t="n"/>
      <c r="J431" s="10">
        <f>IF(OR($H431="",$I431=""),"",ROUND($H431*$I431,0))</f>
        <v/>
      </c>
      <c r="K431" s="10">
        <f>IF(OR($B431="",$E431="",Calc!$B428=""),"",SUMIFS(CalcAmtA,CalcPartyA,$E431,CalcKeyA,"&lt;="&amp;Calc!$B428)-SUMIFS(CalcWitB,CalcPartyB,$E431,CalcKeyB,"&lt;="&amp;Calc!$B428)+SUMIFS(CalcDepB,CalcPartyB,$E431,CalcKeyB,"&lt;="&amp;Calc!$B428))</f>
        <v/>
      </c>
      <c r="L431" s="8" t="n"/>
    </row>
    <row r="432">
      <c r="A432" s="7">
        <f>IF($B432="","",COUNTA($B$9:$B432))</f>
        <v/>
      </c>
      <c r="B432" s="8" t="n"/>
      <c r="C432" s="8" t="n"/>
      <c r="D432" s="8" t="n"/>
      <c r="E432" s="8" t="n"/>
      <c r="F432" s="7">
        <f>IF($E432="","",IFERROR(IF(VLOOKUP($E432,AcctTbl,4,0)="","",VLOOKUP($E432,AcctTbl,4,0)),"—"))</f>
        <v/>
      </c>
      <c r="G432" s="8" t="n"/>
      <c r="H432" s="9" t="n"/>
      <c r="I432" s="9" t="n"/>
      <c r="J432" s="10">
        <f>IF(OR($H432="",$I432=""),"",ROUND($H432*$I432,0))</f>
        <v/>
      </c>
      <c r="K432" s="10">
        <f>IF(OR($B432="",$E432="",Calc!$B429=""),"",SUMIFS(CalcAmtA,CalcPartyA,$E432,CalcKeyA,"&lt;="&amp;Calc!$B429)-SUMIFS(CalcWitB,CalcPartyB,$E432,CalcKeyB,"&lt;="&amp;Calc!$B429)+SUMIFS(CalcDepB,CalcPartyB,$E432,CalcKeyB,"&lt;="&amp;Calc!$B429))</f>
        <v/>
      </c>
      <c r="L432" s="8" t="n"/>
    </row>
    <row r="433">
      <c r="A433" s="7">
        <f>IF($B433="","",COUNTA($B$9:$B433))</f>
        <v/>
      </c>
      <c r="B433" s="8" t="n"/>
      <c r="C433" s="8" t="n"/>
      <c r="D433" s="8" t="n"/>
      <c r="E433" s="8" t="n"/>
      <c r="F433" s="7">
        <f>IF($E433="","",IFERROR(IF(VLOOKUP($E433,AcctTbl,4,0)="","",VLOOKUP($E433,AcctTbl,4,0)),"—"))</f>
        <v/>
      </c>
      <c r="G433" s="8" t="n"/>
      <c r="H433" s="9" t="n"/>
      <c r="I433" s="9" t="n"/>
      <c r="J433" s="10">
        <f>IF(OR($H433="",$I433=""),"",ROUND($H433*$I433,0))</f>
        <v/>
      </c>
      <c r="K433" s="10">
        <f>IF(OR($B433="",$E433="",Calc!$B430=""),"",SUMIFS(CalcAmtA,CalcPartyA,$E433,CalcKeyA,"&lt;="&amp;Calc!$B430)-SUMIFS(CalcWitB,CalcPartyB,$E433,CalcKeyB,"&lt;="&amp;Calc!$B430)+SUMIFS(CalcDepB,CalcPartyB,$E433,CalcKeyB,"&lt;="&amp;Calc!$B430))</f>
        <v/>
      </c>
      <c r="L433" s="8" t="n"/>
    </row>
    <row r="434">
      <c r="A434" s="7">
        <f>IF($B434="","",COUNTA($B$9:$B434))</f>
        <v/>
      </c>
      <c r="B434" s="8" t="n"/>
      <c r="C434" s="8" t="n"/>
      <c r="D434" s="8" t="n"/>
      <c r="E434" s="8" t="n"/>
      <c r="F434" s="7">
        <f>IF($E434="","",IFERROR(IF(VLOOKUP($E434,AcctTbl,4,0)="","",VLOOKUP($E434,AcctTbl,4,0)),"—"))</f>
        <v/>
      </c>
      <c r="G434" s="8" t="n"/>
      <c r="H434" s="9" t="n"/>
      <c r="I434" s="9" t="n"/>
      <c r="J434" s="10">
        <f>IF(OR($H434="",$I434=""),"",ROUND($H434*$I434,0))</f>
        <v/>
      </c>
      <c r="K434" s="10">
        <f>IF(OR($B434="",$E434="",Calc!$B431=""),"",SUMIFS(CalcAmtA,CalcPartyA,$E434,CalcKeyA,"&lt;="&amp;Calc!$B431)-SUMIFS(CalcWitB,CalcPartyB,$E434,CalcKeyB,"&lt;="&amp;Calc!$B431)+SUMIFS(CalcDepB,CalcPartyB,$E434,CalcKeyB,"&lt;="&amp;Calc!$B431))</f>
        <v/>
      </c>
      <c r="L434" s="8" t="n"/>
    </row>
    <row r="435">
      <c r="A435" s="7">
        <f>IF($B435="","",COUNTA($B$9:$B435))</f>
        <v/>
      </c>
      <c r="B435" s="8" t="n"/>
      <c r="C435" s="8" t="n"/>
      <c r="D435" s="8" t="n"/>
      <c r="E435" s="8" t="n"/>
      <c r="F435" s="7">
        <f>IF($E435="","",IFERROR(IF(VLOOKUP($E435,AcctTbl,4,0)="","",VLOOKUP($E435,AcctTbl,4,0)),"—"))</f>
        <v/>
      </c>
      <c r="G435" s="8" t="n"/>
      <c r="H435" s="9" t="n"/>
      <c r="I435" s="9" t="n"/>
      <c r="J435" s="10">
        <f>IF(OR($H435="",$I435=""),"",ROUND($H435*$I435,0))</f>
        <v/>
      </c>
      <c r="K435" s="10">
        <f>IF(OR($B435="",$E435="",Calc!$B432=""),"",SUMIFS(CalcAmtA,CalcPartyA,$E435,CalcKeyA,"&lt;="&amp;Calc!$B432)-SUMIFS(CalcWitB,CalcPartyB,$E435,CalcKeyB,"&lt;="&amp;Calc!$B432)+SUMIFS(CalcDepB,CalcPartyB,$E435,CalcKeyB,"&lt;="&amp;Calc!$B432))</f>
        <v/>
      </c>
      <c r="L435" s="8" t="n"/>
    </row>
    <row r="436">
      <c r="A436" s="7">
        <f>IF($B436="","",COUNTA($B$9:$B436))</f>
        <v/>
      </c>
      <c r="B436" s="8" t="n"/>
      <c r="C436" s="8" t="n"/>
      <c r="D436" s="8" t="n"/>
      <c r="E436" s="8" t="n"/>
      <c r="F436" s="7">
        <f>IF($E436="","",IFERROR(IF(VLOOKUP($E436,AcctTbl,4,0)="","",VLOOKUP($E436,AcctTbl,4,0)),"—"))</f>
        <v/>
      </c>
      <c r="G436" s="8" t="n"/>
      <c r="H436" s="9" t="n"/>
      <c r="I436" s="9" t="n"/>
      <c r="J436" s="10">
        <f>IF(OR($H436="",$I436=""),"",ROUND($H436*$I436,0))</f>
        <v/>
      </c>
      <c r="K436" s="10">
        <f>IF(OR($B436="",$E436="",Calc!$B433=""),"",SUMIFS(CalcAmtA,CalcPartyA,$E436,CalcKeyA,"&lt;="&amp;Calc!$B433)-SUMIFS(CalcWitB,CalcPartyB,$E436,CalcKeyB,"&lt;="&amp;Calc!$B433)+SUMIFS(CalcDepB,CalcPartyB,$E436,CalcKeyB,"&lt;="&amp;Calc!$B433))</f>
        <v/>
      </c>
      <c r="L436" s="8" t="n"/>
    </row>
    <row r="437">
      <c r="A437" s="7">
        <f>IF($B437="","",COUNTA($B$9:$B437))</f>
        <v/>
      </c>
      <c r="B437" s="8" t="n"/>
      <c r="C437" s="8" t="n"/>
      <c r="D437" s="8" t="n"/>
      <c r="E437" s="8" t="n"/>
      <c r="F437" s="7">
        <f>IF($E437="","",IFERROR(IF(VLOOKUP($E437,AcctTbl,4,0)="","",VLOOKUP($E437,AcctTbl,4,0)),"—"))</f>
        <v/>
      </c>
      <c r="G437" s="8" t="n"/>
      <c r="H437" s="9" t="n"/>
      <c r="I437" s="9" t="n"/>
      <c r="J437" s="10">
        <f>IF(OR($H437="",$I437=""),"",ROUND($H437*$I437,0))</f>
        <v/>
      </c>
      <c r="K437" s="10">
        <f>IF(OR($B437="",$E437="",Calc!$B434=""),"",SUMIFS(CalcAmtA,CalcPartyA,$E437,CalcKeyA,"&lt;="&amp;Calc!$B434)-SUMIFS(CalcWitB,CalcPartyB,$E437,CalcKeyB,"&lt;="&amp;Calc!$B434)+SUMIFS(CalcDepB,CalcPartyB,$E437,CalcKeyB,"&lt;="&amp;Calc!$B434))</f>
        <v/>
      </c>
      <c r="L437" s="8" t="n"/>
    </row>
    <row r="438">
      <c r="A438" s="7">
        <f>IF($B438="","",COUNTA($B$9:$B438))</f>
        <v/>
      </c>
      <c r="B438" s="8" t="n"/>
      <c r="C438" s="8" t="n"/>
      <c r="D438" s="8" t="n"/>
      <c r="E438" s="8" t="n"/>
      <c r="F438" s="7">
        <f>IF($E438="","",IFERROR(IF(VLOOKUP($E438,AcctTbl,4,0)="","",VLOOKUP($E438,AcctTbl,4,0)),"—"))</f>
        <v/>
      </c>
      <c r="G438" s="8" t="n"/>
      <c r="H438" s="9" t="n"/>
      <c r="I438" s="9" t="n"/>
      <c r="J438" s="10">
        <f>IF(OR($H438="",$I438=""),"",ROUND($H438*$I438,0))</f>
        <v/>
      </c>
      <c r="K438" s="10">
        <f>IF(OR($B438="",$E438="",Calc!$B435=""),"",SUMIFS(CalcAmtA,CalcPartyA,$E438,CalcKeyA,"&lt;="&amp;Calc!$B435)-SUMIFS(CalcWitB,CalcPartyB,$E438,CalcKeyB,"&lt;="&amp;Calc!$B435)+SUMIFS(CalcDepB,CalcPartyB,$E438,CalcKeyB,"&lt;="&amp;Calc!$B435))</f>
        <v/>
      </c>
      <c r="L438" s="8" t="n"/>
    </row>
    <row r="439">
      <c r="A439" s="7">
        <f>IF($B439="","",COUNTA($B$9:$B439))</f>
        <v/>
      </c>
      <c r="B439" s="8" t="n"/>
      <c r="C439" s="8" t="n"/>
      <c r="D439" s="8" t="n"/>
      <c r="E439" s="8" t="n"/>
      <c r="F439" s="7">
        <f>IF($E439="","",IFERROR(IF(VLOOKUP($E439,AcctTbl,4,0)="","",VLOOKUP($E439,AcctTbl,4,0)),"—"))</f>
        <v/>
      </c>
      <c r="G439" s="8" t="n"/>
      <c r="H439" s="9" t="n"/>
      <c r="I439" s="9" t="n"/>
      <c r="J439" s="10">
        <f>IF(OR($H439="",$I439=""),"",ROUND($H439*$I439,0))</f>
        <v/>
      </c>
      <c r="K439" s="10">
        <f>IF(OR($B439="",$E439="",Calc!$B436=""),"",SUMIFS(CalcAmtA,CalcPartyA,$E439,CalcKeyA,"&lt;="&amp;Calc!$B436)-SUMIFS(CalcWitB,CalcPartyB,$E439,CalcKeyB,"&lt;="&amp;Calc!$B436)+SUMIFS(CalcDepB,CalcPartyB,$E439,CalcKeyB,"&lt;="&amp;Calc!$B436))</f>
        <v/>
      </c>
      <c r="L439" s="8" t="n"/>
    </row>
    <row r="440">
      <c r="A440" s="7">
        <f>IF($B440="","",COUNTA($B$9:$B440))</f>
        <v/>
      </c>
      <c r="B440" s="8" t="n"/>
      <c r="C440" s="8" t="n"/>
      <c r="D440" s="8" t="n"/>
      <c r="E440" s="8" t="n"/>
      <c r="F440" s="7">
        <f>IF($E440="","",IFERROR(IF(VLOOKUP($E440,AcctTbl,4,0)="","",VLOOKUP($E440,AcctTbl,4,0)),"—"))</f>
        <v/>
      </c>
      <c r="G440" s="8" t="n"/>
      <c r="H440" s="9" t="n"/>
      <c r="I440" s="9" t="n"/>
      <c r="J440" s="10">
        <f>IF(OR($H440="",$I440=""),"",ROUND($H440*$I440,0))</f>
        <v/>
      </c>
      <c r="K440" s="10">
        <f>IF(OR($B440="",$E440="",Calc!$B437=""),"",SUMIFS(CalcAmtA,CalcPartyA,$E440,CalcKeyA,"&lt;="&amp;Calc!$B437)-SUMIFS(CalcWitB,CalcPartyB,$E440,CalcKeyB,"&lt;="&amp;Calc!$B437)+SUMIFS(CalcDepB,CalcPartyB,$E440,CalcKeyB,"&lt;="&amp;Calc!$B437))</f>
        <v/>
      </c>
      <c r="L440" s="8" t="n"/>
    </row>
    <row r="441">
      <c r="A441" s="7">
        <f>IF($B441="","",COUNTA($B$9:$B441))</f>
        <v/>
      </c>
      <c r="B441" s="8" t="n"/>
      <c r="C441" s="8" t="n"/>
      <c r="D441" s="8" t="n"/>
      <c r="E441" s="8" t="n"/>
      <c r="F441" s="7">
        <f>IF($E441="","",IFERROR(IF(VLOOKUP($E441,AcctTbl,4,0)="","",VLOOKUP($E441,AcctTbl,4,0)),"—"))</f>
        <v/>
      </c>
      <c r="G441" s="8" t="n"/>
      <c r="H441" s="9" t="n"/>
      <c r="I441" s="9" t="n"/>
      <c r="J441" s="10">
        <f>IF(OR($H441="",$I441=""),"",ROUND($H441*$I441,0))</f>
        <v/>
      </c>
      <c r="K441" s="10">
        <f>IF(OR($B441="",$E441="",Calc!$B438=""),"",SUMIFS(CalcAmtA,CalcPartyA,$E441,CalcKeyA,"&lt;="&amp;Calc!$B438)-SUMIFS(CalcWitB,CalcPartyB,$E441,CalcKeyB,"&lt;="&amp;Calc!$B438)+SUMIFS(CalcDepB,CalcPartyB,$E441,CalcKeyB,"&lt;="&amp;Calc!$B438))</f>
        <v/>
      </c>
      <c r="L441" s="8" t="n"/>
    </row>
    <row r="442">
      <c r="A442" s="7">
        <f>IF($B442="","",COUNTA($B$9:$B442))</f>
        <v/>
      </c>
      <c r="B442" s="8" t="n"/>
      <c r="C442" s="8" t="n"/>
      <c r="D442" s="8" t="n"/>
      <c r="E442" s="8" t="n"/>
      <c r="F442" s="7">
        <f>IF($E442="","",IFERROR(IF(VLOOKUP($E442,AcctTbl,4,0)="","",VLOOKUP($E442,AcctTbl,4,0)),"—"))</f>
        <v/>
      </c>
      <c r="G442" s="8" t="n"/>
      <c r="H442" s="9" t="n"/>
      <c r="I442" s="9" t="n"/>
      <c r="J442" s="10">
        <f>IF(OR($H442="",$I442=""),"",ROUND($H442*$I442,0))</f>
        <v/>
      </c>
      <c r="K442" s="10">
        <f>IF(OR($B442="",$E442="",Calc!$B439=""),"",SUMIFS(CalcAmtA,CalcPartyA,$E442,CalcKeyA,"&lt;="&amp;Calc!$B439)-SUMIFS(CalcWitB,CalcPartyB,$E442,CalcKeyB,"&lt;="&amp;Calc!$B439)+SUMIFS(CalcDepB,CalcPartyB,$E442,CalcKeyB,"&lt;="&amp;Calc!$B439))</f>
        <v/>
      </c>
      <c r="L442" s="8" t="n"/>
    </row>
    <row r="443">
      <c r="A443" s="7">
        <f>IF($B443="","",COUNTA($B$9:$B443))</f>
        <v/>
      </c>
      <c r="B443" s="8" t="n"/>
      <c r="C443" s="8" t="n"/>
      <c r="D443" s="8" t="n"/>
      <c r="E443" s="8" t="n"/>
      <c r="F443" s="7">
        <f>IF($E443="","",IFERROR(IF(VLOOKUP($E443,AcctTbl,4,0)="","",VLOOKUP($E443,AcctTbl,4,0)),"—"))</f>
        <v/>
      </c>
      <c r="G443" s="8" t="n"/>
      <c r="H443" s="9" t="n"/>
      <c r="I443" s="9" t="n"/>
      <c r="J443" s="10">
        <f>IF(OR($H443="",$I443=""),"",ROUND($H443*$I443,0))</f>
        <v/>
      </c>
      <c r="K443" s="10">
        <f>IF(OR($B443="",$E443="",Calc!$B440=""),"",SUMIFS(CalcAmtA,CalcPartyA,$E443,CalcKeyA,"&lt;="&amp;Calc!$B440)-SUMIFS(CalcWitB,CalcPartyB,$E443,CalcKeyB,"&lt;="&amp;Calc!$B440)+SUMIFS(CalcDepB,CalcPartyB,$E443,CalcKeyB,"&lt;="&amp;Calc!$B440))</f>
        <v/>
      </c>
      <c r="L443" s="8" t="n"/>
    </row>
    <row r="444">
      <c r="A444" s="7">
        <f>IF($B444="","",COUNTA($B$9:$B444))</f>
        <v/>
      </c>
      <c r="B444" s="8" t="n"/>
      <c r="C444" s="8" t="n"/>
      <c r="D444" s="8" t="n"/>
      <c r="E444" s="8" t="n"/>
      <c r="F444" s="7">
        <f>IF($E444="","",IFERROR(IF(VLOOKUP($E444,AcctTbl,4,0)="","",VLOOKUP($E444,AcctTbl,4,0)),"—"))</f>
        <v/>
      </c>
      <c r="G444" s="8" t="n"/>
      <c r="H444" s="9" t="n"/>
      <c r="I444" s="9" t="n"/>
      <c r="J444" s="10">
        <f>IF(OR($H444="",$I444=""),"",ROUND($H444*$I444,0))</f>
        <v/>
      </c>
      <c r="K444" s="10">
        <f>IF(OR($B444="",$E444="",Calc!$B441=""),"",SUMIFS(CalcAmtA,CalcPartyA,$E444,CalcKeyA,"&lt;="&amp;Calc!$B441)-SUMIFS(CalcWitB,CalcPartyB,$E444,CalcKeyB,"&lt;="&amp;Calc!$B441)+SUMIFS(CalcDepB,CalcPartyB,$E444,CalcKeyB,"&lt;="&amp;Calc!$B441))</f>
        <v/>
      </c>
      <c r="L444" s="8" t="n"/>
    </row>
    <row r="445">
      <c r="A445" s="7">
        <f>IF($B445="","",COUNTA($B$9:$B445))</f>
        <v/>
      </c>
      <c r="B445" s="8" t="n"/>
      <c r="C445" s="8" t="n"/>
      <c r="D445" s="8" t="n"/>
      <c r="E445" s="8" t="n"/>
      <c r="F445" s="7">
        <f>IF($E445="","",IFERROR(IF(VLOOKUP($E445,AcctTbl,4,0)="","",VLOOKUP($E445,AcctTbl,4,0)),"—"))</f>
        <v/>
      </c>
      <c r="G445" s="8" t="n"/>
      <c r="H445" s="9" t="n"/>
      <c r="I445" s="9" t="n"/>
      <c r="J445" s="10">
        <f>IF(OR($H445="",$I445=""),"",ROUND($H445*$I445,0))</f>
        <v/>
      </c>
      <c r="K445" s="10">
        <f>IF(OR($B445="",$E445="",Calc!$B442=""),"",SUMIFS(CalcAmtA,CalcPartyA,$E445,CalcKeyA,"&lt;="&amp;Calc!$B442)-SUMIFS(CalcWitB,CalcPartyB,$E445,CalcKeyB,"&lt;="&amp;Calc!$B442)+SUMIFS(CalcDepB,CalcPartyB,$E445,CalcKeyB,"&lt;="&amp;Calc!$B442))</f>
        <v/>
      </c>
      <c r="L445" s="8" t="n"/>
    </row>
    <row r="446">
      <c r="A446" s="7">
        <f>IF($B446="","",COUNTA($B$9:$B446))</f>
        <v/>
      </c>
      <c r="B446" s="8" t="n"/>
      <c r="C446" s="8" t="n"/>
      <c r="D446" s="8" t="n"/>
      <c r="E446" s="8" t="n"/>
      <c r="F446" s="7">
        <f>IF($E446="","",IFERROR(IF(VLOOKUP($E446,AcctTbl,4,0)="","",VLOOKUP($E446,AcctTbl,4,0)),"—"))</f>
        <v/>
      </c>
      <c r="G446" s="8" t="n"/>
      <c r="H446" s="9" t="n"/>
      <c r="I446" s="9" t="n"/>
      <c r="J446" s="10">
        <f>IF(OR($H446="",$I446=""),"",ROUND($H446*$I446,0))</f>
        <v/>
      </c>
      <c r="K446" s="10">
        <f>IF(OR($B446="",$E446="",Calc!$B443=""),"",SUMIFS(CalcAmtA,CalcPartyA,$E446,CalcKeyA,"&lt;="&amp;Calc!$B443)-SUMIFS(CalcWitB,CalcPartyB,$E446,CalcKeyB,"&lt;="&amp;Calc!$B443)+SUMIFS(CalcDepB,CalcPartyB,$E446,CalcKeyB,"&lt;="&amp;Calc!$B443))</f>
        <v/>
      </c>
      <c r="L446" s="8" t="n"/>
    </row>
    <row r="447">
      <c r="A447" s="7">
        <f>IF($B447="","",COUNTA($B$9:$B447))</f>
        <v/>
      </c>
      <c r="B447" s="8" t="n"/>
      <c r="C447" s="8" t="n"/>
      <c r="D447" s="8" t="n"/>
      <c r="E447" s="8" t="n"/>
      <c r="F447" s="7">
        <f>IF($E447="","",IFERROR(IF(VLOOKUP($E447,AcctTbl,4,0)="","",VLOOKUP($E447,AcctTbl,4,0)),"—"))</f>
        <v/>
      </c>
      <c r="G447" s="8" t="n"/>
      <c r="H447" s="9" t="n"/>
      <c r="I447" s="9" t="n"/>
      <c r="J447" s="10">
        <f>IF(OR($H447="",$I447=""),"",ROUND($H447*$I447,0))</f>
        <v/>
      </c>
      <c r="K447" s="10">
        <f>IF(OR($B447="",$E447="",Calc!$B444=""),"",SUMIFS(CalcAmtA,CalcPartyA,$E447,CalcKeyA,"&lt;="&amp;Calc!$B444)-SUMIFS(CalcWitB,CalcPartyB,$E447,CalcKeyB,"&lt;="&amp;Calc!$B444)+SUMIFS(CalcDepB,CalcPartyB,$E447,CalcKeyB,"&lt;="&amp;Calc!$B444))</f>
        <v/>
      </c>
      <c r="L447" s="8" t="n"/>
    </row>
    <row r="448">
      <c r="A448" s="7">
        <f>IF($B448="","",COUNTA($B$9:$B448))</f>
        <v/>
      </c>
      <c r="B448" s="8" t="n"/>
      <c r="C448" s="8" t="n"/>
      <c r="D448" s="8" t="n"/>
      <c r="E448" s="8" t="n"/>
      <c r="F448" s="7">
        <f>IF($E448="","",IFERROR(IF(VLOOKUP($E448,AcctTbl,4,0)="","",VLOOKUP($E448,AcctTbl,4,0)),"—"))</f>
        <v/>
      </c>
      <c r="G448" s="8" t="n"/>
      <c r="H448" s="9" t="n"/>
      <c r="I448" s="9" t="n"/>
      <c r="J448" s="10">
        <f>IF(OR($H448="",$I448=""),"",ROUND($H448*$I448,0))</f>
        <v/>
      </c>
      <c r="K448" s="10">
        <f>IF(OR($B448="",$E448="",Calc!$B445=""),"",SUMIFS(CalcAmtA,CalcPartyA,$E448,CalcKeyA,"&lt;="&amp;Calc!$B445)-SUMIFS(CalcWitB,CalcPartyB,$E448,CalcKeyB,"&lt;="&amp;Calc!$B445)+SUMIFS(CalcDepB,CalcPartyB,$E448,CalcKeyB,"&lt;="&amp;Calc!$B445))</f>
        <v/>
      </c>
      <c r="L448" s="8" t="n"/>
    </row>
    <row r="449">
      <c r="A449" s="7">
        <f>IF($B449="","",COUNTA($B$9:$B449))</f>
        <v/>
      </c>
      <c r="B449" s="8" t="n"/>
      <c r="C449" s="8" t="n"/>
      <c r="D449" s="8" t="n"/>
      <c r="E449" s="8" t="n"/>
      <c r="F449" s="7">
        <f>IF($E449="","",IFERROR(IF(VLOOKUP($E449,AcctTbl,4,0)="","",VLOOKUP($E449,AcctTbl,4,0)),"—"))</f>
        <v/>
      </c>
      <c r="G449" s="8" t="n"/>
      <c r="H449" s="9" t="n"/>
      <c r="I449" s="9" t="n"/>
      <c r="J449" s="10">
        <f>IF(OR($H449="",$I449=""),"",ROUND($H449*$I449,0))</f>
        <v/>
      </c>
      <c r="K449" s="10">
        <f>IF(OR($B449="",$E449="",Calc!$B446=""),"",SUMIFS(CalcAmtA,CalcPartyA,$E449,CalcKeyA,"&lt;="&amp;Calc!$B446)-SUMIFS(CalcWitB,CalcPartyB,$E449,CalcKeyB,"&lt;="&amp;Calc!$B446)+SUMIFS(CalcDepB,CalcPartyB,$E449,CalcKeyB,"&lt;="&amp;Calc!$B446))</f>
        <v/>
      </c>
      <c r="L449" s="8" t="n"/>
    </row>
    <row r="450">
      <c r="A450" s="7">
        <f>IF($B450="","",COUNTA($B$9:$B450))</f>
        <v/>
      </c>
      <c r="B450" s="8" t="n"/>
      <c r="C450" s="8" t="n"/>
      <c r="D450" s="8" t="n"/>
      <c r="E450" s="8" t="n"/>
      <c r="F450" s="7">
        <f>IF($E450="","",IFERROR(IF(VLOOKUP($E450,AcctTbl,4,0)="","",VLOOKUP($E450,AcctTbl,4,0)),"—"))</f>
        <v/>
      </c>
      <c r="G450" s="8" t="n"/>
      <c r="H450" s="9" t="n"/>
      <c r="I450" s="9" t="n"/>
      <c r="J450" s="10">
        <f>IF(OR($H450="",$I450=""),"",ROUND($H450*$I450,0))</f>
        <v/>
      </c>
      <c r="K450" s="10">
        <f>IF(OR($B450="",$E450="",Calc!$B447=""),"",SUMIFS(CalcAmtA,CalcPartyA,$E450,CalcKeyA,"&lt;="&amp;Calc!$B447)-SUMIFS(CalcWitB,CalcPartyB,$E450,CalcKeyB,"&lt;="&amp;Calc!$B447)+SUMIFS(CalcDepB,CalcPartyB,$E450,CalcKeyB,"&lt;="&amp;Calc!$B447))</f>
        <v/>
      </c>
      <c r="L450" s="8" t="n"/>
    </row>
    <row r="451">
      <c r="A451" s="7">
        <f>IF($B451="","",COUNTA($B$9:$B451))</f>
        <v/>
      </c>
      <c r="B451" s="8" t="n"/>
      <c r="C451" s="8" t="n"/>
      <c r="D451" s="8" t="n"/>
      <c r="E451" s="8" t="n"/>
      <c r="F451" s="7">
        <f>IF($E451="","",IFERROR(IF(VLOOKUP($E451,AcctTbl,4,0)="","",VLOOKUP($E451,AcctTbl,4,0)),"—"))</f>
        <v/>
      </c>
      <c r="G451" s="8" t="n"/>
      <c r="H451" s="9" t="n"/>
      <c r="I451" s="9" t="n"/>
      <c r="J451" s="10">
        <f>IF(OR($H451="",$I451=""),"",ROUND($H451*$I451,0))</f>
        <v/>
      </c>
      <c r="K451" s="10">
        <f>IF(OR($B451="",$E451="",Calc!$B448=""),"",SUMIFS(CalcAmtA,CalcPartyA,$E451,CalcKeyA,"&lt;="&amp;Calc!$B448)-SUMIFS(CalcWitB,CalcPartyB,$E451,CalcKeyB,"&lt;="&amp;Calc!$B448)+SUMIFS(CalcDepB,CalcPartyB,$E451,CalcKeyB,"&lt;="&amp;Calc!$B448))</f>
        <v/>
      </c>
      <c r="L451" s="8" t="n"/>
    </row>
    <row r="452">
      <c r="A452" s="7">
        <f>IF($B452="","",COUNTA($B$9:$B452))</f>
        <v/>
      </c>
      <c r="B452" s="8" t="n"/>
      <c r="C452" s="8" t="n"/>
      <c r="D452" s="8" t="n"/>
      <c r="E452" s="8" t="n"/>
      <c r="F452" s="7">
        <f>IF($E452="","",IFERROR(IF(VLOOKUP($E452,AcctTbl,4,0)="","",VLOOKUP($E452,AcctTbl,4,0)),"—"))</f>
        <v/>
      </c>
      <c r="G452" s="8" t="n"/>
      <c r="H452" s="9" t="n"/>
      <c r="I452" s="9" t="n"/>
      <c r="J452" s="10">
        <f>IF(OR($H452="",$I452=""),"",ROUND($H452*$I452,0))</f>
        <v/>
      </c>
      <c r="K452" s="10">
        <f>IF(OR($B452="",$E452="",Calc!$B449=""),"",SUMIFS(CalcAmtA,CalcPartyA,$E452,CalcKeyA,"&lt;="&amp;Calc!$B449)-SUMIFS(CalcWitB,CalcPartyB,$E452,CalcKeyB,"&lt;="&amp;Calc!$B449)+SUMIFS(CalcDepB,CalcPartyB,$E452,CalcKeyB,"&lt;="&amp;Calc!$B449))</f>
        <v/>
      </c>
      <c r="L452" s="8" t="n"/>
    </row>
    <row r="453">
      <c r="A453" s="7">
        <f>IF($B453="","",COUNTA($B$9:$B453))</f>
        <v/>
      </c>
      <c r="B453" s="8" t="n"/>
      <c r="C453" s="8" t="n"/>
      <c r="D453" s="8" t="n"/>
      <c r="E453" s="8" t="n"/>
      <c r="F453" s="7">
        <f>IF($E453="","",IFERROR(IF(VLOOKUP($E453,AcctTbl,4,0)="","",VLOOKUP($E453,AcctTbl,4,0)),"—"))</f>
        <v/>
      </c>
      <c r="G453" s="8" t="n"/>
      <c r="H453" s="9" t="n"/>
      <c r="I453" s="9" t="n"/>
      <c r="J453" s="10">
        <f>IF(OR($H453="",$I453=""),"",ROUND($H453*$I453,0))</f>
        <v/>
      </c>
      <c r="K453" s="10">
        <f>IF(OR($B453="",$E453="",Calc!$B450=""),"",SUMIFS(CalcAmtA,CalcPartyA,$E453,CalcKeyA,"&lt;="&amp;Calc!$B450)-SUMIFS(CalcWitB,CalcPartyB,$E453,CalcKeyB,"&lt;="&amp;Calc!$B450)+SUMIFS(CalcDepB,CalcPartyB,$E453,CalcKeyB,"&lt;="&amp;Calc!$B450))</f>
        <v/>
      </c>
      <c r="L453" s="8" t="n"/>
    </row>
    <row r="454">
      <c r="A454" s="7">
        <f>IF($B454="","",COUNTA($B$9:$B454))</f>
        <v/>
      </c>
      <c r="B454" s="8" t="n"/>
      <c r="C454" s="8" t="n"/>
      <c r="D454" s="8" t="n"/>
      <c r="E454" s="8" t="n"/>
      <c r="F454" s="7">
        <f>IF($E454="","",IFERROR(IF(VLOOKUP($E454,AcctTbl,4,0)="","",VLOOKUP($E454,AcctTbl,4,0)),"—"))</f>
        <v/>
      </c>
      <c r="G454" s="8" t="n"/>
      <c r="H454" s="9" t="n"/>
      <c r="I454" s="9" t="n"/>
      <c r="J454" s="10">
        <f>IF(OR($H454="",$I454=""),"",ROUND($H454*$I454,0))</f>
        <v/>
      </c>
      <c r="K454" s="10">
        <f>IF(OR($B454="",$E454="",Calc!$B451=""),"",SUMIFS(CalcAmtA,CalcPartyA,$E454,CalcKeyA,"&lt;="&amp;Calc!$B451)-SUMIFS(CalcWitB,CalcPartyB,$E454,CalcKeyB,"&lt;="&amp;Calc!$B451)+SUMIFS(CalcDepB,CalcPartyB,$E454,CalcKeyB,"&lt;="&amp;Calc!$B451))</f>
        <v/>
      </c>
      <c r="L454" s="8" t="n"/>
    </row>
    <row r="455">
      <c r="A455" s="7">
        <f>IF($B455="","",COUNTA($B$9:$B455))</f>
        <v/>
      </c>
      <c r="B455" s="8" t="n"/>
      <c r="C455" s="8" t="n"/>
      <c r="D455" s="8" t="n"/>
      <c r="E455" s="8" t="n"/>
      <c r="F455" s="7">
        <f>IF($E455="","",IFERROR(IF(VLOOKUP($E455,AcctTbl,4,0)="","",VLOOKUP($E455,AcctTbl,4,0)),"—"))</f>
        <v/>
      </c>
      <c r="G455" s="8" t="n"/>
      <c r="H455" s="9" t="n"/>
      <c r="I455" s="9" t="n"/>
      <c r="J455" s="10">
        <f>IF(OR($H455="",$I455=""),"",ROUND($H455*$I455,0))</f>
        <v/>
      </c>
      <c r="K455" s="10">
        <f>IF(OR($B455="",$E455="",Calc!$B452=""),"",SUMIFS(CalcAmtA,CalcPartyA,$E455,CalcKeyA,"&lt;="&amp;Calc!$B452)-SUMIFS(CalcWitB,CalcPartyB,$E455,CalcKeyB,"&lt;="&amp;Calc!$B452)+SUMIFS(CalcDepB,CalcPartyB,$E455,CalcKeyB,"&lt;="&amp;Calc!$B452))</f>
        <v/>
      </c>
      <c r="L455" s="8" t="n"/>
    </row>
    <row r="456">
      <c r="A456" s="7">
        <f>IF($B456="","",COUNTA($B$9:$B456))</f>
        <v/>
      </c>
      <c r="B456" s="8" t="n"/>
      <c r="C456" s="8" t="n"/>
      <c r="D456" s="8" t="n"/>
      <c r="E456" s="8" t="n"/>
      <c r="F456" s="7">
        <f>IF($E456="","",IFERROR(IF(VLOOKUP($E456,AcctTbl,4,0)="","",VLOOKUP($E456,AcctTbl,4,0)),"—"))</f>
        <v/>
      </c>
      <c r="G456" s="8" t="n"/>
      <c r="H456" s="9" t="n"/>
      <c r="I456" s="9" t="n"/>
      <c r="J456" s="10">
        <f>IF(OR($H456="",$I456=""),"",ROUND($H456*$I456,0))</f>
        <v/>
      </c>
      <c r="K456" s="10">
        <f>IF(OR($B456="",$E456="",Calc!$B453=""),"",SUMIFS(CalcAmtA,CalcPartyA,$E456,CalcKeyA,"&lt;="&amp;Calc!$B453)-SUMIFS(CalcWitB,CalcPartyB,$E456,CalcKeyB,"&lt;="&amp;Calc!$B453)+SUMIFS(CalcDepB,CalcPartyB,$E456,CalcKeyB,"&lt;="&amp;Calc!$B453))</f>
        <v/>
      </c>
      <c r="L456" s="8" t="n"/>
    </row>
    <row r="457">
      <c r="A457" s="7">
        <f>IF($B457="","",COUNTA($B$9:$B457))</f>
        <v/>
      </c>
      <c r="B457" s="8" t="n"/>
      <c r="C457" s="8" t="n"/>
      <c r="D457" s="8" t="n"/>
      <c r="E457" s="8" t="n"/>
      <c r="F457" s="7">
        <f>IF($E457="","",IFERROR(IF(VLOOKUP($E457,AcctTbl,4,0)="","",VLOOKUP($E457,AcctTbl,4,0)),"—"))</f>
        <v/>
      </c>
      <c r="G457" s="8" t="n"/>
      <c r="H457" s="9" t="n"/>
      <c r="I457" s="9" t="n"/>
      <c r="J457" s="10">
        <f>IF(OR($H457="",$I457=""),"",ROUND($H457*$I457,0))</f>
        <v/>
      </c>
      <c r="K457" s="10">
        <f>IF(OR($B457="",$E457="",Calc!$B454=""),"",SUMIFS(CalcAmtA,CalcPartyA,$E457,CalcKeyA,"&lt;="&amp;Calc!$B454)-SUMIFS(CalcWitB,CalcPartyB,$E457,CalcKeyB,"&lt;="&amp;Calc!$B454)+SUMIFS(CalcDepB,CalcPartyB,$E457,CalcKeyB,"&lt;="&amp;Calc!$B454))</f>
        <v/>
      </c>
      <c r="L457" s="8" t="n"/>
    </row>
    <row r="458">
      <c r="A458" s="7">
        <f>IF($B458="","",COUNTA($B$9:$B458))</f>
        <v/>
      </c>
      <c r="B458" s="8" t="n"/>
      <c r="C458" s="8" t="n"/>
      <c r="D458" s="8" t="n"/>
      <c r="E458" s="8" t="n"/>
      <c r="F458" s="7">
        <f>IF($E458="","",IFERROR(IF(VLOOKUP($E458,AcctTbl,4,0)="","",VLOOKUP($E458,AcctTbl,4,0)),"—"))</f>
        <v/>
      </c>
      <c r="G458" s="8" t="n"/>
      <c r="H458" s="9" t="n"/>
      <c r="I458" s="9" t="n"/>
      <c r="J458" s="10">
        <f>IF(OR($H458="",$I458=""),"",ROUND($H458*$I458,0))</f>
        <v/>
      </c>
      <c r="K458" s="10">
        <f>IF(OR($B458="",$E458="",Calc!$B455=""),"",SUMIFS(CalcAmtA,CalcPartyA,$E458,CalcKeyA,"&lt;="&amp;Calc!$B455)-SUMIFS(CalcWitB,CalcPartyB,$E458,CalcKeyB,"&lt;="&amp;Calc!$B455)+SUMIFS(CalcDepB,CalcPartyB,$E458,CalcKeyB,"&lt;="&amp;Calc!$B455))</f>
        <v/>
      </c>
      <c r="L458" s="8" t="n"/>
    </row>
    <row r="459">
      <c r="A459" s="7">
        <f>IF($B459="","",COUNTA($B$9:$B459))</f>
        <v/>
      </c>
      <c r="B459" s="8" t="n"/>
      <c r="C459" s="8" t="n"/>
      <c r="D459" s="8" t="n"/>
      <c r="E459" s="8" t="n"/>
      <c r="F459" s="7">
        <f>IF($E459="","",IFERROR(IF(VLOOKUP($E459,AcctTbl,4,0)="","",VLOOKUP($E459,AcctTbl,4,0)),"—"))</f>
        <v/>
      </c>
      <c r="G459" s="8" t="n"/>
      <c r="H459" s="9" t="n"/>
      <c r="I459" s="9" t="n"/>
      <c r="J459" s="10">
        <f>IF(OR($H459="",$I459=""),"",ROUND($H459*$I459,0))</f>
        <v/>
      </c>
      <c r="K459" s="10">
        <f>IF(OR($B459="",$E459="",Calc!$B456=""),"",SUMIFS(CalcAmtA,CalcPartyA,$E459,CalcKeyA,"&lt;="&amp;Calc!$B456)-SUMIFS(CalcWitB,CalcPartyB,$E459,CalcKeyB,"&lt;="&amp;Calc!$B456)+SUMIFS(CalcDepB,CalcPartyB,$E459,CalcKeyB,"&lt;="&amp;Calc!$B456))</f>
        <v/>
      </c>
      <c r="L459" s="8" t="n"/>
    </row>
    <row r="460">
      <c r="A460" s="7">
        <f>IF($B460="","",COUNTA($B$9:$B460))</f>
        <v/>
      </c>
      <c r="B460" s="8" t="n"/>
      <c r="C460" s="8" t="n"/>
      <c r="D460" s="8" t="n"/>
      <c r="E460" s="8" t="n"/>
      <c r="F460" s="7">
        <f>IF($E460="","",IFERROR(IF(VLOOKUP($E460,AcctTbl,4,0)="","",VLOOKUP($E460,AcctTbl,4,0)),"—"))</f>
        <v/>
      </c>
      <c r="G460" s="8" t="n"/>
      <c r="H460" s="9" t="n"/>
      <c r="I460" s="9" t="n"/>
      <c r="J460" s="10">
        <f>IF(OR($H460="",$I460=""),"",ROUND($H460*$I460,0))</f>
        <v/>
      </c>
      <c r="K460" s="10">
        <f>IF(OR($B460="",$E460="",Calc!$B457=""),"",SUMIFS(CalcAmtA,CalcPartyA,$E460,CalcKeyA,"&lt;="&amp;Calc!$B457)-SUMIFS(CalcWitB,CalcPartyB,$E460,CalcKeyB,"&lt;="&amp;Calc!$B457)+SUMIFS(CalcDepB,CalcPartyB,$E460,CalcKeyB,"&lt;="&amp;Calc!$B457))</f>
        <v/>
      </c>
      <c r="L460" s="8" t="n"/>
    </row>
    <row r="461">
      <c r="A461" s="7">
        <f>IF($B461="","",COUNTA($B$9:$B461))</f>
        <v/>
      </c>
      <c r="B461" s="8" t="n"/>
      <c r="C461" s="8" t="n"/>
      <c r="D461" s="8" t="n"/>
      <c r="E461" s="8" t="n"/>
      <c r="F461" s="7">
        <f>IF($E461="","",IFERROR(IF(VLOOKUP($E461,AcctTbl,4,0)="","",VLOOKUP($E461,AcctTbl,4,0)),"—"))</f>
        <v/>
      </c>
      <c r="G461" s="8" t="n"/>
      <c r="H461" s="9" t="n"/>
      <c r="I461" s="9" t="n"/>
      <c r="J461" s="10">
        <f>IF(OR($H461="",$I461=""),"",ROUND($H461*$I461,0))</f>
        <v/>
      </c>
      <c r="K461" s="10">
        <f>IF(OR($B461="",$E461="",Calc!$B458=""),"",SUMIFS(CalcAmtA,CalcPartyA,$E461,CalcKeyA,"&lt;="&amp;Calc!$B458)-SUMIFS(CalcWitB,CalcPartyB,$E461,CalcKeyB,"&lt;="&amp;Calc!$B458)+SUMIFS(CalcDepB,CalcPartyB,$E461,CalcKeyB,"&lt;="&amp;Calc!$B458))</f>
        <v/>
      </c>
      <c r="L461" s="8" t="n"/>
    </row>
    <row r="462">
      <c r="A462" s="7">
        <f>IF($B462="","",COUNTA($B$9:$B462))</f>
        <v/>
      </c>
      <c r="B462" s="8" t="n"/>
      <c r="C462" s="8" t="n"/>
      <c r="D462" s="8" t="n"/>
      <c r="E462" s="8" t="n"/>
      <c r="F462" s="7">
        <f>IF($E462="","",IFERROR(IF(VLOOKUP($E462,AcctTbl,4,0)="","",VLOOKUP($E462,AcctTbl,4,0)),"—"))</f>
        <v/>
      </c>
      <c r="G462" s="8" t="n"/>
      <c r="H462" s="9" t="n"/>
      <c r="I462" s="9" t="n"/>
      <c r="J462" s="10">
        <f>IF(OR($H462="",$I462=""),"",ROUND($H462*$I462,0))</f>
        <v/>
      </c>
      <c r="K462" s="10">
        <f>IF(OR($B462="",$E462="",Calc!$B459=""),"",SUMIFS(CalcAmtA,CalcPartyA,$E462,CalcKeyA,"&lt;="&amp;Calc!$B459)-SUMIFS(CalcWitB,CalcPartyB,$E462,CalcKeyB,"&lt;="&amp;Calc!$B459)+SUMIFS(CalcDepB,CalcPartyB,$E462,CalcKeyB,"&lt;="&amp;Calc!$B459))</f>
        <v/>
      </c>
      <c r="L462" s="8" t="n"/>
    </row>
    <row r="463">
      <c r="A463" s="7">
        <f>IF($B463="","",COUNTA($B$9:$B463))</f>
        <v/>
      </c>
      <c r="B463" s="8" t="n"/>
      <c r="C463" s="8" t="n"/>
      <c r="D463" s="8" t="n"/>
      <c r="E463" s="8" t="n"/>
      <c r="F463" s="7">
        <f>IF($E463="","",IFERROR(IF(VLOOKUP($E463,AcctTbl,4,0)="","",VLOOKUP($E463,AcctTbl,4,0)),"—"))</f>
        <v/>
      </c>
      <c r="G463" s="8" t="n"/>
      <c r="H463" s="9" t="n"/>
      <c r="I463" s="9" t="n"/>
      <c r="J463" s="10">
        <f>IF(OR($H463="",$I463=""),"",ROUND($H463*$I463,0))</f>
        <v/>
      </c>
      <c r="K463" s="10">
        <f>IF(OR($B463="",$E463="",Calc!$B460=""),"",SUMIFS(CalcAmtA,CalcPartyA,$E463,CalcKeyA,"&lt;="&amp;Calc!$B460)-SUMIFS(CalcWitB,CalcPartyB,$E463,CalcKeyB,"&lt;="&amp;Calc!$B460)+SUMIFS(CalcDepB,CalcPartyB,$E463,CalcKeyB,"&lt;="&amp;Calc!$B460))</f>
        <v/>
      </c>
      <c r="L463" s="8" t="n"/>
    </row>
    <row r="464">
      <c r="A464" s="7">
        <f>IF($B464="","",COUNTA($B$9:$B464))</f>
        <v/>
      </c>
      <c r="B464" s="8" t="n"/>
      <c r="C464" s="8" t="n"/>
      <c r="D464" s="8" t="n"/>
      <c r="E464" s="8" t="n"/>
      <c r="F464" s="7">
        <f>IF($E464="","",IFERROR(IF(VLOOKUP($E464,AcctTbl,4,0)="","",VLOOKUP($E464,AcctTbl,4,0)),"—"))</f>
        <v/>
      </c>
      <c r="G464" s="8" t="n"/>
      <c r="H464" s="9" t="n"/>
      <c r="I464" s="9" t="n"/>
      <c r="J464" s="10">
        <f>IF(OR($H464="",$I464=""),"",ROUND($H464*$I464,0))</f>
        <v/>
      </c>
      <c r="K464" s="10">
        <f>IF(OR($B464="",$E464="",Calc!$B461=""),"",SUMIFS(CalcAmtA,CalcPartyA,$E464,CalcKeyA,"&lt;="&amp;Calc!$B461)-SUMIFS(CalcWitB,CalcPartyB,$E464,CalcKeyB,"&lt;="&amp;Calc!$B461)+SUMIFS(CalcDepB,CalcPartyB,$E464,CalcKeyB,"&lt;="&amp;Calc!$B461))</f>
        <v/>
      </c>
      <c r="L464" s="8" t="n"/>
    </row>
    <row r="465">
      <c r="A465" s="7">
        <f>IF($B465="","",COUNTA($B$9:$B465))</f>
        <v/>
      </c>
      <c r="B465" s="8" t="n"/>
      <c r="C465" s="8" t="n"/>
      <c r="D465" s="8" t="n"/>
      <c r="E465" s="8" t="n"/>
      <c r="F465" s="7">
        <f>IF($E465="","",IFERROR(IF(VLOOKUP($E465,AcctTbl,4,0)="","",VLOOKUP($E465,AcctTbl,4,0)),"—"))</f>
        <v/>
      </c>
      <c r="G465" s="8" t="n"/>
      <c r="H465" s="9" t="n"/>
      <c r="I465" s="9" t="n"/>
      <c r="J465" s="10">
        <f>IF(OR($H465="",$I465=""),"",ROUND($H465*$I465,0))</f>
        <v/>
      </c>
      <c r="K465" s="10">
        <f>IF(OR($B465="",$E465="",Calc!$B462=""),"",SUMIFS(CalcAmtA,CalcPartyA,$E465,CalcKeyA,"&lt;="&amp;Calc!$B462)-SUMIFS(CalcWitB,CalcPartyB,$E465,CalcKeyB,"&lt;="&amp;Calc!$B462)+SUMIFS(CalcDepB,CalcPartyB,$E465,CalcKeyB,"&lt;="&amp;Calc!$B462))</f>
        <v/>
      </c>
      <c r="L465" s="8" t="n"/>
    </row>
    <row r="466">
      <c r="A466" s="7">
        <f>IF($B466="","",COUNTA($B$9:$B466))</f>
        <v/>
      </c>
      <c r="B466" s="8" t="n"/>
      <c r="C466" s="8" t="n"/>
      <c r="D466" s="8" t="n"/>
      <c r="E466" s="8" t="n"/>
      <c r="F466" s="7">
        <f>IF($E466="","",IFERROR(IF(VLOOKUP($E466,AcctTbl,4,0)="","",VLOOKUP($E466,AcctTbl,4,0)),"—"))</f>
        <v/>
      </c>
      <c r="G466" s="8" t="n"/>
      <c r="H466" s="9" t="n"/>
      <c r="I466" s="9" t="n"/>
      <c r="J466" s="10">
        <f>IF(OR($H466="",$I466=""),"",ROUND($H466*$I466,0))</f>
        <v/>
      </c>
      <c r="K466" s="10">
        <f>IF(OR($B466="",$E466="",Calc!$B463=""),"",SUMIFS(CalcAmtA,CalcPartyA,$E466,CalcKeyA,"&lt;="&amp;Calc!$B463)-SUMIFS(CalcWitB,CalcPartyB,$E466,CalcKeyB,"&lt;="&amp;Calc!$B463)+SUMIFS(CalcDepB,CalcPartyB,$E466,CalcKeyB,"&lt;="&amp;Calc!$B463))</f>
        <v/>
      </c>
      <c r="L466" s="8" t="n"/>
    </row>
    <row r="467">
      <c r="A467" s="7">
        <f>IF($B467="","",COUNTA($B$9:$B467))</f>
        <v/>
      </c>
      <c r="B467" s="8" t="n"/>
      <c r="C467" s="8" t="n"/>
      <c r="D467" s="8" t="n"/>
      <c r="E467" s="8" t="n"/>
      <c r="F467" s="7">
        <f>IF($E467="","",IFERROR(IF(VLOOKUP($E467,AcctTbl,4,0)="","",VLOOKUP($E467,AcctTbl,4,0)),"—"))</f>
        <v/>
      </c>
      <c r="G467" s="8" t="n"/>
      <c r="H467" s="9" t="n"/>
      <c r="I467" s="9" t="n"/>
      <c r="J467" s="10">
        <f>IF(OR($H467="",$I467=""),"",ROUND($H467*$I467,0))</f>
        <v/>
      </c>
      <c r="K467" s="10">
        <f>IF(OR($B467="",$E467="",Calc!$B464=""),"",SUMIFS(CalcAmtA,CalcPartyA,$E467,CalcKeyA,"&lt;="&amp;Calc!$B464)-SUMIFS(CalcWitB,CalcPartyB,$E467,CalcKeyB,"&lt;="&amp;Calc!$B464)+SUMIFS(CalcDepB,CalcPartyB,$E467,CalcKeyB,"&lt;="&amp;Calc!$B464))</f>
        <v/>
      </c>
      <c r="L467" s="8" t="n"/>
    </row>
    <row r="468">
      <c r="A468" s="7">
        <f>IF($B468="","",COUNTA($B$9:$B468))</f>
        <v/>
      </c>
      <c r="B468" s="8" t="n"/>
      <c r="C468" s="8" t="n"/>
      <c r="D468" s="8" t="n"/>
      <c r="E468" s="8" t="n"/>
      <c r="F468" s="7">
        <f>IF($E468="","",IFERROR(IF(VLOOKUP($E468,AcctTbl,4,0)="","",VLOOKUP($E468,AcctTbl,4,0)),"—"))</f>
        <v/>
      </c>
      <c r="G468" s="8" t="n"/>
      <c r="H468" s="9" t="n"/>
      <c r="I468" s="9" t="n"/>
      <c r="J468" s="10">
        <f>IF(OR($H468="",$I468=""),"",ROUND($H468*$I468,0))</f>
        <v/>
      </c>
      <c r="K468" s="10">
        <f>IF(OR($B468="",$E468="",Calc!$B465=""),"",SUMIFS(CalcAmtA,CalcPartyA,$E468,CalcKeyA,"&lt;="&amp;Calc!$B465)-SUMIFS(CalcWitB,CalcPartyB,$E468,CalcKeyB,"&lt;="&amp;Calc!$B465)+SUMIFS(CalcDepB,CalcPartyB,$E468,CalcKeyB,"&lt;="&amp;Calc!$B465))</f>
        <v/>
      </c>
      <c r="L468" s="8" t="n"/>
    </row>
    <row r="469">
      <c r="A469" s="7">
        <f>IF($B469="","",COUNTA($B$9:$B469))</f>
        <v/>
      </c>
      <c r="B469" s="8" t="n"/>
      <c r="C469" s="8" t="n"/>
      <c r="D469" s="8" t="n"/>
      <c r="E469" s="8" t="n"/>
      <c r="F469" s="7">
        <f>IF($E469="","",IFERROR(IF(VLOOKUP($E469,AcctTbl,4,0)="","",VLOOKUP($E469,AcctTbl,4,0)),"—"))</f>
        <v/>
      </c>
      <c r="G469" s="8" t="n"/>
      <c r="H469" s="9" t="n"/>
      <c r="I469" s="9" t="n"/>
      <c r="J469" s="10">
        <f>IF(OR($H469="",$I469=""),"",ROUND($H469*$I469,0))</f>
        <v/>
      </c>
      <c r="K469" s="10">
        <f>IF(OR($B469="",$E469="",Calc!$B466=""),"",SUMIFS(CalcAmtA,CalcPartyA,$E469,CalcKeyA,"&lt;="&amp;Calc!$B466)-SUMIFS(CalcWitB,CalcPartyB,$E469,CalcKeyB,"&lt;="&amp;Calc!$B466)+SUMIFS(CalcDepB,CalcPartyB,$E469,CalcKeyB,"&lt;="&amp;Calc!$B466))</f>
        <v/>
      </c>
      <c r="L469" s="8" t="n"/>
    </row>
    <row r="470">
      <c r="A470" s="7">
        <f>IF($B470="","",COUNTA($B$9:$B470))</f>
        <v/>
      </c>
      <c r="B470" s="8" t="n"/>
      <c r="C470" s="8" t="n"/>
      <c r="D470" s="8" t="n"/>
      <c r="E470" s="8" t="n"/>
      <c r="F470" s="7">
        <f>IF($E470="","",IFERROR(IF(VLOOKUP($E470,AcctTbl,4,0)="","",VLOOKUP($E470,AcctTbl,4,0)),"—"))</f>
        <v/>
      </c>
      <c r="G470" s="8" t="n"/>
      <c r="H470" s="9" t="n"/>
      <c r="I470" s="9" t="n"/>
      <c r="J470" s="10">
        <f>IF(OR($H470="",$I470=""),"",ROUND($H470*$I470,0))</f>
        <v/>
      </c>
      <c r="K470" s="10">
        <f>IF(OR($B470="",$E470="",Calc!$B467=""),"",SUMIFS(CalcAmtA,CalcPartyA,$E470,CalcKeyA,"&lt;="&amp;Calc!$B467)-SUMIFS(CalcWitB,CalcPartyB,$E470,CalcKeyB,"&lt;="&amp;Calc!$B467)+SUMIFS(CalcDepB,CalcPartyB,$E470,CalcKeyB,"&lt;="&amp;Calc!$B467))</f>
        <v/>
      </c>
      <c r="L470" s="8" t="n"/>
    </row>
    <row r="471">
      <c r="A471" s="7">
        <f>IF($B471="","",COUNTA($B$9:$B471))</f>
        <v/>
      </c>
      <c r="B471" s="8" t="n"/>
      <c r="C471" s="8" t="n"/>
      <c r="D471" s="8" t="n"/>
      <c r="E471" s="8" t="n"/>
      <c r="F471" s="7">
        <f>IF($E471="","",IFERROR(IF(VLOOKUP($E471,AcctTbl,4,0)="","",VLOOKUP($E471,AcctTbl,4,0)),"—"))</f>
        <v/>
      </c>
      <c r="G471" s="8" t="n"/>
      <c r="H471" s="9" t="n"/>
      <c r="I471" s="9" t="n"/>
      <c r="J471" s="10">
        <f>IF(OR($H471="",$I471=""),"",ROUND($H471*$I471,0))</f>
        <v/>
      </c>
      <c r="K471" s="10">
        <f>IF(OR($B471="",$E471="",Calc!$B468=""),"",SUMIFS(CalcAmtA,CalcPartyA,$E471,CalcKeyA,"&lt;="&amp;Calc!$B468)-SUMIFS(CalcWitB,CalcPartyB,$E471,CalcKeyB,"&lt;="&amp;Calc!$B468)+SUMIFS(CalcDepB,CalcPartyB,$E471,CalcKeyB,"&lt;="&amp;Calc!$B468))</f>
        <v/>
      </c>
      <c r="L471" s="8" t="n"/>
    </row>
    <row r="472">
      <c r="A472" s="7">
        <f>IF($B472="","",COUNTA($B$9:$B472))</f>
        <v/>
      </c>
      <c r="B472" s="8" t="n"/>
      <c r="C472" s="8" t="n"/>
      <c r="D472" s="8" t="n"/>
      <c r="E472" s="8" t="n"/>
      <c r="F472" s="7">
        <f>IF($E472="","",IFERROR(IF(VLOOKUP($E472,AcctTbl,4,0)="","",VLOOKUP($E472,AcctTbl,4,0)),"—"))</f>
        <v/>
      </c>
      <c r="G472" s="8" t="n"/>
      <c r="H472" s="9" t="n"/>
      <c r="I472" s="9" t="n"/>
      <c r="J472" s="10">
        <f>IF(OR($H472="",$I472=""),"",ROUND($H472*$I472,0))</f>
        <v/>
      </c>
      <c r="K472" s="10">
        <f>IF(OR($B472="",$E472="",Calc!$B469=""),"",SUMIFS(CalcAmtA,CalcPartyA,$E472,CalcKeyA,"&lt;="&amp;Calc!$B469)-SUMIFS(CalcWitB,CalcPartyB,$E472,CalcKeyB,"&lt;="&amp;Calc!$B469)+SUMIFS(CalcDepB,CalcPartyB,$E472,CalcKeyB,"&lt;="&amp;Calc!$B469))</f>
        <v/>
      </c>
      <c r="L472" s="8" t="n"/>
    </row>
    <row r="473">
      <c r="A473" s="7">
        <f>IF($B473="","",COUNTA($B$9:$B473))</f>
        <v/>
      </c>
      <c r="B473" s="8" t="n"/>
      <c r="C473" s="8" t="n"/>
      <c r="D473" s="8" t="n"/>
      <c r="E473" s="8" t="n"/>
      <c r="F473" s="7">
        <f>IF($E473="","",IFERROR(IF(VLOOKUP($E473,AcctTbl,4,0)="","",VLOOKUP($E473,AcctTbl,4,0)),"—"))</f>
        <v/>
      </c>
      <c r="G473" s="8" t="n"/>
      <c r="H473" s="9" t="n"/>
      <c r="I473" s="9" t="n"/>
      <c r="J473" s="10">
        <f>IF(OR($H473="",$I473=""),"",ROUND($H473*$I473,0))</f>
        <v/>
      </c>
      <c r="K473" s="10">
        <f>IF(OR($B473="",$E473="",Calc!$B470=""),"",SUMIFS(CalcAmtA,CalcPartyA,$E473,CalcKeyA,"&lt;="&amp;Calc!$B470)-SUMIFS(CalcWitB,CalcPartyB,$E473,CalcKeyB,"&lt;="&amp;Calc!$B470)+SUMIFS(CalcDepB,CalcPartyB,$E473,CalcKeyB,"&lt;="&amp;Calc!$B470))</f>
        <v/>
      </c>
      <c r="L473" s="8" t="n"/>
    </row>
    <row r="474">
      <c r="A474" s="7">
        <f>IF($B474="","",COUNTA($B$9:$B474))</f>
        <v/>
      </c>
      <c r="B474" s="8" t="n"/>
      <c r="C474" s="8" t="n"/>
      <c r="D474" s="8" t="n"/>
      <c r="E474" s="8" t="n"/>
      <c r="F474" s="7">
        <f>IF($E474="","",IFERROR(IF(VLOOKUP($E474,AcctTbl,4,0)="","",VLOOKUP($E474,AcctTbl,4,0)),"—"))</f>
        <v/>
      </c>
      <c r="G474" s="8" t="n"/>
      <c r="H474" s="9" t="n"/>
      <c r="I474" s="9" t="n"/>
      <c r="J474" s="10">
        <f>IF(OR($H474="",$I474=""),"",ROUND($H474*$I474,0))</f>
        <v/>
      </c>
      <c r="K474" s="10">
        <f>IF(OR($B474="",$E474="",Calc!$B471=""),"",SUMIFS(CalcAmtA,CalcPartyA,$E474,CalcKeyA,"&lt;="&amp;Calc!$B471)-SUMIFS(CalcWitB,CalcPartyB,$E474,CalcKeyB,"&lt;="&amp;Calc!$B471)+SUMIFS(CalcDepB,CalcPartyB,$E474,CalcKeyB,"&lt;="&amp;Calc!$B471))</f>
        <v/>
      </c>
      <c r="L474" s="8" t="n"/>
    </row>
    <row r="475">
      <c r="A475" s="7">
        <f>IF($B475="","",COUNTA($B$9:$B475))</f>
        <v/>
      </c>
      <c r="B475" s="8" t="n"/>
      <c r="C475" s="8" t="n"/>
      <c r="D475" s="8" t="n"/>
      <c r="E475" s="8" t="n"/>
      <c r="F475" s="7">
        <f>IF($E475="","",IFERROR(IF(VLOOKUP($E475,AcctTbl,4,0)="","",VLOOKUP($E475,AcctTbl,4,0)),"—"))</f>
        <v/>
      </c>
      <c r="G475" s="8" t="n"/>
      <c r="H475" s="9" t="n"/>
      <c r="I475" s="9" t="n"/>
      <c r="J475" s="10">
        <f>IF(OR($H475="",$I475=""),"",ROUND($H475*$I475,0))</f>
        <v/>
      </c>
      <c r="K475" s="10">
        <f>IF(OR($B475="",$E475="",Calc!$B472=""),"",SUMIFS(CalcAmtA,CalcPartyA,$E475,CalcKeyA,"&lt;="&amp;Calc!$B472)-SUMIFS(CalcWitB,CalcPartyB,$E475,CalcKeyB,"&lt;="&amp;Calc!$B472)+SUMIFS(CalcDepB,CalcPartyB,$E475,CalcKeyB,"&lt;="&amp;Calc!$B472))</f>
        <v/>
      </c>
      <c r="L475" s="8" t="n"/>
    </row>
    <row r="476">
      <c r="A476" s="7">
        <f>IF($B476="","",COUNTA($B$9:$B476))</f>
        <v/>
      </c>
      <c r="B476" s="8" t="n"/>
      <c r="C476" s="8" t="n"/>
      <c r="D476" s="8" t="n"/>
      <c r="E476" s="8" t="n"/>
      <c r="F476" s="7">
        <f>IF($E476="","",IFERROR(IF(VLOOKUP($E476,AcctTbl,4,0)="","",VLOOKUP($E476,AcctTbl,4,0)),"—"))</f>
        <v/>
      </c>
      <c r="G476" s="8" t="n"/>
      <c r="H476" s="9" t="n"/>
      <c r="I476" s="9" t="n"/>
      <c r="J476" s="10">
        <f>IF(OR($H476="",$I476=""),"",ROUND($H476*$I476,0))</f>
        <v/>
      </c>
      <c r="K476" s="10">
        <f>IF(OR($B476="",$E476="",Calc!$B473=""),"",SUMIFS(CalcAmtA,CalcPartyA,$E476,CalcKeyA,"&lt;="&amp;Calc!$B473)-SUMIFS(CalcWitB,CalcPartyB,$E476,CalcKeyB,"&lt;="&amp;Calc!$B473)+SUMIFS(CalcDepB,CalcPartyB,$E476,CalcKeyB,"&lt;="&amp;Calc!$B473))</f>
        <v/>
      </c>
      <c r="L476" s="8" t="n"/>
    </row>
    <row r="477">
      <c r="A477" s="7">
        <f>IF($B477="","",COUNTA($B$9:$B477))</f>
        <v/>
      </c>
      <c r="B477" s="8" t="n"/>
      <c r="C477" s="8" t="n"/>
      <c r="D477" s="8" t="n"/>
      <c r="E477" s="8" t="n"/>
      <c r="F477" s="7">
        <f>IF($E477="","",IFERROR(IF(VLOOKUP($E477,AcctTbl,4,0)="","",VLOOKUP($E477,AcctTbl,4,0)),"—"))</f>
        <v/>
      </c>
      <c r="G477" s="8" t="n"/>
      <c r="H477" s="9" t="n"/>
      <c r="I477" s="9" t="n"/>
      <c r="J477" s="10">
        <f>IF(OR($H477="",$I477=""),"",ROUND($H477*$I477,0))</f>
        <v/>
      </c>
      <c r="K477" s="10">
        <f>IF(OR($B477="",$E477="",Calc!$B474=""),"",SUMIFS(CalcAmtA,CalcPartyA,$E477,CalcKeyA,"&lt;="&amp;Calc!$B474)-SUMIFS(CalcWitB,CalcPartyB,$E477,CalcKeyB,"&lt;="&amp;Calc!$B474)+SUMIFS(CalcDepB,CalcPartyB,$E477,CalcKeyB,"&lt;="&amp;Calc!$B474))</f>
        <v/>
      </c>
      <c r="L477" s="8" t="n"/>
    </row>
    <row r="478">
      <c r="A478" s="7">
        <f>IF($B478="","",COUNTA($B$9:$B478))</f>
        <v/>
      </c>
      <c r="B478" s="8" t="n"/>
      <c r="C478" s="8" t="n"/>
      <c r="D478" s="8" t="n"/>
      <c r="E478" s="8" t="n"/>
      <c r="F478" s="7">
        <f>IF($E478="","",IFERROR(IF(VLOOKUP($E478,AcctTbl,4,0)="","",VLOOKUP($E478,AcctTbl,4,0)),"—"))</f>
        <v/>
      </c>
      <c r="G478" s="8" t="n"/>
      <c r="H478" s="9" t="n"/>
      <c r="I478" s="9" t="n"/>
      <c r="J478" s="10">
        <f>IF(OR($H478="",$I478=""),"",ROUND($H478*$I478,0))</f>
        <v/>
      </c>
      <c r="K478" s="10">
        <f>IF(OR($B478="",$E478="",Calc!$B475=""),"",SUMIFS(CalcAmtA,CalcPartyA,$E478,CalcKeyA,"&lt;="&amp;Calc!$B475)-SUMIFS(CalcWitB,CalcPartyB,$E478,CalcKeyB,"&lt;="&amp;Calc!$B475)+SUMIFS(CalcDepB,CalcPartyB,$E478,CalcKeyB,"&lt;="&amp;Calc!$B475))</f>
        <v/>
      </c>
      <c r="L478" s="8" t="n"/>
    </row>
    <row r="479">
      <c r="A479" s="7">
        <f>IF($B479="","",COUNTA($B$9:$B479))</f>
        <v/>
      </c>
      <c r="B479" s="8" t="n"/>
      <c r="C479" s="8" t="n"/>
      <c r="D479" s="8" t="n"/>
      <c r="E479" s="8" t="n"/>
      <c r="F479" s="7">
        <f>IF($E479="","",IFERROR(IF(VLOOKUP($E479,AcctTbl,4,0)="","",VLOOKUP($E479,AcctTbl,4,0)),"—"))</f>
        <v/>
      </c>
      <c r="G479" s="8" t="n"/>
      <c r="H479" s="9" t="n"/>
      <c r="I479" s="9" t="n"/>
      <c r="J479" s="10">
        <f>IF(OR($H479="",$I479=""),"",ROUND($H479*$I479,0))</f>
        <v/>
      </c>
      <c r="K479" s="10">
        <f>IF(OR($B479="",$E479="",Calc!$B476=""),"",SUMIFS(CalcAmtA,CalcPartyA,$E479,CalcKeyA,"&lt;="&amp;Calc!$B476)-SUMIFS(CalcWitB,CalcPartyB,$E479,CalcKeyB,"&lt;="&amp;Calc!$B476)+SUMIFS(CalcDepB,CalcPartyB,$E479,CalcKeyB,"&lt;="&amp;Calc!$B476))</f>
        <v/>
      </c>
      <c r="L479" s="8" t="n"/>
    </row>
    <row r="480">
      <c r="A480" s="7">
        <f>IF($B480="","",COUNTA($B$9:$B480))</f>
        <v/>
      </c>
      <c r="B480" s="8" t="n"/>
      <c r="C480" s="8" t="n"/>
      <c r="D480" s="8" t="n"/>
      <c r="E480" s="8" t="n"/>
      <c r="F480" s="7">
        <f>IF($E480="","",IFERROR(IF(VLOOKUP($E480,AcctTbl,4,0)="","",VLOOKUP($E480,AcctTbl,4,0)),"—"))</f>
        <v/>
      </c>
      <c r="G480" s="8" t="n"/>
      <c r="H480" s="9" t="n"/>
      <c r="I480" s="9" t="n"/>
      <c r="J480" s="10">
        <f>IF(OR($H480="",$I480=""),"",ROUND($H480*$I480,0))</f>
        <v/>
      </c>
      <c r="K480" s="10">
        <f>IF(OR($B480="",$E480="",Calc!$B477=""),"",SUMIFS(CalcAmtA,CalcPartyA,$E480,CalcKeyA,"&lt;="&amp;Calc!$B477)-SUMIFS(CalcWitB,CalcPartyB,$E480,CalcKeyB,"&lt;="&amp;Calc!$B477)+SUMIFS(CalcDepB,CalcPartyB,$E480,CalcKeyB,"&lt;="&amp;Calc!$B477))</f>
        <v/>
      </c>
      <c r="L480" s="8" t="n"/>
    </row>
    <row r="481">
      <c r="A481" s="7">
        <f>IF($B481="","",COUNTA($B$9:$B481))</f>
        <v/>
      </c>
      <c r="B481" s="8" t="n"/>
      <c r="C481" s="8" t="n"/>
      <c r="D481" s="8" t="n"/>
      <c r="E481" s="8" t="n"/>
      <c r="F481" s="7">
        <f>IF($E481="","",IFERROR(IF(VLOOKUP($E481,AcctTbl,4,0)="","",VLOOKUP($E481,AcctTbl,4,0)),"—"))</f>
        <v/>
      </c>
      <c r="G481" s="8" t="n"/>
      <c r="H481" s="9" t="n"/>
      <c r="I481" s="9" t="n"/>
      <c r="J481" s="10">
        <f>IF(OR($H481="",$I481=""),"",ROUND($H481*$I481,0))</f>
        <v/>
      </c>
      <c r="K481" s="10">
        <f>IF(OR($B481="",$E481="",Calc!$B478=""),"",SUMIFS(CalcAmtA,CalcPartyA,$E481,CalcKeyA,"&lt;="&amp;Calc!$B478)-SUMIFS(CalcWitB,CalcPartyB,$E481,CalcKeyB,"&lt;="&amp;Calc!$B478)+SUMIFS(CalcDepB,CalcPartyB,$E481,CalcKeyB,"&lt;="&amp;Calc!$B478))</f>
        <v/>
      </c>
      <c r="L481" s="8" t="n"/>
    </row>
    <row r="482">
      <c r="A482" s="7">
        <f>IF($B482="","",COUNTA($B$9:$B482))</f>
        <v/>
      </c>
      <c r="B482" s="8" t="n"/>
      <c r="C482" s="8" t="n"/>
      <c r="D482" s="8" t="n"/>
      <c r="E482" s="8" t="n"/>
      <c r="F482" s="7">
        <f>IF($E482="","",IFERROR(IF(VLOOKUP($E482,AcctTbl,4,0)="","",VLOOKUP($E482,AcctTbl,4,0)),"—"))</f>
        <v/>
      </c>
      <c r="G482" s="8" t="n"/>
      <c r="H482" s="9" t="n"/>
      <c r="I482" s="9" t="n"/>
      <c r="J482" s="10">
        <f>IF(OR($H482="",$I482=""),"",ROUND($H482*$I482,0))</f>
        <v/>
      </c>
      <c r="K482" s="10">
        <f>IF(OR($B482="",$E482="",Calc!$B479=""),"",SUMIFS(CalcAmtA,CalcPartyA,$E482,CalcKeyA,"&lt;="&amp;Calc!$B479)-SUMIFS(CalcWitB,CalcPartyB,$E482,CalcKeyB,"&lt;="&amp;Calc!$B479)+SUMIFS(CalcDepB,CalcPartyB,$E482,CalcKeyB,"&lt;="&amp;Calc!$B479))</f>
        <v/>
      </c>
      <c r="L482" s="8" t="n"/>
    </row>
    <row r="483">
      <c r="A483" s="7">
        <f>IF($B483="","",COUNTA($B$9:$B483))</f>
        <v/>
      </c>
      <c r="B483" s="8" t="n"/>
      <c r="C483" s="8" t="n"/>
      <c r="D483" s="8" t="n"/>
      <c r="E483" s="8" t="n"/>
      <c r="F483" s="7">
        <f>IF($E483="","",IFERROR(IF(VLOOKUP($E483,AcctTbl,4,0)="","",VLOOKUP($E483,AcctTbl,4,0)),"—"))</f>
        <v/>
      </c>
      <c r="G483" s="8" t="n"/>
      <c r="H483" s="9" t="n"/>
      <c r="I483" s="9" t="n"/>
      <c r="J483" s="10">
        <f>IF(OR($H483="",$I483=""),"",ROUND($H483*$I483,0))</f>
        <v/>
      </c>
      <c r="K483" s="10">
        <f>IF(OR($B483="",$E483="",Calc!$B480=""),"",SUMIFS(CalcAmtA,CalcPartyA,$E483,CalcKeyA,"&lt;="&amp;Calc!$B480)-SUMIFS(CalcWitB,CalcPartyB,$E483,CalcKeyB,"&lt;="&amp;Calc!$B480)+SUMIFS(CalcDepB,CalcPartyB,$E483,CalcKeyB,"&lt;="&amp;Calc!$B480))</f>
        <v/>
      </c>
      <c r="L483" s="8" t="n"/>
    </row>
    <row r="484">
      <c r="A484" s="7">
        <f>IF($B484="","",COUNTA($B$9:$B484))</f>
        <v/>
      </c>
      <c r="B484" s="8" t="n"/>
      <c r="C484" s="8" t="n"/>
      <c r="D484" s="8" t="n"/>
      <c r="E484" s="8" t="n"/>
      <c r="F484" s="7">
        <f>IF($E484="","",IFERROR(IF(VLOOKUP($E484,AcctTbl,4,0)="","",VLOOKUP($E484,AcctTbl,4,0)),"—"))</f>
        <v/>
      </c>
      <c r="G484" s="8" t="n"/>
      <c r="H484" s="9" t="n"/>
      <c r="I484" s="9" t="n"/>
      <c r="J484" s="10">
        <f>IF(OR($H484="",$I484=""),"",ROUND($H484*$I484,0))</f>
        <v/>
      </c>
      <c r="K484" s="10">
        <f>IF(OR($B484="",$E484="",Calc!$B481=""),"",SUMIFS(CalcAmtA,CalcPartyA,$E484,CalcKeyA,"&lt;="&amp;Calc!$B481)-SUMIFS(CalcWitB,CalcPartyB,$E484,CalcKeyB,"&lt;="&amp;Calc!$B481)+SUMIFS(CalcDepB,CalcPartyB,$E484,CalcKeyB,"&lt;="&amp;Calc!$B481))</f>
        <v/>
      </c>
      <c r="L484" s="8" t="n"/>
    </row>
    <row r="485">
      <c r="A485" s="7">
        <f>IF($B485="","",COUNTA($B$9:$B485))</f>
        <v/>
      </c>
      <c r="B485" s="8" t="n"/>
      <c r="C485" s="8" t="n"/>
      <c r="D485" s="8" t="n"/>
      <c r="E485" s="8" t="n"/>
      <c r="F485" s="7">
        <f>IF($E485="","",IFERROR(IF(VLOOKUP($E485,AcctTbl,4,0)="","",VLOOKUP($E485,AcctTbl,4,0)),"—"))</f>
        <v/>
      </c>
      <c r="G485" s="8" t="n"/>
      <c r="H485" s="9" t="n"/>
      <c r="I485" s="9" t="n"/>
      <c r="J485" s="10">
        <f>IF(OR($H485="",$I485=""),"",ROUND($H485*$I485,0))</f>
        <v/>
      </c>
      <c r="K485" s="10">
        <f>IF(OR($B485="",$E485="",Calc!$B482=""),"",SUMIFS(CalcAmtA,CalcPartyA,$E485,CalcKeyA,"&lt;="&amp;Calc!$B482)-SUMIFS(CalcWitB,CalcPartyB,$E485,CalcKeyB,"&lt;="&amp;Calc!$B482)+SUMIFS(CalcDepB,CalcPartyB,$E485,CalcKeyB,"&lt;="&amp;Calc!$B482))</f>
        <v/>
      </c>
      <c r="L485" s="8" t="n"/>
    </row>
    <row r="486">
      <c r="A486" s="7">
        <f>IF($B486="","",COUNTA($B$9:$B486))</f>
        <v/>
      </c>
      <c r="B486" s="8" t="n"/>
      <c r="C486" s="8" t="n"/>
      <c r="D486" s="8" t="n"/>
      <c r="E486" s="8" t="n"/>
      <c r="F486" s="7">
        <f>IF($E486="","",IFERROR(IF(VLOOKUP($E486,AcctTbl,4,0)="","",VLOOKUP($E486,AcctTbl,4,0)),"—"))</f>
        <v/>
      </c>
      <c r="G486" s="8" t="n"/>
      <c r="H486" s="9" t="n"/>
      <c r="I486" s="9" t="n"/>
      <c r="J486" s="10">
        <f>IF(OR($H486="",$I486=""),"",ROUND($H486*$I486,0))</f>
        <v/>
      </c>
      <c r="K486" s="10">
        <f>IF(OR($B486="",$E486="",Calc!$B483=""),"",SUMIFS(CalcAmtA,CalcPartyA,$E486,CalcKeyA,"&lt;="&amp;Calc!$B483)-SUMIFS(CalcWitB,CalcPartyB,$E486,CalcKeyB,"&lt;="&amp;Calc!$B483)+SUMIFS(CalcDepB,CalcPartyB,$E486,CalcKeyB,"&lt;="&amp;Calc!$B483))</f>
        <v/>
      </c>
      <c r="L486" s="8" t="n"/>
    </row>
    <row r="487">
      <c r="A487" s="7">
        <f>IF($B487="","",COUNTA($B$9:$B487))</f>
        <v/>
      </c>
      <c r="B487" s="8" t="n"/>
      <c r="C487" s="8" t="n"/>
      <c r="D487" s="8" t="n"/>
      <c r="E487" s="8" t="n"/>
      <c r="F487" s="7">
        <f>IF($E487="","",IFERROR(IF(VLOOKUP($E487,AcctTbl,4,0)="","",VLOOKUP($E487,AcctTbl,4,0)),"—"))</f>
        <v/>
      </c>
      <c r="G487" s="8" t="n"/>
      <c r="H487" s="9" t="n"/>
      <c r="I487" s="9" t="n"/>
      <c r="J487" s="10">
        <f>IF(OR($H487="",$I487=""),"",ROUND($H487*$I487,0))</f>
        <v/>
      </c>
      <c r="K487" s="10">
        <f>IF(OR($B487="",$E487="",Calc!$B484=""),"",SUMIFS(CalcAmtA,CalcPartyA,$E487,CalcKeyA,"&lt;="&amp;Calc!$B484)-SUMIFS(CalcWitB,CalcPartyB,$E487,CalcKeyB,"&lt;="&amp;Calc!$B484)+SUMIFS(CalcDepB,CalcPartyB,$E487,CalcKeyB,"&lt;="&amp;Calc!$B484))</f>
        <v/>
      </c>
      <c r="L487" s="8" t="n"/>
    </row>
    <row r="488">
      <c r="A488" s="7">
        <f>IF($B488="","",COUNTA($B$9:$B488))</f>
        <v/>
      </c>
      <c r="B488" s="8" t="n"/>
      <c r="C488" s="8" t="n"/>
      <c r="D488" s="8" t="n"/>
      <c r="E488" s="8" t="n"/>
      <c r="F488" s="7">
        <f>IF($E488="","",IFERROR(IF(VLOOKUP($E488,AcctTbl,4,0)="","",VLOOKUP($E488,AcctTbl,4,0)),"—"))</f>
        <v/>
      </c>
      <c r="G488" s="8" t="n"/>
      <c r="H488" s="9" t="n"/>
      <c r="I488" s="9" t="n"/>
      <c r="J488" s="10">
        <f>IF(OR($H488="",$I488=""),"",ROUND($H488*$I488,0))</f>
        <v/>
      </c>
      <c r="K488" s="10">
        <f>IF(OR($B488="",$E488="",Calc!$B485=""),"",SUMIFS(CalcAmtA,CalcPartyA,$E488,CalcKeyA,"&lt;="&amp;Calc!$B485)-SUMIFS(CalcWitB,CalcPartyB,$E488,CalcKeyB,"&lt;="&amp;Calc!$B485)+SUMIFS(CalcDepB,CalcPartyB,$E488,CalcKeyB,"&lt;="&amp;Calc!$B485))</f>
        <v/>
      </c>
      <c r="L488" s="8" t="n"/>
    </row>
    <row r="489">
      <c r="A489" s="7">
        <f>IF($B489="","",COUNTA($B$9:$B489))</f>
        <v/>
      </c>
      <c r="B489" s="8" t="n"/>
      <c r="C489" s="8" t="n"/>
      <c r="D489" s="8" t="n"/>
      <c r="E489" s="8" t="n"/>
      <c r="F489" s="7">
        <f>IF($E489="","",IFERROR(IF(VLOOKUP($E489,AcctTbl,4,0)="","",VLOOKUP($E489,AcctTbl,4,0)),"—"))</f>
        <v/>
      </c>
      <c r="G489" s="8" t="n"/>
      <c r="H489" s="9" t="n"/>
      <c r="I489" s="9" t="n"/>
      <c r="J489" s="10">
        <f>IF(OR($H489="",$I489=""),"",ROUND($H489*$I489,0))</f>
        <v/>
      </c>
      <c r="K489" s="10">
        <f>IF(OR($B489="",$E489="",Calc!$B486=""),"",SUMIFS(CalcAmtA,CalcPartyA,$E489,CalcKeyA,"&lt;="&amp;Calc!$B486)-SUMIFS(CalcWitB,CalcPartyB,$E489,CalcKeyB,"&lt;="&amp;Calc!$B486)+SUMIFS(CalcDepB,CalcPartyB,$E489,CalcKeyB,"&lt;="&amp;Calc!$B486))</f>
        <v/>
      </c>
      <c r="L489" s="8" t="n"/>
    </row>
    <row r="490">
      <c r="A490" s="7">
        <f>IF($B490="","",COUNTA($B$9:$B490))</f>
        <v/>
      </c>
      <c r="B490" s="8" t="n"/>
      <c r="C490" s="8" t="n"/>
      <c r="D490" s="8" t="n"/>
      <c r="E490" s="8" t="n"/>
      <c r="F490" s="7">
        <f>IF($E490="","",IFERROR(IF(VLOOKUP($E490,AcctTbl,4,0)="","",VLOOKUP($E490,AcctTbl,4,0)),"—"))</f>
        <v/>
      </c>
      <c r="G490" s="8" t="n"/>
      <c r="H490" s="9" t="n"/>
      <c r="I490" s="9" t="n"/>
      <c r="J490" s="10">
        <f>IF(OR($H490="",$I490=""),"",ROUND($H490*$I490,0))</f>
        <v/>
      </c>
      <c r="K490" s="10">
        <f>IF(OR($B490="",$E490="",Calc!$B487=""),"",SUMIFS(CalcAmtA,CalcPartyA,$E490,CalcKeyA,"&lt;="&amp;Calc!$B487)-SUMIFS(CalcWitB,CalcPartyB,$E490,CalcKeyB,"&lt;="&amp;Calc!$B487)+SUMIFS(CalcDepB,CalcPartyB,$E490,CalcKeyB,"&lt;="&amp;Calc!$B487))</f>
        <v/>
      </c>
      <c r="L490" s="8" t="n"/>
    </row>
    <row r="491">
      <c r="A491" s="7">
        <f>IF($B491="","",COUNTA($B$9:$B491))</f>
        <v/>
      </c>
      <c r="B491" s="8" t="n"/>
      <c r="C491" s="8" t="n"/>
      <c r="D491" s="8" t="n"/>
      <c r="E491" s="8" t="n"/>
      <c r="F491" s="7">
        <f>IF($E491="","",IFERROR(IF(VLOOKUP($E491,AcctTbl,4,0)="","",VLOOKUP($E491,AcctTbl,4,0)),"—"))</f>
        <v/>
      </c>
      <c r="G491" s="8" t="n"/>
      <c r="H491" s="9" t="n"/>
      <c r="I491" s="9" t="n"/>
      <c r="J491" s="10">
        <f>IF(OR($H491="",$I491=""),"",ROUND($H491*$I491,0))</f>
        <v/>
      </c>
      <c r="K491" s="10">
        <f>IF(OR($B491="",$E491="",Calc!$B488=""),"",SUMIFS(CalcAmtA,CalcPartyA,$E491,CalcKeyA,"&lt;="&amp;Calc!$B488)-SUMIFS(CalcWitB,CalcPartyB,$E491,CalcKeyB,"&lt;="&amp;Calc!$B488)+SUMIFS(CalcDepB,CalcPartyB,$E491,CalcKeyB,"&lt;="&amp;Calc!$B488))</f>
        <v/>
      </c>
      <c r="L491" s="8" t="n"/>
    </row>
    <row r="492">
      <c r="A492" s="7">
        <f>IF($B492="","",COUNTA($B$9:$B492))</f>
        <v/>
      </c>
      <c r="B492" s="8" t="n"/>
      <c r="C492" s="8" t="n"/>
      <c r="D492" s="8" t="n"/>
      <c r="E492" s="8" t="n"/>
      <c r="F492" s="7">
        <f>IF($E492="","",IFERROR(IF(VLOOKUP($E492,AcctTbl,4,0)="","",VLOOKUP($E492,AcctTbl,4,0)),"—"))</f>
        <v/>
      </c>
      <c r="G492" s="8" t="n"/>
      <c r="H492" s="9" t="n"/>
      <c r="I492" s="9" t="n"/>
      <c r="J492" s="10">
        <f>IF(OR($H492="",$I492=""),"",ROUND($H492*$I492,0))</f>
        <v/>
      </c>
      <c r="K492" s="10">
        <f>IF(OR($B492="",$E492="",Calc!$B489=""),"",SUMIFS(CalcAmtA,CalcPartyA,$E492,CalcKeyA,"&lt;="&amp;Calc!$B489)-SUMIFS(CalcWitB,CalcPartyB,$E492,CalcKeyB,"&lt;="&amp;Calc!$B489)+SUMIFS(CalcDepB,CalcPartyB,$E492,CalcKeyB,"&lt;="&amp;Calc!$B489))</f>
        <v/>
      </c>
      <c r="L492" s="8" t="n"/>
    </row>
    <row r="493">
      <c r="A493" s="7">
        <f>IF($B493="","",COUNTA($B$9:$B493))</f>
        <v/>
      </c>
      <c r="B493" s="8" t="n"/>
      <c r="C493" s="8" t="n"/>
      <c r="D493" s="8" t="n"/>
      <c r="E493" s="8" t="n"/>
      <c r="F493" s="7">
        <f>IF($E493="","",IFERROR(IF(VLOOKUP($E493,AcctTbl,4,0)="","",VLOOKUP($E493,AcctTbl,4,0)),"—"))</f>
        <v/>
      </c>
      <c r="G493" s="8" t="n"/>
      <c r="H493" s="9" t="n"/>
      <c r="I493" s="9" t="n"/>
      <c r="J493" s="10">
        <f>IF(OR($H493="",$I493=""),"",ROUND($H493*$I493,0))</f>
        <v/>
      </c>
      <c r="K493" s="10">
        <f>IF(OR($B493="",$E493="",Calc!$B490=""),"",SUMIFS(CalcAmtA,CalcPartyA,$E493,CalcKeyA,"&lt;="&amp;Calc!$B490)-SUMIFS(CalcWitB,CalcPartyB,$E493,CalcKeyB,"&lt;="&amp;Calc!$B490)+SUMIFS(CalcDepB,CalcPartyB,$E493,CalcKeyB,"&lt;="&amp;Calc!$B490))</f>
        <v/>
      </c>
      <c r="L493" s="8" t="n"/>
    </row>
    <row r="494">
      <c r="A494" s="7">
        <f>IF($B494="","",COUNTA($B$9:$B494))</f>
        <v/>
      </c>
      <c r="B494" s="8" t="n"/>
      <c r="C494" s="8" t="n"/>
      <c r="D494" s="8" t="n"/>
      <c r="E494" s="8" t="n"/>
      <c r="F494" s="7">
        <f>IF($E494="","",IFERROR(IF(VLOOKUP($E494,AcctTbl,4,0)="","",VLOOKUP($E494,AcctTbl,4,0)),"—"))</f>
        <v/>
      </c>
      <c r="G494" s="8" t="n"/>
      <c r="H494" s="9" t="n"/>
      <c r="I494" s="9" t="n"/>
      <c r="J494" s="10">
        <f>IF(OR($H494="",$I494=""),"",ROUND($H494*$I494,0))</f>
        <v/>
      </c>
      <c r="K494" s="10">
        <f>IF(OR($B494="",$E494="",Calc!$B491=""),"",SUMIFS(CalcAmtA,CalcPartyA,$E494,CalcKeyA,"&lt;="&amp;Calc!$B491)-SUMIFS(CalcWitB,CalcPartyB,$E494,CalcKeyB,"&lt;="&amp;Calc!$B491)+SUMIFS(CalcDepB,CalcPartyB,$E494,CalcKeyB,"&lt;="&amp;Calc!$B491))</f>
        <v/>
      </c>
      <c r="L494" s="8" t="n"/>
    </row>
    <row r="495">
      <c r="A495" s="7">
        <f>IF($B495="","",COUNTA($B$9:$B495))</f>
        <v/>
      </c>
      <c r="B495" s="8" t="n"/>
      <c r="C495" s="8" t="n"/>
      <c r="D495" s="8" t="n"/>
      <c r="E495" s="8" t="n"/>
      <c r="F495" s="7">
        <f>IF($E495="","",IFERROR(IF(VLOOKUP($E495,AcctTbl,4,0)="","",VLOOKUP($E495,AcctTbl,4,0)),"—"))</f>
        <v/>
      </c>
      <c r="G495" s="8" t="n"/>
      <c r="H495" s="9" t="n"/>
      <c r="I495" s="9" t="n"/>
      <c r="J495" s="10">
        <f>IF(OR($H495="",$I495=""),"",ROUND($H495*$I495,0))</f>
        <v/>
      </c>
      <c r="K495" s="10">
        <f>IF(OR($B495="",$E495="",Calc!$B492=""),"",SUMIFS(CalcAmtA,CalcPartyA,$E495,CalcKeyA,"&lt;="&amp;Calc!$B492)-SUMIFS(CalcWitB,CalcPartyB,$E495,CalcKeyB,"&lt;="&amp;Calc!$B492)+SUMIFS(CalcDepB,CalcPartyB,$E495,CalcKeyB,"&lt;="&amp;Calc!$B492))</f>
        <v/>
      </c>
      <c r="L495" s="8" t="n"/>
    </row>
    <row r="496">
      <c r="A496" s="7">
        <f>IF($B496="","",COUNTA($B$9:$B496))</f>
        <v/>
      </c>
      <c r="B496" s="8" t="n"/>
      <c r="C496" s="8" t="n"/>
      <c r="D496" s="8" t="n"/>
      <c r="E496" s="8" t="n"/>
      <c r="F496" s="7">
        <f>IF($E496="","",IFERROR(IF(VLOOKUP($E496,AcctTbl,4,0)="","",VLOOKUP($E496,AcctTbl,4,0)),"—"))</f>
        <v/>
      </c>
      <c r="G496" s="8" t="n"/>
      <c r="H496" s="9" t="n"/>
      <c r="I496" s="9" t="n"/>
      <c r="J496" s="10">
        <f>IF(OR($H496="",$I496=""),"",ROUND($H496*$I496,0))</f>
        <v/>
      </c>
      <c r="K496" s="10">
        <f>IF(OR($B496="",$E496="",Calc!$B493=""),"",SUMIFS(CalcAmtA,CalcPartyA,$E496,CalcKeyA,"&lt;="&amp;Calc!$B493)-SUMIFS(CalcWitB,CalcPartyB,$E496,CalcKeyB,"&lt;="&amp;Calc!$B493)+SUMIFS(CalcDepB,CalcPartyB,$E496,CalcKeyB,"&lt;="&amp;Calc!$B493))</f>
        <v/>
      </c>
      <c r="L496" s="8" t="n"/>
    </row>
    <row r="497">
      <c r="A497" s="7">
        <f>IF($B497="","",COUNTA($B$9:$B497))</f>
        <v/>
      </c>
      <c r="B497" s="8" t="n"/>
      <c r="C497" s="8" t="n"/>
      <c r="D497" s="8" t="n"/>
      <c r="E497" s="8" t="n"/>
      <c r="F497" s="7">
        <f>IF($E497="","",IFERROR(IF(VLOOKUP($E497,AcctTbl,4,0)="","",VLOOKUP($E497,AcctTbl,4,0)),"—"))</f>
        <v/>
      </c>
      <c r="G497" s="8" t="n"/>
      <c r="H497" s="9" t="n"/>
      <c r="I497" s="9" t="n"/>
      <c r="J497" s="10">
        <f>IF(OR($H497="",$I497=""),"",ROUND($H497*$I497,0))</f>
        <v/>
      </c>
      <c r="K497" s="10">
        <f>IF(OR($B497="",$E497="",Calc!$B494=""),"",SUMIFS(CalcAmtA,CalcPartyA,$E497,CalcKeyA,"&lt;="&amp;Calc!$B494)-SUMIFS(CalcWitB,CalcPartyB,$E497,CalcKeyB,"&lt;="&amp;Calc!$B494)+SUMIFS(CalcDepB,CalcPartyB,$E497,CalcKeyB,"&lt;="&amp;Calc!$B494))</f>
        <v/>
      </c>
      <c r="L497" s="8" t="n"/>
    </row>
    <row r="498">
      <c r="A498" s="7">
        <f>IF($B498="","",COUNTA($B$9:$B498))</f>
        <v/>
      </c>
      <c r="B498" s="8" t="n"/>
      <c r="C498" s="8" t="n"/>
      <c r="D498" s="8" t="n"/>
      <c r="E498" s="8" t="n"/>
      <c r="F498" s="7">
        <f>IF($E498="","",IFERROR(IF(VLOOKUP($E498,AcctTbl,4,0)="","",VLOOKUP($E498,AcctTbl,4,0)),"—"))</f>
        <v/>
      </c>
      <c r="G498" s="8" t="n"/>
      <c r="H498" s="9" t="n"/>
      <c r="I498" s="9" t="n"/>
      <c r="J498" s="10">
        <f>IF(OR($H498="",$I498=""),"",ROUND($H498*$I498,0))</f>
        <v/>
      </c>
      <c r="K498" s="10">
        <f>IF(OR($B498="",$E498="",Calc!$B495=""),"",SUMIFS(CalcAmtA,CalcPartyA,$E498,CalcKeyA,"&lt;="&amp;Calc!$B495)-SUMIFS(CalcWitB,CalcPartyB,$E498,CalcKeyB,"&lt;="&amp;Calc!$B495)+SUMIFS(CalcDepB,CalcPartyB,$E498,CalcKeyB,"&lt;="&amp;Calc!$B495))</f>
        <v/>
      </c>
      <c r="L498" s="8" t="n"/>
    </row>
    <row r="499">
      <c r="A499" s="7">
        <f>IF($B499="","",COUNTA($B$9:$B499))</f>
        <v/>
      </c>
      <c r="B499" s="8" t="n"/>
      <c r="C499" s="8" t="n"/>
      <c r="D499" s="8" t="n"/>
      <c r="E499" s="8" t="n"/>
      <c r="F499" s="7">
        <f>IF($E499="","",IFERROR(IF(VLOOKUP($E499,AcctTbl,4,0)="","",VLOOKUP($E499,AcctTbl,4,0)),"—"))</f>
        <v/>
      </c>
      <c r="G499" s="8" t="n"/>
      <c r="H499" s="9" t="n"/>
      <c r="I499" s="9" t="n"/>
      <c r="J499" s="10">
        <f>IF(OR($H499="",$I499=""),"",ROUND($H499*$I499,0))</f>
        <v/>
      </c>
      <c r="K499" s="10">
        <f>IF(OR($B499="",$E499="",Calc!$B496=""),"",SUMIFS(CalcAmtA,CalcPartyA,$E499,CalcKeyA,"&lt;="&amp;Calc!$B496)-SUMIFS(CalcWitB,CalcPartyB,$E499,CalcKeyB,"&lt;="&amp;Calc!$B496)+SUMIFS(CalcDepB,CalcPartyB,$E499,CalcKeyB,"&lt;="&amp;Calc!$B496))</f>
        <v/>
      </c>
      <c r="L499" s="8" t="n"/>
    </row>
    <row r="500">
      <c r="A500" s="7">
        <f>IF($B500="","",COUNTA($B$9:$B500))</f>
        <v/>
      </c>
      <c r="B500" s="8" t="n"/>
      <c r="C500" s="8" t="n"/>
      <c r="D500" s="8" t="n"/>
      <c r="E500" s="8" t="n"/>
      <c r="F500" s="7">
        <f>IF($E500="","",IFERROR(IF(VLOOKUP($E500,AcctTbl,4,0)="","",VLOOKUP($E500,AcctTbl,4,0)),"—"))</f>
        <v/>
      </c>
      <c r="G500" s="8" t="n"/>
      <c r="H500" s="9" t="n"/>
      <c r="I500" s="9" t="n"/>
      <c r="J500" s="10">
        <f>IF(OR($H500="",$I500=""),"",ROUND($H500*$I500,0))</f>
        <v/>
      </c>
      <c r="K500" s="10">
        <f>IF(OR($B500="",$E500="",Calc!$B497=""),"",SUMIFS(CalcAmtA,CalcPartyA,$E500,CalcKeyA,"&lt;="&amp;Calc!$B497)-SUMIFS(CalcWitB,CalcPartyB,$E500,CalcKeyB,"&lt;="&amp;Calc!$B497)+SUMIFS(CalcDepB,CalcPartyB,$E500,CalcKeyB,"&lt;="&amp;Calc!$B497))</f>
        <v/>
      </c>
      <c r="L500" s="8" t="n"/>
    </row>
    <row r="501">
      <c r="A501" s="7">
        <f>IF($B501="","",COUNTA($B$9:$B501))</f>
        <v/>
      </c>
      <c r="B501" s="8" t="n"/>
      <c r="C501" s="8" t="n"/>
      <c r="D501" s="8" t="n"/>
      <c r="E501" s="8" t="n"/>
      <c r="F501" s="7">
        <f>IF($E501="","",IFERROR(IF(VLOOKUP($E501,AcctTbl,4,0)="","",VLOOKUP($E501,AcctTbl,4,0)),"—"))</f>
        <v/>
      </c>
      <c r="G501" s="8" t="n"/>
      <c r="H501" s="9" t="n"/>
      <c r="I501" s="9" t="n"/>
      <c r="J501" s="10">
        <f>IF(OR($H501="",$I501=""),"",ROUND($H501*$I501,0))</f>
        <v/>
      </c>
      <c r="K501" s="10">
        <f>IF(OR($B501="",$E501="",Calc!$B498=""),"",SUMIFS(CalcAmtA,CalcPartyA,$E501,CalcKeyA,"&lt;="&amp;Calc!$B498)-SUMIFS(CalcWitB,CalcPartyB,$E501,CalcKeyB,"&lt;="&amp;Calc!$B498)+SUMIFS(CalcDepB,CalcPartyB,$E501,CalcKeyB,"&lt;="&amp;Calc!$B498))</f>
        <v/>
      </c>
      <c r="L501" s="8" t="n"/>
    </row>
    <row r="502">
      <c r="A502" s="7">
        <f>IF($B502="","",COUNTA($B$9:$B502))</f>
        <v/>
      </c>
      <c r="B502" s="8" t="n"/>
      <c r="C502" s="8" t="n"/>
      <c r="D502" s="8" t="n"/>
      <c r="E502" s="8" t="n"/>
      <c r="F502" s="7">
        <f>IF($E502="","",IFERROR(IF(VLOOKUP($E502,AcctTbl,4,0)="","",VLOOKUP($E502,AcctTbl,4,0)),"—"))</f>
        <v/>
      </c>
      <c r="G502" s="8" t="n"/>
      <c r="H502" s="9" t="n"/>
      <c r="I502" s="9" t="n"/>
      <c r="J502" s="10">
        <f>IF(OR($H502="",$I502=""),"",ROUND($H502*$I502,0))</f>
        <v/>
      </c>
      <c r="K502" s="10">
        <f>IF(OR($B502="",$E502="",Calc!$B499=""),"",SUMIFS(CalcAmtA,CalcPartyA,$E502,CalcKeyA,"&lt;="&amp;Calc!$B499)-SUMIFS(CalcWitB,CalcPartyB,$E502,CalcKeyB,"&lt;="&amp;Calc!$B499)+SUMIFS(CalcDepB,CalcPartyB,$E502,CalcKeyB,"&lt;="&amp;Calc!$B499))</f>
        <v/>
      </c>
      <c r="L502" s="8" t="n"/>
    </row>
    <row r="503">
      <c r="A503" s="7">
        <f>IF($B503="","",COUNTA($B$9:$B503))</f>
        <v/>
      </c>
      <c r="B503" s="8" t="n"/>
      <c r="C503" s="8" t="n"/>
      <c r="D503" s="8" t="n"/>
      <c r="E503" s="8" t="n"/>
      <c r="F503" s="7">
        <f>IF($E503="","",IFERROR(IF(VLOOKUP($E503,AcctTbl,4,0)="","",VLOOKUP($E503,AcctTbl,4,0)),"—"))</f>
        <v/>
      </c>
      <c r="G503" s="8" t="n"/>
      <c r="H503" s="9" t="n"/>
      <c r="I503" s="9" t="n"/>
      <c r="J503" s="10">
        <f>IF(OR($H503="",$I503=""),"",ROUND($H503*$I503,0))</f>
        <v/>
      </c>
      <c r="K503" s="10">
        <f>IF(OR($B503="",$E503="",Calc!$B500=""),"",SUMIFS(CalcAmtA,CalcPartyA,$E503,CalcKeyA,"&lt;="&amp;Calc!$B500)-SUMIFS(CalcWitB,CalcPartyB,$E503,CalcKeyB,"&lt;="&amp;Calc!$B500)+SUMIFS(CalcDepB,CalcPartyB,$E503,CalcKeyB,"&lt;="&amp;Calc!$B500))</f>
        <v/>
      </c>
      <c r="L503" s="8" t="n"/>
    </row>
    <row r="504">
      <c r="A504" s="7">
        <f>IF($B504="","",COUNTA($B$9:$B504))</f>
        <v/>
      </c>
      <c r="B504" s="8" t="n"/>
      <c r="C504" s="8" t="n"/>
      <c r="D504" s="8" t="n"/>
      <c r="E504" s="8" t="n"/>
      <c r="F504" s="7">
        <f>IF($E504="","",IFERROR(IF(VLOOKUP($E504,AcctTbl,4,0)="","",VLOOKUP($E504,AcctTbl,4,0)),"—"))</f>
        <v/>
      </c>
      <c r="G504" s="8" t="n"/>
      <c r="H504" s="9" t="n"/>
      <c r="I504" s="9" t="n"/>
      <c r="J504" s="10">
        <f>IF(OR($H504="",$I504=""),"",ROUND($H504*$I504,0))</f>
        <v/>
      </c>
      <c r="K504" s="10">
        <f>IF(OR($B504="",$E504="",Calc!$B501=""),"",SUMIFS(CalcAmtA,CalcPartyA,$E504,CalcKeyA,"&lt;="&amp;Calc!$B501)-SUMIFS(CalcWitB,CalcPartyB,$E504,CalcKeyB,"&lt;="&amp;Calc!$B501)+SUMIFS(CalcDepB,CalcPartyB,$E504,CalcKeyB,"&lt;="&amp;Calc!$B501))</f>
        <v/>
      </c>
      <c r="L504" s="8" t="n"/>
    </row>
    <row r="505">
      <c r="A505" s="7">
        <f>IF($B505="","",COUNTA($B$9:$B505))</f>
        <v/>
      </c>
      <c r="B505" s="8" t="n"/>
      <c r="C505" s="8" t="n"/>
      <c r="D505" s="8" t="n"/>
      <c r="E505" s="8" t="n"/>
      <c r="F505" s="7">
        <f>IF($E505="","",IFERROR(IF(VLOOKUP($E505,AcctTbl,4,0)="","",VLOOKUP($E505,AcctTbl,4,0)),"—"))</f>
        <v/>
      </c>
      <c r="G505" s="8" t="n"/>
      <c r="H505" s="9" t="n"/>
      <c r="I505" s="9" t="n"/>
      <c r="J505" s="10">
        <f>IF(OR($H505="",$I505=""),"",ROUND($H505*$I505,0))</f>
        <v/>
      </c>
      <c r="K505" s="10">
        <f>IF(OR($B505="",$E505="",Calc!$B502=""),"",SUMIFS(CalcAmtA,CalcPartyA,$E505,CalcKeyA,"&lt;="&amp;Calc!$B502)-SUMIFS(CalcWitB,CalcPartyB,$E505,CalcKeyB,"&lt;="&amp;Calc!$B502)+SUMIFS(CalcDepB,CalcPartyB,$E505,CalcKeyB,"&lt;="&amp;Calc!$B502))</f>
        <v/>
      </c>
      <c r="L505" s="8" t="n"/>
    </row>
    <row r="506">
      <c r="A506" s="7">
        <f>IF($B506="","",COUNTA($B$9:$B506))</f>
        <v/>
      </c>
      <c r="B506" s="8" t="n"/>
      <c r="C506" s="8" t="n"/>
      <c r="D506" s="8" t="n"/>
      <c r="E506" s="8" t="n"/>
      <c r="F506" s="7">
        <f>IF($E506="","",IFERROR(IF(VLOOKUP($E506,AcctTbl,4,0)="","",VLOOKUP($E506,AcctTbl,4,0)),"—"))</f>
        <v/>
      </c>
      <c r="G506" s="8" t="n"/>
      <c r="H506" s="9" t="n"/>
      <c r="I506" s="9" t="n"/>
      <c r="J506" s="10">
        <f>IF(OR($H506="",$I506=""),"",ROUND($H506*$I506,0))</f>
        <v/>
      </c>
      <c r="K506" s="10">
        <f>IF(OR($B506="",$E506="",Calc!$B503=""),"",SUMIFS(CalcAmtA,CalcPartyA,$E506,CalcKeyA,"&lt;="&amp;Calc!$B503)-SUMIFS(CalcWitB,CalcPartyB,$E506,CalcKeyB,"&lt;="&amp;Calc!$B503)+SUMIFS(CalcDepB,CalcPartyB,$E506,CalcKeyB,"&lt;="&amp;Calc!$B503))</f>
        <v/>
      </c>
      <c r="L506" s="8" t="n"/>
    </row>
    <row r="507">
      <c r="A507" s="7">
        <f>IF($B507="","",COUNTA($B$9:$B507))</f>
        <v/>
      </c>
      <c r="B507" s="8" t="n"/>
      <c r="C507" s="8" t="n"/>
      <c r="D507" s="8" t="n"/>
      <c r="E507" s="8" t="n"/>
      <c r="F507" s="7">
        <f>IF($E507="","",IFERROR(IF(VLOOKUP($E507,AcctTbl,4,0)="","",VLOOKUP($E507,AcctTbl,4,0)),"—"))</f>
        <v/>
      </c>
      <c r="G507" s="8" t="n"/>
      <c r="H507" s="9" t="n"/>
      <c r="I507" s="9" t="n"/>
      <c r="J507" s="10">
        <f>IF(OR($H507="",$I507=""),"",ROUND($H507*$I507,0))</f>
        <v/>
      </c>
      <c r="K507" s="10">
        <f>IF(OR($B507="",$E507="",Calc!$B504=""),"",SUMIFS(CalcAmtA,CalcPartyA,$E507,CalcKeyA,"&lt;="&amp;Calc!$B504)-SUMIFS(CalcWitB,CalcPartyB,$E507,CalcKeyB,"&lt;="&amp;Calc!$B504)+SUMIFS(CalcDepB,CalcPartyB,$E507,CalcKeyB,"&lt;="&amp;Calc!$B504))</f>
        <v/>
      </c>
      <c r="L507" s="8" t="n"/>
    </row>
    <row r="508">
      <c r="A508" s="7">
        <f>IF($B508="","",COUNTA($B$9:$B508))</f>
        <v/>
      </c>
      <c r="B508" s="8" t="n"/>
      <c r="C508" s="8" t="n"/>
      <c r="D508" s="8" t="n"/>
      <c r="E508" s="8" t="n"/>
      <c r="F508" s="7">
        <f>IF($E508="","",IFERROR(IF(VLOOKUP($E508,AcctTbl,4,0)="","",VLOOKUP($E508,AcctTbl,4,0)),"—"))</f>
        <v/>
      </c>
      <c r="G508" s="8" t="n"/>
      <c r="H508" s="9" t="n"/>
      <c r="I508" s="9" t="n"/>
      <c r="J508" s="10">
        <f>IF(OR($H508="",$I508=""),"",ROUND($H508*$I508,0))</f>
        <v/>
      </c>
      <c r="K508" s="10">
        <f>IF(OR($B508="",$E508="",Calc!$B505=""),"",SUMIFS(CalcAmtA,CalcPartyA,$E508,CalcKeyA,"&lt;="&amp;Calc!$B505)-SUMIFS(CalcWitB,CalcPartyB,$E508,CalcKeyB,"&lt;="&amp;Calc!$B505)+SUMIFS(CalcDepB,CalcPartyB,$E508,CalcKeyB,"&lt;="&amp;Calc!$B505))</f>
        <v/>
      </c>
      <c r="L508" s="8" t="n"/>
    </row>
    <row r="509">
      <c r="A509" s="7">
        <f>IF($B509="","",COUNTA($B$9:$B509))</f>
        <v/>
      </c>
      <c r="B509" s="8" t="n"/>
      <c r="C509" s="8" t="n"/>
      <c r="D509" s="8" t="n"/>
      <c r="E509" s="8" t="n"/>
      <c r="F509" s="7">
        <f>IF($E509="","",IFERROR(IF(VLOOKUP($E509,AcctTbl,4,0)="","",VLOOKUP($E509,AcctTbl,4,0)),"—"))</f>
        <v/>
      </c>
      <c r="G509" s="8" t="n"/>
      <c r="H509" s="9" t="n"/>
      <c r="I509" s="9" t="n"/>
      <c r="J509" s="10">
        <f>IF(OR($H509="",$I509=""),"",ROUND($H509*$I509,0))</f>
        <v/>
      </c>
      <c r="K509" s="10">
        <f>IF(OR($B509="",$E509="",Calc!$B506=""),"",SUMIFS(CalcAmtA,CalcPartyA,$E509,CalcKeyA,"&lt;="&amp;Calc!$B506)-SUMIFS(CalcWitB,CalcPartyB,$E509,CalcKeyB,"&lt;="&amp;Calc!$B506)+SUMIFS(CalcDepB,CalcPartyB,$E509,CalcKeyB,"&lt;="&amp;Calc!$B506))</f>
        <v/>
      </c>
      <c r="L509" s="8" t="n"/>
    </row>
    <row r="510">
      <c r="A510" s="7">
        <f>IF($B510="","",COUNTA($B$9:$B510))</f>
        <v/>
      </c>
      <c r="B510" s="8" t="n"/>
      <c r="C510" s="8" t="n"/>
      <c r="D510" s="8" t="n"/>
      <c r="E510" s="8" t="n"/>
      <c r="F510" s="7">
        <f>IF($E510="","",IFERROR(IF(VLOOKUP($E510,AcctTbl,4,0)="","",VLOOKUP($E510,AcctTbl,4,0)),"—"))</f>
        <v/>
      </c>
      <c r="G510" s="8" t="n"/>
      <c r="H510" s="9" t="n"/>
      <c r="I510" s="9" t="n"/>
      <c r="J510" s="10">
        <f>IF(OR($H510="",$I510=""),"",ROUND($H510*$I510,0))</f>
        <v/>
      </c>
      <c r="K510" s="10">
        <f>IF(OR($B510="",$E510="",Calc!$B507=""),"",SUMIFS(CalcAmtA,CalcPartyA,$E510,CalcKeyA,"&lt;="&amp;Calc!$B507)-SUMIFS(CalcWitB,CalcPartyB,$E510,CalcKeyB,"&lt;="&amp;Calc!$B507)+SUMIFS(CalcDepB,CalcPartyB,$E510,CalcKeyB,"&lt;="&amp;Calc!$B507))</f>
        <v/>
      </c>
      <c r="L510" s="8" t="n"/>
    </row>
    <row r="511">
      <c r="A511" s="7">
        <f>IF($B511="","",COUNTA($B$9:$B511))</f>
        <v/>
      </c>
      <c r="B511" s="8" t="n"/>
      <c r="C511" s="8" t="n"/>
      <c r="D511" s="8" t="n"/>
      <c r="E511" s="8" t="n"/>
      <c r="F511" s="7">
        <f>IF($E511="","",IFERROR(IF(VLOOKUP($E511,AcctTbl,4,0)="","",VLOOKUP($E511,AcctTbl,4,0)),"—"))</f>
        <v/>
      </c>
      <c r="G511" s="8" t="n"/>
      <c r="H511" s="9" t="n"/>
      <c r="I511" s="9" t="n"/>
      <c r="J511" s="10">
        <f>IF(OR($H511="",$I511=""),"",ROUND($H511*$I511,0))</f>
        <v/>
      </c>
      <c r="K511" s="10">
        <f>IF(OR($B511="",$E511="",Calc!$B508=""),"",SUMIFS(CalcAmtA,CalcPartyA,$E511,CalcKeyA,"&lt;="&amp;Calc!$B508)-SUMIFS(CalcWitB,CalcPartyB,$E511,CalcKeyB,"&lt;="&amp;Calc!$B508)+SUMIFS(CalcDepB,CalcPartyB,$E511,CalcKeyB,"&lt;="&amp;Calc!$B508))</f>
        <v/>
      </c>
      <c r="L511" s="8" t="n"/>
    </row>
    <row r="512">
      <c r="A512" s="7">
        <f>IF($B512="","",COUNTA($B$9:$B512))</f>
        <v/>
      </c>
      <c r="B512" s="8" t="n"/>
      <c r="C512" s="8" t="n"/>
      <c r="D512" s="8" t="n"/>
      <c r="E512" s="8" t="n"/>
      <c r="F512" s="7">
        <f>IF($E512="","",IFERROR(IF(VLOOKUP($E512,AcctTbl,4,0)="","",VLOOKUP($E512,AcctTbl,4,0)),"—"))</f>
        <v/>
      </c>
      <c r="G512" s="8" t="n"/>
      <c r="H512" s="9" t="n"/>
      <c r="I512" s="9" t="n"/>
      <c r="J512" s="10">
        <f>IF(OR($H512="",$I512=""),"",ROUND($H512*$I512,0))</f>
        <v/>
      </c>
      <c r="K512" s="10">
        <f>IF(OR($B512="",$E512="",Calc!$B509=""),"",SUMIFS(CalcAmtA,CalcPartyA,$E512,CalcKeyA,"&lt;="&amp;Calc!$B509)-SUMIFS(CalcWitB,CalcPartyB,$E512,CalcKeyB,"&lt;="&amp;Calc!$B509)+SUMIFS(CalcDepB,CalcPartyB,$E512,CalcKeyB,"&lt;="&amp;Calc!$B509))</f>
        <v/>
      </c>
      <c r="L512" s="8" t="n"/>
    </row>
    <row r="513">
      <c r="A513" s="7">
        <f>IF($B513="","",COUNTA($B$9:$B513))</f>
        <v/>
      </c>
      <c r="B513" s="8" t="n"/>
      <c r="C513" s="8" t="n"/>
      <c r="D513" s="8" t="n"/>
      <c r="E513" s="8" t="n"/>
      <c r="F513" s="7">
        <f>IF($E513="","",IFERROR(IF(VLOOKUP($E513,AcctTbl,4,0)="","",VLOOKUP($E513,AcctTbl,4,0)),"—"))</f>
        <v/>
      </c>
      <c r="G513" s="8" t="n"/>
      <c r="H513" s="9" t="n"/>
      <c r="I513" s="9" t="n"/>
      <c r="J513" s="10">
        <f>IF(OR($H513="",$I513=""),"",ROUND($H513*$I513,0))</f>
        <v/>
      </c>
      <c r="K513" s="10">
        <f>IF(OR($B513="",$E513="",Calc!$B510=""),"",SUMIFS(CalcAmtA,CalcPartyA,$E513,CalcKeyA,"&lt;="&amp;Calc!$B510)-SUMIFS(CalcWitB,CalcPartyB,$E513,CalcKeyB,"&lt;="&amp;Calc!$B510)+SUMIFS(CalcDepB,CalcPartyB,$E513,CalcKeyB,"&lt;="&amp;Calc!$B510))</f>
        <v/>
      </c>
      <c r="L513" s="8" t="n"/>
    </row>
    <row r="514">
      <c r="A514" s="7">
        <f>IF($B514="","",COUNTA($B$9:$B514))</f>
        <v/>
      </c>
      <c r="B514" s="8" t="n"/>
      <c r="C514" s="8" t="n"/>
      <c r="D514" s="8" t="n"/>
      <c r="E514" s="8" t="n"/>
      <c r="F514" s="7">
        <f>IF($E514="","",IFERROR(IF(VLOOKUP($E514,AcctTbl,4,0)="","",VLOOKUP($E514,AcctTbl,4,0)),"—"))</f>
        <v/>
      </c>
      <c r="G514" s="8" t="n"/>
      <c r="H514" s="9" t="n"/>
      <c r="I514" s="9" t="n"/>
      <c r="J514" s="10">
        <f>IF(OR($H514="",$I514=""),"",ROUND($H514*$I514,0))</f>
        <v/>
      </c>
      <c r="K514" s="10">
        <f>IF(OR($B514="",$E514="",Calc!$B511=""),"",SUMIFS(CalcAmtA,CalcPartyA,$E514,CalcKeyA,"&lt;="&amp;Calc!$B511)-SUMIFS(CalcWitB,CalcPartyB,$E514,CalcKeyB,"&lt;="&amp;Calc!$B511)+SUMIFS(CalcDepB,CalcPartyB,$E514,CalcKeyB,"&lt;="&amp;Calc!$B511))</f>
        <v/>
      </c>
      <c r="L514" s="8" t="n"/>
    </row>
    <row r="515">
      <c r="A515" s="7">
        <f>IF($B515="","",COUNTA($B$9:$B515))</f>
        <v/>
      </c>
      <c r="B515" s="8" t="n"/>
      <c r="C515" s="8" t="n"/>
      <c r="D515" s="8" t="n"/>
      <c r="E515" s="8" t="n"/>
      <c r="F515" s="7">
        <f>IF($E515="","",IFERROR(IF(VLOOKUP($E515,AcctTbl,4,0)="","",VLOOKUP($E515,AcctTbl,4,0)),"—"))</f>
        <v/>
      </c>
      <c r="G515" s="8" t="n"/>
      <c r="H515" s="9" t="n"/>
      <c r="I515" s="9" t="n"/>
      <c r="J515" s="10">
        <f>IF(OR($H515="",$I515=""),"",ROUND($H515*$I515,0))</f>
        <v/>
      </c>
      <c r="K515" s="10">
        <f>IF(OR($B515="",$E515="",Calc!$B512=""),"",SUMIFS(CalcAmtA,CalcPartyA,$E515,CalcKeyA,"&lt;="&amp;Calc!$B512)-SUMIFS(CalcWitB,CalcPartyB,$E515,CalcKeyB,"&lt;="&amp;Calc!$B512)+SUMIFS(CalcDepB,CalcPartyB,$E515,CalcKeyB,"&lt;="&amp;Calc!$B512))</f>
        <v/>
      </c>
      <c r="L515" s="8" t="n"/>
    </row>
    <row r="516">
      <c r="A516" s="7">
        <f>IF($B516="","",COUNTA($B$9:$B516))</f>
        <v/>
      </c>
      <c r="B516" s="8" t="n"/>
      <c r="C516" s="8" t="n"/>
      <c r="D516" s="8" t="n"/>
      <c r="E516" s="8" t="n"/>
      <c r="F516" s="7">
        <f>IF($E516="","",IFERROR(IF(VLOOKUP($E516,AcctTbl,4,0)="","",VLOOKUP($E516,AcctTbl,4,0)),"—"))</f>
        <v/>
      </c>
      <c r="G516" s="8" t="n"/>
      <c r="H516" s="9" t="n"/>
      <c r="I516" s="9" t="n"/>
      <c r="J516" s="10">
        <f>IF(OR($H516="",$I516=""),"",ROUND($H516*$I516,0))</f>
        <v/>
      </c>
      <c r="K516" s="10">
        <f>IF(OR($B516="",$E516="",Calc!$B513=""),"",SUMIFS(CalcAmtA,CalcPartyA,$E516,CalcKeyA,"&lt;="&amp;Calc!$B513)-SUMIFS(CalcWitB,CalcPartyB,$E516,CalcKeyB,"&lt;="&amp;Calc!$B513)+SUMIFS(CalcDepB,CalcPartyB,$E516,CalcKeyB,"&lt;="&amp;Calc!$B513))</f>
        <v/>
      </c>
      <c r="L516" s="8" t="n"/>
    </row>
    <row r="517">
      <c r="A517" s="7">
        <f>IF($B517="","",COUNTA($B$9:$B517))</f>
        <v/>
      </c>
      <c r="B517" s="8" t="n"/>
      <c r="C517" s="8" t="n"/>
      <c r="D517" s="8" t="n"/>
      <c r="E517" s="8" t="n"/>
      <c r="F517" s="7">
        <f>IF($E517="","",IFERROR(IF(VLOOKUP($E517,AcctTbl,4,0)="","",VLOOKUP($E517,AcctTbl,4,0)),"—"))</f>
        <v/>
      </c>
      <c r="G517" s="8" t="n"/>
      <c r="H517" s="9" t="n"/>
      <c r="I517" s="9" t="n"/>
      <c r="J517" s="10">
        <f>IF(OR($H517="",$I517=""),"",ROUND($H517*$I517,0))</f>
        <v/>
      </c>
      <c r="K517" s="10">
        <f>IF(OR($B517="",$E517="",Calc!$B514=""),"",SUMIFS(CalcAmtA,CalcPartyA,$E517,CalcKeyA,"&lt;="&amp;Calc!$B514)-SUMIFS(CalcWitB,CalcPartyB,$E517,CalcKeyB,"&lt;="&amp;Calc!$B514)+SUMIFS(CalcDepB,CalcPartyB,$E517,CalcKeyB,"&lt;="&amp;Calc!$B514))</f>
        <v/>
      </c>
      <c r="L517" s="8" t="n"/>
    </row>
    <row r="518">
      <c r="A518" s="7">
        <f>IF($B518="","",COUNTA($B$9:$B518))</f>
        <v/>
      </c>
      <c r="B518" s="8" t="n"/>
      <c r="C518" s="8" t="n"/>
      <c r="D518" s="8" t="n"/>
      <c r="E518" s="8" t="n"/>
      <c r="F518" s="7">
        <f>IF($E518="","",IFERROR(IF(VLOOKUP($E518,AcctTbl,4,0)="","",VLOOKUP($E518,AcctTbl,4,0)),"—"))</f>
        <v/>
      </c>
      <c r="G518" s="8" t="n"/>
      <c r="H518" s="9" t="n"/>
      <c r="I518" s="9" t="n"/>
      <c r="J518" s="10">
        <f>IF(OR($H518="",$I518=""),"",ROUND($H518*$I518,0))</f>
        <v/>
      </c>
      <c r="K518" s="10">
        <f>IF(OR($B518="",$E518="",Calc!$B515=""),"",SUMIFS(CalcAmtA,CalcPartyA,$E518,CalcKeyA,"&lt;="&amp;Calc!$B515)-SUMIFS(CalcWitB,CalcPartyB,$E518,CalcKeyB,"&lt;="&amp;Calc!$B515)+SUMIFS(CalcDepB,CalcPartyB,$E518,CalcKeyB,"&lt;="&amp;Calc!$B515))</f>
        <v/>
      </c>
      <c r="L518" s="8" t="n"/>
    </row>
    <row r="519">
      <c r="A519" s="7">
        <f>IF($B519="","",COUNTA($B$9:$B519))</f>
        <v/>
      </c>
      <c r="B519" s="8" t="n"/>
      <c r="C519" s="8" t="n"/>
      <c r="D519" s="8" t="n"/>
      <c r="E519" s="8" t="n"/>
      <c r="F519" s="7">
        <f>IF($E519="","",IFERROR(IF(VLOOKUP($E519,AcctTbl,4,0)="","",VLOOKUP($E519,AcctTbl,4,0)),"—"))</f>
        <v/>
      </c>
      <c r="G519" s="8" t="n"/>
      <c r="H519" s="9" t="n"/>
      <c r="I519" s="9" t="n"/>
      <c r="J519" s="10">
        <f>IF(OR($H519="",$I519=""),"",ROUND($H519*$I519,0))</f>
        <v/>
      </c>
      <c r="K519" s="10">
        <f>IF(OR($B519="",$E519="",Calc!$B516=""),"",SUMIFS(CalcAmtA,CalcPartyA,$E519,CalcKeyA,"&lt;="&amp;Calc!$B516)-SUMIFS(CalcWitB,CalcPartyB,$E519,CalcKeyB,"&lt;="&amp;Calc!$B516)+SUMIFS(CalcDepB,CalcPartyB,$E519,CalcKeyB,"&lt;="&amp;Calc!$B516))</f>
        <v/>
      </c>
      <c r="L519" s="8" t="n"/>
    </row>
    <row r="520">
      <c r="A520" s="7">
        <f>IF($B520="","",COUNTA($B$9:$B520))</f>
        <v/>
      </c>
      <c r="B520" s="8" t="n"/>
      <c r="C520" s="8" t="n"/>
      <c r="D520" s="8" t="n"/>
      <c r="E520" s="8" t="n"/>
      <c r="F520" s="7">
        <f>IF($E520="","",IFERROR(IF(VLOOKUP($E520,AcctTbl,4,0)="","",VLOOKUP($E520,AcctTbl,4,0)),"—"))</f>
        <v/>
      </c>
      <c r="G520" s="8" t="n"/>
      <c r="H520" s="9" t="n"/>
      <c r="I520" s="9" t="n"/>
      <c r="J520" s="10">
        <f>IF(OR($H520="",$I520=""),"",ROUND($H520*$I520,0))</f>
        <v/>
      </c>
      <c r="K520" s="10">
        <f>IF(OR($B520="",$E520="",Calc!$B517=""),"",SUMIFS(CalcAmtA,CalcPartyA,$E520,CalcKeyA,"&lt;="&amp;Calc!$B517)-SUMIFS(CalcWitB,CalcPartyB,$E520,CalcKeyB,"&lt;="&amp;Calc!$B517)+SUMIFS(CalcDepB,CalcPartyB,$E520,CalcKeyB,"&lt;="&amp;Calc!$B517))</f>
        <v/>
      </c>
      <c r="L520" s="8" t="n"/>
    </row>
    <row r="521">
      <c r="A521" s="7">
        <f>IF($B521="","",COUNTA($B$9:$B521))</f>
        <v/>
      </c>
      <c r="B521" s="8" t="n"/>
      <c r="C521" s="8" t="n"/>
      <c r="D521" s="8" t="n"/>
      <c r="E521" s="8" t="n"/>
      <c r="F521" s="7">
        <f>IF($E521="","",IFERROR(IF(VLOOKUP($E521,AcctTbl,4,0)="","",VLOOKUP($E521,AcctTbl,4,0)),"—"))</f>
        <v/>
      </c>
      <c r="G521" s="8" t="n"/>
      <c r="H521" s="9" t="n"/>
      <c r="I521" s="9" t="n"/>
      <c r="J521" s="10">
        <f>IF(OR($H521="",$I521=""),"",ROUND($H521*$I521,0))</f>
        <v/>
      </c>
      <c r="K521" s="10">
        <f>IF(OR($B521="",$E521="",Calc!$B518=""),"",SUMIFS(CalcAmtA,CalcPartyA,$E521,CalcKeyA,"&lt;="&amp;Calc!$B518)-SUMIFS(CalcWitB,CalcPartyB,$E521,CalcKeyB,"&lt;="&amp;Calc!$B518)+SUMIFS(CalcDepB,CalcPartyB,$E521,CalcKeyB,"&lt;="&amp;Calc!$B518))</f>
        <v/>
      </c>
      <c r="L521" s="8" t="n"/>
    </row>
    <row r="522">
      <c r="A522" s="7">
        <f>IF($B522="","",COUNTA($B$9:$B522))</f>
        <v/>
      </c>
      <c r="B522" s="8" t="n"/>
      <c r="C522" s="8" t="n"/>
      <c r="D522" s="8" t="n"/>
      <c r="E522" s="8" t="n"/>
      <c r="F522" s="7">
        <f>IF($E522="","",IFERROR(IF(VLOOKUP($E522,AcctTbl,4,0)="","",VLOOKUP($E522,AcctTbl,4,0)),"—"))</f>
        <v/>
      </c>
      <c r="G522" s="8" t="n"/>
      <c r="H522" s="9" t="n"/>
      <c r="I522" s="9" t="n"/>
      <c r="J522" s="10">
        <f>IF(OR($H522="",$I522=""),"",ROUND($H522*$I522,0))</f>
        <v/>
      </c>
      <c r="K522" s="10">
        <f>IF(OR($B522="",$E522="",Calc!$B519=""),"",SUMIFS(CalcAmtA,CalcPartyA,$E522,CalcKeyA,"&lt;="&amp;Calc!$B519)-SUMIFS(CalcWitB,CalcPartyB,$E522,CalcKeyB,"&lt;="&amp;Calc!$B519)+SUMIFS(CalcDepB,CalcPartyB,$E522,CalcKeyB,"&lt;="&amp;Calc!$B519))</f>
        <v/>
      </c>
      <c r="L522" s="8" t="n"/>
    </row>
    <row r="523">
      <c r="A523" s="7">
        <f>IF($B523="","",COUNTA($B$9:$B523))</f>
        <v/>
      </c>
      <c r="B523" s="8" t="n"/>
      <c r="C523" s="8" t="n"/>
      <c r="D523" s="8" t="n"/>
      <c r="E523" s="8" t="n"/>
      <c r="F523" s="7">
        <f>IF($E523="","",IFERROR(IF(VLOOKUP($E523,AcctTbl,4,0)="","",VLOOKUP($E523,AcctTbl,4,0)),"—"))</f>
        <v/>
      </c>
      <c r="G523" s="8" t="n"/>
      <c r="H523" s="9" t="n"/>
      <c r="I523" s="9" t="n"/>
      <c r="J523" s="10">
        <f>IF(OR($H523="",$I523=""),"",ROUND($H523*$I523,0))</f>
        <v/>
      </c>
      <c r="K523" s="10">
        <f>IF(OR($B523="",$E523="",Calc!$B520=""),"",SUMIFS(CalcAmtA,CalcPartyA,$E523,CalcKeyA,"&lt;="&amp;Calc!$B520)-SUMIFS(CalcWitB,CalcPartyB,$E523,CalcKeyB,"&lt;="&amp;Calc!$B520)+SUMIFS(CalcDepB,CalcPartyB,$E523,CalcKeyB,"&lt;="&amp;Calc!$B520))</f>
        <v/>
      </c>
      <c r="L523" s="8" t="n"/>
    </row>
    <row r="524">
      <c r="A524" s="7">
        <f>IF($B524="","",COUNTA($B$9:$B524))</f>
        <v/>
      </c>
      <c r="B524" s="8" t="n"/>
      <c r="C524" s="8" t="n"/>
      <c r="D524" s="8" t="n"/>
      <c r="E524" s="8" t="n"/>
      <c r="F524" s="7">
        <f>IF($E524="","",IFERROR(IF(VLOOKUP($E524,AcctTbl,4,0)="","",VLOOKUP($E524,AcctTbl,4,0)),"—"))</f>
        <v/>
      </c>
      <c r="G524" s="8" t="n"/>
      <c r="H524" s="9" t="n"/>
      <c r="I524" s="9" t="n"/>
      <c r="J524" s="10">
        <f>IF(OR($H524="",$I524=""),"",ROUND($H524*$I524,0))</f>
        <v/>
      </c>
      <c r="K524" s="10">
        <f>IF(OR($B524="",$E524="",Calc!$B521=""),"",SUMIFS(CalcAmtA,CalcPartyA,$E524,CalcKeyA,"&lt;="&amp;Calc!$B521)-SUMIFS(CalcWitB,CalcPartyB,$E524,CalcKeyB,"&lt;="&amp;Calc!$B521)+SUMIFS(CalcDepB,CalcPartyB,$E524,CalcKeyB,"&lt;="&amp;Calc!$B521))</f>
        <v/>
      </c>
      <c r="L524" s="8" t="n"/>
    </row>
    <row r="525">
      <c r="A525" s="7">
        <f>IF($B525="","",COUNTA($B$9:$B525))</f>
        <v/>
      </c>
      <c r="B525" s="8" t="n"/>
      <c r="C525" s="8" t="n"/>
      <c r="D525" s="8" t="n"/>
      <c r="E525" s="8" t="n"/>
      <c r="F525" s="7">
        <f>IF($E525="","",IFERROR(IF(VLOOKUP($E525,AcctTbl,4,0)="","",VLOOKUP($E525,AcctTbl,4,0)),"—"))</f>
        <v/>
      </c>
      <c r="G525" s="8" t="n"/>
      <c r="H525" s="9" t="n"/>
      <c r="I525" s="9" t="n"/>
      <c r="J525" s="10">
        <f>IF(OR($H525="",$I525=""),"",ROUND($H525*$I525,0))</f>
        <v/>
      </c>
      <c r="K525" s="10">
        <f>IF(OR($B525="",$E525="",Calc!$B522=""),"",SUMIFS(CalcAmtA,CalcPartyA,$E525,CalcKeyA,"&lt;="&amp;Calc!$B522)-SUMIFS(CalcWitB,CalcPartyB,$E525,CalcKeyB,"&lt;="&amp;Calc!$B522)+SUMIFS(CalcDepB,CalcPartyB,$E525,CalcKeyB,"&lt;="&amp;Calc!$B522))</f>
        <v/>
      </c>
      <c r="L525" s="8" t="n"/>
    </row>
    <row r="526">
      <c r="A526" s="7">
        <f>IF($B526="","",COUNTA($B$9:$B526))</f>
        <v/>
      </c>
      <c r="B526" s="8" t="n"/>
      <c r="C526" s="8" t="n"/>
      <c r="D526" s="8" t="n"/>
      <c r="E526" s="8" t="n"/>
      <c r="F526" s="7">
        <f>IF($E526="","",IFERROR(IF(VLOOKUP($E526,AcctTbl,4,0)="","",VLOOKUP($E526,AcctTbl,4,0)),"—"))</f>
        <v/>
      </c>
      <c r="G526" s="8" t="n"/>
      <c r="H526" s="9" t="n"/>
      <c r="I526" s="9" t="n"/>
      <c r="J526" s="10">
        <f>IF(OR($H526="",$I526=""),"",ROUND($H526*$I526,0))</f>
        <v/>
      </c>
      <c r="K526" s="10">
        <f>IF(OR($B526="",$E526="",Calc!$B523=""),"",SUMIFS(CalcAmtA,CalcPartyA,$E526,CalcKeyA,"&lt;="&amp;Calc!$B523)-SUMIFS(CalcWitB,CalcPartyB,$E526,CalcKeyB,"&lt;="&amp;Calc!$B523)+SUMIFS(CalcDepB,CalcPartyB,$E526,CalcKeyB,"&lt;="&amp;Calc!$B523))</f>
        <v/>
      </c>
      <c r="L526" s="8" t="n"/>
    </row>
    <row r="527">
      <c r="A527" s="7">
        <f>IF($B527="","",COUNTA($B$9:$B527))</f>
        <v/>
      </c>
      <c r="B527" s="8" t="n"/>
      <c r="C527" s="8" t="n"/>
      <c r="D527" s="8" t="n"/>
      <c r="E527" s="8" t="n"/>
      <c r="F527" s="7">
        <f>IF($E527="","",IFERROR(IF(VLOOKUP($E527,AcctTbl,4,0)="","",VLOOKUP($E527,AcctTbl,4,0)),"—"))</f>
        <v/>
      </c>
      <c r="G527" s="8" t="n"/>
      <c r="H527" s="9" t="n"/>
      <c r="I527" s="9" t="n"/>
      <c r="J527" s="10">
        <f>IF(OR($H527="",$I527=""),"",ROUND($H527*$I527,0))</f>
        <v/>
      </c>
      <c r="K527" s="10">
        <f>IF(OR($B527="",$E527="",Calc!$B524=""),"",SUMIFS(CalcAmtA,CalcPartyA,$E527,CalcKeyA,"&lt;="&amp;Calc!$B524)-SUMIFS(CalcWitB,CalcPartyB,$E527,CalcKeyB,"&lt;="&amp;Calc!$B524)+SUMIFS(CalcDepB,CalcPartyB,$E527,CalcKeyB,"&lt;="&amp;Calc!$B524))</f>
        <v/>
      </c>
      <c r="L527" s="8" t="n"/>
    </row>
    <row r="528">
      <c r="A528" s="7">
        <f>IF($B528="","",COUNTA($B$9:$B528))</f>
        <v/>
      </c>
      <c r="B528" s="8" t="n"/>
      <c r="C528" s="8" t="n"/>
      <c r="D528" s="8" t="n"/>
      <c r="E528" s="8" t="n"/>
      <c r="F528" s="7">
        <f>IF($E528="","",IFERROR(IF(VLOOKUP($E528,AcctTbl,4,0)="","",VLOOKUP($E528,AcctTbl,4,0)),"—"))</f>
        <v/>
      </c>
      <c r="G528" s="8" t="n"/>
      <c r="H528" s="9" t="n"/>
      <c r="I528" s="9" t="n"/>
      <c r="J528" s="10">
        <f>IF(OR($H528="",$I528=""),"",ROUND($H528*$I528,0))</f>
        <v/>
      </c>
      <c r="K528" s="10">
        <f>IF(OR($B528="",$E528="",Calc!$B525=""),"",SUMIFS(CalcAmtA,CalcPartyA,$E528,CalcKeyA,"&lt;="&amp;Calc!$B525)-SUMIFS(CalcWitB,CalcPartyB,$E528,CalcKeyB,"&lt;="&amp;Calc!$B525)+SUMIFS(CalcDepB,CalcPartyB,$E528,CalcKeyB,"&lt;="&amp;Calc!$B525))</f>
        <v/>
      </c>
      <c r="L528" s="8" t="n"/>
    </row>
    <row r="529">
      <c r="A529" s="7">
        <f>IF($B529="","",COUNTA($B$9:$B529))</f>
        <v/>
      </c>
      <c r="B529" s="8" t="n"/>
      <c r="C529" s="8" t="n"/>
      <c r="D529" s="8" t="n"/>
      <c r="E529" s="8" t="n"/>
      <c r="F529" s="7">
        <f>IF($E529="","",IFERROR(IF(VLOOKUP($E529,AcctTbl,4,0)="","",VLOOKUP($E529,AcctTbl,4,0)),"—"))</f>
        <v/>
      </c>
      <c r="G529" s="8" t="n"/>
      <c r="H529" s="9" t="n"/>
      <c r="I529" s="9" t="n"/>
      <c r="J529" s="10">
        <f>IF(OR($H529="",$I529=""),"",ROUND($H529*$I529,0))</f>
        <v/>
      </c>
      <c r="K529" s="10">
        <f>IF(OR($B529="",$E529="",Calc!$B526=""),"",SUMIFS(CalcAmtA,CalcPartyA,$E529,CalcKeyA,"&lt;="&amp;Calc!$B526)-SUMIFS(CalcWitB,CalcPartyB,$E529,CalcKeyB,"&lt;="&amp;Calc!$B526)+SUMIFS(CalcDepB,CalcPartyB,$E529,CalcKeyB,"&lt;="&amp;Calc!$B526))</f>
        <v/>
      </c>
      <c r="L529" s="8" t="n"/>
    </row>
    <row r="530">
      <c r="A530" s="7">
        <f>IF($B530="","",COUNTA($B$9:$B530))</f>
        <v/>
      </c>
      <c r="B530" s="8" t="n"/>
      <c r="C530" s="8" t="n"/>
      <c r="D530" s="8" t="n"/>
      <c r="E530" s="8" t="n"/>
      <c r="F530" s="7">
        <f>IF($E530="","",IFERROR(IF(VLOOKUP($E530,AcctTbl,4,0)="","",VLOOKUP($E530,AcctTbl,4,0)),"—"))</f>
        <v/>
      </c>
      <c r="G530" s="8" t="n"/>
      <c r="H530" s="9" t="n"/>
      <c r="I530" s="9" t="n"/>
      <c r="J530" s="10">
        <f>IF(OR($H530="",$I530=""),"",ROUND($H530*$I530,0))</f>
        <v/>
      </c>
      <c r="K530" s="10">
        <f>IF(OR($B530="",$E530="",Calc!$B527=""),"",SUMIFS(CalcAmtA,CalcPartyA,$E530,CalcKeyA,"&lt;="&amp;Calc!$B527)-SUMIFS(CalcWitB,CalcPartyB,$E530,CalcKeyB,"&lt;="&amp;Calc!$B527)+SUMIFS(CalcDepB,CalcPartyB,$E530,CalcKeyB,"&lt;="&amp;Calc!$B527))</f>
        <v/>
      </c>
      <c r="L530" s="8" t="n"/>
    </row>
    <row r="531">
      <c r="A531" s="7">
        <f>IF($B531="","",COUNTA($B$9:$B531))</f>
        <v/>
      </c>
      <c r="B531" s="8" t="n"/>
      <c r="C531" s="8" t="n"/>
      <c r="D531" s="8" t="n"/>
      <c r="E531" s="8" t="n"/>
      <c r="F531" s="7">
        <f>IF($E531="","",IFERROR(IF(VLOOKUP($E531,AcctTbl,4,0)="","",VLOOKUP($E531,AcctTbl,4,0)),"—"))</f>
        <v/>
      </c>
      <c r="G531" s="8" t="n"/>
      <c r="H531" s="9" t="n"/>
      <c r="I531" s="9" t="n"/>
      <c r="J531" s="10">
        <f>IF(OR($H531="",$I531=""),"",ROUND($H531*$I531,0))</f>
        <v/>
      </c>
      <c r="K531" s="10">
        <f>IF(OR($B531="",$E531="",Calc!$B528=""),"",SUMIFS(CalcAmtA,CalcPartyA,$E531,CalcKeyA,"&lt;="&amp;Calc!$B528)-SUMIFS(CalcWitB,CalcPartyB,$E531,CalcKeyB,"&lt;="&amp;Calc!$B528)+SUMIFS(CalcDepB,CalcPartyB,$E531,CalcKeyB,"&lt;="&amp;Calc!$B528))</f>
        <v/>
      </c>
      <c r="L531" s="8" t="n"/>
    </row>
    <row r="532">
      <c r="A532" s="7">
        <f>IF($B532="","",COUNTA($B$9:$B532))</f>
        <v/>
      </c>
      <c r="B532" s="8" t="n"/>
      <c r="C532" s="8" t="n"/>
      <c r="D532" s="8" t="n"/>
      <c r="E532" s="8" t="n"/>
      <c r="F532" s="7">
        <f>IF($E532="","",IFERROR(IF(VLOOKUP($E532,AcctTbl,4,0)="","",VLOOKUP($E532,AcctTbl,4,0)),"—"))</f>
        <v/>
      </c>
      <c r="G532" s="8" t="n"/>
      <c r="H532" s="9" t="n"/>
      <c r="I532" s="9" t="n"/>
      <c r="J532" s="10">
        <f>IF(OR($H532="",$I532=""),"",ROUND($H532*$I532,0))</f>
        <v/>
      </c>
      <c r="K532" s="10">
        <f>IF(OR($B532="",$E532="",Calc!$B529=""),"",SUMIFS(CalcAmtA,CalcPartyA,$E532,CalcKeyA,"&lt;="&amp;Calc!$B529)-SUMIFS(CalcWitB,CalcPartyB,$E532,CalcKeyB,"&lt;="&amp;Calc!$B529)+SUMIFS(CalcDepB,CalcPartyB,$E532,CalcKeyB,"&lt;="&amp;Calc!$B529))</f>
        <v/>
      </c>
      <c r="L532" s="8" t="n"/>
    </row>
    <row r="533">
      <c r="A533" s="7">
        <f>IF($B533="","",COUNTA($B$9:$B533))</f>
        <v/>
      </c>
      <c r="B533" s="8" t="n"/>
      <c r="C533" s="8" t="n"/>
      <c r="D533" s="8" t="n"/>
      <c r="E533" s="8" t="n"/>
      <c r="F533" s="7">
        <f>IF($E533="","",IFERROR(IF(VLOOKUP($E533,AcctTbl,4,0)="","",VLOOKUP($E533,AcctTbl,4,0)),"—"))</f>
        <v/>
      </c>
      <c r="G533" s="8" t="n"/>
      <c r="H533" s="9" t="n"/>
      <c r="I533" s="9" t="n"/>
      <c r="J533" s="10">
        <f>IF(OR($H533="",$I533=""),"",ROUND($H533*$I533,0))</f>
        <v/>
      </c>
      <c r="K533" s="10">
        <f>IF(OR($B533="",$E533="",Calc!$B530=""),"",SUMIFS(CalcAmtA,CalcPartyA,$E533,CalcKeyA,"&lt;="&amp;Calc!$B530)-SUMIFS(CalcWitB,CalcPartyB,$E533,CalcKeyB,"&lt;="&amp;Calc!$B530)+SUMIFS(CalcDepB,CalcPartyB,$E533,CalcKeyB,"&lt;="&amp;Calc!$B530))</f>
        <v/>
      </c>
      <c r="L533" s="8" t="n"/>
    </row>
    <row r="534">
      <c r="A534" s="7">
        <f>IF($B534="","",COUNTA($B$9:$B534))</f>
        <v/>
      </c>
      <c r="B534" s="8" t="n"/>
      <c r="C534" s="8" t="n"/>
      <c r="D534" s="8" t="n"/>
      <c r="E534" s="8" t="n"/>
      <c r="F534" s="7">
        <f>IF($E534="","",IFERROR(IF(VLOOKUP($E534,AcctTbl,4,0)="","",VLOOKUP($E534,AcctTbl,4,0)),"—"))</f>
        <v/>
      </c>
      <c r="G534" s="8" t="n"/>
      <c r="H534" s="9" t="n"/>
      <c r="I534" s="9" t="n"/>
      <c r="J534" s="10">
        <f>IF(OR($H534="",$I534=""),"",ROUND($H534*$I534,0))</f>
        <v/>
      </c>
      <c r="K534" s="10">
        <f>IF(OR($B534="",$E534="",Calc!$B531=""),"",SUMIFS(CalcAmtA,CalcPartyA,$E534,CalcKeyA,"&lt;="&amp;Calc!$B531)-SUMIFS(CalcWitB,CalcPartyB,$E534,CalcKeyB,"&lt;="&amp;Calc!$B531)+SUMIFS(CalcDepB,CalcPartyB,$E534,CalcKeyB,"&lt;="&amp;Calc!$B531))</f>
        <v/>
      </c>
      <c r="L534" s="8" t="n"/>
    </row>
    <row r="535">
      <c r="A535" s="7">
        <f>IF($B535="","",COUNTA($B$9:$B535))</f>
        <v/>
      </c>
      <c r="B535" s="8" t="n"/>
      <c r="C535" s="8" t="n"/>
      <c r="D535" s="8" t="n"/>
      <c r="E535" s="8" t="n"/>
      <c r="F535" s="7">
        <f>IF($E535="","",IFERROR(IF(VLOOKUP($E535,AcctTbl,4,0)="","",VLOOKUP($E535,AcctTbl,4,0)),"—"))</f>
        <v/>
      </c>
      <c r="G535" s="8" t="n"/>
      <c r="H535" s="9" t="n"/>
      <c r="I535" s="9" t="n"/>
      <c r="J535" s="10">
        <f>IF(OR($H535="",$I535=""),"",ROUND($H535*$I535,0))</f>
        <v/>
      </c>
      <c r="K535" s="10">
        <f>IF(OR($B535="",$E535="",Calc!$B532=""),"",SUMIFS(CalcAmtA,CalcPartyA,$E535,CalcKeyA,"&lt;="&amp;Calc!$B532)-SUMIFS(CalcWitB,CalcPartyB,$E535,CalcKeyB,"&lt;="&amp;Calc!$B532)+SUMIFS(CalcDepB,CalcPartyB,$E535,CalcKeyB,"&lt;="&amp;Calc!$B532))</f>
        <v/>
      </c>
      <c r="L535" s="8" t="n"/>
    </row>
    <row r="536">
      <c r="A536" s="7">
        <f>IF($B536="","",COUNTA($B$9:$B536))</f>
        <v/>
      </c>
      <c r="B536" s="8" t="n"/>
      <c r="C536" s="8" t="n"/>
      <c r="D536" s="8" t="n"/>
      <c r="E536" s="8" t="n"/>
      <c r="F536" s="7">
        <f>IF($E536="","",IFERROR(IF(VLOOKUP($E536,AcctTbl,4,0)="","",VLOOKUP($E536,AcctTbl,4,0)),"—"))</f>
        <v/>
      </c>
      <c r="G536" s="8" t="n"/>
      <c r="H536" s="9" t="n"/>
      <c r="I536" s="9" t="n"/>
      <c r="J536" s="10">
        <f>IF(OR($H536="",$I536=""),"",ROUND($H536*$I536,0))</f>
        <v/>
      </c>
      <c r="K536" s="10">
        <f>IF(OR($B536="",$E536="",Calc!$B533=""),"",SUMIFS(CalcAmtA,CalcPartyA,$E536,CalcKeyA,"&lt;="&amp;Calc!$B533)-SUMIFS(CalcWitB,CalcPartyB,$E536,CalcKeyB,"&lt;="&amp;Calc!$B533)+SUMIFS(CalcDepB,CalcPartyB,$E536,CalcKeyB,"&lt;="&amp;Calc!$B533))</f>
        <v/>
      </c>
      <c r="L536" s="8" t="n"/>
    </row>
    <row r="537">
      <c r="A537" s="7">
        <f>IF($B537="","",COUNTA($B$9:$B537))</f>
        <v/>
      </c>
      <c r="B537" s="8" t="n"/>
      <c r="C537" s="8" t="n"/>
      <c r="D537" s="8" t="n"/>
      <c r="E537" s="8" t="n"/>
      <c r="F537" s="7">
        <f>IF($E537="","",IFERROR(IF(VLOOKUP($E537,AcctTbl,4,0)="","",VLOOKUP($E537,AcctTbl,4,0)),"—"))</f>
        <v/>
      </c>
      <c r="G537" s="8" t="n"/>
      <c r="H537" s="9" t="n"/>
      <c r="I537" s="9" t="n"/>
      <c r="J537" s="10">
        <f>IF(OR($H537="",$I537=""),"",ROUND($H537*$I537,0))</f>
        <v/>
      </c>
      <c r="K537" s="10">
        <f>IF(OR($B537="",$E537="",Calc!$B534=""),"",SUMIFS(CalcAmtA,CalcPartyA,$E537,CalcKeyA,"&lt;="&amp;Calc!$B534)-SUMIFS(CalcWitB,CalcPartyB,$E537,CalcKeyB,"&lt;="&amp;Calc!$B534)+SUMIFS(CalcDepB,CalcPartyB,$E537,CalcKeyB,"&lt;="&amp;Calc!$B534))</f>
        <v/>
      </c>
      <c r="L537" s="8" t="n"/>
    </row>
    <row r="538">
      <c r="A538" s="7">
        <f>IF($B538="","",COUNTA($B$9:$B538))</f>
        <v/>
      </c>
      <c r="B538" s="8" t="n"/>
      <c r="C538" s="8" t="n"/>
      <c r="D538" s="8" t="n"/>
      <c r="E538" s="8" t="n"/>
      <c r="F538" s="7">
        <f>IF($E538="","",IFERROR(IF(VLOOKUP($E538,AcctTbl,4,0)="","",VLOOKUP($E538,AcctTbl,4,0)),"—"))</f>
        <v/>
      </c>
      <c r="G538" s="8" t="n"/>
      <c r="H538" s="9" t="n"/>
      <c r="I538" s="9" t="n"/>
      <c r="J538" s="10">
        <f>IF(OR($H538="",$I538=""),"",ROUND($H538*$I538,0))</f>
        <v/>
      </c>
      <c r="K538" s="10">
        <f>IF(OR($B538="",$E538="",Calc!$B535=""),"",SUMIFS(CalcAmtA,CalcPartyA,$E538,CalcKeyA,"&lt;="&amp;Calc!$B535)-SUMIFS(CalcWitB,CalcPartyB,$E538,CalcKeyB,"&lt;="&amp;Calc!$B535)+SUMIFS(CalcDepB,CalcPartyB,$E538,CalcKeyB,"&lt;="&amp;Calc!$B535))</f>
        <v/>
      </c>
      <c r="L538" s="8" t="n"/>
    </row>
    <row r="539">
      <c r="A539" s="7">
        <f>IF($B539="","",COUNTA($B$9:$B539))</f>
        <v/>
      </c>
      <c r="B539" s="8" t="n"/>
      <c r="C539" s="8" t="n"/>
      <c r="D539" s="8" t="n"/>
      <c r="E539" s="8" t="n"/>
      <c r="F539" s="7">
        <f>IF($E539="","",IFERROR(IF(VLOOKUP($E539,AcctTbl,4,0)="","",VLOOKUP($E539,AcctTbl,4,0)),"—"))</f>
        <v/>
      </c>
      <c r="G539" s="8" t="n"/>
      <c r="H539" s="9" t="n"/>
      <c r="I539" s="9" t="n"/>
      <c r="J539" s="10">
        <f>IF(OR($H539="",$I539=""),"",ROUND($H539*$I539,0))</f>
        <v/>
      </c>
      <c r="K539" s="10">
        <f>IF(OR($B539="",$E539="",Calc!$B536=""),"",SUMIFS(CalcAmtA,CalcPartyA,$E539,CalcKeyA,"&lt;="&amp;Calc!$B536)-SUMIFS(CalcWitB,CalcPartyB,$E539,CalcKeyB,"&lt;="&amp;Calc!$B536)+SUMIFS(CalcDepB,CalcPartyB,$E539,CalcKeyB,"&lt;="&amp;Calc!$B536))</f>
        <v/>
      </c>
      <c r="L539" s="8" t="n"/>
    </row>
    <row r="540">
      <c r="A540" s="7">
        <f>IF($B540="","",COUNTA($B$9:$B540))</f>
        <v/>
      </c>
      <c r="B540" s="8" t="n"/>
      <c r="C540" s="8" t="n"/>
      <c r="D540" s="8" t="n"/>
      <c r="E540" s="8" t="n"/>
      <c r="F540" s="7">
        <f>IF($E540="","",IFERROR(IF(VLOOKUP($E540,AcctTbl,4,0)="","",VLOOKUP($E540,AcctTbl,4,0)),"—"))</f>
        <v/>
      </c>
      <c r="G540" s="8" t="n"/>
      <c r="H540" s="9" t="n"/>
      <c r="I540" s="9" t="n"/>
      <c r="J540" s="10">
        <f>IF(OR($H540="",$I540=""),"",ROUND($H540*$I540,0))</f>
        <v/>
      </c>
      <c r="K540" s="10">
        <f>IF(OR($B540="",$E540="",Calc!$B537=""),"",SUMIFS(CalcAmtA,CalcPartyA,$E540,CalcKeyA,"&lt;="&amp;Calc!$B537)-SUMIFS(CalcWitB,CalcPartyB,$E540,CalcKeyB,"&lt;="&amp;Calc!$B537)+SUMIFS(CalcDepB,CalcPartyB,$E540,CalcKeyB,"&lt;="&amp;Calc!$B537))</f>
        <v/>
      </c>
      <c r="L540" s="8" t="n"/>
    </row>
    <row r="541">
      <c r="A541" s="7">
        <f>IF($B541="","",COUNTA($B$9:$B541))</f>
        <v/>
      </c>
      <c r="B541" s="8" t="n"/>
      <c r="C541" s="8" t="n"/>
      <c r="D541" s="8" t="n"/>
      <c r="E541" s="8" t="n"/>
      <c r="F541" s="7">
        <f>IF($E541="","",IFERROR(IF(VLOOKUP($E541,AcctTbl,4,0)="","",VLOOKUP($E541,AcctTbl,4,0)),"—"))</f>
        <v/>
      </c>
      <c r="G541" s="8" t="n"/>
      <c r="H541" s="9" t="n"/>
      <c r="I541" s="9" t="n"/>
      <c r="J541" s="10">
        <f>IF(OR($H541="",$I541=""),"",ROUND($H541*$I541,0))</f>
        <v/>
      </c>
      <c r="K541" s="10">
        <f>IF(OR($B541="",$E541="",Calc!$B538=""),"",SUMIFS(CalcAmtA,CalcPartyA,$E541,CalcKeyA,"&lt;="&amp;Calc!$B538)-SUMIFS(CalcWitB,CalcPartyB,$E541,CalcKeyB,"&lt;="&amp;Calc!$B538)+SUMIFS(CalcDepB,CalcPartyB,$E541,CalcKeyB,"&lt;="&amp;Calc!$B538))</f>
        <v/>
      </c>
      <c r="L541" s="8" t="n"/>
    </row>
    <row r="542">
      <c r="A542" s="7">
        <f>IF($B542="","",COUNTA($B$9:$B542))</f>
        <v/>
      </c>
      <c r="B542" s="8" t="n"/>
      <c r="C542" s="8" t="n"/>
      <c r="D542" s="8" t="n"/>
      <c r="E542" s="8" t="n"/>
      <c r="F542" s="7">
        <f>IF($E542="","",IFERROR(IF(VLOOKUP($E542,AcctTbl,4,0)="","",VLOOKUP($E542,AcctTbl,4,0)),"—"))</f>
        <v/>
      </c>
      <c r="G542" s="8" t="n"/>
      <c r="H542" s="9" t="n"/>
      <c r="I542" s="9" t="n"/>
      <c r="J542" s="10">
        <f>IF(OR($H542="",$I542=""),"",ROUND($H542*$I542,0))</f>
        <v/>
      </c>
      <c r="K542" s="10">
        <f>IF(OR($B542="",$E542="",Calc!$B539=""),"",SUMIFS(CalcAmtA,CalcPartyA,$E542,CalcKeyA,"&lt;="&amp;Calc!$B539)-SUMIFS(CalcWitB,CalcPartyB,$E542,CalcKeyB,"&lt;="&amp;Calc!$B539)+SUMIFS(CalcDepB,CalcPartyB,$E542,CalcKeyB,"&lt;="&amp;Calc!$B539))</f>
        <v/>
      </c>
      <c r="L542" s="8" t="n"/>
    </row>
    <row r="543">
      <c r="A543" s="7">
        <f>IF($B543="","",COUNTA($B$9:$B543))</f>
        <v/>
      </c>
      <c r="B543" s="8" t="n"/>
      <c r="C543" s="8" t="n"/>
      <c r="D543" s="8" t="n"/>
      <c r="E543" s="8" t="n"/>
      <c r="F543" s="7">
        <f>IF($E543="","",IFERROR(IF(VLOOKUP($E543,AcctTbl,4,0)="","",VLOOKUP($E543,AcctTbl,4,0)),"—"))</f>
        <v/>
      </c>
      <c r="G543" s="8" t="n"/>
      <c r="H543" s="9" t="n"/>
      <c r="I543" s="9" t="n"/>
      <c r="J543" s="10">
        <f>IF(OR($H543="",$I543=""),"",ROUND($H543*$I543,0))</f>
        <v/>
      </c>
      <c r="K543" s="10">
        <f>IF(OR($B543="",$E543="",Calc!$B540=""),"",SUMIFS(CalcAmtA,CalcPartyA,$E543,CalcKeyA,"&lt;="&amp;Calc!$B540)-SUMIFS(CalcWitB,CalcPartyB,$E543,CalcKeyB,"&lt;="&amp;Calc!$B540)+SUMIFS(CalcDepB,CalcPartyB,$E543,CalcKeyB,"&lt;="&amp;Calc!$B540))</f>
        <v/>
      </c>
      <c r="L543" s="8" t="n"/>
    </row>
    <row r="544">
      <c r="A544" s="7">
        <f>IF($B544="","",COUNTA($B$9:$B544))</f>
        <v/>
      </c>
      <c r="B544" s="8" t="n"/>
      <c r="C544" s="8" t="n"/>
      <c r="D544" s="8" t="n"/>
      <c r="E544" s="8" t="n"/>
      <c r="F544" s="7">
        <f>IF($E544="","",IFERROR(IF(VLOOKUP($E544,AcctTbl,4,0)="","",VLOOKUP($E544,AcctTbl,4,0)),"—"))</f>
        <v/>
      </c>
      <c r="G544" s="8" t="n"/>
      <c r="H544" s="9" t="n"/>
      <c r="I544" s="9" t="n"/>
      <c r="J544" s="10">
        <f>IF(OR($H544="",$I544=""),"",ROUND($H544*$I544,0))</f>
        <v/>
      </c>
      <c r="K544" s="10">
        <f>IF(OR($B544="",$E544="",Calc!$B541=""),"",SUMIFS(CalcAmtA,CalcPartyA,$E544,CalcKeyA,"&lt;="&amp;Calc!$B541)-SUMIFS(CalcWitB,CalcPartyB,$E544,CalcKeyB,"&lt;="&amp;Calc!$B541)+SUMIFS(CalcDepB,CalcPartyB,$E544,CalcKeyB,"&lt;="&amp;Calc!$B541))</f>
        <v/>
      </c>
      <c r="L544" s="8" t="n"/>
    </row>
    <row r="545">
      <c r="A545" s="7">
        <f>IF($B545="","",COUNTA($B$9:$B545))</f>
        <v/>
      </c>
      <c r="B545" s="8" t="n"/>
      <c r="C545" s="8" t="n"/>
      <c r="D545" s="8" t="n"/>
      <c r="E545" s="8" t="n"/>
      <c r="F545" s="7">
        <f>IF($E545="","",IFERROR(IF(VLOOKUP($E545,AcctTbl,4,0)="","",VLOOKUP($E545,AcctTbl,4,0)),"—"))</f>
        <v/>
      </c>
      <c r="G545" s="8" t="n"/>
      <c r="H545" s="9" t="n"/>
      <c r="I545" s="9" t="n"/>
      <c r="J545" s="10">
        <f>IF(OR($H545="",$I545=""),"",ROUND($H545*$I545,0))</f>
        <v/>
      </c>
      <c r="K545" s="10">
        <f>IF(OR($B545="",$E545="",Calc!$B542=""),"",SUMIFS(CalcAmtA,CalcPartyA,$E545,CalcKeyA,"&lt;="&amp;Calc!$B542)-SUMIFS(CalcWitB,CalcPartyB,$E545,CalcKeyB,"&lt;="&amp;Calc!$B542)+SUMIFS(CalcDepB,CalcPartyB,$E545,CalcKeyB,"&lt;="&amp;Calc!$B542))</f>
        <v/>
      </c>
      <c r="L545" s="8" t="n"/>
    </row>
    <row r="546">
      <c r="A546" s="7">
        <f>IF($B546="","",COUNTA($B$9:$B546))</f>
        <v/>
      </c>
      <c r="B546" s="8" t="n"/>
      <c r="C546" s="8" t="n"/>
      <c r="D546" s="8" t="n"/>
      <c r="E546" s="8" t="n"/>
      <c r="F546" s="7">
        <f>IF($E546="","",IFERROR(IF(VLOOKUP($E546,AcctTbl,4,0)="","",VLOOKUP($E546,AcctTbl,4,0)),"—"))</f>
        <v/>
      </c>
      <c r="G546" s="8" t="n"/>
      <c r="H546" s="9" t="n"/>
      <c r="I546" s="9" t="n"/>
      <c r="J546" s="10">
        <f>IF(OR($H546="",$I546=""),"",ROUND($H546*$I546,0))</f>
        <v/>
      </c>
      <c r="K546" s="10">
        <f>IF(OR($B546="",$E546="",Calc!$B543=""),"",SUMIFS(CalcAmtA,CalcPartyA,$E546,CalcKeyA,"&lt;="&amp;Calc!$B543)-SUMIFS(CalcWitB,CalcPartyB,$E546,CalcKeyB,"&lt;="&amp;Calc!$B543)+SUMIFS(CalcDepB,CalcPartyB,$E546,CalcKeyB,"&lt;="&amp;Calc!$B543))</f>
        <v/>
      </c>
      <c r="L546" s="8" t="n"/>
    </row>
    <row r="547">
      <c r="A547" s="7">
        <f>IF($B547="","",COUNTA($B$9:$B547))</f>
        <v/>
      </c>
      <c r="B547" s="8" t="n"/>
      <c r="C547" s="8" t="n"/>
      <c r="D547" s="8" t="n"/>
      <c r="E547" s="8" t="n"/>
      <c r="F547" s="7">
        <f>IF($E547="","",IFERROR(IF(VLOOKUP($E547,AcctTbl,4,0)="","",VLOOKUP($E547,AcctTbl,4,0)),"—"))</f>
        <v/>
      </c>
      <c r="G547" s="8" t="n"/>
      <c r="H547" s="9" t="n"/>
      <c r="I547" s="9" t="n"/>
      <c r="J547" s="10">
        <f>IF(OR($H547="",$I547=""),"",ROUND($H547*$I547,0))</f>
        <v/>
      </c>
      <c r="K547" s="10">
        <f>IF(OR($B547="",$E547="",Calc!$B544=""),"",SUMIFS(CalcAmtA,CalcPartyA,$E547,CalcKeyA,"&lt;="&amp;Calc!$B544)-SUMIFS(CalcWitB,CalcPartyB,$E547,CalcKeyB,"&lt;="&amp;Calc!$B544)+SUMIFS(CalcDepB,CalcPartyB,$E547,CalcKeyB,"&lt;="&amp;Calc!$B544))</f>
        <v/>
      </c>
      <c r="L547" s="8" t="n"/>
    </row>
    <row r="548">
      <c r="A548" s="7">
        <f>IF($B548="","",COUNTA($B$9:$B548))</f>
        <v/>
      </c>
      <c r="B548" s="8" t="n"/>
      <c r="C548" s="8" t="n"/>
      <c r="D548" s="8" t="n"/>
      <c r="E548" s="8" t="n"/>
      <c r="F548" s="7">
        <f>IF($E548="","",IFERROR(IF(VLOOKUP($E548,AcctTbl,4,0)="","",VLOOKUP($E548,AcctTbl,4,0)),"—"))</f>
        <v/>
      </c>
      <c r="G548" s="8" t="n"/>
      <c r="H548" s="9" t="n"/>
      <c r="I548" s="9" t="n"/>
      <c r="J548" s="10">
        <f>IF(OR($H548="",$I548=""),"",ROUND($H548*$I548,0))</f>
        <v/>
      </c>
      <c r="K548" s="10">
        <f>IF(OR($B548="",$E548="",Calc!$B545=""),"",SUMIFS(CalcAmtA,CalcPartyA,$E548,CalcKeyA,"&lt;="&amp;Calc!$B545)-SUMIFS(CalcWitB,CalcPartyB,$E548,CalcKeyB,"&lt;="&amp;Calc!$B545)+SUMIFS(CalcDepB,CalcPartyB,$E548,CalcKeyB,"&lt;="&amp;Calc!$B545))</f>
        <v/>
      </c>
      <c r="L548" s="8" t="n"/>
    </row>
    <row r="549">
      <c r="A549" s="7">
        <f>IF($B549="","",COUNTA($B$9:$B549))</f>
        <v/>
      </c>
      <c r="B549" s="8" t="n"/>
      <c r="C549" s="8" t="n"/>
      <c r="D549" s="8" t="n"/>
      <c r="E549" s="8" t="n"/>
      <c r="F549" s="7">
        <f>IF($E549="","",IFERROR(IF(VLOOKUP($E549,AcctTbl,4,0)="","",VLOOKUP($E549,AcctTbl,4,0)),"—"))</f>
        <v/>
      </c>
      <c r="G549" s="8" t="n"/>
      <c r="H549" s="9" t="n"/>
      <c r="I549" s="9" t="n"/>
      <c r="J549" s="10">
        <f>IF(OR($H549="",$I549=""),"",ROUND($H549*$I549,0))</f>
        <v/>
      </c>
      <c r="K549" s="10">
        <f>IF(OR($B549="",$E549="",Calc!$B546=""),"",SUMIFS(CalcAmtA,CalcPartyA,$E549,CalcKeyA,"&lt;="&amp;Calc!$B546)-SUMIFS(CalcWitB,CalcPartyB,$E549,CalcKeyB,"&lt;="&amp;Calc!$B546)+SUMIFS(CalcDepB,CalcPartyB,$E549,CalcKeyB,"&lt;="&amp;Calc!$B546))</f>
        <v/>
      </c>
      <c r="L549" s="8" t="n"/>
    </row>
    <row r="550">
      <c r="A550" s="7">
        <f>IF($B550="","",COUNTA($B$9:$B550))</f>
        <v/>
      </c>
      <c r="B550" s="8" t="n"/>
      <c r="C550" s="8" t="n"/>
      <c r="D550" s="8" t="n"/>
      <c r="E550" s="8" t="n"/>
      <c r="F550" s="7">
        <f>IF($E550="","",IFERROR(IF(VLOOKUP($E550,AcctTbl,4,0)="","",VLOOKUP($E550,AcctTbl,4,0)),"—"))</f>
        <v/>
      </c>
      <c r="G550" s="8" t="n"/>
      <c r="H550" s="9" t="n"/>
      <c r="I550" s="9" t="n"/>
      <c r="J550" s="10">
        <f>IF(OR($H550="",$I550=""),"",ROUND($H550*$I550,0))</f>
        <v/>
      </c>
      <c r="K550" s="10">
        <f>IF(OR($B550="",$E550="",Calc!$B547=""),"",SUMIFS(CalcAmtA,CalcPartyA,$E550,CalcKeyA,"&lt;="&amp;Calc!$B547)-SUMIFS(CalcWitB,CalcPartyB,$E550,CalcKeyB,"&lt;="&amp;Calc!$B547)+SUMIFS(CalcDepB,CalcPartyB,$E550,CalcKeyB,"&lt;="&amp;Calc!$B547))</f>
        <v/>
      </c>
      <c r="L550" s="8" t="n"/>
    </row>
    <row r="551">
      <c r="A551" s="7">
        <f>IF($B551="","",COUNTA($B$9:$B551))</f>
        <v/>
      </c>
      <c r="B551" s="8" t="n"/>
      <c r="C551" s="8" t="n"/>
      <c r="D551" s="8" t="n"/>
      <c r="E551" s="8" t="n"/>
      <c r="F551" s="7">
        <f>IF($E551="","",IFERROR(IF(VLOOKUP($E551,AcctTbl,4,0)="","",VLOOKUP($E551,AcctTbl,4,0)),"—"))</f>
        <v/>
      </c>
      <c r="G551" s="8" t="n"/>
      <c r="H551" s="9" t="n"/>
      <c r="I551" s="9" t="n"/>
      <c r="J551" s="10">
        <f>IF(OR($H551="",$I551=""),"",ROUND($H551*$I551,0))</f>
        <v/>
      </c>
      <c r="K551" s="10">
        <f>IF(OR($B551="",$E551="",Calc!$B548=""),"",SUMIFS(CalcAmtA,CalcPartyA,$E551,CalcKeyA,"&lt;="&amp;Calc!$B548)-SUMIFS(CalcWitB,CalcPartyB,$E551,CalcKeyB,"&lt;="&amp;Calc!$B548)+SUMIFS(CalcDepB,CalcPartyB,$E551,CalcKeyB,"&lt;="&amp;Calc!$B548))</f>
        <v/>
      </c>
      <c r="L551" s="8" t="n"/>
    </row>
    <row r="552">
      <c r="A552" s="7">
        <f>IF($B552="","",COUNTA($B$9:$B552))</f>
        <v/>
      </c>
      <c r="B552" s="8" t="n"/>
      <c r="C552" s="8" t="n"/>
      <c r="D552" s="8" t="n"/>
      <c r="E552" s="8" t="n"/>
      <c r="F552" s="7">
        <f>IF($E552="","",IFERROR(IF(VLOOKUP($E552,AcctTbl,4,0)="","",VLOOKUP($E552,AcctTbl,4,0)),"—"))</f>
        <v/>
      </c>
      <c r="G552" s="8" t="n"/>
      <c r="H552" s="9" t="n"/>
      <c r="I552" s="9" t="n"/>
      <c r="J552" s="10">
        <f>IF(OR($H552="",$I552=""),"",ROUND($H552*$I552,0))</f>
        <v/>
      </c>
      <c r="K552" s="10">
        <f>IF(OR($B552="",$E552="",Calc!$B549=""),"",SUMIFS(CalcAmtA,CalcPartyA,$E552,CalcKeyA,"&lt;="&amp;Calc!$B549)-SUMIFS(CalcWitB,CalcPartyB,$E552,CalcKeyB,"&lt;="&amp;Calc!$B549)+SUMIFS(CalcDepB,CalcPartyB,$E552,CalcKeyB,"&lt;="&amp;Calc!$B549))</f>
        <v/>
      </c>
      <c r="L552" s="8" t="n"/>
    </row>
    <row r="553">
      <c r="A553" s="7">
        <f>IF($B553="","",COUNTA($B$9:$B553))</f>
        <v/>
      </c>
      <c r="B553" s="8" t="n"/>
      <c r="C553" s="8" t="n"/>
      <c r="D553" s="8" t="n"/>
      <c r="E553" s="8" t="n"/>
      <c r="F553" s="7">
        <f>IF($E553="","",IFERROR(IF(VLOOKUP($E553,AcctTbl,4,0)="","",VLOOKUP($E553,AcctTbl,4,0)),"—"))</f>
        <v/>
      </c>
      <c r="G553" s="8" t="n"/>
      <c r="H553" s="9" t="n"/>
      <c r="I553" s="9" t="n"/>
      <c r="J553" s="10">
        <f>IF(OR($H553="",$I553=""),"",ROUND($H553*$I553,0))</f>
        <v/>
      </c>
      <c r="K553" s="10">
        <f>IF(OR($B553="",$E553="",Calc!$B550=""),"",SUMIFS(CalcAmtA,CalcPartyA,$E553,CalcKeyA,"&lt;="&amp;Calc!$B550)-SUMIFS(CalcWitB,CalcPartyB,$E553,CalcKeyB,"&lt;="&amp;Calc!$B550)+SUMIFS(CalcDepB,CalcPartyB,$E553,CalcKeyB,"&lt;="&amp;Calc!$B550))</f>
        <v/>
      </c>
      <c r="L553" s="8" t="n"/>
    </row>
    <row r="554">
      <c r="A554" s="7">
        <f>IF($B554="","",COUNTA($B$9:$B554))</f>
        <v/>
      </c>
      <c r="B554" s="8" t="n"/>
      <c r="C554" s="8" t="n"/>
      <c r="D554" s="8" t="n"/>
      <c r="E554" s="8" t="n"/>
      <c r="F554" s="7">
        <f>IF($E554="","",IFERROR(IF(VLOOKUP($E554,AcctTbl,4,0)="","",VLOOKUP($E554,AcctTbl,4,0)),"—"))</f>
        <v/>
      </c>
      <c r="G554" s="8" t="n"/>
      <c r="H554" s="9" t="n"/>
      <c r="I554" s="9" t="n"/>
      <c r="J554" s="10">
        <f>IF(OR($H554="",$I554=""),"",ROUND($H554*$I554,0))</f>
        <v/>
      </c>
      <c r="K554" s="10">
        <f>IF(OR($B554="",$E554="",Calc!$B551=""),"",SUMIFS(CalcAmtA,CalcPartyA,$E554,CalcKeyA,"&lt;="&amp;Calc!$B551)-SUMIFS(CalcWitB,CalcPartyB,$E554,CalcKeyB,"&lt;="&amp;Calc!$B551)+SUMIFS(CalcDepB,CalcPartyB,$E554,CalcKeyB,"&lt;="&amp;Calc!$B551))</f>
        <v/>
      </c>
      <c r="L554" s="8" t="n"/>
    </row>
    <row r="555">
      <c r="A555" s="7">
        <f>IF($B555="","",COUNTA($B$9:$B555))</f>
        <v/>
      </c>
      <c r="B555" s="8" t="n"/>
      <c r="C555" s="8" t="n"/>
      <c r="D555" s="8" t="n"/>
      <c r="E555" s="8" t="n"/>
      <c r="F555" s="7">
        <f>IF($E555="","",IFERROR(IF(VLOOKUP($E555,AcctTbl,4,0)="","",VLOOKUP($E555,AcctTbl,4,0)),"—"))</f>
        <v/>
      </c>
      <c r="G555" s="8" t="n"/>
      <c r="H555" s="9" t="n"/>
      <c r="I555" s="9" t="n"/>
      <c r="J555" s="10">
        <f>IF(OR($H555="",$I555=""),"",ROUND($H555*$I555,0))</f>
        <v/>
      </c>
      <c r="K555" s="10">
        <f>IF(OR($B555="",$E555="",Calc!$B552=""),"",SUMIFS(CalcAmtA,CalcPartyA,$E555,CalcKeyA,"&lt;="&amp;Calc!$B552)-SUMIFS(CalcWitB,CalcPartyB,$E555,CalcKeyB,"&lt;="&amp;Calc!$B552)+SUMIFS(CalcDepB,CalcPartyB,$E555,CalcKeyB,"&lt;="&amp;Calc!$B552))</f>
        <v/>
      </c>
      <c r="L555" s="8" t="n"/>
    </row>
    <row r="556">
      <c r="A556" s="7">
        <f>IF($B556="","",COUNTA($B$9:$B556))</f>
        <v/>
      </c>
      <c r="B556" s="8" t="n"/>
      <c r="C556" s="8" t="n"/>
      <c r="D556" s="8" t="n"/>
      <c r="E556" s="8" t="n"/>
      <c r="F556" s="7">
        <f>IF($E556="","",IFERROR(IF(VLOOKUP($E556,AcctTbl,4,0)="","",VLOOKUP($E556,AcctTbl,4,0)),"—"))</f>
        <v/>
      </c>
      <c r="G556" s="8" t="n"/>
      <c r="H556" s="9" t="n"/>
      <c r="I556" s="9" t="n"/>
      <c r="J556" s="10">
        <f>IF(OR($H556="",$I556=""),"",ROUND($H556*$I556,0))</f>
        <v/>
      </c>
      <c r="K556" s="10">
        <f>IF(OR($B556="",$E556="",Calc!$B553=""),"",SUMIFS(CalcAmtA,CalcPartyA,$E556,CalcKeyA,"&lt;="&amp;Calc!$B553)-SUMIFS(CalcWitB,CalcPartyB,$E556,CalcKeyB,"&lt;="&amp;Calc!$B553)+SUMIFS(CalcDepB,CalcPartyB,$E556,CalcKeyB,"&lt;="&amp;Calc!$B553))</f>
        <v/>
      </c>
      <c r="L556" s="8" t="n"/>
    </row>
    <row r="557">
      <c r="A557" s="7">
        <f>IF($B557="","",COUNTA($B$9:$B557))</f>
        <v/>
      </c>
      <c r="B557" s="8" t="n"/>
      <c r="C557" s="8" t="n"/>
      <c r="D557" s="8" t="n"/>
      <c r="E557" s="8" t="n"/>
      <c r="F557" s="7">
        <f>IF($E557="","",IFERROR(IF(VLOOKUP($E557,AcctTbl,4,0)="","",VLOOKUP($E557,AcctTbl,4,0)),"—"))</f>
        <v/>
      </c>
      <c r="G557" s="8" t="n"/>
      <c r="H557" s="9" t="n"/>
      <c r="I557" s="9" t="n"/>
      <c r="J557" s="10">
        <f>IF(OR($H557="",$I557=""),"",ROUND($H557*$I557,0))</f>
        <v/>
      </c>
      <c r="K557" s="10">
        <f>IF(OR($B557="",$E557="",Calc!$B554=""),"",SUMIFS(CalcAmtA,CalcPartyA,$E557,CalcKeyA,"&lt;="&amp;Calc!$B554)-SUMIFS(CalcWitB,CalcPartyB,$E557,CalcKeyB,"&lt;="&amp;Calc!$B554)+SUMIFS(CalcDepB,CalcPartyB,$E557,CalcKeyB,"&lt;="&amp;Calc!$B554))</f>
        <v/>
      </c>
      <c r="L557" s="8" t="n"/>
    </row>
    <row r="558">
      <c r="A558" s="7">
        <f>IF($B558="","",COUNTA($B$9:$B558))</f>
        <v/>
      </c>
      <c r="B558" s="8" t="n"/>
      <c r="C558" s="8" t="n"/>
      <c r="D558" s="8" t="n"/>
      <c r="E558" s="8" t="n"/>
      <c r="F558" s="7">
        <f>IF($E558="","",IFERROR(IF(VLOOKUP($E558,AcctTbl,4,0)="","",VLOOKUP($E558,AcctTbl,4,0)),"—"))</f>
        <v/>
      </c>
      <c r="G558" s="8" t="n"/>
      <c r="H558" s="9" t="n"/>
      <c r="I558" s="9" t="n"/>
      <c r="J558" s="10">
        <f>IF(OR($H558="",$I558=""),"",ROUND($H558*$I558,0))</f>
        <v/>
      </c>
      <c r="K558" s="10">
        <f>IF(OR($B558="",$E558="",Calc!$B555=""),"",SUMIFS(CalcAmtA,CalcPartyA,$E558,CalcKeyA,"&lt;="&amp;Calc!$B555)-SUMIFS(CalcWitB,CalcPartyB,$E558,CalcKeyB,"&lt;="&amp;Calc!$B555)+SUMIFS(CalcDepB,CalcPartyB,$E558,CalcKeyB,"&lt;="&amp;Calc!$B555))</f>
        <v/>
      </c>
      <c r="L558" s="8" t="n"/>
    </row>
    <row r="559">
      <c r="A559" s="7">
        <f>IF($B559="","",COUNTA($B$9:$B559))</f>
        <v/>
      </c>
      <c r="B559" s="8" t="n"/>
      <c r="C559" s="8" t="n"/>
      <c r="D559" s="8" t="n"/>
      <c r="E559" s="8" t="n"/>
      <c r="F559" s="7">
        <f>IF($E559="","",IFERROR(IF(VLOOKUP($E559,AcctTbl,4,0)="","",VLOOKUP($E559,AcctTbl,4,0)),"—"))</f>
        <v/>
      </c>
      <c r="G559" s="8" t="n"/>
      <c r="H559" s="9" t="n"/>
      <c r="I559" s="9" t="n"/>
      <c r="J559" s="10">
        <f>IF(OR($H559="",$I559=""),"",ROUND($H559*$I559,0))</f>
        <v/>
      </c>
      <c r="K559" s="10">
        <f>IF(OR($B559="",$E559="",Calc!$B556=""),"",SUMIFS(CalcAmtA,CalcPartyA,$E559,CalcKeyA,"&lt;="&amp;Calc!$B556)-SUMIFS(CalcWitB,CalcPartyB,$E559,CalcKeyB,"&lt;="&amp;Calc!$B556)+SUMIFS(CalcDepB,CalcPartyB,$E559,CalcKeyB,"&lt;="&amp;Calc!$B556))</f>
        <v/>
      </c>
      <c r="L559" s="8" t="n"/>
    </row>
    <row r="560">
      <c r="A560" s="7">
        <f>IF($B560="","",COUNTA($B$9:$B560))</f>
        <v/>
      </c>
      <c r="B560" s="8" t="n"/>
      <c r="C560" s="8" t="n"/>
      <c r="D560" s="8" t="n"/>
      <c r="E560" s="8" t="n"/>
      <c r="F560" s="7">
        <f>IF($E560="","",IFERROR(IF(VLOOKUP($E560,AcctTbl,4,0)="","",VLOOKUP($E560,AcctTbl,4,0)),"—"))</f>
        <v/>
      </c>
      <c r="G560" s="8" t="n"/>
      <c r="H560" s="9" t="n"/>
      <c r="I560" s="9" t="n"/>
      <c r="J560" s="10">
        <f>IF(OR($H560="",$I560=""),"",ROUND($H560*$I560,0))</f>
        <v/>
      </c>
      <c r="K560" s="10">
        <f>IF(OR($B560="",$E560="",Calc!$B557=""),"",SUMIFS(CalcAmtA,CalcPartyA,$E560,CalcKeyA,"&lt;="&amp;Calc!$B557)-SUMIFS(CalcWitB,CalcPartyB,$E560,CalcKeyB,"&lt;="&amp;Calc!$B557)+SUMIFS(CalcDepB,CalcPartyB,$E560,CalcKeyB,"&lt;="&amp;Calc!$B557))</f>
        <v/>
      </c>
      <c r="L560" s="8" t="n"/>
    </row>
    <row r="561">
      <c r="A561" s="7">
        <f>IF($B561="","",COUNTA($B$9:$B561))</f>
        <v/>
      </c>
      <c r="B561" s="8" t="n"/>
      <c r="C561" s="8" t="n"/>
      <c r="D561" s="8" t="n"/>
      <c r="E561" s="8" t="n"/>
      <c r="F561" s="7">
        <f>IF($E561="","",IFERROR(IF(VLOOKUP($E561,AcctTbl,4,0)="","",VLOOKUP($E561,AcctTbl,4,0)),"—"))</f>
        <v/>
      </c>
      <c r="G561" s="8" t="n"/>
      <c r="H561" s="9" t="n"/>
      <c r="I561" s="9" t="n"/>
      <c r="J561" s="10">
        <f>IF(OR($H561="",$I561=""),"",ROUND($H561*$I561,0))</f>
        <v/>
      </c>
      <c r="K561" s="10">
        <f>IF(OR($B561="",$E561="",Calc!$B558=""),"",SUMIFS(CalcAmtA,CalcPartyA,$E561,CalcKeyA,"&lt;="&amp;Calc!$B558)-SUMIFS(CalcWitB,CalcPartyB,$E561,CalcKeyB,"&lt;="&amp;Calc!$B558)+SUMIFS(CalcDepB,CalcPartyB,$E561,CalcKeyB,"&lt;="&amp;Calc!$B558))</f>
        <v/>
      </c>
      <c r="L561" s="8" t="n"/>
    </row>
    <row r="562">
      <c r="A562" s="7">
        <f>IF($B562="","",COUNTA($B$9:$B562))</f>
        <v/>
      </c>
      <c r="B562" s="8" t="n"/>
      <c r="C562" s="8" t="n"/>
      <c r="D562" s="8" t="n"/>
      <c r="E562" s="8" t="n"/>
      <c r="F562" s="7">
        <f>IF($E562="","",IFERROR(IF(VLOOKUP($E562,AcctTbl,4,0)="","",VLOOKUP($E562,AcctTbl,4,0)),"—"))</f>
        <v/>
      </c>
      <c r="G562" s="8" t="n"/>
      <c r="H562" s="9" t="n"/>
      <c r="I562" s="9" t="n"/>
      <c r="J562" s="10">
        <f>IF(OR($H562="",$I562=""),"",ROUND($H562*$I562,0))</f>
        <v/>
      </c>
      <c r="K562" s="10">
        <f>IF(OR($B562="",$E562="",Calc!$B559=""),"",SUMIFS(CalcAmtA,CalcPartyA,$E562,CalcKeyA,"&lt;="&amp;Calc!$B559)-SUMIFS(CalcWitB,CalcPartyB,$E562,CalcKeyB,"&lt;="&amp;Calc!$B559)+SUMIFS(CalcDepB,CalcPartyB,$E562,CalcKeyB,"&lt;="&amp;Calc!$B559))</f>
        <v/>
      </c>
      <c r="L562" s="8" t="n"/>
    </row>
    <row r="563">
      <c r="A563" s="7">
        <f>IF($B563="","",COUNTA($B$9:$B563))</f>
        <v/>
      </c>
      <c r="B563" s="8" t="n"/>
      <c r="C563" s="8" t="n"/>
      <c r="D563" s="8" t="n"/>
      <c r="E563" s="8" t="n"/>
      <c r="F563" s="7">
        <f>IF($E563="","",IFERROR(IF(VLOOKUP($E563,AcctTbl,4,0)="","",VLOOKUP($E563,AcctTbl,4,0)),"—"))</f>
        <v/>
      </c>
      <c r="G563" s="8" t="n"/>
      <c r="H563" s="9" t="n"/>
      <c r="I563" s="9" t="n"/>
      <c r="J563" s="10">
        <f>IF(OR($H563="",$I563=""),"",ROUND($H563*$I563,0))</f>
        <v/>
      </c>
      <c r="K563" s="10">
        <f>IF(OR($B563="",$E563="",Calc!$B560=""),"",SUMIFS(CalcAmtA,CalcPartyA,$E563,CalcKeyA,"&lt;="&amp;Calc!$B560)-SUMIFS(CalcWitB,CalcPartyB,$E563,CalcKeyB,"&lt;="&amp;Calc!$B560)+SUMIFS(CalcDepB,CalcPartyB,$E563,CalcKeyB,"&lt;="&amp;Calc!$B560))</f>
        <v/>
      </c>
      <c r="L563" s="8" t="n"/>
    </row>
    <row r="564">
      <c r="A564" s="7">
        <f>IF($B564="","",COUNTA($B$9:$B564))</f>
        <v/>
      </c>
      <c r="B564" s="8" t="n"/>
      <c r="C564" s="8" t="n"/>
      <c r="D564" s="8" t="n"/>
      <c r="E564" s="8" t="n"/>
      <c r="F564" s="7">
        <f>IF($E564="","",IFERROR(IF(VLOOKUP($E564,AcctTbl,4,0)="","",VLOOKUP($E564,AcctTbl,4,0)),"—"))</f>
        <v/>
      </c>
      <c r="G564" s="8" t="n"/>
      <c r="H564" s="9" t="n"/>
      <c r="I564" s="9" t="n"/>
      <c r="J564" s="10">
        <f>IF(OR($H564="",$I564=""),"",ROUND($H564*$I564,0))</f>
        <v/>
      </c>
      <c r="K564" s="10">
        <f>IF(OR($B564="",$E564="",Calc!$B561=""),"",SUMIFS(CalcAmtA,CalcPartyA,$E564,CalcKeyA,"&lt;="&amp;Calc!$B561)-SUMIFS(CalcWitB,CalcPartyB,$E564,CalcKeyB,"&lt;="&amp;Calc!$B561)+SUMIFS(CalcDepB,CalcPartyB,$E564,CalcKeyB,"&lt;="&amp;Calc!$B561))</f>
        <v/>
      </c>
      <c r="L564" s="8" t="n"/>
    </row>
    <row r="565">
      <c r="A565" s="7">
        <f>IF($B565="","",COUNTA($B$9:$B565))</f>
        <v/>
      </c>
      <c r="B565" s="8" t="n"/>
      <c r="C565" s="8" t="n"/>
      <c r="D565" s="8" t="n"/>
      <c r="E565" s="8" t="n"/>
      <c r="F565" s="7">
        <f>IF($E565="","",IFERROR(IF(VLOOKUP($E565,AcctTbl,4,0)="","",VLOOKUP($E565,AcctTbl,4,0)),"—"))</f>
        <v/>
      </c>
      <c r="G565" s="8" t="n"/>
      <c r="H565" s="9" t="n"/>
      <c r="I565" s="9" t="n"/>
      <c r="J565" s="10">
        <f>IF(OR($H565="",$I565=""),"",ROUND($H565*$I565,0))</f>
        <v/>
      </c>
      <c r="K565" s="10">
        <f>IF(OR($B565="",$E565="",Calc!$B562=""),"",SUMIFS(CalcAmtA,CalcPartyA,$E565,CalcKeyA,"&lt;="&amp;Calc!$B562)-SUMIFS(CalcWitB,CalcPartyB,$E565,CalcKeyB,"&lt;="&amp;Calc!$B562)+SUMIFS(CalcDepB,CalcPartyB,$E565,CalcKeyB,"&lt;="&amp;Calc!$B562))</f>
        <v/>
      </c>
      <c r="L565" s="8" t="n"/>
    </row>
    <row r="566">
      <c r="A566" s="7">
        <f>IF($B566="","",COUNTA($B$9:$B566))</f>
        <v/>
      </c>
      <c r="B566" s="8" t="n"/>
      <c r="C566" s="8" t="n"/>
      <c r="D566" s="8" t="n"/>
      <c r="E566" s="8" t="n"/>
      <c r="F566" s="7">
        <f>IF($E566="","",IFERROR(IF(VLOOKUP($E566,AcctTbl,4,0)="","",VLOOKUP($E566,AcctTbl,4,0)),"—"))</f>
        <v/>
      </c>
      <c r="G566" s="8" t="n"/>
      <c r="H566" s="9" t="n"/>
      <c r="I566" s="9" t="n"/>
      <c r="J566" s="10">
        <f>IF(OR($H566="",$I566=""),"",ROUND($H566*$I566,0))</f>
        <v/>
      </c>
      <c r="K566" s="10">
        <f>IF(OR($B566="",$E566="",Calc!$B563=""),"",SUMIFS(CalcAmtA,CalcPartyA,$E566,CalcKeyA,"&lt;="&amp;Calc!$B563)-SUMIFS(CalcWitB,CalcPartyB,$E566,CalcKeyB,"&lt;="&amp;Calc!$B563)+SUMIFS(CalcDepB,CalcPartyB,$E566,CalcKeyB,"&lt;="&amp;Calc!$B563))</f>
        <v/>
      </c>
      <c r="L566" s="8" t="n"/>
    </row>
    <row r="567">
      <c r="A567" s="7">
        <f>IF($B567="","",COUNTA($B$9:$B567))</f>
        <v/>
      </c>
      <c r="B567" s="8" t="n"/>
      <c r="C567" s="8" t="n"/>
      <c r="D567" s="8" t="n"/>
      <c r="E567" s="8" t="n"/>
      <c r="F567" s="7">
        <f>IF($E567="","",IFERROR(IF(VLOOKUP($E567,AcctTbl,4,0)="","",VLOOKUP($E567,AcctTbl,4,0)),"—"))</f>
        <v/>
      </c>
      <c r="G567" s="8" t="n"/>
      <c r="H567" s="9" t="n"/>
      <c r="I567" s="9" t="n"/>
      <c r="J567" s="10">
        <f>IF(OR($H567="",$I567=""),"",ROUND($H567*$I567,0))</f>
        <v/>
      </c>
      <c r="K567" s="10">
        <f>IF(OR($B567="",$E567="",Calc!$B564=""),"",SUMIFS(CalcAmtA,CalcPartyA,$E567,CalcKeyA,"&lt;="&amp;Calc!$B564)-SUMIFS(CalcWitB,CalcPartyB,$E567,CalcKeyB,"&lt;="&amp;Calc!$B564)+SUMIFS(CalcDepB,CalcPartyB,$E567,CalcKeyB,"&lt;="&amp;Calc!$B564))</f>
        <v/>
      </c>
      <c r="L567" s="8" t="n"/>
    </row>
    <row r="568">
      <c r="A568" s="7">
        <f>IF($B568="","",COUNTA($B$9:$B568))</f>
        <v/>
      </c>
      <c r="B568" s="8" t="n"/>
      <c r="C568" s="8" t="n"/>
      <c r="D568" s="8" t="n"/>
      <c r="E568" s="8" t="n"/>
      <c r="F568" s="7">
        <f>IF($E568="","",IFERROR(IF(VLOOKUP($E568,AcctTbl,4,0)="","",VLOOKUP($E568,AcctTbl,4,0)),"—"))</f>
        <v/>
      </c>
      <c r="G568" s="8" t="n"/>
      <c r="H568" s="9" t="n"/>
      <c r="I568" s="9" t="n"/>
      <c r="J568" s="10">
        <f>IF(OR($H568="",$I568=""),"",ROUND($H568*$I568,0))</f>
        <v/>
      </c>
      <c r="K568" s="10">
        <f>IF(OR($B568="",$E568="",Calc!$B565=""),"",SUMIFS(CalcAmtA,CalcPartyA,$E568,CalcKeyA,"&lt;="&amp;Calc!$B565)-SUMIFS(CalcWitB,CalcPartyB,$E568,CalcKeyB,"&lt;="&amp;Calc!$B565)+SUMIFS(CalcDepB,CalcPartyB,$E568,CalcKeyB,"&lt;="&amp;Calc!$B565))</f>
        <v/>
      </c>
      <c r="L568" s="8" t="n"/>
    </row>
    <row r="569">
      <c r="A569" s="7">
        <f>IF($B569="","",COUNTA($B$9:$B569))</f>
        <v/>
      </c>
      <c r="B569" s="8" t="n"/>
      <c r="C569" s="8" t="n"/>
      <c r="D569" s="8" t="n"/>
      <c r="E569" s="8" t="n"/>
      <c r="F569" s="7">
        <f>IF($E569="","",IFERROR(IF(VLOOKUP($E569,AcctTbl,4,0)="","",VLOOKUP($E569,AcctTbl,4,0)),"—"))</f>
        <v/>
      </c>
      <c r="G569" s="8" t="n"/>
      <c r="H569" s="9" t="n"/>
      <c r="I569" s="9" t="n"/>
      <c r="J569" s="10">
        <f>IF(OR($H569="",$I569=""),"",ROUND($H569*$I569,0))</f>
        <v/>
      </c>
      <c r="K569" s="10">
        <f>IF(OR($B569="",$E569="",Calc!$B566=""),"",SUMIFS(CalcAmtA,CalcPartyA,$E569,CalcKeyA,"&lt;="&amp;Calc!$B566)-SUMIFS(CalcWitB,CalcPartyB,$E569,CalcKeyB,"&lt;="&amp;Calc!$B566)+SUMIFS(CalcDepB,CalcPartyB,$E569,CalcKeyB,"&lt;="&amp;Calc!$B566))</f>
        <v/>
      </c>
      <c r="L569" s="8" t="n"/>
    </row>
    <row r="570">
      <c r="A570" s="7">
        <f>IF($B570="","",COUNTA($B$9:$B570))</f>
        <v/>
      </c>
      <c r="B570" s="8" t="n"/>
      <c r="C570" s="8" t="n"/>
      <c r="D570" s="8" t="n"/>
      <c r="E570" s="8" t="n"/>
      <c r="F570" s="7">
        <f>IF($E570="","",IFERROR(IF(VLOOKUP($E570,AcctTbl,4,0)="","",VLOOKUP($E570,AcctTbl,4,0)),"—"))</f>
        <v/>
      </c>
      <c r="G570" s="8" t="n"/>
      <c r="H570" s="9" t="n"/>
      <c r="I570" s="9" t="n"/>
      <c r="J570" s="10">
        <f>IF(OR($H570="",$I570=""),"",ROUND($H570*$I570,0))</f>
        <v/>
      </c>
      <c r="K570" s="10">
        <f>IF(OR($B570="",$E570="",Calc!$B567=""),"",SUMIFS(CalcAmtA,CalcPartyA,$E570,CalcKeyA,"&lt;="&amp;Calc!$B567)-SUMIFS(CalcWitB,CalcPartyB,$E570,CalcKeyB,"&lt;="&amp;Calc!$B567)+SUMIFS(CalcDepB,CalcPartyB,$E570,CalcKeyB,"&lt;="&amp;Calc!$B567))</f>
        <v/>
      </c>
      <c r="L570" s="8" t="n"/>
    </row>
    <row r="571">
      <c r="A571" s="7">
        <f>IF($B571="","",COUNTA($B$9:$B571))</f>
        <v/>
      </c>
      <c r="B571" s="8" t="n"/>
      <c r="C571" s="8" t="n"/>
      <c r="D571" s="8" t="n"/>
      <c r="E571" s="8" t="n"/>
      <c r="F571" s="7">
        <f>IF($E571="","",IFERROR(IF(VLOOKUP($E571,AcctTbl,4,0)="","",VLOOKUP($E571,AcctTbl,4,0)),"—"))</f>
        <v/>
      </c>
      <c r="G571" s="8" t="n"/>
      <c r="H571" s="9" t="n"/>
      <c r="I571" s="9" t="n"/>
      <c r="J571" s="10">
        <f>IF(OR($H571="",$I571=""),"",ROUND($H571*$I571,0))</f>
        <v/>
      </c>
      <c r="K571" s="10">
        <f>IF(OR($B571="",$E571="",Calc!$B568=""),"",SUMIFS(CalcAmtA,CalcPartyA,$E571,CalcKeyA,"&lt;="&amp;Calc!$B568)-SUMIFS(CalcWitB,CalcPartyB,$E571,CalcKeyB,"&lt;="&amp;Calc!$B568)+SUMIFS(CalcDepB,CalcPartyB,$E571,CalcKeyB,"&lt;="&amp;Calc!$B568))</f>
        <v/>
      </c>
      <c r="L571" s="8" t="n"/>
    </row>
    <row r="572">
      <c r="A572" s="7">
        <f>IF($B572="","",COUNTA($B$9:$B572))</f>
        <v/>
      </c>
      <c r="B572" s="8" t="n"/>
      <c r="C572" s="8" t="n"/>
      <c r="D572" s="8" t="n"/>
      <c r="E572" s="8" t="n"/>
      <c r="F572" s="7">
        <f>IF($E572="","",IFERROR(IF(VLOOKUP($E572,AcctTbl,4,0)="","",VLOOKUP($E572,AcctTbl,4,0)),"—"))</f>
        <v/>
      </c>
      <c r="G572" s="8" t="n"/>
      <c r="H572" s="9" t="n"/>
      <c r="I572" s="9" t="n"/>
      <c r="J572" s="10">
        <f>IF(OR($H572="",$I572=""),"",ROUND($H572*$I572,0))</f>
        <v/>
      </c>
      <c r="K572" s="10">
        <f>IF(OR($B572="",$E572="",Calc!$B569=""),"",SUMIFS(CalcAmtA,CalcPartyA,$E572,CalcKeyA,"&lt;="&amp;Calc!$B569)-SUMIFS(CalcWitB,CalcPartyB,$E572,CalcKeyB,"&lt;="&amp;Calc!$B569)+SUMIFS(CalcDepB,CalcPartyB,$E572,CalcKeyB,"&lt;="&amp;Calc!$B569))</f>
        <v/>
      </c>
      <c r="L572" s="8" t="n"/>
    </row>
    <row r="573">
      <c r="A573" s="7">
        <f>IF($B573="","",COUNTA($B$9:$B573))</f>
        <v/>
      </c>
      <c r="B573" s="8" t="n"/>
      <c r="C573" s="8" t="n"/>
      <c r="D573" s="8" t="n"/>
      <c r="E573" s="8" t="n"/>
      <c r="F573" s="7">
        <f>IF($E573="","",IFERROR(IF(VLOOKUP($E573,AcctTbl,4,0)="","",VLOOKUP($E573,AcctTbl,4,0)),"—"))</f>
        <v/>
      </c>
      <c r="G573" s="8" t="n"/>
      <c r="H573" s="9" t="n"/>
      <c r="I573" s="9" t="n"/>
      <c r="J573" s="10">
        <f>IF(OR($H573="",$I573=""),"",ROUND($H573*$I573,0))</f>
        <v/>
      </c>
      <c r="K573" s="10">
        <f>IF(OR($B573="",$E573="",Calc!$B570=""),"",SUMIFS(CalcAmtA,CalcPartyA,$E573,CalcKeyA,"&lt;="&amp;Calc!$B570)-SUMIFS(CalcWitB,CalcPartyB,$E573,CalcKeyB,"&lt;="&amp;Calc!$B570)+SUMIFS(CalcDepB,CalcPartyB,$E573,CalcKeyB,"&lt;="&amp;Calc!$B570))</f>
        <v/>
      </c>
      <c r="L573" s="8" t="n"/>
    </row>
    <row r="574">
      <c r="A574" s="7">
        <f>IF($B574="","",COUNTA($B$9:$B574))</f>
        <v/>
      </c>
      <c r="B574" s="8" t="n"/>
      <c r="C574" s="8" t="n"/>
      <c r="D574" s="8" t="n"/>
      <c r="E574" s="8" t="n"/>
      <c r="F574" s="7">
        <f>IF($E574="","",IFERROR(IF(VLOOKUP($E574,AcctTbl,4,0)="","",VLOOKUP($E574,AcctTbl,4,0)),"—"))</f>
        <v/>
      </c>
      <c r="G574" s="8" t="n"/>
      <c r="H574" s="9" t="n"/>
      <c r="I574" s="9" t="n"/>
      <c r="J574" s="10">
        <f>IF(OR($H574="",$I574=""),"",ROUND($H574*$I574,0))</f>
        <v/>
      </c>
      <c r="K574" s="10">
        <f>IF(OR($B574="",$E574="",Calc!$B571=""),"",SUMIFS(CalcAmtA,CalcPartyA,$E574,CalcKeyA,"&lt;="&amp;Calc!$B571)-SUMIFS(CalcWitB,CalcPartyB,$E574,CalcKeyB,"&lt;="&amp;Calc!$B571)+SUMIFS(CalcDepB,CalcPartyB,$E574,CalcKeyB,"&lt;="&amp;Calc!$B571))</f>
        <v/>
      </c>
      <c r="L574" s="8" t="n"/>
    </row>
    <row r="575">
      <c r="A575" s="7">
        <f>IF($B575="","",COUNTA($B$9:$B575))</f>
        <v/>
      </c>
      <c r="B575" s="8" t="n"/>
      <c r="C575" s="8" t="n"/>
      <c r="D575" s="8" t="n"/>
      <c r="E575" s="8" t="n"/>
      <c r="F575" s="7">
        <f>IF($E575="","",IFERROR(IF(VLOOKUP($E575,AcctTbl,4,0)="","",VLOOKUP($E575,AcctTbl,4,0)),"—"))</f>
        <v/>
      </c>
      <c r="G575" s="8" t="n"/>
      <c r="H575" s="9" t="n"/>
      <c r="I575" s="9" t="n"/>
      <c r="J575" s="10">
        <f>IF(OR($H575="",$I575=""),"",ROUND($H575*$I575,0))</f>
        <v/>
      </c>
      <c r="K575" s="10">
        <f>IF(OR($B575="",$E575="",Calc!$B572=""),"",SUMIFS(CalcAmtA,CalcPartyA,$E575,CalcKeyA,"&lt;="&amp;Calc!$B572)-SUMIFS(CalcWitB,CalcPartyB,$E575,CalcKeyB,"&lt;="&amp;Calc!$B572)+SUMIFS(CalcDepB,CalcPartyB,$E575,CalcKeyB,"&lt;="&amp;Calc!$B572))</f>
        <v/>
      </c>
      <c r="L575" s="8" t="n"/>
    </row>
    <row r="576">
      <c r="A576" s="7">
        <f>IF($B576="","",COUNTA($B$9:$B576))</f>
        <v/>
      </c>
      <c r="B576" s="8" t="n"/>
      <c r="C576" s="8" t="n"/>
      <c r="D576" s="8" t="n"/>
      <c r="E576" s="8" t="n"/>
      <c r="F576" s="7">
        <f>IF($E576="","",IFERROR(IF(VLOOKUP($E576,AcctTbl,4,0)="","",VLOOKUP($E576,AcctTbl,4,0)),"—"))</f>
        <v/>
      </c>
      <c r="G576" s="8" t="n"/>
      <c r="H576" s="9" t="n"/>
      <c r="I576" s="9" t="n"/>
      <c r="J576" s="10">
        <f>IF(OR($H576="",$I576=""),"",ROUND($H576*$I576,0))</f>
        <v/>
      </c>
      <c r="K576" s="10">
        <f>IF(OR($B576="",$E576="",Calc!$B573=""),"",SUMIFS(CalcAmtA,CalcPartyA,$E576,CalcKeyA,"&lt;="&amp;Calc!$B573)-SUMIFS(CalcWitB,CalcPartyB,$E576,CalcKeyB,"&lt;="&amp;Calc!$B573)+SUMIFS(CalcDepB,CalcPartyB,$E576,CalcKeyB,"&lt;="&amp;Calc!$B573))</f>
        <v/>
      </c>
      <c r="L576" s="8" t="n"/>
    </row>
    <row r="577">
      <c r="A577" s="7">
        <f>IF($B577="","",COUNTA($B$9:$B577))</f>
        <v/>
      </c>
      <c r="B577" s="8" t="n"/>
      <c r="C577" s="8" t="n"/>
      <c r="D577" s="8" t="n"/>
      <c r="E577" s="8" t="n"/>
      <c r="F577" s="7">
        <f>IF($E577="","",IFERROR(IF(VLOOKUP($E577,AcctTbl,4,0)="","",VLOOKUP($E577,AcctTbl,4,0)),"—"))</f>
        <v/>
      </c>
      <c r="G577" s="8" t="n"/>
      <c r="H577" s="9" t="n"/>
      <c r="I577" s="9" t="n"/>
      <c r="J577" s="10">
        <f>IF(OR($H577="",$I577=""),"",ROUND($H577*$I577,0))</f>
        <v/>
      </c>
      <c r="K577" s="10">
        <f>IF(OR($B577="",$E577="",Calc!$B574=""),"",SUMIFS(CalcAmtA,CalcPartyA,$E577,CalcKeyA,"&lt;="&amp;Calc!$B574)-SUMIFS(CalcWitB,CalcPartyB,$E577,CalcKeyB,"&lt;="&amp;Calc!$B574)+SUMIFS(CalcDepB,CalcPartyB,$E577,CalcKeyB,"&lt;="&amp;Calc!$B574))</f>
        <v/>
      </c>
      <c r="L577" s="8" t="n"/>
    </row>
    <row r="578">
      <c r="A578" s="7">
        <f>IF($B578="","",COUNTA($B$9:$B578))</f>
        <v/>
      </c>
      <c r="B578" s="8" t="n"/>
      <c r="C578" s="8" t="n"/>
      <c r="D578" s="8" t="n"/>
      <c r="E578" s="8" t="n"/>
      <c r="F578" s="7">
        <f>IF($E578="","",IFERROR(IF(VLOOKUP($E578,AcctTbl,4,0)="","",VLOOKUP($E578,AcctTbl,4,0)),"—"))</f>
        <v/>
      </c>
      <c r="G578" s="8" t="n"/>
      <c r="H578" s="9" t="n"/>
      <c r="I578" s="9" t="n"/>
      <c r="J578" s="10">
        <f>IF(OR($H578="",$I578=""),"",ROUND($H578*$I578,0))</f>
        <v/>
      </c>
      <c r="K578" s="10">
        <f>IF(OR($B578="",$E578="",Calc!$B575=""),"",SUMIFS(CalcAmtA,CalcPartyA,$E578,CalcKeyA,"&lt;="&amp;Calc!$B575)-SUMIFS(CalcWitB,CalcPartyB,$E578,CalcKeyB,"&lt;="&amp;Calc!$B575)+SUMIFS(CalcDepB,CalcPartyB,$E578,CalcKeyB,"&lt;="&amp;Calc!$B575))</f>
        <v/>
      </c>
      <c r="L578" s="8" t="n"/>
    </row>
    <row r="579">
      <c r="A579" s="7">
        <f>IF($B579="","",COUNTA($B$9:$B579))</f>
        <v/>
      </c>
      <c r="B579" s="8" t="n"/>
      <c r="C579" s="8" t="n"/>
      <c r="D579" s="8" t="n"/>
      <c r="E579" s="8" t="n"/>
      <c r="F579" s="7">
        <f>IF($E579="","",IFERROR(IF(VLOOKUP($E579,AcctTbl,4,0)="","",VLOOKUP($E579,AcctTbl,4,0)),"—"))</f>
        <v/>
      </c>
      <c r="G579" s="8" t="n"/>
      <c r="H579" s="9" t="n"/>
      <c r="I579" s="9" t="n"/>
      <c r="J579" s="10">
        <f>IF(OR($H579="",$I579=""),"",ROUND($H579*$I579,0))</f>
        <v/>
      </c>
      <c r="K579" s="10">
        <f>IF(OR($B579="",$E579="",Calc!$B576=""),"",SUMIFS(CalcAmtA,CalcPartyA,$E579,CalcKeyA,"&lt;="&amp;Calc!$B576)-SUMIFS(CalcWitB,CalcPartyB,$E579,CalcKeyB,"&lt;="&amp;Calc!$B576)+SUMIFS(CalcDepB,CalcPartyB,$E579,CalcKeyB,"&lt;="&amp;Calc!$B576))</f>
        <v/>
      </c>
      <c r="L579" s="8" t="n"/>
    </row>
    <row r="580">
      <c r="A580" s="7">
        <f>IF($B580="","",COUNTA($B$9:$B580))</f>
        <v/>
      </c>
      <c r="B580" s="8" t="n"/>
      <c r="C580" s="8" t="n"/>
      <c r="D580" s="8" t="n"/>
      <c r="E580" s="8" t="n"/>
      <c r="F580" s="7">
        <f>IF($E580="","",IFERROR(IF(VLOOKUP($E580,AcctTbl,4,0)="","",VLOOKUP($E580,AcctTbl,4,0)),"—"))</f>
        <v/>
      </c>
      <c r="G580" s="8" t="n"/>
      <c r="H580" s="9" t="n"/>
      <c r="I580" s="9" t="n"/>
      <c r="J580" s="10">
        <f>IF(OR($H580="",$I580=""),"",ROUND($H580*$I580,0))</f>
        <v/>
      </c>
      <c r="K580" s="10">
        <f>IF(OR($B580="",$E580="",Calc!$B577=""),"",SUMIFS(CalcAmtA,CalcPartyA,$E580,CalcKeyA,"&lt;="&amp;Calc!$B577)-SUMIFS(CalcWitB,CalcPartyB,$E580,CalcKeyB,"&lt;="&amp;Calc!$B577)+SUMIFS(CalcDepB,CalcPartyB,$E580,CalcKeyB,"&lt;="&amp;Calc!$B577))</f>
        <v/>
      </c>
      <c r="L580" s="8" t="n"/>
    </row>
    <row r="581">
      <c r="A581" s="7">
        <f>IF($B581="","",COUNTA($B$9:$B581))</f>
        <v/>
      </c>
      <c r="B581" s="8" t="n"/>
      <c r="C581" s="8" t="n"/>
      <c r="D581" s="8" t="n"/>
      <c r="E581" s="8" t="n"/>
      <c r="F581" s="7">
        <f>IF($E581="","",IFERROR(IF(VLOOKUP($E581,AcctTbl,4,0)="","",VLOOKUP($E581,AcctTbl,4,0)),"—"))</f>
        <v/>
      </c>
      <c r="G581" s="8" t="n"/>
      <c r="H581" s="9" t="n"/>
      <c r="I581" s="9" t="n"/>
      <c r="J581" s="10">
        <f>IF(OR($H581="",$I581=""),"",ROUND($H581*$I581,0))</f>
        <v/>
      </c>
      <c r="K581" s="10">
        <f>IF(OR($B581="",$E581="",Calc!$B578=""),"",SUMIFS(CalcAmtA,CalcPartyA,$E581,CalcKeyA,"&lt;="&amp;Calc!$B578)-SUMIFS(CalcWitB,CalcPartyB,$E581,CalcKeyB,"&lt;="&amp;Calc!$B578)+SUMIFS(CalcDepB,CalcPartyB,$E581,CalcKeyB,"&lt;="&amp;Calc!$B578))</f>
        <v/>
      </c>
      <c r="L581" s="8" t="n"/>
    </row>
    <row r="582">
      <c r="A582" s="7">
        <f>IF($B582="","",COUNTA($B$9:$B582))</f>
        <v/>
      </c>
      <c r="B582" s="8" t="n"/>
      <c r="C582" s="8" t="n"/>
      <c r="D582" s="8" t="n"/>
      <c r="E582" s="8" t="n"/>
      <c r="F582" s="7">
        <f>IF($E582="","",IFERROR(IF(VLOOKUP($E582,AcctTbl,4,0)="","",VLOOKUP($E582,AcctTbl,4,0)),"—"))</f>
        <v/>
      </c>
      <c r="G582" s="8" t="n"/>
      <c r="H582" s="9" t="n"/>
      <c r="I582" s="9" t="n"/>
      <c r="J582" s="10">
        <f>IF(OR($H582="",$I582=""),"",ROUND($H582*$I582,0))</f>
        <v/>
      </c>
      <c r="K582" s="10">
        <f>IF(OR($B582="",$E582="",Calc!$B579=""),"",SUMIFS(CalcAmtA,CalcPartyA,$E582,CalcKeyA,"&lt;="&amp;Calc!$B579)-SUMIFS(CalcWitB,CalcPartyB,$E582,CalcKeyB,"&lt;="&amp;Calc!$B579)+SUMIFS(CalcDepB,CalcPartyB,$E582,CalcKeyB,"&lt;="&amp;Calc!$B579))</f>
        <v/>
      </c>
      <c r="L582" s="8" t="n"/>
    </row>
    <row r="583">
      <c r="A583" s="7">
        <f>IF($B583="","",COUNTA($B$9:$B583))</f>
        <v/>
      </c>
      <c r="B583" s="8" t="n"/>
      <c r="C583" s="8" t="n"/>
      <c r="D583" s="8" t="n"/>
      <c r="E583" s="8" t="n"/>
      <c r="F583" s="7">
        <f>IF($E583="","",IFERROR(IF(VLOOKUP($E583,AcctTbl,4,0)="","",VLOOKUP($E583,AcctTbl,4,0)),"—"))</f>
        <v/>
      </c>
      <c r="G583" s="8" t="n"/>
      <c r="H583" s="9" t="n"/>
      <c r="I583" s="9" t="n"/>
      <c r="J583" s="10">
        <f>IF(OR($H583="",$I583=""),"",ROUND($H583*$I583,0))</f>
        <v/>
      </c>
      <c r="K583" s="10">
        <f>IF(OR($B583="",$E583="",Calc!$B580=""),"",SUMIFS(CalcAmtA,CalcPartyA,$E583,CalcKeyA,"&lt;="&amp;Calc!$B580)-SUMIFS(CalcWitB,CalcPartyB,$E583,CalcKeyB,"&lt;="&amp;Calc!$B580)+SUMIFS(CalcDepB,CalcPartyB,$E583,CalcKeyB,"&lt;="&amp;Calc!$B580))</f>
        <v/>
      </c>
      <c r="L583" s="8" t="n"/>
    </row>
    <row r="584">
      <c r="A584" s="7">
        <f>IF($B584="","",COUNTA($B$9:$B584))</f>
        <v/>
      </c>
      <c r="B584" s="8" t="n"/>
      <c r="C584" s="8" t="n"/>
      <c r="D584" s="8" t="n"/>
      <c r="E584" s="8" t="n"/>
      <c r="F584" s="7">
        <f>IF($E584="","",IFERROR(IF(VLOOKUP($E584,AcctTbl,4,0)="","",VLOOKUP($E584,AcctTbl,4,0)),"—"))</f>
        <v/>
      </c>
      <c r="G584" s="8" t="n"/>
      <c r="H584" s="9" t="n"/>
      <c r="I584" s="9" t="n"/>
      <c r="J584" s="10">
        <f>IF(OR($H584="",$I584=""),"",ROUND($H584*$I584,0))</f>
        <v/>
      </c>
      <c r="K584" s="10">
        <f>IF(OR($B584="",$E584="",Calc!$B581=""),"",SUMIFS(CalcAmtA,CalcPartyA,$E584,CalcKeyA,"&lt;="&amp;Calc!$B581)-SUMIFS(CalcWitB,CalcPartyB,$E584,CalcKeyB,"&lt;="&amp;Calc!$B581)+SUMIFS(CalcDepB,CalcPartyB,$E584,CalcKeyB,"&lt;="&amp;Calc!$B581))</f>
        <v/>
      </c>
      <c r="L584" s="8" t="n"/>
    </row>
    <row r="585">
      <c r="A585" s="7">
        <f>IF($B585="","",COUNTA($B$9:$B585))</f>
        <v/>
      </c>
      <c r="B585" s="8" t="n"/>
      <c r="C585" s="8" t="n"/>
      <c r="D585" s="8" t="n"/>
      <c r="E585" s="8" t="n"/>
      <c r="F585" s="7">
        <f>IF($E585="","",IFERROR(IF(VLOOKUP($E585,AcctTbl,4,0)="","",VLOOKUP($E585,AcctTbl,4,0)),"—"))</f>
        <v/>
      </c>
      <c r="G585" s="8" t="n"/>
      <c r="H585" s="9" t="n"/>
      <c r="I585" s="9" t="n"/>
      <c r="J585" s="10">
        <f>IF(OR($H585="",$I585=""),"",ROUND($H585*$I585,0))</f>
        <v/>
      </c>
      <c r="K585" s="10">
        <f>IF(OR($B585="",$E585="",Calc!$B582=""),"",SUMIFS(CalcAmtA,CalcPartyA,$E585,CalcKeyA,"&lt;="&amp;Calc!$B582)-SUMIFS(CalcWitB,CalcPartyB,$E585,CalcKeyB,"&lt;="&amp;Calc!$B582)+SUMIFS(CalcDepB,CalcPartyB,$E585,CalcKeyB,"&lt;="&amp;Calc!$B582))</f>
        <v/>
      </c>
      <c r="L585" s="8" t="n"/>
    </row>
    <row r="586">
      <c r="A586" s="7">
        <f>IF($B586="","",COUNTA($B$9:$B586))</f>
        <v/>
      </c>
      <c r="B586" s="8" t="n"/>
      <c r="C586" s="8" t="n"/>
      <c r="D586" s="8" t="n"/>
      <c r="E586" s="8" t="n"/>
      <c r="F586" s="7">
        <f>IF($E586="","",IFERROR(IF(VLOOKUP($E586,AcctTbl,4,0)="","",VLOOKUP($E586,AcctTbl,4,0)),"—"))</f>
        <v/>
      </c>
      <c r="G586" s="8" t="n"/>
      <c r="H586" s="9" t="n"/>
      <c r="I586" s="9" t="n"/>
      <c r="J586" s="10">
        <f>IF(OR($H586="",$I586=""),"",ROUND($H586*$I586,0))</f>
        <v/>
      </c>
      <c r="K586" s="10">
        <f>IF(OR($B586="",$E586="",Calc!$B583=""),"",SUMIFS(CalcAmtA,CalcPartyA,$E586,CalcKeyA,"&lt;="&amp;Calc!$B583)-SUMIFS(CalcWitB,CalcPartyB,$E586,CalcKeyB,"&lt;="&amp;Calc!$B583)+SUMIFS(CalcDepB,CalcPartyB,$E586,CalcKeyB,"&lt;="&amp;Calc!$B583))</f>
        <v/>
      </c>
      <c r="L586" s="8" t="n"/>
    </row>
    <row r="587">
      <c r="A587" s="7">
        <f>IF($B587="","",COUNTA($B$9:$B587))</f>
        <v/>
      </c>
      <c r="B587" s="8" t="n"/>
      <c r="C587" s="8" t="n"/>
      <c r="D587" s="8" t="n"/>
      <c r="E587" s="8" t="n"/>
      <c r="F587" s="7">
        <f>IF($E587="","",IFERROR(IF(VLOOKUP($E587,AcctTbl,4,0)="","",VLOOKUP($E587,AcctTbl,4,0)),"—"))</f>
        <v/>
      </c>
      <c r="G587" s="8" t="n"/>
      <c r="H587" s="9" t="n"/>
      <c r="I587" s="9" t="n"/>
      <c r="J587" s="10">
        <f>IF(OR($H587="",$I587=""),"",ROUND($H587*$I587,0))</f>
        <v/>
      </c>
      <c r="K587" s="10">
        <f>IF(OR($B587="",$E587="",Calc!$B584=""),"",SUMIFS(CalcAmtA,CalcPartyA,$E587,CalcKeyA,"&lt;="&amp;Calc!$B584)-SUMIFS(CalcWitB,CalcPartyB,$E587,CalcKeyB,"&lt;="&amp;Calc!$B584)+SUMIFS(CalcDepB,CalcPartyB,$E587,CalcKeyB,"&lt;="&amp;Calc!$B584))</f>
        <v/>
      </c>
      <c r="L587" s="8" t="n"/>
    </row>
    <row r="588">
      <c r="A588" s="7">
        <f>IF($B588="","",COUNTA($B$9:$B588))</f>
        <v/>
      </c>
      <c r="B588" s="8" t="n"/>
      <c r="C588" s="8" t="n"/>
      <c r="D588" s="8" t="n"/>
      <c r="E588" s="8" t="n"/>
      <c r="F588" s="7">
        <f>IF($E588="","",IFERROR(IF(VLOOKUP($E588,AcctTbl,4,0)="","",VLOOKUP($E588,AcctTbl,4,0)),"—"))</f>
        <v/>
      </c>
      <c r="G588" s="8" t="n"/>
      <c r="H588" s="9" t="n"/>
      <c r="I588" s="9" t="n"/>
      <c r="J588" s="10">
        <f>IF(OR($H588="",$I588=""),"",ROUND($H588*$I588,0))</f>
        <v/>
      </c>
      <c r="K588" s="10">
        <f>IF(OR($B588="",$E588="",Calc!$B585=""),"",SUMIFS(CalcAmtA,CalcPartyA,$E588,CalcKeyA,"&lt;="&amp;Calc!$B585)-SUMIFS(CalcWitB,CalcPartyB,$E588,CalcKeyB,"&lt;="&amp;Calc!$B585)+SUMIFS(CalcDepB,CalcPartyB,$E588,CalcKeyB,"&lt;="&amp;Calc!$B585))</f>
        <v/>
      </c>
      <c r="L588" s="8" t="n"/>
    </row>
    <row r="589">
      <c r="A589" s="7">
        <f>IF($B589="","",COUNTA($B$9:$B589))</f>
        <v/>
      </c>
      <c r="B589" s="8" t="n"/>
      <c r="C589" s="8" t="n"/>
      <c r="D589" s="8" t="n"/>
      <c r="E589" s="8" t="n"/>
      <c r="F589" s="7">
        <f>IF($E589="","",IFERROR(IF(VLOOKUP($E589,AcctTbl,4,0)="","",VLOOKUP($E589,AcctTbl,4,0)),"—"))</f>
        <v/>
      </c>
      <c r="G589" s="8" t="n"/>
      <c r="H589" s="9" t="n"/>
      <c r="I589" s="9" t="n"/>
      <c r="J589" s="10">
        <f>IF(OR($H589="",$I589=""),"",ROUND($H589*$I589,0))</f>
        <v/>
      </c>
      <c r="K589" s="10">
        <f>IF(OR($B589="",$E589="",Calc!$B586=""),"",SUMIFS(CalcAmtA,CalcPartyA,$E589,CalcKeyA,"&lt;="&amp;Calc!$B586)-SUMIFS(CalcWitB,CalcPartyB,$E589,CalcKeyB,"&lt;="&amp;Calc!$B586)+SUMIFS(CalcDepB,CalcPartyB,$E589,CalcKeyB,"&lt;="&amp;Calc!$B586))</f>
        <v/>
      </c>
      <c r="L589" s="8" t="n"/>
    </row>
    <row r="590">
      <c r="A590" s="7">
        <f>IF($B590="","",COUNTA($B$9:$B590))</f>
        <v/>
      </c>
      <c r="B590" s="8" t="n"/>
      <c r="C590" s="8" t="n"/>
      <c r="D590" s="8" t="n"/>
      <c r="E590" s="8" t="n"/>
      <c r="F590" s="7">
        <f>IF($E590="","",IFERROR(IF(VLOOKUP($E590,AcctTbl,4,0)="","",VLOOKUP($E590,AcctTbl,4,0)),"—"))</f>
        <v/>
      </c>
      <c r="G590" s="8" t="n"/>
      <c r="H590" s="9" t="n"/>
      <c r="I590" s="9" t="n"/>
      <c r="J590" s="10">
        <f>IF(OR($H590="",$I590=""),"",ROUND($H590*$I590,0))</f>
        <v/>
      </c>
      <c r="K590" s="10">
        <f>IF(OR($B590="",$E590="",Calc!$B587=""),"",SUMIFS(CalcAmtA,CalcPartyA,$E590,CalcKeyA,"&lt;="&amp;Calc!$B587)-SUMIFS(CalcWitB,CalcPartyB,$E590,CalcKeyB,"&lt;="&amp;Calc!$B587)+SUMIFS(CalcDepB,CalcPartyB,$E590,CalcKeyB,"&lt;="&amp;Calc!$B587))</f>
        <v/>
      </c>
      <c r="L590" s="8" t="n"/>
    </row>
    <row r="591">
      <c r="A591" s="7">
        <f>IF($B591="","",COUNTA($B$9:$B591))</f>
        <v/>
      </c>
      <c r="B591" s="8" t="n"/>
      <c r="C591" s="8" t="n"/>
      <c r="D591" s="8" t="n"/>
      <c r="E591" s="8" t="n"/>
      <c r="F591" s="7">
        <f>IF($E591="","",IFERROR(IF(VLOOKUP($E591,AcctTbl,4,0)="","",VLOOKUP($E591,AcctTbl,4,0)),"—"))</f>
        <v/>
      </c>
      <c r="G591" s="8" t="n"/>
      <c r="H591" s="9" t="n"/>
      <c r="I591" s="9" t="n"/>
      <c r="J591" s="10">
        <f>IF(OR($H591="",$I591=""),"",ROUND($H591*$I591,0))</f>
        <v/>
      </c>
      <c r="K591" s="10">
        <f>IF(OR($B591="",$E591="",Calc!$B588=""),"",SUMIFS(CalcAmtA,CalcPartyA,$E591,CalcKeyA,"&lt;="&amp;Calc!$B588)-SUMIFS(CalcWitB,CalcPartyB,$E591,CalcKeyB,"&lt;="&amp;Calc!$B588)+SUMIFS(CalcDepB,CalcPartyB,$E591,CalcKeyB,"&lt;="&amp;Calc!$B588))</f>
        <v/>
      </c>
      <c r="L591" s="8" t="n"/>
    </row>
    <row r="592">
      <c r="A592" s="7">
        <f>IF($B592="","",COUNTA($B$9:$B592))</f>
        <v/>
      </c>
      <c r="B592" s="8" t="n"/>
      <c r="C592" s="8" t="n"/>
      <c r="D592" s="8" t="n"/>
      <c r="E592" s="8" t="n"/>
      <c r="F592" s="7">
        <f>IF($E592="","",IFERROR(IF(VLOOKUP($E592,AcctTbl,4,0)="","",VLOOKUP($E592,AcctTbl,4,0)),"—"))</f>
        <v/>
      </c>
      <c r="G592" s="8" t="n"/>
      <c r="H592" s="9" t="n"/>
      <c r="I592" s="9" t="n"/>
      <c r="J592" s="10">
        <f>IF(OR($H592="",$I592=""),"",ROUND($H592*$I592,0))</f>
        <v/>
      </c>
      <c r="K592" s="10">
        <f>IF(OR($B592="",$E592="",Calc!$B589=""),"",SUMIFS(CalcAmtA,CalcPartyA,$E592,CalcKeyA,"&lt;="&amp;Calc!$B589)-SUMIFS(CalcWitB,CalcPartyB,$E592,CalcKeyB,"&lt;="&amp;Calc!$B589)+SUMIFS(CalcDepB,CalcPartyB,$E592,CalcKeyB,"&lt;="&amp;Calc!$B589))</f>
        <v/>
      </c>
      <c r="L592" s="8" t="n"/>
    </row>
    <row r="593">
      <c r="A593" s="7">
        <f>IF($B593="","",COUNTA($B$9:$B593))</f>
        <v/>
      </c>
      <c r="B593" s="8" t="n"/>
      <c r="C593" s="8" t="n"/>
      <c r="D593" s="8" t="n"/>
      <c r="E593" s="8" t="n"/>
      <c r="F593" s="7">
        <f>IF($E593="","",IFERROR(IF(VLOOKUP($E593,AcctTbl,4,0)="","",VLOOKUP($E593,AcctTbl,4,0)),"—"))</f>
        <v/>
      </c>
      <c r="G593" s="8" t="n"/>
      <c r="H593" s="9" t="n"/>
      <c r="I593" s="9" t="n"/>
      <c r="J593" s="10">
        <f>IF(OR($H593="",$I593=""),"",ROUND($H593*$I593,0))</f>
        <v/>
      </c>
      <c r="K593" s="10">
        <f>IF(OR($B593="",$E593="",Calc!$B590=""),"",SUMIFS(CalcAmtA,CalcPartyA,$E593,CalcKeyA,"&lt;="&amp;Calc!$B590)-SUMIFS(CalcWitB,CalcPartyB,$E593,CalcKeyB,"&lt;="&amp;Calc!$B590)+SUMIFS(CalcDepB,CalcPartyB,$E593,CalcKeyB,"&lt;="&amp;Calc!$B590))</f>
        <v/>
      </c>
      <c r="L593" s="8" t="n"/>
    </row>
    <row r="594">
      <c r="A594" s="7">
        <f>IF($B594="","",COUNTA($B$9:$B594))</f>
        <v/>
      </c>
      <c r="B594" s="8" t="n"/>
      <c r="C594" s="8" t="n"/>
      <c r="D594" s="8" t="n"/>
      <c r="E594" s="8" t="n"/>
      <c r="F594" s="7">
        <f>IF($E594="","",IFERROR(IF(VLOOKUP($E594,AcctTbl,4,0)="","",VLOOKUP($E594,AcctTbl,4,0)),"—"))</f>
        <v/>
      </c>
      <c r="G594" s="8" t="n"/>
      <c r="H594" s="9" t="n"/>
      <c r="I594" s="9" t="n"/>
      <c r="J594" s="10">
        <f>IF(OR($H594="",$I594=""),"",ROUND($H594*$I594,0))</f>
        <v/>
      </c>
      <c r="K594" s="10">
        <f>IF(OR($B594="",$E594="",Calc!$B591=""),"",SUMIFS(CalcAmtA,CalcPartyA,$E594,CalcKeyA,"&lt;="&amp;Calc!$B591)-SUMIFS(CalcWitB,CalcPartyB,$E594,CalcKeyB,"&lt;="&amp;Calc!$B591)+SUMIFS(CalcDepB,CalcPartyB,$E594,CalcKeyB,"&lt;="&amp;Calc!$B591))</f>
        <v/>
      </c>
      <c r="L594" s="8" t="n"/>
    </row>
    <row r="595">
      <c r="A595" s="7">
        <f>IF($B595="","",COUNTA($B$9:$B595))</f>
        <v/>
      </c>
      <c r="B595" s="8" t="n"/>
      <c r="C595" s="8" t="n"/>
      <c r="D595" s="8" t="n"/>
      <c r="E595" s="8" t="n"/>
      <c r="F595" s="7">
        <f>IF($E595="","",IFERROR(IF(VLOOKUP($E595,AcctTbl,4,0)="","",VLOOKUP($E595,AcctTbl,4,0)),"—"))</f>
        <v/>
      </c>
      <c r="G595" s="8" t="n"/>
      <c r="H595" s="9" t="n"/>
      <c r="I595" s="9" t="n"/>
      <c r="J595" s="10">
        <f>IF(OR($H595="",$I595=""),"",ROUND($H595*$I595,0))</f>
        <v/>
      </c>
      <c r="K595" s="10">
        <f>IF(OR($B595="",$E595="",Calc!$B592=""),"",SUMIFS(CalcAmtA,CalcPartyA,$E595,CalcKeyA,"&lt;="&amp;Calc!$B592)-SUMIFS(CalcWitB,CalcPartyB,$E595,CalcKeyB,"&lt;="&amp;Calc!$B592)+SUMIFS(CalcDepB,CalcPartyB,$E595,CalcKeyB,"&lt;="&amp;Calc!$B592))</f>
        <v/>
      </c>
      <c r="L595" s="8" t="n"/>
    </row>
    <row r="596">
      <c r="A596" s="7">
        <f>IF($B596="","",COUNTA($B$9:$B596))</f>
        <v/>
      </c>
      <c r="B596" s="8" t="n"/>
      <c r="C596" s="8" t="n"/>
      <c r="D596" s="8" t="n"/>
      <c r="E596" s="8" t="n"/>
      <c r="F596" s="7">
        <f>IF($E596="","",IFERROR(IF(VLOOKUP($E596,AcctTbl,4,0)="","",VLOOKUP($E596,AcctTbl,4,0)),"—"))</f>
        <v/>
      </c>
      <c r="G596" s="8" t="n"/>
      <c r="H596" s="9" t="n"/>
      <c r="I596" s="9" t="n"/>
      <c r="J596" s="10">
        <f>IF(OR($H596="",$I596=""),"",ROUND($H596*$I596,0))</f>
        <v/>
      </c>
      <c r="K596" s="10">
        <f>IF(OR($B596="",$E596="",Calc!$B593=""),"",SUMIFS(CalcAmtA,CalcPartyA,$E596,CalcKeyA,"&lt;="&amp;Calc!$B593)-SUMIFS(CalcWitB,CalcPartyB,$E596,CalcKeyB,"&lt;="&amp;Calc!$B593)+SUMIFS(CalcDepB,CalcPartyB,$E596,CalcKeyB,"&lt;="&amp;Calc!$B593))</f>
        <v/>
      </c>
      <c r="L596" s="8" t="n"/>
    </row>
    <row r="597">
      <c r="A597" s="7">
        <f>IF($B597="","",COUNTA($B$9:$B597))</f>
        <v/>
      </c>
      <c r="B597" s="8" t="n"/>
      <c r="C597" s="8" t="n"/>
      <c r="D597" s="8" t="n"/>
      <c r="E597" s="8" t="n"/>
      <c r="F597" s="7">
        <f>IF($E597="","",IFERROR(IF(VLOOKUP($E597,AcctTbl,4,0)="","",VLOOKUP($E597,AcctTbl,4,0)),"—"))</f>
        <v/>
      </c>
      <c r="G597" s="8" t="n"/>
      <c r="H597" s="9" t="n"/>
      <c r="I597" s="9" t="n"/>
      <c r="J597" s="10">
        <f>IF(OR($H597="",$I597=""),"",ROUND($H597*$I597,0))</f>
        <v/>
      </c>
      <c r="K597" s="10">
        <f>IF(OR($B597="",$E597="",Calc!$B594=""),"",SUMIFS(CalcAmtA,CalcPartyA,$E597,CalcKeyA,"&lt;="&amp;Calc!$B594)-SUMIFS(CalcWitB,CalcPartyB,$E597,CalcKeyB,"&lt;="&amp;Calc!$B594)+SUMIFS(CalcDepB,CalcPartyB,$E597,CalcKeyB,"&lt;="&amp;Calc!$B594))</f>
        <v/>
      </c>
      <c r="L597" s="8" t="n"/>
    </row>
    <row r="598">
      <c r="A598" s="7">
        <f>IF($B598="","",COUNTA($B$9:$B598))</f>
        <v/>
      </c>
      <c r="B598" s="8" t="n"/>
      <c r="C598" s="8" t="n"/>
      <c r="D598" s="8" t="n"/>
      <c r="E598" s="8" t="n"/>
      <c r="F598" s="7">
        <f>IF($E598="","",IFERROR(IF(VLOOKUP($E598,AcctTbl,4,0)="","",VLOOKUP($E598,AcctTbl,4,0)),"—"))</f>
        <v/>
      </c>
      <c r="G598" s="8" t="n"/>
      <c r="H598" s="9" t="n"/>
      <c r="I598" s="9" t="n"/>
      <c r="J598" s="10">
        <f>IF(OR($H598="",$I598=""),"",ROUND($H598*$I598,0))</f>
        <v/>
      </c>
      <c r="K598" s="10">
        <f>IF(OR($B598="",$E598="",Calc!$B595=""),"",SUMIFS(CalcAmtA,CalcPartyA,$E598,CalcKeyA,"&lt;="&amp;Calc!$B595)-SUMIFS(CalcWitB,CalcPartyB,$E598,CalcKeyB,"&lt;="&amp;Calc!$B595)+SUMIFS(CalcDepB,CalcPartyB,$E598,CalcKeyB,"&lt;="&amp;Calc!$B595))</f>
        <v/>
      </c>
      <c r="L598" s="8" t="n"/>
    </row>
    <row r="599">
      <c r="A599" s="7">
        <f>IF($B599="","",COUNTA($B$9:$B599))</f>
        <v/>
      </c>
      <c r="B599" s="8" t="n"/>
      <c r="C599" s="8" t="n"/>
      <c r="D599" s="8" t="n"/>
      <c r="E599" s="8" t="n"/>
      <c r="F599" s="7">
        <f>IF($E599="","",IFERROR(IF(VLOOKUP($E599,AcctTbl,4,0)="","",VLOOKUP($E599,AcctTbl,4,0)),"—"))</f>
        <v/>
      </c>
      <c r="G599" s="8" t="n"/>
      <c r="H599" s="9" t="n"/>
      <c r="I599" s="9" t="n"/>
      <c r="J599" s="10">
        <f>IF(OR($H599="",$I599=""),"",ROUND($H599*$I599,0))</f>
        <v/>
      </c>
      <c r="K599" s="10">
        <f>IF(OR($B599="",$E599="",Calc!$B596=""),"",SUMIFS(CalcAmtA,CalcPartyA,$E599,CalcKeyA,"&lt;="&amp;Calc!$B596)-SUMIFS(CalcWitB,CalcPartyB,$E599,CalcKeyB,"&lt;="&amp;Calc!$B596)+SUMIFS(CalcDepB,CalcPartyB,$E599,CalcKeyB,"&lt;="&amp;Calc!$B596))</f>
        <v/>
      </c>
      <c r="L599" s="8" t="n"/>
    </row>
    <row r="600">
      <c r="A600" s="7">
        <f>IF($B600="","",COUNTA($B$9:$B600))</f>
        <v/>
      </c>
      <c r="B600" s="8" t="n"/>
      <c r="C600" s="8" t="n"/>
      <c r="D600" s="8" t="n"/>
      <c r="E600" s="8" t="n"/>
      <c r="F600" s="7">
        <f>IF($E600="","",IFERROR(IF(VLOOKUP($E600,AcctTbl,4,0)="","",VLOOKUP($E600,AcctTbl,4,0)),"—"))</f>
        <v/>
      </c>
      <c r="G600" s="8" t="n"/>
      <c r="H600" s="9" t="n"/>
      <c r="I600" s="9" t="n"/>
      <c r="J600" s="10">
        <f>IF(OR($H600="",$I600=""),"",ROUND($H600*$I600,0))</f>
        <v/>
      </c>
      <c r="K600" s="10">
        <f>IF(OR($B600="",$E600="",Calc!$B597=""),"",SUMIFS(CalcAmtA,CalcPartyA,$E600,CalcKeyA,"&lt;="&amp;Calc!$B597)-SUMIFS(CalcWitB,CalcPartyB,$E600,CalcKeyB,"&lt;="&amp;Calc!$B597)+SUMIFS(CalcDepB,CalcPartyB,$E600,CalcKeyB,"&lt;="&amp;Calc!$B597))</f>
        <v/>
      </c>
      <c r="L600" s="8" t="n"/>
    </row>
    <row r="601">
      <c r="A601" s="7">
        <f>IF($B601="","",COUNTA($B$9:$B601))</f>
        <v/>
      </c>
      <c r="B601" s="8" t="n"/>
      <c r="C601" s="8" t="n"/>
      <c r="D601" s="8" t="n"/>
      <c r="E601" s="8" t="n"/>
      <c r="F601" s="7">
        <f>IF($E601="","",IFERROR(IF(VLOOKUP($E601,AcctTbl,4,0)="","",VLOOKUP($E601,AcctTbl,4,0)),"—"))</f>
        <v/>
      </c>
      <c r="G601" s="8" t="n"/>
      <c r="H601" s="9" t="n"/>
      <c r="I601" s="9" t="n"/>
      <c r="J601" s="10">
        <f>IF(OR($H601="",$I601=""),"",ROUND($H601*$I601,0))</f>
        <v/>
      </c>
      <c r="K601" s="10">
        <f>IF(OR($B601="",$E601="",Calc!$B598=""),"",SUMIFS(CalcAmtA,CalcPartyA,$E601,CalcKeyA,"&lt;="&amp;Calc!$B598)-SUMIFS(CalcWitB,CalcPartyB,$E601,CalcKeyB,"&lt;="&amp;Calc!$B598)+SUMIFS(CalcDepB,CalcPartyB,$E601,CalcKeyB,"&lt;="&amp;Calc!$B598))</f>
        <v/>
      </c>
      <c r="L601" s="8" t="n"/>
    </row>
    <row r="602">
      <c r="A602" s="7">
        <f>IF($B602="","",COUNTA($B$9:$B602))</f>
        <v/>
      </c>
      <c r="B602" s="8" t="n"/>
      <c r="C602" s="8" t="n"/>
      <c r="D602" s="8" t="n"/>
      <c r="E602" s="8" t="n"/>
      <c r="F602" s="7">
        <f>IF($E602="","",IFERROR(IF(VLOOKUP($E602,AcctTbl,4,0)="","",VLOOKUP($E602,AcctTbl,4,0)),"—"))</f>
        <v/>
      </c>
      <c r="G602" s="8" t="n"/>
      <c r="H602" s="9" t="n"/>
      <c r="I602" s="9" t="n"/>
      <c r="J602" s="10">
        <f>IF(OR($H602="",$I602=""),"",ROUND($H602*$I602,0))</f>
        <v/>
      </c>
      <c r="K602" s="10">
        <f>IF(OR($B602="",$E602="",Calc!$B599=""),"",SUMIFS(CalcAmtA,CalcPartyA,$E602,CalcKeyA,"&lt;="&amp;Calc!$B599)-SUMIFS(CalcWitB,CalcPartyB,$E602,CalcKeyB,"&lt;="&amp;Calc!$B599)+SUMIFS(CalcDepB,CalcPartyB,$E602,CalcKeyB,"&lt;="&amp;Calc!$B599))</f>
        <v/>
      </c>
      <c r="L602" s="8" t="n"/>
    </row>
    <row r="603">
      <c r="A603" s="7">
        <f>IF($B603="","",COUNTA($B$9:$B603))</f>
        <v/>
      </c>
      <c r="B603" s="8" t="n"/>
      <c r="C603" s="8" t="n"/>
      <c r="D603" s="8" t="n"/>
      <c r="E603" s="8" t="n"/>
      <c r="F603" s="7">
        <f>IF($E603="","",IFERROR(IF(VLOOKUP($E603,AcctTbl,4,0)="","",VLOOKUP($E603,AcctTbl,4,0)),"—"))</f>
        <v/>
      </c>
      <c r="G603" s="8" t="n"/>
      <c r="H603" s="9" t="n"/>
      <c r="I603" s="9" t="n"/>
      <c r="J603" s="10">
        <f>IF(OR($H603="",$I603=""),"",ROUND($H603*$I603,0))</f>
        <v/>
      </c>
      <c r="K603" s="10">
        <f>IF(OR($B603="",$E603="",Calc!$B600=""),"",SUMIFS(CalcAmtA,CalcPartyA,$E603,CalcKeyA,"&lt;="&amp;Calc!$B600)-SUMIFS(CalcWitB,CalcPartyB,$E603,CalcKeyB,"&lt;="&amp;Calc!$B600)+SUMIFS(CalcDepB,CalcPartyB,$E603,CalcKeyB,"&lt;="&amp;Calc!$B600))</f>
        <v/>
      </c>
      <c r="L603" s="8" t="n"/>
    </row>
    <row r="604">
      <c r="A604" s="7">
        <f>IF($B604="","",COUNTA($B$9:$B604))</f>
        <v/>
      </c>
      <c r="B604" s="8" t="n"/>
      <c r="C604" s="8" t="n"/>
      <c r="D604" s="8" t="n"/>
      <c r="E604" s="8" t="n"/>
      <c r="F604" s="7">
        <f>IF($E604="","",IFERROR(IF(VLOOKUP($E604,AcctTbl,4,0)="","",VLOOKUP($E604,AcctTbl,4,0)),"—"))</f>
        <v/>
      </c>
      <c r="G604" s="8" t="n"/>
      <c r="H604" s="9" t="n"/>
      <c r="I604" s="9" t="n"/>
      <c r="J604" s="10">
        <f>IF(OR($H604="",$I604=""),"",ROUND($H604*$I604,0))</f>
        <v/>
      </c>
      <c r="K604" s="10">
        <f>IF(OR($B604="",$E604="",Calc!$B601=""),"",SUMIFS(CalcAmtA,CalcPartyA,$E604,CalcKeyA,"&lt;="&amp;Calc!$B601)-SUMIFS(CalcWitB,CalcPartyB,$E604,CalcKeyB,"&lt;="&amp;Calc!$B601)+SUMIFS(CalcDepB,CalcPartyB,$E604,CalcKeyB,"&lt;="&amp;Calc!$B601))</f>
        <v/>
      </c>
      <c r="L604" s="8" t="n"/>
    </row>
    <row r="605">
      <c r="A605" s="7">
        <f>IF($B605="","",COUNTA($B$9:$B605))</f>
        <v/>
      </c>
      <c r="B605" s="8" t="n"/>
      <c r="C605" s="8" t="n"/>
      <c r="D605" s="8" t="n"/>
      <c r="E605" s="8" t="n"/>
      <c r="F605" s="7">
        <f>IF($E605="","",IFERROR(IF(VLOOKUP($E605,AcctTbl,4,0)="","",VLOOKUP($E605,AcctTbl,4,0)),"—"))</f>
        <v/>
      </c>
      <c r="G605" s="8" t="n"/>
      <c r="H605" s="9" t="n"/>
      <c r="I605" s="9" t="n"/>
      <c r="J605" s="10">
        <f>IF(OR($H605="",$I605=""),"",ROUND($H605*$I605,0))</f>
        <v/>
      </c>
      <c r="K605" s="10">
        <f>IF(OR($B605="",$E605="",Calc!$B602=""),"",SUMIFS(CalcAmtA,CalcPartyA,$E605,CalcKeyA,"&lt;="&amp;Calc!$B602)-SUMIFS(CalcWitB,CalcPartyB,$E605,CalcKeyB,"&lt;="&amp;Calc!$B602)+SUMIFS(CalcDepB,CalcPartyB,$E605,CalcKeyB,"&lt;="&amp;Calc!$B602))</f>
        <v/>
      </c>
      <c r="L605" s="8" t="n"/>
    </row>
    <row r="606">
      <c r="A606" s="7">
        <f>IF($B606="","",COUNTA($B$9:$B606))</f>
        <v/>
      </c>
      <c r="B606" s="8" t="n"/>
      <c r="C606" s="8" t="n"/>
      <c r="D606" s="8" t="n"/>
      <c r="E606" s="8" t="n"/>
      <c r="F606" s="7">
        <f>IF($E606="","",IFERROR(IF(VLOOKUP($E606,AcctTbl,4,0)="","",VLOOKUP($E606,AcctTbl,4,0)),"—"))</f>
        <v/>
      </c>
      <c r="G606" s="8" t="n"/>
      <c r="H606" s="9" t="n"/>
      <c r="I606" s="9" t="n"/>
      <c r="J606" s="10">
        <f>IF(OR($H606="",$I606=""),"",ROUND($H606*$I606,0))</f>
        <v/>
      </c>
      <c r="K606" s="10">
        <f>IF(OR($B606="",$E606="",Calc!$B603=""),"",SUMIFS(CalcAmtA,CalcPartyA,$E606,CalcKeyA,"&lt;="&amp;Calc!$B603)-SUMIFS(CalcWitB,CalcPartyB,$E606,CalcKeyB,"&lt;="&amp;Calc!$B603)+SUMIFS(CalcDepB,CalcPartyB,$E606,CalcKeyB,"&lt;="&amp;Calc!$B603))</f>
        <v/>
      </c>
      <c r="L606" s="8" t="n"/>
    </row>
    <row r="607">
      <c r="A607" s="7">
        <f>IF($B607="","",COUNTA($B$9:$B607))</f>
        <v/>
      </c>
      <c r="B607" s="8" t="n"/>
      <c r="C607" s="8" t="n"/>
      <c r="D607" s="8" t="n"/>
      <c r="E607" s="8" t="n"/>
      <c r="F607" s="7">
        <f>IF($E607="","",IFERROR(IF(VLOOKUP($E607,AcctTbl,4,0)="","",VLOOKUP($E607,AcctTbl,4,0)),"—"))</f>
        <v/>
      </c>
      <c r="G607" s="8" t="n"/>
      <c r="H607" s="9" t="n"/>
      <c r="I607" s="9" t="n"/>
      <c r="J607" s="10">
        <f>IF(OR($H607="",$I607=""),"",ROUND($H607*$I607,0))</f>
        <v/>
      </c>
      <c r="K607" s="10">
        <f>IF(OR($B607="",$E607="",Calc!$B604=""),"",SUMIFS(CalcAmtA,CalcPartyA,$E607,CalcKeyA,"&lt;="&amp;Calc!$B604)-SUMIFS(CalcWitB,CalcPartyB,$E607,CalcKeyB,"&lt;="&amp;Calc!$B604)+SUMIFS(CalcDepB,CalcPartyB,$E607,CalcKeyB,"&lt;="&amp;Calc!$B604))</f>
        <v/>
      </c>
      <c r="L607" s="8" t="n"/>
    </row>
    <row r="608">
      <c r="A608" s="7">
        <f>IF($B608="","",COUNTA($B$9:$B608))</f>
        <v/>
      </c>
      <c r="B608" s="8" t="n"/>
      <c r="C608" s="8" t="n"/>
      <c r="D608" s="8" t="n"/>
      <c r="E608" s="8" t="n"/>
      <c r="F608" s="7">
        <f>IF($E608="","",IFERROR(IF(VLOOKUP($E608,AcctTbl,4,0)="","",VLOOKUP($E608,AcctTbl,4,0)),"—"))</f>
        <v/>
      </c>
      <c r="G608" s="8" t="n"/>
      <c r="H608" s="9" t="n"/>
      <c r="I608" s="9" t="n"/>
      <c r="J608" s="10">
        <f>IF(OR($H608="",$I608=""),"",ROUND($H608*$I608,0))</f>
        <v/>
      </c>
      <c r="K608" s="10">
        <f>IF(OR($B608="",$E608="",Calc!$B605=""),"",SUMIFS(CalcAmtA,CalcPartyA,$E608,CalcKeyA,"&lt;="&amp;Calc!$B605)-SUMIFS(CalcWitB,CalcPartyB,$E608,CalcKeyB,"&lt;="&amp;Calc!$B605)+SUMIFS(CalcDepB,CalcPartyB,$E608,CalcKeyB,"&lt;="&amp;Calc!$B605))</f>
        <v/>
      </c>
      <c r="L608" s="8" t="n"/>
    </row>
    <row r="609">
      <c r="A609" s="7">
        <f>IF($B609="","",COUNTA($B$9:$B609))</f>
        <v/>
      </c>
      <c r="B609" s="8" t="n"/>
      <c r="C609" s="8" t="n"/>
      <c r="D609" s="8" t="n"/>
      <c r="E609" s="8" t="n"/>
      <c r="F609" s="7">
        <f>IF($E609="","",IFERROR(IF(VLOOKUP($E609,AcctTbl,4,0)="","",VLOOKUP($E609,AcctTbl,4,0)),"—"))</f>
        <v/>
      </c>
      <c r="G609" s="8" t="n"/>
      <c r="H609" s="9" t="n"/>
      <c r="I609" s="9" t="n"/>
      <c r="J609" s="10">
        <f>IF(OR($H609="",$I609=""),"",ROUND($H609*$I609,0))</f>
        <v/>
      </c>
      <c r="K609" s="10">
        <f>IF(OR($B609="",$E609="",Calc!$B606=""),"",SUMIFS(CalcAmtA,CalcPartyA,$E609,CalcKeyA,"&lt;="&amp;Calc!$B606)-SUMIFS(CalcWitB,CalcPartyB,$E609,CalcKeyB,"&lt;="&amp;Calc!$B606)+SUMIFS(CalcDepB,CalcPartyB,$E609,CalcKeyB,"&lt;="&amp;Calc!$B606))</f>
        <v/>
      </c>
      <c r="L609" s="8" t="n"/>
    </row>
    <row r="610">
      <c r="A610" s="7">
        <f>IF($B610="","",COUNTA($B$9:$B610))</f>
        <v/>
      </c>
      <c r="B610" s="8" t="n"/>
      <c r="C610" s="8" t="n"/>
      <c r="D610" s="8" t="n"/>
      <c r="E610" s="8" t="n"/>
      <c r="F610" s="7">
        <f>IF($E610="","",IFERROR(IF(VLOOKUP($E610,AcctTbl,4,0)="","",VLOOKUP($E610,AcctTbl,4,0)),"—"))</f>
        <v/>
      </c>
      <c r="G610" s="8" t="n"/>
      <c r="H610" s="9" t="n"/>
      <c r="I610" s="9" t="n"/>
      <c r="J610" s="10">
        <f>IF(OR($H610="",$I610=""),"",ROUND($H610*$I610,0))</f>
        <v/>
      </c>
      <c r="K610" s="10">
        <f>IF(OR($B610="",$E610="",Calc!$B607=""),"",SUMIFS(CalcAmtA,CalcPartyA,$E610,CalcKeyA,"&lt;="&amp;Calc!$B607)-SUMIFS(CalcWitB,CalcPartyB,$E610,CalcKeyB,"&lt;="&amp;Calc!$B607)+SUMIFS(CalcDepB,CalcPartyB,$E610,CalcKeyB,"&lt;="&amp;Calc!$B607))</f>
        <v/>
      </c>
      <c r="L610" s="8" t="n"/>
    </row>
    <row r="611">
      <c r="A611" s="7">
        <f>IF($B611="","",COUNTA($B$9:$B611))</f>
        <v/>
      </c>
      <c r="B611" s="8" t="n"/>
      <c r="C611" s="8" t="n"/>
      <c r="D611" s="8" t="n"/>
      <c r="E611" s="8" t="n"/>
      <c r="F611" s="7">
        <f>IF($E611="","",IFERROR(IF(VLOOKUP($E611,AcctTbl,4,0)="","",VLOOKUP($E611,AcctTbl,4,0)),"—"))</f>
        <v/>
      </c>
      <c r="G611" s="8" t="n"/>
      <c r="H611" s="9" t="n"/>
      <c r="I611" s="9" t="n"/>
      <c r="J611" s="10">
        <f>IF(OR($H611="",$I611=""),"",ROUND($H611*$I611,0))</f>
        <v/>
      </c>
      <c r="K611" s="10">
        <f>IF(OR($B611="",$E611="",Calc!$B608=""),"",SUMIFS(CalcAmtA,CalcPartyA,$E611,CalcKeyA,"&lt;="&amp;Calc!$B608)-SUMIFS(CalcWitB,CalcPartyB,$E611,CalcKeyB,"&lt;="&amp;Calc!$B608)+SUMIFS(CalcDepB,CalcPartyB,$E611,CalcKeyB,"&lt;="&amp;Calc!$B608))</f>
        <v/>
      </c>
      <c r="L611" s="8" t="n"/>
    </row>
    <row r="612">
      <c r="A612" s="7">
        <f>IF($B612="","",COUNTA($B$9:$B612))</f>
        <v/>
      </c>
      <c r="B612" s="8" t="n"/>
      <c r="C612" s="8" t="n"/>
      <c r="D612" s="8" t="n"/>
      <c r="E612" s="8" t="n"/>
      <c r="F612" s="7">
        <f>IF($E612="","",IFERROR(IF(VLOOKUP($E612,AcctTbl,4,0)="","",VLOOKUP($E612,AcctTbl,4,0)),"—"))</f>
        <v/>
      </c>
      <c r="G612" s="8" t="n"/>
      <c r="H612" s="9" t="n"/>
      <c r="I612" s="9" t="n"/>
      <c r="J612" s="10">
        <f>IF(OR($H612="",$I612=""),"",ROUND($H612*$I612,0))</f>
        <v/>
      </c>
      <c r="K612" s="10">
        <f>IF(OR($B612="",$E612="",Calc!$B609=""),"",SUMIFS(CalcAmtA,CalcPartyA,$E612,CalcKeyA,"&lt;="&amp;Calc!$B609)-SUMIFS(CalcWitB,CalcPartyB,$E612,CalcKeyB,"&lt;="&amp;Calc!$B609)+SUMIFS(CalcDepB,CalcPartyB,$E612,CalcKeyB,"&lt;="&amp;Calc!$B609))</f>
        <v/>
      </c>
      <c r="L612" s="8" t="n"/>
    </row>
    <row r="613">
      <c r="A613" s="7">
        <f>IF($B613="","",COUNTA($B$9:$B613))</f>
        <v/>
      </c>
      <c r="B613" s="8" t="n"/>
      <c r="C613" s="8" t="n"/>
      <c r="D613" s="8" t="n"/>
      <c r="E613" s="8" t="n"/>
      <c r="F613" s="7">
        <f>IF($E613="","",IFERROR(IF(VLOOKUP($E613,AcctTbl,4,0)="","",VLOOKUP($E613,AcctTbl,4,0)),"—"))</f>
        <v/>
      </c>
      <c r="G613" s="8" t="n"/>
      <c r="H613" s="9" t="n"/>
      <c r="I613" s="9" t="n"/>
      <c r="J613" s="10">
        <f>IF(OR($H613="",$I613=""),"",ROUND($H613*$I613,0))</f>
        <v/>
      </c>
      <c r="K613" s="10">
        <f>IF(OR($B613="",$E613="",Calc!$B610=""),"",SUMIFS(CalcAmtA,CalcPartyA,$E613,CalcKeyA,"&lt;="&amp;Calc!$B610)-SUMIFS(CalcWitB,CalcPartyB,$E613,CalcKeyB,"&lt;="&amp;Calc!$B610)+SUMIFS(CalcDepB,CalcPartyB,$E613,CalcKeyB,"&lt;="&amp;Calc!$B610))</f>
        <v/>
      </c>
      <c r="L613" s="8" t="n"/>
    </row>
    <row r="614">
      <c r="A614" s="7">
        <f>IF($B614="","",COUNTA($B$9:$B614))</f>
        <v/>
      </c>
      <c r="B614" s="8" t="n"/>
      <c r="C614" s="8" t="n"/>
      <c r="D614" s="8" t="n"/>
      <c r="E614" s="8" t="n"/>
      <c r="F614" s="7">
        <f>IF($E614="","",IFERROR(IF(VLOOKUP($E614,AcctTbl,4,0)="","",VLOOKUP($E614,AcctTbl,4,0)),"—"))</f>
        <v/>
      </c>
      <c r="G614" s="8" t="n"/>
      <c r="H614" s="9" t="n"/>
      <c r="I614" s="9" t="n"/>
      <c r="J614" s="10">
        <f>IF(OR($H614="",$I614=""),"",ROUND($H614*$I614,0))</f>
        <v/>
      </c>
      <c r="K614" s="10">
        <f>IF(OR($B614="",$E614="",Calc!$B611=""),"",SUMIFS(CalcAmtA,CalcPartyA,$E614,CalcKeyA,"&lt;="&amp;Calc!$B611)-SUMIFS(CalcWitB,CalcPartyB,$E614,CalcKeyB,"&lt;="&amp;Calc!$B611)+SUMIFS(CalcDepB,CalcPartyB,$E614,CalcKeyB,"&lt;="&amp;Calc!$B611))</f>
        <v/>
      </c>
      <c r="L614" s="8" t="n"/>
    </row>
    <row r="615">
      <c r="A615" s="7">
        <f>IF($B615="","",COUNTA($B$9:$B615))</f>
        <v/>
      </c>
      <c r="B615" s="8" t="n"/>
      <c r="C615" s="8" t="n"/>
      <c r="D615" s="8" t="n"/>
      <c r="E615" s="8" t="n"/>
      <c r="F615" s="7">
        <f>IF($E615="","",IFERROR(IF(VLOOKUP($E615,AcctTbl,4,0)="","",VLOOKUP($E615,AcctTbl,4,0)),"—"))</f>
        <v/>
      </c>
      <c r="G615" s="8" t="n"/>
      <c r="H615" s="9" t="n"/>
      <c r="I615" s="9" t="n"/>
      <c r="J615" s="10">
        <f>IF(OR($H615="",$I615=""),"",ROUND($H615*$I615,0))</f>
        <v/>
      </c>
      <c r="K615" s="10">
        <f>IF(OR($B615="",$E615="",Calc!$B612=""),"",SUMIFS(CalcAmtA,CalcPartyA,$E615,CalcKeyA,"&lt;="&amp;Calc!$B612)-SUMIFS(CalcWitB,CalcPartyB,$E615,CalcKeyB,"&lt;="&amp;Calc!$B612)+SUMIFS(CalcDepB,CalcPartyB,$E615,CalcKeyB,"&lt;="&amp;Calc!$B612))</f>
        <v/>
      </c>
      <c r="L615" s="8" t="n"/>
    </row>
    <row r="616">
      <c r="A616" s="7">
        <f>IF($B616="","",COUNTA($B$9:$B616))</f>
        <v/>
      </c>
      <c r="B616" s="8" t="n"/>
      <c r="C616" s="8" t="n"/>
      <c r="D616" s="8" t="n"/>
      <c r="E616" s="8" t="n"/>
      <c r="F616" s="7">
        <f>IF($E616="","",IFERROR(IF(VLOOKUP($E616,AcctTbl,4,0)="","",VLOOKUP($E616,AcctTbl,4,0)),"—"))</f>
        <v/>
      </c>
      <c r="G616" s="8" t="n"/>
      <c r="H616" s="9" t="n"/>
      <c r="I616" s="9" t="n"/>
      <c r="J616" s="10">
        <f>IF(OR($H616="",$I616=""),"",ROUND($H616*$I616,0))</f>
        <v/>
      </c>
      <c r="K616" s="10">
        <f>IF(OR($B616="",$E616="",Calc!$B613=""),"",SUMIFS(CalcAmtA,CalcPartyA,$E616,CalcKeyA,"&lt;="&amp;Calc!$B613)-SUMIFS(CalcWitB,CalcPartyB,$E616,CalcKeyB,"&lt;="&amp;Calc!$B613)+SUMIFS(CalcDepB,CalcPartyB,$E616,CalcKeyB,"&lt;="&amp;Calc!$B613))</f>
        <v/>
      </c>
      <c r="L616" s="8" t="n"/>
    </row>
    <row r="617">
      <c r="A617" s="7">
        <f>IF($B617="","",COUNTA($B$9:$B617))</f>
        <v/>
      </c>
      <c r="B617" s="8" t="n"/>
      <c r="C617" s="8" t="n"/>
      <c r="D617" s="8" t="n"/>
      <c r="E617" s="8" t="n"/>
      <c r="F617" s="7">
        <f>IF($E617="","",IFERROR(IF(VLOOKUP($E617,AcctTbl,4,0)="","",VLOOKUP($E617,AcctTbl,4,0)),"—"))</f>
        <v/>
      </c>
      <c r="G617" s="8" t="n"/>
      <c r="H617" s="9" t="n"/>
      <c r="I617" s="9" t="n"/>
      <c r="J617" s="10">
        <f>IF(OR($H617="",$I617=""),"",ROUND($H617*$I617,0))</f>
        <v/>
      </c>
      <c r="K617" s="10">
        <f>IF(OR($B617="",$E617="",Calc!$B614=""),"",SUMIFS(CalcAmtA,CalcPartyA,$E617,CalcKeyA,"&lt;="&amp;Calc!$B614)-SUMIFS(CalcWitB,CalcPartyB,$E617,CalcKeyB,"&lt;="&amp;Calc!$B614)+SUMIFS(CalcDepB,CalcPartyB,$E617,CalcKeyB,"&lt;="&amp;Calc!$B614))</f>
        <v/>
      </c>
      <c r="L617" s="8" t="n"/>
    </row>
    <row r="618">
      <c r="A618" s="7">
        <f>IF($B618="","",COUNTA($B$9:$B618))</f>
        <v/>
      </c>
      <c r="B618" s="8" t="n"/>
      <c r="C618" s="8" t="n"/>
      <c r="D618" s="8" t="n"/>
      <c r="E618" s="8" t="n"/>
      <c r="F618" s="7">
        <f>IF($E618="","",IFERROR(IF(VLOOKUP($E618,AcctTbl,4,0)="","",VLOOKUP($E618,AcctTbl,4,0)),"—"))</f>
        <v/>
      </c>
      <c r="G618" s="8" t="n"/>
      <c r="H618" s="9" t="n"/>
      <c r="I618" s="9" t="n"/>
      <c r="J618" s="10">
        <f>IF(OR($H618="",$I618=""),"",ROUND($H618*$I618,0))</f>
        <v/>
      </c>
      <c r="K618" s="10">
        <f>IF(OR($B618="",$E618="",Calc!$B615=""),"",SUMIFS(CalcAmtA,CalcPartyA,$E618,CalcKeyA,"&lt;="&amp;Calc!$B615)-SUMIFS(CalcWitB,CalcPartyB,$E618,CalcKeyB,"&lt;="&amp;Calc!$B615)+SUMIFS(CalcDepB,CalcPartyB,$E618,CalcKeyB,"&lt;="&amp;Calc!$B615))</f>
        <v/>
      </c>
      <c r="L618" s="8" t="n"/>
    </row>
    <row r="619">
      <c r="A619" s="7">
        <f>IF($B619="","",COUNTA($B$9:$B619))</f>
        <v/>
      </c>
      <c r="B619" s="8" t="n"/>
      <c r="C619" s="8" t="n"/>
      <c r="D619" s="8" t="n"/>
      <c r="E619" s="8" t="n"/>
      <c r="F619" s="7">
        <f>IF($E619="","",IFERROR(IF(VLOOKUP($E619,AcctTbl,4,0)="","",VLOOKUP($E619,AcctTbl,4,0)),"—"))</f>
        <v/>
      </c>
      <c r="G619" s="8" t="n"/>
      <c r="H619" s="9" t="n"/>
      <c r="I619" s="9" t="n"/>
      <c r="J619" s="10">
        <f>IF(OR($H619="",$I619=""),"",ROUND($H619*$I619,0))</f>
        <v/>
      </c>
      <c r="K619" s="10">
        <f>IF(OR($B619="",$E619="",Calc!$B616=""),"",SUMIFS(CalcAmtA,CalcPartyA,$E619,CalcKeyA,"&lt;="&amp;Calc!$B616)-SUMIFS(CalcWitB,CalcPartyB,$E619,CalcKeyB,"&lt;="&amp;Calc!$B616)+SUMIFS(CalcDepB,CalcPartyB,$E619,CalcKeyB,"&lt;="&amp;Calc!$B616))</f>
        <v/>
      </c>
      <c r="L619" s="8" t="n"/>
    </row>
    <row r="620">
      <c r="A620" s="7">
        <f>IF($B620="","",COUNTA($B$9:$B620))</f>
        <v/>
      </c>
      <c r="B620" s="8" t="n"/>
      <c r="C620" s="8" t="n"/>
      <c r="D620" s="8" t="n"/>
      <c r="E620" s="8" t="n"/>
      <c r="F620" s="7">
        <f>IF($E620="","",IFERROR(IF(VLOOKUP($E620,AcctTbl,4,0)="","",VLOOKUP($E620,AcctTbl,4,0)),"—"))</f>
        <v/>
      </c>
      <c r="G620" s="8" t="n"/>
      <c r="H620" s="9" t="n"/>
      <c r="I620" s="9" t="n"/>
      <c r="J620" s="10">
        <f>IF(OR($H620="",$I620=""),"",ROUND($H620*$I620,0))</f>
        <v/>
      </c>
      <c r="K620" s="10">
        <f>IF(OR($B620="",$E620="",Calc!$B617=""),"",SUMIFS(CalcAmtA,CalcPartyA,$E620,CalcKeyA,"&lt;="&amp;Calc!$B617)-SUMIFS(CalcWitB,CalcPartyB,$E620,CalcKeyB,"&lt;="&amp;Calc!$B617)+SUMIFS(CalcDepB,CalcPartyB,$E620,CalcKeyB,"&lt;="&amp;Calc!$B617))</f>
        <v/>
      </c>
      <c r="L620" s="8" t="n"/>
    </row>
    <row r="621">
      <c r="A621" s="7">
        <f>IF($B621="","",COUNTA($B$9:$B621))</f>
        <v/>
      </c>
      <c r="B621" s="8" t="n"/>
      <c r="C621" s="8" t="n"/>
      <c r="D621" s="8" t="n"/>
      <c r="E621" s="8" t="n"/>
      <c r="F621" s="7">
        <f>IF($E621="","",IFERROR(IF(VLOOKUP($E621,AcctTbl,4,0)="","",VLOOKUP($E621,AcctTbl,4,0)),"—"))</f>
        <v/>
      </c>
      <c r="G621" s="8" t="n"/>
      <c r="H621" s="9" t="n"/>
      <c r="I621" s="9" t="n"/>
      <c r="J621" s="10">
        <f>IF(OR($H621="",$I621=""),"",ROUND($H621*$I621,0))</f>
        <v/>
      </c>
      <c r="K621" s="10">
        <f>IF(OR($B621="",$E621="",Calc!$B618=""),"",SUMIFS(CalcAmtA,CalcPartyA,$E621,CalcKeyA,"&lt;="&amp;Calc!$B618)-SUMIFS(CalcWitB,CalcPartyB,$E621,CalcKeyB,"&lt;="&amp;Calc!$B618)+SUMIFS(CalcDepB,CalcPartyB,$E621,CalcKeyB,"&lt;="&amp;Calc!$B618))</f>
        <v/>
      </c>
      <c r="L621" s="8" t="n"/>
    </row>
    <row r="622">
      <c r="A622" s="7">
        <f>IF($B622="","",COUNTA($B$9:$B622))</f>
        <v/>
      </c>
      <c r="B622" s="8" t="n"/>
      <c r="C622" s="8" t="n"/>
      <c r="D622" s="8" t="n"/>
      <c r="E622" s="8" t="n"/>
      <c r="F622" s="7">
        <f>IF($E622="","",IFERROR(IF(VLOOKUP($E622,AcctTbl,4,0)="","",VLOOKUP($E622,AcctTbl,4,0)),"—"))</f>
        <v/>
      </c>
      <c r="G622" s="8" t="n"/>
      <c r="H622" s="9" t="n"/>
      <c r="I622" s="9" t="n"/>
      <c r="J622" s="10">
        <f>IF(OR($H622="",$I622=""),"",ROUND($H622*$I622,0))</f>
        <v/>
      </c>
      <c r="K622" s="10">
        <f>IF(OR($B622="",$E622="",Calc!$B619=""),"",SUMIFS(CalcAmtA,CalcPartyA,$E622,CalcKeyA,"&lt;="&amp;Calc!$B619)-SUMIFS(CalcWitB,CalcPartyB,$E622,CalcKeyB,"&lt;="&amp;Calc!$B619)+SUMIFS(CalcDepB,CalcPartyB,$E622,CalcKeyB,"&lt;="&amp;Calc!$B619))</f>
        <v/>
      </c>
      <c r="L622" s="8" t="n"/>
    </row>
    <row r="623">
      <c r="A623" s="7">
        <f>IF($B623="","",COUNTA($B$9:$B623))</f>
        <v/>
      </c>
      <c r="B623" s="8" t="n"/>
      <c r="C623" s="8" t="n"/>
      <c r="D623" s="8" t="n"/>
      <c r="E623" s="8" t="n"/>
      <c r="F623" s="7">
        <f>IF($E623="","",IFERROR(IF(VLOOKUP($E623,AcctTbl,4,0)="","",VLOOKUP($E623,AcctTbl,4,0)),"—"))</f>
        <v/>
      </c>
      <c r="G623" s="8" t="n"/>
      <c r="H623" s="9" t="n"/>
      <c r="I623" s="9" t="n"/>
      <c r="J623" s="10">
        <f>IF(OR($H623="",$I623=""),"",ROUND($H623*$I623,0))</f>
        <v/>
      </c>
      <c r="K623" s="10">
        <f>IF(OR($B623="",$E623="",Calc!$B620=""),"",SUMIFS(CalcAmtA,CalcPartyA,$E623,CalcKeyA,"&lt;="&amp;Calc!$B620)-SUMIFS(CalcWitB,CalcPartyB,$E623,CalcKeyB,"&lt;="&amp;Calc!$B620)+SUMIFS(CalcDepB,CalcPartyB,$E623,CalcKeyB,"&lt;="&amp;Calc!$B620))</f>
        <v/>
      </c>
      <c r="L623" s="8" t="n"/>
    </row>
    <row r="624">
      <c r="A624" s="7">
        <f>IF($B624="","",COUNTA($B$9:$B624))</f>
        <v/>
      </c>
      <c r="B624" s="8" t="n"/>
      <c r="C624" s="8" t="n"/>
      <c r="D624" s="8" t="n"/>
      <c r="E624" s="8" t="n"/>
      <c r="F624" s="7">
        <f>IF($E624="","",IFERROR(IF(VLOOKUP($E624,AcctTbl,4,0)="","",VLOOKUP($E624,AcctTbl,4,0)),"—"))</f>
        <v/>
      </c>
      <c r="G624" s="8" t="n"/>
      <c r="H624" s="9" t="n"/>
      <c r="I624" s="9" t="n"/>
      <c r="J624" s="10">
        <f>IF(OR($H624="",$I624=""),"",ROUND($H624*$I624,0))</f>
        <v/>
      </c>
      <c r="K624" s="10">
        <f>IF(OR($B624="",$E624="",Calc!$B621=""),"",SUMIFS(CalcAmtA,CalcPartyA,$E624,CalcKeyA,"&lt;="&amp;Calc!$B621)-SUMIFS(CalcWitB,CalcPartyB,$E624,CalcKeyB,"&lt;="&amp;Calc!$B621)+SUMIFS(CalcDepB,CalcPartyB,$E624,CalcKeyB,"&lt;="&amp;Calc!$B621))</f>
        <v/>
      </c>
      <c r="L624" s="8" t="n"/>
    </row>
    <row r="625">
      <c r="A625" s="7">
        <f>IF($B625="","",COUNTA($B$9:$B625))</f>
        <v/>
      </c>
      <c r="B625" s="8" t="n"/>
      <c r="C625" s="8" t="n"/>
      <c r="D625" s="8" t="n"/>
      <c r="E625" s="8" t="n"/>
      <c r="F625" s="7">
        <f>IF($E625="","",IFERROR(IF(VLOOKUP($E625,AcctTbl,4,0)="","",VLOOKUP($E625,AcctTbl,4,0)),"—"))</f>
        <v/>
      </c>
      <c r="G625" s="8" t="n"/>
      <c r="H625" s="9" t="n"/>
      <c r="I625" s="9" t="n"/>
      <c r="J625" s="10">
        <f>IF(OR($H625="",$I625=""),"",ROUND($H625*$I625,0))</f>
        <v/>
      </c>
      <c r="K625" s="10">
        <f>IF(OR($B625="",$E625="",Calc!$B622=""),"",SUMIFS(CalcAmtA,CalcPartyA,$E625,CalcKeyA,"&lt;="&amp;Calc!$B622)-SUMIFS(CalcWitB,CalcPartyB,$E625,CalcKeyB,"&lt;="&amp;Calc!$B622)+SUMIFS(CalcDepB,CalcPartyB,$E625,CalcKeyB,"&lt;="&amp;Calc!$B622))</f>
        <v/>
      </c>
      <c r="L625" s="8" t="n"/>
    </row>
    <row r="626">
      <c r="A626" s="7">
        <f>IF($B626="","",COUNTA($B$9:$B626))</f>
        <v/>
      </c>
      <c r="B626" s="8" t="n"/>
      <c r="C626" s="8" t="n"/>
      <c r="D626" s="8" t="n"/>
      <c r="E626" s="8" t="n"/>
      <c r="F626" s="7">
        <f>IF($E626="","",IFERROR(IF(VLOOKUP($E626,AcctTbl,4,0)="","",VLOOKUP($E626,AcctTbl,4,0)),"—"))</f>
        <v/>
      </c>
      <c r="G626" s="8" t="n"/>
      <c r="H626" s="9" t="n"/>
      <c r="I626" s="9" t="n"/>
      <c r="J626" s="10">
        <f>IF(OR($H626="",$I626=""),"",ROUND($H626*$I626,0))</f>
        <v/>
      </c>
      <c r="K626" s="10">
        <f>IF(OR($B626="",$E626="",Calc!$B623=""),"",SUMIFS(CalcAmtA,CalcPartyA,$E626,CalcKeyA,"&lt;="&amp;Calc!$B623)-SUMIFS(CalcWitB,CalcPartyB,$E626,CalcKeyB,"&lt;="&amp;Calc!$B623)+SUMIFS(CalcDepB,CalcPartyB,$E626,CalcKeyB,"&lt;="&amp;Calc!$B623))</f>
        <v/>
      </c>
      <c r="L626" s="8" t="n"/>
    </row>
    <row r="627">
      <c r="A627" s="7">
        <f>IF($B627="","",COUNTA($B$9:$B627))</f>
        <v/>
      </c>
      <c r="B627" s="8" t="n"/>
      <c r="C627" s="8" t="n"/>
      <c r="D627" s="8" t="n"/>
      <c r="E627" s="8" t="n"/>
      <c r="F627" s="7">
        <f>IF($E627="","",IFERROR(IF(VLOOKUP($E627,AcctTbl,4,0)="","",VLOOKUP($E627,AcctTbl,4,0)),"—"))</f>
        <v/>
      </c>
      <c r="G627" s="8" t="n"/>
      <c r="H627" s="9" t="n"/>
      <c r="I627" s="9" t="n"/>
      <c r="J627" s="10">
        <f>IF(OR($H627="",$I627=""),"",ROUND($H627*$I627,0))</f>
        <v/>
      </c>
      <c r="K627" s="10">
        <f>IF(OR($B627="",$E627="",Calc!$B624=""),"",SUMIFS(CalcAmtA,CalcPartyA,$E627,CalcKeyA,"&lt;="&amp;Calc!$B624)-SUMIFS(CalcWitB,CalcPartyB,$E627,CalcKeyB,"&lt;="&amp;Calc!$B624)+SUMIFS(CalcDepB,CalcPartyB,$E627,CalcKeyB,"&lt;="&amp;Calc!$B624))</f>
        <v/>
      </c>
      <c r="L627" s="8" t="n"/>
    </row>
    <row r="628">
      <c r="A628" s="7">
        <f>IF($B628="","",COUNTA($B$9:$B628))</f>
        <v/>
      </c>
      <c r="B628" s="8" t="n"/>
      <c r="C628" s="8" t="n"/>
      <c r="D628" s="8" t="n"/>
      <c r="E628" s="8" t="n"/>
      <c r="F628" s="7">
        <f>IF($E628="","",IFERROR(IF(VLOOKUP($E628,AcctTbl,4,0)="","",VLOOKUP($E628,AcctTbl,4,0)),"—"))</f>
        <v/>
      </c>
      <c r="G628" s="8" t="n"/>
      <c r="H628" s="9" t="n"/>
      <c r="I628" s="9" t="n"/>
      <c r="J628" s="10">
        <f>IF(OR($H628="",$I628=""),"",ROUND($H628*$I628,0))</f>
        <v/>
      </c>
      <c r="K628" s="10">
        <f>IF(OR($B628="",$E628="",Calc!$B625=""),"",SUMIFS(CalcAmtA,CalcPartyA,$E628,CalcKeyA,"&lt;="&amp;Calc!$B625)-SUMIFS(CalcWitB,CalcPartyB,$E628,CalcKeyB,"&lt;="&amp;Calc!$B625)+SUMIFS(CalcDepB,CalcPartyB,$E628,CalcKeyB,"&lt;="&amp;Calc!$B625))</f>
        <v/>
      </c>
      <c r="L628" s="8" t="n"/>
    </row>
    <row r="629">
      <c r="A629" s="7">
        <f>IF($B629="","",COUNTA($B$9:$B629))</f>
        <v/>
      </c>
      <c r="B629" s="8" t="n"/>
      <c r="C629" s="8" t="n"/>
      <c r="D629" s="8" t="n"/>
      <c r="E629" s="8" t="n"/>
      <c r="F629" s="7">
        <f>IF($E629="","",IFERROR(IF(VLOOKUP($E629,AcctTbl,4,0)="","",VLOOKUP($E629,AcctTbl,4,0)),"—"))</f>
        <v/>
      </c>
      <c r="G629" s="8" t="n"/>
      <c r="H629" s="9" t="n"/>
      <c r="I629" s="9" t="n"/>
      <c r="J629" s="10">
        <f>IF(OR($H629="",$I629=""),"",ROUND($H629*$I629,0))</f>
        <v/>
      </c>
      <c r="K629" s="10">
        <f>IF(OR($B629="",$E629="",Calc!$B626=""),"",SUMIFS(CalcAmtA,CalcPartyA,$E629,CalcKeyA,"&lt;="&amp;Calc!$B626)-SUMIFS(CalcWitB,CalcPartyB,$E629,CalcKeyB,"&lt;="&amp;Calc!$B626)+SUMIFS(CalcDepB,CalcPartyB,$E629,CalcKeyB,"&lt;="&amp;Calc!$B626))</f>
        <v/>
      </c>
      <c r="L629" s="8" t="n"/>
    </row>
    <row r="630">
      <c r="A630" s="7">
        <f>IF($B630="","",COUNTA($B$9:$B630))</f>
        <v/>
      </c>
      <c r="B630" s="8" t="n"/>
      <c r="C630" s="8" t="n"/>
      <c r="D630" s="8" t="n"/>
      <c r="E630" s="8" t="n"/>
      <c r="F630" s="7">
        <f>IF($E630="","",IFERROR(IF(VLOOKUP($E630,AcctTbl,4,0)="","",VLOOKUP($E630,AcctTbl,4,0)),"—"))</f>
        <v/>
      </c>
      <c r="G630" s="8" t="n"/>
      <c r="H630" s="9" t="n"/>
      <c r="I630" s="9" t="n"/>
      <c r="J630" s="10">
        <f>IF(OR($H630="",$I630=""),"",ROUND($H630*$I630,0))</f>
        <v/>
      </c>
      <c r="K630" s="10">
        <f>IF(OR($B630="",$E630="",Calc!$B627=""),"",SUMIFS(CalcAmtA,CalcPartyA,$E630,CalcKeyA,"&lt;="&amp;Calc!$B627)-SUMIFS(CalcWitB,CalcPartyB,$E630,CalcKeyB,"&lt;="&amp;Calc!$B627)+SUMIFS(CalcDepB,CalcPartyB,$E630,CalcKeyB,"&lt;="&amp;Calc!$B627))</f>
        <v/>
      </c>
      <c r="L630" s="8" t="n"/>
    </row>
    <row r="631">
      <c r="A631" s="7">
        <f>IF($B631="","",COUNTA($B$9:$B631))</f>
        <v/>
      </c>
      <c r="B631" s="8" t="n"/>
      <c r="C631" s="8" t="n"/>
      <c r="D631" s="8" t="n"/>
      <c r="E631" s="8" t="n"/>
      <c r="F631" s="7">
        <f>IF($E631="","",IFERROR(IF(VLOOKUP($E631,AcctTbl,4,0)="","",VLOOKUP($E631,AcctTbl,4,0)),"—"))</f>
        <v/>
      </c>
      <c r="G631" s="8" t="n"/>
      <c r="H631" s="9" t="n"/>
      <c r="I631" s="9" t="n"/>
      <c r="J631" s="10">
        <f>IF(OR($H631="",$I631=""),"",ROUND($H631*$I631,0))</f>
        <v/>
      </c>
      <c r="K631" s="10">
        <f>IF(OR($B631="",$E631="",Calc!$B628=""),"",SUMIFS(CalcAmtA,CalcPartyA,$E631,CalcKeyA,"&lt;="&amp;Calc!$B628)-SUMIFS(CalcWitB,CalcPartyB,$E631,CalcKeyB,"&lt;="&amp;Calc!$B628)+SUMIFS(CalcDepB,CalcPartyB,$E631,CalcKeyB,"&lt;="&amp;Calc!$B628))</f>
        <v/>
      </c>
      <c r="L631" s="8" t="n"/>
    </row>
    <row r="632">
      <c r="A632" s="7">
        <f>IF($B632="","",COUNTA($B$9:$B632))</f>
        <v/>
      </c>
      <c r="B632" s="8" t="n"/>
      <c r="C632" s="8" t="n"/>
      <c r="D632" s="8" t="n"/>
      <c r="E632" s="8" t="n"/>
      <c r="F632" s="7">
        <f>IF($E632="","",IFERROR(IF(VLOOKUP($E632,AcctTbl,4,0)="","",VLOOKUP($E632,AcctTbl,4,0)),"—"))</f>
        <v/>
      </c>
      <c r="G632" s="8" t="n"/>
      <c r="H632" s="9" t="n"/>
      <c r="I632" s="9" t="n"/>
      <c r="J632" s="10">
        <f>IF(OR($H632="",$I632=""),"",ROUND($H632*$I632,0))</f>
        <v/>
      </c>
      <c r="K632" s="10">
        <f>IF(OR($B632="",$E632="",Calc!$B629=""),"",SUMIFS(CalcAmtA,CalcPartyA,$E632,CalcKeyA,"&lt;="&amp;Calc!$B629)-SUMIFS(CalcWitB,CalcPartyB,$E632,CalcKeyB,"&lt;="&amp;Calc!$B629)+SUMIFS(CalcDepB,CalcPartyB,$E632,CalcKeyB,"&lt;="&amp;Calc!$B629))</f>
        <v/>
      </c>
      <c r="L632" s="8" t="n"/>
    </row>
    <row r="633">
      <c r="A633" s="7">
        <f>IF($B633="","",COUNTA($B$9:$B633))</f>
        <v/>
      </c>
      <c r="B633" s="8" t="n"/>
      <c r="C633" s="8" t="n"/>
      <c r="D633" s="8" t="n"/>
      <c r="E633" s="8" t="n"/>
      <c r="F633" s="7">
        <f>IF($E633="","",IFERROR(IF(VLOOKUP($E633,AcctTbl,4,0)="","",VLOOKUP($E633,AcctTbl,4,0)),"—"))</f>
        <v/>
      </c>
      <c r="G633" s="8" t="n"/>
      <c r="H633" s="9" t="n"/>
      <c r="I633" s="9" t="n"/>
      <c r="J633" s="10">
        <f>IF(OR($H633="",$I633=""),"",ROUND($H633*$I633,0))</f>
        <v/>
      </c>
      <c r="K633" s="10">
        <f>IF(OR($B633="",$E633="",Calc!$B630=""),"",SUMIFS(CalcAmtA,CalcPartyA,$E633,CalcKeyA,"&lt;="&amp;Calc!$B630)-SUMIFS(CalcWitB,CalcPartyB,$E633,CalcKeyB,"&lt;="&amp;Calc!$B630)+SUMIFS(CalcDepB,CalcPartyB,$E633,CalcKeyB,"&lt;="&amp;Calc!$B630))</f>
        <v/>
      </c>
      <c r="L633" s="8" t="n"/>
    </row>
    <row r="634">
      <c r="A634" s="7">
        <f>IF($B634="","",COUNTA($B$9:$B634))</f>
        <v/>
      </c>
      <c r="B634" s="8" t="n"/>
      <c r="C634" s="8" t="n"/>
      <c r="D634" s="8" t="n"/>
      <c r="E634" s="8" t="n"/>
      <c r="F634" s="7">
        <f>IF($E634="","",IFERROR(IF(VLOOKUP($E634,AcctTbl,4,0)="","",VLOOKUP($E634,AcctTbl,4,0)),"—"))</f>
        <v/>
      </c>
      <c r="G634" s="8" t="n"/>
      <c r="H634" s="9" t="n"/>
      <c r="I634" s="9" t="n"/>
      <c r="J634" s="10">
        <f>IF(OR($H634="",$I634=""),"",ROUND($H634*$I634,0))</f>
        <v/>
      </c>
      <c r="K634" s="10">
        <f>IF(OR($B634="",$E634="",Calc!$B631=""),"",SUMIFS(CalcAmtA,CalcPartyA,$E634,CalcKeyA,"&lt;="&amp;Calc!$B631)-SUMIFS(CalcWitB,CalcPartyB,$E634,CalcKeyB,"&lt;="&amp;Calc!$B631)+SUMIFS(CalcDepB,CalcPartyB,$E634,CalcKeyB,"&lt;="&amp;Calc!$B631))</f>
        <v/>
      </c>
      <c r="L634" s="8" t="n"/>
    </row>
    <row r="635">
      <c r="A635" s="7">
        <f>IF($B635="","",COUNTA($B$9:$B635))</f>
        <v/>
      </c>
      <c r="B635" s="8" t="n"/>
      <c r="C635" s="8" t="n"/>
      <c r="D635" s="8" t="n"/>
      <c r="E635" s="8" t="n"/>
      <c r="F635" s="7">
        <f>IF($E635="","",IFERROR(IF(VLOOKUP($E635,AcctTbl,4,0)="","",VLOOKUP($E635,AcctTbl,4,0)),"—"))</f>
        <v/>
      </c>
      <c r="G635" s="8" t="n"/>
      <c r="H635" s="9" t="n"/>
      <c r="I635" s="9" t="n"/>
      <c r="J635" s="10">
        <f>IF(OR($H635="",$I635=""),"",ROUND($H635*$I635,0))</f>
        <v/>
      </c>
      <c r="K635" s="10">
        <f>IF(OR($B635="",$E635="",Calc!$B632=""),"",SUMIFS(CalcAmtA,CalcPartyA,$E635,CalcKeyA,"&lt;="&amp;Calc!$B632)-SUMIFS(CalcWitB,CalcPartyB,$E635,CalcKeyB,"&lt;="&amp;Calc!$B632)+SUMIFS(CalcDepB,CalcPartyB,$E635,CalcKeyB,"&lt;="&amp;Calc!$B632))</f>
        <v/>
      </c>
      <c r="L635" s="8" t="n"/>
    </row>
    <row r="636">
      <c r="A636" s="7">
        <f>IF($B636="","",COUNTA($B$9:$B636))</f>
        <v/>
      </c>
      <c r="B636" s="8" t="n"/>
      <c r="C636" s="8" t="n"/>
      <c r="D636" s="8" t="n"/>
      <c r="E636" s="8" t="n"/>
      <c r="F636" s="7">
        <f>IF($E636="","",IFERROR(IF(VLOOKUP($E636,AcctTbl,4,0)="","",VLOOKUP($E636,AcctTbl,4,0)),"—"))</f>
        <v/>
      </c>
      <c r="G636" s="8" t="n"/>
      <c r="H636" s="9" t="n"/>
      <c r="I636" s="9" t="n"/>
      <c r="J636" s="10">
        <f>IF(OR($H636="",$I636=""),"",ROUND($H636*$I636,0))</f>
        <v/>
      </c>
      <c r="K636" s="10">
        <f>IF(OR($B636="",$E636="",Calc!$B633=""),"",SUMIFS(CalcAmtA,CalcPartyA,$E636,CalcKeyA,"&lt;="&amp;Calc!$B633)-SUMIFS(CalcWitB,CalcPartyB,$E636,CalcKeyB,"&lt;="&amp;Calc!$B633)+SUMIFS(CalcDepB,CalcPartyB,$E636,CalcKeyB,"&lt;="&amp;Calc!$B633))</f>
        <v/>
      </c>
      <c r="L636" s="8" t="n"/>
    </row>
    <row r="637">
      <c r="A637" s="7">
        <f>IF($B637="","",COUNTA($B$9:$B637))</f>
        <v/>
      </c>
      <c r="B637" s="8" t="n"/>
      <c r="C637" s="8" t="n"/>
      <c r="D637" s="8" t="n"/>
      <c r="E637" s="8" t="n"/>
      <c r="F637" s="7">
        <f>IF($E637="","",IFERROR(IF(VLOOKUP($E637,AcctTbl,4,0)="","",VLOOKUP($E637,AcctTbl,4,0)),"—"))</f>
        <v/>
      </c>
      <c r="G637" s="8" t="n"/>
      <c r="H637" s="9" t="n"/>
      <c r="I637" s="9" t="n"/>
      <c r="J637" s="10">
        <f>IF(OR($H637="",$I637=""),"",ROUND($H637*$I637,0))</f>
        <v/>
      </c>
      <c r="K637" s="10">
        <f>IF(OR($B637="",$E637="",Calc!$B634=""),"",SUMIFS(CalcAmtA,CalcPartyA,$E637,CalcKeyA,"&lt;="&amp;Calc!$B634)-SUMIFS(CalcWitB,CalcPartyB,$E637,CalcKeyB,"&lt;="&amp;Calc!$B634)+SUMIFS(CalcDepB,CalcPartyB,$E637,CalcKeyB,"&lt;="&amp;Calc!$B634))</f>
        <v/>
      </c>
      <c r="L637" s="8" t="n"/>
    </row>
    <row r="638">
      <c r="A638" s="7">
        <f>IF($B638="","",COUNTA($B$9:$B638))</f>
        <v/>
      </c>
      <c r="B638" s="8" t="n"/>
      <c r="C638" s="8" t="n"/>
      <c r="D638" s="8" t="n"/>
      <c r="E638" s="8" t="n"/>
      <c r="F638" s="7">
        <f>IF($E638="","",IFERROR(IF(VLOOKUP($E638,AcctTbl,4,0)="","",VLOOKUP($E638,AcctTbl,4,0)),"—"))</f>
        <v/>
      </c>
      <c r="G638" s="8" t="n"/>
      <c r="H638" s="9" t="n"/>
      <c r="I638" s="9" t="n"/>
      <c r="J638" s="10">
        <f>IF(OR($H638="",$I638=""),"",ROUND($H638*$I638,0))</f>
        <v/>
      </c>
      <c r="K638" s="10">
        <f>IF(OR($B638="",$E638="",Calc!$B635=""),"",SUMIFS(CalcAmtA,CalcPartyA,$E638,CalcKeyA,"&lt;="&amp;Calc!$B635)-SUMIFS(CalcWitB,CalcPartyB,$E638,CalcKeyB,"&lt;="&amp;Calc!$B635)+SUMIFS(CalcDepB,CalcPartyB,$E638,CalcKeyB,"&lt;="&amp;Calc!$B635))</f>
        <v/>
      </c>
      <c r="L638" s="8" t="n"/>
    </row>
    <row r="639">
      <c r="A639" s="7">
        <f>IF($B639="","",COUNTA($B$9:$B639))</f>
        <v/>
      </c>
      <c r="B639" s="8" t="n"/>
      <c r="C639" s="8" t="n"/>
      <c r="D639" s="8" t="n"/>
      <c r="E639" s="8" t="n"/>
      <c r="F639" s="7">
        <f>IF($E639="","",IFERROR(IF(VLOOKUP($E639,AcctTbl,4,0)="","",VLOOKUP($E639,AcctTbl,4,0)),"—"))</f>
        <v/>
      </c>
      <c r="G639" s="8" t="n"/>
      <c r="H639" s="9" t="n"/>
      <c r="I639" s="9" t="n"/>
      <c r="J639" s="10">
        <f>IF(OR($H639="",$I639=""),"",ROUND($H639*$I639,0))</f>
        <v/>
      </c>
      <c r="K639" s="10">
        <f>IF(OR($B639="",$E639="",Calc!$B636=""),"",SUMIFS(CalcAmtA,CalcPartyA,$E639,CalcKeyA,"&lt;="&amp;Calc!$B636)-SUMIFS(CalcWitB,CalcPartyB,$E639,CalcKeyB,"&lt;="&amp;Calc!$B636)+SUMIFS(CalcDepB,CalcPartyB,$E639,CalcKeyB,"&lt;="&amp;Calc!$B636))</f>
        <v/>
      </c>
      <c r="L639" s="8" t="n"/>
    </row>
    <row r="640">
      <c r="A640" s="7">
        <f>IF($B640="","",COUNTA($B$9:$B640))</f>
        <v/>
      </c>
      <c r="B640" s="8" t="n"/>
      <c r="C640" s="8" t="n"/>
      <c r="D640" s="8" t="n"/>
      <c r="E640" s="8" t="n"/>
      <c r="F640" s="7">
        <f>IF($E640="","",IFERROR(IF(VLOOKUP($E640,AcctTbl,4,0)="","",VLOOKUP($E640,AcctTbl,4,0)),"—"))</f>
        <v/>
      </c>
      <c r="G640" s="8" t="n"/>
      <c r="H640" s="9" t="n"/>
      <c r="I640" s="9" t="n"/>
      <c r="J640" s="10">
        <f>IF(OR($H640="",$I640=""),"",ROUND($H640*$I640,0))</f>
        <v/>
      </c>
      <c r="K640" s="10">
        <f>IF(OR($B640="",$E640="",Calc!$B637=""),"",SUMIFS(CalcAmtA,CalcPartyA,$E640,CalcKeyA,"&lt;="&amp;Calc!$B637)-SUMIFS(CalcWitB,CalcPartyB,$E640,CalcKeyB,"&lt;="&amp;Calc!$B637)+SUMIFS(CalcDepB,CalcPartyB,$E640,CalcKeyB,"&lt;="&amp;Calc!$B637))</f>
        <v/>
      </c>
      <c r="L640" s="8" t="n"/>
    </row>
    <row r="641">
      <c r="A641" s="7">
        <f>IF($B641="","",COUNTA($B$9:$B641))</f>
        <v/>
      </c>
      <c r="B641" s="8" t="n"/>
      <c r="C641" s="8" t="n"/>
      <c r="D641" s="8" t="n"/>
      <c r="E641" s="8" t="n"/>
      <c r="F641" s="7">
        <f>IF($E641="","",IFERROR(IF(VLOOKUP($E641,AcctTbl,4,0)="","",VLOOKUP($E641,AcctTbl,4,0)),"—"))</f>
        <v/>
      </c>
      <c r="G641" s="8" t="n"/>
      <c r="H641" s="9" t="n"/>
      <c r="I641" s="9" t="n"/>
      <c r="J641" s="10">
        <f>IF(OR($H641="",$I641=""),"",ROUND($H641*$I641,0))</f>
        <v/>
      </c>
      <c r="K641" s="10">
        <f>IF(OR($B641="",$E641="",Calc!$B638=""),"",SUMIFS(CalcAmtA,CalcPartyA,$E641,CalcKeyA,"&lt;="&amp;Calc!$B638)-SUMIFS(CalcWitB,CalcPartyB,$E641,CalcKeyB,"&lt;="&amp;Calc!$B638)+SUMIFS(CalcDepB,CalcPartyB,$E641,CalcKeyB,"&lt;="&amp;Calc!$B638))</f>
        <v/>
      </c>
      <c r="L641" s="8" t="n"/>
    </row>
    <row r="642">
      <c r="A642" s="7">
        <f>IF($B642="","",COUNTA($B$9:$B642))</f>
        <v/>
      </c>
      <c r="B642" s="8" t="n"/>
      <c r="C642" s="8" t="n"/>
      <c r="D642" s="8" t="n"/>
      <c r="E642" s="8" t="n"/>
      <c r="F642" s="7">
        <f>IF($E642="","",IFERROR(IF(VLOOKUP($E642,AcctTbl,4,0)="","",VLOOKUP($E642,AcctTbl,4,0)),"—"))</f>
        <v/>
      </c>
      <c r="G642" s="8" t="n"/>
      <c r="H642" s="9" t="n"/>
      <c r="I642" s="9" t="n"/>
      <c r="J642" s="10">
        <f>IF(OR($H642="",$I642=""),"",ROUND($H642*$I642,0))</f>
        <v/>
      </c>
      <c r="K642" s="10">
        <f>IF(OR($B642="",$E642="",Calc!$B639=""),"",SUMIFS(CalcAmtA,CalcPartyA,$E642,CalcKeyA,"&lt;="&amp;Calc!$B639)-SUMIFS(CalcWitB,CalcPartyB,$E642,CalcKeyB,"&lt;="&amp;Calc!$B639)+SUMIFS(CalcDepB,CalcPartyB,$E642,CalcKeyB,"&lt;="&amp;Calc!$B639))</f>
        <v/>
      </c>
      <c r="L642" s="8" t="n"/>
    </row>
    <row r="643">
      <c r="A643" s="7">
        <f>IF($B643="","",COUNTA($B$9:$B643))</f>
        <v/>
      </c>
      <c r="B643" s="8" t="n"/>
      <c r="C643" s="8" t="n"/>
      <c r="D643" s="8" t="n"/>
      <c r="E643" s="8" t="n"/>
      <c r="F643" s="7">
        <f>IF($E643="","",IFERROR(IF(VLOOKUP($E643,AcctTbl,4,0)="","",VLOOKUP($E643,AcctTbl,4,0)),"—"))</f>
        <v/>
      </c>
      <c r="G643" s="8" t="n"/>
      <c r="H643" s="9" t="n"/>
      <c r="I643" s="9" t="n"/>
      <c r="J643" s="10">
        <f>IF(OR($H643="",$I643=""),"",ROUND($H643*$I643,0))</f>
        <v/>
      </c>
      <c r="K643" s="10">
        <f>IF(OR($B643="",$E643="",Calc!$B640=""),"",SUMIFS(CalcAmtA,CalcPartyA,$E643,CalcKeyA,"&lt;="&amp;Calc!$B640)-SUMIFS(CalcWitB,CalcPartyB,$E643,CalcKeyB,"&lt;="&amp;Calc!$B640)+SUMIFS(CalcDepB,CalcPartyB,$E643,CalcKeyB,"&lt;="&amp;Calc!$B640))</f>
        <v/>
      </c>
      <c r="L643" s="8" t="n"/>
    </row>
    <row r="644">
      <c r="A644" s="7">
        <f>IF($B644="","",COUNTA($B$9:$B644))</f>
        <v/>
      </c>
      <c r="B644" s="8" t="n"/>
      <c r="C644" s="8" t="n"/>
      <c r="D644" s="8" t="n"/>
      <c r="E644" s="8" t="n"/>
      <c r="F644" s="7">
        <f>IF($E644="","",IFERROR(IF(VLOOKUP($E644,AcctTbl,4,0)="","",VLOOKUP($E644,AcctTbl,4,0)),"—"))</f>
        <v/>
      </c>
      <c r="G644" s="8" t="n"/>
      <c r="H644" s="9" t="n"/>
      <c r="I644" s="9" t="n"/>
      <c r="J644" s="10">
        <f>IF(OR($H644="",$I644=""),"",ROUND($H644*$I644,0))</f>
        <v/>
      </c>
      <c r="K644" s="10">
        <f>IF(OR($B644="",$E644="",Calc!$B641=""),"",SUMIFS(CalcAmtA,CalcPartyA,$E644,CalcKeyA,"&lt;="&amp;Calc!$B641)-SUMIFS(CalcWitB,CalcPartyB,$E644,CalcKeyB,"&lt;="&amp;Calc!$B641)+SUMIFS(CalcDepB,CalcPartyB,$E644,CalcKeyB,"&lt;="&amp;Calc!$B641))</f>
        <v/>
      </c>
      <c r="L644" s="8" t="n"/>
    </row>
    <row r="645">
      <c r="A645" s="7">
        <f>IF($B645="","",COUNTA($B$9:$B645))</f>
        <v/>
      </c>
      <c r="B645" s="8" t="n"/>
      <c r="C645" s="8" t="n"/>
      <c r="D645" s="8" t="n"/>
      <c r="E645" s="8" t="n"/>
      <c r="F645" s="7">
        <f>IF($E645="","",IFERROR(IF(VLOOKUP($E645,AcctTbl,4,0)="","",VLOOKUP($E645,AcctTbl,4,0)),"—"))</f>
        <v/>
      </c>
      <c r="G645" s="8" t="n"/>
      <c r="H645" s="9" t="n"/>
      <c r="I645" s="9" t="n"/>
      <c r="J645" s="10">
        <f>IF(OR($H645="",$I645=""),"",ROUND($H645*$I645,0))</f>
        <v/>
      </c>
      <c r="K645" s="10">
        <f>IF(OR($B645="",$E645="",Calc!$B642=""),"",SUMIFS(CalcAmtA,CalcPartyA,$E645,CalcKeyA,"&lt;="&amp;Calc!$B642)-SUMIFS(CalcWitB,CalcPartyB,$E645,CalcKeyB,"&lt;="&amp;Calc!$B642)+SUMIFS(CalcDepB,CalcPartyB,$E645,CalcKeyB,"&lt;="&amp;Calc!$B642))</f>
        <v/>
      </c>
      <c r="L645" s="8" t="n"/>
    </row>
    <row r="646">
      <c r="A646" s="7">
        <f>IF($B646="","",COUNTA($B$9:$B646))</f>
        <v/>
      </c>
      <c r="B646" s="8" t="n"/>
      <c r="C646" s="8" t="n"/>
      <c r="D646" s="8" t="n"/>
      <c r="E646" s="8" t="n"/>
      <c r="F646" s="7">
        <f>IF($E646="","",IFERROR(IF(VLOOKUP($E646,AcctTbl,4,0)="","",VLOOKUP($E646,AcctTbl,4,0)),"—"))</f>
        <v/>
      </c>
      <c r="G646" s="8" t="n"/>
      <c r="H646" s="9" t="n"/>
      <c r="I646" s="9" t="n"/>
      <c r="J646" s="10">
        <f>IF(OR($H646="",$I646=""),"",ROUND($H646*$I646,0))</f>
        <v/>
      </c>
      <c r="K646" s="10">
        <f>IF(OR($B646="",$E646="",Calc!$B643=""),"",SUMIFS(CalcAmtA,CalcPartyA,$E646,CalcKeyA,"&lt;="&amp;Calc!$B643)-SUMIFS(CalcWitB,CalcPartyB,$E646,CalcKeyB,"&lt;="&amp;Calc!$B643)+SUMIFS(CalcDepB,CalcPartyB,$E646,CalcKeyB,"&lt;="&amp;Calc!$B643))</f>
        <v/>
      </c>
      <c r="L646" s="8" t="n"/>
    </row>
    <row r="647">
      <c r="A647" s="7">
        <f>IF($B647="","",COUNTA($B$9:$B647))</f>
        <v/>
      </c>
      <c r="B647" s="8" t="n"/>
      <c r="C647" s="8" t="n"/>
      <c r="D647" s="8" t="n"/>
      <c r="E647" s="8" t="n"/>
      <c r="F647" s="7">
        <f>IF($E647="","",IFERROR(IF(VLOOKUP($E647,AcctTbl,4,0)="","",VLOOKUP($E647,AcctTbl,4,0)),"—"))</f>
        <v/>
      </c>
      <c r="G647" s="8" t="n"/>
      <c r="H647" s="9" t="n"/>
      <c r="I647" s="9" t="n"/>
      <c r="J647" s="10">
        <f>IF(OR($H647="",$I647=""),"",ROUND($H647*$I647,0))</f>
        <v/>
      </c>
      <c r="K647" s="10">
        <f>IF(OR($B647="",$E647="",Calc!$B644=""),"",SUMIFS(CalcAmtA,CalcPartyA,$E647,CalcKeyA,"&lt;="&amp;Calc!$B644)-SUMIFS(CalcWitB,CalcPartyB,$E647,CalcKeyB,"&lt;="&amp;Calc!$B644)+SUMIFS(CalcDepB,CalcPartyB,$E647,CalcKeyB,"&lt;="&amp;Calc!$B644))</f>
        <v/>
      </c>
      <c r="L647" s="8" t="n"/>
    </row>
    <row r="648">
      <c r="A648" s="7">
        <f>IF($B648="","",COUNTA($B$9:$B648))</f>
        <v/>
      </c>
      <c r="B648" s="8" t="n"/>
      <c r="C648" s="8" t="n"/>
      <c r="D648" s="8" t="n"/>
      <c r="E648" s="8" t="n"/>
      <c r="F648" s="7">
        <f>IF($E648="","",IFERROR(IF(VLOOKUP($E648,AcctTbl,4,0)="","",VLOOKUP($E648,AcctTbl,4,0)),"—"))</f>
        <v/>
      </c>
      <c r="G648" s="8" t="n"/>
      <c r="H648" s="9" t="n"/>
      <c r="I648" s="9" t="n"/>
      <c r="J648" s="10">
        <f>IF(OR($H648="",$I648=""),"",ROUND($H648*$I648,0))</f>
        <v/>
      </c>
      <c r="K648" s="10">
        <f>IF(OR($B648="",$E648="",Calc!$B645=""),"",SUMIFS(CalcAmtA,CalcPartyA,$E648,CalcKeyA,"&lt;="&amp;Calc!$B645)-SUMIFS(CalcWitB,CalcPartyB,$E648,CalcKeyB,"&lt;="&amp;Calc!$B645)+SUMIFS(CalcDepB,CalcPartyB,$E648,CalcKeyB,"&lt;="&amp;Calc!$B645))</f>
        <v/>
      </c>
      <c r="L648" s="8" t="n"/>
    </row>
    <row r="649">
      <c r="A649" s="7">
        <f>IF($B649="","",COUNTA($B$9:$B649))</f>
        <v/>
      </c>
      <c r="B649" s="8" t="n"/>
      <c r="C649" s="8" t="n"/>
      <c r="D649" s="8" t="n"/>
      <c r="E649" s="8" t="n"/>
      <c r="F649" s="7">
        <f>IF($E649="","",IFERROR(IF(VLOOKUP($E649,AcctTbl,4,0)="","",VLOOKUP($E649,AcctTbl,4,0)),"—"))</f>
        <v/>
      </c>
      <c r="G649" s="8" t="n"/>
      <c r="H649" s="9" t="n"/>
      <c r="I649" s="9" t="n"/>
      <c r="J649" s="10">
        <f>IF(OR($H649="",$I649=""),"",ROUND($H649*$I649,0))</f>
        <v/>
      </c>
      <c r="K649" s="10">
        <f>IF(OR($B649="",$E649="",Calc!$B646=""),"",SUMIFS(CalcAmtA,CalcPartyA,$E649,CalcKeyA,"&lt;="&amp;Calc!$B646)-SUMIFS(CalcWitB,CalcPartyB,$E649,CalcKeyB,"&lt;="&amp;Calc!$B646)+SUMIFS(CalcDepB,CalcPartyB,$E649,CalcKeyB,"&lt;="&amp;Calc!$B646))</f>
        <v/>
      </c>
      <c r="L649" s="8" t="n"/>
    </row>
    <row r="650">
      <c r="A650" s="7">
        <f>IF($B650="","",COUNTA($B$9:$B650))</f>
        <v/>
      </c>
      <c r="B650" s="8" t="n"/>
      <c r="C650" s="8" t="n"/>
      <c r="D650" s="8" t="n"/>
      <c r="E650" s="8" t="n"/>
      <c r="F650" s="7">
        <f>IF($E650="","",IFERROR(IF(VLOOKUP($E650,AcctTbl,4,0)="","",VLOOKUP($E650,AcctTbl,4,0)),"—"))</f>
        <v/>
      </c>
      <c r="G650" s="8" t="n"/>
      <c r="H650" s="9" t="n"/>
      <c r="I650" s="9" t="n"/>
      <c r="J650" s="10">
        <f>IF(OR($H650="",$I650=""),"",ROUND($H650*$I650,0))</f>
        <v/>
      </c>
      <c r="K650" s="10">
        <f>IF(OR($B650="",$E650="",Calc!$B647=""),"",SUMIFS(CalcAmtA,CalcPartyA,$E650,CalcKeyA,"&lt;="&amp;Calc!$B647)-SUMIFS(CalcWitB,CalcPartyB,$E650,CalcKeyB,"&lt;="&amp;Calc!$B647)+SUMIFS(CalcDepB,CalcPartyB,$E650,CalcKeyB,"&lt;="&amp;Calc!$B647))</f>
        <v/>
      </c>
      <c r="L650" s="8" t="n"/>
    </row>
    <row r="651">
      <c r="A651" s="7">
        <f>IF($B651="","",COUNTA($B$9:$B651))</f>
        <v/>
      </c>
      <c r="B651" s="8" t="n"/>
      <c r="C651" s="8" t="n"/>
      <c r="D651" s="8" t="n"/>
      <c r="E651" s="8" t="n"/>
      <c r="F651" s="7">
        <f>IF($E651="","",IFERROR(IF(VLOOKUP($E651,AcctTbl,4,0)="","",VLOOKUP($E651,AcctTbl,4,0)),"—"))</f>
        <v/>
      </c>
      <c r="G651" s="8" t="n"/>
      <c r="H651" s="9" t="n"/>
      <c r="I651" s="9" t="n"/>
      <c r="J651" s="10">
        <f>IF(OR($H651="",$I651=""),"",ROUND($H651*$I651,0))</f>
        <v/>
      </c>
      <c r="K651" s="10">
        <f>IF(OR($B651="",$E651="",Calc!$B648=""),"",SUMIFS(CalcAmtA,CalcPartyA,$E651,CalcKeyA,"&lt;="&amp;Calc!$B648)-SUMIFS(CalcWitB,CalcPartyB,$E651,CalcKeyB,"&lt;="&amp;Calc!$B648)+SUMIFS(CalcDepB,CalcPartyB,$E651,CalcKeyB,"&lt;="&amp;Calc!$B648))</f>
        <v/>
      </c>
      <c r="L651" s="8" t="n"/>
    </row>
    <row r="652">
      <c r="A652" s="7">
        <f>IF($B652="","",COUNTA($B$9:$B652))</f>
        <v/>
      </c>
      <c r="B652" s="8" t="n"/>
      <c r="C652" s="8" t="n"/>
      <c r="D652" s="8" t="n"/>
      <c r="E652" s="8" t="n"/>
      <c r="F652" s="7">
        <f>IF($E652="","",IFERROR(IF(VLOOKUP($E652,AcctTbl,4,0)="","",VLOOKUP($E652,AcctTbl,4,0)),"—"))</f>
        <v/>
      </c>
      <c r="G652" s="8" t="n"/>
      <c r="H652" s="9" t="n"/>
      <c r="I652" s="9" t="n"/>
      <c r="J652" s="10">
        <f>IF(OR($H652="",$I652=""),"",ROUND($H652*$I652,0))</f>
        <v/>
      </c>
      <c r="K652" s="10">
        <f>IF(OR($B652="",$E652="",Calc!$B649=""),"",SUMIFS(CalcAmtA,CalcPartyA,$E652,CalcKeyA,"&lt;="&amp;Calc!$B649)-SUMIFS(CalcWitB,CalcPartyB,$E652,CalcKeyB,"&lt;="&amp;Calc!$B649)+SUMIFS(CalcDepB,CalcPartyB,$E652,CalcKeyB,"&lt;="&amp;Calc!$B649))</f>
        <v/>
      </c>
      <c r="L652" s="8" t="n"/>
    </row>
    <row r="653">
      <c r="A653" s="7">
        <f>IF($B653="","",COUNTA($B$9:$B653))</f>
        <v/>
      </c>
      <c r="B653" s="8" t="n"/>
      <c r="C653" s="8" t="n"/>
      <c r="D653" s="8" t="n"/>
      <c r="E653" s="8" t="n"/>
      <c r="F653" s="7">
        <f>IF($E653="","",IFERROR(IF(VLOOKUP($E653,AcctTbl,4,0)="","",VLOOKUP($E653,AcctTbl,4,0)),"—"))</f>
        <v/>
      </c>
      <c r="G653" s="8" t="n"/>
      <c r="H653" s="9" t="n"/>
      <c r="I653" s="9" t="n"/>
      <c r="J653" s="10">
        <f>IF(OR($H653="",$I653=""),"",ROUND($H653*$I653,0))</f>
        <v/>
      </c>
      <c r="K653" s="10">
        <f>IF(OR($B653="",$E653="",Calc!$B650=""),"",SUMIFS(CalcAmtA,CalcPartyA,$E653,CalcKeyA,"&lt;="&amp;Calc!$B650)-SUMIFS(CalcWitB,CalcPartyB,$E653,CalcKeyB,"&lt;="&amp;Calc!$B650)+SUMIFS(CalcDepB,CalcPartyB,$E653,CalcKeyB,"&lt;="&amp;Calc!$B650))</f>
        <v/>
      </c>
      <c r="L653" s="8" t="n"/>
    </row>
    <row r="654">
      <c r="A654" s="7">
        <f>IF($B654="","",COUNTA($B$9:$B654))</f>
        <v/>
      </c>
      <c r="B654" s="8" t="n"/>
      <c r="C654" s="8" t="n"/>
      <c r="D654" s="8" t="n"/>
      <c r="E654" s="8" t="n"/>
      <c r="F654" s="7">
        <f>IF($E654="","",IFERROR(IF(VLOOKUP($E654,AcctTbl,4,0)="","",VLOOKUP($E654,AcctTbl,4,0)),"—"))</f>
        <v/>
      </c>
      <c r="G654" s="8" t="n"/>
      <c r="H654" s="9" t="n"/>
      <c r="I654" s="9" t="n"/>
      <c r="J654" s="10">
        <f>IF(OR($H654="",$I654=""),"",ROUND($H654*$I654,0))</f>
        <v/>
      </c>
      <c r="K654" s="10">
        <f>IF(OR($B654="",$E654="",Calc!$B651=""),"",SUMIFS(CalcAmtA,CalcPartyA,$E654,CalcKeyA,"&lt;="&amp;Calc!$B651)-SUMIFS(CalcWitB,CalcPartyB,$E654,CalcKeyB,"&lt;="&amp;Calc!$B651)+SUMIFS(CalcDepB,CalcPartyB,$E654,CalcKeyB,"&lt;="&amp;Calc!$B651))</f>
        <v/>
      </c>
      <c r="L654" s="8" t="n"/>
    </row>
    <row r="655">
      <c r="A655" s="7">
        <f>IF($B655="","",COUNTA($B$9:$B655))</f>
        <v/>
      </c>
      <c r="B655" s="8" t="n"/>
      <c r="C655" s="8" t="n"/>
      <c r="D655" s="8" t="n"/>
      <c r="E655" s="8" t="n"/>
      <c r="F655" s="7">
        <f>IF($E655="","",IFERROR(IF(VLOOKUP($E655,AcctTbl,4,0)="","",VLOOKUP($E655,AcctTbl,4,0)),"—"))</f>
        <v/>
      </c>
      <c r="G655" s="8" t="n"/>
      <c r="H655" s="9" t="n"/>
      <c r="I655" s="9" t="n"/>
      <c r="J655" s="10">
        <f>IF(OR($H655="",$I655=""),"",ROUND($H655*$I655,0))</f>
        <v/>
      </c>
      <c r="K655" s="10">
        <f>IF(OR($B655="",$E655="",Calc!$B652=""),"",SUMIFS(CalcAmtA,CalcPartyA,$E655,CalcKeyA,"&lt;="&amp;Calc!$B652)-SUMIFS(CalcWitB,CalcPartyB,$E655,CalcKeyB,"&lt;="&amp;Calc!$B652)+SUMIFS(CalcDepB,CalcPartyB,$E655,CalcKeyB,"&lt;="&amp;Calc!$B652))</f>
        <v/>
      </c>
      <c r="L655" s="8" t="n"/>
    </row>
    <row r="656">
      <c r="A656" s="7">
        <f>IF($B656="","",COUNTA($B$9:$B656))</f>
        <v/>
      </c>
      <c r="B656" s="8" t="n"/>
      <c r="C656" s="8" t="n"/>
      <c r="D656" s="8" t="n"/>
      <c r="E656" s="8" t="n"/>
      <c r="F656" s="7">
        <f>IF($E656="","",IFERROR(IF(VLOOKUP($E656,AcctTbl,4,0)="","",VLOOKUP($E656,AcctTbl,4,0)),"—"))</f>
        <v/>
      </c>
      <c r="G656" s="8" t="n"/>
      <c r="H656" s="9" t="n"/>
      <c r="I656" s="9" t="n"/>
      <c r="J656" s="10">
        <f>IF(OR($H656="",$I656=""),"",ROUND($H656*$I656,0))</f>
        <v/>
      </c>
      <c r="K656" s="10">
        <f>IF(OR($B656="",$E656="",Calc!$B653=""),"",SUMIFS(CalcAmtA,CalcPartyA,$E656,CalcKeyA,"&lt;="&amp;Calc!$B653)-SUMIFS(CalcWitB,CalcPartyB,$E656,CalcKeyB,"&lt;="&amp;Calc!$B653)+SUMIFS(CalcDepB,CalcPartyB,$E656,CalcKeyB,"&lt;="&amp;Calc!$B653))</f>
        <v/>
      </c>
      <c r="L656" s="8" t="n"/>
    </row>
    <row r="657">
      <c r="A657" s="7">
        <f>IF($B657="","",COUNTA($B$9:$B657))</f>
        <v/>
      </c>
      <c r="B657" s="8" t="n"/>
      <c r="C657" s="8" t="n"/>
      <c r="D657" s="8" t="n"/>
      <c r="E657" s="8" t="n"/>
      <c r="F657" s="7">
        <f>IF($E657="","",IFERROR(IF(VLOOKUP($E657,AcctTbl,4,0)="","",VLOOKUP($E657,AcctTbl,4,0)),"—"))</f>
        <v/>
      </c>
      <c r="G657" s="8" t="n"/>
      <c r="H657" s="9" t="n"/>
      <c r="I657" s="9" t="n"/>
      <c r="J657" s="10">
        <f>IF(OR($H657="",$I657=""),"",ROUND($H657*$I657,0))</f>
        <v/>
      </c>
      <c r="K657" s="10">
        <f>IF(OR($B657="",$E657="",Calc!$B654=""),"",SUMIFS(CalcAmtA,CalcPartyA,$E657,CalcKeyA,"&lt;="&amp;Calc!$B654)-SUMIFS(CalcWitB,CalcPartyB,$E657,CalcKeyB,"&lt;="&amp;Calc!$B654)+SUMIFS(CalcDepB,CalcPartyB,$E657,CalcKeyB,"&lt;="&amp;Calc!$B654))</f>
        <v/>
      </c>
      <c r="L657" s="8" t="n"/>
    </row>
    <row r="658">
      <c r="A658" s="7">
        <f>IF($B658="","",COUNTA($B$9:$B658))</f>
        <v/>
      </c>
      <c r="B658" s="8" t="n"/>
      <c r="C658" s="8" t="n"/>
      <c r="D658" s="8" t="n"/>
      <c r="E658" s="8" t="n"/>
      <c r="F658" s="7">
        <f>IF($E658="","",IFERROR(IF(VLOOKUP($E658,AcctTbl,4,0)="","",VLOOKUP($E658,AcctTbl,4,0)),"—"))</f>
        <v/>
      </c>
      <c r="G658" s="8" t="n"/>
      <c r="H658" s="9" t="n"/>
      <c r="I658" s="9" t="n"/>
      <c r="J658" s="10">
        <f>IF(OR($H658="",$I658=""),"",ROUND($H658*$I658,0))</f>
        <v/>
      </c>
      <c r="K658" s="10">
        <f>IF(OR($B658="",$E658="",Calc!$B655=""),"",SUMIFS(CalcAmtA,CalcPartyA,$E658,CalcKeyA,"&lt;="&amp;Calc!$B655)-SUMIFS(CalcWitB,CalcPartyB,$E658,CalcKeyB,"&lt;="&amp;Calc!$B655)+SUMIFS(CalcDepB,CalcPartyB,$E658,CalcKeyB,"&lt;="&amp;Calc!$B655))</f>
        <v/>
      </c>
      <c r="L658" s="8" t="n"/>
    </row>
    <row r="659">
      <c r="A659" s="7">
        <f>IF($B659="","",COUNTA($B$9:$B659))</f>
        <v/>
      </c>
      <c r="B659" s="8" t="n"/>
      <c r="C659" s="8" t="n"/>
      <c r="D659" s="8" t="n"/>
      <c r="E659" s="8" t="n"/>
      <c r="F659" s="7">
        <f>IF($E659="","",IFERROR(IF(VLOOKUP($E659,AcctTbl,4,0)="","",VLOOKUP($E659,AcctTbl,4,0)),"—"))</f>
        <v/>
      </c>
      <c r="G659" s="8" t="n"/>
      <c r="H659" s="9" t="n"/>
      <c r="I659" s="9" t="n"/>
      <c r="J659" s="10">
        <f>IF(OR($H659="",$I659=""),"",ROUND($H659*$I659,0))</f>
        <v/>
      </c>
      <c r="K659" s="10">
        <f>IF(OR($B659="",$E659="",Calc!$B656=""),"",SUMIFS(CalcAmtA,CalcPartyA,$E659,CalcKeyA,"&lt;="&amp;Calc!$B656)-SUMIFS(CalcWitB,CalcPartyB,$E659,CalcKeyB,"&lt;="&amp;Calc!$B656)+SUMIFS(CalcDepB,CalcPartyB,$E659,CalcKeyB,"&lt;="&amp;Calc!$B656))</f>
        <v/>
      </c>
      <c r="L659" s="8" t="n"/>
    </row>
    <row r="660">
      <c r="A660" s="7">
        <f>IF($B660="","",COUNTA($B$9:$B660))</f>
        <v/>
      </c>
      <c r="B660" s="8" t="n"/>
      <c r="C660" s="8" t="n"/>
      <c r="D660" s="8" t="n"/>
      <c r="E660" s="8" t="n"/>
      <c r="F660" s="7">
        <f>IF($E660="","",IFERROR(IF(VLOOKUP($E660,AcctTbl,4,0)="","",VLOOKUP($E660,AcctTbl,4,0)),"—"))</f>
        <v/>
      </c>
      <c r="G660" s="8" t="n"/>
      <c r="H660" s="9" t="n"/>
      <c r="I660" s="9" t="n"/>
      <c r="J660" s="10">
        <f>IF(OR($H660="",$I660=""),"",ROUND($H660*$I660,0))</f>
        <v/>
      </c>
      <c r="K660" s="10">
        <f>IF(OR($B660="",$E660="",Calc!$B657=""),"",SUMIFS(CalcAmtA,CalcPartyA,$E660,CalcKeyA,"&lt;="&amp;Calc!$B657)-SUMIFS(CalcWitB,CalcPartyB,$E660,CalcKeyB,"&lt;="&amp;Calc!$B657)+SUMIFS(CalcDepB,CalcPartyB,$E660,CalcKeyB,"&lt;="&amp;Calc!$B657))</f>
        <v/>
      </c>
      <c r="L660" s="8" t="n"/>
    </row>
    <row r="661">
      <c r="A661" s="7">
        <f>IF($B661="","",COUNTA($B$9:$B661))</f>
        <v/>
      </c>
      <c r="B661" s="8" t="n"/>
      <c r="C661" s="8" t="n"/>
      <c r="D661" s="8" t="n"/>
      <c r="E661" s="8" t="n"/>
      <c r="F661" s="7">
        <f>IF($E661="","",IFERROR(IF(VLOOKUP($E661,AcctTbl,4,0)="","",VLOOKUP($E661,AcctTbl,4,0)),"—"))</f>
        <v/>
      </c>
      <c r="G661" s="8" t="n"/>
      <c r="H661" s="9" t="n"/>
      <c r="I661" s="9" t="n"/>
      <c r="J661" s="10">
        <f>IF(OR($H661="",$I661=""),"",ROUND($H661*$I661,0))</f>
        <v/>
      </c>
      <c r="K661" s="10">
        <f>IF(OR($B661="",$E661="",Calc!$B658=""),"",SUMIFS(CalcAmtA,CalcPartyA,$E661,CalcKeyA,"&lt;="&amp;Calc!$B658)-SUMIFS(CalcWitB,CalcPartyB,$E661,CalcKeyB,"&lt;="&amp;Calc!$B658)+SUMIFS(CalcDepB,CalcPartyB,$E661,CalcKeyB,"&lt;="&amp;Calc!$B658))</f>
        <v/>
      </c>
      <c r="L661" s="8" t="n"/>
    </row>
    <row r="662">
      <c r="A662" s="7">
        <f>IF($B662="","",COUNTA($B$9:$B662))</f>
        <v/>
      </c>
      <c r="B662" s="8" t="n"/>
      <c r="C662" s="8" t="n"/>
      <c r="D662" s="8" t="n"/>
      <c r="E662" s="8" t="n"/>
      <c r="F662" s="7">
        <f>IF($E662="","",IFERROR(IF(VLOOKUP($E662,AcctTbl,4,0)="","",VLOOKUP($E662,AcctTbl,4,0)),"—"))</f>
        <v/>
      </c>
      <c r="G662" s="8" t="n"/>
      <c r="H662" s="9" t="n"/>
      <c r="I662" s="9" t="n"/>
      <c r="J662" s="10">
        <f>IF(OR($H662="",$I662=""),"",ROUND($H662*$I662,0))</f>
        <v/>
      </c>
      <c r="K662" s="10">
        <f>IF(OR($B662="",$E662="",Calc!$B659=""),"",SUMIFS(CalcAmtA,CalcPartyA,$E662,CalcKeyA,"&lt;="&amp;Calc!$B659)-SUMIFS(CalcWitB,CalcPartyB,$E662,CalcKeyB,"&lt;="&amp;Calc!$B659)+SUMIFS(CalcDepB,CalcPartyB,$E662,CalcKeyB,"&lt;="&amp;Calc!$B659))</f>
        <v/>
      </c>
      <c r="L662" s="8" t="n"/>
    </row>
    <row r="663">
      <c r="A663" s="7">
        <f>IF($B663="","",COUNTA($B$9:$B663))</f>
        <v/>
      </c>
      <c r="B663" s="8" t="n"/>
      <c r="C663" s="8" t="n"/>
      <c r="D663" s="8" t="n"/>
      <c r="E663" s="8" t="n"/>
      <c r="F663" s="7">
        <f>IF($E663="","",IFERROR(IF(VLOOKUP($E663,AcctTbl,4,0)="","",VLOOKUP($E663,AcctTbl,4,0)),"—"))</f>
        <v/>
      </c>
      <c r="G663" s="8" t="n"/>
      <c r="H663" s="9" t="n"/>
      <c r="I663" s="9" t="n"/>
      <c r="J663" s="10">
        <f>IF(OR($H663="",$I663=""),"",ROUND($H663*$I663,0))</f>
        <v/>
      </c>
      <c r="K663" s="10">
        <f>IF(OR($B663="",$E663="",Calc!$B660=""),"",SUMIFS(CalcAmtA,CalcPartyA,$E663,CalcKeyA,"&lt;="&amp;Calc!$B660)-SUMIFS(CalcWitB,CalcPartyB,$E663,CalcKeyB,"&lt;="&amp;Calc!$B660)+SUMIFS(CalcDepB,CalcPartyB,$E663,CalcKeyB,"&lt;="&amp;Calc!$B660))</f>
        <v/>
      </c>
      <c r="L663" s="8" t="n"/>
    </row>
    <row r="664">
      <c r="A664" s="7">
        <f>IF($B664="","",COUNTA($B$9:$B664))</f>
        <v/>
      </c>
      <c r="B664" s="8" t="n"/>
      <c r="C664" s="8" t="n"/>
      <c r="D664" s="8" t="n"/>
      <c r="E664" s="8" t="n"/>
      <c r="F664" s="7">
        <f>IF($E664="","",IFERROR(IF(VLOOKUP($E664,AcctTbl,4,0)="","",VLOOKUP($E664,AcctTbl,4,0)),"—"))</f>
        <v/>
      </c>
      <c r="G664" s="8" t="n"/>
      <c r="H664" s="9" t="n"/>
      <c r="I664" s="9" t="n"/>
      <c r="J664" s="10">
        <f>IF(OR($H664="",$I664=""),"",ROUND($H664*$I664,0))</f>
        <v/>
      </c>
      <c r="K664" s="10">
        <f>IF(OR($B664="",$E664="",Calc!$B661=""),"",SUMIFS(CalcAmtA,CalcPartyA,$E664,CalcKeyA,"&lt;="&amp;Calc!$B661)-SUMIFS(CalcWitB,CalcPartyB,$E664,CalcKeyB,"&lt;="&amp;Calc!$B661)+SUMIFS(CalcDepB,CalcPartyB,$E664,CalcKeyB,"&lt;="&amp;Calc!$B661))</f>
        <v/>
      </c>
      <c r="L664" s="8" t="n"/>
    </row>
    <row r="665">
      <c r="A665" s="7">
        <f>IF($B665="","",COUNTA($B$9:$B665))</f>
        <v/>
      </c>
      <c r="B665" s="8" t="n"/>
      <c r="C665" s="8" t="n"/>
      <c r="D665" s="8" t="n"/>
      <c r="E665" s="8" t="n"/>
      <c r="F665" s="7">
        <f>IF($E665="","",IFERROR(IF(VLOOKUP($E665,AcctTbl,4,0)="","",VLOOKUP($E665,AcctTbl,4,0)),"—"))</f>
        <v/>
      </c>
      <c r="G665" s="8" t="n"/>
      <c r="H665" s="9" t="n"/>
      <c r="I665" s="9" t="n"/>
      <c r="J665" s="10">
        <f>IF(OR($H665="",$I665=""),"",ROUND($H665*$I665,0))</f>
        <v/>
      </c>
      <c r="K665" s="10">
        <f>IF(OR($B665="",$E665="",Calc!$B662=""),"",SUMIFS(CalcAmtA,CalcPartyA,$E665,CalcKeyA,"&lt;="&amp;Calc!$B662)-SUMIFS(CalcWitB,CalcPartyB,$E665,CalcKeyB,"&lt;="&amp;Calc!$B662)+SUMIFS(CalcDepB,CalcPartyB,$E665,CalcKeyB,"&lt;="&amp;Calc!$B662))</f>
        <v/>
      </c>
      <c r="L665" s="8" t="n"/>
    </row>
    <row r="666">
      <c r="A666" s="7">
        <f>IF($B666="","",COUNTA($B$9:$B666))</f>
        <v/>
      </c>
      <c r="B666" s="8" t="n"/>
      <c r="C666" s="8" t="n"/>
      <c r="D666" s="8" t="n"/>
      <c r="E666" s="8" t="n"/>
      <c r="F666" s="7">
        <f>IF($E666="","",IFERROR(IF(VLOOKUP($E666,AcctTbl,4,0)="","",VLOOKUP($E666,AcctTbl,4,0)),"—"))</f>
        <v/>
      </c>
      <c r="G666" s="8" t="n"/>
      <c r="H666" s="9" t="n"/>
      <c r="I666" s="9" t="n"/>
      <c r="J666" s="10">
        <f>IF(OR($H666="",$I666=""),"",ROUND($H666*$I666,0))</f>
        <v/>
      </c>
      <c r="K666" s="10">
        <f>IF(OR($B666="",$E666="",Calc!$B663=""),"",SUMIFS(CalcAmtA,CalcPartyA,$E666,CalcKeyA,"&lt;="&amp;Calc!$B663)-SUMIFS(CalcWitB,CalcPartyB,$E666,CalcKeyB,"&lt;="&amp;Calc!$B663)+SUMIFS(CalcDepB,CalcPartyB,$E666,CalcKeyB,"&lt;="&amp;Calc!$B663))</f>
        <v/>
      </c>
      <c r="L666" s="8" t="n"/>
    </row>
    <row r="667">
      <c r="A667" s="7">
        <f>IF($B667="","",COUNTA($B$9:$B667))</f>
        <v/>
      </c>
      <c r="B667" s="8" t="n"/>
      <c r="C667" s="8" t="n"/>
      <c r="D667" s="8" t="n"/>
      <c r="E667" s="8" t="n"/>
      <c r="F667" s="7">
        <f>IF($E667="","",IFERROR(IF(VLOOKUP($E667,AcctTbl,4,0)="","",VLOOKUP($E667,AcctTbl,4,0)),"—"))</f>
        <v/>
      </c>
      <c r="G667" s="8" t="n"/>
      <c r="H667" s="9" t="n"/>
      <c r="I667" s="9" t="n"/>
      <c r="J667" s="10">
        <f>IF(OR($H667="",$I667=""),"",ROUND($H667*$I667,0))</f>
        <v/>
      </c>
      <c r="K667" s="10">
        <f>IF(OR($B667="",$E667="",Calc!$B664=""),"",SUMIFS(CalcAmtA,CalcPartyA,$E667,CalcKeyA,"&lt;="&amp;Calc!$B664)-SUMIFS(CalcWitB,CalcPartyB,$E667,CalcKeyB,"&lt;="&amp;Calc!$B664)+SUMIFS(CalcDepB,CalcPartyB,$E667,CalcKeyB,"&lt;="&amp;Calc!$B664))</f>
        <v/>
      </c>
      <c r="L667" s="8" t="n"/>
    </row>
    <row r="668">
      <c r="A668" s="7">
        <f>IF($B668="","",COUNTA($B$9:$B668))</f>
        <v/>
      </c>
      <c r="B668" s="8" t="n"/>
      <c r="C668" s="8" t="n"/>
      <c r="D668" s="8" t="n"/>
      <c r="E668" s="8" t="n"/>
      <c r="F668" s="7">
        <f>IF($E668="","",IFERROR(IF(VLOOKUP($E668,AcctTbl,4,0)="","",VLOOKUP($E668,AcctTbl,4,0)),"—"))</f>
        <v/>
      </c>
      <c r="G668" s="8" t="n"/>
      <c r="H668" s="9" t="n"/>
      <c r="I668" s="9" t="n"/>
      <c r="J668" s="10">
        <f>IF(OR($H668="",$I668=""),"",ROUND($H668*$I668,0))</f>
        <v/>
      </c>
      <c r="K668" s="10">
        <f>IF(OR($B668="",$E668="",Calc!$B665=""),"",SUMIFS(CalcAmtA,CalcPartyA,$E668,CalcKeyA,"&lt;="&amp;Calc!$B665)-SUMIFS(CalcWitB,CalcPartyB,$E668,CalcKeyB,"&lt;="&amp;Calc!$B665)+SUMIFS(CalcDepB,CalcPartyB,$E668,CalcKeyB,"&lt;="&amp;Calc!$B665))</f>
        <v/>
      </c>
      <c r="L668" s="8" t="n"/>
    </row>
    <row r="669">
      <c r="A669" s="7">
        <f>IF($B669="","",COUNTA($B$9:$B669))</f>
        <v/>
      </c>
      <c r="B669" s="8" t="n"/>
      <c r="C669" s="8" t="n"/>
      <c r="D669" s="8" t="n"/>
      <c r="E669" s="8" t="n"/>
      <c r="F669" s="7">
        <f>IF($E669="","",IFERROR(IF(VLOOKUP($E669,AcctTbl,4,0)="","",VLOOKUP($E669,AcctTbl,4,0)),"—"))</f>
        <v/>
      </c>
      <c r="G669" s="8" t="n"/>
      <c r="H669" s="9" t="n"/>
      <c r="I669" s="9" t="n"/>
      <c r="J669" s="10">
        <f>IF(OR($H669="",$I669=""),"",ROUND($H669*$I669,0))</f>
        <v/>
      </c>
      <c r="K669" s="10">
        <f>IF(OR($B669="",$E669="",Calc!$B666=""),"",SUMIFS(CalcAmtA,CalcPartyA,$E669,CalcKeyA,"&lt;="&amp;Calc!$B666)-SUMIFS(CalcWitB,CalcPartyB,$E669,CalcKeyB,"&lt;="&amp;Calc!$B666)+SUMIFS(CalcDepB,CalcPartyB,$E669,CalcKeyB,"&lt;="&amp;Calc!$B666))</f>
        <v/>
      </c>
      <c r="L669" s="8" t="n"/>
    </row>
    <row r="670">
      <c r="A670" s="7">
        <f>IF($B670="","",COUNTA($B$9:$B670))</f>
        <v/>
      </c>
      <c r="B670" s="8" t="n"/>
      <c r="C670" s="8" t="n"/>
      <c r="D670" s="8" t="n"/>
      <c r="E670" s="8" t="n"/>
      <c r="F670" s="7">
        <f>IF($E670="","",IFERROR(IF(VLOOKUP($E670,AcctTbl,4,0)="","",VLOOKUP($E670,AcctTbl,4,0)),"—"))</f>
        <v/>
      </c>
      <c r="G670" s="8" t="n"/>
      <c r="H670" s="9" t="n"/>
      <c r="I670" s="9" t="n"/>
      <c r="J670" s="10">
        <f>IF(OR($H670="",$I670=""),"",ROUND($H670*$I670,0))</f>
        <v/>
      </c>
      <c r="K670" s="10">
        <f>IF(OR($B670="",$E670="",Calc!$B667=""),"",SUMIFS(CalcAmtA,CalcPartyA,$E670,CalcKeyA,"&lt;="&amp;Calc!$B667)-SUMIFS(CalcWitB,CalcPartyB,$E670,CalcKeyB,"&lt;="&amp;Calc!$B667)+SUMIFS(CalcDepB,CalcPartyB,$E670,CalcKeyB,"&lt;="&amp;Calc!$B667))</f>
        <v/>
      </c>
      <c r="L670" s="8" t="n"/>
    </row>
    <row r="671">
      <c r="A671" s="7">
        <f>IF($B671="","",COUNTA($B$9:$B671))</f>
        <v/>
      </c>
      <c r="B671" s="8" t="n"/>
      <c r="C671" s="8" t="n"/>
      <c r="D671" s="8" t="n"/>
      <c r="E671" s="8" t="n"/>
      <c r="F671" s="7">
        <f>IF($E671="","",IFERROR(IF(VLOOKUP($E671,AcctTbl,4,0)="","",VLOOKUP($E671,AcctTbl,4,0)),"—"))</f>
        <v/>
      </c>
      <c r="G671" s="8" t="n"/>
      <c r="H671" s="9" t="n"/>
      <c r="I671" s="9" t="n"/>
      <c r="J671" s="10">
        <f>IF(OR($H671="",$I671=""),"",ROUND($H671*$I671,0))</f>
        <v/>
      </c>
      <c r="K671" s="10">
        <f>IF(OR($B671="",$E671="",Calc!$B668=""),"",SUMIFS(CalcAmtA,CalcPartyA,$E671,CalcKeyA,"&lt;="&amp;Calc!$B668)-SUMIFS(CalcWitB,CalcPartyB,$E671,CalcKeyB,"&lt;="&amp;Calc!$B668)+SUMIFS(CalcDepB,CalcPartyB,$E671,CalcKeyB,"&lt;="&amp;Calc!$B668))</f>
        <v/>
      </c>
      <c r="L671" s="8" t="n"/>
    </row>
    <row r="672">
      <c r="A672" s="7">
        <f>IF($B672="","",COUNTA($B$9:$B672))</f>
        <v/>
      </c>
      <c r="B672" s="8" t="n"/>
      <c r="C672" s="8" t="n"/>
      <c r="D672" s="8" t="n"/>
      <c r="E672" s="8" t="n"/>
      <c r="F672" s="7">
        <f>IF($E672="","",IFERROR(IF(VLOOKUP($E672,AcctTbl,4,0)="","",VLOOKUP($E672,AcctTbl,4,0)),"—"))</f>
        <v/>
      </c>
      <c r="G672" s="8" t="n"/>
      <c r="H672" s="9" t="n"/>
      <c r="I672" s="9" t="n"/>
      <c r="J672" s="10">
        <f>IF(OR($H672="",$I672=""),"",ROUND($H672*$I672,0))</f>
        <v/>
      </c>
      <c r="K672" s="10">
        <f>IF(OR($B672="",$E672="",Calc!$B669=""),"",SUMIFS(CalcAmtA,CalcPartyA,$E672,CalcKeyA,"&lt;="&amp;Calc!$B669)-SUMIFS(CalcWitB,CalcPartyB,$E672,CalcKeyB,"&lt;="&amp;Calc!$B669)+SUMIFS(CalcDepB,CalcPartyB,$E672,CalcKeyB,"&lt;="&amp;Calc!$B669))</f>
        <v/>
      </c>
      <c r="L672" s="8" t="n"/>
    </row>
    <row r="673">
      <c r="A673" s="7">
        <f>IF($B673="","",COUNTA($B$9:$B673))</f>
        <v/>
      </c>
      <c r="B673" s="8" t="n"/>
      <c r="C673" s="8" t="n"/>
      <c r="D673" s="8" t="n"/>
      <c r="E673" s="8" t="n"/>
      <c r="F673" s="7">
        <f>IF($E673="","",IFERROR(IF(VLOOKUP($E673,AcctTbl,4,0)="","",VLOOKUP($E673,AcctTbl,4,0)),"—"))</f>
        <v/>
      </c>
      <c r="G673" s="8" t="n"/>
      <c r="H673" s="9" t="n"/>
      <c r="I673" s="9" t="n"/>
      <c r="J673" s="10">
        <f>IF(OR($H673="",$I673=""),"",ROUND($H673*$I673,0))</f>
        <v/>
      </c>
      <c r="K673" s="10">
        <f>IF(OR($B673="",$E673="",Calc!$B670=""),"",SUMIFS(CalcAmtA,CalcPartyA,$E673,CalcKeyA,"&lt;="&amp;Calc!$B670)-SUMIFS(CalcWitB,CalcPartyB,$E673,CalcKeyB,"&lt;="&amp;Calc!$B670)+SUMIFS(CalcDepB,CalcPartyB,$E673,CalcKeyB,"&lt;="&amp;Calc!$B670))</f>
        <v/>
      </c>
      <c r="L673" s="8" t="n"/>
    </row>
    <row r="674">
      <c r="A674" s="7">
        <f>IF($B674="","",COUNTA($B$9:$B674))</f>
        <v/>
      </c>
      <c r="B674" s="8" t="n"/>
      <c r="C674" s="8" t="n"/>
      <c r="D674" s="8" t="n"/>
      <c r="E674" s="8" t="n"/>
      <c r="F674" s="7">
        <f>IF($E674="","",IFERROR(IF(VLOOKUP($E674,AcctTbl,4,0)="","",VLOOKUP($E674,AcctTbl,4,0)),"—"))</f>
        <v/>
      </c>
      <c r="G674" s="8" t="n"/>
      <c r="H674" s="9" t="n"/>
      <c r="I674" s="9" t="n"/>
      <c r="J674" s="10">
        <f>IF(OR($H674="",$I674=""),"",ROUND($H674*$I674,0))</f>
        <v/>
      </c>
      <c r="K674" s="10">
        <f>IF(OR($B674="",$E674="",Calc!$B671=""),"",SUMIFS(CalcAmtA,CalcPartyA,$E674,CalcKeyA,"&lt;="&amp;Calc!$B671)-SUMIFS(CalcWitB,CalcPartyB,$E674,CalcKeyB,"&lt;="&amp;Calc!$B671)+SUMIFS(CalcDepB,CalcPartyB,$E674,CalcKeyB,"&lt;="&amp;Calc!$B671))</f>
        <v/>
      </c>
      <c r="L674" s="8" t="n"/>
    </row>
    <row r="675">
      <c r="A675" s="7">
        <f>IF($B675="","",COUNTA($B$9:$B675))</f>
        <v/>
      </c>
      <c r="B675" s="8" t="n"/>
      <c r="C675" s="8" t="n"/>
      <c r="D675" s="8" t="n"/>
      <c r="E675" s="8" t="n"/>
      <c r="F675" s="7">
        <f>IF($E675="","",IFERROR(IF(VLOOKUP($E675,AcctTbl,4,0)="","",VLOOKUP($E675,AcctTbl,4,0)),"—"))</f>
        <v/>
      </c>
      <c r="G675" s="8" t="n"/>
      <c r="H675" s="9" t="n"/>
      <c r="I675" s="9" t="n"/>
      <c r="J675" s="10">
        <f>IF(OR($H675="",$I675=""),"",ROUND($H675*$I675,0))</f>
        <v/>
      </c>
      <c r="K675" s="10">
        <f>IF(OR($B675="",$E675="",Calc!$B672=""),"",SUMIFS(CalcAmtA,CalcPartyA,$E675,CalcKeyA,"&lt;="&amp;Calc!$B672)-SUMIFS(CalcWitB,CalcPartyB,$E675,CalcKeyB,"&lt;="&amp;Calc!$B672)+SUMIFS(CalcDepB,CalcPartyB,$E675,CalcKeyB,"&lt;="&amp;Calc!$B672))</f>
        <v/>
      </c>
      <c r="L675" s="8" t="n"/>
    </row>
    <row r="676">
      <c r="A676" s="7">
        <f>IF($B676="","",COUNTA($B$9:$B676))</f>
        <v/>
      </c>
      <c r="B676" s="8" t="n"/>
      <c r="C676" s="8" t="n"/>
      <c r="D676" s="8" t="n"/>
      <c r="E676" s="8" t="n"/>
      <c r="F676" s="7">
        <f>IF($E676="","",IFERROR(IF(VLOOKUP($E676,AcctTbl,4,0)="","",VLOOKUP($E676,AcctTbl,4,0)),"—"))</f>
        <v/>
      </c>
      <c r="G676" s="8" t="n"/>
      <c r="H676" s="9" t="n"/>
      <c r="I676" s="9" t="n"/>
      <c r="J676" s="10">
        <f>IF(OR($H676="",$I676=""),"",ROUND($H676*$I676,0))</f>
        <v/>
      </c>
      <c r="K676" s="10">
        <f>IF(OR($B676="",$E676="",Calc!$B673=""),"",SUMIFS(CalcAmtA,CalcPartyA,$E676,CalcKeyA,"&lt;="&amp;Calc!$B673)-SUMIFS(CalcWitB,CalcPartyB,$E676,CalcKeyB,"&lt;="&amp;Calc!$B673)+SUMIFS(CalcDepB,CalcPartyB,$E676,CalcKeyB,"&lt;="&amp;Calc!$B673))</f>
        <v/>
      </c>
      <c r="L676" s="8" t="n"/>
    </row>
    <row r="677">
      <c r="A677" s="7">
        <f>IF($B677="","",COUNTA($B$9:$B677))</f>
        <v/>
      </c>
      <c r="B677" s="8" t="n"/>
      <c r="C677" s="8" t="n"/>
      <c r="D677" s="8" t="n"/>
      <c r="E677" s="8" t="n"/>
      <c r="F677" s="7">
        <f>IF($E677="","",IFERROR(IF(VLOOKUP($E677,AcctTbl,4,0)="","",VLOOKUP($E677,AcctTbl,4,0)),"—"))</f>
        <v/>
      </c>
      <c r="G677" s="8" t="n"/>
      <c r="H677" s="9" t="n"/>
      <c r="I677" s="9" t="n"/>
      <c r="J677" s="10">
        <f>IF(OR($H677="",$I677=""),"",ROUND($H677*$I677,0))</f>
        <v/>
      </c>
      <c r="K677" s="10">
        <f>IF(OR($B677="",$E677="",Calc!$B674=""),"",SUMIFS(CalcAmtA,CalcPartyA,$E677,CalcKeyA,"&lt;="&amp;Calc!$B674)-SUMIFS(CalcWitB,CalcPartyB,$E677,CalcKeyB,"&lt;="&amp;Calc!$B674)+SUMIFS(CalcDepB,CalcPartyB,$E677,CalcKeyB,"&lt;="&amp;Calc!$B674))</f>
        <v/>
      </c>
      <c r="L677" s="8" t="n"/>
    </row>
    <row r="678">
      <c r="A678" s="7">
        <f>IF($B678="","",COUNTA($B$9:$B678))</f>
        <v/>
      </c>
      <c r="B678" s="8" t="n"/>
      <c r="C678" s="8" t="n"/>
      <c r="D678" s="8" t="n"/>
      <c r="E678" s="8" t="n"/>
      <c r="F678" s="7">
        <f>IF($E678="","",IFERROR(IF(VLOOKUP($E678,AcctTbl,4,0)="","",VLOOKUP($E678,AcctTbl,4,0)),"—"))</f>
        <v/>
      </c>
      <c r="G678" s="8" t="n"/>
      <c r="H678" s="9" t="n"/>
      <c r="I678" s="9" t="n"/>
      <c r="J678" s="10">
        <f>IF(OR($H678="",$I678=""),"",ROUND($H678*$I678,0))</f>
        <v/>
      </c>
      <c r="K678" s="10">
        <f>IF(OR($B678="",$E678="",Calc!$B675=""),"",SUMIFS(CalcAmtA,CalcPartyA,$E678,CalcKeyA,"&lt;="&amp;Calc!$B675)-SUMIFS(CalcWitB,CalcPartyB,$E678,CalcKeyB,"&lt;="&amp;Calc!$B675)+SUMIFS(CalcDepB,CalcPartyB,$E678,CalcKeyB,"&lt;="&amp;Calc!$B675))</f>
        <v/>
      </c>
      <c r="L678" s="8" t="n"/>
    </row>
    <row r="679">
      <c r="A679" s="7">
        <f>IF($B679="","",COUNTA($B$9:$B679))</f>
        <v/>
      </c>
      <c r="B679" s="8" t="n"/>
      <c r="C679" s="8" t="n"/>
      <c r="D679" s="8" t="n"/>
      <c r="E679" s="8" t="n"/>
      <c r="F679" s="7">
        <f>IF($E679="","",IFERROR(IF(VLOOKUP($E679,AcctTbl,4,0)="","",VLOOKUP($E679,AcctTbl,4,0)),"—"))</f>
        <v/>
      </c>
      <c r="G679" s="8" t="n"/>
      <c r="H679" s="9" t="n"/>
      <c r="I679" s="9" t="n"/>
      <c r="J679" s="10">
        <f>IF(OR($H679="",$I679=""),"",ROUND($H679*$I679,0))</f>
        <v/>
      </c>
      <c r="K679" s="10">
        <f>IF(OR($B679="",$E679="",Calc!$B676=""),"",SUMIFS(CalcAmtA,CalcPartyA,$E679,CalcKeyA,"&lt;="&amp;Calc!$B676)-SUMIFS(CalcWitB,CalcPartyB,$E679,CalcKeyB,"&lt;="&amp;Calc!$B676)+SUMIFS(CalcDepB,CalcPartyB,$E679,CalcKeyB,"&lt;="&amp;Calc!$B676))</f>
        <v/>
      </c>
      <c r="L679" s="8" t="n"/>
    </row>
    <row r="680">
      <c r="A680" s="7">
        <f>IF($B680="","",COUNTA($B$9:$B680))</f>
        <v/>
      </c>
      <c r="B680" s="8" t="n"/>
      <c r="C680" s="8" t="n"/>
      <c r="D680" s="8" t="n"/>
      <c r="E680" s="8" t="n"/>
      <c r="F680" s="7">
        <f>IF($E680="","",IFERROR(IF(VLOOKUP($E680,AcctTbl,4,0)="","",VLOOKUP($E680,AcctTbl,4,0)),"—"))</f>
        <v/>
      </c>
      <c r="G680" s="8" t="n"/>
      <c r="H680" s="9" t="n"/>
      <c r="I680" s="9" t="n"/>
      <c r="J680" s="10">
        <f>IF(OR($H680="",$I680=""),"",ROUND($H680*$I680,0))</f>
        <v/>
      </c>
      <c r="K680" s="10">
        <f>IF(OR($B680="",$E680="",Calc!$B677=""),"",SUMIFS(CalcAmtA,CalcPartyA,$E680,CalcKeyA,"&lt;="&amp;Calc!$B677)-SUMIFS(CalcWitB,CalcPartyB,$E680,CalcKeyB,"&lt;="&amp;Calc!$B677)+SUMIFS(CalcDepB,CalcPartyB,$E680,CalcKeyB,"&lt;="&amp;Calc!$B677))</f>
        <v/>
      </c>
      <c r="L680" s="8" t="n"/>
    </row>
    <row r="681">
      <c r="A681" s="7">
        <f>IF($B681="","",COUNTA($B$9:$B681))</f>
        <v/>
      </c>
      <c r="B681" s="8" t="n"/>
      <c r="C681" s="8" t="n"/>
      <c r="D681" s="8" t="n"/>
      <c r="E681" s="8" t="n"/>
      <c r="F681" s="7">
        <f>IF($E681="","",IFERROR(IF(VLOOKUP($E681,AcctTbl,4,0)="","",VLOOKUP($E681,AcctTbl,4,0)),"—"))</f>
        <v/>
      </c>
      <c r="G681" s="8" t="n"/>
      <c r="H681" s="9" t="n"/>
      <c r="I681" s="9" t="n"/>
      <c r="J681" s="10">
        <f>IF(OR($H681="",$I681=""),"",ROUND($H681*$I681,0))</f>
        <v/>
      </c>
      <c r="K681" s="10">
        <f>IF(OR($B681="",$E681="",Calc!$B678=""),"",SUMIFS(CalcAmtA,CalcPartyA,$E681,CalcKeyA,"&lt;="&amp;Calc!$B678)-SUMIFS(CalcWitB,CalcPartyB,$E681,CalcKeyB,"&lt;="&amp;Calc!$B678)+SUMIFS(CalcDepB,CalcPartyB,$E681,CalcKeyB,"&lt;="&amp;Calc!$B678))</f>
        <v/>
      </c>
      <c r="L681" s="8" t="n"/>
    </row>
    <row r="682">
      <c r="A682" s="7">
        <f>IF($B682="","",COUNTA($B$9:$B682))</f>
        <v/>
      </c>
      <c r="B682" s="8" t="n"/>
      <c r="C682" s="8" t="n"/>
      <c r="D682" s="8" t="n"/>
      <c r="E682" s="8" t="n"/>
      <c r="F682" s="7">
        <f>IF($E682="","",IFERROR(IF(VLOOKUP($E682,AcctTbl,4,0)="","",VLOOKUP($E682,AcctTbl,4,0)),"—"))</f>
        <v/>
      </c>
      <c r="G682" s="8" t="n"/>
      <c r="H682" s="9" t="n"/>
      <c r="I682" s="9" t="n"/>
      <c r="J682" s="10">
        <f>IF(OR($H682="",$I682=""),"",ROUND($H682*$I682,0))</f>
        <v/>
      </c>
      <c r="K682" s="10">
        <f>IF(OR($B682="",$E682="",Calc!$B679=""),"",SUMIFS(CalcAmtA,CalcPartyA,$E682,CalcKeyA,"&lt;="&amp;Calc!$B679)-SUMIFS(CalcWitB,CalcPartyB,$E682,CalcKeyB,"&lt;="&amp;Calc!$B679)+SUMIFS(CalcDepB,CalcPartyB,$E682,CalcKeyB,"&lt;="&amp;Calc!$B679))</f>
        <v/>
      </c>
      <c r="L682" s="8" t="n"/>
    </row>
    <row r="683">
      <c r="A683" s="7">
        <f>IF($B683="","",COUNTA($B$9:$B683))</f>
        <v/>
      </c>
      <c r="B683" s="8" t="n"/>
      <c r="C683" s="8" t="n"/>
      <c r="D683" s="8" t="n"/>
      <c r="E683" s="8" t="n"/>
      <c r="F683" s="7">
        <f>IF($E683="","",IFERROR(IF(VLOOKUP($E683,AcctTbl,4,0)="","",VLOOKUP($E683,AcctTbl,4,0)),"—"))</f>
        <v/>
      </c>
      <c r="G683" s="8" t="n"/>
      <c r="H683" s="9" t="n"/>
      <c r="I683" s="9" t="n"/>
      <c r="J683" s="10">
        <f>IF(OR($H683="",$I683=""),"",ROUND($H683*$I683,0))</f>
        <v/>
      </c>
      <c r="K683" s="10">
        <f>IF(OR($B683="",$E683="",Calc!$B680=""),"",SUMIFS(CalcAmtA,CalcPartyA,$E683,CalcKeyA,"&lt;="&amp;Calc!$B680)-SUMIFS(CalcWitB,CalcPartyB,$E683,CalcKeyB,"&lt;="&amp;Calc!$B680)+SUMIFS(CalcDepB,CalcPartyB,$E683,CalcKeyB,"&lt;="&amp;Calc!$B680))</f>
        <v/>
      </c>
      <c r="L683" s="8" t="n"/>
    </row>
    <row r="684">
      <c r="A684" s="7">
        <f>IF($B684="","",COUNTA($B$9:$B684))</f>
        <v/>
      </c>
      <c r="B684" s="8" t="n"/>
      <c r="C684" s="8" t="n"/>
      <c r="D684" s="8" t="n"/>
      <c r="E684" s="8" t="n"/>
      <c r="F684" s="7">
        <f>IF($E684="","",IFERROR(IF(VLOOKUP($E684,AcctTbl,4,0)="","",VLOOKUP($E684,AcctTbl,4,0)),"—"))</f>
        <v/>
      </c>
      <c r="G684" s="8" t="n"/>
      <c r="H684" s="9" t="n"/>
      <c r="I684" s="9" t="n"/>
      <c r="J684" s="10">
        <f>IF(OR($H684="",$I684=""),"",ROUND($H684*$I684,0))</f>
        <v/>
      </c>
      <c r="K684" s="10">
        <f>IF(OR($B684="",$E684="",Calc!$B681=""),"",SUMIFS(CalcAmtA,CalcPartyA,$E684,CalcKeyA,"&lt;="&amp;Calc!$B681)-SUMIFS(CalcWitB,CalcPartyB,$E684,CalcKeyB,"&lt;="&amp;Calc!$B681)+SUMIFS(CalcDepB,CalcPartyB,$E684,CalcKeyB,"&lt;="&amp;Calc!$B681))</f>
        <v/>
      </c>
      <c r="L684" s="8" t="n"/>
    </row>
    <row r="685">
      <c r="A685" s="7">
        <f>IF($B685="","",COUNTA($B$9:$B685))</f>
        <v/>
      </c>
      <c r="B685" s="8" t="n"/>
      <c r="C685" s="8" t="n"/>
      <c r="D685" s="8" t="n"/>
      <c r="E685" s="8" t="n"/>
      <c r="F685" s="7">
        <f>IF($E685="","",IFERROR(IF(VLOOKUP($E685,AcctTbl,4,0)="","",VLOOKUP($E685,AcctTbl,4,0)),"—"))</f>
        <v/>
      </c>
      <c r="G685" s="8" t="n"/>
      <c r="H685" s="9" t="n"/>
      <c r="I685" s="9" t="n"/>
      <c r="J685" s="10">
        <f>IF(OR($H685="",$I685=""),"",ROUND($H685*$I685,0))</f>
        <v/>
      </c>
      <c r="K685" s="10">
        <f>IF(OR($B685="",$E685="",Calc!$B682=""),"",SUMIFS(CalcAmtA,CalcPartyA,$E685,CalcKeyA,"&lt;="&amp;Calc!$B682)-SUMIFS(CalcWitB,CalcPartyB,$E685,CalcKeyB,"&lt;="&amp;Calc!$B682)+SUMIFS(CalcDepB,CalcPartyB,$E685,CalcKeyB,"&lt;="&amp;Calc!$B682))</f>
        <v/>
      </c>
      <c r="L685" s="8" t="n"/>
    </row>
    <row r="686">
      <c r="A686" s="7">
        <f>IF($B686="","",COUNTA($B$9:$B686))</f>
        <v/>
      </c>
      <c r="B686" s="8" t="n"/>
      <c r="C686" s="8" t="n"/>
      <c r="D686" s="8" t="n"/>
      <c r="E686" s="8" t="n"/>
      <c r="F686" s="7">
        <f>IF($E686="","",IFERROR(IF(VLOOKUP($E686,AcctTbl,4,0)="","",VLOOKUP($E686,AcctTbl,4,0)),"—"))</f>
        <v/>
      </c>
      <c r="G686" s="8" t="n"/>
      <c r="H686" s="9" t="n"/>
      <c r="I686" s="9" t="n"/>
      <c r="J686" s="10">
        <f>IF(OR($H686="",$I686=""),"",ROUND($H686*$I686,0))</f>
        <v/>
      </c>
      <c r="K686" s="10">
        <f>IF(OR($B686="",$E686="",Calc!$B683=""),"",SUMIFS(CalcAmtA,CalcPartyA,$E686,CalcKeyA,"&lt;="&amp;Calc!$B683)-SUMIFS(CalcWitB,CalcPartyB,$E686,CalcKeyB,"&lt;="&amp;Calc!$B683)+SUMIFS(CalcDepB,CalcPartyB,$E686,CalcKeyB,"&lt;="&amp;Calc!$B683))</f>
        <v/>
      </c>
      <c r="L686" s="8" t="n"/>
    </row>
    <row r="687">
      <c r="A687" s="7">
        <f>IF($B687="","",COUNTA($B$9:$B687))</f>
        <v/>
      </c>
      <c r="B687" s="8" t="n"/>
      <c r="C687" s="8" t="n"/>
      <c r="D687" s="8" t="n"/>
      <c r="E687" s="8" t="n"/>
      <c r="F687" s="7">
        <f>IF($E687="","",IFERROR(IF(VLOOKUP($E687,AcctTbl,4,0)="","",VLOOKUP($E687,AcctTbl,4,0)),"—"))</f>
        <v/>
      </c>
      <c r="G687" s="8" t="n"/>
      <c r="H687" s="9" t="n"/>
      <c r="I687" s="9" t="n"/>
      <c r="J687" s="10">
        <f>IF(OR($H687="",$I687=""),"",ROUND($H687*$I687,0))</f>
        <v/>
      </c>
      <c r="K687" s="10">
        <f>IF(OR($B687="",$E687="",Calc!$B684=""),"",SUMIFS(CalcAmtA,CalcPartyA,$E687,CalcKeyA,"&lt;="&amp;Calc!$B684)-SUMIFS(CalcWitB,CalcPartyB,$E687,CalcKeyB,"&lt;="&amp;Calc!$B684)+SUMIFS(CalcDepB,CalcPartyB,$E687,CalcKeyB,"&lt;="&amp;Calc!$B684))</f>
        <v/>
      </c>
      <c r="L687" s="8" t="n"/>
    </row>
    <row r="688">
      <c r="A688" s="7">
        <f>IF($B688="","",COUNTA($B$9:$B688))</f>
        <v/>
      </c>
      <c r="B688" s="8" t="n"/>
      <c r="C688" s="8" t="n"/>
      <c r="D688" s="8" t="n"/>
      <c r="E688" s="8" t="n"/>
      <c r="F688" s="7">
        <f>IF($E688="","",IFERROR(IF(VLOOKUP($E688,AcctTbl,4,0)="","",VLOOKUP($E688,AcctTbl,4,0)),"—"))</f>
        <v/>
      </c>
      <c r="G688" s="8" t="n"/>
      <c r="H688" s="9" t="n"/>
      <c r="I688" s="9" t="n"/>
      <c r="J688" s="10">
        <f>IF(OR($H688="",$I688=""),"",ROUND($H688*$I688,0))</f>
        <v/>
      </c>
      <c r="K688" s="10">
        <f>IF(OR($B688="",$E688="",Calc!$B685=""),"",SUMIFS(CalcAmtA,CalcPartyA,$E688,CalcKeyA,"&lt;="&amp;Calc!$B685)-SUMIFS(CalcWitB,CalcPartyB,$E688,CalcKeyB,"&lt;="&amp;Calc!$B685)+SUMIFS(CalcDepB,CalcPartyB,$E688,CalcKeyB,"&lt;="&amp;Calc!$B685))</f>
        <v/>
      </c>
      <c r="L688" s="8" t="n"/>
    </row>
    <row r="689">
      <c r="A689" s="7">
        <f>IF($B689="","",COUNTA($B$9:$B689))</f>
        <v/>
      </c>
      <c r="B689" s="8" t="n"/>
      <c r="C689" s="8" t="n"/>
      <c r="D689" s="8" t="n"/>
      <c r="E689" s="8" t="n"/>
      <c r="F689" s="7">
        <f>IF($E689="","",IFERROR(IF(VLOOKUP($E689,AcctTbl,4,0)="","",VLOOKUP($E689,AcctTbl,4,0)),"—"))</f>
        <v/>
      </c>
      <c r="G689" s="8" t="n"/>
      <c r="H689" s="9" t="n"/>
      <c r="I689" s="9" t="n"/>
      <c r="J689" s="10">
        <f>IF(OR($H689="",$I689=""),"",ROUND($H689*$I689,0))</f>
        <v/>
      </c>
      <c r="K689" s="10">
        <f>IF(OR($B689="",$E689="",Calc!$B686=""),"",SUMIFS(CalcAmtA,CalcPartyA,$E689,CalcKeyA,"&lt;="&amp;Calc!$B686)-SUMIFS(CalcWitB,CalcPartyB,$E689,CalcKeyB,"&lt;="&amp;Calc!$B686)+SUMIFS(CalcDepB,CalcPartyB,$E689,CalcKeyB,"&lt;="&amp;Calc!$B686))</f>
        <v/>
      </c>
      <c r="L689" s="8" t="n"/>
    </row>
    <row r="690">
      <c r="A690" s="7">
        <f>IF($B690="","",COUNTA($B$9:$B690))</f>
        <v/>
      </c>
      <c r="B690" s="8" t="n"/>
      <c r="C690" s="8" t="n"/>
      <c r="D690" s="8" t="n"/>
      <c r="E690" s="8" t="n"/>
      <c r="F690" s="7">
        <f>IF($E690="","",IFERROR(IF(VLOOKUP($E690,AcctTbl,4,0)="","",VLOOKUP($E690,AcctTbl,4,0)),"—"))</f>
        <v/>
      </c>
      <c r="G690" s="8" t="n"/>
      <c r="H690" s="9" t="n"/>
      <c r="I690" s="9" t="n"/>
      <c r="J690" s="10">
        <f>IF(OR($H690="",$I690=""),"",ROUND($H690*$I690,0))</f>
        <v/>
      </c>
      <c r="K690" s="10">
        <f>IF(OR($B690="",$E690="",Calc!$B687=""),"",SUMIFS(CalcAmtA,CalcPartyA,$E690,CalcKeyA,"&lt;="&amp;Calc!$B687)-SUMIFS(CalcWitB,CalcPartyB,$E690,CalcKeyB,"&lt;="&amp;Calc!$B687)+SUMIFS(CalcDepB,CalcPartyB,$E690,CalcKeyB,"&lt;="&amp;Calc!$B687))</f>
        <v/>
      </c>
      <c r="L690" s="8" t="n"/>
    </row>
    <row r="691">
      <c r="A691" s="7">
        <f>IF($B691="","",COUNTA($B$9:$B691))</f>
        <v/>
      </c>
      <c r="B691" s="8" t="n"/>
      <c r="C691" s="8" t="n"/>
      <c r="D691" s="8" t="n"/>
      <c r="E691" s="8" t="n"/>
      <c r="F691" s="7">
        <f>IF($E691="","",IFERROR(IF(VLOOKUP($E691,AcctTbl,4,0)="","",VLOOKUP($E691,AcctTbl,4,0)),"—"))</f>
        <v/>
      </c>
      <c r="G691" s="8" t="n"/>
      <c r="H691" s="9" t="n"/>
      <c r="I691" s="9" t="n"/>
      <c r="J691" s="10">
        <f>IF(OR($H691="",$I691=""),"",ROUND($H691*$I691,0))</f>
        <v/>
      </c>
      <c r="K691" s="10">
        <f>IF(OR($B691="",$E691="",Calc!$B688=""),"",SUMIFS(CalcAmtA,CalcPartyA,$E691,CalcKeyA,"&lt;="&amp;Calc!$B688)-SUMIFS(CalcWitB,CalcPartyB,$E691,CalcKeyB,"&lt;="&amp;Calc!$B688)+SUMIFS(CalcDepB,CalcPartyB,$E691,CalcKeyB,"&lt;="&amp;Calc!$B688))</f>
        <v/>
      </c>
      <c r="L691" s="8" t="n"/>
    </row>
    <row r="692">
      <c r="A692" s="7">
        <f>IF($B692="","",COUNTA($B$9:$B692))</f>
        <v/>
      </c>
      <c r="B692" s="8" t="n"/>
      <c r="C692" s="8" t="n"/>
      <c r="D692" s="8" t="n"/>
      <c r="E692" s="8" t="n"/>
      <c r="F692" s="7">
        <f>IF($E692="","",IFERROR(IF(VLOOKUP($E692,AcctTbl,4,0)="","",VLOOKUP($E692,AcctTbl,4,0)),"—"))</f>
        <v/>
      </c>
      <c r="G692" s="8" t="n"/>
      <c r="H692" s="9" t="n"/>
      <c r="I692" s="9" t="n"/>
      <c r="J692" s="10">
        <f>IF(OR($H692="",$I692=""),"",ROUND($H692*$I692,0))</f>
        <v/>
      </c>
      <c r="K692" s="10">
        <f>IF(OR($B692="",$E692="",Calc!$B689=""),"",SUMIFS(CalcAmtA,CalcPartyA,$E692,CalcKeyA,"&lt;="&amp;Calc!$B689)-SUMIFS(CalcWitB,CalcPartyB,$E692,CalcKeyB,"&lt;="&amp;Calc!$B689)+SUMIFS(CalcDepB,CalcPartyB,$E692,CalcKeyB,"&lt;="&amp;Calc!$B689))</f>
        <v/>
      </c>
      <c r="L692" s="8" t="n"/>
    </row>
    <row r="693">
      <c r="A693" s="7">
        <f>IF($B693="","",COUNTA($B$9:$B693))</f>
        <v/>
      </c>
      <c r="B693" s="8" t="n"/>
      <c r="C693" s="8" t="n"/>
      <c r="D693" s="8" t="n"/>
      <c r="E693" s="8" t="n"/>
      <c r="F693" s="7">
        <f>IF($E693="","",IFERROR(IF(VLOOKUP($E693,AcctTbl,4,0)="","",VLOOKUP($E693,AcctTbl,4,0)),"—"))</f>
        <v/>
      </c>
      <c r="G693" s="8" t="n"/>
      <c r="H693" s="9" t="n"/>
      <c r="I693" s="9" t="n"/>
      <c r="J693" s="10">
        <f>IF(OR($H693="",$I693=""),"",ROUND($H693*$I693,0))</f>
        <v/>
      </c>
      <c r="K693" s="10">
        <f>IF(OR($B693="",$E693="",Calc!$B690=""),"",SUMIFS(CalcAmtA,CalcPartyA,$E693,CalcKeyA,"&lt;="&amp;Calc!$B690)-SUMIFS(CalcWitB,CalcPartyB,$E693,CalcKeyB,"&lt;="&amp;Calc!$B690)+SUMIFS(CalcDepB,CalcPartyB,$E693,CalcKeyB,"&lt;="&amp;Calc!$B690))</f>
        <v/>
      </c>
      <c r="L693" s="8" t="n"/>
    </row>
    <row r="694">
      <c r="A694" s="7">
        <f>IF($B694="","",COUNTA($B$9:$B694))</f>
        <v/>
      </c>
      <c r="B694" s="8" t="n"/>
      <c r="C694" s="8" t="n"/>
      <c r="D694" s="8" t="n"/>
      <c r="E694" s="8" t="n"/>
      <c r="F694" s="7">
        <f>IF($E694="","",IFERROR(IF(VLOOKUP($E694,AcctTbl,4,0)="","",VLOOKUP($E694,AcctTbl,4,0)),"—"))</f>
        <v/>
      </c>
      <c r="G694" s="8" t="n"/>
      <c r="H694" s="9" t="n"/>
      <c r="I694" s="9" t="n"/>
      <c r="J694" s="10">
        <f>IF(OR($H694="",$I694=""),"",ROUND($H694*$I694,0))</f>
        <v/>
      </c>
      <c r="K694" s="10">
        <f>IF(OR($B694="",$E694="",Calc!$B691=""),"",SUMIFS(CalcAmtA,CalcPartyA,$E694,CalcKeyA,"&lt;="&amp;Calc!$B691)-SUMIFS(CalcWitB,CalcPartyB,$E694,CalcKeyB,"&lt;="&amp;Calc!$B691)+SUMIFS(CalcDepB,CalcPartyB,$E694,CalcKeyB,"&lt;="&amp;Calc!$B691))</f>
        <v/>
      </c>
      <c r="L694" s="8" t="n"/>
    </row>
    <row r="695">
      <c r="A695" s="7">
        <f>IF($B695="","",COUNTA($B$9:$B695))</f>
        <v/>
      </c>
      <c r="B695" s="8" t="n"/>
      <c r="C695" s="8" t="n"/>
      <c r="D695" s="8" t="n"/>
      <c r="E695" s="8" t="n"/>
      <c r="F695" s="7">
        <f>IF($E695="","",IFERROR(IF(VLOOKUP($E695,AcctTbl,4,0)="","",VLOOKUP($E695,AcctTbl,4,0)),"—"))</f>
        <v/>
      </c>
      <c r="G695" s="8" t="n"/>
      <c r="H695" s="9" t="n"/>
      <c r="I695" s="9" t="n"/>
      <c r="J695" s="10">
        <f>IF(OR($H695="",$I695=""),"",ROUND($H695*$I695,0))</f>
        <v/>
      </c>
      <c r="K695" s="10">
        <f>IF(OR($B695="",$E695="",Calc!$B692=""),"",SUMIFS(CalcAmtA,CalcPartyA,$E695,CalcKeyA,"&lt;="&amp;Calc!$B692)-SUMIFS(CalcWitB,CalcPartyB,$E695,CalcKeyB,"&lt;="&amp;Calc!$B692)+SUMIFS(CalcDepB,CalcPartyB,$E695,CalcKeyB,"&lt;="&amp;Calc!$B692))</f>
        <v/>
      </c>
      <c r="L695" s="8" t="n"/>
    </row>
    <row r="696">
      <c r="A696" s="7">
        <f>IF($B696="","",COUNTA($B$9:$B696))</f>
        <v/>
      </c>
      <c r="B696" s="8" t="n"/>
      <c r="C696" s="8" t="n"/>
      <c r="D696" s="8" t="n"/>
      <c r="E696" s="8" t="n"/>
      <c r="F696" s="7">
        <f>IF($E696="","",IFERROR(IF(VLOOKUP($E696,AcctTbl,4,0)="","",VLOOKUP($E696,AcctTbl,4,0)),"—"))</f>
        <v/>
      </c>
      <c r="G696" s="8" t="n"/>
      <c r="H696" s="9" t="n"/>
      <c r="I696" s="9" t="n"/>
      <c r="J696" s="10">
        <f>IF(OR($H696="",$I696=""),"",ROUND($H696*$I696,0))</f>
        <v/>
      </c>
      <c r="K696" s="10">
        <f>IF(OR($B696="",$E696="",Calc!$B693=""),"",SUMIFS(CalcAmtA,CalcPartyA,$E696,CalcKeyA,"&lt;="&amp;Calc!$B693)-SUMIFS(CalcWitB,CalcPartyB,$E696,CalcKeyB,"&lt;="&amp;Calc!$B693)+SUMIFS(CalcDepB,CalcPartyB,$E696,CalcKeyB,"&lt;="&amp;Calc!$B693))</f>
        <v/>
      </c>
      <c r="L696" s="8" t="n"/>
    </row>
    <row r="697">
      <c r="A697" s="7">
        <f>IF($B697="","",COUNTA($B$9:$B697))</f>
        <v/>
      </c>
      <c r="B697" s="8" t="n"/>
      <c r="C697" s="8" t="n"/>
      <c r="D697" s="8" t="n"/>
      <c r="E697" s="8" t="n"/>
      <c r="F697" s="7">
        <f>IF($E697="","",IFERROR(IF(VLOOKUP($E697,AcctTbl,4,0)="","",VLOOKUP($E697,AcctTbl,4,0)),"—"))</f>
        <v/>
      </c>
      <c r="G697" s="8" t="n"/>
      <c r="H697" s="9" t="n"/>
      <c r="I697" s="9" t="n"/>
      <c r="J697" s="10">
        <f>IF(OR($H697="",$I697=""),"",ROUND($H697*$I697,0))</f>
        <v/>
      </c>
      <c r="K697" s="10">
        <f>IF(OR($B697="",$E697="",Calc!$B694=""),"",SUMIFS(CalcAmtA,CalcPartyA,$E697,CalcKeyA,"&lt;="&amp;Calc!$B694)-SUMIFS(CalcWitB,CalcPartyB,$E697,CalcKeyB,"&lt;="&amp;Calc!$B694)+SUMIFS(CalcDepB,CalcPartyB,$E697,CalcKeyB,"&lt;="&amp;Calc!$B694))</f>
        <v/>
      </c>
      <c r="L697" s="8" t="n"/>
    </row>
    <row r="698">
      <c r="A698" s="7">
        <f>IF($B698="","",COUNTA($B$9:$B698))</f>
        <v/>
      </c>
      <c r="B698" s="8" t="n"/>
      <c r="C698" s="8" t="n"/>
      <c r="D698" s="8" t="n"/>
      <c r="E698" s="8" t="n"/>
      <c r="F698" s="7">
        <f>IF($E698="","",IFERROR(IF(VLOOKUP($E698,AcctTbl,4,0)="","",VLOOKUP($E698,AcctTbl,4,0)),"—"))</f>
        <v/>
      </c>
      <c r="G698" s="8" t="n"/>
      <c r="H698" s="9" t="n"/>
      <c r="I698" s="9" t="n"/>
      <c r="J698" s="10">
        <f>IF(OR($H698="",$I698=""),"",ROUND($H698*$I698,0))</f>
        <v/>
      </c>
      <c r="K698" s="10">
        <f>IF(OR($B698="",$E698="",Calc!$B695=""),"",SUMIFS(CalcAmtA,CalcPartyA,$E698,CalcKeyA,"&lt;="&amp;Calc!$B695)-SUMIFS(CalcWitB,CalcPartyB,$E698,CalcKeyB,"&lt;="&amp;Calc!$B695)+SUMIFS(CalcDepB,CalcPartyB,$E698,CalcKeyB,"&lt;="&amp;Calc!$B695))</f>
        <v/>
      </c>
      <c r="L698" s="8" t="n"/>
    </row>
    <row r="699">
      <c r="A699" s="7">
        <f>IF($B699="","",COUNTA($B$9:$B699))</f>
        <v/>
      </c>
      <c r="B699" s="8" t="n"/>
      <c r="C699" s="8" t="n"/>
      <c r="D699" s="8" t="n"/>
      <c r="E699" s="8" t="n"/>
      <c r="F699" s="7">
        <f>IF($E699="","",IFERROR(IF(VLOOKUP($E699,AcctTbl,4,0)="","",VLOOKUP($E699,AcctTbl,4,0)),"—"))</f>
        <v/>
      </c>
      <c r="G699" s="8" t="n"/>
      <c r="H699" s="9" t="n"/>
      <c r="I699" s="9" t="n"/>
      <c r="J699" s="10">
        <f>IF(OR($H699="",$I699=""),"",ROUND($H699*$I699,0))</f>
        <v/>
      </c>
      <c r="K699" s="10">
        <f>IF(OR($B699="",$E699="",Calc!$B696=""),"",SUMIFS(CalcAmtA,CalcPartyA,$E699,CalcKeyA,"&lt;="&amp;Calc!$B696)-SUMIFS(CalcWitB,CalcPartyB,$E699,CalcKeyB,"&lt;="&amp;Calc!$B696)+SUMIFS(CalcDepB,CalcPartyB,$E699,CalcKeyB,"&lt;="&amp;Calc!$B696))</f>
        <v/>
      </c>
      <c r="L699" s="8" t="n"/>
    </row>
    <row r="700">
      <c r="A700" s="7">
        <f>IF($B700="","",COUNTA($B$9:$B700))</f>
        <v/>
      </c>
      <c r="B700" s="8" t="n"/>
      <c r="C700" s="8" t="n"/>
      <c r="D700" s="8" t="n"/>
      <c r="E700" s="8" t="n"/>
      <c r="F700" s="7">
        <f>IF($E700="","",IFERROR(IF(VLOOKUP($E700,AcctTbl,4,0)="","",VLOOKUP($E700,AcctTbl,4,0)),"—"))</f>
        <v/>
      </c>
      <c r="G700" s="8" t="n"/>
      <c r="H700" s="9" t="n"/>
      <c r="I700" s="9" t="n"/>
      <c r="J700" s="10">
        <f>IF(OR($H700="",$I700=""),"",ROUND($H700*$I700,0))</f>
        <v/>
      </c>
      <c r="K700" s="10">
        <f>IF(OR($B700="",$E700="",Calc!$B697=""),"",SUMIFS(CalcAmtA,CalcPartyA,$E700,CalcKeyA,"&lt;="&amp;Calc!$B697)-SUMIFS(CalcWitB,CalcPartyB,$E700,CalcKeyB,"&lt;="&amp;Calc!$B697)+SUMIFS(CalcDepB,CalcPartyB,$E700,CalcKeyB,"&lt;="&amp;Calc!$B697))</f>
        <v/>
      </c>
      <c r="L700" s="8" t="n"/>
    </row>
    <row r="701">
      <c r="A701" s="7">
        <f>IF($B701="","",COUNTA($B$9:$B701))</f>
        <v/>
      </c>
      <c r="B701" s="8" t="n"/>
      <c r="C701" s="8" t="n"/>
      <c r="D701" s="8" t="n"/>
      <c r="E701" s="8" t="n"/>
      <c r="F701" s="7">
        <f>IF($E701="","",IFERROR(IF(VLOOKUP($E701,AcctTbl,4,0)="","",VLOOKUP($E701,AcctTbl,4,0)),"—"))</f>
        <v/>
      </c>
      <c r="G701" s="8" t="n"/>
      <c r="H701" s="9" t="n"/>
      <c r="I701" s="9" t="n"/>
      <c r="J701" s="10">
        <f>IF(OR($H701="",$I701=""),"",ROUND($H701*$I701,0))</f>
        <v/>
      </c>
      <c r="K701" s="10">
        <f>IF(OR($B701="",$E701="",Calc!$B698=""),"",SUMIFS(CalcAmtA,CalcPartyA,$E701,CalcKeyA,"&lt;="&amp;Calc!$B698)-SUMIFS(CalcWitB,CalcPartyB,$E701,CalcKeyB,"&lt;="&amp;Calc!$B698)+SUMIFS(CalcDepB,CalcPartyB,$E701,CalcKeyB,"&lt;="&amp;Calc!$B698))</f>
        <v/>
      </c>
      <c r="L701" s="8" t="n"/>
    </row>
    <row r="702">
      <c r="A702" s="7">
        <f>IF($B702="","",COUNTA($B$9:$B702))</f>
        <v/>
      </c>
      <c r="B702" s="8" t="n"/>
      <c r="C702" s="8" t="n"/>
      <c r="D702" s="8" t="n"/>
      <c r="E702" s="8" t="n"/>
      <c r="F702" s="7">
        <f>IF($E702="","",IFERROR(IF(VLOOKUP($E702,AcctTbl,4,0)="","",VLOOKUP($E702,AcctTbl,4,0)),"—"))</f>
        <v/>
      </c>
      <c r="G702" s="8" t="n"/>
      <c r="H702" s="9" t="n"/>
      <c r="I702" s="9" t="n"/>
      <c r="J702" s="10">
        <f>IF(OR($H702="",$I702=""),"",ROUND($H702*$I702,0))</f>
        <v/>
      </c>
      <c r="K702" s="10">
        <f>IF(OR($B702="",$E702="",Calc!$B699=""),"",SUMIFS(CalcAmtA,CalcPartyA,$E702,CalcKeyA,"&lt;="&amp;Calc!$B699)-SUMIFS(CalcWitB,CalcPartyB,$E702,CalcKeyB,"&lt;="&amp;Calc!$B699)+SUMIFS(CalcDepB,CalcPartyB,$E702,CalcKeyB,"&lt;="&amp;Calc!$B699))</f>
        <v/>
      </c>
      <c r="L702" s="8" t="n"/>
    </row>
    <row r="703">
      <c r="A703" s="7">
        <f>IF($B703="","",COUNTA($B$9:$B703))</f>
        <v/>
      </c>
      <c r="B703" s="8" t="n"/>
      <c r="C703" s="8" t="n"/>
      <c r="D703" s="8" t="n"/>
      <c r="E703" s="8" t="n"/>
      <c r="F703" s="7">
        <f>IF($E703="","",IFERROR(IF(VLOOKUP($E703,AcctTbl,4,0)="","",VLOOKUP($E703,AcctTbl,4,0)),"—"))</f>
        <v/>
      </c>
      <c r="G703" s="8" t="n"/>
      <c r="H703" s="9" t="n"/>
      <c r="I703" s="9" t="n"/>
      <c r="J703" s="10">
        <f>IF(OR($H703="",$I703=""),"",ROUND($H703*$I703,0))</f>
        <v/>
      </c>
      <c r="K703" s="10">
        <f>IF(OR($B703="",$E703="",Calc!$B700=""),"",SUMIFS(CalcAmtA,CalcPartyA,$E703,CalcKeyA,"&lt;="&amp;Calc!$B700)-SUMIFS(CalcWitB,CalcPartyB,$E703,CalcKeyB,"&lt;="&amp;Calc!$B700)+SUMIFS(CalcDepB,CalcPartyB,$E703,CalcKeyB,"&lt;="&amp;Calc!$B700))</f>
        <v/>
      </c>
      <c r="L703" s="8" t="n"/>
    </row>
    <row r="704">
      <c r="A704" s="7">
        <f>IF($B704="","",COUNTA($B$9:$B704))</f>
        <v/>
      </c>
      <c r="B704" s="8" t="n"/>
      <c r="C704" s="8" t="n"/>
      <c r="D704" s="8" t="n"/>
      <c r="E704" s="8" t="n"/>
      <c r="F704" s="7">
        <f>IF($E704="","",IFERROR(IF(VLOOKUP($E704,AcctTbl,4,0)="","",VLOOKUP($E704,AcctTbl,4,0)),"—"))</f>
        <v/>
      </c>
      <c r="G704" s="8" t="n"/>
      <c r="H704" s="9" t="n"/>
      <c r="I704" s="9" t="n"/>
      <c r="J704" s="10">
        <f>IF(OR($H704="",$I704=""),"",ROUND($H704*$I704,0))</f>
        <v/>
      </c>
      <c r="K704" s="10">
        <f>IF(OR($B704="",$E704="",Calc!$B701=""),"",SUMIFS(CalcAmtA,CalcPartyA,$E704,CalcKeyA,"&lt;="&amp;Calc!$B701)-SUMIFS(CalcWitB,CalcPartyB,$E704,CalcKeyB,"&lt;="&amp;Calc!$B701)+SUMIFS(CalcDepB,CalcPartyB,$E704,CalcKeyB,"&lt;="&amp;Calc!$B701))</f>
        <v/>
      </c>
      <c r="L704" s="8" t="n"/>
    </row>
    <row r="705">
      <c r="A705" s="7">
        <f>IF($B705="","",COUNTA($B$9:$B705))</f>
        <v/>
      </c>
      <c r="B705" s="8" t="n"/>
      <c r="C705" s="8" t="n"/>
      <c r="D705" s="8" t="n"/>
      <c r="E705" s="8" t="n"/>
      <c r="F705" s="7">
        <f>IF($E705="","",IFERROR(IF(VLOOKUP($E705,AcctTbl,4,0)="","",VLOOKUP($E705,AcctTbl,4,0)),"—"))</f>
        <v/>
      </c>
      <c r="G705" s="8" t="n"/>
      <c r="H705" s="9" t="n"/>
      <c r="I705" s="9" t="n"/>
      <c r="J705" s="10">
        <f>IF(OR($H705="",$I705=""),"",ROUND($H705*$I705,0))</f>
        <v/>
      </c>
      <c r="K705" s="10">
        <f>IF(OR($B705="",$E705="",Calc!$B702=""),"",SUMIFS(CalcAmtA,CalcPartyA,$E705,CalcKeyA,"&lt;="&amp;Calc!$B702)-SUMIFS(CalcWitB,CalcPartyB,$E705,CalcKeyB,"&lt;="&amp;Calc!$B702)+SUMIFS(CalcDepB,CalcPartyB,$E705,CalcKeyB,"&lt;="&amp;Calc!$B702))</f>
        <v/>
      </c>
      <c r="L705" s="8" t="n"/>
    </row>
    <row r="706">
      <c r="A706" s="7">
        <f>IF($B706="","",COUNTA($B$9:$B706))</f>
        <v/>
      </c>
      <c r="B706" s="8" t="n"/>
      <c r="C706" s="8" t="n"/>
      <c r="D706" s="8" t="n"/>
      <c r="E706" s="8" t="n"/>
      <c r="F706" s="7">
        <f>IF($E706="","",IFERROR(IF(VLOOKUP($E706,AcctTbl,4,0)="","",VLOOKUP($E706,AcctTbl,4,0)),"—"))</f>
        <v/>
      </c>
      <c r="G706" s="8" t="n"/>
      <c r="H706" s="9" t="n"/>
      <c r="I706" s="9" t="n"/>
      <c r="J706" s="10">
        <f>IF(OR($H706="",$I706=""),"",ROUND($H706*$I706,0))</f>
        <v/>
      </c>
      <c r="K706" s="10">
        <f>IF(OR($B706="",$E706="",Calc!$B703=""),"",SUMIFS(CalcAmtA,CalcPartyA,$E706,CalcKeyA,"&lt;="&amp;Calc!$B703)-SUMIFS(CalcWitB,CalcPartyB,$E706,CalcKeyB,"&lt;="&amp;Calc!$B703)+SUMIFS(CalcDepB,CalcPartyB,$E706,CalcKeyB,"&lt;="&amp;Calc!$B703))</f>
        <v/>
      </c>
      <c r="L706" s="8" t="n"/>
    </row>
    <row r="707">
      <c r="A707" s="7">
        <f>IF($B707="","",COUNTA($B$9:$B707))</f>
        <v/>
      </c>
      <c r="B707" s="8" t="n"/>
      <c r="C707" s="8" t="n"/>
      <c r="D707" s="8" t="n"/>
      <c r="E707" s="8" t="n"/>
      <c r="F707" s="7">
        <f>IF($E707="","",IFERROR(IF(VLOOKUP($E707,AcctTbl,4,0)="","",VLOOKUP($E707,AcctTbl,4,0)),"—"))</f>
        <v/>
      </c>
      <c r="G707" s="8" t="n"/>
      <c r="H707" s="9" t="n"/>
      <c r="I707" s="9" t="n"/>
      <c r="J707" s="10">
        <f>IF(OR($H707="",$I707=""),"",ROUND($H707*$I707,0))</f>
        <v/>
      </c>
      <c r="K707" s="10">
        <f>IF(OR($B707="",$E707="",Calc!$B704=""),"",SUMIFS(CalcAmtA,CalcPartyA,$E707,CalcKeyA,"&lt;="&amp;Calc!$B704)-SUMIFS(CalcWitB,CalcPartyB,$E707,CalcKeyB,"&lt;="&amp;Calc!$B704)+SUMIFS(CalcDepB,CalcPartyB,$E707,CalcKeyB,"&lt;="&amp;Calc!$B704))</f>
        <v/>
      </c>
      <c r="L707" s="8" t="n"/>
    </row>
    <row r="708">
      <c r="A708" s="7">
        <f>IF($B708="","",COUNTA($B$9:$B708))</f>
        <v/>
      </c>
      <c r="B708" s="8" t="n"/>
      <c r="C708" s="8" t="n"/>
      <c r="D708" s="8" t="n"/>
      <c r="E708" s="8" t="n"/>
      <c r="F708" s="7">
        <f>IF($E708="","",IFERROR(IF(VLOOKUP($E708,AcctTbl,4,0)="","",VLOOKUP($E708,AcctTbl,4,0)),"—"))</f>
        <v/>
      </c>
      <c r="G708" s="8" t="n"/>
      <c r="H708" s="9" t="n"/>
      <c r="I708" s="9" t="n"/>
      <c r="J708" s="10">
        <f>IF(OR($H708="",$I708=""),"",ROUND($H708*$I708,0))</f>
        <v/>
      </c>
      <c r="K708" s="10">
        <f>IF(OR($B708="",$E708="",Calc!$B705=""),"",SUMIFS(CalcAmtA,CalcPartyA,$E708,CalcKeyA,"&lt;="&amp;Calc!$B705)-SUMIFS(CalcWitB,CalcPartyB,$E708,CalcKeyB,"&lt;="&amp;Calc!$B705)+SUMIFS(CalcDepB,CalcPartyB,$E708,CalcKeyB,"&lt;="&amp;Calc!$B705))</f>
        <v/>
      </c>
      <c r="L708" s="8" t="n"/>
    </row>
    <row r="709">
      <c r="A709" s="7">
        <f>IF($B709="","",COUNTA($B$9:$B709))</f>
        <v/>
      </c>
      <c r="B709" s="8" t="n"/>
      <c r="C709" s="8" t="n"/>
      <c r="D709" s="8" t="n"/>
      <c r="E709" s="8" t="n"/>
      <c r="F709" s="7">
        <f>IF($E709="","",IFERROR(IF(VLOOKUP($E709,AcctTbl,4,0)="","",VLOOKUP($E709,AcctTbl,4,0)),"—"))</f>
        <v/>
      </c>
      <c r="G709" s="8" t="n"/>
      <c r="H709" s="9" t="n"/>
      <c r="I709" s="9" t="n"/>
      <c r="J709" s="10">
        <f>IF(OR($H709="",$I709=""),"",ROUND($H709*$I709,0))</f>
        <v/>
      </c>
      <c r="K709" s="10">
        <f>IF(OR($B709="",$E709="",Calc!$B706=""),"",SUMIFS(CalcAmtA,CalcPartyA,$E709,CalcKeyA,"&lt;="&amp;Calc!$B706)-SUMIFS(CalcWitB,CalcPartyB,$E709,CalcKeyB,"&lt;="&amp;Calc!$B706)+SUMIFS(CalcDepB,CalcPartyB,$E709,CalcKeyB,"&lt;="&amp;Calc!$B706))</f>
        <v/>
      </c>
      <c r="L709" s="8" t="n"/>
    </row>
    <row r="710">
      <c r="A710" s="7">
        <f>IF($B710="","",COUNTA($B$9:$B710))</f>
        <v/>
      </c>
      <c r="B710" s="8" t="n"/>
      <c r="C710" s="8" t="n"/>
      <c r="D710" s="8" t="n"/>
      <c r="E710" s="8" t="n"/>
      <c r="F710" s="7">
        <f>IF($E710="","",IFERROR(IF(VLOOKUP($E710,AcctTbl,4,0)="","",VLOOKUP($E710,AcctTbl,4,0)),"—"))</f>
        <v/>
      </c>
      <c r="G710" s="8" t="n"/>
      <c r="H710" s="9" t="n"/>
      <c r="I710" s="9" t="n"/>
      <c r="J710" s="10">
        <f>IF(OR($H710="",$I710=""),"",ROUND($H710*$I710,0))</f>
        <v/>
      </c>
      <c r="K710" s="10">
        <f>IF(OR($B710="",$E710="",Calc!$B707=""),"",SUMIFS(CalcAmtA,CalcPartyA,$E710,CalcKeyA,"&lt;="&amp;Calc!$B707)-SUMIFS(CalcWitB,CalcPartyB,$E710,CalcKeyB,"&lt;="&amp;Calc!$B707)+SUMIFS(CalcDepB,CalcPartyB,$E710,CalcKeyB,"&lt;="&amp;Calc!$B707))</f>
        <v/>
      </c>
      <c r="L710" s="8" t="n"/>
    </row>
    <row r="711">
      <c r="A711" s="7">
        <f>IF($B711="","",COUNTA($B$9:$B711))</f>
        <v/>
      </c>
      <c r="B711" s="8" t="n"/>
      <c r="C711" s="8" t="n"/>
      <c r="D711" s="8" t="n"/>
      <c r="E711" s="8" t="n"/>
      <c r="F711" s="7">
        <f>IF($E711="","",IFERROR(IF(VLOOKUP($E711,AcctTbl,4,0)="","",VLOOKUP($E711,AcctTbl,4,0)),"—"))</f>
        <v/>
      </c>
      <c r="G711" s="8" t="n"/>
      <c r="H711" s="9" t="n"/>
      <c r="I711" s="9" t="n"/>
      <c r="J711" s="10">
        <f>IF(OR($H711="",$I711=""),"",ROUND($H711*$I711,0))</f>
        <v/>
      </c>
      <c r="K711" s="10">
        <f>IF(OR($B711="",$E711="",Calc!$B708=""),"",SUMIFS(CalcAmtA,CalcPartyA,$E711,CalcKeyA,"&lt;="&amp;Calc!$B708)-SUMIFS(CalcWitB,CalcPartyB,$E711,CalcKeyB,"&lt;="&amp;Calc!$B708)+SUMIFS(CalcDepB,CalcPartyB,$E711,CalcKeyB,"&lt;="&amp;Calc!$B708))</f>
        <v/>
      </c>
      <c r="L711" s="8" t="n"/>
    </row>
    <row r="712">
      <c r="A712" s="7">
        <f>IF($B712="","",COUNTA($B$9:$B712))</f>
        <v/>
      </c>
      <c r="B712" s="8" t="n"/>
      <c r="C712" s="8" t="n"/>
      <c r="D712" s="8" t="n"/>
      <c r="E712" s="8" t="n"/>
      <c r="F712" s="7">
        <f>IF($E712="","",IFERROR(IF(VLOOKUP($E712,AcctTbl,4,0)="","",VLOOKUP($E712,AcctTbl,4,0)),"—"))</f>
        <v/>
      </c>
      <c r="G712" s="8" t="n"/>
      <c r="H712" s="9" t="n"/>
      <c r="I712" s="9" t="n"/>
      <c r="J712" s="10">
        <f>IF(OR($H712="",$I712=""),"",ROUND($H712*$I712,0))</f>
        <v/>
      </c>
      <c r="K712" s="10">
        <f>IF(OR($B712="",$E712="",Calc!$B709=""),"",SUMIFS(CalcAmtA,CalcPartyA,$E712,CalcKeyA,"&lt;="&amp;Calc!$B709)-SUMIFS(CalcWitB,CalcPartyB,$E712,CalcKeyB,"&lt;="&amp;Calc!$B709)+SUMIFS(CalcDepB,CalcPartyB,$E712,CalcKeyB,"&lt;="&amp;Calc!$B709))</f>
        <v/>
      </c>
      <c r="L712" s="8" t="n"/>
    </row>
    <row r="713">
      <c r="A713" s="7">
        <f>IF($B713="","",COUNTA($B$9:$B713))</f>
        <v/>
      </c>
      <c r="B713" s="8" t="n"/>
      <c r="C713" s="8" t="n"/>
      <c r="D713" s="8" t="n"/>
      <c r="E713" s="8" t="n"/>
      <c r="F713" s="7">
        <f>IF($E713="","",IFERROR(IF(VLOOKUP($E713,AcctTbl,4,0)="","",VLOOKUP($E713,AcctTbl,4,0)),"—"))</f>
        <v/>
      </c>
      <c r="G713" s="8" t="n"/>
      <c r="H713" s="9" t="n"/>
      <c r="I713" s="9" t="n"/>
      <c r="J713" s="10">
        <f>IF(OR($H713="",$I713=""),"",ROUND($H713*$I713,0))</f>
        <v/>
      </c>
      <c r="K713" s="10">
        <f>IF(OR($B713="",$E713="",Calc!$B710=""),"",SUMIFS(CalcAmtA,CalcPartyA,$E713,CalcKeyA,"&lt;="&amp;Calc!$B710)-SUMIFS(CalcWitB,CalcPartyB,$E713,CalcKeyB,"&lt;="&amp;Calc!$B710)+SUMIFS(CalcDepB,CalcPartyB,$E713,CalcKeyB,"&lt;="&amp;Calc!$B710))</f>
        <v/>
      </c>
      <c r="L713" s="8" t="n"/>
    </row>
    <row r="714">
      <c r="A714" s="7">
        <f>IF($B714="","",COUNTA($B$9:$B714))</f>
        <v/>
      </c>
      <c r="B714" s="8" t="n"/>
      <c r="C714" s="8" t="n"/>
      <c r="D714" s="8" t="n"/>
      <c r="E714" s="8" t="n"/>
      <c r="F714" s="7">
        <f>IF($E714="","",IFERROR(IF(VLOOKUP($E714,AcctTbl,4,0)="","",VLOOKUP($E714,AcctTbl,4,0)),"—"))</f>
        <v/>
      </c>
      <c r="G714" s="8" t="n"/>
      <c r="H714" s="9" t="n"/>
      <c r="I714" s="9" t="n"/>
      <c r="J714" s="10">
        <f>IF(OR($H714="",$I714=""),"",ROUND($H714*$I714,0))</f>
        <v/>
      </c>
      <c r="K714" s="10">
        <f>IF(OR($B714="",$E714="",Calc!$B711=""),"",SUMIFS(CalcAmtA,CalcPartyA,$E714,CalcKeyA,"&lt;="&amp;Calc!$B711)-SUMIFS(CalcWitB,CalcPartyB,$E714,CalcKeyB,"&lt;="&amp;Calc!$B711)+SUMIFS(CalcDepB,CalcPartyB,$E714,CalcKeyB,"&lt;="&amp;Calc!$B711))</f>
        <v/>
      </c>
      <c r="L714" s="8" t="n"/>
    </row>
    <row r="715">
      <c r="A715" s="7">
        <f>IF($B715="","",COUNTA($B$9:$B715))</f>
        <v/>
      </c>
      <c r="B715" s="8" t="n"/>
      <c r="C715" s="8" t="n"/>
      <c r="D715" s="8" t="n"/>
      <c r="E715" s="8" t="n"/>
      <c r="F715" s="7">
        <f>IF($E715="","",IFERROR(IF(VLOOKUP($E715,AcctTbl,4,0)="","",VLOOKUP($E715,AcctTbl,4,0)),"—"))</f>
        <v/>
      </c>
      <c r="G715" s="8" t="n"/>
      <c r="H715" s="9" t="n"/>
      <c r="I715" s="9" t="n"/>
      <c r="J715" s="10">
        <f>IF(OR($H715="",$I715=""),"",ROUND($H715*$I715,0))</f>
        <v/>
      </c>
      <c r="K715" s="10">
        <f>IF(OR($B715="",$E715="",Calc!$B712=""),"",SUMIFS(CalcAmtA,CalcPartyA,$E715,CalcKeyA,"&lt;="&amp;Calc!$B712)-SUMIFS(CalcWitB,CalcPartyB,$E715,CalcKeyB,"&lt;="&amp;Calc!$B712)+SUMIFS(CalcDepB,CalcPartyB,$E715,CalcKeyB,"&lt;="&amp;Calc!$B712))</f>
        <v/>
      </c>
      <c r="L715" s="8" t="n"/>
    </row>
    <row r="716">
      <c r="A716" s="7">
        <f>IF($B716="","",COUNTA($B$9:$B716))</f>
        <v/>
      </c>
      <c r="B716" s="8" t="n"/>
      <c r="C716" s="8" t="n"/>
      <c r="D716" s="8" t="n"/>
      <c r="E716" s="8" t="n"/>
      <c r="F716" s="7">
        <f>IF($E716="","",IFERROR(IF(VLOOKUP($E716,AcctTbl,4,0)="","",VLOOKUP($E716,AcctTbl,4,0)),"—"))</f>
        <v/>
      </c>
      <c r="G716" s="8" t="n"/>
      <c r="H716" s="9" t="n"/>
      <c r="I716" s="9" t="n"/>
      <c r="J716" s="10">
        <f>IF(OR($H716="",$I716=""),"",ROUND($H716*$I716,0))</f>
        <v/>
      </c>
      <c r="K716" s="10">
        <f>IF(OR($B716="",$E716="",Calc!$B713=""),"",SUMIFS(CalcAmtA,CalcPartyA,$E716,CalcKeyA,"&lt;="&amp;Calc!$B713)-SUMIFS(CalcWitB,CalcPartyB,$E716,CalcKeyB,"&lt;="&amp;Calc!$B713)+SUMIFS(CalcDepB,CalcPartyB,$E716,CalcKeyB,"&lt;="&amp;Calc!$B713))</f>
        <v/>
      </c>
      <c r="L716" s="8" t="n"/>
    </row>
    <row r="717">
      <c r="A717" s="7">
        <f>IF($B717="","",COUNTA($B$9:$B717))</f>
        <v/>
      </c>
      <c r="B717" s="8" t="n"/>
      <c r="C717" s="8" t="n"/>
      <c r="D717" s="8" t="n"/>
      <c r="E717" s="8" t="n"/>
      <c r="F717" s="7">
        <f>IF($E717="","",IFERROR(IF(VLOOKUP($E717,AcctTbl,4,0)="","",VLOOKUP($E717,AcctTbl,4,0)),"—"))</f>
        <v/>
      </c>
      <c r="G717" s="8" t="n"/>
      <c r="H717" s="9" t="n"/>
      <c r="I717" s="9" t="n"/>
      <c r="J717" s="10">
        <f>IF(OR($H717="",$I717=""),"",ROUND($H717*$I717,0))</f>
        <v/>
      </c>
      <c r="K717" s="10">
        <f>IF(OR($B717="",$E717="",Calc!$B714=""),"",SUMIFS(CalcAmtA,CalcPartyA,$E717,CalcKeyA,"&lt;="&amp;Calc!$B714)-SUMIFS(CalcWitB,CalcPartyB,$E717,CalcKeyB,"&lt;="&amp;Calc!$B714)+SUMIFS(CalcDepB,CalcPartyB,$E717,CalcKeyB,"&lt;="&amp;Calc!$B714))</f>
        <v/>
      </c>
      <c r="L717" s="8" t="n"/>
    </row>
    <row r="718">
      <c r="A718" s="7">
        <f>IF($B718="","",COUNTA($B$9:$B718))</f>
        <v/>
      </c>
      <c r="B718" s="8" t="n"/>
      <c r="C718" s="8" t="n"/>
      <c r="D718" s="8" t="n"/>
      <c r="E718" s="8" t="n"/>
      <c r="F718" s="7">
        <f>IF($E718="","",IFERROR(IF(VLOOKUP($E718,AcctTbl,4,0)="","",VLOOKUP($E718,AcctTbl,4,0)),"—"))</f>
        <v/>
      </c>
      <c r="G718" s="8" t="n"/>
      <c r="H718" s="9" t="n"/>
      <c r="I718" s="9" t="n"/>
      <c r="J718" s="10">
        <f>IF(OR($H718="",$I718=""),"",ROUND($H718*$I718,0))</f>
        <v/>
      </c>
      <c r="K718" s="10">
        <f>IF(OR($B718="",$E718="",Calc!$B715=""),"",SUMIFS(CalcAmtA,CalcPartyA,$E718,CalcKeyA,"&lt;="&amp;Calc!$B715)-SUMIFS(CalcWitB,CalcPartyB,$E718,CalcKeyB,"&lt;="&amp;Calc!$B715)+SUMIFS(CalcDepB,CalcPartyB,$E718,CalcKeyB,"&lt;="&amp;Calc!$B715))</f>
        <v/>
      </c>
      <c r="L718" s="8" t="n"/>
    </row>
    <row r="719">
      <c r="A719" s="7">
        <f>IF($B719="","",COUNTA($B$9:$B719))</f>
        <v/>
      </c>
      <c r="B719" s="8" t="n"/>
      <c r="C719" s="8" t="n"/>
      <c r="D719" s="8" t="n"/>
      <c r="E719" s="8" t="n"/>
      <c r="F719" s="7">
        <f>IF($E719="","",IFERROR(IF(VLOOKUP($E719,AcctTbl,4,0)="","",VLOOKUP($E719,AcctTbl,4,0)),"—"))</f>
        <v/>
      </c>
      <c r="G719" s="8" t="n"/>
      <c r="H719" s="9" t="n"/>
      <c r="I719" s="9" t="n"/>
      <c r="J719" s="10">
        <f>IF(OR($H719="",$I719=""),"",ROUND($H719*$I719,0))</f>
        <v/>
      </c>
      <c r="K719" s="10">
        <f>IF(OR($B719="",$E719="",Calc!$B716=""),"",SUMIFS(CalcAmtA,CalcPartyA,$E719,CalcKeyA,"&lt;="&amp;Calc!$B716)-SUMIFS(CalcWitB,CalcPartyB,$E719,CalcKeyB,"&lt;="&amp;Calc!$B716)+SUMIFS(CalcDepB,CalcPartyB,$E719,CalcKeyB,"&lt;="&amp;Calc!$B716))</f>
        <v/>
      </c>
      <c r="L719" s="8" t="n"/>
    </row>
    <row r="720">
      <c r="A720" s="7">
        <f>IF($B720="","",COUNTA($B$9:$B720))</f>
        <v/>
      </c>
      <c r="B720" s="8" t="n"/>
      <c r="C720" s="8" t="n"/>
      <c r="D720" s="8" t="n"/>
      <c r="E720" s="8" t="n"/>
      <c r="F720" s="7">
        <f>IF($E720="","",IFERROR(IF(VLOOKUP($E720,AcctTbl,4,0)="","",VLOOKUP($E720,AcctTbl,4,0)),"—"))</f>
        <v/>
      </c>
      <c r="G720" s="8" t="n"/>
      <c r="H720" s="9" t="n"/>
      <c r="I720" s="9" t="n"/>
      <c r="J720" s="10">
        <f>IF(OR($H720="",$I720=""),"",ROUND($H720*$I720,0))</f>
        <v/>
      </c>
      <c r="K720" s="10">
        <f>IF(OR($B720="",$E720="",Calc!$B717=""),"",SUMIFS(CalcAmtA,CalcPartyA,$E720,CalcKeyA,"&lt;="&amp;Calc!$B717)-SUMIFS(CalcWitB,CalcPartyB,$E720,CalcKeyB,"&lt;="&amp;Calc!$B717)+SUMIFS(CalcDepB,CalcPartyB,$E720,CalcKeyB,"&lt;="&amp;Calc!$B717))</f>
        <v/>
      </c>
      <c r="L720" s="8" t="n"/>
    </row>
    <row r="721">
      <c r="A721" s="7">
        <f>IF($B721="","",COUNTA($B$9:$B721))</f>
        <v/>
      </c>
      <c r="B721" s="8" t="n"/>
      <c r="C721" s="8" t="n"/>
      <c r="D721" s="8" t="n"/>
      <c r="E721" s="8" t="n"/>
      <c r="F721" s="7">
        <f>IF($E721="","",IFERROR(IF(VLOOKUP($E721,AcctTbl,4,0)="","",VLOOKUP($E721,AcctTbl,4,0)),"—"))</f>
        <v/>
      </c>
      <c r="G721" s="8" t="n"/>
      <c r="H721" s="9" t="n"/>
      <c r="I721" s="9" t="n"/>
      <c r="J721" s="10">
        <f>IF(OR($H721="",$I721=""),"",ROUND($H721*$I721,0))</f>
        <v/>
      </c>
      <c r="K721" s="10">
        <f>IF(OR($B721="",$E721="",Calc!$B718=""),"",SUMIFS(CalcAmtA,CalcPartyA,$E721,CalcKeyA,"&lt;="&amp;Calc!$B718)-SUMIFS(CalcWitB,CalcPartyB,$E721,CalcKeyB,"&lt;="&amp;Calc!$B718)+SUMIFS(CalcDepB,CalcPartyB,$E721,CalcKeyB,"&lt;="&amp;Calc!$B718))</f>
        <v/>
      </c>
      <c r="L721" s="8" t="n"/>
    </row>
    <row r="722">
      <c r="A722" s="7">
        <f>IF($B722="","",COUNTA($B$9:$B722))</f>
        <v/>
      </c>
      <c r="B722" s="8" t="n"/>
      <c r="C722" s="8" t="n"/>
      <c r="D722" s="8" t="n"/>
      <c r="E722" s="8" t="n"/>
      <c r="F722" s="7">
        <f>IF($E722="","",IFERROR(IF(VLOOKUP($E722,AcctTbl,4,0)="","",VLOOKUP($E722,AcctTbl,4,0)),"—"))</f>
        <v/>
      </c>
      <c r="G722" s="8" t="n"/>
      <c r="H722" s="9" t="n"/>
      <c r="I722" s="9" t="n"/>
      <c r="J722" s="10">
        <f>IF(OR($H722="",$I722=""),"",ROUND($H722*$I722,0))</f>
        <v/>
      </c>
      <c r="K722" s="10">
        <f>IF(OR($B722="",$E722="",Calc!$B719=""),"",SUMIFS(CalcAmtA,CalcPartyA,$E722,CalcKeyA,"&lt;="&amp;Calc!$B719)-SUMIFS(CalcWitB,CalcPartyB,$E722,CalcKeyB,"&lt;="&amp;Calc!$B719)+SUMIFS(CalcDepB,CalcPartyB,$E722,CalcKeyB,"&lt;="&amp;Calc!$B719))</f>
        <v/>
      </c>
      <c r="L722" s="8" t="n"/>
    </row>
    <row r="723">
      <c r="A723" s="7">
        <f>IF($B723="","",COUNTA($B$9:$B723))</f>
        <v/>
      </c>
      <c r="B723" s="8" t="n"/>
      <c r="C723" s="8" t="n"/>
      <c r="D723" s="8" t="n"/>
      <c r="E723" s="8" t="n"/>
      <c r="F723" s="7">
        <f>IF($E723="","",IFERROR(IF(VLOOKUP($E723,AcctTbl,4,0)="","",VLOOKUP($E723,AcctTbl,4,0)),"—"))</f>
        <v/>
      </c>
      <c r="G723" s="8" t="n"/>
      <c r="H723" s="9" t="n"/>
      <c r="I723" s="9" t="n"/>
      <c r="J723" s="10">
        <f>IF(OR($H723="",$I723=""),"",ROUND($H723*$I723,0))</f>
        <v/>
      </c>
      <c r="K723" s="10">
        <f>IF(OR($B723="",$E723="",Calc!$B720=""),"",SUMIFS(CalcAmtA,CalcPartyA,$E723,CalcKeyA,"&lt;="&amp;Calc!$B720)-SUMIFS(CalcWitB,CalcPartyB,$E723,CalcKeyB,"&lt;="&amp;Calc!$B720)+SUMIFS(CalcDepB,CalcPartyB,$E723,CalcKeyB,"&lt;="&amp;Calc!$B720))</f>
        <v/>
      </c>
      <c r="L723" s="8" t="n"/>
    </row>
    <row r="724">
      <c r="A724" s="7">
        <f>IF($B724="","",COUNTA($B$9:$B724))</f>
        <v/>
      </c>
      <c r="B724" s="8" t="n"/>
      <c r="C724" s="8" t="n"/>
      <c r="D724" s="8" t="n"/>
      <c r="E724" s="8" t="n"/>
      <c r="F724" s="7">
        <f>IF($E724="","",IFERROR(IF(VLOOKUP($E724,AcctTbl,4,0)="","",VLOOKUP($E724,AcctTbl,4,0)),"—"))</f>
        <v/>
      </c>
      <c r="G724" s="8" t="n"/>
      <c r="H724" s="9" t="n"/>
      <c r="I724" s="9" t="n"/>
      <c r="J724" s="10">
        <f>IF(OR($H724="",$I724=""),"",ROUND($H724*$I724,0))</f>
        <v/>
      </c>
      <c r="K724" s="10">
        <f>IF(OR($B724="",$E724="",Calc!$B721=""),"",SUMIFS(CalcAmtA,CalcPartyA,$E724,CalcKeyA,"&lt;="&amp;Calc!$B721)-SUMIFS(CalcWitB,CalcPartyB,$E724,CalcKeyB,"&lt;="&amp;Calc!$B721)+SUMIFS(CalcDepB,CalcPartyB,$E724,CalcKeyB,"&lt;="&amp;Calc!$B721))</f>
        <v/>
      </c>
      <c r="L724" s="8" t="n"/>
    </row>
    <row r="725">
      <c r="A725" s="7">
        <f>IF($B725="","",COUNTA($B$9:$B725))</f>
        <v/>
      </c>
      <c r="B725" s="8" t="n"/>
      <c r="C725" s="8" t="n"/>
      <c r="D725" s="8" t="n"/>
      <c r="E725" s="8" t="n"/>
      <c r="F725" s="7">
        <f>IF($E725="","",IFERROR(IF(VLOOKUP($E725,AcctTbl,4,0)="","",VLOOKUP($E725,AcctTbl,4,0)),"—"))</f>
        <v/>
      </c>
      <c r="G725" s="8" t="n"/>
      <c r="H725" s="9" t="n"/>
      <c r="I725" s="9" t="n"/>
      <c r="J725" s="10">
        <f>IF(OR($H725="",$I725=""),"",ROUND($H725*$I725,0))</f>
        <v/>
      </c>
      <c r="K725" s="10">
        <f>IF(OR($B725="",$E725="",Calc!$B722=""),"",SUMIFS(CalcAmtA,CalcPartyA,$E725,CalcKeyA,"&lt;="&amp;Calc!$B722)-SUMIFS(CalcWitB,CalcPartyB,$E725,CalcKeyB,"&lt;="&amp;Calc!$B722)+SUMIFS(CalcDepB,CalcPartyB,$E725,CalcKeyB,"&lt;="&amp;Calc!$B722))</f>
        <v/>
      </c>
      <c r="L725" s="8" t="n"/>
    </row>
    <row r="726">
      <c r="A726" s="7">
        <f>IF($B726="","",COUNTA($B$9:$B726))</f>
        <v/>
      </c>
      <c r="B726" s="8" t="n"/>
      <c r="C726" s="8" t="n"/>
      <c r="D726" s="8" t="n"/>
      <c r="E726" s="8" t="n"/>
      <c r="F726" s="7">
        <f>IF($E726="","",IFERROR(IF(VLOOKUP($E726,AcctTbl,4,0)="","",VLOOKUP($E726,AcctTbl,4,0)),"—"))</f>
        <v/>
      </c>
      <c r="G726" s="8" t="n"/>
      <c r="H726" s="9" t="n"/>
      <c r="I726" s="9" t="n"/>
      <c r="J726" s="10">
        <f>IF(OR($H726="",$I726=""),"",ROUND($H726*$I726,0))</f>
        <v/>
      </c>
      <c r="K726" s="10">
        <f>IF(OR($B726="",$E726="",Calc!$B723=""),"",SUMIFS(CalcAmtA,CalcPartyA,$E726,CalcKeyA,"&lt;="&amp;Calc!$B723)-SUMIFS(CalcWitB,CalcPartyB,$E726,CalcKeyB,"&lt;="&amp;Calc!$B723)+SUMIFS(CalcDepB,CalcPartyB,$E726,CalcKeyB,"&lt;="&amp;Calc!$B723))</f>
        <v/>
      </c>
      <c r="L726" s="8" t="n"/>
    </row>
    <row r="727">
      <c r="A727" s="7">
        <f>IF($B727="","",COUNTA($B$9:$B727))</f>
        <v/>
      </c>
      <c r="B727" s="8" t="n"/>
      <c r="C727" s="8" t="n"/>
      <c r="D727" s="8" t="n"/>
      <c r="E727" s="8" t="n"/>
      <c r="F727" s="7">
        <f>IF($E727="","",IFERROR(IF(VLOOKUP($E727,AcctTbl,4,0)="","",VLOOKUP($E727,AcctTbl,4,0)),"—"))</f>
        <v/>
      </c>
      <c r="G727" s="8" t="n"/>
      <c r="H727" s="9" t="n"/>
      <c r="I727" s="9" t="n"/>
      <c r="J727" s="10">
        <f>IF(OR($H727="",$I727=""),"",ROUND($H727*$I727,0))</f>
        <v/>
      </c>
      <c r="K727" s="10">
        <f>IF(OR($B727="",$E727="",Calc!$B724=""),"",SUMIFS(CalcAmtA,CalcPartyA,$E727,CalcKeyA,"&lt;="&amp;Calc!$B724)-SUMIFS(CalcWitB,CalcPartyB,$E727,CalcKeyB,"&lt;="&amp;Calc!$B724)+SUMIFS(CalcDepB,CalcPartyB,$E727,CalcKeyB,"&lt;="&amp;Calc!$B724))</f>
        <v/>
      </c>
      <c r="L727" s="8" t="n"/>
    </row>
    <row r="728">
      <c r="A728" s="7">
        <f>IF($B728="","",COUNTA($B$9:$B728))</f>
        <v/>
      </c>
      <c r="B728" s="8" t="n"/>
      <c r="C728" s="8" t="n"/>
      <c r="D728" s="8" t="n"/>
      <c r="E728" s="8" t="n"/>
      <c r="F728" s="7">
        <f>IF($E728="","",IFERROR(IF(VLOOKUP($E728,AcctTbl,4,0)="","",VLOOKUP($E728,AcctTbl,4,0)),"—"))</f>
        <v/>
      </c>
      <c r="G728" s="8" t="n"/>
      <c r="H728" s="9" t="n"/>
      <c r="I728" s="9" t="n"/>
      <c r="J728" s="10">
        <f>IF(OR($H728="",$I728=""),"",ROUND($H728*$I728,0))</f>
        <v/>
      </c>
      <c r="K728" s="10">
        <f>IF(OR($B728="",$E728="",Calc!$B725=""),"",SUMIFS(CalcAmtA,CalcPartyA,$E728,CalcKeyA,"&lt;="&amp;Calc!$B725)-SUMIFS(CalcWitB,CalcPartyB,$E728,CalcKeyB,"&lt;="&amp;Calc!$B725)+SUMIFS(CalcDepB,CalcPartyB,$E728,CalcKeyB,"&lt;="&amp;Calc!$B725))</f>
        <v/>
      </c>
      <c r="L728" s="8" t="n"/>
    </row>
    <row r="729">
      <c r="A729" s="7">
        <f>IF($B729="","",COUNTA($B$9:$B729))</f>
        <v/>
      </c>
      <c r="B729" s="8" t="n"/>
      <c r="C729" s="8" t="n"/>
      <c r="D729" s="8" t="n"/>
      <c r="E729" s="8" t="n"/>
      <c r="F729" s="7">
        <f>IF($E729="","",IFERROR(IF(VLOOKUP($E729,AcctTbl,4,0)="","",VLOOKUP($E729,AcctTbl,4,0)),"—"))</f>
        <v/>
      </c>
      <c r="G729" s="8" t="n"/>
      <c r="H729" s="9" t="n"/>
      <c r="I729" s="9" t="n"/>
      <c r="J729" s="10">
        <f>IF(OR($H729="",$I729=""),"",ROUND($H729*$I729,0))</f>
        <v/>
      </c>
      <c r="K729" s="10">
        <f>IF(OR($B729="",$E729="",Calc!$B726=""),"",SUMIFS(CalcAmtA,CalcPartyA,$E729,CalcKeyA,"&lt;="&amp;Calc!$B726)-SUMIFS(CalcWitB,CalcPartyB,$E729,CalcKeyB,"&lt;="&amp;Calc!$B726)+SUMIFS(CalcDepB,CalcPartyB,$E729,CalcKeyB,"&lt;="&amp;Calc!$B726))</f>
        <v/>
      </c>
      <c r="L729" s="8" t="n"/>
    </row>
    <row r="730">
      <c r="A730" s="7">
        <f>IF($B730="","",COUNTA($B$9:$B730))</f>
        <v/>
      </c>
      <c r="B730" s="8" t="n"/>
      <c r="C730" s="8" t="n"/>
      <c r="D730" s="8" t="n"/>
      <c r="E730" s="8" t="n"/>
      <c r="F730" s="7">
        <f>IF($E730="","",IFERROR(IF(VLOOKUP($E730,AcctTbl,4,0)="","",VLOOKUP($E730,AcctTbl,4,0)),"—"))</f>
        <v/>
      </c>
      <c r="G730" s="8" t="n"/>
      <c r="H730" s="9" t="n"/>
      <c r="I730" s="9" t="n"/>
      <c r="J730" s="10">
        <f>IF(OR($H730="",$I730=""),"",ROUND($H730*$I730,0))</f>
        <v/>
      </c>
      <c r="K730" s="10">
        <f>IF(OR($B730="",$E730="",Calc!$B727=""),"",SUMIFS(CalcAmtA,CalcPartyA,$E730,CalcKeyA,"&lt;="&amp;Calc!$B727)-SUMIFS(CalcWitB,CalcPartyB,$E730,CalcKeyB,"&lt;="&amp;Calc!$B727)+SUMIFS(CalcDepB,CalcPartyB,$E730,CalcKeyB,"&lt;="&amp;Calc!$B727))</f>
        <v/>
      </c>
      <c r="L730" s="8" t="n"/>
    </row>
    <row r="731">
      <c r="A731" s="7">
        <f>IF($B731="","",COUNTA($B$9:$B731))</f>
        <v/>
      </c>
      <c r="B731" s="8" t="n"/>
      <c r="C731" s="8" t="n"/>
      <c r="D731" s="8" t="n"/>
      <c r="E731" s="8" t="n"/>
      <c r="F731" s="7">
        <f>IF($E731="","",IFERROR(IF(VLOOKUP($E731,AcctTbl,4,0)="","",VLOOKUP($E731,AcctTbl,4,0)),"—"))</f>
        <v/>
      </c>
      <c r="G731" s="8" t="n"/>
      <c r="H731" s="9" t="n"/>
      <c r="I731" s="9" t="n"/>
      <c r="J731" s="10">
        <f>IF(OR($H731="",$I731=""),"",ROUND($H731*$I731,0))</f>
        <v/>
      </c>
      <c r="K731" s="10">
        <f>IF(OR($B731="",$E731="",Calc!$B728=""),"",SUMIFS(CalcAmtA,CalcPartyA,$E731,CalcKeyA,"&lt;="&amp;Calc!$B728)-SUMIFS(CalcWitB,CalcPartyB,$E731,CalcKeyB,"&lt;="&amp;Calc!$B728)+SUMIFS(CalcDepB,CalcPartyB,$E731,CalcKeyB,"&lt;="&amp;Calc!$B728))</f>
        <v/>
      </c>
      <c r="L731" s="8" t="n"/>
    </row>
    <row r="732">
      <c r="A732" s="7">
        <f>IF($B732="","",COUNTA($B$9:$B732))</f>
        <v/>
      </c>
      <c r="B732" s="8" t="n"/>
      <c r="C732" s="8" t="n"/>
      <c r="D732" s="8" t="n"/>
      <c r="E732" s="8" t="n"/>
      <c r="F732" s="7">
        <f>IF($E732="","",IFERROR(IF(VLOOKUP($E732,AcctTbl,4,0)="","",VLOOKUP($E732,AcctTbl,4,0)),"—"))</f>
        <v/>
      </c>
      <c r="G732" s="8" t="n"/>
      <c r="H732" s="9" t="n"/>
      <c r="I732" s="9" t="n"/>
      <c r="J732" s="10">
        <f>IF(OR($H732="",$I732=""),"",ROUND($H732*$I732,0))</f>
        <v/>
      </c>
      <c r="K732" s="10">
        <f>IF(OR($B732="",$E732="",Calc!$B729=""),"",SUMIFS(CalcAmtA,CalcPartyA,$E732,CalcKeyA,"&lt;="&amp;Calc!$B729)-SUMIFS(CalcWitB,CalcPartyB,$E732,CalcKeyB,"&lt;="&amp;Calc!$B729)+SUMIFS(CalcDepB,CalcPartyB,$E732,CalcKeyB,"&lt;="&amp;Calc!$B729))</f>
        <v/>
      </c>
      <c r="L732" s="8" t="n"/>
    </row>
    <row r="733">
      <c r="A733" s="7">
        <f>IF($B733="","",COUNTA($B$9:$B733))</f>
        <v/>
      </c>
      <c r="B733" s="8" t="n"/>
      <c r="C733" s="8" t="n"/>
      <c r="D733" s="8" t="n"/>
      <c r="E733" s="8" t="n"/>
      <c r="F733" s="7">
        <f>IF($E733="","",IFERROR(IF(VLOOKUP($E733,AcctTbl,4,0)="","",VLOOKUP($E733,AcctTbl,4,0)),"—"))</f>
        <v/>
      </c>
      <c r="G733" s="8" t="n"/>
      <c r="H733" s="9" t="n"/>
      <c r="I733" s="9" t="n"/>
      <c r="J733" s="10">
        <f>IF(OR($H733="",$I733=""),"",ROUND($H733*$I733,0))</f>
        <v/>
      </c>
      <c r="K733" s="10">
        <f>IF(OR($B733="",$E733="",Calc!$B730=""),"",SUMIFS(CalcAmtA,CalcPartyA,$E733,CalcKeyA,"&lt;="&amp;Calc!$B730)-SUMIFS(CalcWitB,CalcPartyB,$E733,CalcKeyB,"&lt;="&amp;Calc!$B730)+SUMIFS(CalcDepB,CalcPartyB,$E733,CalcKeyB,"&lt;="&amp;Calc!$B730))</f>
        <v/>
      </c>
      <c r="L733" s="8" t="n"/>
    </row>
    <row r="734">
      <c r="A734" s="7">
        <f>IF($B734="","",COUNTA($B$9:$B734))</f>
        <v/>
      </c>
      <c r="B734" s="8" t="n"/>
      <c r="C734" s="8" t="n"/>
      <c r="D734" s="8" t="n"/>
      <c r="E734" s="8" t="n"/>
      <c r="F734" s="7">
        <f>IF($E734="","",IFERROR(IF(VLOOKUP($E734,AcctTbl,4,0)="","",VLOOKUP($E734,AcctTbl,4,0)),"—"))</f>
        <v/>
      </c>
      <c r="G734" s="8" t="n"/>
      <c r="H734" s="9" t="n"/>
      <c r="I734" s="9" t="n"/>
      <c r="J734" s="10">
        <f>IF(OR($H734="",$I734=""),"",ROUND($H734*$I734,0))</f>
        <v/>
      </c>
      <c r="K734" s="10">
        <f>IF(OR($B734="",$E734="",Calc!$B731=""),"",SUMIFS(CalcAmtA,CalcPartyA,$E734,CalcKeyA,"&lt;="&amp;Calc!$B731)-SUMIFS(CalcWitB,CalcPartyB,$E734,CalcKeyB,"&lt;="&amp;Calc!$B731)+SUMIFS(CalcDepB,CalcPartyB,$E734,CalcKeyB,"&lt;="&amp;Calc!$B731))</f>
        <v/>
      </c>
      <c r="L734" s="8" t="n"/>
    </row>
    <row r="735">
      <c r="A735" s="7">
        <f>IF($B735="","",COUNTA($B$9:$B735))</f>
        <v/>
      </c>
      <c r="B735" s="8" t="n"/>
      <c r="C735" s="8" t="n"/>
      <c r="D735" s="8" t="n"/>
      <c r="E735" s="8" t="n"/>
      <c r="F735" s="7">
        <f>IF($E735="","",IFERROR(IF(VLOOKUP($E735,AcctTbl,4,0)="","",VLOOKUP($E735,AcctTbl,4,0)),"—"))</f>
        <v/>
      </c>
      <c r="G735" s="8" t="n"/>
      <c r="H735" s="9" t="n"/>
      <c r="I735" s="9" t="n"/>
      <c r="J735" s="10">
        <f>IF(OR($H735="",$I735=""),"",ROUND($H735*$I735,0))</f>
        <v/>
      </c>
      <c r="K735" s="10">
        <f>IF(OR($B735="",$E735="",Calc!$B732=""),"",SUMIFS(CalcAmtA,CalcPartyA,$E735,CalcKeyA,"&lt;="&amp;Calc!$B732)-SUMIFS(CalcWitB,CalcPartyB,$E735,CalcKeyB,"&lt;="&amp;Calc!$B732)+SUMIFS(CalcDepB,CalcPartyB,$E735,CalcKeyB,"&lt;="&amp;Calc!$B732))</f>
        <v/>
      </c>
      <c r="L735" s="8" t="n"/>
    </row>
    <row r="736">
      <c r="A736" s="7">
        <f>IF($B736="","",COUNTA($B$9:$B736))</f>
        <v/>
      </c>
      <c r="B736" s="8" t="n"/>
      <c r="C736" s="8" t="n"/>
      <c r="D736" s="8" t="n"/>
      <c r="E736" s="8" t="n"/>
      <c r="F736" s="7">
        <f>IF($E736="","",IFERROR(IF(VLOOKUP($E736,AcctTbl,4,0)="","",VLOOKUP($E736,AcctTbl,4,0)),"—"))</f>
        <v/>
      </c>
      <c r="G736" s="8" t="n"/>
      <c r="H736" s="9" t="n"/>
      <c r="I736" s="9" t="n"/>
      <c r="J736" s="10">
        <f>IF(OR($H736="",$I736=""),"",ROUND($H736*$I736,0))</f>
        <v/>
      </c>
      <c r="K736" s="10">
        <f>IF(OR($B736="",$E736="",Calc!$B733=""),"",SUMIFS(CalcAmtA,CalcPartyA,$E736,CalcKeyA,"&lt;="&amp;Calc!$B733)-SUMIFS(CalcWitB,CalcPartyB,$E736,CalcKeyB,"&lt;="&amp;Calc!$B733)+SUMIFS(CalcDepB,CalcPartyB,$E736,CalcKeyB,"&lt;="&amp;Calc!$B733))</f>
        <v/>
      </c>
      <c r="L736" s="8" t="n"/>
    </row>
    <row r="737">
      <c r="A737" s="7">
        <f>IF($B737="","",COUNTA($B$9:$B737))</f>
        <v/>
      </c>
      <c r="B737" s="8" t="n"/>
      <c r="C737" s="8" t="n"/>
      <c r="D737" s="8" t="n"/>
      <c r="E737" s="8" t="n"/>
      <c r="F737" s="7">
        <f>IF($E737="","",IFERROR(IF(VLOOKUP($E737,AcctTbl,4,0)="","",VLOOKUP($E737,AcctTbl,4,0)),"—"))</f>
        <v/>
      </c>
      <c r="G737" s="8" t="n"/>
      <c r="H737" s="9" t="n"/>
      <c r="I737" s="9" t="n"/>
      <c r="J737" s="10">
        <f>IF(OR($H737="",$I737=""),"",ROUND($H737*$I737,0))</f>
        <v/>
      </c>
      <c r="K737" s="10">
        <f>IF(OR($B737="",$E737="",Calc!$B734=""),"",SUMIFS(CalcAmtA,CalcPartyA,$E737,CalcKeyA,"&lt;="&amp;Calc!$B734)-SUMIFS(CalcWitB,CalcPartyB,$E737,CalcKeyB,"&lt;="&amp;Calc!$B734)+SUMIFS(CalcDepB,CalcPartyB,$E737,CalcKeyB,"&lt;="&amp;Calc!$B734))</f>
        <v/>
      </c>
      <c r="L737" s="8" t="n"/>
    </row>
    <row r="738">
      <c r="A738" s="7">
        <f>IF($B738="","",COUNTA($B$9:$B738))</f>
        <v/>
      </c>
      <c r="B738" s="8" t="n"/>
      <c r="C738" s="8" t="n"/>
      <c r="D738" s="8" t="n"/>
      <c r="E738" s="8" t="n"/>
      <c r="F738" s="7">
        <f>IF($E738="","",IFERROR(IF(VLOOKUP($E738,AcctTbl,4,0)="","",VLOOKUP($E738,AcctTbl,4,0)),"—"))</f>
        <v/>
      </c>
      <c r="G738" s="8" t="n"/>
      <c r="H738" s="9" t="n"/>
      <c r="I738" s="9" t="n"/>
      <c r="J738" s="10">
        <f>IF(OR($H738="",$I738=""),"",ROUND($H738*$I738,0))</f>
        <v/>
      </c>
      <c r="K738" s="10">
        <f>IF(OR($B738="",$E738="",Calc!$B735=""),"",SUMIFS(CalcAmtA,CalcPartyA,$E738,CalcKeyA,"&lt;="&amp;Calc!$B735)-SUMIFS(CalcWitB,CalcPartyB,$E738,CalcKeyB,"&lt;="&amp;Calc!$B735)+SUMIFS(CalcDepB,CalcPartyB,$E738,CalcKeyB,"&lt;="&amp;Calc!$B735))</f>
        <v/>
      </c>
      <c r="L738" s="8" t="n"/>
    </row>
    <row r="739">
      <c r="A739" s="7">
        <f>IF($B739="","",COUNTA($B$9:$B739))</f>
        <v/>
      </c>
      <c r="B739" s="8" t="n"/>
      <c r="C739" s="8" t="n"/>
      <c r="D739" s="8" t="n"/>
      <c r="E739" s="8" t="n"/>
      <c r="F739" s="7">
        <f>IF($E739="","",IFERROR(IF(VLOOKUP($E739,AcctTbl,4,0)="","",VLOOKUP($E739,AcctTbl,4,0)),"—"))</f>
        <v/>
      </c>
      <c r="G739" s="8" t="n"/>
      <c r="H739" s="9" t="n"/>
      <c r="I739" s="9" t="n"/>
      <c r="J739" s="10">
        <f>IF(OR($H739="",$I739=""),"",ROUND($H739*$I739,0))</f>
        <v/>
      </c>
      <c r="K739" s="10">
        <f>IF(OR($B739="",$E739="",Calc!$B736=""),"",SUMIFS(CalcAmtA,CalcPartyA,$E739,CalcKeyA,"&lt;="&amp;Calc!$B736)-SUMIFS(CalcWitB,CalcPartyB,$E739,CalcKeyB,"&lt;="&amp;Calc!$B736)+SUMIFS(CalcDepB,CalcPartyB,$E739,CalcKeyB,"&lt;="&amp;Calc!$B736))</f>
        <v/>
      </c>
      <c r="L739" s="8" t="n"/>
    </row>
    <row r="740">
      <c r="A740" s="7">
        <f>IF($B740="","",COUNTA($B$9:$B740))</f>
        <v/>
      </c>
      <c r="B740" s="8" t="n"/>
      <c r="C740" s="8" t="n"/>
      <c r="D740" s="8" t="n"/>
      <c r="E740" s="8" t="n"/>
      <c r="F740" s="7">
        <f>IF($E740="","",IFERROR(IF(VLOOKUP($E740,AcctTbl,4,0)="","",VLOOKUP($E740,AcctTbl,4,0)),"—"))</f>
        <v/>
      </c>
      <c r="G740" s="8" t="n"/>
      <c r="H740" s="9" t="n"/>
      <c r="I740" s="9" t="n"/>
      <c r="J740" s="10">
        <f>IF(OR($H740="",$I740=""),"",ROUND($H740*$I740,0))</f>
        <v/>
      </c>
      <c r="K740" s="10">
        <f>IF(OR($B740="",$E740="",Calc!$B737=""),"",SUMIFS(CalcAmtA,CalcPartyA,$E740,CalcKeyA,"&lt;="&amp;Calc!$B737)-SUMIFS(CalcWitB,CalcPartyB,$E740,CalcKeyB,"&lt;="&amp;Calc!$B737)+SUMIFS(CalcDepB,CalcPartyB,$E740,CalcKeyB,"&lt;="&amp;Calc!$B737))</f>
        <v/>
      </c>
      <c r="L740" s="8" t="n"/>
    </row>
    <row r="741">
      <c r="A741" s="7">
        <f>IF($B741="","",COUNTA($B$9:$B741))</f>
        <v/>
      </c>
      <c r="B741" s="8" t="n"/>
      <c r="C741" s="8" t="n"/>
      <c r="D741" s="8" t="n"/>
      <c r="E741" s="8" t="n"/>
      <c r="F741" s="7">
        <f>IF($E741="","",IFERROR(IF(VLOOKUP($E741,AcctTbl,4,0)="","",VLOOKUP($E741,AcctTbl,4,0)),"—"))</f>
        <v/>
      </c>
      <c r="G741" s="8" t="n"/>
      <c r="H741" s="9" t="n"/>
      <c r="I741" s="9" t="n"/>
      <c r="J741" s="10">
        <f>IF(OR($H741="",$I741=""),"",ROUND($H741*$I741,0))</f>
        <v/>
      </c>
      <c r="K741" s="10">
        <f>IF(OR($B741="",$E741="",Calc!$B738=""),"",SUMIFS(CalcAmtA,CalcPartyA,$E741,CalcKeyA,"&lt;="&amp;Calc!$B738)-SUMIFS(CalcWitB,CalcPartyB,$E741,CalcKeyB,"&lt;="&amp;Calc!$B738)+SUMIFS(CalcDepB,CalcPartyB,$E741,CalcKeyB,"&lt;="&amp;Calc!$B738))</f>
        <v/>
      </c>
      <c r="L741" s="8" t="n"/>
    </row>
    <row r="742">
      <c r="A742" s="7">
        <f>IF($B742="","",COUNTA($B$9:$B742))</f>
        <v/>
      </c>
      <c r="B742" s="8" t="n"/>
      <c r="C742" s="8" t="n"/>
      <c r="D742" s="8" t="n"/>
      <c r="E742" s="8" t="n"/>
      <c r="F742" s="7">
        <f>IF($E742="","",IFERROR(IF(VLOOKUP($E742,AcctTbl,4,0)="","",VLOOKUP($E742,AcctTbl,4,0)),"—"))</f>
        <v/>
      </c>
      <c r="G742" s="8" t="n"/>
      <c r="H742" s="9" t="n"/>
      <c r="I742" s="9" t="n"/>
      <c r="J742" s="10">
        <f>IF(OR($H742="",$I742=""),"",ROUND($H742*$I742,0))</f>
        <v/>
      </c>
      <c r="K742" s="10">
        <f>IF(OR($B742="",$E742="",Calc!$B739=""),"",SUMIFS(CalcAmtA,CalcPartyA,$E742,CalcKeyA,"&lt;="&amp;Calc!$B739)-SUMIFS(CalcWitB,CalcPartyB,$E742,CalcKeyB,"&lt;="&amp;Calc!$B739)+SUMIFS(CalcDepB,CalcPartyB,$E742,CalcKeyB,"&lt;="&amp;Calc!$B739))</f>
        <v/>
      </c>
      <c r="L742" s="8" t="n"/>
    </row>
    <row r="743">
      <c r="A743" s="7">
        <f>IF($B743="","",COUNTA($B$9:$B743))</f>
        <v/>
      </c>
      <c r="B743" s="8" t="n"/>
      <c r="C743" s="8" t="n"/>
      <c r="D743" s="8" t="n"/>
      <c r="E743" s="8" t="n"/>
      <c r="F743" s="7">
        <f>IF($E743="","",IFERROR(IF(VLOOKUP($E743,AcctTbl,4,0)="","",VLOOKUP($E743,AcctTbl,4,0)),"—"))</f>
        <v/>
      </c>
      <c r="G743" s="8" t="n"/>
      <c r="H743" s="9" t="n"/>
      <c r="I743" s="9" t="n"/>
      <c r="J743" s="10">
        <f>IF(OR($H743="",$I743=""),"",ROUND($H743*$I743,0))</f>
        <v/>
      </c>
      <c r="K743" s="10">
        <f>IF(OR($B743="",$E743="",Calc!$B740=""),"",SUMIFS(CalcAmtA,CalcPartyA,$E743,CalcKeyA,"&lt;="&amp;Calc!$B740)-SUMIFS(CalcWitB,CalcPartyB,$E743,CalcKeyB,"&lt;="&amp;Calc!$B740)+SUMIFS(CalcDepB,CalcPartyB,$E743,CalcKeyB,"&lt;="&amp;Calc!$B740))</f>
        <v/>
      </c>
      <c r="L743" s="8" t="n"/>
    </row>
    <row r="744">
      <c r="A744" s="7">
        <f>IF($B744="","",COUNTA($B$9:$B744))</f>
        <v/>
      </c>
      <c r="B744" s="8" t="n"/>
      <c r="C744" s="8" t="n"/>
      <c r="D744" s="8" t="n"/>
      <c r="E744" s="8" t="n"/>
      <c r="F744" s="7">
        <f>IF($E744="","",IFERROR(IF(VLOOKUP($E744,AcctTbl,4,0)="","",VLOOKUP($E744,AcctTbl,4,0)),"—"))</f>
        <v/>
      </c>
      <c r="G744" s="8" t="n"/>
      <c r="H744" s="9" t="n"/>
      <c r="I744" s="9" t="n"/>
      <c r="J744" s="10">
        <f>IF(OR($H744="",$I744=""),"",ROUND($H744*$I744,0))</f>
        <v/>
      </c>
      <c r="K744" s="10">
        <f>IF(OR($B744="",$E744="",Calc!$B741=""),"",SUMIFS(CalcAmtA,CalcPartyA,$E744,CalcKeyA,"&lt;="&amp;Calc!$B741)-SUMIFS(CalcWitB,CalcPartyB,$E744,CalcKeyB,"&lt;="&amp;Calc!$B741)+SUMIFS(CalcDepB,CalcPartyB,$E744,CalcKeyB,"&lt;="&amp;Calc!$B741))</f>
        <v/>
      </c>
      <c r="L744" s="8" t="n"/>
    </row>
    <row r="745">
      <c r="A745" s="7">
        <f>IF($B745="","",COUNTA($B$9:$B745))</f>
        <v/>
      </c>
      <c r="B745" s="8" t="n"/>
      <c r="C745" s="8" t="n"/>
      <c r="D745" s="8" t="n"/>
      <c r="E745" s="8" t="n"/>
      <c r="F745" s="7">
        <f>IF($E745="","",IFERROR(IF(VLOOKUP($E745,AcctTbl,4,0)="","",VLOOKUP($E745,AcctTbl,4,0)),"—"))</f>
        <v/>
      </c>
      <c r="G745" s="8" t="n"/>
      <c r="H745" s="9" t="n"/>
      <c r="I745" s="9" t="n"/>
      <c r="J745" s="10">
        <f>IF(OR($H745="",$I745=""),"",ROUND($H745*$I745,0))</f>
        <v/>
      </c>
      <c r="K745" s="10">
        <f>IF(OR($B745="",$E745="",Calc!$B742=""),"",SUMIFS(CalcAmtA,CalcPartyA,$E745,CalcKeyA,"&lt;="&amp;Calc!$B742)-SUMIFS(CalcWitB,CalcPartyB,$E745,CalcKeyB,"&lt;="&amp;Calc!$B742)+SUMIFS(CalcDepB,CalcPartyB,$E745,CalcKeyB,"&lt;="&amp;Calc!$B742))</f>
        <v/>
      </c>
      <c r="L745" s="8" t="n"/>
    </row>
    <row r="746">
      <c r="A746" s="7">
        <f>IF($B746="","",COUNTA($B$9:$B746))</f>
        <v/>
      </c>
      <c r="B746" s="8" t="n"/>
      <c r="C746" s="8" t="n"/>
      <c r="D746" s="8" t="n"/>
      <c r="E746" s="8" t="n"/>
      <c r="F746" s="7">
        <f>IF($E746="","",IFERROR(IF(VLOOKUP($E746,AcctTbl,4,0)="","",VLOOKUP($E746,AcctTbl,4,0)),"—"))</f>
        <v/>
      </c>
      <c r="G746" s="8" t="n"/>
      <c r="H746" s="9" t="n"/>
      <c r="I746" s="9" t="n"/>
      <c r="J746" s="10">
        <f>IF(OR($H746="",$I746=""),"",ROUND($H746*$I746,0))</f>
        <v/>
      </c>
      <c r="K746" s="10">
        <f>IF(OR($B746="",$E746="",Calc!$B743=""),"",SUMIFS(CalcAmtA,CalcPartyA,$E746,CalcKeyA,"&lt;="&amp;Calc!$B743)-SUMIFS(CalcWitB,CalcPartyB,$E746,CalcKeyB,"&lt;="&amp;Calc!$B743)+SUMIFS(CalcDepB,CalcPartyB,$E746,CalcKeyB,"&lt;="&amp;Calc!$B743))</f>
        <v/>
      </c>
      <c r="L746" s="8" t="n"/>
    </row>
    <row r="747">
      <c r="A747" s="7">
        <f>IF($B747="","",COUNTA($B$9:$B747))</f>
        <v/>
      </c>
      <c r="B747" s="8" t="n"/>
      <c r="C747" s="8" t="n"/>
      <c r="D747" s="8" t="n"/>
      <c r="E747" s="8" t="n"/>
      <c r="F747" s="7">
        <f>IF($E747="","",IFERROR(IF(VLOOKUP($E747,AcctTbl,4,0)="","",VLOOKUP($E747,AcctTbl,4,0)),"—"))</f>
        <v/>
      </c>
      <c r="G747" s="8" t="n"/>
      <c r="H747" s="9" t="n"/>
      <c r="I747" s="9" t="n"/>
      <c r="J747" s="10">
        <f>IF(OR($H747="",$I747=""),"",ROUND($H747*$I747,0))</f>
        <v/>
      </c>
      <c r="K747" s="10">
        <f>IF(OR($B747="",$E747="",Calc!$B744=""),"",SUMIFS(CalcAmtA,CalcPartyA,$E747,CalcKeyA,"&lt;="&amp;Calc!$B744)-SUMIFS(CalcWitB,CalcPartyB,$E747,CalcKeyB,"&lt;="&amp;Calc!$B744)+SUMIFS(CalcDepB,CalcPartyB,$E747,CalcKeyB,"&lt;="&amp;Calc!$B744))</f>
        <v/>
      </c>
      <c r="L747" s="8" t="n"/>
    </row>
    <row r="748">
      <c r="A748" s="7">
        <f>IF($B748="","",COUNTA($B$9:$B748))</f>
        <v/>
      </c>
      <c r="B748" s="8" t="n"/>
      <c r="C748" s="8" t="n"/>
      <c r="D748" s="8" t="n"/>
      <c r="E748" s="8" t="n"/>
      <c r="F748" s="7">
        <f>IF($E748="","",IFERROR(IF(VLOOKUP($E748,AcctTbl,4,0)="","",VLOOKUP($E748,AcctTbl,4,0)),"—"))</f>
        <v/>
      </c>
      <c r="G748" s="8" t="n"/>
      <c r="H748" s="9" t="n"/>
      <c r="I748" s="9" t="n"/>
      <c r="J748" s="10">
        <f>IF(OR($H748="",$I748=""),"",ROUND($H748*$I748,0))</f>
        <v/>
      </c>
      <c r="K748" s="10">
        <f>IF(OR($B748="",$E748="",Calc!$B745=""),"",SUMIFS(CalcAmtA,CalcPartyA,$E748,CalcKeyA,"&lt;="&amp;Calc!$B745)-SUMIFS(CalcWitB,CalcPartyB,$E748,CalcKeyB,"&lt;="&amp;Calc!$B745)+SUMIFS(CalcDepB,CalcPartyB,$E748,CalcKeyB,"&lt;="&amp;Calc!$B745))</f>
        <v/>
      </c>
      <c r="L748" s="8" t="n"/>
    </row>
    <row r="749">
      <c r="A749" s="7">
        <f>IF($B749="","",COUNTA($B$9:$B749))</f>
        <v/>
      </c>
      <c r="B749" s="8" t="n"/>
      <c r="C749" s="8" t="n"/>
      <c r="D749" s="8" t="n"/>
      <c r="E749" s="8" t="n"/>
      <c r="F749" s="7">
        <f>IF($E749="","",IFERROR(IF(VLOOKUP($E749,AcctTbl,4,0)="","",VLOOKUP($E749,AcctTbl,4,0)),"—"))</f>
        <v/>
      </c>
      <c r="G749" s="8" t="n"/>
      <c r="H749" s="9" t="n"/>
      <c r="I749" s="9" t="n"/>
      <c r="J749" s="10">
        <f>IF(OR($H749="",$I749=""),"",ROUND($H749*$I749,0))</f>
        <v/>
      </c>
      <c r="K749" s="10">
        <f>IF(OR($B749="",$E749="",Calc!$B746=""),"",SUMIFS(CalcAmtA,CalcPartyA,$E749,CalcKeyA,"&lt;="&amp;Calc!$B746)-SUMIFS(CalcWitB,CalcPartyB,$E749,CalcKeyB,"&lt;="&amp;Calc!$B746)+SUMIFS(CalcDepB,CalcPartyB,$E749,CalcKeyB,"&lt;="&amp;Calc!$B746))</f>
        <v/>
      </c>
      <c r="L749" s="8" t="n"/>
    </row>
    <row r="750">
      <c r="A750" s="7">
        <f>IF($B750="","",COUNTA($B$9:$B750))</f>
        <v/>
      </c>
      <c r="B750" s="8" t="n"/>
      <c r="C750" s="8" t="n"/>
      <c r="D750" s="8" t="n"/>
      <c r="E750" s="8" t="n"/>
      <c r="F750" s="7">
        <f>IF($E750="","",IFERROR(IF(VLOOKUP($E750,AcctTbl,4,0)="","",VLOOKUP($E750,AcctTbl,4,0)),"—"))</f>
        <v/>
      </c>
      <c r="G750" s="8" t="n"/>
      <c r="H750" s="9" t="n"/>
      <c r="I750" s="9" t="n"/>
      <c r="J750" s="10">
        <f>IF(OR($H750="",$I750=""),"",ROUND($H750*$I750,0))</f>
        <v/>
      </c>
      <c r="K750" s="10">
        <f>IF(OR($B750="",$E750="",Calc!$B747=""),"",SUMIFS(CalcAmtA,CalcPartyA,$E750,CalcKeyA,"&lt;="&amp;Calc!$B747)-SUMIFS(CalcWitB,CalcPartyB,$E750,CalcKeyB,"&lt;="&amp;Calc!$B747)+SUMIFS(CalcDepB,CalcPartyB,$E750,CalcKeyB,"&lt;="&amp;Calc!$B747))</f>
        <v/>
      </c>
      <c r="L750" s="8" t="n"/>
    </row>
    <row r="751">
      <c r="A751" s="7">
        <f>IF($B751="","",COUNTA($B$9:$B751))</f>
        <v/>
      </c>
      <c r="B751" s="8" t="n"/>
      <c r="C751" s="8" t="n"/>
      <c r="D751" s="8" t="n"/>
      <c r="E751" s="8" t="n"/>
      <c r="F751" s="7">
        <f>IF($E751="","",IFERROR(IF(VLOOKUP($E751,AcctTbl,4,0)="","",VLOOKUP($E751,AcctTbl,4,0)),"—"))</f>
        <v/>
      </c>
      <c r="G751" s="8" t="n"/>
      <c r="H751" s="9" t="n"/>
      <c r="I751" s="9" t="n"/>
      <c r="J751" s="10">
        <f>IF(OR($H751="",$I751=""),"",ROUND($H751*$I751,0))</f>
        <v/>
      </c>
      <c r="K751" s="10">
        <f>IF(OR($B751="",$E751="",Calc!$B748=""),"",SUMIFS(CalcAmtA,CalcPartyA,$E751,CalcKeyA,"&lt;="&amp;Calc!$B748)-SUMIFS(CalcWitB,CalcPartyB,$E751,CalcKeyB,"&lt;="&amp;Calc!$B748)+SUMIFS(CalcDepB,CalcPartyB,$E751,CalcKeyB,"&lt;="&amp;Calc!$B748))</f>
        <v/>
      </c>
      <c r="L751" s="8" t="n"/>
    </row>
    <row r="752">
      <c r="A752" s="7">
        <f>IF($B752="","",COUNTA($B$9:$B752))</f>
        <v/>
      </c>
      <c r="B752" s="8" t="n"/>
      <c r="C752" s="8" t="n"/>
      <c r="D752" s="8" t="n"/>
      <c r="E752" s="8" t="n"/>
      <c r="F752" s="7">
        <f>IF($E752="","",IFERROR(IF(VLOOKUP($E752,AcctTbl,4,0)="","",VLOOKUP($E752,AcctTbl,4,0)),"—"))</f>
        <v/>
      </c>
      <c r="G752" s="8" t="n"/>
      <c r="H752" s="9" t="n"/>
      <c r="I752" s="9" t="n"/>
      <c r="J752" s="10">
        <f>IF(OR($H752="",$I752=""),"",ROUND($H752*$I752,0))</f>
        <v/>
      </c>
      <c r="K752" s="10">
        <f>IF(OR($B752="",$E752="",Calc!$B749=""),"",SUMIFS(CalcAmtA,CalcPartyA,$E752,CalcKeyA,"&lt;="&amp;Calc!$B749)-SUMIFS(CalcWitB,CalcPartyB,$E752,CalcKeyB,"&lt;="&amp;Calc!$B749)+SUMIFS(CalcDepB,CalcPartyB,$E752,CalcKeyB,"&lt;="&amp;Calc!$B749))</f>
        <v/>
      </c>
      <c r="L752" s="8" t="n"/>
    </row>
    <row r="753">
      <c r="A753" s="7">
        <f>IF($B753="","",COUNTA($B$9:$B753))</f>
        <v/>
      </c>
      <c r="B753" s="8" t="n"/>
      <c r="C753" s="8" t="n"/>
      <c r="D753" s="8" t="n"/>
      <c r="E753" s="8" t="n"/>
      <c r="F753" s="7">
        <f>IF($E753="","",IFERROR(IF(VLOOKUP($E753,AcctTbl,4,0)="","",VLOOKUP($E753,AcctTbl,4,0)),"—"))</f>
        <v/>
      </c>
      <c r="G753" s="8" t="n"/>
      <c r="H753" s="9" t="n"/>
      <c r="I753" s="9" t="n"/>
      <c r="J753" s="10">
        <f>IF(OR($H753="",$I753=""),"",ROUND($H753*$I753,0))</f>
        <v/>
      </c>
      <c r="K753" s="10">
        <f>IF(OR($B753="",$E753="",Calc!$B750=""),"",SUMIFS(CalcAmtA,CalcPartyA,$E753,CalcKeyA,"&lt;="&amp;Calc!$B750)-SUMIFS(CalcWitB,CalcPartyB,$E753,CalcKeyB,"&lt;="&amp;Calc!$B750)+SUMIFS(CalcDepB,CalcPartyB,$E753,CalcKeyB,"&lt;="&amp;Calc!$B750))</f>
        <v/>
      </c>
      <c r="L753" s="8" t="n"/>
    </row>
    <row r="754">
      <c r="A754" s="7">
        <f>IF($B754="","",COUNTA($B$9:$B754))</f>
        <v/>
      </c>
      <c r="B754" s="8" t="n"/>
      <c r="C754" s="8" t="n"/>
      <c r="D754" s="8" t="n"/>
      <c r="E754" s="8" t="n"/>
      <c r="F754" s="7">
        <f>IF($E754="","",IFERROR(IF(VLOOKUP($E754,AcctTbl,4,0)="","",VLOOKUP($E754,AcctTbl,4,0)),"—"))</f>
        <v/>
      </c>
      <c r="G754" s="8" t="n"/>
      <c r="H754" s="9" t="n"/>
      <c r="I754" s="9" t="n"/>
      <c r="J754" s="10">
        <f>IF(OR($H754="",$I754=""),"",ROUND($H754*$I754,0))</f>
        <v/>
      </c>
      <c r="K754" s="10">
        <f>IF(OR($B754="",$E754="",Calc!$B751=""),"",SUMIFS(CalcAmtA,CalcPartyA,$E754,CalcKeyA,"&lt;="&amp;Calc!$B751)-SUMIFS(CalcWitB,CalcPartyB,$E754,CalcKeyB,"&lt;="&amp;Calc!$B751)+SUMIFS(CalcDepB,CalcPartyB,$E754,CalcKeyB,"&lt;="&amp;Calc!$B751))</f>
        <v/>
      </c>
      <c r="L754" s="8" t="n"/>
    </row>
    <row r="755">
      <c r="A755" s="7">
        <f>IF($B755="","",COUNTA($B$9:$B755))</f>
        <v/>
      </c>
      <c r="B755" s="8" t="n"/>
      <c r="C755" s="8" t="n"/>
      <c r="D755" s="8" t="n"/>
      <c r="E755" s="8" t="n"/>
      <c r="F755" s="7">
        <f>IF($E755="","",IFERROR(IF(VLOOKUP($E755,AcctTbl,4,0)="","",VLOOKUP($E755,AcctTbl,4,0)),"—"))</f>
        <v/>
      </c>
      <c r="G755" s="8" t="n"/>
      <c r="H755" s="9" t="n"/>
      <c r="I755" s="9" t="n"/>
      <c r="J755" s="10">
        <f>IF(OR($H755="",$I755=""),"",ROUND($H755*$I755,0))</f>
        <v/>
      </c>
      <c r="K755" s="10">
        <f>IF(OR($B755="",$E755="",Calc!$B752=""),"",SUMIFS(CalcAmtA,CalcPartyA,$E755,CalcKeyA,"&lt;="&amp;Calc!$B752)-SUMIFS(CalcWitB,CalcPartyB,$E755,CalcKeyB,"&lt;="&amp;Calc!$B752)+SUMIFS(CalcDepB,CalcPartyB,$E755,CalcKeyB,"&lt;="&amp;Calc!$B752))</f>
        <v/>
      </c>
      <c r="L755" s="8" t="n"/>
    </row>
    <row r="756">
      <c r="A756" s="7">
        <f>IF($B756="","",COUNTA($B$9:$B756))</f>
        <v/>
      </c>
      <c r="B756" s="8" t="n"/>
      <c r="C756" s="8" t="n"/>
      <c r="D756" s="8" t="n"/>
      <c r="E756" s="8" t="n"/>
      <c r="F756" s="7">
        <f>IF($E756="","",IFERROR(IF(VLOOKUP($E756,AcctTbl,4,0)="","",VLOOKUP($E756,AcctTbl,4,0)),"—"))</f>
        <v/>
      </c>
      <c r="G756" s="8" t="n"/>
      <c r="H756" s="9" t="n"/>
      <c r="I756" s="9" t="n"/>
      <c r="J756" s="10">
        <f>IF(OR($H756="",$I756=""),"",ROUND($H756*$I756,0))</f>
        <v/>
      </c>
      <c r="K756" s="10">
        <f>IF(OR($B756="",$E756="",Calc!$B753=""),"",SUMIFS(CalcAmtA,CalcPartyA,$E756,CalcKeyA,"&lt;="&amp;Calc!$B753)-SUMIFS(CalcWitB,CalcPartyB,$E756,CalcKeyB,"&lt;="&amp;Calc!$B753)+SUMIFS(CalcDepB,CalcPartyB,$E756,CalcKeyB,"&lt;="&amp;Calc!$B753))</f>
        <v/>
      </c>
      <c r="L756" s="8" t="n"/>
    </row>
    <row r="757">
      <c r="A757" s="7">
        <f>IF($B757="","",COUNTA($B$9:$B757))</f>
        <v/>
      </c>
      <c r="B757" s="8" t="n"/>
      <c r="C757" s="8" t="n"/>
      <c r="D757" s="8" t="n"/>
      <c r="E757" s="8" t="n"/>
      <c r="F757" s="7">
        <f>IF($E757="","",IFERROR(IF(VLOOKUP($E757,AcctTbl,4,0)="","",VLOOKUP($E757,AcctTbl,4,0)),"—"))</f>
        <v/>
      </c>
      <c r="G757" s="8" t="n"/>
      <c r="H757" s="9" t="n"/>
      <c r="I757" s="9" t="n"/>
      <c r="J757" s="10">
        <f>IF(OR($H757="",$I757=""),"",ROUND($H757*$I757,0))</f>
        <v/>
      </c>
      <c r="K757" s="10">
        <f>IF(OR($B757="",$E757="",Calc!$B754=""),"",SUMIFS(CalcAmtA,CalcPartyA,$E757,CalcKeyA,"&lt;="&amp;Calc!$B754)-SUMIFS(CalcWitB,CalcPartyB,$E757,CalcKeyB,"&lt;="&amp;Calc!$B754)+SUMIFS(CalcDepB,CalcPartyB,$E757,CalcKeyB,"&lt;="&amp;Calc!$B754))</f>
        <v/>
      </c>
      <c r="L757" s="8" t="n"/>
    </row>
    <row r="758">
      <c r="A758" s="7">
        <f>IF($B758="","",COUNTA($B$9:$B758))</f>
        <v/>
      </c>
      <c r="B758" s="8" t="n"/>
      <c r="C758" s="8" t="n"/>
      <c r="D758" s="8" t="n"/>
      <c r="E758" s="8" t="n"/>
      <c r="F758" s="7">
        <f>IF($E758="","",IFERROR(IF(VLOOKUP($E758,AcctTbl,4,0)="","",VLOOKUP($E758,AcctTbl,4,0)),"—"))</f>
        <v/>
      </c>
      <c r="G758" s="8" t="n"/>
      <c r="H758" s="9" t="n"/>
      <c r="I758" s="9" t="n"/>
      <c r="J758" s="10">
        <f>IF(OR($H758="",$I758=""),"",ROUND($H758*$I758,0))</f>
        <v/>
      </c>
      <c r="K758" s="10">
        <f>IF(OR($B758="",$E758="",Calc!$B755=""),"",SUMIFS(CalcAmtA,CalcPartyA,$E758,CalcKeyA,"&lt;="&amp;Calc!$B755)-SUMIFS(CalcWitB,CalcPartyB,$E758,CalcKeyB,"&lt;="&amp;Calc!$B755)+SUMIFS(CalcDepB,CalcPartyB,$E758,CalcKeyB,"&lt;="&amp;Calc!$B755))</f>
        <v/>
      </c>
      <c r="L758" s="8" t="n"/>
    </row>
    <row r="759">
      <c r="A759" s="7">
        <f>IF($B759="","",COUNTA($B$9:$B759))</f>
        <v/>
      </c>
      <c r="B759" s="8" t="n"/>
      <c r="C759" s="8" t="n"/>
      <c r="D759" s="8" t="n"/>
      <c r="E759" s="8" t="n"/>
      <c r="F759" s="7">
        <f>IF($E759="","",IFERROR(IF(VLOOKUP($E759,AcctTbl,4,0)="","",VLOOKUP($E759,AcctTbl,4,0)),"—"))</f>
        <v/>
      </c>
      <c r="G759" s="8" t="n"/>
      <c r="H759" s="9" t="n"/>
      <c r="I759" s="9" t="n"/>
      <c r="J759" s="10">
        <f>IF(OR($H759="",$I759=""),"",ROUND($H759*$I759,0))</f>
        <v/>
      </c>
      <c r="K759" s="10">
        <f>IF(OR($B759="",$E759="",Calc!$B756=""),"",SUMIFS(CalcAmtA,CalcPartyA,$E759,CalcKeyA,"&lt;="&amp;Calc!$B756)-SUMIFS(CalcWitB,CalcPartyB,$E759,CalcKeyB,"&lt;="&amp;Calc!$B756)+SUMIFS(CalcDepB,CalcPartyB,$E759,CalcKeyB,"&lt;="&amp;Calc!$B756))</f>
        <v/>
      </c>
      <c r="L759" s="8" t="n"/>
    </row>
    <row r="760">
      <c r="A760" s="7">
        <f>IF($B760="","",COUNTA($B$9:$B760))</f>
        <v/>
      </c>
      <c r="B760" s="8" t="n"/>
      <c r="C760" s="8" t="n"/>
      <c r="D760" s="8" t="n"/>
      <c r="E760" s="8" t="n"/>
      <c r="F760" s="7">
        <f>IF($E760="","",IFERROR(IF(VLOOKUP($E760,AcctTbl,4,0)="","",VLOOKUP($E760,AcctTbl,4,0)),"—"))</f>
        <v/>
      </c>
      <c r="G760" s="8" t="n"/>
      <c r="H760" s="9" t="n"/>
      <c r="I760" s="9" t="n"/>
      <c r="J760" s="10">
        <f>IF(OR($H760="",$I760=""),"",ROUND($H760*$I760,0))</f>
        <v/>
      </c>
      <c r="K760" s="10">
        <f>IF(OR($B760="",$E760="",Calc!$B757=""),"",SUMIFS(CalcAmtA,CalcPartyA,$E760,CalcKeyA,"&lt;="&amp;Calc!$B757)-SUMIFS(CalcWitB,CalcPartyB,$E760,CalcKeyB,"&lt;="&amp;Calc!$B757)+SUMIFS(CalcDepB,CalcPartyB,$E760,CalcKeyB,"&lt;="&amp;Calc!$B757))</f>
        <v/>
      </c>
      <c r="L760" s="8" t="n"/>
    </row>
    <row r="761">
      <c r="A761" s="7">
        <f>IF($B761="","",COUNTA($B$9:$B761))</f>
        <v/>
      </c>
      <c r="B761" s="8" t="n"/>
      <c r="C761" s="8" t="n"/>
      <c r="D761" s="8" t="n"/>
      <c r="E761" s="8" t="n"/>
      <c r="F761" s="7">
        <f>IF($E761="","",IFERROR(IF(VLOOKUP($E761,AcctTbl,4,0)="","",VLOOKUP($E761,AcctTbl,4,0)),"—"))</f>
        <v/>
      </c>
      <c r="G761" s="8" t="n"/>
      <c r="H761" s="9" t="n"/>
      <c r="I761" s="9" t="n"/>
      <c r="J761" s="10">
        <f>IF(OR($H761="",$I761=""),"",ROUND($H761*$I761,0))</f>
        <v/>
      </c>
      <c r="K761" s="10">
        <f>IF(OR($B761="",$E761="",Calc!$B758=""),"",SUMIFS(CalcAmtA,CalcPartyA,$E761,CalcKeyA,"&lt;="&amp;Calc!$B758)-SUMIFS(CalcWitB,CalcPartyB,$E761,CalcKeyB,"&lt;="&amp;Calc!$B758)+SUMIFS(CalcDepB,CalcPartyB,$E761,CalcKeyB,"&lt;="&amp;Calc!$B758))</f>
        <v/>
      </c>
      <c r="L761" s="8" t="n"/>
    </row>
    <row r="762">
      <c r="A762" s="7">
        <f>IF($B762="","",COUNTA($B$9:$B762))</f>
        <v/>
      </c>
      <c r="B762" s="8" t="n"/>
      <c r="C762" s="8" t="n"/>
      <c r="D762" s="8" t="n"/>
      <c r="E762" s="8" t="n"/>
      <c r="F762" s="7">
        <f>IF($E762="","",IFERROR(IF(VLOOKUP($E762,AcctTbl,4,0)="","",VLOOKUP($E762,AcctTbl,4,0)),"—"))</f>
        <v/>
      </c>
      <c r="G762" s="8" t="n"/>
      <c r="H762" s="9" t="n"/>
      <c r="I762" s="9" t="n"/>
      <c r="J762" s="10">
        <f>IF(OR($H762="",$I762=""),"",ROUND($H762*$I762,0))</f>
        <v/>
      </c>
      <c r="K762" s="10">
        <f>IF(OR($B762="",$E762="",Calc!$B759=""),"",SUMIFS(CalcAmtA,CalcPartyA,$E762,CalcKeyA,"&lt;="&amp;Calc!$B759)-SUMIFS(CalcWitB,CalcPartyB,$E762,CalcKeyB,"&lt;="&amp;Calc!$B759)+SUMIFS(CalcDepB,CalcPartyB,$E762,CalcKeyB,"&lt;="&amp;Calc!$B759))</f>
        <v/>
      </c>
      <c r="L762" s="8" t="n"/>
    </row>
    <row r="763">
      <c r="A763" s="7">
        <f>IF($B763="","",COUNTA($B$9:$B763))</f>
        <v/>
      </c>
      <c r="B763" s="8" t="n"/>
      <c r="C763" s="8" t="n"/>
      <c r="D763" s="8" t="n"/>
      <c r="E763" s="8" t="n"/>
      <c r="F763" s="7">
        <f>IF($E763="","",IFERROR(IF(VLOOKUP($E763,AcctTbl,4,0)="","",VLOOKUP($E763,AcctTbl,4,0)),"—"))</f>
        <v/>
      </c>
      <c r="G763" s="8" t="n"/>
      <c r="H763" s="9" t="n"/>
      <c r="I763" s="9" t="n"/>
      <c r="J763" s="10">
        <f>IF(OR($H763="",$I763=""),"",ROUND($H763*$I763,0))</f>
        <v/>
      </c>
      <c r="K763" s="10">
        <f>IF(OR($B763="",$E763="",Calc!$B760=""),"",SUMIFS(CalcAmtA,CalcPartyA,$E763,CalcKeyA,"&lt;="&amp;Calc!$B760)-SUMIFS(CalcWitB,CalcPartyB,$E763,CalcKeyB,"&lt;="&amp;Calc!$B760)+SUMIFS(CalcDepB,CalcPartyB,$E763,CalcKeyB,"&lt;="&amp;Calc!$B760))</f>
        <v/>
      </c>
      <c r="L763" s="8" t="n"/>
    </row>
    <row r="764">
      <c r="A764" s="7">
        <f>IF($B764="","",COUNTA($B$9:$B764))</f>
        <v/>
      </c>
      <c r="B764" s="8" t="n"/>
      <c r="C764" s="8" t="n"/>
      <c r="D764" s="8" t="n"/>
      <c r="E764" s="8" t="n"/>
      <c r="F764" s="7">
        <f>IF($E764="","",IFERROR(IF(VLOOKUP($E764,AcctTbl,4,0)="","",VLOOKUP($E764,AcctTbl,4,0)),"—"))</f>
        <v/>
      </c>
      <c r="G764" s="8" t="n"/>
      <c r="H764" s="9" t="n"/>
      <c r="I764" s="9" t="n"/>
      <c r="J764" s="10">
        <f>IF(OR($H764="",$I764=""),"",ROUND($H764*$I764,0))</f>
        <v/>
      </c>
      <c r="K764" s="10">
        <f>IF(OR($B764="",$E764="",Calc!$B761=""),"",SUMIFS(CalcAmtA,CalcPartyA,$E764,CalcKeyA,"&lt;="&amp;Calc!$B761)-SUMIFS(CalcWitB,CalcPartyB,$E764,CalcKeyB,"&lt;="&amp;Calc!$B761)+SUMIFS(CalcDepB,CalcPartyB,$E764,CalcKeyB,"&lt;="&amp;Calc!$B761))</f>
        <v/>
      </c>
      <c r="L764" s="8" t="n"/>
    </row>
    <row r="765">
      <c r="A765" s="7">
        <f>IF($B765="","",COUNTA($B$9:$B765))</f>
        <v/>
      </c>
      <c r="B765" s="8" t="n"/>
      <c r="C765" s="8" t="n"/>
      <c r="D765" s="8" t="n"/>
      <c r="E765" s="8" t="n"/>
      <c r="F765" s="7">
        <f>IF($E765="","",IFERROR(IF(VLOOKUP($E765,AcctTbl,4,0)="","",VLOOKUP($E765,AcctTbl,4,0)),"—"))</f>
        <v/>
      </c>
      <c r="G765" s="8" t="n"/>
      <c r="H765" s="9" t="n"/>
      <c r="I765" s="9" t="n"/>
      <c r="J765" s="10">
        <f>IF(OR($H765="",$I765=""),"",ROUND($H765*$I765,0))</f>
        <v/>
      </c>
      <c r="K765" s="10">
        <f>IF(OR($B765="",$E765="",Calc!$B762=""),"",SUMIFS(CalcAmtA,CalcPartyA,$E765,CalcKeyA,"&lt;="&amp;Calc!$B762)-SUMIFS(CalcWitB,CalcPartyB,$E765,CalcKeyB,"&lt;="&amp;Calc!$B762)+SUMIFS(CalcDepB,CalcPartyB,$E765,CalcKeyB,"&lt;="&amp;Calc!$B762))</f>
        <v/>
      </c>
      <c r="L765" s="8" t="n"/>
    </row>
    <row r="766">
      <c r="A766" s="7">
        <f>IF($B766="","",COUNTA($B$9:$B766))</f>
        <v/>
      </c>
      <c r="B766" s="8" t="n"/>
      <c r="C766" s="8" t="n"/>
      <c r="D766" s="8" t="n"/>
      <c r="E766" s="8" t="n"/>
      <c r="F766" s="7">
        <f>IF($E766="","",IFERROR(IF(VLOOKUP($E766,AcctTbl,4,0)="","",VLOOKUP($E766,AcctTbl,4,0)),"—"))</f>
        <v/>
      </c>
      <c r="G766" s="8" t="n"/>
      <c r="H766" s="9" t="n"/>
      <c r="I766" s="9" t="n"/>
      <c r="J766" s="10">
        <f>IF(OR($H766="",$I766=""),"",ROUND($H766*$I766,0))</f>
        <v/>
      </c>
      <c r="K766" s="10">
        <f>IF(OR($B766="",$E766="",Calc!$B763=""),"",SUMIFS(CalcAmtA,CalcPartyA,$E766,CalcKeyA,"&lt;="&amp;Calc!$B763)-SUMIFS(CalcWitB,CalcPartyB,$E766,CalcKeyB,"&lt;="&amp;Calc!$B763)+SUMIFS(CalcDepB,CalcPartyB,$E766,CalcKeyB,"&lt;="&amp;Calc!$B763))</f>
        <v/>
      </c>
      <c r="L766" s="8" t="n"/>
    </row>
    <row r="767">
      <c r="A767" s="7">
        <f>IF($B767="","",COUNTA($B$9:$B767))</f>
        <v/>
      </c>
      <c r="B767" s="8" t="n"/>
      <c r="C767" s="8" t="n"/>
      <c r="D767" s="8" t="n"/>
      <c r="E767" s="8" t="n"/>
      <c r="F767" s="7">
        <f>IF($E767="","",IFERROR(IF(VLOOKUP($E767,AcctTbl,4,0)="","",VLOOKUP($E767,AcctTbl,4,0)),"—"))</f>
        <v/>
      </c>
      <c r="G767" s="8" t="n"/>
      <c r="H767" s="9" t="n"/>
      <c r="I767" s="9" t="n"/>
      <c r="J767" s="10">
        <f>IF(OR($H767="",$I767=""),"",ROUND($H767*$I767,0))</f>
        <v/>
      </c>
      <c r="K767" s="10">
        <f>IF(OR($B767="",$E767="",Calc!$B764=""),"",SUMIFS(CalcAmtA,CalcPartyA,$E767,CalcKeyA,"&lt;="&amp;Calc!$B764)-SUMIFS(CalcWitB,CalcPartyB,$E767,CalcKeyB,"&lt;="&amp;Calc!$B764)+SUMIFS(CalcDepB,CalcPartyB,$E767,CalcKeyB,"&lt;="&amp;Calc!$B764))</f>
        <v/>
      </c>
      <c r="L767" s="8" t="n"/>
    </row>
    <row r="768">
      <c r="A768" s="7">
        <f>IF($B768="","",COUNTA($B$9:$B768))</f>
        <v/>
      </c>
      <c r="B768" s="8" t="n"/>
      <c r="C768" s="8" t="n"/>
      <c r="D768" s="8" t="n"/>
      <c r="E768" s="8" t="n"/>
      <c r="F768" s="7">
        <f>IF($E768="","",IFERROR(IF(VLOOKUP($E768,AcctTbl,4,0)="","",VLOOKUP($E768,AcctTbl,4,0)),"—"))</f>
        <v/>
      </c>
      <c r="G768" s="8" t="n"/>
      <c r="H768" s="9" t="n"/>
      <c r="I768" s="9" t="n"/>
      <c r="J768" s="10">
        <f>IF(OR($H768="",$I768=""),"",ROUND($H768*$I768,0))</f>
        <v/>
      </c>
      <c r="K768" s="10">
        <f>IF(OR($B768="",$E768="",Calc!$B765=""),"",SUMIFS(CalcAmtA,CalcPartyA,$E768,CalcKeyA,"&lt;="&amp;Calc!$B765)-SUMIFS(CalcWitB,CalcPartyB,$E768,CalcKeyB,"&lt;="&amp;Calc!$B765)+SUMIFS(CalcDepB,CalcPartyB,$E768,CalcKeyB,"&lt;="&amp;Calc!$B765))</f>
        <v/>
      </c>
      <c r="L768" s="8" t="n"/>
    </row>
    <row r="769">
      <c r="A769" s="7">
        <f>IF($B769="","",COUNTA($B$9:$B769))</f>
        <v/>
      </c>
      <c r="B769" s="8" t="n"/>
      <c r="C769" s="8" t="n"/>
      <c r="D769" s="8" t="n"/>
      <c r="E769" s="8" t="n"/>
      <c r="F769" s="7">
        <f>IF($E769="","",IFERROR(IF(VLOOKUP($E769,AcctTbl,4,0)="","",VLOOKUP($E769,AcctTbl,4,0)),"—"))</f>
        <v/>
      </c>
      <c r="G769" s="8" t="n"/>
      <c r="H769" s="9" t="n"/>
      <c r="I769" s="9" t="n"/>
      <c r="J769" s="10">
        <f>IF(OR($H769="",$I769=""),"",ROUND($H769*$I769,0))</f>
        <v/>
      </c>
      <c r="K769" s="10">
        <f>IF(OR($B769="",$E769="",Calc!$B766=""),"",SUMIFS(CalcAmtA,CalcPartyA,$E769,CalcKeyA,"&lt;="&amp;Calc!$B766)-SUMIFS(CalcWitB,CalcPartyB,$E769,CalcKeyB,"&lt;="&amp;Calc!$B766)+SUMIFS(CalcDepB,CalcPartyB,$E769,CalcKeyB,"&lt;="&amp;Calc!$B766))</f>
        <v/>
      </c>
      <c r="L769" s="8" t="n"/>
    </row>
    <row r="770">
      <c r="A770" s="7">
        <f>IF($B770="","",COUNTA($B$9:$B770))</f>
        <v/>
      </c>
      <c r="B770" s="8" t="n"/>
      <c r="C770" s="8" t="n"/>
      <c r="D770" s="8" t="n"/>
      <c r="E770" s="8" t="n"/>
      <c r="F770" s="7">
        <f>IF($E770="","",IFERROR(IF(VLOOKUP($E770,AcctTbl,4,0)="","",VLOOKUP($E770,AcctTbl,4,0)),"—"))</f>
        <v/>
      </c>
      <c r="G770" s="8" t="n"/>
      <c r="H770" s="9" t="n"/>
      <c r="I770" s="9" t="n"/>
      <c r="J770" s="10">
        <f>IF(OR($H770="",$I770=""),"",ROUND($H770*$I770,0))</f>
        <v/>
      </c>
      <c r="K770" s="10">
        <f>IF(OR($B770="",$E770="",Calc!$B767=""),"",SUMIFS(CalcAmtA,CalcPartyA,$E770,CalcKeyA,"&lt;="&amp;Calc!$B767)-SUMIFS(CalcWitB,CalcPartyB,$E770,CalcKeyB,"&lt;="&amp;Calc!$B767)+SUMIFS(CalcDepB,CalcPartyB,$E770,CalcKeyB,"&lt;="&amp;Calc!$B767))</f>
        <v/>
      </c>
      <c r="L770" s="8" t="n"/>
    </row>
    <row r="771">
      <c r="A771" s="7">
        <f>IF($B771="","",COUNTA($B$9:$B771))</f>
        <v/>
      </c>
      <c r="B771" s="8" t="n"/>
      <c r="C771" s="8" t="n"/>
      <c r="D771" s="8" t="n"/>
      <c r="E771" s="8" t="n"/>
      <c r="F771" s="7">
        <f>IF($E771="","",IFERROR(IF(VLOOKUP($E771,AcctTbl,4,0)="","",VLOOKUP($E771,AcctTbl,4,0)),"—"))</f>
        <v/>
      </c>
      <c r="G771" s="8" t="n"/>
      <c r="H771" s="9" t="n"/>
      <c r="I771" s="9" t="n"/>
      <c r="J771" s="10">
        <f>IF(OR($H771="",$I771=""),"",ROUND($H771*$I771,0))</f>
        <v/>
      </c>
      <c r="K771" s="10">
        <f>IF(OR($B771="",$E771="",Calc!$B768=""),"",SUMIFS(CalcAmtA,CalcPartyA,$E771,CalcKeyA,"&lt;="&amp;Calc!$B768)-SUMIFS(CalcWitB,CalcPartyB,$E771,CalcKeyB,"&lt;="&amp;Calc!$B768)+SUMIFS(CalcDepB,CalcPartyB,$E771,CalcKeyB,"&lt;="&amp;Calc!$B768))</f>
        <v/>
      </c>
      <c r="L771" s="8" t="n"/>
    </row>
    <row r="772">
      <c r="A772" s="7">
        <f>IF($B772="","",COUNTA($B$9:$B772))</f>
        <v/>
      </c>
      <c r="B772" s="8" t="n"/>
      <c r="C772" s="8" t="n"/>
      <c r="D772" s="8" t="n"/>
      <c r="E772" s="8" t="n"/>
      <c r="F772" s="7">
        <f>IF($E772="","",IFERROR(IF(VLOOKUP($E772,AcctTbl,4,0)="","",VLOOKUP($E772,AcctTbl,4,0)),"—"))</f>
        <v/>
      </c>
      <c r="G772" s="8" t="n"/>
      <c r="H772" s="9" t="n"/>
      <c r="I772" s="9" t="n"/>
      <c r="J772" s="10">
        <f>IF(OR($H772="",$I772=""),"",ROUND($H772*$I772,0))</f>
        <v/>
      </c>
      <c r="K772" s="10">
        <f>IF(OR($B772="",$E772="",Calc!$B769=""),"",SUMIFS(CalcAmtA,CalcPartyA,$E772,CalcKeyA,"&lt;="&amp;Calc!$B769)-SUMIFS(CalcWitB,CalcPartyB,$E772,CalcKeyB,"&lt;="&amp;Calc!$B769)+SUMIFS(CalcDepB,CalcPartyB,$E772,CalcKeyB,"&lt;="&amp;Calc!$B769))</f>
        <v/>
      </c>
      <c r="L772" s="8" t="n"/>
    </row>
    <row r="773">
      <c r="A773" s="7">
        <f>IF($B773="","",COUNTA($B$9:$B773))</f>
        <v/>
      </c>
      <c r="B773" s="8" t="n"/>
      <c r="C773" s="8" t="n"/>
      <c r="D773" s="8" t="n"/>
      <c r="E773" s="8" t="n"/>
      <c r="F773" s="7">
        <f>IF($E773="","",IFERROR(IF(VLOOKUP($E773,AcctTbl,4,0)="","",VLOOKUP($E773,AcctTbl,4,0)),"—"))</f>
        <v/>
      </c>
      <c r="G773" s="8" t="n"/>
      <c r="H773" s="9" t="n"/>
      <c r="I773" s="9" t="n"/>
      <c r="J773" s="10">
        <f>IF(OR($H773="",$I773=""),"",ROUND($H773*$I773,0))</f>
        <v/>
      </c>
      <c r="K773" s="10">
        <f>IF(OR($B773="",$E773="",Calc!$B770=""),"",SUMIFS(CalcAmtA,CalcPartyA,$E773,CalcKeyA,"&lt;="&amp;Calc!$B770)-SUMIFS(CalcWitB,CalcPartyB,$E773,CalcKeyB,"&lt;="&amp;Calc!$B770)+SUMIFS(CalcDepB,CalcPartyB,$E773,CalcKeyB,"&lt;="&amp;Calc!$B770))</f>
        <v/>
      </c>
      <c r="L773" s="8" t="n"/>
    </row>
    <row r="774">
      <c r="A774" s="7">
        <f>IF($B774="","",COUNTA($B$9:$B774))</f>
        <v/>
      </c>
      <c r="B774" s="8" t="n"/>
      <c r="C774" s="8" t="n"/>
      <c r="D774" s="8" t="n"/>
      <c r="E774" s="8" t="n"/>
      <c r="F774" s="7">
        <f>IF($E774="","",IFERROR(IF(VLOOKUP($E774,AcctTbl,4,0)="","",VLOOKUP($E774,AcctTbl,4,0)),"—"))</f>
        <v/>
      </c>
      <c r="G774" s="8" t="n"/>
      <c r="H774" s="9" t="n"/>
      <c r="I774" s="9" t="n"/>
      <c r="J774" s="10">
        <f>IF(OR($H774="",$I774=""),"",ROUND($H774*$I774,0))</f>
        <v/>
      </c>
      <c r="K774" s="10">
        <f>IF(OR($B774="",$E774="",Calc!$B771=""),"",SUMIFS(CalcAmtA,CalcPartyA,$E774,CalcKeyA,"&lt;="&amp;Calc!$B771)-SUMIFS(CalcWitB,CalcPartyB,$E774,CalcKeyB,"&lt;="&amp;Calc!$B771)+SUMIFS(CalcDepB,CalcPartyB,$E774,CalcKeyB,"&lt;="&amp;Calc!$B771))</f>
        <v/>
      </c>
      <c r="L774" s="8" t="n"/>
    </row>
    <row r="775">
      <c r="A775" s="7">
        <f>IF($B775="","",COUNTA($B$9:$B775))</f>
        <v/>
      </c>
      <c r="B775" s="8" t="n"/>
      <c r="C775" s="8" t="n"/>
      <c r="D775" s="8" t="n"/>
      <c r="E775" s="8" t="n"/>
      <c r="F775" s="7">
        <f>IF($E775="","",IFERROR(IF(VLOOKUP($E775,AcctTbl,4,0)="","",VLOOKUP($E775,AcctTbl,4,0)),"—"))</f>
        <v/>
      </c>
      <c r="G775" s="8" t="n"/>
      <c r="H775" s="9" t="n"/>
      <c r="I775" s="9" t="n"/>
      <c r="J775" s="10">
        <f>IF(OR($H775="",$I775=""),"",ROUND($H775*$I775,0))</f>
        <v/>
      </c>
      <c r="K775" s="10">
        <f>IF(OR($B775="",$E775="",Calc!$B772=""),"",SUMIFS(CalcAmtA,CalcPartyA,$E775,CalcKeyA,"&lt;="&amp;Calc!$B772)-SUMIFS(CalcWitB,CalcPartyB,$E775,CalcKeyB,"&lt;="&amp;Calc!$B772)+SUMIFS(CalcDepB,CalcPartyB,$E775,CalcKeyB,"&lt;="&amp;Calc!$B772))</f>
        <v/>
      </c>
      <c r="L775" s="8" t="n"/>
    </row>
    <row r="776">
      <c r="A776" s="7">
        <f>IF($B776="","",COUNTA($B$9:$B776))</f>
        <v/>
      </c>
      <c r="B776" s="8" t="n"/>
      <c r="C776" s="8" t="n"/>
      <c r="D776" s="8" t="n"/>
      <c r="E776" s="8" t="n"/>
      <c r="F776" s="7">
        <f>IF($E776="","",IFERROR(IF(VLOOKUP($E776,AcctTbl,4,0)="","",VLOOKUP($E776,AcctTbl,4,0)),"—"))</f>
        <v/>
      </c>
      <c r="G776" s="8" t="n"/>
      <c r="H776" s="9" t="n"/>
      <c r="I776" s="9" t="n"/>
      <c r="J776" s="10">
        <f>IF(OR($H776="",$I776=""),"",ROUND($H776*$I776,0))</f>
        <v/>
      </c>
      <c r="K776" s="10">
        <f>IF(OR($B776="",$E776="",Calc!$B773=""),"",SUMIFS(CalcAmtA,CalcPartyA,$E776,CalcKeyA,"&lt;="&amp;Calc!$B773)-SUMIFS(CalcWitB,CalcPartyB,$E776,CalcKeyB,"&lt;="&amp;Calc!$B773)+SUMIFS(CalcDepB,CalcPartyB,$E776,CalcKeyB,"&lt;="&amp;Calc!$B773))</f>
        <v/>
      </c>
      <c r="L776" s="8" t="n"/>
    </row>
    <row r="777">
      <c r="A777" s="7">
        <f>IF($B777="","",COUNTA($B$9:$B777))</f>
        <v/>
      </c>
      <c r="B777" s="8" t="n"/>
      <c r="C777" s="8" t="n"/>
      <c r="D777" s="8" t="n"/>
      <c r="E777" s="8" t="n"/>
      <c r="F777" s="7">
        <f>IF($E777="","",IFERROR(IF(VLOOKUP($E777,AcctTbl,4,0)="","",VLOOKUP($E777,AcctTbl,4,0)),"—"))</f>
        <v/>
      </c>
      <c r="G777" s="8" t="n"/>
      <c r="H777" s="9" t="n"/>
      <c r="I777" s="9" t="n"/>
      <c r="J777" s="10">
        <f>IF(OR($H777="",$I777=""),"",ROUND($H777*$I777,0))</f>
        <v/>
      </c>
      <c r="K777" s="10">
        <f>IF(OR($B777="",$E777="",Calc!$B774=""),"",SUMIFS(CalcAmtA,CalcPartyA,$E777,CalcKeyA,"&lt;="&amp;Calc!$B774)-SUMIFS(CalcWitB,CalcPartyB,$E777,CalcKeyB,"&lt;="&amp;Calc!$B774)+SUMIFS(CalcDepB,CalcPartyB,$E777,CalcKeyB,"&lt;="&amp;Calc!$B774))</f>
        <v/>
      </c>
      <c r="L777" s="8" t="n"/>
    </row>
    <row r="778">
      <c r="A778" s="7">
        <f>IF($B778="","",COUNTA($B$9:$B778))</f>
        <v/>
      </c>
      <c r="B778" s="8" t="n"/>
      <c r="C778" s="8" t="n"/>
      <c r="D778" s="8" t="n"/>
      <c r="E778" s="8" t="n"/>
      <c r="F778" s="7">
        <f>IF($E778="","",IFERROR(IF(VLOOKUP($E778,AcctTbl,4,0)="","",VLOOKUP($E778,AcctTbl,4,0)),"—"))</f>
        <v/>
      </c>
      <c r="G778" s="8" t="n"/>
      <c r="H778" s="9" t="n"/>
      <c r="I778" s="9" t="n"/>
      <c r="J778" s="10">
        <f>IF(OR($H778="",$I778=""),"",ROUND($H778*$I778,0))</f>
        <v/>
      </c>
      <c r="K778" s="10">
        <f>IF(OR($B778="",$E778="",Calc!$B775=""),"",SUMIFS(CalcAmtA,CalcPartyA,$E778,CalcKeyA,"&lt;="&amp;Calc!$B775)-SUMIFS(CalcWitB,CalcPartyB,$E778,CalcKeyB,"&lt;="&amp;Calc!$B775)+SUMIFS(CalcDepB,CalcPartyB,$E778,CalcKeyB,"&lt;="&amp;Calc!$B775))</f>
        <v/>
      </c>
      <c r="L778" s="8" t="n"/>
    </row>
    <row r="779">
      <c r="A779" s="7">
        <f>IF($B779="","",COUNTA($B$9:$B779))</f>
        <v/>
      </c>
      <c r="B779" s="8" t="n"/>
      <c r="C779" s="8" t="n"/>
      <c r="D779" s="8" t="n"/>
      <c r="E779" s="8" t="n"/>
      <c r="F779" s="7">
        <f>IF($E779="","",IFERROR(IF(VLOOKUP($E779,AcctTbl,4,0)="","",VLOOKUP($E779,AcctTbl,4,0)),"—"))</f>
        <v/>
      </c>
      <c r="G779" s="8" t="n"/>
      <c r="H779" s="9" t="n"/>
      <c r="I779" s="9" t="n"/>
      <c r="J779" s="10">
        <f>IF(OR($H779="",$I779=""),"",ROUND($H779*$I779,0))</f>
        <v/>
      </c>
      <c r="K779" s="10">
        <f>IF(OR($B779="",$E779="",Calc!$B776=""),"",SUMIFS(CalcAmtA,CalcPartyA,$E779,CalcKeyA,"&lt;="&amp;Calc!$B776)-SUMIFS(CalcWitB,CalcPartyB,$E779,CalcKeyB,"&lt;="&amp;Calc!$B776)+SUMIFS(CalcDepB,CalcPartyB,$E779,CalcKeyB,"&lt;="&amp;Calc!$B776))</f>
        <v/>
      </c>
      <c r="L779" s="8" t="n"/>
    </row>
    <row r="780">
      <c r="A780" s="7">
        <f>IF($B780="","",COUNTA($B$9:$B780))</f>
        <v/>
      </c>
      <c r="B780" s="8" t="n"/>
      <c r="C780" s="8" t="n"/>
      <c r="D780" s="8" t="n"/>
      <c r="E780" s="8" t="n"/>
      <c r="F780" s="7">
        <f>IF($E780="","",IFERROR(IF(VLOOKUP($E780,AcctTbl,4,0)="","",VLOOKUP($E780,AcctTbl,4,0)),"—"))</f>
        <v/>
      </c>
      <c r="G780" s="8" t="n"/>
      <c r="H780" s="9" t="n"/>
      <c r="I780" s="9" t="n"/>
      <c r="J780" s="10">
        <f>IF(OR($H780="",$I780=""),"",ROUND($H780*$I780,0))</f>
        <v/>
      </c>
      <c r="K780" s="10">
        <f>IF(OR($B780="",$E780="",Calc!$B777=""),"",SUMIFS(CalcAmtA,CalcPartyA,$E780,CalcKeyA,"&lt;="&amp;Calc!$B777)-SUMIFS(CalcWitB,CalcPartyB,$E780,CalcKeyB,"&lt;="&amp;Calc!$B777)+SUMIFS(CalcDepB,CalcPartyB,$E780,CalcKeyB,"&lt;="&amp;Calc!$B777))</f>
        <v/>
      </c>
      <c r="L780" s="8" t="n"/>
    </row>
    <row r="781">
      <c r="A781" s="7">
        <f>IF($B781="","",COUNTA($B$9:$B781))</f>
        <v/>
      </c>
      <c r="B781" s="8" t="n"/>
      <c r="C781" s="8" t="n"/>
      <c r="D781" s="8" t="n"/>
      <c r="E781" s="8" t="n"/>
      <c r="F781" s="7">
        <f>IF($E781="","",IFERROR(IF(VLOOKUP($E781,AcctTbl,4,0)="","",VLOOKUP($E781,AcctTbl,4,0)),"—"))</f>
        <v/>
      </c>
      <c r="G781" s="8" t="n"/>
      <c r="H781" s="9" t="n"/>
      <c r="I781" s="9" t="n"/>
      <c r="J781" s="10">
        <f>IF(OR($H781="",$I781=""),"",ROUND($H781*$I781,0))</f>
        <v/>
      </c>
      <c r="K781" s="10">
        <f>IF(OR($B781="",$E781="",Calc!$B778=""),"",SUMIFS(CalcAmtA,CalcPartyA,$E781,CalcKeyA,"&lt;="&amp;Calc!$B778)-SUMIFS(CalcWitB,CalcPartyB,$E781,CalcKeyB,"&lt;="&amp;Calc!$B778)+SUMIFS(CalcDepB,CalcPartyB,$E781,CalcKeyB,"&lt;="&amp;Calc!$B778))</f>
        <v/>
      </c>
      <c r="L781" s="8" t="n"/>
    </row>
    <row r="782">
      <c r="A782" s="7">
        <f>IF($B782="","",COUNTA($B$9:$B782))</f>
        <v/>
      </c>
      <c r="B782" s="8" t="n"/>
      <c r="C782" s="8" t="n"/>
      <c r="D782" s="8" t="n"/>
      <c r="E782" s="8" t="n"/>
      <c r="F782" s="7">
        <f>IF($E782="","",IFERROR(IF(VLOOKUP($E782,AcctTbl,4,0)="","",VLOOKUP($E782,AcctTbl,4,0)),"—"))</f>
        <v/>
      </c>
      <c r="G782" s="8" t="n"/>
      <c r="H782" s="9" t="n"/>
      <c r="I782" s="9" t="n"/>
      <c r="J782" s="10">
        <f>IF(OR($H782="",$I782=""),"",ROUND($H782*$I782,0))</f>
        <v/>
      </c>
      <c r="K782" s="10">
        <f>IF(OR($B782="",$E782="",Calc!$B779=""),"",SUMIFS(CalcAmtA,CalcPartyA,$E782,CalcKeyA,"&lt;="&amp;Calc!$B779)-SUMIFS(CalcWitB,CalcPartyB,$E782,CalcKeyB,"&lt;="&amp;Calc!$B779)+SUMIFS(CalcDepB,CalcPartyB,$E782,CalcKeyB,"&lt;="&amp;Calc!$B779))</f>
        <v/>
      </c>
      <c r="L782" s="8" t="n"/>
    </row>
    <row r="783">
      <c r="A783" s="7">
        <f>IF($B783="","",COUNTA($B$9:$B783))</f>
        <v/>
      </c>
      <c r="B783" s="8" t="n"/>
      <c r="C783" s="8" t="n"/>
      <c r="D783" s="8" t="n"/>
      <c r="E783" s="8" t="n"/>
      <c r="F783" s="7">
        <f>IF($E783="","",IFERROR(IF(VLOOKUP($E783,AcctTbl,4,0)="","",VLOOKUP($E783,AcctTbl,4,0)),"—"))</f>
        <v/>
      </c>
      <c r="G783" s="8" t="n"/>
      <c r="H783" s="9" t="n"/>
      <c r="I783" s="9" t="n"/>
      <c r="J783" s="10">
        <f>IF(OR($H783="",$I783=""),"",ROUND($H783*$I783,0))</f>
        <v/>
      </c>
      <c r="K783" s="10">
        <f>IF(OR($B783="",$E783="",Calc!$B780=""),"",SUMIFS(CalcAmtA,CalcPartyA,$E783,CalcKeyA,"&lt;="&amp;Calc!$B780)-SUMIFS(CalcWitB,CalcPartyB,$E783,CalcKeyB,"&lt;="&amp;Calc!$B780)+SUMIFS(CalcDepB,CalcPartyB,$E783,CalcKeyB,"&lt;="&amp;Calc!$B780))</f>
        <v/>
      </c>
      <c r="L783" s="8" t="n"/>
    </row>
    <row r="784">
      <c r="A784" s="7">
        <f>IF($B784="","",COUNTA($B$9:$B784))</f>
        <v/>
      </c>
      <c r="B784" s="8" t="n"/>
      <c r="C784" s="8" t="n"/>
      <c r="D784" s="8" t="n"/>
      <c r="E784" s="8" t="n"/>
      <c r="F784" s="7">
        <f>IF($E784="","",IFERROR(IF(VLOOKUP($E784,AcctTbl,4,0)="","",VLOOKUP($E784,AcctTbl,4,0)),"—"))</f>
        <v/>
      </c>
      <c r="G784" s="8" t="n"/>
      <c r="H784" s="9" t="n"/>
      <c r="I784" s="9" t="n"/>
      <c r="J784" s="10">
        <f>IF(OR($H784="",$I784=""),"",ROUND($H784*$I784,0))</f>
        <v/>
      </c>
      <c r="K784" s="10">
        <f>IF(OR($B784="",$E784="",Calc!$B781=""),"",SUMIFS(CalcAmtA,CalcPartyA,$E784,CalcKeyA,"&lt;="&amp;Calc!$B781)-SUMIFS(CalcWitB,CalcPartyB,$E784,CalcKeyB,"&lt;="&amp;Calc!$B781)+SUMIFS(CalcDepB,CalcPartyB,$E784,CalcKeyB,"&lt;="&amp;Calc!$B781))</f>
        <v/>
      </c>
      <c r="L784" s="8" t="n"/>
    </row>
    <row r="785">
      <c r="A785" s="7">
        <f>IF($B785="","",COUNTA($B$9:$B785))</f>
        <v/>
      </c>
      <c r="B785" s="8" t="n"/>
      <c r="C785" s="8" t="n"/>
      <c r="D785" s="8" t="n"/>
      <c r="E785" s="8" t="n"/>
      <c r="F785" s="7">
        <f>IF($E785="","",IFERROR(IF(VLOOKUP($E785,AcctTbl,4,0)="","",VLOOKUP($E785,AcctTbl,4,0)),"—"))</f>
        <v/>
      </c>
      <c r="G785" s="8" t="n"/>
      <c r="H785" s="9" t="n"/>
      <c r="I785" s="9" t="n"/>
      <c r="J785" s="10">
        <f>IF(OR($H785="",$I785=""),"",ROUND($H785*$I785,0))</f>
        <v/>
      </c>
      <c r="K785" s="10">
        <f>IF(OR($B785="",$E785="",Calc!$B782=""),"",SUMIFS(CalcAmtA,CalcPartyA,$E785,CalcKeyA,"&lt;="&amp;Calc!$B782)-SUMIFS(CalcWitB,CalcPartyB,$E785,CalcKeyB,"&lt;="&amp;Calc!$B782)+SUMIFS(CalcDepB,CalcPartyB,$E785,CalcKeyB,"&lt;="&amp;Calc!$B782))</f>
        <v/>
      </c>
      <c r="L785" s="8" t="n"/>
    </row>
    <row r="786">
      <c r="A786" s="7">
        <f>IF($B786="","",COUNTA($B$9:$B786))</f>
        <v/>
      </c>
      <c r="B786" s="8" t="n"/>
      <c r="C786" s="8" t="n"/>
      <c r="D786" s="8" t="n"/>
      <c r="E786" s="8" t="n"/>
      <c r="F786" s="7">
        <f>IF($E786="","",IFERROR(IF(VLOOKUP($E786,AcctTbl,4,0)="","",VLOOKUP($E786,AcctTbl,4,0)),"—"))</f>
        <v/>
      </c>
      <c r="G786" s="8" t="n"/>
      <c r="H786" s="9" t="n"/>
      <c r="I786" s="9" t="n"/>
      <c r="J786" s="10">
        <f>IF(OR($H786="",$I786=""),"",ROUND($H786*$I786,0))</f>
        <v/>
      </c>
      <c r="K786" s="10">
        <f>IF(OR($B786="",$E786="",Calc!$B783=""),"",SUMIFS(CalcAmtA,CalcPartyA,$E786,CalcKeyA,"&lt;="&amp;Calc!$B783)-SUMIFS(CalcWitB,CalcPartyB,$E786,CalcKeyB,"&lt;="&amp;Calc!$B783)+SUMIFS(CalcDepB,CalcPartyB,$E786,CalcKeyB,"&lt;="&amp;Calc!$B783))</f>
        <v/>
      </c>
      <c r="L786" s="8" t="n"/>
    </row>
    <row r="787">
      <c r="A787" s="7">
        <f>IF($B787="","",COUNTA($B$9:$B787))</f>
        <v/>
      </c>
      <c r="B787" s="8" t="n"/>
      <c r="C787" s="8" t="n"/>
      <c r="D787" s="8" t="n"/>
      <c r="E787" s="8" t="n"/>
      <c r="F787" s="7">
        <f>IF($E787="","",IFERROR(IF(VLOOKUP($E787,AcctTbl,4,0)="","",VLOOKUP($E787,AcctTbl,4,0)),"—"))</f>
        <v/>
      </c>
      <c r="G787" s="8" t="n"/>
      <c r="H787" s="9" t="n"/>
      <c r="I787" s="9" t="n"/>
      <c r="J787" s="10">
        <f>IF(OR($H787="",$I787=""),"",ROUND($H787*$I787,0))</f>
        <v/>
      </c>
      <c r="K787" s="10">
        <f>IF(OR($B787="",$E787="",Calc!$B784=""),"",SUMIFS(CalcAmtA,CalcPartyA,$E787,CalcKeyA,"&lt;="&amp;Calc!$B784)-SUMIFS(CalcWitB,CalcPartyB,$E787,CalcKeyB,"&lt;="&amp;Calc!$B784)+SUMIFS(CalcDepB,CalcPartyB,$E787,CalcKeyB,"&lt;="&amp;Calc!$B784))</f>
        <v/>
      </c>
      <c r="L787" s="8" t="n"/>
    </row>
    <row r="788">
      <c r="A788" s="7">
        <f>IF($B788="","",COUNTA($B$9:$B788))</f>
        <v/>
      </c>
      <c r="B788" s="8" t="n"/>
      <c r="C788" s="8" t="n"/>
      <c r="D788" s="8" t="n"/>
      <c r="E788" s="8" t="n"/>
      <c r="F788" s="7">
        <f>IF($E788="","",IFERROR(IF(VLOOKUP($E788,AcctTbl,4,0)="","",VLOOKUP($E788,AcctTbl,4,0)),"—"))</f>
        <v/>
      </c>
      <c r="G788" s="8" t="n"/>
      <c r="H788" s="9" t="n"/>
      <c r="I788" s="9" t="n"/>
      <c r="J788" s="10">
        <f>IF(OR($H788="",$I788=""),"",ROUND($H788*$I788,0))</f>
        <v/>
      </c>
      <c r="K788" s="10">
        <f>IF(OR($B788="",$E788="",Calc!$B785=""),"",SUMIFS(CalcAmtA,CalcPartyA,$E788,CalcKeyA,"&lt;="&amp;Calc!$B785)-SUMIFS(CalcWitB,CalcPartyB,$E788,CalcKeyB,"&lt;="&amp;Calc!$B785)+SUMIFS(CalcDepB,CalcPartyB,$E788,CalcKeyB,"&lt;="&amp;Calc!$B785))</f>
        <v/>
      </c>
      <c r="L788" s="8" t="n"/>
    </row>
    <row r="789">
      <c r="A789" s="7">
        <f>IF($B789="","",COUNTA($B$9:$B789))</f>
        <v/>
      </c>
      <c r="B789" s="8" t="n"/>
      <c r="C789" s="8" t="n"/>
      <c r="D789" s="8" t="n"/>
      <c r="E789" s="8" t="n"/>
      <c r="F789" s="7">
        <f>IF($E789="","",IFERROR(IF(VLOOKUP($E789,AcctTbl,4,0)="","",VLOOKUP($E789,AcctTbl,4,0)),"—"))</f>
        <v/>
      </c>
      <c r="G789" s="8" t="n"/>
      <c r="H789" s="9" t="n"/>
      <c r="I789" s="9" t="n"/>
      <c r="J789" s="10">
        <f>IF(OR($H789="",$I789=""),"",ROUND($H789*$I789,0))</f>
        <v/>
      </c>
      <c r="K789" s="10">
        <f>IF(OR($B789="",$E789="",Calc!$B786=""),"",SUMIFS(CalcAmtA,CalcPartyA,$E789,CalcKeyA,"&lt;="&amp;Calc!$B786)-SUMIFS(CalcWitB,CalcPartyB,$E789,CalcKeyB,"&lt;="&amp;Calc!$B786)+SUMIFS(CalcDepB,CalcPartyB,$E789,CalcKeyB,"&lt;="&amp;Calc!$B786))</f>
        <v/>
      </c>
      <c r="L789" s="8" t="n"/>
    </row>
    <row r="790">
      <c r="A790" s="7">
        <f>IF($B790="","",COUNTA($B$9:$B790))</f>
        <v/>
      </c>
      <c r="B790" s="8" t="n"/>
      <c r="C790" s="8" t="n"/>
      <c r="D790" s="8" t="n"/>
      <c r="E790" s="8" t="n"/>
      <c r="F790" s="7">
        <f>IF($E790="","",IFERROR(IF(VLOOKUP($E790,AcctTbl,4,0)="","",VLOOKUP($E790,AcctTbl,4,0)),"—"))</f>
        <v/>
      </c>
      <c r="G790" s="8" t="n"/>
      <c r="H790" s="9" t="n"/>
      <c r="I790" s="9" t="n"/>
      <c r="J790" s="10">
        <f>IF(OR($H790="",$I790=""),"",ROUND($H790*$I790,0))</f>
        <v/>
      </c>
      <c r="K790" s="10">
        <f>IF(OR($B790="",$E790="",Calc!$B787=""),"",SUMIFS(CalcAmtA,CalcPartyA,$E790,CalcKeyA,"&lt;="&amp;Calc!$B787)-SUMIFS(CalcWitB,CalcPartyB,$E790,CalcKeyB,"&lt;="&amp;Calc!$B787)+SUMIFS(CalcDepB,CalcPartyB,$E790,CalcKeyB,"&lt;="&amp;Calc!$B787))</f>
        <v/>
      </c>
      <c r="L790" s="8" t="n"/>
    </row>
    <row r="791">
      <c r="A791" s="7">
        <f>IF($B791="","",COUNTA($B$9:$B791))</f>
        <v/>
      </c>
      <c r="B791" s="8" t="n"/>
      <c r="C791" s="8" t="n"/>
      <c r="D791" s="8" t="n"/>
      <c r="E791" s="8" t="n"/>
      <c r="F791" s="7">
        <f>IF($E791="","",IFERROR(IF(VLOOKUP($E791,AcctTbl,4,0)="","",VLOOKUP($E791,AcctTbl,4,0)),"—"))</f>
        <v/>
      </c>
      <c r="G791" s="8" t="n"/>
      <c r="H791" s="9" t="n"/>
      <c r="I791" s="9" t="n"/>
      <c r="J791" s="10">
        <f>IF(OR($H791="",$I791=""),"",ROUND($H791*$I791,0))</f>
        <v/>
      </c>
      <c r="K791" s="10">
        <f>IF(OR($B791="",$E791="",Calc!$B788=""),"",SUMIFS(CalcAmtA,CalcPartyA,$E791,CalcKeyA,"&lt;="&amp;Calc!$B788)-SUMIFS(CalcWitB,CalcPartyB,$E791,CalcKeyB,"&lt;="&amp;Calc!$B788)+SUMIFS(CalcDepB,CalcPartyB,$E791,CalcKeyB,"&lt;="&amp;Calc!$B788))</f>
        <v/>
      </c>
      <c r="L791" s="8" t="n"/>
    </row>
    <row r="792">
      <c r="A792" s="7">
        <f>IF($B792="","",COUNTA($B$9:$B792))</f>
        <v/>
      </c>
      <c r="B792" s="8" t="n"/>
      <c r="C792" s="8" t="n"/>
      <c r="D792" s="8" t="n"/>
      <c r="E792" s="8" t="n"/>
      <c r="F792" s="7">
        <f>IF($E792="","",IFERROR(IF(VLOOKUP($E792,AcctTbl,4,0)="","",VLOOKUP($E792,AcctTbl,4,0)),"—"))</f>
        <v/>
      </c>
      <c r="G792" s="8" t="n"/>
      <c r="H792" s="9" t="n"/>
      <c r="I792" s="9" t="n"/>
      <c r="J792" s="10">
        <f>IF(OR($H792="",$I792=""),"",ROUND($H792*$I792,0))</f>
        <v/>
      </c>
      <c r="K792" s="10">
        <f>IF(OR($B792="",$E792="",Calc!$B789=""),"",SUMIFS(CalcAmtA,CalcPartyA,$E792,CalcKeyA,"&lt;="&amp;Calc!$B789)-SUMIFS(CalcWitB,CalcPartyB,$E792,CalcKeyB,"&lt;="&amp;Calc!$B789)+SUMIFS(CalcDepB,CalcPartyB,$E792,CalcKeyB,"&lt;="&amp;Calc!$B789))</f>
        <v/>
      </c>
      <c r="L792" s="8" t="n"/>
    </row>
    <row r="793">
      <c r="A793" s="7">
        <f>IF($B793="","",COUNTA($B$9:$B793))</f>
        <v/>
      </c>
      <c r="B793" s="8" t="n"/>
      <c r="C793" s="8" t="n"/>
      <c r="D793" s="8" t="n"/>
      <c r="E793" s="8" t="n"/>
      <c r="F793" s="7">
        <f>IF($E793="","",IFERROR(IF(VLOOKUP($E793,AcctTbl,4,0)="","",VLOOKUP($E793,AcctTbl,4,0)),"—"))</f>
        <v/>
      </c>
      <c r="G793" s="8" t="n"/>
      <c r="H793" s="9" t="n"/>
      <c r="I793" s="9" t="n"/>
      <c r="J793" s="10">
        <f>IF(OR($H793="",$I793=""),"",ROUND($H793*$I793,0))</f>
        <v/>
      </c>
      <c r="K793" s="10">
        <f>IF(OR($B793="",$E793="",Calc!$B790=""),"",SUMIFS(CalcAmtA,CalcPartyA,$E793,CalcKeyA,"&lt;="&amp;Calc!$B790)-SUMIFS(CalcWitB,CalcPartyB,$E793,CalcKeyB,"&lt;="&amp;Calc!$B790)+SUMIFS(CalcDepB,CalcPartyB,$E793,CalcKeyB,"&lt;="&amp;Calc!$B790))</f>
        <v/>
      </c>
      <c r="L793" s="8" t="n"/>
    </row>
    <row r="794">
      <c r="A794" s="7">
        <f>IF($B794="","",COUNTA($B$9:$B794))</f>
        <v/>
      </c>
      <c r="B794" s="8" t="n"/>
      <c r="C794" s="8" t="n"/>
      <c r="D794" s="8" t="n"/>
      <c r="E794" s="8" t="n"/>
      <c r="F794" s="7">
        <f>IF($E794="","",IFERROR(IF(VLOOKUP($E794,AcctTbl,4,0)="","",VLOOKUP($E794,AcctTbl,4,0)),"—"))</f>
        <v/>
      </c>
      <c r="G794" s="8" t="n"/>
      <c r="H794" s="9" t="n"/>
      <c r="I794" s="9" t="n"/>
      <c r="J794" s="10">
        <f>IF(OR($H794="",$I794=""),"",ROUND($H794*$I794,0))</f>
        <v/>
      </c>
      <c r="K794" s="10">
        <f>IF(OR($B794="",$E794="",Calc!$B791=""),"",SUMIFS(CalcAmtA,CalcPartyA,$E794,CalcKeyA,"&lt;="&amp;Calc!$B791)-SUMIFS(CalcWitB,CalcPartyB,$E794,CalcKeyB,"&lt;="&amp;Calc!$B791)+SUMIFS(CalcDepB,CalcPartyB,$E794,CalcKeyB,"&lt;="&amp;Calc!$B791))</f>
        <v/>
      </c>
      <c r="L794" s="8" t="n"/>
    </row>
    <row r="795">
      <c r="A795" s="7">
        <f>IF($B795="","",COUNTA($B$9:$B795))</f>
        <v/>
      </c>
      <c r="B795" s="8" t="n"/>
      <c r="C795" s="8" t="n"/>
      <c r="D795" s="8" t="n"/>
      <c r="E795" s="8" t="n"/>
      <c r="F795" s="7">
        <f>IF($E795="","",IFERROR(IF(VLOOKUP($E795,AcctTbl,4,0)="","",VLOOKUP($E795,AcctTbl,4,0)),"—"))</f>
        <v/>
      </c>
      <c r="G795" s="8" t="n"/>
      <c r="H795" s="9" t="n"/>
      <c r="I795" s="9" t="n"/>
      <c r="J795" s="10">
        <f>IF(OR($H795="",$I795=""),"",ROUND($H795*$I795,0))</f>
        <v/>
      </c>
      <c r="K795" s="10">
        <f>IF(OR($B795="",$E795="",Calc!$B792=""),"",SUMIFS(CalcAmtA,CalcPartyA,$E795,CalcKeyA,"&lt;="&amp;Calc!$B792)-SUMIFS(CalcWitB,CalcPartyB,$E795,CalcKeyB,"&lt;="&amp;Calc!$B792)+SUMIFS(CalcDepB,CalcPartyB,$E795,CalcKeyB,"&lt;="&amp;Calc!$B792))</f>
        <v/>
      </c>
      <c r="L795" s="8" t="n"/>
    </row>
    <row r="796">
      <c r="A796" s="7">
        <f>IF($B796="","",COUNTA($B$9:$B796))</f>
        <v/>
      </c>
      <c r="B796" s="8" t="n"/>
      <c r="C796" s="8" t="n"/>
      <c r="D796" s="8" t="n"/>
      <c r="E796" s="8" t="n"/>
      <c r="F796" s="7">
        <f>IF($E796="","",IFERROR(IF(VLOOKUP($E796,AcctTbl,4,0)="","",VLOOKUP($E796,AcctTbl,4,0)),"—"))</f>
        <v/>
      </c>
      <c r="G796" s="8" t="n"/>
      <c r="H796" s="9" t="n"/>
      <c r="I796" s="9" t="n"/>
      <c r="J796" s="10">
        <f>IF(OR($H796="",$I796=""),"",ROUND($H796*$I796,0))</f>
        <v/>
      </c>
      <c r="K796" s="10">
        <f>IF(OR($B796="",$E796="",Calc!$B793=""),"",SUMIFS(CalcAmtA,CalcPartyA,$E796,CalcKeyA,"&lt;="&amp;Calc!$B793)-SUMIFS(CalcWitB,CalcPartyB,$E796,CalcKeyB,"&lt;="&amp;Calc!$B793)+SUMIFS(CalcDepB,CalcPartyB,$E796,CalcKeyB,"&lt;="&amp;Calc!$B793))</f>
        <v/>
      </c>
      <c r="L796" s="8" t="n"/>
    </row>
    <row r="797">
      <c r="A797" s="7">
        <f>IF($B797="","",COUNTA($B$9:$B797))</f>
        <v/>
      </c>
      <c r="B797" s="8" t="n"/>
      <c r="C797" s="8" t="n"/>
      <c r="D797" s="8" t="n"/>
      <c r="E797" s="8" t="n"/>
      <c r="F797" s="7">
        <f>IF($E797="","",IFERROR(IF(VLOOKUP($E797,AcctTbl,4,0)="","",VLOOKUP($E797,AcctTbl,4,0)),"—"))</f>
        <v/>
      </c>
      <c r="G797" s="8" t="n"/>
      <c r="H797" s="9" t="n"/>
      <c r="I797" s="9" t="n"/>
      <c r="J797" s="10">
        <f>IF(OR($H797="",$I797=""),"",ROUND($H797*$I797,0))</f>
        <v/>
      </c>
      <c r="K797" s="10">
        <f>IF(OR($B797="",$E797="",Calc!$B794=""),"",SUMIFS(CalcAmtA,CalcPartyA,$E797,CalcKeyA,"&lt;="&amp;Calc!$B794)-SUMIFS(CalcWitB,CalcPartyB,$E797,CalcKeyB,"&lt;="&amp;Calc!$B794)+SUMIFS(CalcDepB,CalcPartyB,$E797,CalcKeyB,"&lt;="&amp;Calc!$B794))</f>
        <v/>
      </c>
      <c r="L797" s="8" t="n"/>
    </row>
    <row r="798">
      <c r="A798" s="7">
        <f>IF($B798="","",COUNTA($B$9:$B798))</f>
        <v/>
      </c>
      <c r="B798" s="8" t="n"/>
      <c r="C798" s="8" t="n"/>
      <c r="D798" s="8" t="n"/>
      <c r="E798" s="8" t="n"/>
      <c r="F798" s="7">
        <f>IF($E798="","",IFERROR(IF(VLOOKUP($E798,AcctTbl,4,0)="","",VLOOKUP($E798,AcctTbl,4,0)),"—"))</f>
        <v/>
      </c>
      <c r="G798" s="8" t="n"/>
      <c r="H798" s="9" t="n"/>
      <c r="I798" s="9" t="n"/>
      <c r="J798" s="10">
        <f>IF(OR($H798="",$I798=""),"",ROUND($H798*$I798,0))</f>
        <v/>
      </c>
      <c r="K798" s="10">
        <f>IF(OR($B798="",$E798="",Calc!$B795=""),"",SUMIFS(CalcAmtA,CalcPartyA,$E798,CalcKeyA,"&lt;="&amp;Calc!$B795)-SUMIFS(CalcWitB,CalcPartyB,$E798,CalcKeyB,"&lt;="&amp;Calc!$B795)+SUMIFS(CalcDepB,CalcPartyB,$E798,CalcKeyB,"&lt;="&amp;Calc!$B795))</f>
        <v/>
      </c>
      <c r="L798" s="8" t="n"/>
    </row>
    <row r="799">
      <c r="A799" s="7">
        <f>IF($B799="","",COUNTA($B$9:$B799))</f>
        <v/>
      </c>
      <c r="B799" s="8" t="n"/>
      <c r="C799" s="8" t="n"/>
      <c r="D799" s="8" t="n"/>
      <c r="E799" s="8" t="n"/>
      <c r="F799" s="7">
        <f>IF($E799="","",IFERROR(IF(VLOOKUP($E799,AcctTbl,4,0)="","",VLOOKUP($E799,AcctTbl,4,0)),"—"))</f>
        <v/>
      </c>
      <c r="G799" s="8" t="n"/>
      <c r="H799" s="9" t="n"/>
      <c r="I799" s="9" t="n"/>
      <c r="J799" s="10">
        <f>IF(OR($H799="",$I799=""),"",ROUND($H799*$I799,0))</f>
        <v/>
      </c>
      <c r="K799" s="10">
        <f>IF(OR($B799="",$E799="",Calc!$B796=""),"",SUMIFS(CalcAmtA,CalcPartyA,$E799,CalcKeyA,"&lt;="&amp;Calc!$B796)-SUMIFS(CalcWitB,CalcPartyB,$E799,CalcKeyB,"&lt;="&amp;Calc!$B796)+SUMIFS(CalcDepB,CalcPartyB,$E799,CalcKeyB,"&lt;="&amp;Calc!$B796))</f>
        <v/>
      </c>
      <c r="L799" s="8" t="n"/>
    </row>
    <row r="800">
      <c r="A800" s="7">
        <f>IF($B800="","",COUNTA($B$9:$B800))</f>
        <v/>
      </c>
      <c r="B800" s="8" t="n"/>
      <c r="C800" s="8" t="n"/>
      <c r="D800" s="8" t="n"/>
      <c r="E800" s="8" t="n"/>
      <c r="F800" s="7">
        <f>IF($E800="","",IFERROR(IF(VLOOKUP($E800,AcctTbl,4,0)="","",VLOOKUP($E800,AcctTbl,4,0)),"—"))</f>
        <v/>
      </c>
      <c r="G800" s="8" t="n"/>
      <c r="H800" s="9" t="n"/>
      <c r="I800" s="9" t="n"/>
      <c r="J800" s="10">
        <f>IF(OR($H800="",$I800=""),"",ROUND($H800*$I800,0))</f>
        <v/>
      </c>
      <c r="K800" s="10">
        <f>IF(OR($B800="",$E800="",Calc!$B797=""),"",SUMIFS(CalcAmtA,CalcPartyA,$E800,CalcKeyA,"&lt;="&amp;Calc!$B797)-SUMIFS(CalcWitB,CalcPartyB,$E800,CalcKeyB,"&lt;="&amp;Calc!$B797)+SUMIFS(CalcDepB,CalcPartyB,$E800,CalcKeyB,"&lt;="&amp;Calc!$B797))</f>
        <v/>
      </c>
      <c r="L800" s="8" t="n"/>
    </row>
    <row r="801">
      <c r="A801" s="7">
        <f>IF($B801="","",COUNTA($B$9:$B801))</f>
        <v/>
      </c>
      <c r="B801" s="8" t="n"/>
      <c r="C801" s="8" t="n"/>
      <c r="D801" s="8" t="n"/>
      <c r="E801" s="8" t="n"/>
      <c r="F801" s="7">
        <f>IF($E801="","",IFERROR(IF(VLOOKUP($E801,AcctTbl,4,0)="","",VLOOKUP($E801,AcctTbl,4,0)),"—"))</f>
        <v/>
      </c>
      <c r="G801" s="8" t="n"/>
      <c r="H801" s="9" t="n"/>
      <c r="I801" s="9" t="n"/>
      <c r="J801" s="10">
        <f>IF(OR($H801="",$I801=""),"",ROUND($H801*$I801,0))</f>
        <v/>
      </c>
      <c r="K801" s="10">
        <f>IF(OR($B801="",$E801="",Calc!$B798=""),"",SUMIFS(CalcAmtA,CalcPartyA,$E801,CalcKeyA,"&lt;="&amp;Calc!$B798)-SUMIFS(CalcWitB,CalcPartyB,$E801,CalcKeyB,"&lt;="&amp;Calc!$B798)+SUMIFS(CalcDepB,CalcPartyB,$E801,CalcKeyB,"&lt;="&amp;Calc!$B798))</f>
        <v/>
      </c>
      <c r="L801" s="8" t="n"/>
    </row>
    <row r="802">
      <c r="A802" s="7">
        <f>IF($B802="","",COUNTA($B$9:$B802))</f>
        <v/>
      </c>
      <c r="B802" s="8" t="n"/>
      <c r="C802" s="8" t="n"/>
      <c r="D802" s="8" t="n"/>
      <c r="E802" s="8" t="n"/>
      <c r="F802" s="7">
        <f>IF($E802="","",IFERROR(IF(VLOOKUP($E802,AcctTbl,4,0)="","",VLOOKUP($E802,AcctTbl,4,0)),"—"))</f>
        <v/>
      </c>
      <c r="G802" s="8" t="n"/>
      <c r="H802" s="9" t="n"/>
      <c r="I802" s="9" t="n"/>
      <c r="J802" s="10">
        <f>IF(OR($H802="",$I802=""),"",ROUND($H802*$I802,0))</f>
        <v/>
      </c>
      <c r="K802" s="10">
        <f>IF(OR($B802="",$E802="",Calc!$B799=""),"",SUMIFS(CalcAmtA,CalcPartyA,$E802,CalcKeyA,"&lt;="&amp;Calc!$B799)-SUMIFS(CalcWitB,CalcPartyB,$E802,CalcKeyB,"&lt;="&amp;Calc!$B799)+SUMIFS(CalcDepB,CalcPartyB,$E802,CalcKeyB,"&lt;="&amp;Calc!$B799))</f>
        <v/>
      </c>
      <c r="L802" s="8" t="n"/>
    </row>
    <row r="803">
      <c r="A803" s="7">
        <f>IF($B803="","",COUNTA($B$9:$B803))</f>
        <v/>
      </c>
      <c r="B803" s="8" t="n"/>
      <c r="C803" s="8" t="n"/>
      <c r="D803" s="8" t="n"/>
      <c r="E803" s="8" t="n"/>
      <c r="F803" s="7">
        <f>IF($E803="","",IFERROR(IF(VLOOKUP($E803,AcctTbl,4,0)="","",VLOOKUP($E803,AcctTbl,4,0)),"—"))</f>
        <v/>
      </c>
      <c r="G803" s="8" t="n"/>
      <c r="H803" s="9" t="n"/>
      <c r="I803" s="9" t="n"/>
      <c r="J803" s="10">
        <f>IF(OR($H803="",$I803=""),"",ROUND($H803*$I803,0))</f>
        <v/>
      </c>
      <c r="K803" s="10">
        <f>IF(OR($B803="",$E803="",Calc!$B800=""),"",SUMIFS(CalcAmtA,CalcPartyA,$E803,CalcKeyA,"&lt;="&amp;Calc!$B800)-SUMIFS(CalcWitB,CalcPartyB,$E803,CalcKeyB,"&lt;="&amp;Calc!$B800)+SUMIFS(CalcDepB,CalcPartyB,$E803,CalcKeyB,"&lt;="&amp;Calc!$B800))</f>
        <v/>
      </c>
      <c r="L803" s="8" t="n"/>
    </row>
    <row r="804">
      <c r="A804" s="7">
        <f>IF($B804="","",COUNTA($B$9:$B804))</f>
        <v/>
      </c>
      <c r="B804" s="8" t="n"/>
      <c r="C804" s="8" t="n"/>
      <c r="D804" s="8" t="n"/>
      <c r="E804" s="8" t="n"/>
      <c r="F804" s="7">
        <f>IF($E804="","",IFERROR(IF(VLOOKUP($E804,AcctTbl,4,0)="","",VLOOKUP($E804,AcctTbl,4,0)),"—"))</f>
        <v/>
      </c>
      <c r="G804" s="8" t="n"/>
      <c r="H804" s="9" t="n"/>
      <c r="I804" s="9" t="n"/>
      <c r="J804" s="10">
        <f>IF(OR($H804="",$I804=""),"",ROUND($H804*$I804,0))</f>
        <v/>
      </c>
      <c r="K804" s="10">
        <f>IF(OR($B804="",$E804="",Calc!$B801=""),"",SUMIFS(CalcAmtA,CalcPartyA,$E804,CalcKeyA,"&lt;="&amp;Calc!$B801)-SUMIFS(CalcWitB,CalcPartyB,$E804,CalcKeyB,"&lt;="&amp;Calc!$B801)+SUMIFS(CalcDepB,CalcPartyB,$E804,CalcKeyB,"&lt;="&amp;Calc!$B801))</f>
        <v/>
      </c>
      <c r="L804" s="8" t="n"/>
    </row>
    <row r="805">
      <c r="A805" s="7">
        <f>IF($B805="","",COUNTA($B$9:$B805))</f>
        <v/>
      </c>
      <c r="B805" s="8" t="n"/>
      <c r="C805" s="8" t="n"/>
      <c r="D805" s="8" t="n"/>
      <c r="E805" s="8" t="n"/>
      <c r="F805" s="7">
        <f>IF($E805="","",IFERROR(IF(VLOOKUP($E805,AcctTbl,4,0)="","",VLOOKUP($E805,AcctTbl,4,0)),"—"))</f>
        <v/>
      </c>
      <c r="G805" s="8" t="n"/>
      <c r="H805" s="9" t="n"/>
      <c r="I805" s="9" t="n"/>
      <c r="J805" s="10">
        <f>IF(OR($H805="",$I805=""),"",ROUND($H805*$I805,0))</f>
        <v/>
      </c>
      <c r="K805" s="10">
        <f>IF(OR($B805="",$E805="",Calc!$B802=""),"",SUMIFS(CalcAmtA,CalcPartyA,$E805,CalcKeyA,"&lt;="&amp;Calc!$B802)-SUMIFS(CalcWitB,CalcPartyB,$E805,CalcKeyB,"&lt;="&amp;Calc!$B802)+SUMIFS(CalcDepB,CalcPartyB,$E805,CalcKeyB,"&lt;="&amp;Calc!$B802))</f>
        <v/>
      </c>
      <c r="L805" s="8" t="n"/>
    </row>
    <row r="806">
      <c r="A806" s="7">
        <f>IF($B806="","",COUNTA($B$9:$B806))</f>
        <v/>
      </c>
      <c r="B806" s="8" t="n"/>
      <c r="C806" s="8" t="n"/>
      <c r="D806" s="8" t="n"/>
      <c r="E806" s="8" t="n"/>
      <c r="F806" s="7">
        <f>IF($E806="","",IFERROR(IF(VLOOKUP($E806,AcctTbl,4,0)="","",VLOOKUP($E806,AcctTbl,4,0)),"—"))</f>
        <v/>
      </c>
      <c r="G806" s="8" t="n"/>
      <c r="H806" s="9" t="n"/>
      <c r="I806" s="9" t="n"/>
      <c r="J806" s="10">
        <f>IF(OR($H806="",$I806=""),"",ROUND($H806*$I806,0))</f>
        <v/>
      </c>
      <c r="K806" s="10">
        <f>IF(OR($B806="",$E806="",Calc!$B803=""),"",SUMIFS(CalcAmtA,CalcPartyA,$E806,CalcKeyA,"&lt;="&amp;Calc!$B803)-SUMIFS(CalcWitB,CalcPartyB,$E806,CalcKeyB,"&lt;="&amp;Calc!$B803)+SUMIFS(CalcDepB,CalcPartyB,$E806,CalcKeyB,"&lt;="&amp;Calc!$B803))</f>
        <v/>
      </c>
      <c r="L806" s="8" t="n"/>
    </row>
    <row r="807">
      <c r="A807" s="7">
        <f>IF($B807="","",COUNTA($B$9:$B807))</f>
        <v/>
      </c>
      <c r="B807" s="8" t="n"/>
      <c r="C807" s="8" t="n"/>
      <c r="D807" s="8" t="n"/>
      <c r="E807" s="8" t="n"/>
      <c r="F807" s="7">
        <f>IF($E807="","",IFERROR(IF(VLOOKUP($E807,AcctTbl,4,0)="","",VLOOKUP($E807,AcctTbl,4,0)),"—"))</f>
        <v/>
      </c>
      <c r="G807" s="8" t="n"/>
      <c r="H807" s="9" t="n"/>
      <c r="I807" s="9" t="n"/>
      <c r="J807" s="10">
        <f>IF(OR($H807="",$I807=""),"",ROUND($H807*$I807,0))</f>
        <v/>
      </c>
      <c r="K807" s="10">
        <f>IF(OR($B807="",$E807="",Calc!$B804=""),"",SUMIFS(CalcAmtA,CalcPartyA,$E807,CalcKeyA,"&lt;="&amp;Calc!$B804)-SUMIFS(CalcWitB,CalcPartyB,$E807,CalcKeyB,"&lt;="&amp;Calc!$B804)+SUMIFS(CalcDepB,CalcPartyB,$E807,CalcKeyB,"&lt;="&amp;Calc!$B804))</f>
        <v/>
      </c>
      <c r="L807" s="8" t="n"/>
    </row>
    <row r="808">
      <c r="A808" s="7">
        <f>IF($B808="","",COUNTA($B$9:$B808))</f>
        <v/>
      </c>
      <c r="B808" s="8" t="n"/>
      <c r="C808" s="8" t="n"/>
      <c r="D808" s="8" t="n"/>
      <c r="E808" s="8" t="n"/>
      <c r="F808" s="7">
        <f>IF($E808="","",IFERROR(IF(VLOOKUP($E808,AcctTbl,4,0)="","",VLOOKUP($E808,AcctTbl,4,0)),"—"))</f>
        <v/>
      </c>
      <c r="G808" s="8" t="n"/>
      <c r="H808" s="9" t="n"/>
      <c r="I808" s="9" t="n"/>
      <c r="J808" s="10">
        <f>IF(OR($H808="",$I808=""),"",ROUND($H808*$I808,0))</f>
        <v/>
      </c>
      <c r="K808" s="10">
        <f>IF(OR($B808="",$E808="",Calc!$B805=""),"",SUMIFS(CalcAmtA,CalcPartyA,$E808,CalcKeyA,"&lt;="&amp;Calc!$B805)-SUMIFS(CalcWitB,CalcPartyB,$E808,CalcKeyB,"&lt;="&amp;Calc!$B805)+SUMIFS(CalcDepB,CalcPartyB,$E808,CalcKeyB,"&lt;="&amp;Calc!$B805))</f>
        <v/>
      </c>
      <c r="L808" s="8" t="n"/>
    </row>
    <row r="809">
      <c r="A809" s="7">
        <f>IF($B809="","",COUNTA($B$9:$B809))</f>
        <v/>
      </c>
      <c r="B809" s="8" t="n"/>
      <c r="C809" s="8" t="n"/>
      <c r="D809" s="8" t="n"/>
      <c r="E809" s="8" t="n"/>
      <c r="F809" s="7">
        <f>IF($E809="","",IFERROR(IF(VLOOKUP($E809,AcctTbl,4,0)="","",VLOOKUP($E809,AcctTbl,4,0)),"—"))</f>
        <v/>
      </c>
      <c r="G809" s="8" t="n"/>
      <c r="H809" s="9" t="n"/>
      <c r="I809" s="9" t="n"/>
      <c r="J809" s="10">
        <f>IF(OR($H809="",$I809=""),"",ROUND($H809*$I809,0))</f>
        <v/>
      </c>
      <c r="K809" s="10">
        <f>IF(OR($B809="",$E809="",Calc!$B806=""),"",SUMIFS(CalcAmtA,CalcPartyA,$E809,CalcKeyA,"&lt;="&amp;Calc!$B806)-SUMIFS(CalcWitB,CalcPartyB,$E809,CalcKeyB,"&lt;="&amp;Calc!$B806)+SUMIFS(CalcDepB,CalcPartyB,$E809,CalcKeyB,"&lt;="&amp;Calc!$B806))</f>
        <v/>
      </c>
      <c r="L809" s="8" t="n"/>
    </row>
    <row r="810">
      <c r="A810" s="7">
        <f>IF($B810="","",COUNTA($B$9:$B810))</f>
        <v/>
      </c>
      <c r="B810" s="8" t="n"/>
      <c r="C810" s="8" t="n"/>
      <c r="D810" s="8" t="n"/>
      <c r="E810" s="8" t="n"/>
      <c r="F810" s="7">
        <f>IF($E810="","",IFERROR(IF(VLOOKUP($E810,AcctTbl,4,0)="","",VLOOKUP($E810,AcctTbl,4,0)),"—"))</f>
        <v/>
      </c>
      <c r="G810" s="8" t="n"/>
      <c r="H810" s="9" t="n"/>
      <c r="I810" s="9" t="n"/>
      <c r="J810" s="10">
        <f>IF(OR($H810="",$I810=""),"",ROUND($H810*$I810,0))</f>
        <v/>
      </c>
      <c r="K810" s="10">
        <f>IF(OR($B810="",$E810="",Calc!$B807=""),"",SUMIFS(CalcAmtA,CalcPartyA,$E810,CalcKeyA,"&lt;="&amp;Calc!$B807)-SUMIFS(CalcWitB,CalcPartyB,$E810,CalcKeyB,"&lt;="&amp;Calc!$B807)+SUMIFS(CalcDepB,CalcPartyB,$E810,CalcKeyB,"&lt;="&amp;Calc!$B807))</f>
        <v/>
      </c>
      <c r="L810" s="8" t="n"/>
    </row>
    <row r="811">
      <c r="A811" s="7">
        <f>IF($B811="","",COUNTA($B$9:$B811))</f>
        <v/>
      </c>
      <c r="B811" s="8" t="n"/>
      <c r="C811" s="8" t="n"/>
      <c r="D811" s="8" t="n"/>
      <c r="E811" s="8" t="n"/>
      <c r="F811" s="7">
        <f>IF($E811="","",IFERROR(IF(VLOOKUP($E811,AcctTbl,4,0)="","",VLOOKUP($E811,AcctTbl,4,0)),"—"))</f>
        <v/>
      </c>
      <c r="G811" s="8" t="n"/>
      <c r="H811" s="9" t="n"/>
      <c r="I811" s="9" t="n"/>
      <c r="J811" s="10">
        <f>IF(OR($H811="",$I811=""),"",ROUND($H811*$I811,0))</f>
        <v/>
      </c>
      <c r="K811" s="10">
        <f>IF(OR($B811="",$E811="",Calc!$B808=""),"",SUMIFS(CalcAmtA,CalcPartyA,$E811,CalcKeyA,"&lt;="&amp;Calc!$B808)-SUMIFS(CalcWitB,CalcPartyB,$E811,CalcKeyB,"&lt;="&amp;Calc!$B808)+SUMIFS(CalcDepB,CalcPartyB,$E811,CalcKeyB,"&lt;="&amp;Calc!$B808))</f>
        <v/>
      </c>
      <c r="L811" s="8" t="n"/>
    </row>
    <row r="812">
      <c r="A812" s="7">
        <f>IF($B812="","",COUNTA($B$9:$B812))</f>
        <v/>
      </c>
      <c r="B812" s="8" t="n"/>
      <c r="C812" s="8" t="n"/>
      <c r="D812" s="8" t="n"/>
      <c r="E812" s="8" t="n"/>
      <c r="F812" s="7">
        <f>IF($E812="","",IFERROR(IF(VLOOKUP($E812,AcctTbl,4,0)="","",VLOOKUP($E812,AcctTbl,4,0)),"—"))</f>
        <v/>
      </c>
      <c r="G812" s="8" t="n"/>
      <c r="H812" s="9" t="n"/>
      <c r="I812" s="9" t="n"/>
      <c r="J812" s="10">
        <f>IF(OR($H812="",$I812=""),"",ROUND($H812*$I812,0))</f>
        <v/>
      </c>
      <c r="K812" s="10">
        <f>IF(OR($B812="",$E812="",Calc!$B809=""),"",SUMIFS(CalcAmtA,CalcPartyA,$E812,CalcKeyA,"&lt;="&amp;Calc!$B809)-SUMIFS(CalcWitB,CalcPartyB,$E812,CalcKeyB,"&lt;="&amp;Calc!$B809)+SUMIFS(CalcDepB,CalcPartyB,$E812,CalcKeyB,"&lt;="&amp;Calc!$B809))</f>
        <v/>
      </c>
      <c r="L812" s="8" t="n"/>
    </row>
    <row r="813">
      <c r="A813" s="7">
        <f>IF($B813="","",COUNTA($B$9:$B813))</f>
        <v/>
      </c>
      <c r="B813" s="8" t="n"/>
      <c r="C813" s="8" t="n"/>
      <c r="D813" s="8" t="n"/>
      <c r="E813" s="8" t="n"/>
      <c r="F813" s="7">
        <f>IF($E813="","",IFERROR(IF(VLOOKUP($E813,AcctTbl,4,0)="","",VLOOKUP($E813,AcctTbl,4,0)),"—"))</f>
        <v/>
      </c>
      <c r="G813" s="8" t="n"/>
      <c r="H813" s="9" t="n"/>
      <c r="I813" s="9" t="n"/>
      <c r="J813" s="10">
        <f>IF(OR($H813="",$I813=""),"",ROUND($H813*$I813,0))</f>
        <v/>
      </c>
      <c r="K813" s="10">
        <f>IF(OR($B813="",$E813="",Calc!$B810=""),"",SUMIFS(CalcAmtA,CalcPartyA,$E813,CalcKeyA,"&lt;="&amp;Calc!$B810)-SUMIFS(CalcWitB,CalcPartyB,$E813,CalcKeyB,"&lt;="&amp;Calc!$B810)+SUMIFS(CalcDepB,CalcPartyB,$E813,CalcKeyB,"&lt;="&amp;Calc!$B810))</f>
        <v/>
      </c>
      <c r="L813" s="8" t="n"/>
    </row>
    <row r="814">
      <c r="A814" s="7">
        <f>IF($B814="","",COUNTA($B$9:$B814))</f>
        <v/>
      </c>
      <c r="B814" s="8" t="n"/>
      <c r="C814" s="8" t="n"/>
      <c r="D814" s="8" t="n"/>
      <c r="E814" s="8" t="n"/>
      <c r="F814" s="7">
        <f>IF($E814="","",IFERROR(IF(VLOOKUP($E814,AcctTbl,4,0)="","",VLOOKUP($E814,AcctTbl,4,0)),"—"))</f>
        <v/>
      </c>
      <c r="G814" s="8" t="n"/>
      <c r="H814" s="9" t="n"/>
      <c r="I814" s="9" t="n"/>
      <c r="J814" s="10">
        <f>IF(OR($H814="",$I814=""),"",ROUND($H814*$I814,0))</f>
        <v/>
      </c>
      <c r="K814" s="10">
        <f>IF(OR($B814="",$E814="",Calc!$B811=""),"",SUMIFS(CalcAmtA,CalcPartyA,$E814,CalcKeyA,"&lt;="&amp;Calc!$B811)-SUMIFS(CalcWitB,CalcPartyB,$E814,CalcKeyB,"&lt;="&amp;Calc!$B811)+SUMIFS(CalcDepB,CalcPartyB,$E814,CalcKeyB,"&lt;="&amp;Calc!$B811))</f>
        <v/>
      </c>
      <c r="L814" s="8" t="n"/>
    </row>
    <row r="815">
      <c r="A815" s="7">
        <f>IF($B815="","",COUNTA($B$9:$B815))</f>
        <v/>
      </c>
      <c r="B815" s="8" t="n"/>
      <c r="C815" s="8" t="n"/>
      <c r="D815" s="8" t="n"/>
      <c r="E815" s="8" t="n"/>
      <c r="F815" s="7">
        <f>IF($E815="","",IFERROR(IF(VLOOKUP($E815,AcctTbl,4,0)="","",VLOOKUP($E815,AcctTbl,4,0)),"—"))</f>
        <v/>
      </c>
      <c r="G815" s="8" t="n"/>
      <c r="H815" s="9" t="n"/>
      <c r="I815" s="9" t="n"/>
      <c r="J815" s="10">
        <f>IF(OR($H815="",$I815=""),"",ROUND($H815*$I815,0))</f>
        <v/>
      </c>
      <c r="K815" s="10">
        <f>IF(OR($B815="",$E815="",Calc!$B812=""),"",SUMIFS(CalcAmtA,CalcPartyA,$E815,CalcKeyA,"&lt;="&amp;Calc!$B812)-SUMIFS(CalcWitB,CalcPartyB,$E815,CalcKeyB,"&lt;="&amp;Calc!$B812)+SUMIFS(CalcDepB,CalcPartyB,$E815,CalcKeyB,"&lt;="&amp;Calc!$B812))</f>
        <v/>
      </c>
      <c r="L815" s="8" t="n"/>
    </row>
    <row r="816">
      <c r="A816" s="7">
        <f>IF($B816="","",COUNTA($B$9:$B816))</f>
        <v/>
      </c>
      <c r="B816" s="8" t="n"/>
      <c r="C816" s="8" t="n"/>
      <c r="D816" s="8" t="n"/>
      <c r="E816" s="8" t="n"/>
      <c r="F816" s="7">
        <f>IF($E816="","",IFERROR(IF(VLOOKUP($E816,AcctTbl,4,0)="","",VLOOKUP($E816,AcctTbl,4,0)),"—"))</f>
        <v/>
      </c>
      <c r="G816" s="8" t="n"/>
      <c r="H816" s="9" t="n"/>
      <c r="I816" s="9" t="n"/>
      <c r="J816" s="10">
        <f>IF(OR($H816="",$I816=""),"",ROUND($H816*$I816,0))</f>
        <v/>
      </c>
      <c r="K816" s="10">
        <f>IF(OR($B816="",$E816="",Calc!$B813=""),"",SUMIFS(CalcAmtA,CalcPartyA,$E816,CalcKeyA,"&lt;="&amp;Calc!$B813)-SUMIFS(CalcWitB,CalcPartyB,$E816,CalcKeyB,"&lt;="&amp;Calc!$B813)+SUMIFS(CalcDepB,CalcPartyB,$E816,CalcKeyB,"&lt;="&amp;Calc!$B813))</f>
        <v/>
      </c>
      <c r="L816" s="8" t="n"/>
    </row>
    <row r="817">
      <c r="A817" s="7">
        <f>IF($B817="","",COUNTA($B$9:$B817))</f>
        <v/>
      </c>
      <c r="B817" s="8" t="n"/>
      <c r="C817" s="8" t="n"/>
      <c r="D817" s="8" t="n"/>
      <c r="E817" s="8" t="n"/>
      <c r="F817" s="7">
        <f>IF($E817="","",IFERROR(IF(VLOOKUP($E817,AcctTbl,4,0)="","",VLOOKUP($E817,AcctTbl,4,0)),"—"))</f>
        <v/>
      </c>
      <c r="G817" s="8" t="n"/>
      <c r="H817" s="9" t="n"/>
      <c r="I817" s="9" t="n"/>
      <c r="J817" s="10">
        <f>IF(OR($H817="",$I817=""),"",ROUND($H817*$I817,0))</f>
        <v/>
      </c>
      <c r="K817" s="10">
        <f>IF(OR($B817="",$E817="",Calc!$B814=""),"",SUMIFS(CalcAmtA,CalcPartyA,$E817,CalcKeyA,"&lt;="&amp;Calc!$B814)-SUMIFS(CalcWitB,CalcPartyB,$E817,CalcKeyB,"&lt;="&amp;Calc!$B814)+SUMIFS(CalcDepB,CalcPartyB,$E817,CalcKeyB,"&lt;="&amp;Calc!$B814))</f>
        <v/>
      </c>
      <c r="L817" s="8" t="n"/>
    </row>
    <row r="818">
      <c r="A818" s="7">
        <f>IF($B818="","",COUNTA($B$9:$B818))</f>
        <v/>
      </c>
      <c r="B818" s="8" t="n"/>
      <c r="C818" s="8" t="n"/>
      <c r="D818" s="8" t="n"/>
      <c r="E818" s="8" t="n"/>
      <c r="F818" s="7">
        <f>IF($E818="","",IFERROR(IF(VLOOKUP($E818,AcctTbl,4,0)="","",VLOOKUP($E818,AcctTbl,4,0)),"—"))</f>
        <v/>
      </c>
      <c r="G818" s="8" t="n"/>
      <c r="H818" s="9" t="n"/>
      <c r="I818" s="9" t="n"/>
      <c r="J818" s="10">
        <f>IF(OR($H818="",$I818=""),"",ROUND($H818*$I818,0))</f>
        <v/>
      </c>
      <c r="K818" s="10">
        <f>IF(OR($B818="",$E818="",Calc!$B815=""),"",SUMIFS(CalcAmtA,CalcPartyA,$E818,CalcKeyA,"&lt;="&amp;Calc!$B815)-SUMIFS(CalcWitB,CalcPartyB,$E818,CalcKeyB,"&lt;="&amp;Calc!$B815)+SUMIFS(CalcDepB,CalcPartyB,$E818,CalcKeyB,"&lt;="&amp;Calc!$B815))</f>
        <v/>
      </c>
      <c r="L818" s="8" t="n"/>
    </row>
    <row r="819">
      <c r="A819" s="7">
        <f>IF($B819="","",COUNTA($B$9:$B819))</f>
        <v/>
      </c>
      <c r="B819" s="8" t="n"/>
      <c r="C819" s="8" t="n"/>
      <c r="D819" s="8" t="n"/>
      <c r="E819" s="8" t="n"/>
      <c r="F819" s="7">
        <f>IF($E819="","",IFERROR(IF(VLOOKUP($E819,AcctTbl,4,0)="","",VLOOKUP($E819,AcctTbl,4,0)),"—"))</f>
        <v/>
      </c>
      <c r="G819" s="8" t="n"/>
      <c r="H819" s="9" t="n"/>
      <c r="I819" s="9" t="n"/>
      <c r="J819" s="10">
        <f>IF(OR($H819="",$I819=""),"",ROUND($H819*$I819,0))</f>
        <v/>
      </c>
      <c r="K819" s="10">
        <f>IF(OR($B819="",$E819="",Calc!$B816=""),"",SUMIFS(CalcAmtA,CalcPartyA,$E819,CalcKeyA,"&lt;="&amp;Calc!$B816)-SUMIFS(CalcWitB,CalcPartyB,$E819,CalcKeyB,"&lt;="&amp;Calc!$B816)+SUMIFS(CalcDepB,CalcPartyB,$E819,CalcKeyB,"&lt;="&amp;Calc!$B816))</f>
        <v/>
      </c>
      <c r="L819" s="8" t="n"/>
    </row>
    <row r="820">
      <c r="A820" s="7">
        <f>IF($B820="","",COUNTA($B$9:$B820))</f>
        <v/>
      </c>
      <c r="B820" s="8" t="n"/>
      <c r="C820" s="8" t="n"/>
      <c r="D820" s="8" t="n"/>
      <c r="E820" s="8" t="n"/>
      <c r="F820" s="7">
        <f>IF($E820="","",IFERROR(IF(VLOOKUP($E820,AcctTbl,4,0)="","",VLOOKUP($E820,AcctTbl,4,0)),"—"))</f>
        <v/>
      </c>
      <c r="G820" s="8" t="n"/>
      <c r="H820" s="9" t="n"/>
      <c r="I820" s="9" t="n"/>
      <c r="J820" s="10">
        <f>IF(OR($H820="",$I820=""),"",ROUND($H820*$I820,0))</f>
        <v/>
      </c>
      <c r="K820" s="10">
        <f>IF(OR($B820="",$E820="",Calc!$B817=""),"",SUMIFS(CalcAmtA,CalcPartyA,$E820,CalcKeyA,"&lt;="&amp;Calc!$B817)-SUMIFS(CalcWitB,CalcPartyB,$E820,CalcKeyB,"&lt;="&amp;Calc!$B817)+SUMIFS(CalcDepB,CalcPartyB,$E820,CalcKeyB,"&lt;="&amp;Calc!$B817))</f>
        <v/>
      </c>
      <c r="L820" s="8" t="n"/>
    </row>
    <row r="821">
      <c r="A821" s="7">
        <f>IF($B821="","",COUNTA($B$9:$B821))</f>
        <v/>
      </c>
      <c r="B821" s="8" t="n"/>
      <c r="C821" s="8" t="n"/>
      <c r="D821" s="8" t="n"/>
      <c r="E821" s="8" t="n"/>
      <c r="F821" s="7">
        <f>IF($E821="","",IFERROR(IF(VLOOKUP($E821,AcctTbl,4,0)="","",VLOOKUP($E821,AcctTbl,4,0)),"—"))</f>
        <v/>
      </c>
      <c r="G821" s="8" t="n"/>
      <c r="H821" s="9" t="n"/>
      <c r="I821" s="9" t="n"/>
      <c r="J821" s="10">
        <f>IF(OR($H821="",$I821=""),"",ROUND($H821*$I821,0))</f>
        <v/>
      </c>
      <c r="K821" s="10">
        <f>IF(OR($B821="",$E821="",Calc!$B818=""),"",SUMIFS(CalcAmtA,CalcPartyA,$E821,CalcKeyA,"&lt;="&amp;Calc!$B818)-SUMIFS(CalcWitB,CalcPartyB,$E821,CalcKeyB,"&lt;="&amp;Calc!$B818)+SUMIFS(CalcDepB,CalcPartyB,$E821,CalcKeyB,"&lt;="&amp;Calc!$B818))</f>
        <v/>
      </c>
      <c r="L821" s="8" t="n"/>
    </row>
    <row r="822">
      <c r="A822" s="7">
        <f>IF($B822="","",COUNTA($B$9:$B822))</f>
        <v/>
      </c>
      <c r="B822" s="8" t="n"/>
      <c r="C822" s="8" t="n"/>
      <c r="D822" s="8" t="n"/>
      <c r="E822" s="8" t="n"/>
      <c r="F822" s="7">
        <f>IF($E822="","",IFERROR(IF(VLOOKUP($E822,AcctTbl,4,0)="","",VLOOKUP($E822,AcctTbl,4,0)),"—"))</f>
        <v/>
      </c>
      <c r="G822" s="8" t="n"/>
      <c r="H822" s="9" t="n"/>
      <c r="I822" s="9" t="n"/>
      <c r="J822" s="10">
        <f>IF(OR($H822="",$I822=""),"",ROUND($H822*$I822,0))</f>
        <v/>
      </c>
      <c r="K822" s="10">
        <f>IF(OR($B822="",$E822="",Calc!$B819=""),"",SUMIFS(CalcAmtA,CalcPartyA,$E822,CalcKeyA,"&lt;="&amp;Calc!$B819)-SUMIFS(CalcWitB,CalcPartyB,$E822,CalcKeyB,"&lt;="&amp;Calc!$B819)+SUMIFS(CalcDepB,CalcPartyB,$E822,CalcKeyB,"&lt;="&amp;Calc!$B819))</f>
        <v/>
      </c>
      <c r="L822" s="8" t="n"/>
    </row>
    <row r="823">
      <c r="A823" s="7">
        <f>IF($B823="","",COUNTA($B$9:$B823))</f>
        <v/>
      </c>
      <c r="B823" s="8" t="n"/>
      <c r="C823" s="8" t="n"/>
      <c r="D823" s="8" t="n"/>
      <c r="E823" s="8" t="n"/>
      <c r="F823" s="7">
        <f>IF($E823="","",IFERROR(IF(VLOOKUP($E823,AcctTbl,4,0)="","",VLOOKUP($E823,AcctTbl,4,0)),"—"))</f>
        <v/>
      </c>
      <c r="G823" s="8" t="n"/>
      <c r="H823" s="9" t="n"/>
      <c r="I823" s="9" t="n"/>
      <c r="J823" s="10">
        <f>IF(OR($H823="",$I823=""),"",ROUND($H823*$I823,0))</f>
        <v/>
      </c>
      <c r="K823" s="10">
        <f>IF(OR($B823="",$E823="",Calc!$B820=""),"",SUMIFS(CalcAmtA,CalcPartyA,$E823,CalcKeyA,"&lt;="&amp;Calc!$B820)-SUMIFS(CalcWitB,CalcPartyB,$E823,CalcKeyB,"&lt;="&amp;Calc!$B820)+SUMIFS(CalcDepB,CalcPartyB,$E823,CalcKeyB,"&lt;="&amp;Calc!$B820))</f>
        <v/>
      </c>
      <c r="L823" s="8" t="n"/>
    </row>
    <row r="824">
      <c r="A824" s="7">
        <f>IF($B824="","",COUNTA($B$9:$B824))</f>
        <v/>
      </c>
      <c r="B824" s="8" t="n"/>
      <c r="C824" s="8" t="n"/>
      <c r="D824" s="8" t="n"/>
      <c r="E824" s="8" t="n"/>
      <c r="F824" s="7">
        <f>IF($E824="","",IFERROR(IF(VLOOKUP($E824,AcctTbl,4,0)="","",VLOOKUP($E824,AcctTbl,4,0)),"—"))</f>
        <v/>
      </c>
      <c r="G824" s="8" t="n"/>
      <c r="H824" s="9" t="n"/>
      <c r="I824" s="9" t="n"/>
      <c r="J824" s="10">
        <f>IF(OR($H824="",$I824=""),"",ROUND($H824*$I824,0))</f>
        <v/>
      </c>
      <c r="K824" s="10">
        <f>IF(OR($B824="",$E824="",Calc!$B821=""),"",SUMIFS(CalcAmtA,CalcPartyA,$E824,CalcKeyA,"&lt;="&amp;Calc!$B821)-SUMIFS(CalcWitB,CalcPartyB,$E824,CalcKeyB,"&lt;="&amp;Calc!$B821)+SUMIFS(CalcDepB,CalcPartyB,$E824,CalcKeyB,"&lt;="&amp;Calc!$B821))</f>
        <v/>
      </c>
      <c r="L824" s="8" t="n"/>
    </row>
    <row r="825">
      <c r="A825" s="7">
        <f>IF($B825="","",COUNTA($B$9:$B825))</f>
        <v/>
      </c>
      <c r="B825" s="8" t="n"/>
      <c r="C825" s="8" t="n"/>
      <c r="D825" s="8" t="n"/>
      <c r="E825" s="8" t="n"/>
      <c r="F825" s="7">
        <f>IF($E825="","",IFERROR(IF(VLOOKUP($E825,AcctTbl,4,0)="","",VLOOKUP($E825,AcctTbl,4,0)),"—"))</f>
        <v/>
      </c>
      <c r="G825" s="8" t="n"/>
      <c r="H825" s="9" t="n"/>
      <c r="I825" s="9" t="n"/>
      <c r="J825" s="10">
        <f>IF(OR($H825="",$I825=""),"",ROUND($H825*$I825,0))</f>
        <v/>
      </c>
      <c r="K825" s="10">
        <f>IF(OR($B825="",$E825="",Calc!$B822=""),"",SUMIFS(CalcAmtA,CalcPartyA,$E825,CalcKeyA,"&lt;="&amp;Calc!$B822)-SUMIFS(CalcWitB,CalcPartyB,$E825,CalcKeyB,"&lt;="&amp;Calc!$B822)+SUMIFS(CalcDepB,CalcPartyB,$E825,CalcKeyB,"&lt;="&amp;Calc!$B822))</f>
        <v/>
      </c>
      <c r="L825" s="8" t="n"/>
    </row>
    <row r="826">
      <c r="A826" s="7">
        <f>IF($B826="","",COUNTA($B$9:$B826))</f>
        <v/>
      </c>
      <c r="B826" s="8" t="n"/>
      <c r="C826" s="8" t="n"/>
      <c r="D826" s="8" t="n"/>
      <c r="E826" s="8" t="n"/>
      <c r="F826" s="7">
        <f>IF($E826="","",IFERROR(IF(VLOOKUP($E826,AcctTbl,4,0)="","",VLOOKUP($E826,AcctTbl,4,0)),"—"))</f>
        <v/>
      </c>
      <c r="G826" s="8" t="n"/>
      <c r="H826" s="9" t="n"/>
      <c r="I826" s="9" t="n"/>
      <c r="J826" s="10">
        <f>IF(OR($H826="",$I826=""),"",ROUND($H826*$I826,0))</f>
        <v/>
      </c>
      <c r="K826" s="10">
        <f>IF(OR($B826="",$E826="",Calc!$B823=""),"",SUMIFS(CalcAmtA,CalcPartyA,$E826,CalcKeyA,"&lt;="&amp;Calc!$B823)-SUMIFS(CalcWitB,CalcPartyB,$E826,CalcKeyB,"&lt;="&amp;Calc!$B823)+SUMIFS(CalcDepB,CalcPartyB,$E826,CalcKeyB,"&lt;="&amp;Calc!$B823))</f>
        <v/>
      </c>
      <c r="L826" s="8" t="n"/>
    </row>
    <row r="827">
      <c r="A827" s="7">
        <f>IF($B827="","",COUNTA($B$9:$B827))</f>
        <v/>
      </c>
      <c r="B827" s="8" t="n"/>
      <c r="C827" s="8" t="n"/>
      <c r="D827" s="8" t="n"/>
      <c r="E827" s="8" t="n"/>
      <c r="F827" s="7">
        <f>IF($E827="","",IFERROR(IF(VLOOKUP($E827,AcctTbl,4,0)="","",VLOOKUP($E827,AcctTbl,4,0)),"—"))</f>
        <v/>
      </c>
      <c r="G827" s="8" t="n"/>
      <c r="H827" s="9" t="n"/>
      <c r="I827" s="9" t="n"/>
      <c r="J827" s="10">
        <f>IF(OR($H827="",$I827=""),"",ROUND($H827*$I827,0))</f>
        <v/>
      </c>
      <c r="K827" s="10">
        <f>IF(OR($B827="",$E827="",Calc!$B824=""),"",SUMIFS(CalcAmtA,CalcPartyA,$E827,CalcKeyA,"&lt;="&amp;Calc!$B824)-SUMIFS(CalcWitB,CalcPartyB,$E827,CalcKeyB,"&lt;="&amp;Calc!$B824)+SUMIFS(CalcDepB,CalcPartyB,$E827,CalcKeyB,"&lt;="&amp;Calc!$B824))</f>
        <v/>
      </c>
      <c r="L827" s="8" t="n"/>
    </row>
    <row r="828">
      <c r="A828" s="7">
        <f>IF($B828="","",COUNTA($B$9:$B828))</f>
        <v/>
      </c>
      <c r="B828" s="8" t="n"/>
      <c r="C828" s="8" t="n"/>
      <c r="D828" s="8" t="n"/>
      <c r="E828" s="8" t="n"/>
      <c r="F828" s="7">
        <f>IF($E828="","",IFERROR(IF(VLOOKUP($E828,AcctTbl,4,0)="","",VLOOKUP($E828,AcctTbl,4,0)),"—"))</f>
        <v/>
      </c>
      <c r="G828" s="8" t="n"/>
      <c r="H828" s="9" t="n"/>
      <c r="I828" s="9" t="n"/>
      <c r="J828" s="10">
        <f>IF(OR($H828="",$I828=""),"",ROUND($H828*$I828,0))</f>
        <v/>
      </c>
      <c r="K828" s="10">
        <f>IF(OR($B828="",$E828="",Calc!$B825=""),"",SUMIFS(CalcAmtA,CalcPartyA,$E828,CalcKeyA,"&lt;="&amp;Calc!$B825)-SUMIFS(CalcWitB,CalcPartyB,$E828,CalcKeyB,"&lt;="&amp;Calc!$B825)+SUMIFS(CalcDepB,CalcPartyB,$E828,CalcKeyB,"&lt;="&amp;Calc!$B825))</f>
        <v/>
      </c>
      <c r="L828" s="8" t="n"/>
    </row>
    <row r="829">
      <c r="A829" s="7">
        <f>IF($B829="","",COUNTA($B$9:$B829))</f>
        <v/>
      </c>
      <c r="B829" s="8" t="n"/>
      <c r="C829" s="8" t="n"/>
      <c r="D829" s="8" t="n"/>
      <c r="E829" s="8" t="n"/>
      <c r="F829" s="7">
        <f>IF($E829="","",IFERROR(IF(VLOOKUP($E829,AcctTbl,4,0)="","",VLOOKUP($E829,AcctTbl,4,0)),"—"))</f>
        <v/>
      </c>
      <c r="G829" s="8" t="n"/>
      <c r="H829" s="9" t="n"/>
      <c r="I829" s="9" t="n"/>
      <c r="J829" s="10">
        <f>IF(OR($H829="",$I829=""),"",ROUND($H829*$I829,0))</f>
        <v/>
      </c>
      <c r="K829" s="10">
        <f>IF(OR($B829="",$E829="",Calc!$B826=""),"",SUMIFS(CalcAmtA,CalcPartyA,$E829,CalcKeyA,"&lt;="&amp;Calc!$B826)-SUMIFS(CalcWitB,CalcPartyB,$E829,CalcKeyB,"&lt;="&amp;Calc!$B826)+SUMIFS(CalcDepB,CalcPartyB,$E829,CalcKeyB,"&lt;="&amp;Calc!$B826))</f>
        <v/>
      </c>
      <c r="L829" s="8" t="n"/>
    </row>
    <row r="830">
      <c r="A830" s="7">
        <f>IF($B830="","",COUNTA($B$9:$B830))</f>
        <v/>
      </c>
      <c r="B830" s="8" t="n"/>
      <c r="C830" s="8" t="n"/>
      <c r="D830" s="8" t="n"/>
      <c r="E830" s="8" t="n"/>
      <c r="F830" s="7">
        <f>IF($E830="","",IFERROR(IF(VLOOKUP($E830,AcctTbl,4,0)="","",VLOOKUP($E830,AcctTbl,4,0)),"—"))</f>
        <v/>
      </c>
      <c r="G830" s="8" t="n"/>
      <c r="H830" s="9" t="n"/>
      <c r="I830" s="9" t="n"/>
      <c r="J830" s="10">
        <f>IF(OR($H830="",$I830=""),"",ROUND($H830*$I830,0))</f>
        <v/>
      </c>
      <c r="K830" s="10">
        <f>IF(OR($B830="",$E830="",Calc!$B827=""),"",SUMIFS(CalcAmtA,CalcPartyA,$E830,CalcKeyA,"&lt;="&amp;Calc!$B827)-SUMIFS(CalcWitB,CalcPartyB,$E830,CalcKeyB,"&lt;="&amp;Calc!$B827)+SUMIFS(CalcDepB,CalcPartyB,$E830,CalcKeyB,"&lt;="&amp;Calc!$B827))</f>
        <v/>
      </c>
      <c r="L830" s="8" t="n"/>
    </row>
    <row r="831">
      <c r="A831" s="7">
        <f>IF($B831="","",COUNTA($B$9:$B831))</f>
        <v/>
      </c>
      <c r="B831" s="8" t="n"/>
      <c r="C831" s="8" t="n"/>
      <c r="D831" s="8" t="n"/>
      <c r="E831" s="8" t="n"/>
      <c r="F831" s="7">
        <f>IF($E831="","",IFERROR(IF(VLOOKUP($E831,AcctTbl,4,0)="","",VLOOKUP($E831,AcctTbl,4,0)),"—"))</f>
        <v/>
      </c>
      <c r="G831" s="8" t="n"/>
      <c r="H831" s="9" t="n"/>
      <c r="I831" s="9" t="n"/>
      <c r="J831" s="10">
        <f>IF(OR($H831="",$I831=""),"",ROUND($H831*$I831,0))</f>
        <v/>
      </c>
      <c r="K831" s="10">
        <f>IF(OR($B831="",$E831="",Calc!$B828=""),"",SUMIFS(CalcAmtA,CalcPartyA,$E831,CalcKeyA,"&lt;="&amp;Calc!$B828)-SUMIFS(CalcWitB,CalcPartyB,$E831,CalcKeyB,"&lt;="&amp;Calc!$B828)+SUMIFS(CalcDepB,CalcPartyB,$E831,CalcKeyB,"&lt;="&amp;Calc!$B828))</f>
        <v/>
      </c>
      <c r="L831" s="8" t="n"/>
    </row>
    <row r="832">
      <c r="A832" s="7">
        <f>IF($B832="","",COUNTA($B$9:$B832))</f>
        <v/>
      </c>
      <c r="B832" s="8" t="n"/>
      <c r="C832" s="8" t="n"/>
      <c r="D832" s="8" t="n"/>
      <c r="E832" s="8" t="n"/>
      <c r="F832" s="7">
        <f>IF($E832="","",IFERROR(IF(VLOOKUP($E832,AcctTbl,4,0)="","",VLOOKUP($E832,AcctTbl,4,0)),"—"))</f>
        <v/>
      </c>
      <c r="G832" s="8" t="n"/>
      <c r="H832" s="9" t="n"/>
      <c r="I832" s="9" t="n"/>
      <c r="J832" s="10">
        <f>IF(OR($H832="",$I832=""),"",ROUND($H832*$I832,0))</f>
        <v/>
      </c>
      <c r="K832" s="10">
        <f>IF(OR($B832="",$E832="",Calc!$B829=""),"",SUMIFS(CalcAmtA,CalcPartyA,$E832,CalcKeyA,"&lt;="&amp;Calc!$B829)-SUMIFS(CalcWitB,CalcPartyB,$E832,CalcKeyB,"&lt;="&amp;Calc!$B829)+SUMIFS(CalcDepB,CalcPartyB,$E832,CalcKeyB,"&lt;="&amp;Calc!$B829))</f>
        <v/>
      </c>
      <c r="L832" s="8" t="n"/>
    </row>
    <row r="833">
      <c r="A833" s="7">
        <f>IF($B833="","",COUNTA($B$9:$B833))</f>
        <v/>
      </c>
      <c r="B833" s="8" t="n"/>
      <c r="C833" s="8" t="n"/>
      <c r="D833" s="8" t="n"/>
      <c r="E833" s="8" t="n"/>
      <c r="F833" s="7">
        <f>IF($E833="","",IFERROR(IF(VLOOKUP($E833,AcctTbl,4,0)="","",VLOOKUP($E833,AcctTbl,4,0)),"—"))</f>
        <v/>
      </c>
      <c r="G833" s="8" t="n"/>
      <c r="H833" s="9" t="n"/>
      <c r="I833" s="9" t="n"/>
      <c r="J833" s="10">
        <f>IF(OR($H833="",$I833=""),"",ROUND($H833*$I833,0))</f>
        <v/>
      </c>
      <c r="K833" s="10">
        <f>IF(OR($B833="",$E833="",Calc!$B830=""),"",SUMIFS(CalcAmtA,CalcPartyA,$E833,CalcKeyA,"&lt;="&amp;Calc!$B830)-SUMIFS(CalcWitB,CalcPartyB,$E833,CalcKeyB,"&lt;="&amp;Calc!$B830)+SUMIFS(CalcDepB,CalcPartyB,$E833,CalcKeyB,"&lt;="&amp;Calc!$B830))</f>
        <v/>
      </c>
      <c r="L833" s="8" t="n"/>
    </row>
    <row r="834">
      <c r="A834" s="7">
        <f>IF($B834="","",COUNTA($B$9:$B834))</f>
        <v/>
      </c>
      <c r="B834" s="8" t="n"/>
      <c r="C834" s="8" t="n"/>
      <c r="D834" s="8" t="n"/>
      <c r="E834" s="8" t="n"/>
      <c r="F834" s="7">
        <f>IF($E834="","",IFERROR(IF(VLOOKUP($E834,AcctTbl,4,0)="","",VLOOKUP($E834,AcctTbl,4,0)),"—"))</f>
        <v/>
      </c>
      <c r="G834" s="8" t="n"/>
      <c r="H834" s="9" t="n"/>
      <c r="I834" s="9" t="n"/>
      <c r="J834" s="10">
        <f>IF(OR($H834="",$I834=""),"",ROUND($H834*$I834,0))</f>
        <v/>
      </c>
      <c r="K834" s="10">
        <f>IF(OR($B834="",$E834="",Calc!$B831=""),"",SUMIFS(CalcAmtA,CalcPartyA,$E834,CalcKeyA,"&lt;="&amp;Calc!$B831)-SUMIFS(CalcWitB,CalcPartyB,$E834,CalcKeyB,"&lt;="&amp;Calc!$B831)+SUMIFS(CalcDepB,CalcPartyB,$E834,CalcKeyB,"&lt;="&amp;Calc!$B831))</f>
        <v/>
      </c>
      <c r="L834" s="8" t="n"/>
    </row>
    <row r="835">
      <c r="A835" s="7">
        <f>IF($B835="","",COUNTA($B$9:$B835))</f>
        <v/>
      </c>
      <c r="B835" s="8" t="n"/>
      <c r="C835" s="8" t="n"/>
      <c r="D835" s="8" t="n"/>
      <c r="E835" s="8" t="n"/>
      <c r="F835" s="7">
        <f>IF($E835="","",IFERROR(IF(VLOOKUP($E835,AcctTbl,4,0)="","",VLOOKUP($E835,AcctTbl,4,0)),"—"))</f>
        <v/>
      </c>
      <c r="G835" s="8" t="n"/>
      <c r="H835" s="9" t="n"/>
      <c r="I835" s="9" t="n"/>
      <c r="J835" s="10">
        <f>IF(OR($H835="",$I835=""),"",ROUND($H835*$I835,0))</f>
        <v/>
      </c>
      <c r="K835" s="10">
        <f>IF(OR($B835="",$E835="",Calc!$B832=""),"",SUMIFS(CalcAmtA,CalcPartyA,$E835,CalcKeyA,"&lt;="&amp;Calc!$B832)-SUMIFS(CalcWitB,CalcPartyB,$E835,CalcKeyB,"&lt;="&amp;Calc!$B832)+SUMIFS(CalcDepB,CalcPartyB,$E835,CalcKeyB,"&lt;="&amp;Calc!$B832))</f>
        <v/>
      </c>
      <c r="L835" s="8" t="n"/>
    </row>
    <row r="836">
      <c r="A836" s="7">
        <f>IF($B836="","",COUNTA($B$9:$B836))</f>
        <v/>
      </c>
      <c r="B836" s="8" t="n"/>
      <c r="C836" s="8" t="n"/>
      <c r="D836" s="8" t="n"/>
      <c r="E836" s="8" t="n"/>
      <c r="F836" s="7">
        <f>IF($E836="","",IFERROR(IF(VLOOKUP($E836,AcctTbl,4,0)="","",VLOOKUP($E836,AcctTbl,4,0)),"—"))</f>
        <v/>
      </c>
      <c r="G836" s="8" t="n"/>
      <c r="H836" s="9" t="n"/>
      <c r="I836" s="9" t="n"/>
      <c r="J836" s="10">
        <f>IF(OR($H836="",$I836=""),"",ROUND($H836*$I836,0))</f>
        <v/>
      </c>
      <c r="K836" s="10">
        <f>IF(OR($B836="",$E836="",Calc!$B833=""),"",SUMIFS(CalcAmtA,CalcPartyA,$E836,CalcKeyA,"&lt;="&amp;Calc!$B833)-SUMIFS(CalcWitB,CalcPartyB,$E836,CalcKeyB,"&lt;="&amp;Calc!$B833)+SUMIFS(CalcDepB,CalcPartyB,$E836,CalcKeyB,"&lt;="&amp;Calc!$B833))</f>
        <v/>
      </c>
      <c r="L836" s="8" t="n"/>
    </row>
    <row r="837">
      <c r="A837" s="7">
        <f>IF($B837="","",COUNTA($B$9:$B837))</f>
        <v/>
      </c>
      <c r="B837" s="8" t="n"/>
      <c r="C837" s="8" t="n"/>
      <c r="D837" s="8" t="n"/>
      <c r="E837" s="8" t="n"/>
      <c r="F837" s="7">
        <f>IF($E837="","",IFERROR(IF(VLOOKUP($E837,AcctTbl,4,0)="","",VLOOKUP($E837,AcctTbl,4,0)),"—"))</f>
        <v/>
      </c>
      <c r="G837" s="8" t="n"/>
      <c r="H837" s="9" t="n"/>
      <c r="I837" s="9" t="n"/>
      <c r="J837" s="10">
        <f>IF(OR($H837="",$I837=""),"",ROUND($H837*$I837,0))</f>
        <v/>
      </c>
      <c r="K837" s="10">
        <f>IF(OR($B837="",$E837="",Calc!$B834=""),"",SUMIFS(CalcAmtA,CalcPartyA,$E837,CalcKeyA,"&lt;="&amp;Calc!$B834)-SUMIFS(CalcWitB,CalcPartyB,$E837,CalcKeyB,"&lt;="&amp;Calc!$B834)+SUMIFS(CalcDepB,CalcPartyB,$E837,CalcKeyB,"&lt;="&amp;Calc!$B834))</f>
        <v/>
      </c>
      <c r="L837" s="8" t="n"/>
    </row>
    <row r="838">
      <c r="A838" s="7">
        <f>IF($B838="","",COUNTA($B$9:$B838))</f>
        <v/>
      </c>
      <c r="B838" s="8" t="n"/>
      <c r="C838" s="8" t="n"/>
      <c r="D838" s="8" t="n"/>
      <c r="E838" s="8" t="n"/>
      <c r="F838" s="7">
        <f>IF($E838="","",IFERROR(IF(VLOOKUP($E838,AcctTbl,4,0)="","",VLOOKUP($E838,AcctTbl,4,0)),"—"))</f>
        <v/>
      </c>
      <c r="G838" s="8" t="n"/>
      <c r="H838" s="9" t="n"/>
      <c r="I838" s="9" t="n"/>
      <c r="J838" s="10">
        <f>IF(OR($H838="",$I838=""),"",ROUND($H838*$I838,0))</f>
        <v/>
      </c>
      <c r="K838" s="10">
        <f>IF(OR($B838="",$E838="",Calc!$B835=""),"",SUMIFS(CalcAmtA,CalcPartyA,$E838,CalcKeyA,"&lt;="&amp;Calc!$B835)-SUMIFS(CalcWitB,CalcPartyB,$E838,CalcKeyB,"&lt;="&amp;Calc!$B835)+SUMIFS(CalcDepB,CalcPartyB,$E838,CalcKeyB,"&lt;="&amp;Calc!$B835))</f>
        <v/>
      </c>
      <c r="L838" s="8" t="n"/>
    </row>
    <row r="839">
      <c r="A839" s="7">
        <f>IF($B839="","",COUNTA($B$9:$B839))</f>
        <v/>
      </c>
      <c r="B839" s="8" t="n"/>
      <c r="C839" s="8" t="n"/>
      <c r="D839" s="8" t="n"/>
      <c r="E839" s="8" t="n"/>
      <c r="F839" s="7">
        <f>IF($E839="","",IFERROR(IF(VLOOKUP($E839,AcctTbl,4,0)="","",VLOOKUP($E839,AcctTbl,4,0)),"—"))</f>
        <v/>
      </c>
      <c r="G839" s="8" t="n"/>
      <c r="H839" s="9" t="n"/>
      <c r="I839" s="9" t="n"/>
      <c r="J839" s="10">
        <f>IF(OR($H839="",$I839=""),"",ROUND($H839*$I839,0))</f>
        <v/>
      </c>
      <c r="K839" s="10">
        <f>IF(OR($B839="",$E839="",Calc!$B836=""),"",SUMIFS(CalcAmtA,CalcPartyA,$E839,CalcKeyA,"&lt;="&amp;Calc!$B836)-SUMIFS(CalcWitB,CalcPartyB,$E839,CalcKeyB,"&lt;="&amp;Calc!$B836)+SUMIFS(CalcDepB,CalcPartyB,$E839,CalcKeyB,"&lt;="&amp;Calc!$B836))</f>
        <v/>
      </c>
      <c r="L839" s="8" t="n"/>
    </row>
    <row r="840">
      <c r="A840" s="7">
        <f>IF($B840="","",COUNTA($B$9:$B840))</f>
        <v/>
      </c>
      <c r="B840" s="8" t="n"/>
      <c r="C840" s="8" t="n"/>
      <c r="D840" s="8" t="n"/>
      <c r="E840" s="8" t="n"/>
      <c r="F840" s="7">
        <f>IF($E840="","",IFERROR(IF(VLOOKUP($E840,AcctTbl,4,0)="","",VLOOKUP($E840,AcctTbl,4,0)),"—"))</f>
        <v/>
      </c>
      <c r="G840" s="8" t="n"/>
      <c r="H840" s="9" t="n"/>
      <c r="I840" s="9" t="n"/>
      <c r="J840" s="10">
        <f>IF(OR($H840="",$I840=""),"",ROUND($H840*$I840,0))</f>
        <v/>
      </c>
      <c r="K840" s="10">
        <f>IF(OR($B840="",$E840="",Calc!$B837=""),"",SUMIFS(CalcAmtA,CalcPartyA,$E840,CalcKeyA,"&lt;="&amp;Calc!$B837)-SUMIFS(CalcWitB,CalcPartyB,$E840,CalcKeyB,"&lt;="&amp;Calc!$B837)+SUMIFS(CalcDepB,CalcPartyB,$E840,CalcKeyB,"&lt;="&amp;Calc!$B837))</f>
        <v/>
      </c>
      <c r="L840" s="8" t="n"/>
    </row>
    <row r="841">
      <c r="A841" s="7">
        <f>IF($B841="","",COUNTA($B$9:$B841))</f>
        <v/>
      </c>
      <c r="B841" s="8" t="n"/>
      <c r="C841" s="8" t="n"/>
      <c r="D841" s="8" t="n"/>
      <c r="E841" s="8" t="n"/>
      <c r="F841" s="7">
        <f>IF($E841="","",IFERROR(IF(VLOOKUP($E841,AcctTbl,4,0)="","",VLOOKUP($E841,AcctTbl,4,0)),"—"))</f>
        <v/>
      </c>
      <c r="G841" s="8" t="n"/>
      <c r="H841" s="9" t="n"/>
      <c r="I841" s="9" t="n"/>
      <c r="J841" s="10">
        <f>IF(OR($H841="",$I841=""),"",ROUND($H841*$I841,0))</f>
        <v/>
      </c>
      <c r="K841" s="10">
        <f>IF(OR($B841="",$E841="",Calc!$B838=""),"",SUMIFS(CalcAmtA,CalcPartyA,$E841,CalcKeyA,"&lt;="&amp;Calc!$B838)-SUMIFS(CalcWitB,CalcPartyB,$E841,CalcKeyB,"&lt;="&amp;Calc!$B838)+SUMIFS(CalcDepB,CalcPartyB,$E841,CalcKeyB,"&lt;="&amp;Calc!$B838))</f>
        <v/>
      </c>
      <c r="L841" s="8" t="n"/>
    </row>
    <row r="842">
      <c r="A842" s="7">
        <f>IF($B842="","",COUNTA($B$9:$B842))</f>
        <v/>
      </c>
      <c r="B842" s="8" t="n"/>
      <c r="C842" s="8" t="n"/>
      <c r="D842" s="8" t="n"/>
      <c r="E842" s="8" t="n"/>
      <c r="F842" s="7">
        <f>IF($E842="","",IFERROR(IF(VLOOKUP($E842,AcctTbl,4,0)="","",VLOOKUP($E842,AcctTbl,4,0)),"—"))</f>
        <v/>
      </c>
      <c r="G842" s="8" t="n"/>
      <c r="H842" s="9" t="n"/>
      <c r="I842" s="9" t="n"/>
      <c r="J842" s="10">
        <f>IF(OR($H842="",$I842=""),"",ROUND($H842*$I842,0))</f>
        <v/>
      </c>
      <c r="K842" s="10">
        <f>IF(OR($B842="",$E842="",Calc!$B839=""),"",SUMIFS(CalcAmtA,CalcPartyA,$E842,CalcKeyA,"&lt;="&amp;Calc!$B839)-SUMIFS(CalcWitB,CalcPartyB,$E842,CalcKeyB,"&lt;="&amp;Calc!$B839)+SUMIFS(CalcDepB,CalcPartyB,$E842,CalcKeyB,"&lt;="&amp;Calc!$B839))</f>
        <v/>
      </c>
      <c r="L842" s="8" t="n"/>
    </row>
    <row r="843">
      <c r="A843" s="7">
        <f>IF($B843="","",COUNTA($B$9:$B843))</f>
        <v/>
      </c>
      <c r="B843" s="8" t="n"/>
      <c r="C843" s="8" t="n"/>
      <c r="D843" s="8" t="n"/>
      <c r="E843" s="8" t="n"/>
      <c r="F843" s="7">
        <f>IF($E843="","",IFERROR(IF(VLOOKUP($E843,AcctTbl,4,0)="","",VLOOKUP($E843,AcctTbl,4,0)),"—"))</f>
        <v/>
      </c>
      <c r="G843" s="8" t="n"/>
      <c r="H843" s="9" t="n"/>
      <c r="I843" s="9" t="n"/>
      <c r="J843" s="10">
        <f>IF(OR($H843="",$I843=""),"",ROUND($H843*$I843,0))</f>
        <v/>
      </c>
      <c r="K843" s="10">
        <f>IF(OR($B843="",$E843="",Calc!$B840=""),"",SUMIFS(CalcAmtA,CalcPartyA,$E843,CalcKeyA,"&lt;="&amp;Calc!$B840)-SUMIFS(CalcWitB,CalcPartyB,$E843,CalcKeyB,"&lt;="&amp;Calc!$B840)+SUMIFS(CalcDepB,CalcPartyB,$E843,CalcKeyB,"&lt;="&amp;Calc!$B840))</f>
        <v/>
      </c>
      <c r="L843" s="8" t="n"/>
    </row>
    <row r="844">
      <c r="A844" s="7">
        <f>IF($B844="","",COUNTA($B$9:$B844))</f>
        <v/>
      </c>
      <c r="B844" s="8" t="n"/>
      <c r="C844" s="8" t="n"/>
      <c r="D844" s="8" t="n"/>
      <c r="E844" s="8" t="n"/>
      <c r="F844" s="7">
        <f>IF($E844="","",IFERROR(IF(VLOOKUP($E844,AcctTbl,4,0)="","",VLOOKUP($E844,AcctTbl,4,0)),"—"))</f>
        <v/>
      </c>
      <c r="G844" s="8" t="n"/>
      <c r="H844" s="9" t="n"/>
      <c r="I844" s="9" t="n"/>
      <c r="J844" s="10">
        <f>IF(OR($H844="",$I844=""),"",ROUND($H844*$I844,0))</f>
        <v/>
      </c>
      <c r="K844" s="10">
        <f>IF(OR($B844="",$E844="",Calc!$B841=""),"",SUMIFS(CalcAmtA,CalcPartyA,$E844,CalcKeyA,"&lt;="&amp;Calc!$B841)-SUMIFS(CalcWitB,CalcPartyB,$E844,CalcKeyB,"&lt;="&amp;Calc!$B841)+SUMIFS(CalcDepB,CalcPartyB,$E844,CalcKeyB,"&lt;="&amp;Calc!$B841))</f>
        <v/>
      </c>
      <c r="L844" s="8" t="n"/>
    </row>
    <row r="845">
      <c r="A845" s="7">
        <f>IF($B845="","",COUNTA($B$9:$B845))</f>
        <v/>
      </c>
      <c r="B845" s="8" t="n"/>
      <c r="C845" s="8" t="n"/>
      <c r="D845" s="8" t="n"/>
      <c r="E845" s="8" t="n"/>
      <c r="F845" s="7">
        <f>IF($E845="","",IFERROR(IF(VLOOKUP($E845,AcctTbl,4,0)="","",VLOOKUP($E845,AcctTbl,4,0)),"—"))</f>
        <v/>
      </c>
      <c r="G845" s="8" t="n"/>
      <c r="H845" s="9" t="n"/>
      <c r="I845" s="9" t="n"/>
      <c r="J845" s="10">
        <f>IF(OR($H845="",$I845=""),"",ROUND($H845*$I845,0))</f>
        <v/>
      </c>
      <c r="K845" s="10">
        <f>IF(OR($B845="",$E845="",Calc!$B842=""),"",SUMIFS(CalcAmtA,CalcPartyA,$E845,CalcKeyA,"&lt;="&amp;Calc!$B842)-SUMIFS(CalcWitB,CalcPartyB,$E845,CalcKeyB,"&lt;="&amp;Calc!$B842)+SUMIFS(CalcDepB,CalcPartyB,$E845,CalcKeyB,"&lt;="&amp;Calc!$B842))</f>
        <v/>
      </c>
      <c r="L845" s="8" t="n"/>
    </row>
    <row r="846">
      <c r="A846" s="7">
        <f>IF($B846="","",COUNTA($B$9:$B846))</f>
        <v/>
      </c>
      <c r="B846" s="8" t="n"/>
      <c r="C846" s="8" t="n"/>
      <c r="D846" s="8" t="n"/>
      <c r="E846" s="8" t="n"/>
      <c r="F846" s="7">
        <f>IF($E846="","",IFERROR(IF(VLOOKUP($E846,AcctTbl,4,0)="","",VLOOKUP($E846,AcctTbl,4,0)),"—"))</f>
        <v/>
      </c>
      <c r="G846" s="8" t="n"/>
      <c r="H846" s="9" t="n"/>
      <c r="I846" s="9" t="n"/>
      <c r="J846" s="10">
        <f>IF(OR($H846="",$I846=""),"",ROUND($H846*$I846,0))</f>
        <v/>
      </c>
      <c r="K846" s="10">
        <f>IF(OR($B846="",$E846="",Calc!$B843=""),"",SUMIFS(CalcAmtA,CalcPartyA,$E846,CalcKeyA,"&lt;="&amp;Calc!$B843)-SUMIFS(CalcWitB,CalcPartyB,$E846,CalcKeyB,"&lt;="&amp;Calc!$B843)+SUMIFS(CalcDepB,CalcPartyB,$E846,CalcKeyB,"&lt;="&amp;Calc!$B843))</f>
        <v/>
      </c>
      <c r="L846" s="8" t="n"/>
    </row>
    <row r="847">
      <c r="A847" s="7">
        <f>IF($B847="","",COUNTA($B$9:$B847))</f>
        <v/>
      </c>
      <c r="B847" s="8" t="n"/>
      <c r="C847" s="8" t="n"/>
      <c r="D847" s="8" t="n"/>
      <c r="E847" s="8" t="n"/>
      <c r="F847" s="7">
        <f>IF($E847="","",IFERROR(IF(VLOOKUP($E847,AcctTbl,4,0)="","",VLOOKUP($E847,AcctTbl,4,0)),"—"))</f>
        <v/>
      </c>
      <c r="G847" s="8" t="n"/>
      <c r="H847" s="9" t="n"/>
      <c r="I847" s="9" t="n"/>
      <c r="J847" s="10">
        <f>IF(OR($H847="",$I847=""),"",ROUND($H847*$I847,0))</f>
        <v/>
      </c>
      <c r="K847" s="10">
        <f>IF(OR($B847="",$E847="",Calc!$B844=""),"",SUMIFS(CalcAmtA,CalcPartyA,$E847,CalcKeyA,"&lt;="&amp;Calc!$B844)-SUMIFS(CalcWitB,CalcPartyB,$E847,CalcKeyB,"&lt;="&amp;Calc!$B844)+SUMIFS(CalcDepB,CalcPartyB,$E847,CalcKeyB,"&lt;="&amp;Calc!$B844))</f>
        <v/>
      </c>
      <c r="L847" s="8" t="n"/>
    </row>
    <row r="848">
      <c r="A848" s="7">
        <f>IF($B848="","",COUNTA($B$9:$B848))</f>
        <v/>
      </c>
      <c r="B848" s="8" t="n"/>
      <c r="C848" s="8" t="n"/>
      <c r="D848" s="8" t="n"/>
      <c r="E848" s="8" t="n"/>
      <c r="F848" s="7">
        <f>IF($E848="","",IFERROR(IF(VLOOKUP($E848,AcctTbl,4,0)="","",VLOOKUP($E848,AcctTbl,4,0)),"—"))</f>
        <v/>
      </c>
      <c r="G848" s="8" t="n"/>
      <c r="H848" s="9" t="n"/>
      <c r="I848" s="9" t="n"/>
      <c r="J848" s="10">
        <f>IF(OR($H848="",$I848=""),"",ROUND($H848*$I848,0))</f>
        <v/>
      </c>
      <c r="K848" s="10">
        <f>IF(OR($B848="",$E848="",Calc!$B845=""),"",SUMIFS(CalcAmtA,CalcPartyA,$E848,CalcKeyA,"&lt;="&amp;Calc!$B845)-SUMIFS(CalcWitB,CalcPartyB,$E848,CalcKeyB,"&lt;="&amp;Calc!$B845)+SUMIFS(CalcDepB,CalcPartyB,$E848,CalcKeyB,"&lt;="&amp;Calc!$B845))</f>
        <v/>
      </c>
      <c r="L848" s="8" t="n"/>
    </row>
    <row r="849">
      <c r="A849" s="7">
        <f>IF($B849="","",COUNTA($B$9:$B849))</f>
        <v/>
      </c>
      <c r="B849" s="8" t="n"/>
      <c r="C849" s="8" t="n"/>
      <c r="D849" s="8" t="n"/>
      <c r="E849" s="8" t="n"/>
      <c r="F849" s="7">
        <f>IF($E849="","",IFERROR(IF(VLOOKUP($E849,AcctTbl,4,0)="","",VLOOKUP($E849,AcctTbl,4,0)),"—"))</f>
        <v/>
      </c>
      <c r="G849" s="8" t="n"/>
      <c r="H849" s="9" t="n"/>
      <c r="I849" s="9" t="n"/>
      <c r="J849" s="10">
        <f>IF(OR($H849="",$I849=""),"",ROUND($H849*$I849,0))</f>
        <v/>
      </c>
      <c r="K849" s="10">
        <f>IF(OR($B849="",$E849="",Calc!$B846=""),"",SUMIFS(CalcAmtA,CalcPartyA,$E849,CalcKeyA,"&lt;="&amp;Calc!$B846)-SUMIFS(CalcWitB,CalcPartyB,$E849,CalcKeyB,"&lt;="&amp;Calc!$B846)+SUMIFS(CalcDepB,CalcPartyB,$E849,CalcKeyB,"&lt;="&amp;Calc!$B846))</f>
        <v/>
      </c>
      <c r="L849" s="8" t="n"/>
    </row>
    <row r="850">
      <c r="A850" s="7">
        <f>IF($B850="","",COUNTA($B$9:$B850))</f>
        <v/>
      </c>
      <c r="B850" s="8" t="n"/>
      <c r="C850" s="8" t="n"/>
      <c r="D850" s="8" t="n"/>
      <c r="E850" s="8" t="n"/>
      <c r="F850" s="7">
        <f>IF($E850="","",IFERROR(IF(VLOOKUP($E850,AcctTbl,4,0)="","",VLOOKUP($E850,AcctTbl,4,0)),"—"))</f>
        <v/>
      </c>
      <c r="G850" s="8" t="n"/>
      <c r="H850" s="9" t="n"/>
      <c r="I850" s="9" t="n"/>
      <c r="J850" s="10">
        <f>IF(OR($H850="",$I850=""),"",ROUND($H850*$I850,0))</f>
        <v/>
      </c>
      <c r="K850" s="10">
        <f>IF(OR($B850="",$E850="",Calc!$B847=""),"",SUMIFS(CalcAmtA,CalcPartyA,$E850,CalcKeyA,"&lt;="&amp;Calc!$B847)-SUMIFS(CalcWitB,CalcPartyB,$E850,CalcKeyB,"&lt;="&amp;Calc!$B847)+SUMIFS(CalcDepB,CalcPartyB,$E850,CalcKeyB,"&lt;="&amp;Calc!$B847))</f>
        <v/>
      </c>
      <c r="L850" s="8" t="n"/>
    </row>
    <row r="851">
      <c r="A851" s="7">
        <f>IF($B851="","",COUNTA($B$9:$B851))</f>
        <v/>
      </c>
      <c r="B851" s="8" t="n"/>
      <c r="C851" s="8" t="n"/>
      <c r="D851" s="8" t="n"/>
      <c r="E851" s="8" t="n"/>
      <c r="F851" s="7">
        <f>IF($E851="","",IFERROR(IF(VLOOKUP($E851,AcctTbl,4,0)="","",VLOOKUP($E851,AcctTbl,4,0)),"—"))</f>
        <v/>
      </c>
      <c r="G851" s="8" t="n"/>
      <c r="H851" s="9" t="n"/>
      <c r="I851" s="9" t="n"/>
      <c r="J851" s="10">
        <f>IF(OR($H851="",$I851=""),"",ROUND($H851*$I851,0))</f>
        <v/>
      </c>
      <c r="K851" s="10">
        <f>IF(OR($B851="",$E851="",Calc!$B848=""),"",SUMIFS(CalcAmtA,CalcPartyA,$E851,CalcKeyA,"&lt;="&amp;Calc!$B848)-SUMIFS(CalcWitB,CalcPartyB,$E851,CalcKeyB,"&lt;="&amp;Calc!$B848)+SUMIFS(CalcDepB,CalcPartyB,$E851,CalcKeyB,"&lt;="&amp;Calc!$B848))</f>
        <v/>
      </c>
      <c r="L851" s="8" t="n"/>
    </row>
    <row r="852">
      <c r="A852" s="7">
        <f>IF($B852="","",COUNTA($B$9:$B852))</f>
        <v/>
      </c>
      <c r="B852" s="8" t="n"/>
      <c r="C852" s="8" t="n"/>
      <c r="D852" s="8" t="n"/>
      <c r="E852" s="8" t="n"/>
      <c r="F852" s="7">
        <f>IF($E852="","",IFERROR(IF(VLOOKUP($E852,AcctTbl,4,0)="","",VLOOKUP($E852,AcctTbl,4,0)),"—"))</f>
        <v/>
      </c>
      <c r="G852" s="8" t="n"/>
      <c r="H852" s="9" t="n"/>
      <c r="I852" s="9" t="n"/>
      <c r="J852" s="10">
        <f>IF(OR($H852="",$I852=""),"",ROUND($H852*$I852,0))</f>
        <v/>
      </c>
      <c r="K852" s="10">
        <f>IF(OR($B852="",$E852="",Calc!$B849=""),"",SUMIFS(CalcAmtA,CalcPartyA,$E852,CalcKeyA,"&lt;="&amp;Calc!$B849)-SUMIFS(CalcWitB,CalcPartyB,$E852,CalcKeyB,"&lt;="&amp;Calc!$B849)+SUMIFS(CalcDepB,CalcPartyB,$E852,CalcKeyB,"&lt;="&amp;Calc!$B849))</f>
        <v/>
      </c>
      <c r="L852" s="8" t="n"/>
    </row>
    <row r="853">
      <c r="A853" s="7">
        <f>IF($B853="","",COUNTA($B$9:$B853))</f>
        <v/>
      </c>
      <c r="B853" s="8" t="n"/>
      <c r="C853" s="8" t="n"/>
      <c r="D853" s="8" t="n"/>
      <c r="E853" s="8" t="n"/>
      <c r="F853" s="7">
        <f>IF($E853="","",IFERROR(IF(VLOOKUP($E853,AcctTbl,4,0)="","",VLOOKUP($E853,AcctTbl,4,0)),"—"))</f>
        <v/>
      </c>
      <c r="G853" s="8" t="n"/>
      <c r="H853" s="9" t="n"/>
      <c r="I853" s="9" t="n"/>
      <c r="J853" s="10">
        <f>IF(OR($H853="",$I853=""),"",ROUND($H853*$I853,0))</f>
        <v/>
      </c>
      <c r="K853" s="10">
        <f>IF(OR($B853="",$E853="",Calc!$B850=""),"",SUMIFS(CalcAmtA,CalcPartyA,$E853,CalcKeyA,"&lt;="&amp;Calc!$B850)-SUMIFS(CalcWitB,CalcPartyB,$E853,CalcKeyB,"&lt;="&amp;Calc!$B850)+SUMIFS(CalcDepB,CalcPartyB,$E853,CalcKeyB,"&lt;="&amp;Calc!$B850))</f>
        <v/>
      </c>
      <c r="L853" s="8" t="n"/>
    </row>
    <row r="854">
      <c r="A854" s="7">
        <f>IF($B854="","",COUNTA($B$9:$B854))</f>
        <v/>
      </c>
      <c r="B854" s="8" t="n"/>
      <c r="C854" s="8" t="n"/>
      <c r="D854" s="8" t="n"/>
      <c r="E854" s="8" t="n"/>
      <c r="F854" s="7">
        <f>IF($E854="","",IFERROR(IF(VLOOKUP($E854,AcctTbl,4,0)="","",VLOOKUP($E854,AcctTbl,4,0)),"—"))</f>
        <v/>
      </c>
      <c r="G854" s="8" t="n"/>
      <c r="H854" s="9" t="n"/>
      <c r="I854" s="9" t="n"/>
      <c r="J854" s="10">
        <f>IF(OR($H854="",$I854=""),"",ROUND($H854*$I854,0))</f>
        <v/>
      </c>
      <c r="K854" s="10">
        <f>IF(OR($B854="",$E854="",Calc!$B851=""),"",SUMIFS(CalcAmtA,CalcPartyA,$E854,CalcKeyA,"&lt;="&amp;Calc!$B851)-SUMIFS(CalcWitB,CalcPartyB,$E854,CalcKeyB,"&lt;="&amp;Calc!$B851)+SUMIFS(CalcDepB,CalcPartyB,$E854,CalcKeyB,"&lt;="&amp;Calc!$B851))</f>
        <v/>
      </c>
      <c r="L854" s="8" t="n"/>
    </row>
    <row r="855">
      <c r="A855" s="7">
        <f>IF($B855="","",COUNTA($B$9:$B855))</f>
        <v/>
      </c>
      <c r="B855" s="8" t="n"/>
      <c r="C855" s="8" t="n"/>
      <c r="D855" s="8" t="n"/>
      <c r="E855" s="8" t="n"/>
      <c r="F855" s="7">
        <f>IF($E855="","",IFERROR(IF(VLOOKUP($E855,AcctTbl,4,0)="","",VLOOKUP($E855,AcctTbl,4,0)),"—"))</f>
        <v/>
      </c>
      <c r="G855" s="8" t="n"/>
      <c r="H855" s="9" t="n"/>
      <c r="I855" s="9" t="n"/>
      <c r="J855" s="10">
        <f>IF(OR($H855="",$I855=""),"",ROUND($H855*$I855,0))</f>
        <v/>
      </c>
      <c r="K855" s="10">
        <f>IF(OR($B855="",$E855="",Calc!$B852=""),"",SUMIFS(CalcAmtA,CalcPartyA,$E855,CalcKeyA,"&lt;="&amp;Calc!$B852)-SUMIFS(CalcWitB,CalcPartyB,$E855,CalcKeyB,"&lt;="&amp;Calc!$B852)+SUMIFS(CalcDepB,CalcPartyB,$E855,CalcKeyB,"&lt;="&amp;Calc!$B852))</f>
        <v/>
      </c>
      <c r="L855" s="8" t="n"/>
    </row>
    <row r="856">
      <c r="A856" s="7">
        <f>IF($B856="","",COUNTA($B$9:$B856))</f>
        <v/>
      </c>
      <c r="B856" s="8" t="n"/>
      <c r="C856" s="8" t="n"/>
      <c r="D856" s="8" t="n"/>
      <c r="E856" s="8" t="n"/>
      <c r="F856" s="7">
        <f>IF($E856="","",IFERROR(IF(VLOOKUP($E856,AcctTbl,4,0)="","",VLOOKUP($E856,AcctTbl,4,0)),"—"))</f>
        <v/>
      </c>
      <c r="G856" s="8" t="n"/>
      <c r="H856" s="9" t="n"/>
      <c r="I856" s="9" t="n"/>
      <c r="J856" s="10">
        <f>IF(OR($H856="",$I856=""),"",ROUND($H856*$I856,0))</f>
        <v/>
      </c>
      <c r="K856" s="10">
        <f>IF(OR($B856="",$E856="",Calc!$B853=""),"",SUMIFS(CalcAmtA,CalcPartyA,$E856,CalcKeyA,"&lt;="&amp;Calc!$B853)-SUMIFS(CalcWitB,CalcPartyB,$E856,CalcKeyB,"&lt;="&amp;Calc!$B853)+SUMIFS(CalcDepB,CalcPartyB,$E856,CalcKeyB,"&lt;="&amp;Calc!$B853))</f>
        <v/>
      </c>
      <c r="L856" s="8" t="n"/>
    </row>
    <row r="857">
      <c r="A857" s="7">
        <f>IF($B857="","",COUNTA($B$9:$B857))</f>
        <v/>
      </c>
      <c r="B857" s="8" t="n"/>
      <c r="C857" s="8" t="n"/>
      <c r="D857" s="8" t="n"/>
      <c r="E857" s="8" t="n"/>
      <c r="F857" s="7">
        <f>IF($E857="","",IFERROR(IF(VLOOKUP($E857,AcctTbl,4,0)="","",VLOOKUP($E857,AcctTbl,4,0)),"—"))</f>
        <v/>
      </c>
      <c r="G857" s="8" t="n"/>
      <c r="H857" s="9" t="n"/>
      <c r="I857" s="9" t="n"/>
      <c r="J857" s="10">
        <f>IF(OR($H857="",$I857=""),"",ROUND($H857*$I857,0))</f>
        <v/>
      </c>
      <c r="K857" s="10">
        <f>IF(OR($B857="",$E857="",Calc!$B854=""),"",SUMIFS(CalcAmtA,CalcPartyA,$E857,CalcKeyA,"&lt;="&amp;Calc!$B854)-SUMIFS(CalcWitB,CalcPartyB,$E857,CalcKeyB,"&lt;="&amp;Calc!$B854)+SUMIFS(CalcDepB,CalcPartyB,$E857,CalcKeyB,"&lt;="&amp;Calc!$B854))</f>
        <v/>
      </c>
      <c r="L857" s="8" t="n"/>
    </row>
    <row r="858">
      <c r="A858" s="7">
        <f>IF($B858="","",COUNTA($B$9:$B858))</f>
        <v/>
      </c>
      <c r="B858" s="8" t="n"/>
      <c r="C858" s="8" t="n"/>
      <c r="D858" s="8" t="n"/>
      <c r="E858" s="8" t="n"/>
      <c r="F858" s="7">
        <f>IF($E858="","",IFERROR(IF(VLOOKUP($E858,AcctTbl,4,0)="","",VLOOKUP($E858,AcctTbl,4,0)),"—"))</f>
        <v/>
      </c>
      <c r="G858" s="8" t="n"/>
      <c r="H858" s="9" t="n"/>
      <c r="I858" s="9" t="n"/>
      <c r="J858" s="10">
        <f>IF(OR($H858="",$I858=""),"",ROUND($H858*$I858,0))</f>
        <v/>
      </c>
      <c r="K858" s="10">
        <f>IF(OR($B858="",$E858="",Calc!$B855=""),"",SUMIFS(CalcAmtA,CalcPartyA,$E858,CalcKeyA,"&lt;="&amp;Calc!$B855)-SUMIFS(CalcWitB,CalcPartyB,$E858,CalcKeyB,"&lt;="&amp;Calc!$B855)+SUMIFS(CalcDepB,CalcPartyB,$E858,CalcKeyB,"&lt;="&amp;Calc!$B855))</f>
        <v/>
      </c>
      <c r="L858" s="8" t="n"/>
    </row>
    <row r="859">
      <c r="A859" s="7">
        <f>IF($B859="","",COUNTA($B$9:$B859))</f>
        <v/>
      </c>
      <c r="B859" s="8" t="n"/>
      <c r="C859" s="8" t="n"/>
      <c r="D859" s="8" t="n"/>
      <c r="E859" s="8" t="n"/>
      <c r="F859" s="7">
        <f>IF($E859="","",IFERROR(IF(VLOOKUP($E859,AcctTbl,4,0)="","",VLOOKUP($E859,AcctTbl,4,0)),"—"))</f>
        <v/>
      </c>
      <c r="G859" s="8" t="n"/>
      <c r="H859" s="9" t="n"/>
      <c r="I859" s="9" t="n"/>
      <c r="J859" s="10">
        <f>IF(OR($H859="",$I859=""),"",ROUND($H859*$I859,0))</f>
        <v/>
      </c>
      <c r="K859" s="10">
        <f>IF(OR($B859="",$E859="",Calc!$B856=""),"",SUMIFS(CalcAmtA,CalcPartyA,$E859,CalcKeyA,"&lt;="&amp;Calc!$B856)-SUMIFS(CalcWitB,CalcPartyB,$E859,CalcKeyB,"&lt;="&amp;Calc!$B856)+SUMIFS(CalcDepB,CalcPartyB,$E859,CalcKeyB,"&lt;="&amp;Calc!$B856))</f>
        <v/>
      </c>
      <c r="L859" s="8" t="n"/>
    </row>
    <row r="860">
      <c r="A860" s="7">
        <f>IF($B860="","",COUNTA($B$9:$B860))</f>
        <v/>
      </c>
      <c r="B860" s="8" t="n"/>
      <c r="C860" s="8" t="n"/>
      <c r="D860" s="8" t="n"/>
      <c r="E860" s="8" t="n"/>
      <c r="F860" s="7">
        <f>IF($E860="","",IFERROR(IF(VLOOKUP($E860,AcctTbl,4,0)="","",VLOOKUP($E860,AcctTbl,4,0)),"—"))</f>
        <v/>
      </c>
      <c r="G860" s="8" t="n"/>
      <c r="H860" s="9" t="n"/>
      <c r="I860" s="9" t="n"/>
      <c r="J860" s="10">
        <f>IF(OR($H860="",$I860=""),"",ROUND($H860*$I860,0))</f>
        <v/>
      </c>
      <c r="K860" s="10">
        <f>IF(OR($B860="",$E860="",Calc!$B857=""),"",SUMIFS(CalcAmtA,CalcPartyA,$E860,CalcKeyA,"&lt;="&amp;Calc!$B857)-SUMIFS(CalcWitB,CalcPartyB,$E860,CalcKeyB,"&lt;="&amp;Calc!$B857)+SUMIFS(CalcDepB,CalcPartyB,$E860,CalcKeyB,"&lt;="&amp;Calc!$B857))</f>
        <v/>
      </c>
      <c r="L860" s="8" t="n"/>
    </row>
    <row r="861">
      <c r="A861" s="7">
        <f>IF($B861="","",COUNTA($B$9:$B861))</f>
        <v/>
      </c>
      <c r="B861" s="8" t="n"/>
      <c r="C861" s="8" t="n"/>
      <c r="D861" s="8" t="n"/>
      <c r="E861" s="8" t="n"/>
      <c r="F861" s="7">
        <f>IF($E861="","",IFERROR(IF(VLOOKUP($E861,AcctTbl,4,0)="","",VLOOKUP($E861,AcctTbl,4,0)),"—"))</f>
        <v/>
      </c>
      <c r="G861" s="8" t="n"/>
      <c r="H861" s="9" t="n"/>
      <c r="I861" s="9" t="n"/>
      <c r="J861" s="10">
        <f>IF(OR($H861="",$I861=""),"",ROUND($H861*$I861,0))</f>
        <v/>
      </c>
      <c r="K861" s="10">
        <f>IF(OR($B861="",$E861="",Calc!$B858=""),"",SUMIFS(CalcAmtA,CalcPartyA,$E861,CalcKeyA,"&lt;="&amp;Calc!$B858)-SUMIFS(CalcWitB,CalcPartyB,$E861,CalcKeyB,"&lt;="&amp;Calc!$B858)+SUMIFS(CalcDepB,CalcPartyB,$E861,CalcKeyB,"&lt;="&amp;Calc!$B858))</f>
        <v/>
      </c>
      <c r="L861" s="8" t="n"/>
    </row>
    <row r="862">
      <c r="A862" s="7">
        <f>IF($B862="","",COUNTA($B$9:$B862))</f>
        <v/>
      </c>
      <c r="B862" s="8" t="n"/>
      <c r="C862" s="8" t="n"/>
      <c r="D862" s="8" t="n"/>
      <c r="E862" s="8" t="n"/>
      <c r="F862" s="7">
        <f>IF($E862="","",IFERROR(IF(VLOOKUP($E862,AcctTbl,4,0)="","",VLOOKUP($E862,AcctTbl,4,0)),"—"))</f>
        <v/>
      </c>
      <c r="G862" s="8" t="n"/>
      <c r="H862" s="9" t="n"/>
      <c r="I862" s="9" t="n"/>
      <c r="J862" s="10">
        <f>IF(OR($H862="",$I862=""),"",ROUND($H862*$I862,0))</f>
        <v/>
      </c>
      <c r="K862" s="10">
        <f>IF(OR($B862="",$E862="",Calc!$B859=""),"",SUMIFS(CalcAmtA,CalcPartyA,$E862,CalcKeyA,"&lt;="&amp;Calc!$B859)-SUMIFS(CalcWitB,CalcPartyB,$E862,CalcKeyB,"&lt;="&amp;Calc!$B859)+SUMIFS(CalcDepB,CalcPartyB,$E862,CalcKeyB,"&lt;="&amp;Calc!$B859))</f>
        <v/>
      </c>
      <c r="L862" s="8" t="n"/>
    </row>
    <row r="863">
      <c r="A863" s="7">
        <f>IF($B863="","",COUNTA($B$9:$B863))</f>
        <v/>
      </c>
      <c r="B863" s="8" t="n"/>
      <c r="C863" s="8" t="n"/>
      <c r="D863" s="8" t="n"/>
      <c r="E863" s="8" t="n"/>
      <c r="F863" s="7">
        <f>IF($E863="","",IFERROR(IF(VLOOKUP($E863,AcctTbl,4,0)="","",VLOOKUP($E863,AcctTbl,4,0)),"—"))</f>
        <v/>
      </c>
      <c r="G863" s="8" t="n"/>
      <c r="H863" s="9" t="n"/>
      <c r="I863" s="9" t="n"/>
      <c r="J863" s="10">
        <f>IF(OR($H863="",$I863=""),"",ROUND($H863*$I863,0))</f>
        <v/>
      </c>
      <c r="K863" s="10">
        <f>IF(OR($B863="",$E863="",Calc!$B860=""),"",SUMIFS(CalcAmtA,CalcPartyA,$E863,CalcKeyA,"&lt;="&amp;Calc!$B860)-SUMIFS(CalcWitB,CalcPartyB,$E863,CalcKeyB,"&lt;="&amp;Calc!$B860)+SUMIFS(CalcDepB,CalcPartyB,$E863,CalcKeyB,"&lt;="&amp;Calc!$B860))</f>
        <v/>
      </c>
      <c r="L863" s="8" t="n"/>
    </row>
    <row r="864">
      <c r="A864" s="7">
        <f>IF($B864="","",COUNTA($B$9:$B864))</f>
        <v/>
      </c>
      <c r="B864" s="8" t="n"/>
      <c r="C864" s="8" t="n"/>
      <c r="D864" s="8" t="n"/>
      <c r="E864" s="8" t="n"/>
      <c r="F864" s="7">
        <f>IF($E864="","",IFERROR(IF(VLOOKUP($E864,AcctTbl,4,0)="","",VLOOKUP($E864,AcctTbl,4,0)),"—"))</f>
        <v/>
      </c>
      <c r="G864" s="8" t="n"/>
      <c r="H864" s="9" t="n"/>
      <c r="I864" s="9" t="n"/>
      <c r="J864" s="10">
        <f>IF(OR($H864="",$I864=""),"",ROUND($H864*$I864,0))</f>
        <v/>
      </c>
      <c r="K864" s="10">
        <f>IF(OR($B864="",$E864="",Calc!$B861=""),"",SUMIFS(CalcAmtA,CalcPartyA,$E864,CalcKeyA,"&lt;="&amp;Calc!$B861)-SUMIFS(CalcWitB,CalcPartyB,$E864,CalcKeyB,"&lt;="&amp;Calc!$B861)+SUMIFS(CalcDepB,CalcPartyB,$E864,CalcKeyB,"&lt;="&amp;Calc!$B861))</f>
        <v/>
      </c>
      <c r="L864" s="8" t="n"/>
    </row>
    <row r="865">
      <c r="A865" s="7">
        <f>IF($B865="","",COUNTA($B$9:$B865))</f>
        <v/>
      </c>
      <c r="B865" s="8" t="n"/>
      <c r="C865" s="8" t="n"/>
      <c r="D865" s="8" t="n"/>
      <c r="E865" s="8" t="n"/>
      <c r="F865" s="7">
        <f>IF($E865="","",IFERROR(IF(VLOOKUP($E865,AcctTbl,4,0)="","",VLOOKUP($E865,AcctTbl,4,0)),"—"))</f>
        <v/>
      </c>
      <c r="G865" s="8" t="n"/>
      <c r="H865" s="9" t="n"/>
      <c r="I865" s="9" t="n"/>
      <c r="J865" s="10">
        <f>IF(OR($H865="",$I865=""),"",ROUND($H865*$I865,0))</f>
        <v/>
      </c>
      <c r="K865" s="10">
        <f>IF(OR($B865="",$E865="",Calc!$B862=""),"",SUMIFS(CalcAmtA,CalcPartyA,$E865,CalcKeyA,"&lt;="&amp;Calc!$B862)-SUMIFS(CalcWitB,CalcPartyB,$E865,CalcKeyB,"&lt;="&amp;Calc!$B862)+SUMIFS(CalcDepB,CalcPartyB,$E865,CalcKeyB,"&lt;="&amp;Calc!$B862))</f>
        <v/>
      </c>
      <c r="L865" s="8" t="n"/>
    </row>
    <row r="866">
      <c r="A866" s="7">
        <f>IF($B866="","",COUNTA($B$9:$B866))</f>
        <v/>
      </c>
      <c r="B866" s="8" t="n"/>
      <c r="C866" s="8" t="n"/>
      <c r="D866" s="8" t="n"/>
      <c r="E866" s="8" t="n"/>
      <c r="F866" s="7">
        <f>IF($E866="","",IFERROR(IF(VLOOKUP($E866,AcctTbl,4,0)="","",VLOOKUP($E866,AcctTbl,4,0)),"—"))</f>
        <v/>
      </c>
      <c r="G866" s="8" t="n"/>
      <c r="H866" s="9" t="n"/>
      <c r="I866" s="9" t="n"/>
      <c r="J866" s="10">
        <f>IF(OR($H866="",$I866=""),"",ROUND($H866*$I866,0))</f>
        <v/>
      </c>
      <c r="K866" s="10">
        <f>IF(OR($B866="",$E866="",Calc!$B863=""),"",SUMIFS(CalcAmtA,CalcPartyA,$E866,CalcKeyA,"&lt;="&amp;Calc!$B863)-SUMIFS(CalcWitB,CalcPartyB,$E866,CalcKeyB,"&lt;="&amp;Calc!$B863)+SUMIFS(CalcDepB,CalcPartyB,$E866,CalcKeyB,"&lt;="&amp;Calc!$B863))</f>
        <v/>
      </c>
      <c r="L866" s="8" t="n"/>
    </row>
    <row r="867">
      <c r="A867" s="7">
        <f>IF($B867="","",COUNTA($B$9:$B867))</f>
        <v/>
      </c>
      <c r="B867" s="8" t="n"/>
      <c r="C867" s="8" t="n"/>
      <c r="D867" s="8" t="n"/>
      <c r="E867" s="8" t="n"/>
      <c r="F867" s="7">
        <f>IF($E867="","",IFERROR(IF(VLOOKUP($E867,AcctTbl,4,0)="","",VLOOKUP($E867,AcctTbl,4,0)),"—"))</f>
        <v/>
      </c>
      <c r="G867" s="8" t="n"/>
      <c r="H867" s="9" t="n"/>
      <c r="I867" s="9" t="n"/>
      <c r="J867" s="10">
        <f>IF(OR($H867="",$I867=""),"",ROUND($H867*$I867,0))</f>
        <v/>
      </c>
      <c r="K867" s="10">
        <f>IF(OR($B867="",$E867="",Calc!$B864=""),"",SUMIFS(CalcAmtA,CalcPartyA,$E867,CalcKeyA,"&lt;="&amp;Calc!$B864)-SUMIFS(CalcWitB,CalcPartyB,$E867,CalcKeyB,"&lt;="&amp;Calc!$B864)+SUMIFS(CalcDepB,CalcPartyB,$E867,CalcKeyB,"&lt;="&amp;Calc!$B864))</f>
        <v/>
      </c>
      <c r="L867" s="8" t="n"/>
    </row>
    <row r="868">
      <c r="A868" s="7">
        <f>IF($B868="","",COUNTA($B$9:$B868))</f>
        <v/>
      </c>
      <c r="B868" s="8" t="n"/>
      <c r="C868" s="8" t="n"/>
      <c r="D868" s="8" t="n"/>
      <c r="E868" s="8" t="n"/>
      <c r="F868" s="7">
        <f>IF($E868="","",IFERROR(IF(VLOOKUP($E868,AcctTbl,4,0)="","",VLOOKUP($E868,AcctTbl,4,0)),"—"))</f>
        <v/>
      </c>
      <c r="G868" s="8" t="n"/>
      <c r="H868" s="9" t="n"/>
      <c r="I868" s="9" t="n"/>
      <c r="J868" s="10">
        <f>IF(OR($H868="",$I868=""),"",ROUND($H868*$I868,0))</f>
        <v/>
      </c>
      <c r="K868" s="10">
        <f>IF(OR($B868="",$E868="",Calc!$B865=""),"",SUMIFS(CalcAmtA,CalcPartyA,$E868,CalcKeyA,"&lt;="&amp;Calc!$B865)-SUMIFS(CalcWitB,CalcPartyB,$E868,CalcKeyB,"&lt;="&amp;Calc!$B865)+SUMIFS(CalcDepB,CalcPartyB,$E868,CalcKeyB,"&lt;="&amp;Calc!$B865))</f>
        <v/>
      </c>
      <c r="L868" s="8" t="n"/>
    </row>
    <row r="869">
      <c r="A869" s="7">
        <f>IF($B869="","",COUNTA($B$9:$B869))</f>
        <v/>
      </c>
      <c r="B869" s="8" t="n"/>
      <c r="C869" s="8" t="n"/>
      <c r="D869" s="8" t="n"/>
      <c r="E869" s="8" t="n"/>
      <c r="F869" s="7">
        <f>IF($E869="","",IFERROR(IF(VLOOKUP($E869,AcctTbl,4,0)="","",VLOOKUP($E869,AcctTbl,4,0)),"—"))</f>
        <v/>
      </c>
      <c r="G869" s="8" t="n"/>
      <c r="H869" s="9" t="n"/>
      <c r="I869" s="9" t="n"/>
      <c r="J869" s="10">
        <f>IF(OR($H869="",$I869=""),"",ROUND($H869*$I869,0))</f>
        <v/>
      </c>
      <c r="K869" s="10">
        <f>IF(OR($B869="",$E869="",Calc!$B866=""),"",SUMIFS(CalcAmtA,CalcPartyA,$E869,CalcKeyA,"&lt;="&amp;Calc!$B866)-SUMIFS(CalcWitB,CalcPartyB,$E869,CalcKeyB,"&lt;="&amp;Calc!$B866)+SUMIFS(CalcDepB,CalcPartyB,$E869,CalcKeyB,"&lt;="&amp;Calc!$B866))</f>
        <v/>
      </c>
      <c r="L869" s="8" t="n"/>
    </row>
    <row r="870">
      <c r="A870" s="7">
        <f>IF($B870="","",COUNTA($B$9:$B870))</f>
        <v/>
      </c>
      <c r="B870" s="8" t="n"/>
      <c r="C870" s="8" t="n"/>
      <c r="D870" s="8" t="n"/>
      <c r="E870" s="8" t="n"/>
      <c r="F870" s="7">
        <f>IF($E870="","",IFERROR(IF(VLOOKUP($E870,AcctTbl,4,0)="","",VLOOKUP($E870,AcctTbl,4,0)),"—"))</f>
        <v/>
      </c>
      <c r="G870" s="8" t="n"/>
      <c r="H870" s="9" t="n"/>
      <c r="I870" s="9" t="n"/>
      <c r="J870" s="10">
        <f>IF(OR($H870="",$I870=""),"",ROUND($H870*$I870,0))</f>
        <v/>
      </c>
      <c r="K870" s="10">
        <f>IF(OR($B870="",$E870="",Calc!$B867=""),"",SUMIFS(CalcAmtA,CalcPartyA,$E870,CalcKeyA,"&lt;="&amp;Calc!$B867)-SUMIFS(CalcWitB,CalcPartyB,$E870,CalcKeyB,"&lt;="&amp;Calc!$B867)+SUMIFS(CalcDepB,CalcPartyB,$E870,CalcKeyB,"&lt;="&amp;Calc!$B867))</f>
        <v/>
      </c>
      <c r="L870" s="8" t="n"/>
    </row>
    <row r="871">
      <c r="A871" s="7">
        <f>IF($B871="","",COUNTA($B$9:$B871))</f>
        <v/>
      </c>
      <c r="B871" s="8" t="n"/>
      <c r="C871" s="8" t="n"/>
      <c r="D871" s="8" t="n"/>
      <c r="E871" s="8" t="n"/>
      <c r="F871" s="7">
        <f>IF($E871="","",IFERROR(IF(VLOOKUP($E871,AcctTbl,4,0)="","",VLOOKUP($E871,AcctTbl,4,0)),"—"))</f>
        <v/>
      </c>
      <c r="G871" s="8" t="n"/>
      <c r="H871" s="9" t="n"/>
      <c r="I871" s="9" t="n"/>
      <c r="J871" s="10">
        <f>IF(OR($H871="",$I871=""),"",ROUND($H871*$I871,0))</f>
        <v/>
      </c>
      <c r="K871" s="10">
        <f>IF(OR($B871="",$E871="",Calc!$B868=""),"",SUMIFS(CalcAmtA,CalcPartyA,$E871,CalcKeyA,"&lt;="&amp;Calc!$B868)-SUMIFS(CalcWitB,CalcPartyB,$E871,CalcKeyB,"&lt;="&amp;Calc!$B868)+SUMIFS(CalcDepB,CalcPartyB,$E871,CalcKeyB,"&lt;="&amp;Calc!$B868))</f>
        <v/>
      </c>
      <c r="L871" s="8" t="n"/>
    </row>
    <row r="872">
      <c r="A872" s="7">
        <f>IF($B872="","",COUNTA($B$9:$B872))</f>
        <v/>
      </c>
      <c r="B872" s="8" t="n"/>
      <c r="C872" s="8" t="n"/>
      <c r="D872" s="8" t="n"/>
      <c r="E872" s="8" t="n"/>
      <c r="F872" s="7">
        <f>IF($E872="","",IFERROR(IF(VLOOKUP($E872,AcctTbl,4,0)="","",VLOOKUP($E872,AcctTbl,4,0)),"—"))</f>
        <v/>
      </c>
      <c r="G872" s="8" t="n"/>
      <c r="H872" s="9" t="n"/>
      <c r="I872" s="9" t="n"/>
      <c r="J872" s="10">
        <f>IF(OR($H872="",$I872=""),"",ROUND($H872*$I872,0))</f>
        <v/>
      </c>
      <c r="K872" s="10">
        <f>IF(OR($B872="",$E872="",Calc!$B869=""),"",SUMIFS(CalcAmtA,CalcPartyA,$E872,CalcKeyA,"&lt;="&amp;Calc!$B869)-SUMIFS(CalcWitB,CalcPartyB,$E872,CalcKeyB,"&lt;="&amp;Calc!$B869)+SUMIFS(CalcDepB,CalcPartyB,$E872,CalcKeyB,"&lt;="&amp;Calc!$B869))</f>
        <v/>
      </c>
      <c r="L872" s="8" t="n"/>
    </row>
    <row r="873">
      <c r="A873" s="7">
        <f>IF($B873="","",COUNTA($B$9:$B873))</f>
        <v/>
      </c>
      <c r="B873" s="8" t="n"/>
      <c r="C873" s="8" t="n"/>
      <c r="D873" s="8" t="n"/>
      <c r="E873" s="8" t="n"/>
      <c r="F873" s="7">
        <f>IF($E873="","",IFERROR(IF(VLOOKUP($E873,AcctTbl,4,0)="","",VLOOKUP($E873,AcctTbl,4,0)),"—"))</f>
        <v/>
      </c>
      <c r="G873" s="8" t="n"/>
      <c r="H873" s="9" t="n"/>
      <c r="I873" s="9" t="n"/>
      <c r="J873" s="10">
        <f>IF(OR($H873="",$I873=""),"",ROUND($H873*$I873,0))</f>
        <v/>
      </c>
      <c r="K873" s="10">
        <f>IF(OR($B873="",$E873="",Calc!$B870=""),"",SUMIFS(CalcAmtA,CalcPartyA,$E873,CalcKeyA,"&lt;="&amp;Calc!$B870)-SUMIFS(CalcWitB,CalcPartyB,$E873,CalcKeyB,"&lt;="&amp;Calc!$B870)+SUMIFS(CalcDepB,CalcPartyB,$E873,CalcKeyB,"&lt;="&amp;Calc!$B870))</f>
        <v/>
      </c>
      <c r="L873" s="8" t="n"/>
    </row>
    <row r="874">
      <c r="A874" s="7">
        <f>IF($B874="","",COUNTA($B$9:$B874))</f>
        <v/>
      </c>
      <c r="B874" s="8" t="n"/>
      <c r="C874" s="8" t="n"/>
      <c r="D874" s="8" t="n"/>
      <c r="E874" s="8" t="n"/>
      <c r="F874" s="7">
        <f>IF($E874="","",IFERROR(IF(VLOOKUP($E874,AcctTbl,4,0)="","",VLOOKUP($E874,AcctTbl,4,0)),"—"))</f>
        <v/>
      </c>
      <c r="G874" s="8" t="n"/>
      <c r="H874" s="9" t="n"/>
      <c r="I874" s="9" t="n"/>
      <c r="J874" s="10">
        <f>IF(OR($H874="",$I874=""),"",ROUND($H874*$I874,0))</f>
        <v/>
      </c>
      <c r="K874" s="10">
        <f>IF(OR($B874="",$E874="",Calc!$B871=""),"",SUMIFS(CalcAmtA,CalcPartyA,$E874,CalcKeyA,"&lt;="&amp;Calc!$B871)-SUMIFS(CalcWitB,CalcPartyB,$E874,CalcKeyB,"&lt;="&amp;Calc!$B871)+SUMIFS(CalcDepB,CalcPartyB,$E874,CalcKeyB,"&lt;="&amp;Calc!$B871))</f>
        <v/>
      </c>
      <c r="L874" s="8" t="n"/>
    </row>
    <row r="875">
      <c r="A875" s="7">
        <f>IF($B875="","",COUNTA($B$9:$B875))</f>
        <v/>
      </c>
      <c r="B875" s="8" t="n"/>
      <c r="C875" s="8" t="n"/>
      <c r="D875" s="8" t="n"/>
      <c r="E875" s="8" t="n"/>
      <c r="F875" s="7">
        <f>IF($E875="","",IFERROR(IF(VLOOKUP($E875,AcctTbl,4,0)="","",VLOOKUP($E875,AcctTbl,4,0)),"—"))</f>
        <v/>
      </c>
      <c r="G875" s="8" t="n"/>
      <c r="H875" s="9" t="n"/>
      <c r="I875" s="9" t="n"/>
      <c r="J875" s="10">
        <f>IF(OR($H875="",$I875=""),"",ROUND($H875*$I875,0))</f>
        <v/>
      </c>
      <c r="K875" s="10">
        <f>IF(OR($B875="",$E875="",Calc!$B872=""),"",SUMIFS(CalcAmtA,CalcPartyA,$E875,CalcKeyA,"&lt;="&amp;Calc!$B872)-SUMIFS(CalcWitB,CalcPartyB,$E875,CalcKeyB,"&lt;="&amp;Calc!$B872)+SUMIFS(CalcDepB,CalcPartyB,$E875,CalcKeyB,"&lt;="&amp;Calc!$B872))</f>
        <v/>
      </c>
      <c r="L875" s="8" t="n"/>
    </row>
    <row r="876">
      <c r="A876" s="7">
        <f>IF($B876="","",COUNTA($B$9:$B876))</f>
        <v/>
      </c>
      <c r="B876" s="8" t="n"/>
      <c r="C876" s="8" t="n"/>
      <c r="D876" s="8" t="n"/>
      <c r="E876" s="8" t="n"/>
      <c r="F876" s="7">
        <f>IF($E876="","",IFERROR(IF(VLOOKUP($E876,AcctTbl,4,0)="","",VLOOKUP($E876,AcctTbl,4,0)),"—"))</f>
        <v/>
      </c>
      <c r="G876" s="8" t="n"/>
      <c r="H876" s="9" t="n"/>
      <c r="I876" s="9" t="n"/>
      <c r="J876" s="10">
        <f>IF(OR($H876="",$I876=""),"",ROUND($H876*$I876,0))</f>
        <v/>
      </c>
      <c r="K876" s="10">
        <f>IF(OR($B876="",$E876="",Calc!$B873=""),"",SUMIFS(CalcAmtA,CalcPartyA,$E876,CalcKeyA,"&lt;="&amp;Calc!$B873)-SUMIFS(CalcWitB,CalcPartyB,$E876,CalcKeyB,"&lt;="&amp;Calc!$B873)+SUMIFS(CalcDepB,CalcPartyB,$E876,CalcKeyB,"&lt;="&amp;Calc!$B873))</f>
        <v/>
      </c>
      <c r="L876" s="8" t="n"/>
    </row>
    <row r="877">
      <c r="A877" s="7">
        <f>IF($B877="","",COUNTA($B$9:$B877))</f>
        <v/>
      </c>
      <c r="B877" s="8" t="n"/>
      <c r="C877" s="8" t="n"/>
      <c r="D877" s="8" t="n"/>
      <c r="E877" s="8" t="n"/>
      <c r="F877" s="7">
        <f>IF($E877="","",IFERROR(IF(VLOOKUP($E877,AcctTbl,4,0)="","",VLOOKUP($E877,AcctTbl,4,0)),"—"))</f>
        <v/>
      </c>
      <c r="G877" s="8" t="n"/>
      <c r="H877" s="9" t="n"/>
      <c r="I877" s="9" t="n"/>
      <c r="J877" s="10">
        <f>IF(OR($H877="",$I877=""),"",ROUND($H877*$I877,0))</f>
        <v/>
      </c>
      <c r="K877" s="10">
        <f>IF(OR($B877="",$E877="",Calc!$B874=""),"",SUMIFS(CalcAmtA,CalcPartyA,$E877,CalcKeyA,"&lt;="&amp;Calc!$B874)-SUMIFS(CalcWitB,CalcPartyB,$E877,CalcKeyB,"&lt;="&amp;Calc!$B874)+SUMIFS(CalcDepB,CalcPartyB,$E877,CalcKeyB,"&lt;="&amp;Calc!$B874))</f>
        <v/>
      </c>
      <c r="L877" s="8" t="n"/>
    </row>
    <row r="878">
      <c r="A878" s="7">
        <f>IF($B878="","",COUNTA($B$9:$B878))</f>
        <v/>
      </c>
      <c r="B878" s="8" t="n"/>
      <c r="C878" s="8" t="n"/>
      <c r="D878" s="8" t="n"/>
      <c r="E878" s="8" t="n"/>
      <c r="F878" s="7">
        <f>IF($E878="","",IFERROR(IF(VLOOKUP($E878,AcctTbl,4,0)="","",VLOOKUP($E878,AcctTbl,4,0)),"—"))</f>
        <v/>
      </c>
      <c r="G878" s="8" t="n"/>
      <c r="H878" s="9" t="n"/>
      <c r="I878" s="9" t="n"/>
      <c r="J878" s="10">
        <f>IF(OR($H878="",$I878=""),"",ROUND($H878*$I878,0))</f>
        <v/>
      </c>
      <c r="K878" s="10">
        <f>IF(OR($B878="",$E878="",Calc!$B875=""),"",SUMIFS(CalcAmtA,CalcPartyA,$E878,CalcKeyA,"&lt;="&amp;Calc!$B875)-SUMIFS(CalcWitB,CalcPartyB,$E878,CalcKeyB,"&lt;="&amp;Calc!$B875)+SUMIFS(CalcDepB,CalcPartyB,$E878,CalcKeyB,"&lt;="&amp;Calc!$B875))</f>
        <v/>
      </c>
      <c r="L878" s="8" t="n"/>
    </row>
    <row r="879">
      <c r="A879" s="7">
        <f>IF($B879="","",COUNTA($B$9:$B879))</f>
        <v/>
      </c>
      <c r="B879" s="8" t="n"/>
      <c r="C879" s="8" t="n"/>
      <c r="D879" s="8" t="n"/>
      <c r="E879" s="8" t="n"/>
      <c r="F879" s="7">
        <f>IF($E879="","",IFERROR(IF(VLOOKUP($E879,AcctTbl,4,0)="","",VLOOKUP($E879,AcctTbl,4,0)),"—"))</f>
        <v/>
      </c>
      <c r="G879" s="8" t="n"/>
      <c r="H879" s="9" t="n"/>
      <c r="I879" s="9" t="n"/>
      <c r="J879" s="10">
        <f>IF(OR($H879="",$I879=""),"",ROUND($H879*$I879,0))</f>
        <v/>
      </c>
      <c r="K879" s="10">
        <f>IF(OR($B879="",$E879="",Calc!$B876=""),"",SUMIFS(CalcAmtA,CalcPartyA,$E879,CalcKeyA,"&lt;="&amp;Calc!$B876)-SUMIFS(CalcWitB,CalcPartyB,$E879,CalcKeyB,"&lt;="&amp;Calc!$B876)+SUMIFS(CalcDepB,CalcPartyB,$E879,CalcKeyB,"&lt;="&amp;Calc!$B876))</f>
        <v/>
      </c>
      <c r="L879" s="8" t="n"/>
    </row>
    <row r="880">
      <c r="A880" s="7">
        <f>IF($B880="","",COUNTA($B$9:$B880))</f>
        <v/>
      </c>
      <c r="B880" s="8" t="n"/>
      <c r="C880" s="8" t="n"/>
      <c r="D880" s="8" t="n"/>
      <c r="E880" s="8" t="n"/>
      <c r="F880" s="7">
        <f>IF($E880="","",IFERROR(IF(VLOOKUP($E880,AcctTbl,4,0)="","",VLOOKUP($E880,AcctTbl,4,0)),"—"))</f>
        <v/>
      </c>
      <c r="G880" s="8" t="n"/>
      <c r="H880" s="9" t="n"/>
      <c r="I880" s="9" t="n"/>
      <c r="J880" s="10">
        <f>IF(OR($H880="",$I880=""),"",ROUND($H880*$I880,0))</f>
        <v/>
      </c>
      <c r="K880" s="10">
        <f>IF(OR($B880="",$E880="",Calc!$B877=""),"",SUMIFS(CalcAmtA,CalcPartyA,$E880,CalcKeyA,"&lt;="&amp;Calc!$B877)-SUMIFS(CalcWitB,CalcPartyB,$E880,CalcKeyB,"&lt;="&amp;Calc!$B877)+SUMIFS(CalcDepB,CalcPartyB,$E880,CalcKeyB,"&lt;="&amp;Calc!$B877))</f>
        <v/>
      </c>
      <c r="L880" s="8" t="n"/>
    </row>
    <row r="881">
      <c r="A881" s="7">
        <f>IF($B881="","",COUNTA($B$9:$B881))</f>
        <v/>
      </c>
      <c r="B881" s="8" t="n"/>
      <c r="C881" s="8" t="n"/>
      <c r="D881" s="8" t="n"/>
      <c r="E881" s="8" t="n"/>
      <c r="F881" s="7">
        <f>IF($E881="","",IFERROR(IF(VLOOKUP($E881,AcctTbl,4,0)="","",VLOOKUP($E881,AcctTbl,4,0)),"—"))</f>
        <v/>
      </c>
      <c r="G881" s="8" t="n"/>
      <c r="H881" s="9" t="n"/>
      <c r="I881" s="9" t="n"/>
      <c r="J881" s="10">
        <f>IF(OR($H881="",$I881=""),"",ROUND($H881*$I881,0))</f>
        <v/>
      </c>
      <c r="K881" s="10">
        <f>IF(OR($B881="",$E881="",Calc!$B878=""),"",SUMIFS(CalcAmtA,CalcPartyA,$E881,CalcKeyA,"&lt;="&amp;Calc!$B878)-SUMIFS(CalcWitB,CalcPartyB,$E881,CalcKeyB,"&lt;="&amp;Calc!$B878)+SUMIFS(CalcDepB,CalcPartyB,$E881,CalcKeyB,"&lt;="&amp;Calc!$B878))</f>
        <v/>
      </c>
      <c r="L881" s="8" t="n"/>
    </row>
    <row r="882">
      <c r="A882" s="7">
        <f>IF($B882="","",COUNTA($B$9:$B882))</f>
        <v/>
      </c>
      <c r="B882" s="8" t="n"/>
      <c r="C882" s="8" t="n"/>
      <c r="D882" s="8" t="n"/>
      <c r="E882" s="8" t="n"/>
      <c r="F882" s="7">
        <f>IF($E882="","",IFERROR(IF(VLOOKUP($E882,AcctTbl,4,0)="","",VLOOKUP($E882,AcctTbl,4,0)),"—"))</f>
        <v/>
      </c>
      <c r="G882" s="8" t="n"/>
      <c r="H882" s="9" t="n"/>
      <c r="I882" s="9" t="n"/>
      <c r="J882" s="10">
        <f>IF(OR($H882="",$I882=""),"",ROUND($H882*$I882,0))</f>
        <v/>
      </c>
      <c r="K882" s="10">
        <f>IF(OR($B882="",$E882="",Calc!$B879=""),"",SUMIFS(CalcAmtA,CalcPartyA,$E882,CalcKeyA,"&lt;="&amp;Calc!$B879)-SUMIFS(CalcWitB,CalcPartyB,$E882,CalcKeyB,"&lt;="&amp;Calc!$B879)+SUMIFS(CalcDepB,CalcPartyB,$E882,CalcKeyB,"&lt;="&amp;Calc!$B879))</f>
        <v/>
      </c>
      <c r="L882" s="8" t="n"/>
    </row>
    <row r="883">
      <c r="A883" s="7">
        <f>IF($B883="","",COUNTA($B$9:$B883))</f>
        <v/>
      </c>
      <c r="B883" s="8" t="n"/>
      <c r="C883" s="8" t="n"/>
      <c r="D883" s="8" t="n"/>
      <c r="E883" s="8" t="n"/>
      <c r="F883" s="7">
        <f>IF($E883="","",IFERROR(IF(VLOOKUP($E883,AcctTbl,4,0)="","",VLOOKUP($E883,AcctTbl,4,0)),"—"))</f>
        <v/>
      </c>
      <c r="G883" s="8" t="n"/>
      <c r="H883" s="9" t="n"/>
      <c r="I883" s="9" t="n"/>
      <c r="J883" s="10">
        <f>IF(OR($H883="",$I883=""),"",ROUND($H883*$I883,0))</f>
        <v/>
      </c>
      <c r="K883" s="10">
        <f>IF(OR($B883="",$E883="",Calc!$B880=""),"",SUMIFS(CalcAmtA,CalcPartyA,$E883,CalcKeyA,"&lt;="&amp;Calc!$B880)-SUMIFS(CalcWitB,CalcPartyB,$E883,CalcKeyB,"&lt;="&amp;Calc!$B880)+SUMIFS(CalcDepB,CalcPartyB,$E883,CalcKeyB,"&lt;="&amp;Calc!$B880))</f>
        <v/>
      </c>
      <c r="L883" s="8" t="n"/>
    </row>
    <row r="884">
      <c r="A884" s="7">
        <f>IF($B884="","",COUNTA($B$9:$B884))</f>
        <v/>
      </c>
      <c r="B884" s="8" t="n"/>
      <c r="C884" s="8" t="n"/>
      <c r="D884" s="8" t="n"/>
      <c r="E884" s="8" t="n"/>
      <c r="F884" s="7">
        <f>IF($E884="","",IFERROR(IF(VLOOKUP($E884,AcctTbl,4,0)="","",VLOOKUP($E884,AcctTbl,4,0)),"—"))</f>
        <v/>
      </c>
      <c r="G884" s="8" t="n"/>
      <c r="H884" s="9" t="n"/>
      <c r="I884" s="9" t="n"/>
      <c r="J884" s="10">
        <f>IF(OR($H884="",$I884=""),"",ROUND($H884*$I884,0))</f>
        <v/>
      </c>
      <c r="K884" s="10">
        <f>IF(OR($B884="",$E884="",Calc!$B881=""),"",SUMIFS(CalcAmtA,CalcPartyA,$E884,CalcKeyA,"&lt;="&amp;Calc!$B881)-SUMIFS(CalcWitB,CalcPartyB,$E884,CalcKeyB,"&lt;="&amp;Calc!$B881)+SUMIFS(CalcDepB,CalcPartyB,$E884,CalcKeyB,"&lt;="&amp;Calc!$B881))</f>
        <v/>
      </c>
      <c r="L884" s="8" t="n"/>
    </row>
    <row r="885">
      <c r="A885" s="7">
        <f>IF($B885="","",COUNTA($B$9:$B885))</f>
        <v/>
      </c>
      <c r="B885" s="8" t="n"/>
      <c r="C885" s="8" t="n"/>
      <c r="D885" s="8" t="n"/>
      <c r="E885" s="8" t="n"/>
      <c r="F885" s="7">
        <f>IF($E885="","",IFERROR(IF(VLOOKUP($E885,AcctTbl,4,0)="","",VLOOKUP($E885,AcctTbl,4,0)),"—"))</f>
        <v/>
      </c>
      <c r="G885" s="8" t="n"/>
      <c r="H885" s="9" t="n"/>
      <c r="I885" s="9" t="n"/>
      <c r="J885" s="10">
        <f>IF(OR($H885="",$I885=""),"",ROUND($H885*$I885,0))</f>
        <v/>
      </c>
      <c r="K885" s="10">
        <f>IF(OR($B885="",$E885="",Calc!$B882=""),"",SUMIFS(CalcAmtA,CalcPartyA,$E885,CalcKeyA,"&lt;="&amp;Calc!$B882)-SUMIFS(CalcWitB,CalcPartyB,$E885,CalcKeyB,"&lt;="&amp;Calc!$B882)+SUMIFS(CalcDepB,CalcPartyB,$E885,CalcKeyB,"&lt;="&amp;Calc!$B882))</f>
        <v/>
      </c>
      <c r="L885" s="8" t="n"/>
    </row>
    <row r="886">
      <c r="A886" s="7">
        <f>IF($B886="","",COUNTA($B$9:$B886))</f>
        <v/>
      </c>
      <c r="B886" s="8" t="n"/>
      <c r="C886" s="8" t="n"/>
      <c r="D886" s="8" t="n"/>
      <c r="E886" s="8" t="n"/>
      <c r="F886" s="7">
        <f>IF($E886="","",IFERROR(IF(VLOOKUP($E886,AcctTbl,4,0)="","",VLOOKUP($E886,AcctTbl,4,0)),"—"))</f>
        <v/>
      </c>
      <c r="G886" s="8" t="n"/>
      <c r="H886" s="9" t="n"/>
      <c r="I886" s="9" t="n"/>
      <c r="J886" s="10">
        <f>IF(OR($H886="",$I886=""),"",ROUND($H886*$I886,0))</f>
        <v/>
      </c>
      <c r="K886" s="10">
        <f>IF(OR($B886="",$E886="",Calc!$B883=""),"",SUMIFS(CalcAmtA,CalcPartyA,$E886,CalcKeyA,"&lt;="&amp;Calc!$B883)-SUMIFS(CalcWitB,CalcPartyB,$E886,CalcKeyB,"&lt;="&amp;Calc!$B883)+SUMIFS(CalcDepB,CalcPartyB,$E886,CalcKeyB,"&lt;="&amp;Calc!$B883))</f>
        <v/>
      </c>
      <c r="L886" s="8" t="n"/>
    </row>
    <row r="887">
      <c r="A887" s="7">
        <f>IF($B887="","",COUNTA($B$9:$B887))</f>
        <v/>
      </c>
      <c r="B887" s="8" t="n"/>
      <c r="C887" s="8" t="n"/>
      <c r="D887" s="8" t="n"/>
      <c r="E887" s="8" t="n"/>
      <c r="F887" s="7">
        <f>IF($E887="","",IFERROR(IF(VLOOKUP($E887,AcctTbl,4,0)="","",VLOOKUP($E887,AcctTbl,4,0)),"—"))</f>
        <v/>
      </c>
      <c r="G887" s="8" t="n"/>
      <c r="H887" s="9" t="n"/>
      <c r="I887" s="9" t="n"/>
      <c r="J887" s="10">
        <f>IF(OR($H887="",$I887=""),"",ROUND($H887*$I887,0))</f>
        <v/>
      </c>
      <c r="K887" s="10">
        <f>IF(OR($B887="",$E887="",Calc!$B884=""),"",SUMIFS(CalcAmtA,CalcPartyA,$E887,CalcKeyA,"&lt;="&amp;Calc!$B884)-SUMIFS(CalcWitB,CalcPartyB,$E887,CalcKeyB,"&lt;="&amp;Calc!$B884)+SUMIFS(CalcDepB,CalcPartyB,$E887,CalcKeyB,"&lt;="&amp;Calc!$B884))</f>
        <v/>
      </c>
      <c r="L887" s="8" t="n"/>
    </row>
    <row r="888">
      <c r="A888" s="7">
        <f>IF($B888="","",COUNTA($B$9:$B888))</f>
        <v/>
      </c>
      <c r="B888" s="8" t="n"/>
      <c r="C888" s="8" t="n"/>
      <c r="D888" s="8" t="n"/>
      <c r="E888" s="8" t="n"/>
      <c r="F888" s="7">
        <f>IF($E888="","",IFERROR(IF(VLOOKUP($E888,AcctTbl,4,0)="","",VLOOKUP($E888,AcctTbl,4,0)),"—"))</f>
        <v/>
      </c>
      <c r="G888" s="8" t="n"/>
      <c r="H888" s="9" t="n"/>
      <c r="I888" s="9" t="n"/>
      <c r="J888" s="10">
        <f>IF(OR($H888="",$I888=""),"",ROUND($H888*$I888,0))</f>
        <v/>
      </c>
      <c r="K888" s="10">
        <f>IF(OR($B888="",$E888="",Calc!$B885=""),"",SUMIFS(CalcAmtA,CalcPartyA,$E888,CalcKeyA,"&lt;="&amp;Calc!$B885)-SUMIFS(CalcWitB,CalcPartyB,$E888,CalcKeyB,"&lt;="&amp;Calc!$B885)+SUMIFS(CalcDepB,CalcPartyB,$E888,CalcKeyB,"&lt;="&amp;Calc!$B885))</f>
        <v/>
      </c>
      <c r="L888" s="8" t="n"/>
    </row>
    <row r="889">
      <c r="A889" s="7">
        <f>IF($B889="","",COUNTA($B$9:$B889))</f>
        <v/>
      </c>
      <c r="B889" s="8" t="n"/>
      <c r="C889" s="8" t="n"/>
      <c r="D889" s="8" t="n"/>
      <c r="E889" s="8" t="n"/>
      <c r="F889" s="7">
        <f>IF($E889="","",IFERROR(IF(VLOOKUP($E889,AcctTbl,4,0)="","",VLOOKUP($E889,AcctTbl,4,0)),"—"))</f>
        <v/>
      </c>
      <c r="G889" s="8" t="n"/>
      <c r="H889" s="9" t="n"/>
      <c r="I889" s="9" t="n"/>
      <c r="J889" s="10">
        <f>IF(OR($H889="",$I889=""),"",ROUND($H889*$I889,0))</f>
        <v/>
      </c>
      <c r="K889" s="10">
        <f>IF(OR($B889="",$E889="",Calc!$B886=""),"",SUMIFS(CalcAmtA,CalcPartyA,$E889,CalcKeyA,"&lt;="&amp;Calc!$B886)-SUMIFS(CalcWitB,CalcPartyB,$E889,CalcKeyB,"&lt;="&amp;Calc!$B886)+SUMIFS(CalcDepB,CalcPartyB,$E889,CalcKeyB,"&lt;="&amp;Calc!$B886))</f>
        <v/>
      </c>
      <c r="L889" s="8" t="n"/>
    </row>
    <row r="890">
      <c r="A890" s="7">
        <f>IF($B890="","",COUNTA($B$9:$B890))</f>
        <v/>
      </c>
      <c r="B890" s="8" t="n"/>
      <c r="C890" s="8" t="n"/>
      <c r="D890" s="8" t="n"/>
      <c r="E890" s="8" t="n"/>
      <c r="F890" s="7">
        <f>IF($E890="","",IFERROR(IF(VLOOKUP($E890,AcctTbl,4,0)="","",VLOOKUP($E890,AcctTbl,4,0)),"—"))</f>
        <v/>
      </c>
      <c r="G890" s="8" t="n"/>
      <c r="H890" s="9" t="n"/>
      <c r="I890" s="9" t="n"/>
      <c r="J890" s="10">
        <f>IF(OR($H890="",$I890=""),"",ROUND($H890*$I890,0))</f>
        <v/>
      </c>
      <c r="K890" s="10">
        <f>IF(OR($B890="",$E890="",Calc!$B887=""),"",SUMIFS(CalcAmtA,CalcPartyA,$E890,CalcKeyA,"&lt;="&amp;Calc!$B887)-SUMIFS(CalcWitB,CalcPartyB,$E890,CalcKeyB,"&lt;="&amp;Calc!$B887)+SUMIFS(CalcDepB,CalcPartyB,$E890,CalcKeyB,"&lt;="&amp;Calc!$B887))</f>
        <v/>
      </c>
      <c r="L890" s="8" t="n"/>
    </row>
    <row r="891">
      <c r="A891" s="7">
        <f>IF($B891="","",COUNTA($B$9:$B891))</f>
        <v/>
      </c>
      <c r="B891" s="8" t="n"/>
      <c r="C891" s="8" t="n"/>
      <c r="D891" s="8" t="n"/>
      <c r="E891" s="8" t="n"/>
      <c r="F891" s="7">
        <f>IF($E891="","",IFERROR(IF(VLOOKUP($E891,AcctTbl,4,0)="","",VLOOKUP($E891,AcctTbl,4,0)),"—"))</f>
        <v/>
      </c>
      <c r="G891" s="8" t="n"/>
      <c r="H891" s="9" t="n"/>
      <c r="I891" s="9" t="n"/>
      <c r="J891" s="10">
        <f>IF(OR($H891="",$I891=""),"",ROUND($H891*$I891,0))</f>
        <v/>
      </c>
      <c r="K891" s="10">
        <f>IF(OR($B891="",$E891="",Calc!$B888=""),"",SUMIFS(CalcAmtA,CalcPartyA,$E891,CalcKeyA,"&lt;="&amp;Calc!$B888)-SUMIFS(CalcWitB,CalcPartyB,$E891,CalcKeyB,"&lt;="&amp;Calc!$B888)+SUMIFS(CalcDepB,CalcPartyB,$E891,CalcKeyB,"&lt;="&amp;Calc!$B888))</f>
        <v/>
      </c>
      <c r="L891" s="8" t="n"/>
    </row>
    <row r="892">
      <c r="A892" s="7">
        <f>IF($B892="","",COUNTA($B$9:$B892))</f>
        <v/>
      </c>
      <c r="B892" s="8" t="n"/>
      <c r="C892" s="8" t="n"/>
      <c r="D892" s="8" t="n"/>
      <c r="E892" s="8" t="n"/>
      <c r="F892" s="7">
        <f>IF($E892="","",IFERROR(IF(VLOOKUP($E892,AcctTbl,4,0)="","",VLOOKUP($E892,AcctTbl,4,0)),"—"))</f>
        <v/>
      </c>
      <c r="G892" s="8" t="n"/>
      <c r="H892" s="9" t="n"/>
      <c r="I892" s="9" t="n"/>
      <c r="J892" s="10">
        <f>IF(OR($H892="",$I892=""),"",ROUND($H892*$I892,0))</f>
        <v/>
      </c>
      <c r="K892" s="10">
        <f>IF(OR($B892="",$E892="",Calc!$B889=""),"",SUMIFS(CalcAmtA,CalcPartyA,$E892,CalcKeyA,"&lt;="&amp;Calc!$B889)-SUMIFS(CalcWitB,CalcPartyB,$E892,CalcKeyB,"&lt;="&amp;Calc!$B889)+SUMIFS(CalcDepB,CalcPartyB,$E892,CalcKeyB,"&lt;="&amp;Calc!$B889))</f>
        <v/>
      </c>
      <c r="L892" s="8" t="n"/>
    </row>
    <row r="893">
      <c r="A893" s="7">
        <f>IF($B893="","",COUNTA($B$9:$B893))</f>
        <v/>
      </c>
      <c r="B893" s="8" t="n"/>
      <c r="C893" s="8" t="n"/>
      <c r="D893" s="8" t="n"/>
      <c r="E893" s="8" t="n"/>
      <c r="F893" s="7">
        <f>IF($E893="","",IFERROR(IF(VLOOKUP($E893,AcctTbl,4,0)="","",VLOOKUP($E893,AcctTbl,4,0)),"—"))</f>
        <v/>
      </c>
      <c r="G893" s="8" t="n"/>
      <c r="H893" s="9" t="n"/>
      <c r="I893" s="9" t="n"/>
      <c r="J893" s="10">
        <f>IF(OR($H893="",$I893=""),"",ROUND($H893*$I893,0))</f>
        <v/>
      </c>
      <c r="K893" s="10">
        <f>IF(OR($B893="",$E893="",Calc!$B890=""),"",SUMIFS(CalcAmtA,CalcPartyA,$E893,CalcKeyA,"&lt;="&amp;Calc!$B890)-SUMIFS(CalcWitB,CalcPartyB,$E893,CalcKeyB,"&lt;="&amp;Calc!$B890)+SUMIFS(CalcDepB,CalcPartyB,$E893,CalcKeyB,"&lt;="&amp;Calc!$B890))</f>
        <v/>
      </c>
      <c r="L893" s="8" t="n"/>
    </row>
    <row r="894">
      <c r="A894" s="7">
        <f>IF($B894="","",COUNTA($B$9:$B894))</f>
        <v/>
      </c>
      <c r="B894" s="8" t="n"/>
      <c r="C894" s="8" t="n"/>
      <c r="D894" s="8" t="n"/>
      <c r="E894" s="8" t="n"/>
      <c r="F894" s="7">
        <f>IF($E894="","",IFERROR(IF(VLOOKUP($E894,AcctTbl,4,0)="","",VLOOKUP($E894,AcctTbl,4,0)),"—"))</f>
        <v/>
      </c>
      <c r="G894" s="8" t="n"/>
      <c r="H894" s="9" t="n"/>
      <c r="I894" s="9" t="n"/>
      <c r="J894" s="10">
        <f>IF(OR($H894="",$I894=""),"",ROUND($H894*$I894,0))</f>
        <v/>
      </c>
      <c r="K894" s="10">
        <f>IF(OR($B894="",$E894="",Calc!$B891=""),"",SUMIFS(CalcAmtA,CalcPartyA,$E894,CalcKeyA,"&lt;="&amp;Calc!$B891)-SUMIFS(CalcWitB,CalcPartyB,$E894,CalcKeyB,"&lt;="&amp;Calc!$B891)+SUMIFS(CalcDepB,CalcPartyB,$E894,CalcKeyB,"&lt;="&amp;Calc!$B891))</f>
        <v/>
      </c>
      <c r="L894" s="8" t="n"/>
    </row>
    <row r="895">
      <c r="A895" s="7">
        <f>IF($B895="","",COUNTA($B$9:$B895))</f>
        <v/>
      </c>
      <c r="B895" s="8" t="n"/>
      <c r="C895" s="8" t="n"/>
      <c r="D895" s="8" t="n"/>
      <c r="E895" s="8" t="n"/>
      <c r="F895" s="7">
        <f>IF($E895="","",IFERROR(IF(VLOOKUP($E895,AcctTbl,4,0)="","",VLOOKUP($E895,AcctTbl,4,0)),"—"))</f>
        <v/>
      </c>
      <c r="G895" s="8" t="n"/>
      <c r="H895" s="9" t="n"/>
      <c r="I895" s="9" t="n"/>
      <c r="J895" s="10">
        <f>IF(OR($H895="",$I895=""),"",ROUND($H895*$I895,0))</f>
        <v/>
      </c>
      <c r="K895" s="10">
        <f>IF(OR($B895="",$E895="",Calc!$B892=""),"",SUMIFS(CalcAmtA,CalcPartyA,$E895,CalcKeyA,"&lt;="&amp;Calc!$B892)-SUMIFS(CalcWitB,CalcPartyB,$E895,CalcKeyB,"&lt;="&amp;Calc!$B892)+SUMIFS(CalcDepB,CalcPartyB,$E895,CalcKeyB,"&lt;="&amp;Calc!$B892))</f>
        <v/>
      </c>
      <c r="L895" s="8" t="n"/>
    </row>
    <row r="896">
      <c r="A896" s="7">
        <f>IF($B896="","",COUNTA($B$9:$B896))</f>
        <v/>
      </c>
      <c r="B896" s="8" t="n"/>
      <c r="C896" s="8" t="n"/>
      <c r="D896" s="8" t="n"/>
      <c r="E896" s="8" t="n"/>
      <c r="F896" s="7">
        <f>IF($E896="","",IFERROR(IF(VLOOKUP($E896,AcctTbl,4,0)="","",VLOOKUP($E896,AcctTbl,4,0)),"—"))</f>
        <v/>
      </c>
      <c r="G896" s="8" t="n"/>
      <c r="H896" s="9" t="n"/>
      <c r="I896" s="9" t="n"/>
      <c r="J896" s="10">
        <f>IF(OR($H896="",$I896=""),"",ROUND($H896*$I896,0))</f>
        <v/>
      </c>
      <c r="K896" s="10">
        <f>IF(OR($B896="",$E896="",Calc!$B893=""),"",SUMIFS(CalcAmtA,CalcPartyA,$E896,CalcKeyA,"&lt;="&amp;Calc!$B893)-SUMIFS(CalcWitB,CalcPartyB,$E896,CalcKeyB,"&lt;="&amp;Calc!$B893)+SUMIFS(CalcDepB,CalcPartyB,$E896,CalcKeyB,"&lt;="&amp;Calc!$B893))</f>
        <v/>
      </c>
      <c r="L896" s="8" t="n"/>
    </row>
    <row r="897">
      <c r="A897" s="7">
        <f>IF($B897="","",COUNTA($B$9:$B897))</f>
        <v/>
      </c>
      <c r="B897" s="8" t="n"/>
      <c r="C897" s="8" t="n"/>
      <c r="D897" s="8" t="n"/>
      <c r="E897" s="8" t="n"/>
      <c r="F897" s="7">
        <f>IF($E897="","",IFERROR(IF(VLOOKUP($E897,AcctTbl,4,0)="","",VLOOKUP($E897,AcctTbl,4,0)),"—"))</f>
        <v/>
      </c>
      <c r="G897" s="8" t="n"/>
      <c r="H897" s="9" t="n"/>
      <c r="I897" s="9" t="n"/>
      <c r="J897" s="10">
        <f>IF(OR($H897="",$I897=""),"",ROUND($H897*$I897,0))</f>
        <v/>
      </c>
      <c r="K897" s="10">
        <f>IF(OR($B897="",$E897="",Calc!$B894=""),"",SUMIFS(CalcAmtA,CalcPartyA,$E897,CalcKeyA,"&lt;="&amp;Calc!$B894)-SUMIFS(CalcWitB,CalcPartyB,$E897,CalcKeyB,"&lt;="&amp;Calc!$B894)+SUMIFS(CalcDepB,CalcPartyB,$E897,CalcKeyB,"&lt;="&amp;Calc!$B894))</f>
        <v/>
      </c>
      <c r="L897" s="8" t="n"/>
    </row>
    <row r="898">
      <c r="A898" s="7">
        <f>IF($B898="","",COUNTA($B$9:$B898))</f>
        <v/>
      </c>
      <c r="B898" s="8" t="n"/>
      <c r="C898" s="8" t="n"/>
      <c r="D898" s="8" t="n"/>
      <c r="E898" s="8" t="n"/>
      <c r="F898" s="7">
        <f>IF($E898="","",IFERROR(IF(VLOOKUP($E898,AcctTbl,4,0)="","",VLOOKUP($E898,AcctTbl,4,0)),"—"))</f>
        <v/>
      </c>
      <c r="G898" s="8" t="n"/>
      <c r="H898" s="9" t="n"/>
      <c r="I898" s="9" t="n"/>
      <c r="J898" s="10">
        <f>IF(OR($H898="",$I898=""),"",ROUND($H898*$I898,0))</f>
        <v/>
      </c>
      <c r="K898" s="10">
        <f>IF(OR($B898="",$E898="",Calc!$B895=""),"",SUMIFS(CalcAmtA,CalcPartyA,$E898,CalcKeyA,"&lt;="&amp;Calc!$B895)-SUMIFS(CalcWitB,CalcPartyB,$E898,CalcKeyB,"&lt;="&amp;Calc!$B895)+SUMIFS(CalcDepB,CalcPartyB,$E898,CalcKeyB,"&lt;="&amp;Calc!$B895))</f>
        <v/>
      </c>
      <c r="L898" s="8" t="n"/>
    </row>
    <row r="899">
      <c r="A899" s="7">
        <f>IF($B899="","",COUNTA($B$9:$B899))</f>
        <v/>
      </c>
      <c r="B899" s="8" t="n"/>
      <c r="C899" s="8" t="n"/>
      <c r="D899" s="8" t="n"/>
      <c r="E899" s="8" t="n"/>
      <c r="F899" s="7">
        <f>IF($E899="","",IFERROR(IF(VLOOKUP($E899,AcctTbl,4,0)="","",VLOOKUP($E899,AcctTbl,4,0)),"—"))</f>
        <v/>
      </c>
      <c r="G899" s="8" t="n"/>
      <c r="H899" s="9" t="n"/>
      <c r="I899" s="9" t="n"/>
      <c r="J899" s="10">
        <f>IF(OR($H899="",$I899=""),"",ROUND($H899*$I899,0))</f>
        <v/>
      </c>
      <c r="K899" s="10">
        <f>IF(OR($B899="",$E899="",Calc!$B896=""),"",SUMIFS(CalcAmtA,CalcPartyA,$E899,CalcKeyA,"&lt;="&amp;Calc!$B896)-SUMIFS(CalcWitB,CalcPartyB,$E899,CalcKeyB,"&lt;="&amp;Calc!$B896)+SUMIFS(CalcDepB,CalcPartyB,$E899,CalcKeyB,"&lt;="&amp;Calc!$B896))</f>
        <v/>
      </c>
      <c r="L899" s="8" t="n"/>
    </row>
    <row r="900">
      <c r="A900" s="7">
        <f>IF($B900="","",COUNTA($B$9:$B900))</f>
        <v/>
      </c>
      <c r="B900" s="8" t="n"/>
      <c r="C900" s="8" t="n"/>
      <c r="D900" s="8" t="n"/>
      <c r="E900" s="8" t="n"/>
      <c r="F900" s="7">
        <f>IF($E900="","",IFERROR(IF(VLOOKUP($E900,AcctTbl,4,0)="","",VLOOKUP($E900,AcctTbl,4,0)),"—"))</f>
        <v/>
      </c>
      <c r="G900" s="8" t="n"/>
      <c r="H900" s="9" t="n"/>
      <c r="I900" s="9" t="n"/>
      <c r="J900" s="10">
        <f>IF(OR($H900="",$I900=""),"",ROUND($H900*$I900,0))</f>
        <v/>
      </c>
      <c r="K900" s="10">
        <f>IF(OR($B900="",$E900="",Calc!$B897=""),"",SUMIFS(CalcAmtA,CalcPartyA,$E900,CalcKeyA,"&lt;="&amp;Calc!$B897)-SUMIFS(CalcWitB,CalcPartyB,$E900,CalcKeyB,"&lt;="&amp;Calc!$B897)+SUMIFS(CalcDepB,CalcPartyB,$E900,CalcKeyB,"&lt;="&amp;Calc!$B897))</f>
        <v/>
      </c>
      <c r="L900" s="8" t="n"/>
    </row>
    <row r="901">
      <c r="A901" s="7">
        <f>IF($B901="","",COUNTA($B$9:$B901))</f>
        <v/>
      </c>
      <c r="B901" s="8" t="n"/>
      <c r="C901" s="8" t="n"/>
      <c r="D901" s="8" t="n"/>
      <c r="E901" s="8" t="n"/>
      <c r="F901" s="7">
        <f>IF($E901="","",IFERROR(IF(VLOOKUP($E901,AcctTbl,4,0)="","",VLOOKUP($E901,AcctTbl,4,0)),"—"))</f>
        <v/>
      </c>
      <c r="G901" s="8" t="n"/>
      <c r="H901" s="9" t="n"/>
      <c r="I901" s="9" t="n"/>
      <c r="J901" s="10">
        <f>IF(OR($H901="",$I901=""),"",ROUND($H901*$I901,0))</f>
        <v/>
      </c>
      <c r="K901" s="10">
        <f>IF(OR($B901="",$E901="",Calc!$B898=""),"",SUMIFS(CalcAmtA,CalcPartyA,$E901,CalcKeyA,"&lt;="&amp;Calc!$B898)-SUMIFS(CalcWitB,CalcPartyB,$E901,CalcKeyB,"&lt;="&amp;Calc!$B898)+SUMIFS(CalcDepB,CalcPartyB,$E901,CalcKeyB,"&lt;="&amp;Calc!$B898))</f>
        <v/>
      </c>
      <c r="L901" s="8" t="n"/>
    </row>
    <row r="902">
      <c r="A902" s="7">
        <f>IF($B902="","",COUNTA($B$9:$B902))</f>
        <v/>
      </c>
      <c r="B902" s="8" t="n"/>
      <c r="C902" s="8" t="n"/>
      <c r="D902" s="8" t="n"/>
      <c r="E902" s="8" t="n"/>
      <c r="F902" s="7">
        <f>IF($E902="","",IFERROR(IF(VLOOKUP($E902,AcctTbl,4,0)="","",VLOOKUP($E902,AcctTbl,4,0)),"—"))</f>
        <v/>
      </c>
      <c r="G902" s="8" t="n"/>
      <c r="H902" s="9" t="n"/>
      <c r="I902" s="9" t="n"/>
      <c r="J902" s="10">
        <f>IF(OR($H902="",$I902=""),"",ROUND($H902*$I902,0))</f>
        <v/>
      </c>
      <c r="K902" s="10">
        <f>IF(OR($B902="",$E902="",Calc!$B899=""),"",SUMIFS(CalcAmtA,CalcPartyA,$E902,CalcKeyA,"&lt;="&amp;Calc!$B899)-SUMIFS(CalcWitB,CalcPartyB,$E902,CalcKeyB,"&lt;="&amp;Calc!$B899)+SUMIFS(CalcDepB,CalcPartyB,$E902,CalcKeyB,"&lt;="&amp;Calc!$B899))</f>
        <v/>
      </c>
      <c r="L902" s="8" t="n"/>
    </row>
    <row r="903">
      <c r="A903" s="7">
        <f>IF($B903="","",COUNTA($B$9:$B903))</f>
        <v/>
      </c>
      <c r="B903" s="8" t="n"/>
      <c r="C903" s="8" t="n"/>
      <c r="D903" s="8" t="n"/>
      <c r="E903" s="8" t="n"/>
      <c r="F903" s="7">
        <f>IF($E903="","",IFERROR(IF(VLOOKUP($E903,AcctTbl,4,0)="","",VLOOKUP($E903,AcctTbl,4,0)),"—"))</f>
        <v/>
      </c>
      <c r="G903" s="8" t="n"/>
      <c r="H903" s="9" t="n"/>
      <c r="I903" s="9" t="n"/>
      <c r="J903" s="10">
        <f>IF(OR($H903="",$I903=""),"",ROUND($H903*$I903,0))</f>
        <v/>
      </c>
      <c r="K903" s="10">
        <f>IF(OR($B903="",$E903="",Calc!$B900=""),"",SUMIFS(CalcAmtA,CalcPartyA,$E903,CalcKeyA,"&lt;="&amp;Calc!$B900)-SUMIFS(CalcWitB,CalcPartyB,$E903,CalcKeyB,"&lt;="&amp;Calc!$B900)+SUMIFS(CalcDepB,CalcPartyB,$E903,CalcKeyB,"&lt;="&amp;Calc!$B900))</f>
        <v/>
      </c>
      <c r="L903" s="8" t="n"/>
    </row>
    <row r="904">
      <c r="A904" s="7">
        <f>IF($B904="","",COUNTA($B$9:$B904))</f>
        <v/>
      </c>
      <c r="B904" s="8" t="n"/>
      <c r="C904" s="8" t="n"/>
      <c r="D904" s="8" t="n"/>
      <c r="E904" s="8" t="n"/>
      <c r="F904" s="7">
        <f>IF($E904="","",IFERROR(IF(VLOOKUP($E904,AcctTbl,4,0)="","",VLOOKUP($E904,AcctTbl,4,0)),"—"))</f>
        <v/>
      </c>
      <c r="G904" s="8" t="n"/>
      <c r="H904" s="9" t="n"/>
      <c r="I904" s="9" t="n"/>
      <c r="J904" s="10">
        <f>IF(OR($H904="",$I904=""),"",ROUND($H904*$I904,0))</f>
        <v/>
      </c>
      <c r="K904" s="10">
        <f>IF(OR($B904="",$E904="",Calc!$B901=""),"",SUMIFS(CalcAmtA,CalcPartyA,$E904,CalcKeyA,"&lt;="&amp;Calc!$B901)-SUMIFS(CalcWitB,CalcPartyB,$E904,CalcKeyB,"&lt;="&amp;Calc!$B901)+SUMIFS(CalcDepB,CalcPartyB,$E904,CalcKeyB,"&lt;="&amp;Calc!$B901))</f>
        <v/>
      </c>
      <c r="L904" s="8" t="n"/>
    </row>
    <row r="905">
      <c r="A905" s="7">
        <f>IF($B905="","",COUNTA($B$9:$B905))</f>
        <v/>
      </c>
      <c r="B905" s="8" t="n"/>
      <c r="C905" s="8" t="n"/>
      <c r="D905" s="8" t="n"/>
      <c r="E905" s="8" t="n"/>
      <c r="F905" s="7">
        <f>IF($E905="","",IFERROR(IF(VLOOKUP($E905,AcctTbl,4,0)="","",VLOOKUP($E905,AcctTbl,4,0)),"—"))</f>
        <v/>
      </c>
      <c r="G905" s="8" t="n"/>
      <c r="H905" s="9" t="n"/>
      <c r="I905" s="9" t="n"/>
      <c r="J905" s="10">
        <f>IF(OR($H905="",$I905=""),"",ROUND($H905*$I905,0))</f>
        <v/>
      </c>
      <c r="K905" s="10">
        <f>IF(OR($B905="",$E905="",Calc!$B902=""),"",SUMIFS(CalcAmtA,CalcPartyA,$E905,CalcKeyA,"&lt;="&amp;Calc!$B902)-SUMIFS(CalcWitB,CalcPartyB,$E905,CalcKeyB,"&lt;="&amp;Calc!$B902)+SUMIFS(CalcDepB,CalcPartyB,$E905,CalcKeyB,"&lt;="&amp;Calc!$B902))</f>
        <v/>
      </c>
      <c r="L905" s="8" t="n"/>
    </row>
    <row r="906">
      <c r="A906" s="7">
        <f>IF($B906="","",COUNTA($B$9:$B906))</f>
        <v/>
      </c>
      <c r="B906" s="8" t="n"/>
      <c r="C906" s="8" t="n"/>
      <c r="D906" s="8" t="n"/>
      <c r="E906" s="8" t="n"/>
      <c r="F906" s="7">
        <f>IF($E906="","",IFERROR(IF(VLOOKUP($E906,AcctTbl,4,0)="","",VLOOKUP($E906,AcctTbl,4,0)),"—"))</f>
        <v/>
      </c>
      <c r="G906" s="8" t="n"/>
      <c r="H906" s="9" t="n"/>
      <c r="I906" s="9" t="n"/>
      <c r="J906" s="10">
        <f>IF(OR($H906="",$I906=""),"",ROUND($H906*$I906,0))</f>
        <v/>
      </c>
      <c r="K906" s="10">
        <f>IF(OR($B906="",$E906="",Calc!$B903=""),"",SUMIFS(CalcAmtA,CalcPartyA,$E906,CalcKeyA,"&lt;="&amp;Calc!$B903)-SUMIFS(CalcWitB,CalcPartyB,$E906,CalcKeyB,"&lt;="&amp;Calc!$B903)+SUMIFS(CalcDepB,CalcPartyB,$E906,CalcKeyB,"&lt;="&amp;Calc!$B903))</f>
        <v/>
      </c>
      <c r="L906" s="8" t="n"/>
    </row>
    <row r="907">
      <c r="A907" s="7">
        <f>IF($B907="","",COUNTA($B$9:$B907))</f>
        <v/>
      </c>
      <c r="B907" s="8" t="n"/>
      <c r="C907" s="8" t="n"/>
      <c r="D907" s="8" t="n"/>
      <c r="E907" s="8" t="n"/>
      <c r="F907" s="7">
        <f>IF($E907="","",IFERROR(IF(VLOOKUP($E907,AcctTbl,4,0)="","",VLOOKUP($E907,AcctTbl,4,0)),"—"))</f>
        <v/>
      </c>
      <c r="G907" s="8" t="n"/>
      <c r="H907" s="9" t="n"/>
      <c r="I907" s="9" t="n"/>
      <c r="J907" s="10">
        <f>IF(OR($H907="",$I907=""),"",ROUND($H907*$I907,0))</f>
        <v/>
      </c>
      <c r="K907" s="10">
        <f>IF(OR($B907="",$E907="",Calc!$B904=""),"",SUMIFS(CalcAmtA,CalcPartyA,$E907,CalcKeyA,"&lt;="&amp;Calc!$B904)-SUMIFS(CalcWitB,CalcPartyB,$E907,CalcKeyB,"&lt;="&amp;Calc!$B904)+SUMIFS(CalcDepB,CalcPartyB,$E907,CalcKeyB,"&lt;="&amp;Calc!$B904))</f>
        <v/>
      </c>
      <c r="L907" s="8" t="n"/>
    </row>
    <row r="908">
      <c r="A908" s="7">
        <f>IF($B908="","",COUNTA($B$9:$B908))</f>
        <v/>
      </c>
      <c r="B908" s="8" t="n"/>
      <c r="C908" s="8" t="n"/>
      <c r="D908" s="8" t="n"/>
      <c r="E908" s="8" t="n"/>
      <c r="F908" s="7">
        <f>IF($E908="","",IFERROR(IF(VLOOKUP($E908,AcctTbl,4,0)="","",VLOOKUP($E908,AcctTbl,4,0)),"—"))</f>
        <v/>
      </c>
      <c r="G908" s="8" t="n"/>
      <c r="H908" s="9" t="n"/>
      <c r="I908" s="9" t="n"/>
      <c r="J908" s="10">
        <f>IF(OR($H908="",$I908=""),"",ROUND($H908*$I908,0))</f>
        <v/>
      </c>
      <c r="K908" s="10">
        <f>IF(OR($B908="",$E908="",Calc!$B905=""),"",SUMIFS(CalcAmtA,CalcPartyA,$E908,CalcKeyA,"&lt;="&amp;Calc!$B905)-SUMIFS(CalcWitB,CalcPartyB,$E908,CalcKeyB,"&lt;="&amp;Calc!$B905)+SUMIFS(CalcDepB,CalcPartyB,$E908,CalcKeyB,"&lt;="&amp;Calc!$B905))</f>
        <v/>
      </c>
      <c r="L908" s="8" t="n"/>
    </row>
    <row r="909">
      <c r="A909" s="7">
        <f>IF($B909="","",COUNTA($B$9:$B909))</f>
        <v/>
      </c>
      <c r="B909" s="8" t="n"/>
      <c r="C909" s="8" t="n"/>
      <c r="D909" s="8" t="n"/>
      <c r="E909" s="8" t="n"/>
      <c r="F909" s="7">
        <f>IF($E909="","",IFERROR(IF(VLOOKUP($E909,AcctTbl,4,0)="","",VLOOKUP($E909,AcctTbl,4,0)),"—"))</f>
        <v/>
      </c>
      <c r="G909" s="8" t="n"/>
      <c r="H909" s="9" t="n"/>
      <c r="I909" s="9" t="n"/>
      <c r="J909" s="10">
        <f>IF(OR($H909="",$I909=""),"",ROUND($H909*$I909,0))</f>
        <v/>
      </c>
      <c r="K909" s="10">
        <f>IF(OR($B909="",$E909="",Calc!$B906=""),"",SUMIFS(CalcAmtA,CalcPartyA,$E909,CalcKeyA,"&lt;="&amp;Calc!$B906)-SUMIFS(CalcWitB,CalcPartyB,$E909,CalcKeyB,"&lt;="&amp;Calc!$B906)+SUMIFS(CalcDepB,CalcPartyB,$E909,CalcKeyB,"&lt;="&amp;Calc!$B906))</f>
        <v/>
      </c>
      <c r="L909" s="8" t="n"/>
    </row>
    <row r="910">
      <c r="A910" s="7">
        <f>IF($B910="","",COUNTA($B$9:$B910))</f>
        <v/>
      </c>
      <c r="B910" s="8" t="n"/>
      <c r="C910" s="8" t="n"/>
      <c r="D910" s="8" t="n"/>
      <c r="E910" s="8" t="n"/>
      <c r="F910" s="7">
        <f>IF($E910="","",IFERROR(IF(VLOOKUP($E910,AcctTbl,4,0)="","",VLOOKUP($E910,AcctTbl,4,0)),"—"))</f>
        <v/>
      </c>
      <c r="G910" s="8" t="n"/>
      <c r="H910" s="9" t="n"/>
      <c r="I910" s="9" t="n"/>
      <c r="J910" s="10">
        <f>IF(OR($H910="",$I910=""),"",ROUND($H910*$I910,0))</f>
        <v/>
      </c>
      <c r="K910" s="10">
        <f>IF(OR($B910="",$E910="",Calc!$B907=""),"",SUMIFS(CalcAmtA,CalcPartyA,$E910,CalcKeyA,"&lt;="&amp;Calc!$B907)-SUMIFS(CalcWitB,CalcPartyB,$E910,CalcKeyB,"&lt;="&amp;Calc!$B907)+SUMIFS(CalcDepB,CalcPartyB,$E910,CalcKeyB,"&lt;="&amp;Calc!$B907))</f>
        <v/>
      </c>
      <c r="L910" s="8" t="n"/>
    </row>
    <row r="911">
      <c r="A911" s="7">
        <f>IF($B911="","",COUNTA($B$9:$B911))</f>
        <v/>
      </c>
      <c r="B911" s="8" t="n"/>
      <c r="C911" s="8" t="n"/>
      <c r="D911" s="8" t="n"/>
      <c r="E911" s="8" t="n"/>
      <c r="F911" s="7">
        <f>IF($E911="","",IFERROR(IF(VLOOKUP($E911,AcctTbl,4,0)="","",VLOOKUP($E911,AcctTbl,4,0)),"—"))</f>
        <v/>
      </c>
      <c r="G911" s="8" t="n"/>
      <c r="H911" s="9" t="n"/>
      <c r="I911" s="9" t="n"/>
      <c r="J911" s="10">
        <f>IF(OR($H911="",$I911=""),"",ROUND($H911*$I911,0))</f>
        <v/>
      </c>
      <c r="K911" s="10">
        <f>IF(OR($B911="",$E911="",Calc!$B908=""),"",SUMIFS(CalcAmtA,CalcPartyA,$E911,CalcKeyA,"&lt;="&amp;Calc!$B908)-SUMIFS(CalcWitB,CalcPartyB,$E911,CalcKeyB,"&lt;="&amp;Calc!$B908)+SUMIFS(CalcDepB,CalcPartyB,$E911,CalcKeyB,"&lt;="&amp;Calc!$B908))</f>
        <v/>
      </c>
      <c r="L911" s="8" t="n"/>
    </row>
    <row r="912">
      <c r="A912" s="7">
        <f>IF($B912="","",COUNTA($B$9:$B912))</f>
        <v/>
      </c>
      <c r="B912" s="8" t="n"/>
      <c r="C912" s="8" t="n"/>
      <c r="D912" s="8" t="n"/>
      <c r="E912" s="8" t="n"/>
      <c r="F912" s="7">
        <f>IF($E912="","",IFERROR(IF(VLOOKUP($E912,AcctTbl,4,0)="","",VLOOKUP($E912,AcctTbl,4,0)),"—"))</f>
        <v/>
      </c>
      <c r="G912" s="8" t="n"/>
      <c r="H912" s="9" t="n"/>
      <c r="I912" s="9" t="n"/>
      <c r="J912" s="10">
        <f>IF(OR($H912="",$I912=""),"",ROUND($H912*$I912,0))</f>
        <v/>
      </c>
      <c r="K912" s="10">
        <f>IF(OR($B912="",$E912="",Calc!$B909=""),"",SUMIFS(CalcAmtA,CalcPartyA,$E912,CalcKeyA,"&lt;="&amp;Calc!$B909)-SUMIFS(CalcWitB,CalcPartyB,$E912,CalcKeyB,"&lt;="&amp;Calc!$B909)+SUMIFS(CalcDepB,CalcPartyB,$E912,CalcKeyB,"&lt;="&amp;Calc!$B909))</f>
        <v/>
      </c>
      <c r="L912" s="8" t="n"/>
    </row>
    <row r="913">
      <c r="A913" s="7">
        <f>IF($B913="","",COUNTA($B$9:$B913))</f>
        <v/>
      </c>
      <c r="B913" s="8" t="n"/>
      <c r="C913" s="8" t="n"/>
      <c r="D913" s="8" t="n"/>
      <c r="E913" s="8" t="n"/>
      <c r="F913" s="7">
        <f>IF($E913="","",IFERROR(IF(VLOOKUP($E913,AcctTbl,4,0)="","",VLOOKUP($E913,AcctTbl,4,0)),"—"))</f>
        <v/>
      </c>
      <c r="G913" s="8" t="n"/>
      <c r="H913" s="9" t="n"/>
      <c r="I913" s="9" t="n"/>
      <c r="J913" s="10">
        <f>IF(OR($H913="",$I913=""),"",ROUND($H913*$I913,0))</f>
        <v/>
      </c>
      <c r="K913" s="10">
        <f>IF(OR($B913="",$E913="",Calc!$B910=""),"",SUMIFS(CalcAmtA,CalcPartyA,$E913,CalcKeyA,"&lt;="&amp;Calc!$B910)-SUMIFS(CalcWitB,CalcPartyB,$E913,CalcKeyB,"&lt;="&amp;Calc!$B910)+SUMIFS(CalcDepB,CalcPartyB,$E913,CalcKeyB,"&lt;="&amp;Calc!$B910))</f>
        <v/>
      </c>
      <c r="L913" s="8" t="n"/>
    </row>
    <row r="914">
      <c r="A914" s="7">
        <f>IF($B914="","",COUNTA($B$9:$B914))</f>
        <v/>
      </c>
      <c r="B914" s="8" t="n"/>
      <c r="C914" s="8" t="n"/>
      <c r="D914" s="8" t="n"/>
      <c r="E914" s="8" t="n"/>
      <c r="F914" s="7">
        <f>IF($E914="","",IFERROR(IF(VLOOKUP($E914,AcctTbl,4,0)="","",VLOOKUP($E914,AcctTbl,4,0)),"—"))</f>
        <v/>
      </c>
      <c r="G914" s="8" t="n"/>
      <c r="H914" s="9" t="n"/>
      <c r="I914" s="9" t="n"/>
      <c r="J914" s="10">
        <f>IF(OR($H914="",$I914=""),"",ROUND($H914*$I914,0))</f>
        <v/>
      </c>
      <c r="K914" s="10">
        <f>IF(OR($B914="",$E914="",Calc!$B911=""),"",SUMIFS(CalcAmtA,CalcPartyA,$E914,CalcKeyA,"&lt;="&amp;Calc!$B911)-SUMIFS(CalcWitB,CalcPartyB,$E914,CalcKeyB,"&lt;="&amp;Calc!$B911)+SUMIFS(CalcDepB,CalcPartyB,$E914,CalcKeyB,"&lt;="&amp;Calc!$B911))</f>
        <v/>
      </c>
      <c r="L914" s="8" t="n"/>
    </row>
    <row r="915">
      <c r="A915" s="7">
        <f>IF($B915="","",COUNTA($B$9:$B915))</f>
        <v/>
      </c>
      <c r="B915" s="8" t="n"/>
      <c r="C915" s="8" t="n"/>
      <c r="D915" s="8" t="n"/>
      <c r="E915" s="8" t="n"/>
      <c r="F915" s="7">
        <f>IF($E915="","",IFERROR(IF(VLOOKUP($E915,AcctTbl,4,0)="","",VLOOKUP($E915,AcctTbl,4,0)),"—"))</f>
        <v/>
      </c>
      <c r="G915" s="8" t="n"/>
      <c r="H915" s="9" t="n"/>
      <c r="I915" s="9" t="n"/>
      <c r="J915" s="10">
        <f>IF(OR($H915="",$I915=""),"",ROUND($H915*$I915,0))</f>
        <v/>
      </c>
      <c r="K915" s="10">
        <f>IF(OR($B915="",$E915="",Calc!$B912=""),"",SUMIFS(CalcAmtA,CalcPartyA,$E915,CalcKeyA,"&lt;="&amp;Calc!$B912)-SUMIFS(CalcWitB,CalcPartyB,$E915,CalcKeyB,"&lt;="&amp;Calc!$B912)+SUMIFS(CalcDepB,CalcPartyB,$E915,CalcKeyB,"&lt;="&amp;Calc!$B912))</f>
        <v/>
      </c>
      <c r="L915" s="8" t="n"/>
    </row>
    <row r="916">
      <c r="A916" s="7">
        <f>IF($B916="","",COUNTA($B$9:$B916))</f>
        <v/>
      </c>
      <c r="B916" s="8" t="n"/>
      <c r="C916" s="8" t="n"/>
      <c r="D916" s="8" t="n"/>
      <c r="E916" s="8" t="n"/>
      <c r="F916" s="7">
        <f>IF($E916="","",IFERROR(IF(VLOOKUP($E916,AcctTbl,4,0)="","",VLOOKUP($E916,AcctTbl,4,0)),"—"))</f>
        <v/>
      </c>
      <c r="G916" s="8" t="n"/>
      <c r="H916" s="9" t="n"/>
      <c r="I916" s="9" t="n"/>
      <c r="J916" s="10">
        <f>IF(OR($H916="",$I916=""),"",ROUND($H916*$I916,0))</f>
        <v/>
      </c>
      <c r="K916" s="10">
        <f>IF(OR($B916="",$E916="",Calc!$B913=""),"",SUMIFS(CalcAmtA,CalcPartyA,$E916,CalcKeyA,"&lt;="&amp;Calc!$B913)-SUMIFS(CalcWitB,CalcPartyB,$E916,CalcKeyB,"&lt;="&amp;Calc!$B913)+SUMIFS(CalcDepB,CalcPartyB,$E916,CalcKeyB,"&lt;="&amp;Calc!$B913))</f>
        <v/>
      </c>
      <c r="L916" s="8" t="n"/>
    </row>
    <row r="917">
      <c r="A917" s="7">
        <f>IF($B917="","",COUNTA($B$9:$B917))</f>
        <v/>
      </c>
      <c r="B917" s="8" t="n"/>
      <c r="C917" s="8" t="n"/>
      <c r="D917" s="8" t="n"/>
      <c r="E917" s="8" t="n"/>
      <c r="F917" s="7">
        <f>IF($E917="","",IFERROR(IF(VLOOKUP($E917,AcctTbl,4,0)="","",VLOOKUP($E917,AcctTbl,4,0)),"—"))</f>
        <v/>
      </c>
      <c r="G917" s="8" t="n"/>
      <c r="H917" s="9" t="n"/>
      <c r="I917" s="9" t="n"/>
      <c r="J917" s="10">
        <f>IF(OR($H917="",$I917=""),"",ROUND($H917*$I917,0))</f>
        <v/>
      </c>
      <c r="K917" s="10">
        <f>IF(OR($B917="",$E917="",Calc!$B914=""),"",SUMIFS(CalcAmtA,CalcPartyA,$E917,CalcKeyA,"&lt;="&amp;Calc!$B914)-SUMIFS(CalcWitB,CalcPartyB,$E917,CalcKeyB,"&lt;="&amp;Calc!$B914)+SUMIFS(CalcDepB,CalcPartyB,$E917,CalcKeyB,"&lt;="&amp;Calc!$B914))</f>
        <v/>
      </c>
      <c r="L917" s="8" t="n"/>
    </row>
    <row r="918">
      <c r="A918" s="7">
        <f>IF($B918="","",COUNTA($B$9:$B918))</f>
        <v/>
      </c>
      <c r="B918" s="8" t="n"/>
      <c r="C918" s="8" t="n"/>
      <c r="D918" s="8" t="n"/>
      <c r="E918" s="8" t="n"/>
      <c r="F918" s="7">
        <f>IF($E918="","",IFERROR(IF(VLOOKUP($E918,AcctTbl,4,0)="","",VLOOKUP($E918,AcctTbl,4,0)),"—"))</f>
        <v/>
      </c>
      <c r="G918" s="8" t="n"/>
      <c r="H918" s="9" t="n"/>
      <c r="I918" s="9" t="n"/>
      <c r="J918" s="10">
        <f>IF(OR($H918="",$I918=""),"",ROUND($H918*$I918,0))</f>
        <v/>
      </c>
      <c r="K918" s="10">
        <f>IF(OR($B918="",$E918="",Calc!$B915=""),"",SUMIFS(CalcAmtA,CalcPartyA,$E918,CalcKeyA,"&lt;="&amp;Calc!$B915)-SUMIFS(CalcWitB,CalcPartyB,$E918,CalcKeyB,"&lt;="&amp;Calc!$B915)+SUMIFS(CalcDepB,CalcPartyB,$E918,CalcKeyB,"&lt;="&amp;Calc!$B915))</f>
        <v/>
      </c>
      <c r="L918" s="8" t="n"/>
    </row>
    <row r="919">
      <c r="A919" s="7">
        <f>IF($B919="","",COUNTA($B$9:$B919))</f>
        <v/>
      </c>
      <c r="B919" s="8" t="n"/>
      <c r="C919" s="8" t="n"/>
      <c r="D919" s="8" t="n"/>
      <c r="E919" s="8" t="n"/>
      <c r="F919" s="7">
        <f>IF($E919="","",IFERROR(IF(VLOOKUP($E919,AcctTbl,4,0)="","",VLOOKUP($E919,AcctTbl,4,0)),"—"))</f>
        <v/>
      </c>
      <c r="G919" s="8" t="n"/>
      <c r="H919" s="9" t="n"/>
      <c r="I919" s="9" t="n"/>
      <c r="J919" s="10">
        <f>IF(OR($H919="",$I919=""),"",ROUND($H919*$I919,0))</f>
        <v/>
      </c>
      <c r="K919" s="10">
        <f>IF(OR($B919="",$E919="",Calc!$B916=""),"",SUMIFS(CalcAmtA,CalcPartyA,$E919,CalcKeyA,"&lt;="&amp;Calc!$B916)-SUMIFS(CalcWitB,CalcPartyB,$E919,CalcKeyB,"&lt;="&amp;Calc!$B916)+SUMIFS(CalcDepB,CalcPartyB,$E919,CalcKeyB,"&lt;="&amp;Calc!$B916))</f>
        <v/>
      </c>
      <c r="L919" s="8" t="n"/>
    </row>
    <row r="920">
      <c r="A920" s="7">
        <f>IF($B920="","",COUNTA($B$9:$B920))</f>
        <v/>
      </c>
      <c r="B920" s="8" t="n"/>
      <c r="C920" s="8" t="n"/>
      <c r="D920" s="8" t="n"/>
      <c r="E920" s="8" t="n"/>
      <c r="F920" s="7">
        <f>IF($E920="","",IFERROR(IF(VLOOKUP($E920,AcctTbl,4,0)="","",VLOOKUP($E920,AcctTbl,4,0)),"—"))</f>
        <v/>
      </c>
      <c r="G920" s="8" t="n"/>
      <c r="H920" s="9" t="n"/>
      <c r="I920" s="9" t="n"/>
      <c r="J920" s="10">
        <f>IF(OR($H920="",$I920=""),"",ROUND($H920*$I920,0))</f>
        <v/>
      </c>
      <c r="K920" s="10">
        <f>IF(OR($B920="",$E920="",Calc!$B917=""),"",SUMIFS(CalcAmtA,CalcPartyA,$E920,CalcKeyA,"&lt;="&amp;Calc!$B917)-SUMIFS(CalcWitB,CalcPartyB,$E920,CalcKeyB,"&lt;="&amp;Calc!$B917)+SUMIFS(CalcDepB,CalcPartyB,$E920,CalcKeyB,"&lt;="&amp;Calc!$B917))</f>
        <v/>
      </c>
      <c r="L920" s="8" t="n"/>
    </row>
    <row r="921">
      <c r="A921" s="7">
        <f>IF($B921="","",COUNTA($B$9:$B921))</f>
        <v/>
      </c>
      <c r="B921" s="8" t="n"/>
      <c r="C921" s="8" t="n"/>
      <c r="D921" s="8" t="n"/>
      <c r="E921" s="8" t="n"/>
      <c r="F921" s="7">
        <f>IF($E921="","",IFERROR(IF(VLOOKUP($E921,AcctTbl,4,0)="","",VLOOKUP($E921,AcctTbl,4,0)),"—"))</f>
        <v/>
      </c>
      <c r="G921" s="8" t="n"/>
      <c r="H921" s="9" t="n"/>
      <c r="I921" s="9" t="n"/>
      <c r="J921" s="10">
        <f>IF(OR($H921="",$I921=""),"",ROUND($H921*$I921,0))</f>
        <v/>
      </c>
      <c r="K921" s="10">
        <f>IF(OR($B921="",$E921="",Calc!$B918=""),"",SUMIFS(CalcAmtA,CalcPartyA,$E921,CalcKeyA,"&lt;="&amp;Calc!$B918)-SUMIFS(CalcWitB,CalcPartyB,$E921,CalcKeyB,"&lt;="&amp;Calc!$B918)+SUMIFS(CalcDepB,CalcPartyB,$E921,CalcKeyB,"&lt;="&amp;Calc!$B918))</f>
        <v/>
      </c>
      <c r="L921" s="8" t="n"/>
    </row>
    <row r="922">
      <c r="A922" s="7">
        <f>IF($B922="","",COUNTA($B$9:$B922))</f>
        <v/>
      </c>
      <c r="B922" s="8" t="n"/>
      <c r="C922" s="8" t="n"/>
      <c r="D922" s="8" t="n"/>
      <c r="E922" s="8" t="n"/>
      <c r="F922" s="7">
        <f>IF($E922="","",IFERROR(IF(VLOOKUP($E922,AcctTbl,4,0)="","",VLOOKUP($E922,AcctTbl,4,0)),"—"))</f>
        <v/>
      </c>
      <c r="G922" s="8" t="n"/>
      <c r="H922" s="9" t="n"/>
      <c r="I922" s="9" t="n"/>
      <c r="J922" s="10">
        <f>IF(OR($H922="",$I922=""),"",ROUND($H922*$I922,0))</f>
        <v/>
      </c>
      <c r="K922" s="10">
        <f>IF(OR($B922="",$E922="",Calc!$B919=""),"",SUMIFS(CalcAmtA,CalcPartyA,$E922,CalcKeyA,"&lt;="&amp;Calc!$B919)-SUMIFS(CalcWitB,CalcPartyB,$E922,CalcKeyB,"&lt;="&amp;Calc!$B919)+SUMIFS(CalcDepB,CalcPartyB,$E922,CalcKeyB,"&lt;="&amp;Calc!$B919))</f>
        <v/>
      </c>
      <c r="L922" s="8" t="n"/>
    </row>
    <row r="923">
      <c r="A923" s="7">
        <f>IF($B923="","",COUNTA($B$9:$B923))</f>
        <v/>
      </c>
      <c r="B923" s="8" t="n"/>
      <c r="C923" s="8" t="n"/>
      <c r="D923" s="8" t="n"/>
      <c r="E923" s="8" t="n"/>
      <c r="F923" s="7">
        <f>IF($E923="","",IFERROR(IF(VLOOKUP($E923,AcctTbl,4,0)="","",VLOOKUP($E923,AcctTbl,4,0)),"—"))</f>
        <v/>
      </c>
      <c r="G923" s="8" t="n"/>
      <c r="H923" s="9" t="n"/>
      <c r="I923" s="9" t="n"/>
      <c r="J923" s="10">
        <f>IF(OR($H923="",$I923=""),"",ROUND($H923*$I923,0))</f>
        <v/>
      </c>
      <c r="K923" s="10">
        <f>IF(OR($B923="",$E923="",Calc!$B920=""),"",SUMIFS(CalcAmtA,CalcPartyA,$E923,CalcKeyA,"&lt;="&amp;Calc!$B920)-SUMIFS(CalcWitB,CalcPartyB,$E923,CalcKeyB,"&lt;="&amp;Calc!$B920)+SUMIFS(CalcDepB,CalcPartyB,$E923,CalcKeyB,"&lt;="&amp;Calc!$B920))</f>
        <v/>
      </c>
      <c r="L923" s="8" t="n"/>
    </row>
    <row r="924">
      <c r="A924" s="7">
        <f>IF($B924="","",COUNTA($B$9:$B924))</f>
        <v/>
      </c>
      <c r="B924" s="8" t="n"/>
      <c r="C924" s="8" t="n"/>
      <c r="D924" s="8" t="n"/>
      <c r="E924" s="8" t="n"/>
      <c r="F924" s="7">
        <f>IF($E924="","",IFERROR(IF(VLOOKUP($E924,AcctTbl,4,0)="","",VLOOKUP($E924,AcctTbl,4,0)),"—"))</f>
        <v/>
      </c>
      <c r="G924" s="8" t="n"/>
      <c r="H924" s="9" t="n"/>
      <c r="I924" s="9" t="n"/>
      <c r="J924" s="10">
        <f>IF(OR($H924="",$I924=""),"",ROUND($H924*$I924,0))</f>
        <v/>
      </c>
      <c r="K924" s="10">
        <f>IF(OR($B924="",$E924="",Calc!$B921=""),"",SUMIFS(CalcAmtA,CalcPartyA,$E924,CalcKeyA,"&lt;="&amp;Calc!$B921)-SUMIFS(CalcWitB,CalcPartyB,$E924,CalcKeyB,"&lt;="&amp;Calc!$B921)+SUMIFS(CalcDepB,CalcPartyB,$E924,CalcKeyB,"&lt;="&amp;Calc!$B921))</f>
        <v/>
      </c>
      <c r="L924" s="8" t="n"/>
    </row>
    <row r="925">
      <c r="A925" s="7">
        <f>IF($B925="","",COUNTA($B$9:$B925))</f>
        <v/>
      </c>
      <c r="B925" s="8" t="n"/>
      <c r="C925" s="8" t="n"/>
      <c r="D925" s="8" t="n"/>
      <c r="E925" s="8" t="n"/>
      <c r="F925" s="7">
        <f>IF($E925="","",IFERROR(IF(VLOOKUP($E925,AcctTbl,4,0)="","",VLOOKUP($E925,AcctTbl,4,0)),"—"))</f>
        <v/>
      </c>
      <c r="G925" s="8" t="n"/>
      <c r="H925" s="9" t="n"/>
      <c r="I925" s="9" t="n"/>
      <c r="J925" s="10">
        <f>IF(OR($H925="",$I925=""),"",ROUND($H925*$I925,0))</f>
        <v/>
      </c>
      <c r="K925" s="10">
        <f>IF(OR($B925="",$E925="",Calc!$B922=""),"",SUMIFS(CalcAmtA,CalcPartyA,$E925,CalcKeyA,"&lt;="&amp;Calc!$B922)-SUMIFS(CalcWitB,CalcPartyB,$E925,CalcKeyB,"&lt;="&amp;Calc!$B922)+SUMIFS(CalcDepB,CalcPartyB,$E925,CalcKeyB,"&lt;="&amp;Calc!$B922))</f>
        <v/>
      </c>
      <c r="L925" s="8" t="n"/>
    </row>
    <row r="926">
      <c r="A926" s="7">
        <f>IF($B926="","",COUNTA($B$9:$B926))</f>
        <v/>
      </c>
      <c r="B926" s="8" t="n"/>
      <c r="C926" s="8" t="n"/>
      <c r="D926" s="8" t="n"/>
      <c r="E926" s="8" t="n"/>
      <c r="F926" s="7">
        <f>IF($E926="","",IFERROR(IF(VLOOKUP($E926,AcctTbl,4,0)="","",VLOOKUP($E926,AcctTbl,4,0)),"—"))</f>
        <v/>
      </c>
      <c r="G926" s="8" t="n"/>
      <c r="H926" s="9" t="n"/>
      <c r="I926" s="9" t="n"/>
      <c r="J926" s="10">
        <f>IF(OR($H926="",$I926=""),"",ROUND($H926*$I926,0))</f>
        <v/>
      </c>
      <c r="K926" s="10">
        <f>IF(OR($B926="",$E926="",Calc!$B923=""),"",SUMIFS(CalcAmtA,CalcPartyA,$E926,CalcKeyA,"&lt;="&amp;Calc!$B923)-SUMIFS(CalcWitB,CalcPartyB,$E926,CalcKeyB,"&lt;="&amp;Calc!$B923)+SUMIFS(CalcDepB,CalcPartyB,$E926,CalcKeyB,"&lt;="&amp;Calc!$B923))</f>
        <v/>
      </c>
      <c r="L926" s="8" t="n"/>
    </row>
    <row r="927">
      <c r="A927" s="7">
        <f>IF($B927="","",COUNTA($B$9:$B927))</f>
        <v/>
      </c>
      <c r="B927" s="8" t="n"/>
      <c r="C927" s="8" t="n"/>
      <c r="D927" s="8" t="n"/>
      <c r="E927" s="8" t="n"/>
      <c r="F927" s="7">
        <f>IF($E927="","",IFERROR(IF(VLOOKUP($E927,AcctTbl,4,0)="","",VLOOKUP($E927,AcctTbl,4,0)),"—"))</f>
        <v/>
      </c>
      <c r="G927" s="8" t="n"/>
      <c r="H927" s="9" t="n"/>
      <c r="I927" s="9" t="n"/>
      <c r="J927" s="10">
        <f>IF(OR($H927="",$I927=""),"",ROUND($H927*$I927,0))</f>
        <v/>
      </c>
      <c r="K927" s="10">
        <f>IF(OR($B927="",$E927="",Calc!$B924=""),"",SUMIFS(CalcAmtA,CalcPartyA,$E927,CalcKeyA,"&lt;="&amp;Calc!$B924)-SUMIFS(CalcWitB,CalcPartyB,$E927,CalcKeyB,"&lt;="&amp;Calc!$B924)+SUMIFS(CalcDepB,CalcPartyB,$E927,CalcKeyB,"&lt;="&amp;Calc!$B924))</f>
        <v/>
      </c>
      <c r="L927" s="8" t="n"/>
    </row>
    <row r="928">
      <c r="A928" s="7">
        <f>IF($B928="","",COUNTA($B$9:$B928))</f>
        <v/>
      </c>
      <c r="B928" s="8" t="n"/>
      <c r="C928" s="8" t="n"/>
      <c r="D928" s="8" t="n"/>
      <c r="E928" s="8" t="n"/>
      <c r="F928" s="7">
        <f>IF($E928="","",IFERROR(IF(VLOOKUP($E928,AcctTbl,4,0)="","",VLOOKUP($E928,AcctTbl,4,0)),"—"))</f>
        <v/>
      </c>
      <c r="G928" s="8" t="n"/>
      <c r="H928" s="9" t="n"/>
      <c r="I928" s="9" t="n"/>
      <c r="J928" s="10">
        <f>IF(OR($H928="",$I928=""),"",ROUND($H928*$I928,0))</f>
        <v/>
      </c>
      <c r="K928" s="10">
        <f>IF(OR($B928="",$E928="",Calc!$B925=""),"",SUMIFS(CalcAmtA,CalcPartyA,$E928,CalcKeyA,"&lt;="&amp;Calc!$B925)-SUMIFS(CalcWitB,CalcPartyB,$E928,CalcKeyB,"&lt;="&amp;Calc!$B925)+SUMIFS(CalcDepB,CalcPartyB,$E928,CalcKeyB,"&lt;="&amp;Calc!$B925))</f>
        <v/>
      </c>
      <c r="L928" s="8" t="n"/>
    </row>
    <row r="929">
      <c r="A929" s="7">
        <f>IF($B929="","",COUNTA($B$9:$B929))</f>
        <v/>
      </c>
      <c r="B929" s="8" t="n"/>
      <c r="C929" s="8" t="n"/>
      <c r="D929" s="8" t="n"/>
      <c r="E929" s="8" t="n"/>
      <c r="F929" s="7">
        <f>IF($E929="","",IFERROR(IF(VLOOKUP($E929,AcctTbl,4,0)="","",VLOOKUP($E929,AcctTbl,4,0)),"—"))</f>
        <v/>
      </c>
      <c r="G929" s="8" t="n"/>
      <c r="H929" s="9" t="n"/>
      <c r="I929" s="9" t="n"/>
      <c r="J929" s="10">
        <f>IF(OR($H929="",$I929=""),"",ROUND($H929*$I929,0))</f>
        <v/>
      </c>
      <c r="K929" s="10">
        <f>IF(OR($B929="",$E929="",Calc!$B926=""),"",SUMIFS(CalcAmtA,CalcPartyA,$E929,CalcKeyA,"&lt;="&amp;Calc!$B926)-SUMIFS(CalcWitB,CalcPartyB,$E929,CalcKeyB,"&lt;="&amp;Calc!$B926)+SUMIFS(CalcDepB,CalcPartyB,$E929,CalcKeyB,"&lt;="&amp;Calc!$B926))</f>
        <v/>
      </c>
      <c r="L929" s="8" t="n"/>
    </row>
    <row r="930">
      <c r="A930" s="7">
        <f>IF($B930="","",COUNTA($B$9:$B930))</f>
        <v/>
      </c>
      <c r="B930" s="8" t="n"/>
      <c r="C930" s="8" t="n"/>
      <c r="D930" s="8" t="n"/>
      <c r="E930" s="8" t="n"/>
      <c r="F930" s="7">
        <f>IF($E930="","",IFERROR(IF(VLOOKUP($E930,AcctTbl,4,0)="","",VLOOKUP($E930,AcctTbl,4,0)),"—"))</f>
        <v/>
      </c>
      <c r="G930" s="8" t="n"/>
      <c r="H930" s="9" t="n"/>
      <c r="I930" s="9" t="n"/>
      <c r="J930" s="10">
        <f>IF(OR($H930="",$I930=""),"",ROUND($H930*$I930,0))</f>
        <v/>
      </c>
      <c r="K930" s="10">
        <f>IF(OR($B930="",$E930="",Calc!$B927=""),"",SUMIFS(CalcAmtA,CalcPartyA,$E930,CalcKeyA,"&lt;="&amp;Calc!$B927)-SUMIFS(CalcWitB,CalcPartyB,$E930,CalcKeyB,"&lt;="&amp;Calc!$B927)+SUMIFS(CalcDepB,CalcPartyB,$E930,CalcKeyB,"&lt;="&amp;Calc!$B927))</f>
        <v/>
      </c>
      <c r="L930" s="8" t="n"/>
    </row>
    <row r="931">
      <c r="A931" s="7">
        <f>IF($B931="","",COUNTA($B$9:$B931))</f>
        <v/>
      </c>
      <c r="B931" s="8" t="n"/>
      <c r="C931" s="8" t="n"/>
      <c r="D931" s="8" t="n"/>
      <c r="E931" s="8" t="n"/>
      <c r="F931" s="7">
        <f>IF($E931="","",IFERROR(IF(VLOOKUP($E931,AcctTbl,4,0)="","",VLOOKUP($E931,AcctTbl,4,0)),"—"))</f>
        <v/>
      </c>
      <c r="G931" s="8" t="n"/>
      <c r="H931" s="9" t="n"/>
      <c r="I931" s="9" t="n"/>
      <c r="J931" s="10">
        <f>IF(OR($H931="",$I931=""),"",ROUND($H931*$I931,0))</f>
        <v/>
      </c>
      <c r="K931" s="10">
        <f>IF(OR($B931="",$E931="",Calc!$B928=""),"",SUMIFS(CalcAmtA,CalcPartyA,$E931,CalcKeyA,"&lt;="&amp;Calc!$B928)-SUMIFS(CalcWitB,CalcPartyB,$E931,CalcKeyB,"&lt;="&amp;Calc!$B928)+SUMIFS(CalcDepB,CalcPartyB,$E931,CalcKeyB,"&lt;="&amp;Calc!$B928))</f>
        <v/>
      </c>
      <c r="L931" s="8" t="n"/>
    </row>
    <row r="932">
      <c r="A932" s="7">
        <f>IF($B932="","",COUNTA($B$9:$B932))</f>
        <v/>
      </c>
      <c r="B932" s="8" t="n"/>
      <c r="C932" s="8" t="n"/>
      <c r="D932" s="8" t="n"/>
      <c r="E932" s="8" t="n"/>
      <c r="F932" s="7">
        <f>IF($E932="","",IFERROR(IF(VLOOKUP($E932,AcctTbl,4,0)="","",VLOOKUP($E932,AcctTbl,4,0)),"—"))</f>
        <v/>
      </c>
      <c r="G932" s="8" t="n"/>
      <c r="H932" s="9" t="n"/>
      <c r="I932" s="9" t="n"/>
      <c r="J932" s="10">
        <f>IF(OR($H932="",$I932=""),"",ROUND($H932*$I932,0))</f>
        <v/>
      </c>
      <c r="K932" s="10">
        <f>IF(OR($B932="",$E932="",Calc!$B929=""),"",SUMIFS(CalcAmtA,CalcPartyA,$E932,CalcKeyA,"&lt;="&amp;Calc!$B929)-SUMIFS(CalcWitB,CalcPartyB,$E932,CalcKeyB,"&lt;="&amp;Calc!$B929)+SUMIFS(CalcDepB,CalcPartyB,$E932,CalcKeyB,"&lt;="&amp;Calc!$B929))</f>
        <v/>
      </c>
      <c r="L932" s="8" t="n"/>
    </row>
    <row r="933">
      <c r="A933" s="7">
        <f>IF($B933="","",COUNTA($B$9:$B933))</f>
        <v/>
      </c>
      <c r="B933" s="8" t="n"/>
      <c r="C933" s="8" t="n"/>
      <c r="D933" s="8" t="n"/>
      <c r="E933" s="8" t="n"/>
      <c r="F933" s="7">
        <f>IF($E933="","",IFERROR(IF(VLOOKUP($E933,AcctTbl,4,0)="","",VLOOKUP($E933,AcctTbl,4,0)),"—"))</f>
        <v/>
      </c>
      <c r="G933" s="8" t="n"/>
      <c r="H933" s="9" t="n"/>
      <c r="I933" s="9" t="n"/>
      <c r="J933" s="10">
        <f>IF(OR($H933="",$I933=""),"",ROUND($H933*$I933,0))</f>
        <v/>
      </c>
      <c r="K933" s="10">
        <f>IF(OR($B933="",$E933="",Calc!$B930=""),"",SUMIFS(CalcAmtA,CalcPartyA,$E933,CalcKeyA,"&lt;="&amp;Calc!$B930)-SUMIFS(CalcWitB,CalcPartyB,$E933,CalcKeyB,"&lt;="&amp;Calc!$B930)+SUMIFS(CalcDepB,CalcPartyB,$E933,CalcKeyB,"&lt;="&amp;Calc!$B930))</f>
        <v/>
      </c>
      <c r="L933" s="8" t="n"/>
    </row>
    <row r="934">
      <c r="A934" s="7">
        <f>IF($B934="","",COUNTA($B$9:$B934))</f>
        <v/>
      </c>
      <c r="B934" s="8" t="n"/>
      <c r="C934" s="8" t="n"/>
      <c r="D934" s="8" t="n"/>
      <c r="E934" s="8" t="n"/>
      <c r="F934" s="7">
        <f>IF($E934="","",IFERROR(IF(VLOOKUP($E934,AcctTbl,4,0)="","",VLOOKUP($E934,AcctTbl,4,0)),"—"))</f>
        <v/>
      </c>
      <c r="G934" s="8" t="n"/>
      <c r="H934" s="9" t="n"/>
      <c r="I934" s="9" t="n"/>
      <c r="J934" s="10">
        <f>IF(OR($H934="",$I934=""),"",ROUND($H934*$I934,0))</f>
        <v/>
      </c>
      <c r="K934" s="10">
        <f>IF(OR($B934="",$E934="",Calc!$B931=""),"",SUMIFS(CalcAmtA,CalcPartyA,$E934,CalcKeyA,"&lt;="&amp;Calc!$B931)-SUMIFS(CalcWitB,CalcPartyB,$E934,CalcKeyB,"&lt;="&amp;Calc!$B931)+SUMIFS(CalcDepB,CalcPartyB,$E934,CalcKeyB,"&lt;="&amp;Calc!$B931))</f>
        <v/>
      </c>
      <c r="L934" s="8" t="n"/>
    </row>
    <row r="935">
      <c r="A935" s="7">
        <f>IF($B935="","",COUNTA($B$9:$B935))</f>
        <v/>
      </c>
      <c r="B935" s="8" t="n"/>
      <c r="C935" s="8" t="n"/>
      <c r="D935" s="8" t="n"/>
      <c r="E935" s="8" t="n"/>
      <c r="F935" s="7">
        <f>IF($E935="","",IFERROR(IF(VLOOKUP($E935,AcctTbl,4,0)="","",VLOOKUP($E935,AcctTbl,4,0)),"—"))</f>
        <v/>
      </c>
      <c r="G935" s="8" t="n"/>
      <c r="H935" s="9" t="n"/>
      <c r="I935" s="9" t="n"/>
      <c r="J935" s="10">
        <f>IF(OR($H935="",$I935=""),"",ROUND($H935*$I935,0))</f>
        <v/>
      </c>
      <c r="K935" s="10">
        <f>IF(OR($B935="",$E935="",Calc!$B932=""),"",SUMIFS(CalcAmtA,CalcPartyA,$E935,CalcKeyA,"&lt;="&amp;Calc!$B932)-SUMIFS(CalcWitB,CalcPartyB,$E935,CalcKeyB,"&lt;="&amp;Calc!$B932)+SUMIFS(CalcDepB,CalcPartyB,$E935,CalcKeyB,"&lt;="&amp;Calc!$B932))</f>
        <v/>
      </c>
      <c r="L935" s="8" t="n"/>
    </row>
    <row r="936">
      <c r="A936" s="7">
        <f>IF($B936="","",COUNTA($B$9:$B936))</f>
        <v/>
      </c>
      <c r="B936" s="8" t="n"/>
      <c r="C936" s="8" t="n"/>
      <c r="D936" s="8" t="n"/>
      <c r="E936" s="8" t="n"/>
      <c r="F936" s="7">
        <f>IF($E936="","",IFERROR(IF(VLOOKUP($E936,AcctTbl,4,0)="","",VLOOKUP($E936,AcctTbl,4,0)),"—"))</f>
        <v/>
      </c>
      <c r="G936" s="8" t="n"/>
      <c r="H936" s="9" t="n"/>
      <c r="I936" s="9" t="n"/>
      <c r="J936" s="10">
        <f>IF(OR($H936="",$I936=""),"",ROUND($H936*$I936,0))</f>
        <v/>
      </c>
      <c r="K936" s="10">
        <f>IF(OR($B936="",$E936="",Calc!$B933=""),"",SUMIFS(CalcAmtA,CalcPartyA,$E936,CalcKeyA,"&lt;="&amp;Calc!$B933)-SUMIFS(CalcWitB,CalcPartyB,$E936,CalcKeyB,"&lt;="&amp;Calc!$B933)+SUMIFS(CalcDepB,CalcPartyB,$E936,CalcKeyB,"&lt;="&amp;Calc!$B933))</f>
        <v/>
      </c>
      <c r="L936" s="8" t="n"/>
    </row>
    <row r="937">
      <c r="A937" s="7">
        <f>IF($B937="","",COUNTA($B$9:$B937))</f>
        <v/>
      </c>
      <c r="B937" s="8" t="n"/>
      <c r="C937" s="8" t="n"/>
      <c r="D937" s="8" t="n"/>
      <c r="E937" s="8" t="n"/>
      <c r="F937" s="7">
        <f>IF($E937="","",IFERROR(IF(VLOOKUP($E937,AcctTbl,4,0)="","",VLOOKUP($E937,AcctTbl,4,0)),"—"))</f>
        <v/>
      </c>
      <c r="G937" s="8" t="n"/>
      <c r="H937" s="9" t="n"/>
      <c r="I937" s="9" t="n"/>
      <c r="J937" s="10">
        <f>IF(OR($H937="",$I937=""),"",ROUND($H937*$I937,0))</f>
        <v/>
      </c>
      <c r="K937" s="10">
        <f>IF(OR($B937="",$E937="",Calc!$B934=""),"",SUMIFS(CalcAmtA,CalcPartyA,$E937,CalcKeyA,"&lt;="&amp;Calc!$B934)-SUMIFS(CalcWitB,CalcPartyB,$E937,CalcKeyB,"&lt;="&amp;Calc!$B934)+SUMIFS(CalcDepB,CalcPartyB,$E937,CalcKeyB,"&lt;="&amp;Calc!$B934))</f>
        <v/>
      </c>
      <c r="L937" s="8" t="n"/>
    </row>
    <row r="938">
      <c r="A938" s="7">
        <f>IF($B938="","",COUNTA($B$9:$B938))</f>
        <v/>
      </c>
      <c r="B938" s="8" t="n"/>
      <c r="C938" s="8" t="n"/>
      <c r="D938" s="8" t="n"/>
      <c r="E938" s="8" t="n"/>
      <c r="F938" s="7">
        <f>IF($E938="","",IFERROR(IF(VLOOKUP($E938,AcctTbl,4,0)="","",VLOOKUP($E938,AcctTbl,4,0)),"—"))</f>
        <v/>
      </c>
      <c r="G938" s="8" t="n"/>
      <c r="H938" s="9" t="n"/>
      <c r="I938" s="9" t="n"/>
      <c r="J938" s="10">
        <f>IF(OR($H938="",$I938=""),"",ROUND($H938*$I938,0))</f>
        <v/>
      </c>
      <c r="K938" s="10">
        <f>IF(OR($B938="",$E938="",Calc!$B935=""),"",SUMIFS(CalcAmtA,CalcPartyA,$E938,CalcKeyA,"&lt;="&amp;Calc!$B935)-SUMIFS(CalcWitB,CalcPartyB,$E938,CalcKeyB,"&lt;="&amp;Calc!$B935)+SUMIFS(CalcDepB,CalcPartyB,$E938,CalcKeyB,"&lt;="&amp;Calc!$B935))</f>
        <v/>
      </c>
      <c r="L938" s="8" t="n"/>
    </row>
    <row r="939">
      <c r="A939" s="7">
        <f>IF($B939="","",COUNTA($B$9:$B939))</f>
        <v/>
      </c>
      <c r="B939" s="8" t="n"/>
      <c r="C939" s="8" t="n"/>
      <c r="D939" s="8" t="n"/>
      <c r="E939" s="8" t="n"/>
      <c r="F939" s="7">
        <f>IF($E939="","",IFERROR(IF(VLOOKUP($E939,AcctTbl,4,0)="","",VLOOKUP($E939,AcctTbl,4,0)),"—"))</f>
        <v/>
      </c>
      <c r="G939" s="8" t="n"/>
      <c r="H939" s="9" t="n"/>
      <c r="I939" s="9" t="n"/>
      <c r="J939" s="10">
        <f>IF(OR($H939="",$I939=""),"",ROUND($H939*$I939,0))</f>
        <v/>
      </c>
      <c r="K939" s="10">
        <f>IF(OR($B939="",$E939="",Calc!$B936=""),"",SUMIFS(CalcAmtA,CalcPartyA,$E939,CalcKeyA,"&lt;="&amp;Calc!$B936)-SUMIFS(CalcWitB,CalcPartyB,$E939,CalcKeyB,"&lt;="&amp;Calc!$B936)+SUMIFS(CalcDepB,CalcPartyB,$E939,CalcKeyB,"&lt;="&amp;Calc!$B936))</f>
        <v/>
      </c>
      <c r="L939" s="8" t="n"/>
    </row>
    <row r="940">
      <c r="A940" s="7">
        <f>IF($B940="","",COUNTA($B$9:$B940))</f>
        <v/>
      </c>
      <c r="B940" s="8" t="n"/>
      <c r="C940" s="8" t="n"/>
      <c r="D940" s="8" t="n"/>
      <c r="E940" s="8" t="n"/>
      <c r="F940" s="7">
        <f>IF($E940="","",IFERROR(IF(VLOOKUP($E940,AcctTbl,4,0)="","",VLOOKUP($E940,AcctTbl,4,0)),"—"))</f>
        <v/>
      </c>
      <c r="G940" s="8" t="n"/>
      <c r="H940" s="9" t="n"/>
      <c r="I940" s="9" t="n"/>
      <c r="J940" s="10">
        <f>IF(OR($H940="",$I940=""),"",ROUND($H940*$I940,0))</f>
        <v/>
      </c>
      <c r="K940" s="10">
        <f>IF(OR($B940="",$E940="",Calc!$B937=""),"",SUMIFS(CalcAmtA,CalcPartyA,$E940,CalcKeyA,"&lt;="&amp;Calc!$B937)-SUMIFS(CalcWitB,CalcPartyB,$E940,CalcKeyB,"&lt;="&amp;Calc!$B937)+SUMIFS(CalcDepB,CalcPartyB,$E940,CalcKeyB,"&lt;="&amp;Calc!$B937))</f>
        <v/>
      </c>
      <c r="L940" s="8" t="n"/>
    </row>
    <row r="941">
      <c r="A941" s="7">
        <f>IF($B941="","",COUNTA($B$9:$B941))</f>
        <v/>
      </c>
      <c r="B941" s="8" t="n"/>
      <c r="C941" s="8" t="n"/>
      <c r="D941" s="8" t="n"/>
      <c r="E941" s="8" t="n"/>
      <c r="F941" s="7">
        <f>IF($E941="","",IFERROR(IF(VLOOKUP($E941,AcctTbl,4,0)="","",VLOOKUP($E941,AcctTbl,4,0)),"—"))</f>
        <v/>
      </c>
      <c r="G941" s="8" t="n"/>
      <c r="H941" s="9" t="n"/>
      <c r="I941" s="9" t="n"/>
      <c r="J941" s="10">
        <f>IF(OR($H941="",$I941=""),"",ROUND($H941*$I941,0))</f>
        <v/>
      </c>
      <c r="K941" s="10">
        <f>IF(OR($B941="",$E941="",Calc!$B938=""),"",SUMIFS(CalcAmtA,CalcPartyA,$E941,CalcKeyA,"&lt;="&amp;Calc!$B938)-SUMIFS(CalcWitB,CalcPartyB,$E941,CalcKeyB,"&lt;="&amp;Calc!$B938)+SUMIFS(CalcDepB,CalcPartyB,$E941,CalcKeyB,"&lt;="&amp;Calc!$B938))</f>
        <v/>
      </c>
      <c r="L941" s="8" t="n"/>
    </row>
    <row r="942">
      <c r="A942" s="7">
        <f>IF($B942="","",COUNTA($B$9:$B942))</f>
        <v/>
      </c>
      <c r="B942" s="8" t="n"/>
      <c r="C942" s="8" t="n"/>
      <c r="D942" s="8" t="n"/>
      <c r="E942" s="8" t="n"/>
      <c r="F942" s="7">
        <f>IF($E942="","",IFERROR(IF(VLOOKUP($E942,AcctTbl,4,0)="","",VLOOKUP($E942,AcctTbl,4,0)),"—"))</f>
        <v/>
      </c>
      <c r="G942" s="8" t="n"/>
      <c r="H942" s="9" t="n"/>
      <c r="I942" s="9" t="n"/>
      <c r="J942" s="10">
        <f>IF(OR($H942="",$I942=""),"",ROUND($H942*$I942,0))</f>
        <v/>
      </c>
      <c r="K942" s="10">
        <f>IF(OR($B942="",$E942="",Calc!$B939=""),"",SUMIFS(CalcAmtA,CalcPartyA,$E942,CalcKeyA,"&lt;="&amp;Calc!$B939)-SUMIFS(CalcWitB,CalcPartyB,$E942,CalcKeyB,"&lt;="&amp;Calc!$B939)+SUMIFS(CalcDepB,CalcPartyB,$E942,CalcKeyB,"&lt;="&amp;Calc!$B939))</f>
        <v/>
      </c>
      <c r="L942" s="8" t="n"/>
    </row>
    <row r="943">
      <c r="A943" s="7">
        <f>IF($B943="","",COUNTA($B$9:$B943))</f>
        <v/>
      </c>
      <c r="B943" s="8" t="n"/>
      <c r="C943" s="8" t="n"/>
      <c r="D943" s="8" t="n"/>
      <c r="E943" s="8" t="n"/>
      <c r="F943" s="7">
        <f>IF($E943="","",IFERROR(IF(VLOOKUP($E943,AcctTbl,4,0)="","",VLOOKUP($E943,AcctTbl,4,0)),"—"))</f>
        <v/>
      </c>
      <c r="G943" s="8" t="n"/>
      <c r="H943" s="9" t="n"/>
      <c r="I943" s="9" t="n"/>
      <c r="J943" s="10">
        <f>IF(OR($H943="",$I943=""),"",ROUND($H943*$I943,0))</f>
        <v/>
      </c>
      <c r="K943" s="10">
        <f>IF(OR($B943="",$E943="",Calc!$B940=""),"",SUMIFS(CalcAmtA,CalcPartyA,$E943,CalcKeyA,"&lt;="&amp;Calc!$B940)-SUMIFS(CalcWitB,CalcPartyB,$E943,CalcKeyB,"&lt;="&amp;Calc!$B940)+SUMIFS(CalcDepB,CalcPartyB,$E943,CalcKeyB,"&lt;="&amp;Calc!$B940))</f>
        <v/>
      </c>
      <c r="L943" s="8" t="n"/>
    </row>
    <row r="944">
      <c r="A944" s="7">
        <f>IF($B944="","",COUNTA($B$9:$B944))</f>
        <v/>
      </c>
      <c r="B944" s="8" t="n"/>
      <c r="C944" s="8" t="n"/>
      <c r="D944" s="8" t="n"/>
      <c r="E944" s="8" t="n"/>
      <c r="F944" s="7">
        <f>IF($E944="","",IFERROR(IF(VLOOKUP($E944,AcctTbl,4,0)="","",VLOOKUP($E944,AcctTbl,4,0)),"—"))</f>
        <v/>
      </c>
      <c r="G944" s="8" t="n"/>
      <c r="H944" s="9" t="n"/>
      <c r="I944" s="9" t="n"/>
      <c r="J944" s="10">
        <f>IF(OR($H944="",$I944=""),"",ROUND($H944*$I944,0))</f>
        <v/>
      </c>
      <c r="K944" s="10">
        <f>IF(OR($B944="",$E944="",Calc!$B941=""),"",SUMIFS(CalcAmtA,CalcPartyA,$E944,CalcKeyA,"&lt;="&amp;Calc!$B941)-SUMIFS(CalcWitB,CalcPartyB,$E944,CalcKeyB,"&lt;="&amp;Calc!$B941)+SUMIFS(CalcDepB,CalcPartyB,$E944,CalcKeyB,"&lt;="&amp;Calc!$B941))</f>
        <v/>
      </c>
      <c r="L944" s="8" t="n"/>
    </row>
    <row r="945">
      <c r="A945" s="7">
        <f>IF($B945="","",COUNTA($B$9:$B945))</f>
        <v/>
      </c>
      <c r="B945" s="8" t="n"/>
      <c r="C945" s="8" t="n"/>
      <c r="D945" s="8" t="n"/>
      <c r="E945" s="8" t="n"/>
      <c r="F945" s="7">
        <f>IF($E945="","",IFERROR(IF(VLOOKUP($E945,AcctTbl,4,0)="","",VLOOKUP($E945,AcctTbl,4,0)),"—"))</f>
        <v/>
      </c>
      <c r="G945" s="8" t="n"/>
      <c r="H945" s="9" t="n"/>
      <c r="I945" s="9" t="n"/>
      <c r="J945" s="10">
        <f>IF(OR($H945="",$I945=""),"",ROUND($H945*$I945,0))</f>
        <v/>
      </c>
      <c r="K945" s="10">
        <f>IF(OR($B945="",$E945="",Calc!$B942=""),"",SUMIFS(CalcAmtA,CalcPartyA,$E945,CalcKeyA,"&lt;="&amp;Calc!$B942)-SUMIFS(CalcWitB,CalcPartyB,$E945,CalcKeyB,"&lt;="&amp;Calc!$B942)+SUMIFS(CalcDepB,CalcPartyB,$E945,CalcKeyB,"&lt;="&amp;Calc!$B942))</f>
        <v/>
      </c>
      <c r="L945" s="8" t="n"/>
    </row>
    <row r="946">
      <c r="A946" s="7">
        <f>IF($B946="","",COUNTA($B$9:$B946))</f>
        <v/>
      </c>
      <c r="B946" s="8" t="n"/>
      <c r="C946" s="8" t="n"/>
      <c r="D946" s="8" t="n"/>
      <c r="E946" s="8" t="n"/>
      <c r="F946" s="7">
        <f>IF($E946="","",IFERROR(IF(VLOOKUP($E946,AcctTbl,4,0)="","",VLOOKUP($E946,AcctTbl,4,0)),"—"))</f>
        <v/>
      </c>
      <c r="G946" s="8" t="n"/>
      <c r="H946" s="9" t="n"/>
      <c r="I946" s="9" t="n"/>
      <c r="J946" s="10">
        <f>IF(OR($H946="",$I946=""),"",ROUND($H946*$I946,0))</f>
        <v/>
      </c>
      <c r="K946" s="10">
        <f>IF(OR($B946="",$E946="",Calc!$B943=""),"",SUMIFS(CalcAmtA,CalcPartyA,$E946,CalcKeyA,"&lt;="&amp;Calc!$B943)-SUMIFS(CalcWitB,CalcPartyB,$E946,CalcKeyB,"&lt;="&amp;Calc!$B943)+SUMIFS(CalcDepB,CalcPartyB,$E946,CalcKeyB,"&lt;="&amp;Calc!$B943))</f>
        <v/>
      </c>
      <c r="L946" s="8" t="n"/>
    </row>
    <row r="947">
      <c r="A947" s="7">
        <f>IF($B947="","",COUNTA($B$9:$B947))</f>
        <v/>
      </c>
      <c r="B947" s="8" t="n"/>
      <c r="C947" s="8" t="n"/>
      <c r="D947" s="8" t="n"/>
      <c r="E947" s="8" t="n"/>
      <c r="F947" s="7">
        <f>IF($E947="","",IFERROR(IF(VLOOKUP($E947,AcctTbl,4,0)="","",VLOOKUP($E947,AcctTbl,4,0)),"—"))</f>
        <v/>
      </c>
      <c r="G947" s="8" t="n"/>
      <c r="H947" s="9" t="n"/>
      <c r="I947" s="9" t="n"/>
      <c r="J947" s="10">
        <f>IF(OR($H947="",$I947=""),"",ROUND($H947*$I947,0))</f>
        <v/>
      </c>
      <c r="K947" s="10">
        <f>IF(OR($B947="",$E947="",Calc!$B944=""),"",SUMIFS(CalcAmtA,CalcPartyA,$E947,CalcKeyA,"&lt;="&amp;Calc!$B944)-SUMIFS(CalcWitB,CalcPartyB,$E947,CalcKeyB,"&lt;="&amp;Calc!$B944)+SUMIFS(CalcDepB,CalcPartyB,$E947,CalcKeyB,"&lt;="&amp;Calc!$B944))</f>
        <v/>
      </c>
      <c r="L947" s="8" t="n"/>
    </row>
    <row r="948">
      <c r="A948" s="7">
        <f>IF($B948="","",COUNTA($B$9:$B948))</f>
        <v/>
      </c>
      <c r="B948" s="8" t="n"/>
      <c r="C948" s="8" t="n"/>
      <c r="D948" s="8" t="n"/>
      <c r="E948" s="8" t="n"/>
      <c r="F948" s="7">
        <f>IF($E948="","",IFERROR(IF(VLOOKUP($E948,AcctTbl,4,0)="","",VLOOKUP($E948,AcctTbl,4,0)),"—"))</f>
        <v/>
      </c>
      <c r="G948" s="8" t="n"/>
      <c r="H948" s="9" t="n"/>
      <c r="I948" s="9" t="n"/>
      <c r="J948" s="10">
        <f>IF(OR($H948="",$I948=""),"",ROUND($H948*$I948,0))</f>
        <v/>
      </c>
      <c r="K948" s="10">
        <f>IF(OR($B948="",$E948="",Calc!$B945=""),"",SUMIFS(CalcAmtA,CalcPartyA,$E948,CalcKeyA,"&lt;="&amp;Calc!$B945)-SUMIFS(CalcWitB,CalcPartyB,$E948,CalcKeyB,"&lt;="&amp;Calc!$B945)+SUMIFS(CalcDepB,CalcPartyB,$E948,CalcKeyB,"&lt;="&amp;Calc!$B945))</f>
        <v/>
      </c>
      <c r="L948" s="8" t="n"/>
    </row>
    <row r="949">
      <c r="A949" s="7">
        <f>IF($B949="","",COUNTA($B$9:$B949))</f>
        <v/>
      </c>
      <c r="B949" s="8" t="n"/>
      <c r="C949" s="8" t="n"/>
      <c r="D949" s="8" t="n"/>
      <c r="E949" s="8" t="n"/>
      <c r="F949" s="7">
        <f>IF($E949="","",IFERROR(IF(VLOOKUP($E949,AcctTbl,4,0)="","",VLOOKUP($E949,AcctTbl,4,0)),"—"))</f>
        <v/>
      </c>
      <c r="G949" s="8" t="n"/>
      <c r="H949" s="9" t="n"/>
      <c r="I949" s="9" t="n"/>
      <c r="J949" s="10">
        <f>IF(OR($H949="",$I949=""),"",ROUND($H949*$I949,0))</f>
        <v/>
      </c>
      <c r="K949" s="10">
        <f>IF(OR($B949="",$E949="",Calc!$B946=""),"",SUMIFS(CalcAmtA,CalcPartyA,$E949,CalcKeyA,"&lt;="&amp;Calc!$B946)-SUMIFS(CalcWitB,CalcPartyB,$E949,CalcKeyB,"&lt;="&amp;Calc!$B946)+SUMIFS(CalcDepB,CalcPartyB,$E949,CalcKeyB,"&lt;="&amp;Calc!$B946))</f>
        <v/>
      </c>
      <c r="L949" s="8" t="n"/>
    </row>
    <row r="950">
      <c r="A950" s="7">
        <f>IF($B950="","",COUNTA($B$9:$B950))</f>
        <v/>
      </c>
      <c r="B950" s="8" t="n"/>
      <c r="C950" s="8" t="n"/>
      <c r="D950" s="8" t="n"/>
      <c r="E950" s="8" t="n"/>
      <c r="F950" s="7">
        <f>IF($E950="","",IFERROR(IF(VLOOKUP($E950,AcctTbl,4,0)="","",VLOOKUP($E950,AcctTbl,4,0)),"—"))</f>
        <v/>
      </c>
      <c r="G950" s="8" t="n"/>
      <c r="H950" s="9" t="n"/>
      <c r="I950" s="9" t="n"/>
      <c r="J950" s="10">
        <f>IF(OR($H950="",$I950=""),"",ROUND($H950*$I950,0))</f>
        <v/>
      </c>
      <c r="K950" s="10">
        <f>IF(OR($B950="",$E950="",Calc!$B947=""),"",SUMIFS(CalcAmtA,CalcPartyA,$E950,CalcKeyA,"&lt;="&amp;Calc!$B947)-SUMIFS(CalcWitB,CalcPartyB,$E950,CalcKeyB,"&lt;="&amp;Calc!$B947)+SUMIFS(CalcDepB,CalcPartyB,$E950,CalcKeyB,"&lt;="&amp;Calc!$B947))</f>
        <v/>
      </c>
      <c r="L950" s="8" t="n"/>
    </row>
    <row r="951">
      <c r="A951" s="7">
        <f>IF($B951="","",COUNTA($B$9:$B951))</f>
        <v/>
      </c>
      <c r="B951" s="8" t="n"/>
      <c r="C951" s="8" t="n"/>
      <c r="D951" s="8" t="n"/>
      <c r="E951" s="8" t="n"/>
      <c r="F951" s="7">
        <f>IF($E951="","",IFERROR(IF(VLOOKUP($E951,AcctTbl,4,0)="","",VLOOKUP($E951,AcctTbl,4,0)),"—"))</f>
        <v/>
      </c>
      <c r="G951" s="8" t="n"/>
      <c r="H951" s="9" t="n"/>
      <c r="I951" s="9" t="n"/>
      <c r="J951" s="10">
        <f>IF(OR($H951="",$I951=""),"",ROUND($H951*$I951,0))</f>
        <v/>
      </c>
      <c r="K951" s="10">
        <f>IF(OR($B951="",$E951="",Calc!$B948=""),"",SUMIFS(CalcAmtA,CalcPartyA,$E951,CalcKeyA,"&lt;="&amp;Calc!$B948)-SUMIFS(CalcWitB,CalcPartyB,$E951,CalcKeyB,"&lt;="&amp;Calc!$B948)+SUMIFS(CalcDepB,CalcPartyB,$E951,CalcKeyB,"&lt;="&amp;Calc!$B948))</f>
        <v/>
      </c>
      <c r="L951" s="8" t="n"/>
    </row>
    <row r="952">
      <c r="A952" s="7">
        <f>IF($B952="","",COUNTA($B$9:$B952))</f>
        <v/>
      </c>
      <c r="B952" s="8" t="n"/>
      <c r="C952" s="8" t="n"/>
      <c r="D952" s="8" t="n"/>
      <c r="E952" s="8" t="n"/>
      <c r="F952" s="7">
        <f>IF($E952="","",IFERROR(IF(VLOOKUP($E952,AcctTbl,4,0)="","",VLOOKUP($E952,AcctTbl,4,0)),"—"))</f>
        <v/>
      </c>
      <c r="G952" s="8" t="n"/>
      <c r="H952" s="9" t="n"/>
      <c r="I952" s="9" t="n"/>
      <c r="J952" s="10">
        <f>IF(OR($H952="",$I952=""),"",ROUND($H952*$I952,0))</f>
        <v/>
      </c>
      <c r="K952" s="10">
        <f>IF(OR($B952="",$E952="",Calc!$B949=""),"",SUMIFS(CalcAmtA,CalcPartyA,$E952,CalcKeyA,"&lt;="&amp;Calc!$B949)-SUMIFS(CalcWitB,CalcPartyB,$E952,CalcKeyB,"&lt;="&amp;Calc!$B949)+SUMIFS(CalcDepB,CalcPartyB,$E952,CalcKeyB,"&lt;="&amp;Calc!$B949))</f>
        <v/>
      </c>
      <c r="L952" s="8" t="n"/>
    </row>
    <row r="953">
      <c r="A953" s="7">
        <f>IF($B953="","",COUNTA($B$9:$B953))</f>
        <v/>
      </c>
      <c r="B953" s="8" t="n"/>
      <c r="C953" s="8" t="n"/>
      <c r="D953" s="8" t="n"/>
      <c r="E953" s="8" t="n"/>
      <c r="F953" s="7">
        <f>IF($E953="","",IFERROR(IF(VLOOKUP($E953,AcctTbl,4,0)="","",VLOOKUP($E953,AcctTbl,4,0)),"—"))</f>
        <v/>
      </c>
      <c r="G953" s="8" t="n"/>
      <c r="H953" s="9" t="n"/>
      <c r="I953" s="9" t="n"/>
      <c r="J953" s="10">
        <f>IF(OR($H953="",$I953=""),"",ROUND($H953*$I953,0))</f>
        <v/>
      </c>
      <c r="K953" s="10">
        <f>IF(OR($B953="",$E953="",Calc!$B950=""),"",SUMIFS(CalcAmtA,CalcPartyA,$E953,CalcKeyA,"&lt;="&amp;Calc!$B950)-SUMIFS(CalcWitB,CalcPartyB,$E953,CalcKeyB,"&lt;="&amp;Calc!$B950)+SUMIFS(CalcDepB,CalcPartyB,$E953,CalcKeyB,"&lt;="&amp;Calc!$B950))</f>
        <v/>
      </c>
      <c r="L953" s="8" t="n"/>
    </row>
    <row r="954">
      <c r="A954" s="7">
        <f>IF($B954="","",COUNTA($B$9:$B954))</f>
        <v/>
      </c>
      <c r="B954" s="8" t="n"/>
      <c r="C954" s="8" t="n"/>
      <c r="D954" s="8" t="n"/>
      <c r="E954" s="8" t="n"/>
      <c r="F954" s="7">
        <f>IF($E954="","",IFERROR(IF(VLOOKUP($E954,AcctTbl,4,0)="","",VLOOKUP($E954,AcctTbl,4,0)),"—"))</f>
        <v/>
      </c>
      <c r="G954" s="8" t="n"/>
      <c r="H954" s="9" t="n"/>
      <c r="I954" s="9" t="n"/>
      <c r="J954" s="10">
        <f>IF(OR($H954="",$I954=""),"",ROUND($H954*$I954,0))</f>
        <v/>
      </c>
      <c r="K954" s="10">
        <f>IF(OR($B954="",$E954="",Calc!$B951=""),"",SUMIFS(CalcAmtA,CalcPartyA,$E954,CalcKeyA,"&lt;="&amp;Calc!$B951)-SUMIFS(CalcWitB,CalcPartyB,$E954,CalcKeyB,"&lt;="&amp;Calc!$B951)+SUMIFS(CalcDepB,CalcPartyB,$E954,CalcKeyB,"&lt;="&amp;Calc!$B951))</f>
        <v/>
      </c>
      <c r="L954" s="8" t="n"/>
    </row>
    <row r="955">
      <c r="A955" s="7">
        <f>IF($B955="","",COUNTA($B$9:$B955))</f>
        <v/>
      </c>
      <c r="B955" s="8" t="n"/>
      <c r="C955" s="8" t="n"/>
      <c r="D955" s="8" t="n"/>
      <c r="E955" s="8" t="n"/>
      <c r="F955" s="7">
        <f>IF($E955="","",IFERROR(IF(VLOOKUP($E955,AcctTbl,4,0)="","",VLOOKUP($E955,AcctTbl,4,0)),"—"))</f>
        <v/>
      </c>
      <c r="G955" s="8" t="n"/>
      <c r="H955" s="9" t="n"/>
      <c r="I955" s="9" t="n"/>
      <c r="J955" s="10">
        <f>IF(OR($H955="",$I955=""),"",ROUND($H955*$I955,0))</f>
        <v/>
      </c>
      <c r="K955" s="10">
        <f>IF(OR($B955="",$E955="",Calc!$B952=""),"",SUMIFS(CalcAmtA,CalcPartyA,$E955,CalcKeyA,"&lt;="&amp;Calc!$B952)-SUMIFS(CalcWitB,CalcPartyB,$E955,CalcKeyB,"&lt;="&amp;Calc!$B952)+SUMIFS(CalcDepB,CalcPartyB,$E955,CalcKeyB,"&lt;="&amp;Calc!$B952))</f>
        <v/>
      </c>
      <c r="L955" s="8" t="n"/>
    </row>
    <row r="956">
      <c r="A956" s="7">
        <f>IF($B956="","",COUNTA($B$9:$B956))</f>
        <v/>
      </c>
      <c r="B956" s="8" t="n"/>
      <c r="C956" s="8" t="n"/>
      <c r="D956" s="8" t="n"/>
      <c r="E956" s="8" t="n"/>
      <c r="F956" s="7">
        <f>IF($E956="","",IFERROR(IF(VLOOKUP($E956,AcctTbl,4,0)="","",VLOOKUP($E956,AcctTbl,4,0)),"—"))</f>
        <v/>
      </c>
      <c r="G956" s="8" t="n"/>
      <c r="H956" s="9" t="n"/>
      <c r="I956" s="9" t="n"/>
      <c r="J956" s="10">
        <f>IF(OR($H956="",$I956=""),"",ROUND($H956*$I956,0))</f>
        <v/>
      </c>
      <c r="K956" s="10">
        <f>IF(OR($B956="",$E956="",Calc!$B953=""),"",SUMIFS(CalcAmtA,CalcPartyA,$E956,CalcKeyA,"&lt;="&amp;Calc!$B953)-SUMIFS(CalcWitB,CalcPartyB,$E956,CalcKeyB,"&lt;="&amp;Calc!$B953)+SUMIFS(CalcDepB,CalcPartyB,$E956,CalcKeyB,"&lt;="&amp;Calc!$B953))</f>
        <v/>
      </c>
      <c r="L956" s="8" t="n"/>
    </row>
    <row r="957">
      <c r="A957" s="7">
        <f>IF($B957="","",COUNTA($B$9:$B957))</f>
        <v/>
      </c>
      <c r="B957" s="8" t="n"/>
      <c r="C957" s="8" t="n"/>
      <c r="D957" s="8" t="n"/>
      <c r="E957" s="8" t="n"/>
      <c r="F957" s="7">
        <f>IF($E957="","",IFERROR(IF(VLOOKUP($E957,AcctTbl,4,0)="","",VLOOKUP($E957,AcctTbl,4,0)),"—"))</f>
        <v/>
      </c>
      <c r="G957" s="8" t="n"/>
      <c r="H957" s="9" t="n"/>
      <c r="I957" s="9" t="n"/>
      <c r="J957" s="10">
        <f>IF(OR($H957="",$I957=""),"",ROUND($H957*$I957,0))</f>
        <v/>
      </c>
      <c r="K957" s="10">
        <f>IF(OR($B957="",$E957="",Calc!$B954=""),"",SUMIFS(CalcAmtA,CalcPartyA,$E957,CalcKeyA,"&lt;="&amp;Calc!$B954)-SUMIFS(CalcWitB,CalcPartyB,$E957,CalcKeyB,"&lt;="&amp;Calc!$B954)+SUMIFS(CalcDepB,CalcPartyB,$E957,CalcKeyB,"&lt;="&amp;Calc!$B954))</f>
        <v/>
      </c>
      <c r="L957" s="8" t="n"/>
    </row>
    <row r="958">
      <c r="A958" s="7">
        <f>IF($B958="","",COUNTA($B$9:$B958))</f>
        <v/>
      </c>
      <c r="B958" s="8" t="n"/>
      <c r="C958" s="8" t="n"/>
      <c r="D958" s="8" t="n"/>
      <c r="E958" s="8" t="n"/>
      <c r="F958" s="7">
        <f>IF($E958="","",IFERROR(IF(VLOOKUP($E958,AcctTbl,4,0)="","",VLOOKUP($E958,AcctTbl,4,0)),"—"))</f>
        <v/>
      </c>
      <c r="G958" s="8" t="n"/>
      <c r="H958" s="9" t="n"/>
      <c r="I958" s="9" t="n"/>
      <c r="J958" s="10">
        <f>IF(OR($H958="",$I958=""),"",ROUND($H958*$I958,0))</f>
        <v/>
      </c>
      <c r="K958" s="10">
        <f>IF(OR($B958="",$E958="",Calc!$B955=""),"",SUMIFS(CalcAmtA,CalcPartyA,$E958,CalcKeyA,"&lt;="&amp;Calc!$B955)-SUMIFS(CalcWitB,CalcPartyB,$E958,CalcKeyB,"&lt;="&amp;Calc!$B955)+SUMIFS(CalcDepB,CalcPartyB,$E958,CalcKeyB,"&lt;="&amp;Calc!$B955))</f>
        <v/>
      </c>
      <c r="L958" s="8" t="n"/>
    </row>
    <row r="959">
      <c r="A959" s="7">
        <f>IF($B959="","",COUNTA($B$9:$B959))</f>
        <v/>
      </c>
      <c r="B959" s="8" t="n"/>
      <c r="C959" s="8" t="n"/>
      <c r="D959" s="8" t="n"/>
      <c r="E959" s="8" t="n"/>
      <c r="F959" s="7">
        <f>IF($E959="","",IFERROR(IF(VLOOKUP($E959,AcctTbl,4,0)="","",VLOOKUP($E959,AcctTbl,4,0)),"—"))</f>
        <v/>
      </c>
      <c r="G959" s="8" t="n"/>
      <c r="H959" s="9" t="n"/>
      <c r="I959" s="9" t="n"/>
      <c r="J959" s="10">
        <f>IF(OR($H959="",$I959=""),"",ROUND($H959*$I959,0))</f>
        <v/>
      </c>
      <c r="K959" s="10">
        <f>IF(OR($B959="",$E959="",Calc!$B956=""),"",SUMIFS(CalcAmtA,CalcPartyA,$E959,CalcKeyA,"&lt;="&amp;Calc!$B956)-SUMIFS(CalcWitB,CalcPartyB,$E959,CalcKeyB,"&lt;="&amp;Calc!$B956)+SUMIFS(CalcDepB,CalcPartyB,$E959,CalcKeyB,"&lt;="&amp;Calc!$B956))</f>
        <v/>
      </c>
      <c r="L959" s="8" t="n"/>
    </row>
    <row r="960">
      <c r="A960" s="7">
        <f>IF($B960="","",COUNTA($B$9:$B960))</f>
        <v/>
      </c>
      <c r="B960" s="8" t="n"/>
      <c r="C960" s="8" t="n"/>
      <c r="D960" s="8" t="n"/>
      <c r="E960" s="8" t="n"/>
      <c r="F960" s="7">
        <f>IF($E960="","",IFERROR(IF(VLOOKUP($E960,AcctTbl,4,0)="","",VLOOKUP($E960,AcctTbl,4,0)),"—"))</f>
        <v/>
      </c>
      <c r="G960" s="8" t="n"/>
      <c r="H960" s="9" t="n"/>
      <c r="I960" s="9" t="n"/>
      <c r="J960" s="10">
        <f>IF(OR($H960="",$I960=""),"",ROUND($H960*$I960,0))</f>
        <v/>
      </c>
      <c r="K960" s="10">
        <f>IF(OR($B960="",$E960="",Calc!$B957=""),"",SUMIFS(CalcAmtA,CalcPartyA,$E960,CalcKeyA,"&lt;="&amp;Calc!$B957)-SUMIFS(CalcWitB,CalcPartyB,$E960,CalcKeyB,"&lt;="&amp;Calc!$B957)+SUMIFS(CalcDepB,CalcPartyB,$E960,CalcKeyB,"&lt;="&amp;Calc!$B957))</f>
        <v/>
      </c>
      <c r="L960" s="8" t="n"/>
    </row>
    <row r="961">
      <c r="A961" s="7">
        <f>IF($B961="","",COUNTA($B$9:$B961))</f>
        <v/>
      </c>
      <c r="B961" s="8" t="n"/>
      <c r="C961" s="8" t="n"/>
      <c r="D961" s="8" t="n"/>
      <c r="E961" s="8" t="n"/>
      <c r="F961" s="7">
        <f>IF($E961="","",IFERROR(IF(VLOOKUP($E961,AcctTbl,4,0)="","",VLOOKUP($E961,AcctTbl,4,0)),"—"))</f>
        <v/>
      </c>
      <c r="G961" s="8" t="n"/>
      <c r="H961" s="9" t="n"/>
      <c r="I961" s="9" t="n"/>
      <c r="J961" s="10">
        <f>IF(OR($H961="",$I961=""),"",ROUND($H961*$I961,0))</f>
        <v/>
      </c>
      <c r="K961" s="10">
        <f>IF(OR($B961="",$E961="",Calc!$B958=""),"",SUMIFS(CalcAmtA,CalcPartyA,$E961,CalcKeyA,"&lt;="&amp;Calc!$B958)-SUMIFS(CalcWitB,CalcPartyB,$E961,CalcKeyB,"&lt;="&amp;Calc!$B958)+SUMIFS(CalcDepB,CalcPartyB,$E961,CalcKeyB,"&lt;="&amp;Calc!$B958))</f>
        <v/>
      </c>
      <c r="L961" s="8" t="n"/>
    </row>
    <row r="962">
      <c r="A962" s="7">
        <f>IF($B962="","",COUNTA($B$9:$B962))</f>
        <v/>
      </c>
      <c r="B962" s="8" t="n"/>
      <c r="C962" s="8" t="n"/>
      <c r="D962" s="8" t="n"/>
      <c r="E962" s="8" t="n"/>
      <c r="F962" s="7">
        <f>IF($E962="","",IFERROR(IF(VLOOKUP($E962,AcctTbl,4,0)="","",VLOOKUP($E962,AcctTbl,4,0)),"—"))</f>
        <v/>
      </c>
      <c r="G962" s="8" t="n"/>
      <c r="H962" s="9" t="n"/>
      <c r="I962" s="9" t="n"/>
      <c r="J962" s="10">
        <f>IF(OR($H962="",$I962=""),"",ROUND($H962*$I962,0))</f>
        <v/>
      </c>
      <c r="K962" s="10">
        <f>IF(OR($B962="",$E962="",Calc!$B959=""),"",SUMIFS(CalcAmtA,CalcPartyA,$E962,CalcKeyA,"&lt;="&amp;Calc!$B959)-SUMIFS(CalcWitB,CalcPartyB,$E962,CalcKeyB,"&lt;="&amp;Calc!$B959)+SUMIFS(CalcDepB,CalcPartyB,$E962,CalcKeyB,"&lt;="&amp;Calc!$B959))</f>
        <v/>
      </c>
      <c r="L962" s="8" t="n"/>
    </row>
    <row r="963">
      <c r="A963" s="7">
        <f>IF($B963="","",COUNTA($B$9:$B963))</f>
        <v/>
      </c>
      <c r="B963" s="8" t="n"/>
      <c r="C963" s="8" t="n"/>
      <c r="D963" s="8" t="n"/>
      <c r="E963" s="8" t="n"/>
      <c r="F963" s="7">
        <f>IF($E963="","",IFERROR(IF(VLOOKUP($E963,AcctTbl,4,0)="","",VLOOKUP($E963,AcctTbl,4,0)),"—"))</f>
        <v/>
      </c>
      <c r="G963" s="8" t="n"/>
      <c r="H963" s="9" t="n"/>
      <c r="I963" s="9" t="n"/>
      <c r="J963" s="10">
        <f>IF(OR($H963="",$I963=""),"",ROUND($H963*$I963,0))</f>
        <v/>
      </c>
      <c r="K963" s="10">
        <f>IF(OR($B963="",$E963="",Calc!$B960=""),"",SUMIFS(CalcAmtA,CalcPartyA,$E963,CalcKeyA,"&lt;="&amp;Calc!$B960)-SUMIFS(CalcWitB,CalcPartyB,$E963,CalcKeyB,"&lt;="&amp;Calc!$B960)+SUMIFS(CalcDepB,CalcPartyB,$E963,CalcKeyB,"&lt;="&amp;Calc!$B960))</f>
        <v/>
      </c>
      <c r="L963" s="8" t="n"/>
    </row>
    <row r="964">
      <c r="A964" s="7">
        <f>IF($B964="","",COUNTA($B$9:$B964))</f>
        <v/>
      </c>
      <c r="B964" s="8" t="n"/>
      <c r="C964" s="8" t="n"/>
      <c r="D964" s="8" t="n"/>
      <c r="E964" s="8" t="n"/>
      <c r="F964" s="7">
        <f>IF($E964="","",IFERROR(IF(VLOOKUP($E964,AcctTbl,4,0)="","",VLOOKUP($E964,AcctTbl,4,0)),"—"))</f>
        <v/>
      </c>
      <c r="G964" s="8" t="n"/>
      <c r="H964" s="9" t="n"/>
      <c r="I964" s="9" t="n"/>
      <c r="J964" s="10">
        <f>IF(OR($H964="",$I964=""),"",ROUND($H964*$I964,0))</f>
        <v/>
      </c>
      <c r="K964" s="10">
        <f>IF(OR($B964="",$E964="",Calc!$B961=""),"",SUMIFS(CalcAmtA,CalcPartyA,$E964,CalcKeyA,"&lt;="&amp;Calc!$B961)-SUMIFS(CalcWitB,CalcPartyB,$E964,CalcKeyB,"&lt;="&amp;Calc!$B961)+SUMIFS(CalcDepB,CalcPartyB,$E964,CalcKeyB,"&lt;="&amp;Calc!$B961))</f>
        <v/>
      </c>
      <c r="L964" s="8" t="n"/>
    </row>
    <row r="965">
      <c r="A965" s="7">
        <f>IF($B965="","",COUNTA($B$9:$B965))</f>
        <v/>
      </c>
      <c r="B965" s="8" t="n"/>
      <c r="C965" s="8" t="n"/>
      <c r="D965" s="8" t="n"/>
      <c r="E965" s="8" t="n"/>
      <c r="F965" s="7">
        <f>IF($E965="","",IFERROR(IF(VLOOKUP($E965,AcctTbl,4,0)="","",VLOOKUP($E965,AcctTbl,4,0)),"—"))</f>
        <v/>
      </c>
      <c r="G965" s="8" t="n"/>
      <c r="H965" s="9" t="n"/>
      <c r="I965" s="9" t="n"/>
      <c r="J965" s="10">
        <f>IF(OR($H965="",$I965=""),"",ROUND($H965*$I965,0))</f>
        <v/>
      </c>
      <c r="K965" s="10">
        <f>IF(OR($B965="",$E965="",Calc!$B962=""),"",SUMIFS(CalcAmtA,CalcPartyA,$E965,CalcKeyA,"&lt;="&amp;Calc!$B962)-SUMIFS(CalcWitB,CalcPartyB,$E965,CalcKeyB,"&lt;="&amp;Calc!$B962)+SUMIFS(CalcDepB,CalcPartyB,$E965,CalcKeyB,"&lt;="&amp;Calc!$B962))</f>
        <v/>
      </c>
      <c r="L965" s="8" t="n"/>
    </row>
    <row r="966">
      <c r="A966" s="7">
        <f>IF($B966="","",COUNTA($B$9:$B966))</f>
        <v/>
      </c>
      <c r="B966" s="8" t="n"/>
      <c r="C966" s="8" t="n"/>
      <c r="D966" s="8" t="n"/>
      <c r="E966" s="8" t="n"/>
      <c r="F966" s="7">
        <f>IF($E966="","",IFERROR(IF(VLOOKUP($E966,AcctTbl,4,0)="","",VLOOKUP($E966,AcctTbl,4,0)),"—"))</f>
        <v/>
      </c>
      <c r="G966" s="8" t="n"/>
      <c r="H966" s="9" t="n"/>
      <c r="I966" s="9" t="n"/>
      <c r="J966" s="10">
        <f>IF(OR($H966="",$I966=""),"",ROUND($H966*$I966,0))</f>
        <v/>
      </c>
      <c r="K966" s="10">
        <f>IF(OR($B966="",$E966="",Calc!$B963=""),"",SUMIFS(CalcAmtA,CalcPartyA,$E966,CalcKeyA,"&lt;="&amp;Calc!$B963)-SUMIFS(CalcWitB,CalcPartyB,$E966,CalcKeyB,"&lt;="&amp;Calc!$B963)+SUMIFS(CalcDepB,CalcPartyB,$E966,CalcKeyB,"&lt;="&amp;Calc!$B963))</f>
        <v/>
      </c>
      <c r="L966" s="8" t="n"/>
    </row>
    <row r="967">
      <c r="A967" s="7">
        <f>IF($B967="","",COUNTA($B$9:$B967))</f>
        <v/>
      </c>
      <c r="B967" s="8" t="n"/>
      <c r="C967" s="8" t="n"/>
      <c r="D967" s="8" t="n"/>
      <c r="E967" s="8" t="n"/>
      <c r="F967" s="7">
        <f>IF($E967="","",IFERROR(IF(VLOOKUP($E967,AcctTbl,4,0)="","",VLOOKUP($E967,AcctTbl,4,0)),"—"))</f>
        <v/>
      </c>
      <c r="G967" s="8" t="n"/>
      <c r="H967" s="9" t="n"/>
      <c r="I967" s="9" t="n"/>
      <c r="J967" s="10">
        <f>IF(OR($H967="",$I967=""),"",ROUND($H967*$I967,0))</f>
        <v/>
      </c>
      <c r="K967" s="10">
        <f>IF(OR($B967="",$E967="",Calc!$B964=""),"",SUMIFS(CalcAmtA,CalcPartyA,$E967,CalcKeyA,"&lt;="&amp;Calc!$B964)-SUMIFS(CalcWitB,CalcPartyB,$E967,CalcKeyB,"&lt;="&amp;Calc!$B964)+SUMIFS(CalcDepB,CalcPartyB,$E967,CalcKeyB,"&lt;="&amp;Calc!$B964))</f>
        <v/>
      </c>
      <c r="L967" s="8" t="n"/>
    </row>
    <row r="968">
      <c r="A968" s="7">
        <f>IF($B968="","",COUNTA($B$9:$B968))</f>
        <v/>
      </c>
      <c r="B968" s="8" t="n"/>
      <c r="C968" s="8" t="n"/>
      <c r="D968" s="8" t="n"/>
      <c r="E968" s="8" t="n"/>
      <c r="F968" s="7">
        <f>IF($E968="","",IFERROR(IF(VLOOKUP($E968,AcctTbl,4,0)="","",VLOOKUP($E968,AcctTbl,4,0)),"—"))</f>
        <v/>
      </c>
      <c r="G968" s="8" t="n"/>
      <c r="H968" s="9" t="n"/>
      <c r="I968" s="9" t="n"/>
      <c r="J968" s="10">
        <f>IF(OR($H968="",$I968=""),"",ROUND($H968*$I968,0))</f>
        <v/>
      </c>
      <c r="K968" s="10">
        <f>IF(OR($B968="",$E968="",Calc!$B965=""),"",SUMIFS(CalcAmtA,CalcPartyA,$E968,CalcKeyA,"&lt;="&amp;Calc!$B965)-SUMIFS(CalcWitB,CalcPartyB,$E968,CalcKeyB,"&lt;="&amp;Calc!$B965)+SUMIFS(CalcDepB,CalcPartyB,$E968,CalcKeyB,"&lt;="&amp;Calc!$B965))</f>
        <v/>
      </c>
      <c r="L968" s="8" t="n"/>
    </row>
    <row r="969">
      <c r="A969" s="7">
        <f>IF($B969="","",COUNTA($B$9:$B969))</f>
        <v/>
      </c>
      <c r="B969" s="8" t="n"/>
      <c r="C969" s="8" t="n"/>
      <c r="D969" s="8" t="n"/>
      <c r="E969" s="8" t="n"/>
      <c r="F969" s="7">
        <f>IF($E969="","",IFERROR(IF(VLOOKUP($E969,AcctTbl,4,0)="","",VLOOKUP($E969,AcctTbl,4,0)),"—"))</f>
        <v/>
      </c>
      <c r="G969" s="8" t="n"/>
      <c r="H969" s="9" t="n"/>
      <c r="I969" s="9" t="n"/>
      <c r="J969" s="10">
        <f>IF(OR($H969="",$I969=""),"",ROUND($H969*$I969,0))</f>
        <v/>
      </c>
      <c r="K969" s="10">
        <f>IF(OR($B969="",$E969="",Calc!$B966=""),"",SUMIFS(CalcAmtA,CalcPartyA,$E969,CalcKeyA,"&lt;="&amp;Calc!$B966)-SUMIFS(CalcWitB,CalcPartyB,$E969,CalcKeyB,"&lt;="&amp;Calc!$B966)+SUMIFS(CalcDepB,CalcPartyB,$E969,CalcKeyB,"&lt;="&amp;Calc!$B966))</f>
        <v/>
      </c>
      <c r="L969" s="8" t="n"/>
    </row>
    <row r="970">
      <c r="A970" s="7">
        <f>IF($B970="","",COUNTA($B$9:$B970))</f>
        <v/>
      </c>
      <c r="B970" s="8" t="n"/>
      <c r="C970" s="8" t="n"/>
      <c r="D970" s="8" t="n"/>
      <c r="E970" s="8" t="n"/>
      <c r="F970" s="7">
        <f>IF($E970="","",IFERROR(IF(VLOOKUP($E970,AcctTbl,4,0)="","",VLOOKUP($E970,AcctTbl,4,0)),"—"))</f>
        <v/>
      </c>
      <c r="G970" s="8" t="n"/>
      <c r="H970" s="9" t="n"/>
      <c r="I970" s="9" t="n"/>
      <c r="J970" s="10">
        <f>IF(OR($H970="",$I970=""),"",ROUND($H970*$I970,0))</f>
        <v/>
      </c>
      <c r="K970" s="10">
        <f>IF(OR($B970="",$E970="",Calc!$B967=""),"",SUMIFS(CalcAmtA,CalcPartyA,$E970,CalcKeyA,"&lt;="&amp;Calc!$B967)-SUMIFS(CalcWitB,CalcPartyB,$E970,CalcKeyB,"&lt;="&amp;Calc!$B967)+SUMIFS(CalcDepB,CalcPartyB,$E970,CalcKeyB,"&lt;="&amp;Calc!$B967))</f>
        <v/>
      </c>
      <c r="L970" s="8" t="n"/>
    </row>
    <row r="971">
      <c r="A971" s="7">
        <f>IF($B971="","",COUNTA($B$9:$B971))</f>
        <v/>
      </c>
      <c r="B971" s="8" t="n"/>
      <c r="C971" s="8" t="n"/>
      <c r="D971" s="8" t="n"/>
      <c r="E971" s="8" t="n"/>
      <c r="F971" s="7">
        <f>IF($E971="","",IFERROR(IF(VLOOKUP($E971,AcctTbl,4,0)="","",VLOOKUP($E971,AcctTbl,4,0)),"—"))</f>
        <v/>
      </c>
      <c r="G971" s="8" t="n"/>
      <c r="H971" s="9" t="n"/>
      <c r="I971" s="9" t="n"/>
      <c r="J971" s="10">
        <f>IF(OR($H971="",$I971=""),"",ROUND($H971*$I971,0))</f>
        <v/>
      </c>
      <c r="K971" s="10">
        <f>IF(OR($B971="",$E971="",Calc!$B968=""),"",SUMIFS(CalcAmtA,CalcPartyA,$E971,CalcKeyA,"&lt;="&amp;Calc!$B968)-SUMIFS(CalcWitB,CalcPartyB,$E971,CalcKeyB,"&lt;="&amp;Calc!$B968)+SUMIFS(CalcDepB,CalcPartyB,$E971,CalcKeyB,"&lt;="&amp;Calc!$B968))</f>
        <v/>
      </c>
      <c r="L971" s="8" t="n"/>
    </row>
    <row r="972">
      <c r="A972" s="7">
        <f>IF($B972="","",COUNTA($B$9:$B972))</f>
        <v/>
      </c>
      <c r="B972" s="8" t="n"/>
      <c r="C972" s="8" t="n"/>
      <c r="D972" s="8" t="n"/>
      <c r="E972" s="8" t="n"/>
      <c r="F972" s="7">
        <f>IF($E972="","",IFERROR(IF(VLOOKUP($E972,AcctTbl,4,0)="","",VLOOKUP($E972,AcctTbl,4,0)),"—"))</f>
        <v/>
      </c>
      <c r="G972" s="8" t="n"/>
      <c r="H972" s="9" t="n"/>
      <c r="I972" s="9" t="n"/>
      <c r="J972" s="10">
        <f>IF(OR($H972="",$I972=""),"",ROUND($H972*$I972,0))</f>
        <v/>
      </c>
      <c r="K972" s="10">
        <f>IF(OR($B972="",$E972="",Calc!$B969=""),"",SUMIFS(CalcAmtA,CalcPartyA,$E972,CalcKeyA,"&lt;="&amp;Calc!$B969)-SUMIFS(CalcWitB,CalcPartyB,$E972,CalcKeyB,"&lt;="&amp;Calc!$B969)+SUMIFS(CalcDepB,CalcPartyB,$E972,CalcKeyB,"&lt;="&amp;Calc!$B969))</f>
        <v/>
      </c>
      <c r="L972" s="8" t="n"/>
    </row>
    <row r="973">
      <c r="A973" s="7">
        <f>IF($B973="","",COUNTA($B$9:$B973))</f>
        <v/>
      </c>
      <c r="B973" s="8" t="n"/>
      <c r="C973" s="8" t="n"/>
      <c r="D973" s="8" t="n"/>
      <c r="E973" s="8" t="n"/>
      <c r="F973" s="7">
        <f>IF($E973="","",IFERROR(IF(VLOOKUP($E973,AcctTbl,4,0)="","",VLOOKUP($E973,AcctTbl,4,0)),"—"))</f>
        <v/>
      </c>
      <c r="G973" s="8" t="n"/>
      <c r="H973" s="9" t="n"/>
      <c r="I973" s="9" t="n"/>
      <c r="J973" s="10">
        <f>IF(OR($H973="",$I973=""),"",ROUND($H973*$I973,0))</f>
        <v/>
      </c>
      <c r="K973" s="10">
        <f>IF(OR($B973="",$E973="",Calc!$B970=""),"",SUMIFS(CalcAmtA,CalcPartyA,$E973,CalcKeyA,"&lt;="&amp;Calc!$B970)-SUMIFS(CalcWitB,CalcPartyB,$E973,CalcKeyB,"&lt;="&amp;Calc!$B970)+SUMIFS(CalcDepB,CalcPartyB,$E973,CalcKeyB,"&lt;="&amp;Calc!$B970))</f>
        <v/>
      </c>
      <c r="L973" s="8" t="n"/>
    </row>
    <row r="974">
      <c r="A974" s="7">
        <f>IF($B974="","",COUNTA($B$9:$B974))</f>
        <v/>
      </c>
      <c r="B974" s="8" t="n"/>
      <c r="C974" s="8" t="n"/>
      <c r="D974" s="8" t="n"/>
      <c r="E974" s="8" t="n"/>
      <c r="F974" s="7">
        <f>IF($E974="","",IFERROR(IF(VLOOKUP($E974,AcctTbl,4,0)="","",VLOOKUP($E974,AcctTbl,4,0)),"—"))</f>
        <v/>
      </c>
      <c r="G974" s="8" t="n"/>
      <c r="H974" s="9" t="n"/>
      <c r="I974" s="9" t="n"/>
      <c r="J974" s="10">
        <f>IF(OR($H974="",$I974=""),"",ROUND($H974*$I974,0))</f>
        <v/>
      </c>
      <c r="K974" s="10">
        <f>IF(OR($B974="",$E974="",Calc!$B971=""),"",SUMIFS(CalcAmtA,CalcPartyA,$E974,CalcKeyA,"&lt;="&amp;Calc!$B971)-SUMIFS(CalcWitB,CalcPartyB,$E974,CalcKeyB,"&lt;="&amp;Calc!$B971)+SUMIFS(CalcDepB,CalcPartyB,$E974,CalcKeyB,"&lt;="&amp;Calc!$B971))</f>
        <v/>
      </c>
      <c r="L974" s="8" t="n"/>
    </row>
    <row r="975">
      <c r="A975" s="7">
        <f>IF($B975="","",COUNTA($B$9:$B975))</f>
        <v/>
      </c>
      <c r="B975" s="8" t="n"/>
      <c r="C975" s="8" t="n"/>
      <c r="D975" s="8" t="n"/>
      <c r="E975" s="8" t="n"/>
      <c r="F975" s="7">
        <f>IF($E975="","",IFERROR(IF(VLOOKUP($E975,AcctTbl,4,0)="","",VLOOKUP($E975,AcctTbl,4,0)),"—"))</f>
        <v/>
      </c>
      <c r="G975" s="8" t="n"/>
      <c r="H975" s="9" t="n"/>
      <c r="I975" s="9" t="n"/>
      <c r="J975" s="10">
        <f>IF(OR($H975="",$I975=""),"",ROUND($H975*$I975,0))</f>
        <v/>
      </c>
      <c r="K975" s="10">
        <f>IF(OR($B975="",$E975="",Calc!$B972=""),"",SUMIFS(CalcAmtA,CalcPartyA,$E975,CalcKeyA,"&lt;="&amp;Calc!$B972)-SUMIFS(CalcWitB,CalcPartyB,$E975,CalcKeyB,"&lt;="&amp;Calc!$B972)+SUMIFS(CalcDepB,CalcPartyB,$E975,CalcKeyB,"&lt;="&amp;Calc!$B972))</f>
        <v/>
      </c>
      <c r="L975" s="8" t="n"/>
    </row>
    <row r="976">
      <c r="A976" s="7">
        <f>IF($B976="","",COUNTA($B$9:$B976))</f>
        <v/>
      </c>
      <c r="B976" s="8" t="n"/>
      <c r="C976" s="8" t="n"/>
      <c r="D976" s="8" t="n"/>
      <c r="E976" s="8" t="n"/>
      <c r="F976" s="7">
        <f>IF($E976="","",IFERROR(IF(VLOOKUP($E976,AcctTbl,4,0)="","",VLOOKUP($E976,AcctTbl,4,0)),"—"))</f>
        <v/>
      </c>
      <c r="G976" s="8" t="n"/>
      <c r="H976" s="9" t="n"/>
      <c r="I976" s="9" t="n"/>
      <c r="J976" s="10">
        <f>IF(OR($H976="",$I976=""),"",ROUND($H976*$I976,0))</f>
        <v/>
      </c>
      <c r="K976" s="10">
        <f>IF(OR($B976="",$E976="",Calc!$B973=""),"",SUMIFS(CalcAmtA,CalcPartyA,$E976,CalcKeyA,"&lt;="&amp;Calc!$B973)-SUMIFS(CalcWitB,CalcPartyB,$E976,CalcKeyB,"&lt;="&amp;Calc!$B973)+SUMIFS(CalcDepB,CalcPartyB,$E976,CalcKeyB,"&lt;="&amp;Calc!$B973))</f>
        <v/>
      </c>
      <c r="L976" s="8" t="n"/>
    </row>
    <row r="977">
      <c r="A977" s="7">
        <f>IF($B977="","",COUNTA($B$9:$B977))</f>
        <v/>
      </c>
      <c r="B977" s="8" t="n"/>
      <c r="C977" s="8" t="n"/>
      <c r="D977" s="8" t="n"/>
      <c r="E977" s="8" t="n"/>
      <c r="F977" s="7">
        <f>IF($E977="","",IFERROR(IF(VLOOKUP($E977,AcctTbl,4,0)="","",VLOOKUP($E977,AcctTbl,4,0)),"—"))</f>
        <v/>
      </c>
      <c r="G977" s="8" t="n"/>
      <c r="H977" s="9" t="n"/>
      <c r="I977" s="9" t="n"/>
      <c r="J977" s="10">
        <f>IF(OR($H977="",$I977=""),"",ROUND($H977*$I977,0))</f>
        <v/>
      </c>
      <c r="K977" s="10">
        <f>IF(OR($B977="",$E977="",Calc!$B974=""),"",SUMIFS(CalcAmtA,CalcPartyA,$E977,CalcKeyA,"&lt;="&amp;Calc!$B974)-SUMIFS(CalcWitB,CalcPartyB,$E977,CalcKeyB,"&lt;="&amp;Calc!$B974)+SUMIFS(CalcDepB,CalcPartyB,$E977,CalcKeyB,"&lt;="&amp;Calc!$B974))</f>
        <v/>
      </c>
      <c r="L977" s="8" t="n"/>
    </row>
    <row r="978">
      <c r="A978" s="7">
        <f>IF($B978="","",COUNTA($B$9:$B978))</f>
        <v/>
      </c>
      <c r="B978" s="8" t="n"/>
      <c r="C978" s="8" t="n"/>
      <c r="D978" s="8" t="n"/>
      <c r="E978" s="8" t="n"/>
      <c r="F978" s="7">
        <f>IF($E978="","",IFERROR(IF(VLOOKUP($E978,AcctTbl,4,0)="","",VLOOKUP($E978,AcctTbl,4,0)),"—"))</f>
        <v/>
      </c>
      <c r="G978" s="8" t="n"/>
      <c r="H978" s="9" t="n"/>
      <c r="I978" s="9" t="n"/>
      <c r="J978" s="10">
        <f>IF(OR($H978="",$I978=""),"",ROUND($H978*$I978,0))</f>
        <v/>
      </c>
      <c r="K978" s="10">
        <f>IF(OR($B978="",$E978="",Calc!$B975=""),"",SUMIFS(CalcAmtA,CalcPartyA,$E978,CalcKeyA,"&lt;="&amp;Calc!$B975)-SUMIFS(CalcWitB,CalcPartyB,$E978,CalcKeyB,"&lt;="&amp;Calc!$B975)+SUMIFS(CalcDepB,CalcPartyB,$E978,CalcKeyB,"&lt;="&amp;Calc!$B975))</f>
        <v/>
      </c>
      <c r="L978" s="8" t="n"/>
    </row>
    <row r="979">
      <c r="A979" s="7">
        <f>IF($B979="","",COUNTA($B$9:$B979))</f>
        <v/>
      </c>
      <c r="B979" s="8" t="n"/>
      <c r="C979" s="8" t="n"/>
      <c r="D979" s="8" t="n"/>
      <c r="E979" s="8" t="n"/>
      <c r="F979" s="7">
        <f>IF($E979="","",IFERROR(IF(VLOOKUP($E979,AcctTbl,4,0)="","",VLOOKUP($E979,AcctTbl,4,0)),"—"))</f>
        <v/>
      </c>
      <c r="G979" s="8" t="n"/>
      <c r="H979" s="9" t="n"/>
      <c r="I979" s="9" t="n"/>
      <c r="J979" s="10">
        <f>IF(OR($H979="",$I979=""),"",ROUND($H979*$I979,0))</f>
        <v/>
      </c>
      <c r="K979" s="10">
        <f>IF(OR($B979="",$E979="",Calc!$B976=""),"",SUMIFS(CalcAmtA,CalcPartyA,$E979,CalcKeyA,"&lt;="&amp;Calc!$B976)-SUMIFS(CalcWitB,CalcPartyB,$E979,CalcKeyB,"&lt;="&amp;Calc!$B976)+SUMIFS(CalcDepB,CalcPartyB,$E979,CalcKeyB,"&lt;="&amp;Calc!$B976))</f>
        <v/>
      </c>
      <c r="L979" s="8" t="n"/>
    </row>
    <row r="980">
      <c r="A980" s="7">
        <f>IF($B980="","",COUNTA($B$9:$B980))</f>
        <v/>
      </c>
      <c r="B980" s="8" t="n"/>
      <c r="C980" s="8" t="n"/>
      <c r="D980" s="8" t="n"/>
      <c r="E980" s="8" t="n"/>
      <c r="F980" s="7">
        <f>IF($E980="","",IFERROR(IF(VLOOKUP($E980,AcctTbl,4,0)="","",VLOOKUP($E980,AcctTbl,4,0)),"—"))</f>
        <v/>
      </c>
      <c r="G980" s="8" t="n"/>
      <c r="H980" s="9" t="n"/>
      <c r="I980" s="9" t="n"/>
      <c r="J980" s="10">
        <f>IF(OR($H980="",$I980=""),"",ROUND($H980*$I980,0))</f>
        <v/>
      </c>
      <c r="K980" s="10">
        <f>IF(OR($B980="",$E980="",Calc!$B977=""),"",SUMIFS(CalcAmtA,CalcPartyA,$E980,CalcKeyA,"&lt;="&amp;Calc!$B977)-SUMIFS(CalcWitB,CalcPartyB,$E980,CalcKeyB,"&lt;="&amp;Calc!$B977)+SUMIFS(CalcDepB,CalcPartyB,$E980,CalcKeyB,"&lt;="&amp;Calc!$B977))</f>
        <v/>
      </c>
      <c r="L980" s="8" t="n"/>
    </row>
    <row r="981">
      <c r="A981" s="7">
        <f>IF($B981="","",COUNTA($B$9:$B981))</f>
        <v/>
      </c>
      <c r="B981" s="8" t="n"/>
      <c r="C981" s="8" t="n"/>
      <c r="D981" s="8" t="n"/>
      <c r="E981" s="8" t="n"/>
      <c r="F981" s="7">
        <f>IF($E981="","",IFERROR(IF(VLOOKUP($E981,AcctTbl,4,0)="","",VLOOKUP($E981,AcctTbl,4,0)),"—"))</f>
        <v/>
      </c>
      <c r="G981" s="8" t="n"/>
      <c r="H981" s="9" t="n"/>
      <c r="I981" s="9" t="n"/>
      <c r="J981" s="10">
        <f>IF(OR($H981="",$I981=""),"",ROUND($H981*$I981,0))</f>
        <v/>
      </c>
      <c r="K981" s="10">
        <f>IF(OR($B981="",$E981="",Calc!$B978=""),"",SUMIFS(CalcAmtA,CalcPartyA,$E981,CalcKeyA,"&lt;="&amp;Calc!$B978)-SUMIFS(CalcWitB,CalcPartyB,$E981,CalcKeyB,"&lt;="&amp;Calc!$B978)+SUMIFS(CalcDepB,CalcPartyB,$E981,CalcKeyB,"&lt;="&amp;Calc!$B978))</f>
        <v/>
      </c>
      <c r="L981" s="8" t="n"/>
    </row>
    <row r="982">
      <c r="A982" s="7">
        <f>IF($B982="","",COUNTA($B$9:$B982))</f>
        <v/>
      </c>
      <c r="B982" s="8" t="n"/>
      <c r="C982" s="8" t="n"/>
      <c r="D982" s="8" t="n"/>
      <c r="E982" s="8" t="n"/>
      <c r="F982" s="7">
        <f>IF($E982="","",IFERROR(IF(VLOOKUP($E982,AcctTbl,4,0)="","",VLOOKUP($E982,AcctTbl,4,0)),"—"))</f>
        <v/>
      </c>
      <c r="G982" s="8" t="n"/>
      <c r="H982" s="9" t="n"/>
      <c r="I982" s="9" t="n"/>
      <c r="J982" s="10">
        <f>IF(OR($H982="",$I982=""),"",ROUND($H982*$I982,0))</f>
        <v/>
      </c>
      <c r="K982" s="10">
        <f>IF(OR($B982="",$E982="",Calc!$B979=""),"",SUMIFS(CalcAmtA,CalcPartyA,$E982,CalcKeyA,"&lt;="&amp;Calc!$B979)-SUMIFS(CalcWitB,CalcPartyB,$E982,CalcKeyB,"&lt;="&amp;Calc!$B979)+SUMIFS(CalcDepB,CalcPartyB,$E982,CalcKeyB,"&lt;="&amp;Calc!$B979))</f>
        <v/>
      </c>
      <c r="L982" s="8" t="n"/>
    </row>
    <row r="983">
      <c r="A983" s="7">
        <f>IF($B983="","",COUNTA($B$9:$B983))</f>
        <v/>
      </c>
      <c r="B983" s="8" t="n"/>
      <c r="C983" s="8" t="n"/>
      <c r="D983" s="8" t="n"/>
      <c r="E983" s="8" t="n"/>
      <c r="F983" s="7">
        <f>IF($E983="","",IFERROR(IF(VLOOKUP($E983,AcctTbl,4,0)="","",VLOOKUP($E983,AcctTbl,4,0)),"—"))</f>
        <v/>
      </c>
      <c r="G983" s="8" t="n"/>
      <c r="H983" s="9" t="n"/>
      <c r="I983" s="9" t="n"/>
      <c r="J983" s="10">
        <f>IF(OR($H983="",$I983=""),"",ROUND($H983*$I983,0))</f>
        <v/>
      </c>
      <c r="K983" s="10">
        <f>IF(OR($B983="",$E983="",Calc!$B980=""),"",SUMIFS(CalcAmtA,CalcPartyA,$E983,CalcKeyA,"&lt;="&amp;Calc!$B980)-SUMIFS(CalcWitB,CalcPartyB,$E983,CalcKeyB,"&lt;="&amp;Calc!$B980)+SUMIFS(CalcDepB,CalcPartyB,$E983,CalcKeyB,"&lt;="&amp;Calc!$B980))</f>
        <v/>
      </c>
      <c r="L983" s="8" t="n"/>
    </row>
    <row r="984">
      <c r="A984" s="7">
        <f>IF($B984="","",COUNTA($B$9:$B984))</f>
        <v/>
      </c>
      <c r="B984" s="8" t="n"/>
      <c r="C984" s="8" t="n"/>
      <c r="D984" s="8" t="n"/>
      <c r="E984" s="8" t="n"/>
      <c r="F984" s="7">
        <f>IF($E984="","",IFERROR(IF(VLOOKUP($E984,AcctTbl,4,0)="","",VLOOKUP($E984,AcctTbl,4,0)),"—"))</f>
        <v/>
      </c>
      <c r="G984" s="8" t="n"/>
      <c r="H984" s="9" t="n"/>
      <c r="I984" s="9" t="n"/>
      <c r="J984" s="10">
        <f>IF(OR($H984="",$I984=""),"",ROUND($H984*$I984,0))</f>
        <v/>
      </c>
      <c r="K984" s="10">
        <f>IF(OR($B984="",$E984="",Calc!$B981=""),"",SUMIFS(CalcAmtA,CalcPartyA,$E984,CalcKeyA,"&lt;="&amp;Calc!$B981)-SUMIFS(CalcWitB,CalcPartyB,$E984,CalcKeyB,"&lt;="&amp;Calc!$B981)+SUMIFS(CalcDepB,CalcPartyB,$E984,CalcKeyB,"&lt;="&amp;Calc!$B981))</f>
        <v/>
      </c>
      <c r="L984" s="8" t="n"/>
    </row>
    <row r="985">
      <c r="A985" s="7">
        <f>IF($B985="","",COUNTA($B$9:$B985))</f>
        <v/>
      </c>
      <c r="B985" s="8" t="n"/>
      <c r="C985" s="8" t="n"/>
      <c r="D985" s="8" t="n"/>
      <c r="E985" s="8" t="n"/>
      <c r="F985" s="7">
        <f>IF($E985="","",IFERROR(IF(VLOOKUP($E985,AcctTbl,4,0)="","",VLOOKUP($E985,AcctTbl,4,0)),"—"))</f>
        <v/>
      </c>
      <c r="G985" s="8" t="n"/>
      <c r="H985" s="9" t="n"/>
      <c r="I985" s="9" t="n"/>
      <c r="J985" s="10">
        <f>IF(OR($H985="",$I985=""),"",ROUND($H985*$I985,0))</f>
        <v/>
      </c>
      <c r="K985" s="10">
        <f>IF(OR($B985="",$E985="",Calc!$B982=""),"",SUMIFS(CalcAmtA,CalcPartyA,$E985,CalcKeyA,"&lt;="&amp;Calc!$B982)-SUMIFS(CalcWitB,CalcPartyB,$E985,CalcKeyB,"&lt;="&amp;Calc!$B982)+SUMIFS(CalcDepB,CalcPartyB,$E985,CalcKeyB,"&lt;="&amp;Calc!$B982))</f>
        <v/>
      </c>
      <c r="L985" s="8" t="n"/>
    </row>
    <row r="986">
      <c r="A986" s="7">
        <f>IF($B986="","",COUNTA($B$9:$B986))</f>
        <v/>
      </c>
      <c r="B986" s="8" t="n"/>
      <c r="C986" s="8" t="n"/>
      <c r="D986" s="8" t="n"/>
      <c r="E986" s="8" t="n"/>
      <c r="F986" s="7">
        <f>IF($E986="","",IFERROR(IF(VLOOKUP($E986,AcctTbl,4,0)="","",VLOOKUP($E986,AcctTbl,4,0)),"—"))</f>
        <v/>
      </c>
      <c r="G986" s="8" t="n"/>
      <c r="H986" s="9" t="n"/>
      <c r="I986" s="9" t="n"/>
      <c r="J986" s="10">
        <f>IF(OR($H986="",$I986=""),"",ROUND($H986*$I986,0))</f>
        <v/>
      </c>
      <c r="K986" s="10">
        <f>IF(OR($B986="",$E986="",Calc!$B983=""),"",SUMIFS(CalcAmtA,CalcPartyA,$E986,CalcKeyA,"&lt;="&amp;Calc!$B983)-SUMIFS(CalcWitB,CalcPartyB,$E986,CalcKeyB,"&lt;="&amp;Calc!$B983)+SUMIFS(CalcDepB,CalcPartyB,$E986,CalcKeyB,"&lt;="&amp;Calc!$B983))</f>
        <v/>
      </c>
      <c r="L986" s="8" t="n"/>
    </row>
    <row r="987">
      <c r="A987" s="7">
        <f>IF($B987="","",COUNTA($B$9:$B987))</f>
        <v/>
      </c>
      <c r="B987" s="8" t="n"/>
      <c r="C987" s="8" t="n"/>
      <c r="D987" s="8" t="n"/>
      <c r="E987" s="8" t="n"/>
      <c r="F987" s="7">
        <f>IF($E987="","",IFERROR(IF(VLOOKUP($E987,AcctTbl,4,0)="","",VLOOKUP($E987,AcctTbl,4,0)),"—"))</f>
        <v/>
      </c>
      <c r="G987" s="8" t="n"/>
      <c r="H987" s="9" t="n"/>
      <c r="I987" s="9" t="n"/>
      <c r="J987" s="10">
        <f>IF(OR($H987="",$I987=""),"",ROUND($H987*$I987,0))</f>
        <v/>
      </c>
      <c r="K987" s="10">
        <f>IF(OR($B987="",$E987="",Calc!$B984=""),"",SUMIFS(CalcAmtA,CalcPartyA,$E987,CalcKeyA,"&lt;="&amp;Calc!$B984)-SUMIFS(CalcWitB,CalcPartyB,$E987,CalcKeyB,"&lt;="&amp;Calc!$B984)+SUMIFS(CalcDepB,CalcPartyB,$E987,CalcKeyB,"&lt;="&amp;Calc!$B984))</f>
        <v/>
      </c>
      <c r="L987" s="8" t="n"/>
    </row>
    <row r="988">
      <c r="A988" s="7">
        <f>IF($B988="","",COUNTA($B$9:$B988))</f>
        <v/>
      </c>
      <c r="B988" s="8" t="n"/>
      <c r="C988" s="8" t="n"/>
      <c r="D988" s="8" t="n"/>
      <c r="E988" s="8" t="n"/>
      <c r="F988" s="7">
        <f>IF($E988="","",IFERROR(IF(VLOOKUP($E988,AcctTbl,4,0)="","",VLOOKUP($E988,AcctTbl,4,0)),"—"))</f>
        <v/>
      </c>
      <c r="G988" s="8" t="n"/>
      <c r="H988" s="9" t="n"/>
      <c r="I988" s="9" t="n"/>
      <c r="J988" s="10">
        <f>IF(OR($H988="",$I988=""),"",ROUND($H988*$I988,0))</f>
        <v/>
      </c>
      <c r="K988" s="10">
        <f>IF(OR($B988="",$E988="",Calc!$B985=""),"",SUMIFS(CalcAmtA,CalcPartyA,$E988,CalcKeyA,"&lt;="&amp;Calc!$B985)-SUMIFS(CalcWitB,CalcPartyB,$E988,CalcKeyB,"&lt;="&amp;Calc!$B985)+SUMIFS(CalcDepB,CalcPartyB,$E988,CalcKeyB,"&lt;="&amp;Calc!$B985))</f>
        <v/>
      </c>
      <c r="L988" s="8" t="n"/>
    </row>
    <row r="989">
      <c r="A989" s="7">
        <f>IF($B989="","",COUNTA($B$9:$B989))</f>
        <v/>
      </c>
      <c r="B989" s="8" t="n"/>
      <c r="C989" s="8" t="n"/>
      <c r="D989" s="8" t="n"/>
      <c r="E989" s="8" t="n"/>
      <c r="F989" s="7">
        <f>IF($E989="","",IFERROR(IF(VLOOKUP($E989,AcctTbl,4,0)="","",VLOOKUP($E989,AcctTbl,4,0)),"—"))</f>
        <v/>
      </c>
      <c r="G989" s="8" t="n"/>
      <c r="H989" s="9" t="n"/>
      <c r="I989" s="9" t="n"/>
      <c r="J989" s="10">
        <f>IF(OR($H989="",$I989=""),"",ROUND($H989*$I989,0))</f>
        <v/>
      </c>
      <c r="K989" s="10">
        <f>IF(OR($B989="",$E989="",Calc!$B986=""),"",SUMIFS(CalcAmtA,CalcPartyA,$E989,CalcKeyA,"&lt;="&amp;Calc!$B986)-SUMIFS(CalcWitB,CalcPartyB,$E989,CalcKeyB,"&lt;="&amp;Calc!$B986)+SUMIFS(CalcDepB,CalcPartyB,$E989,CalcKeyB,"&lt;="&amp;Calc!$B986))</f>
        <v/>
      </c>
      <c r="L989" s="8" t="n"/>
    </row>
    <row r="990">
      <c r="A990" s="7">
        <f>IF($B990="","",COUNTA($B$9:$B990))</f>
        <v/>
      </c>
      <c r="B990" s="8" t="n"/>
      <c r="C990" s="8" t="n"/>
      <c r="D990" s="8" t="n"/>
      <c r="E990" s="8" t="n"/>
      <c r="F990" s="7">
        <f>IF($E990="","",IFERROR(IF(VLOOKUP($E990,AcctTbl,4,0)="","",VLOOKUP($E990,AcctTbl,4,0)),"—"))</f>
        <v/>
      </c>
      <c r="G990" s="8" t="n"/>
      <c r="H990" s="9" t="n"/>
      <c r="I990" s="9" t="n"/>
      <c r="J990" s="10">
        <f>IF(OR($H990="",$I990=""),"",ROUND($H990*$I990,0))</f>
        <v/>
      </c>
      <c r="K990" s="10">
        <f>IF(OR($B990="",$E990="",Calc!$B987=""),"",SUMIFS(CalcAmtA,CalcPartyA,$E990,CalcKeyA,"&lt;="&amp;Calc!$B987)-SUMIFS(CalcWitB,CalcPartyB,$E990,CalcKeyB,"&lt;="&amp;Calc!$B987)+SUMIFS(CalcDepB,CalcPartyB,$E990,CalcKeyB,"&lt;="&amp;Calc!$B987))</f>
        <v/>
      </c>
      <c r="L990" s="8" t="n"/>
    </row>
    <row r="991">
      <c r="A991" s="7">
        <f>IF($B991="","",COUNTA($B$9:$B991))</f>
        <v/>
      </c>
      <c r="B991" s="8" t="n"/>
      <c r="C991" s="8" t="n"/>
      <c r="D991" s="8" t="n"/>
      <c r="E991" s="8" t="n"/>
      <c r="F991" s="7">
        <f>IF($E991="","",IFERROR(IF(VLOOKUP($E991,AcctTbl,4,0)="","",VLOOKUP($E991,AcctTbl,4,0)),"—"))</f>
        <v/>
      </c>
      <c r="G991" s="8" t="n"/>
      <c r="H991" s="9" t="n"/>
      <c r="I991" s="9" t="n"/>
      <c r="J991" s="10">
        <f>IF(OR($H991="",$I991=""),"",ROUND($H991*$I991,0))</f>
        <v/>
      </c>
      <c r="K991" s="10">
        <f>IF(OR($B991="",$E991="",Calc!$B988=""),"",SUMIFS(CalcAmtA,CalcPartyA,$E991,CalcKeyA,"&lt;="&amp;Calc!$B988)-SUMIFS(CalcWitB,CalcPartyB,$E991,CalcKeyB,"&lt;="&amp;Calc!$B988)+SUMIFS(CalcDepB,CalcPartyB,$E991,CalcKeyB,"&lt;="&amp;Calc!$B988))</f>
        <v/>
      </c>
      <c r="L991" s="8" t="n"/>
    </row>
    <row r="992">
      <c r="A992" s="7">
        <f>IF($B992="","",COUNTA($B$9:$B992))</f>
        <v/>
      </c>
      <c r="B992" s="8" t="n"/>
      <c r="C992" s="8" t="n"/>
      <c r="D992" s="8" t="n"/>
      <c r="E992" s="8" t="n"/>
      <c r="F992" s="7">
        <f>IF($E992="","",IFERROR(IF(VLOOKUP($E992,AcctTbl,4,0)="","",VLOOKUP($E992,AcctTbl,4,0)),"—"))</f>
        <v/>
      </c>
      <c r="G992" s="8" t="n"/>
      <c r="H992" s="9" t="n"/>
      <c r="I992" s="9" t="n"/>
      <c r="J992" s="10">
        <f>IF(OR($H992="",$I992=""),"",ROUND($H992*$I992,0))</f>
        <v/>
      </c>
      <c r="K992" s="10">
        <f>IF(OR($B992="",$E992="",Calc!$B989=""),"",SUMIFS(CalcAmtA,CalcPartyA,$E992,CalcKeyA,"&lt;="&amp;Calc!$B989)-SUMIFS(CalcWitB,CalcPartyB,$E992,CalcKeyB,"&lt;="&amp;Calc!$B989)+SUMIFS(CalcDepB,CalcPartyB,$E992,CalcKeyB,"&lt;="&amp;Calc!$B989))</f>
        <v/>
      </c>
      <c r="L992" s="8" t="n"/>
    </row>
    <row r="993">
      <c r="A993" s="7">
        <f>IF($B993="","",COUNTA($B$9:$B993))</f>
        <v/>
      </c>
      <c r="B993" s="8" t="n"/>
      <c r="C993" s="8" t="n"/>
      <c r="D993" s="8" t="n"/>
      <c r="E993" s="8" t="n"/>
      <c r="F993" s="7">
        <f>IF($E993="","",IFERROR(IF(VLOOKUP($E993,AcctTbl,4,0)="","",VLOOKUP($E993,AcctTbl,4,0)),"—"))</f>
        <v/>
      </c>
      <c r="G993" s="8" t="n"/>
      <c r="H993" s="9" t="n"/>
      <c r="I993" s="9" t="n"/>
      <c r="J993" s="10">
        <f>IF(OR($H993="",$I993=""),"",ROUND($H993*$I993,0))</f>
        <v/>
      </c>
      <c r="K993" s="10">
        <f>IF(OR($B993="",$E993="",Calc!$B990=""),"",SUMIFS(CalcAmtA,CalcPartyA,$E993,CalcKeyA,"&lt;="&amp;Calc!$B990)-SUMIFS(CalcWitB,CalcPartyB,$E993,CalcKeyB,"&lt;="&amp;Calc!$B990)+SUMIFS(CalcDepB,CalcPartyB,$E993,CalcKeyB,"&lt;="&amp;Calc!$B990))</f>
        <v/>
      </c>
      <c r="L993" s="8" t="n"/>
    </row>
    <row r="994">
      <c r="A994" s="7">
        <f>IF($B994="","",COUNTA($B$9:$B994))</f>
        <v/>
      </c>
      <c r="B994" s="8" t="n"/>
      <c r="C994" s="8" t="n"/>
      <c r="D994" s="8" t="n"/>
      <c r="E994" s="8" t="n"/>
      <c r="F994" s="7">
        <f>IF($E994="","",IFERROR(IF(VLOOKUP($E994,AcctTbl,4,0)="","",VLOOKUP($E994,AcctTbl,4,0)),"—"))</f>
        <v/>
      </c>
      <c r="G994" s="8" t="n"/>
      <c r="H994" s="9" t="n"/>
      <c r="I994" s="9" t="n"/>
      <c r="J994" s="10">
        <f>IF(OR($H994="",$I994=""),"",ROUND($H994*$I994,0))</f>
        <v/>
      </c>
      <c r="K994" s="10">
        <f>IF(OR($B994="",$E994="",Calc!$B991=""),"",SUMIFS(CalcAmtA,CalcPartyA,$E994,CalcKeyA,"&lt;="&amp;Calc!$B991)-SUMIFS(CalcWitB,CalcPartyB,$E994,CalcKeyB,"&lt;="&amp;Calc!$B991)+SUMIFS(CalcDepB,CalcPartyB,$E994,CalcKeyB,"&lt;="&amp;Calc!$B991))</f>
        <v/>
      </c>
      <c r="L994" s="8" t="n"/>
    </row>
    <row r="995">
      <c r="A995" s="7">
        <f>IF($B995="","",COUNTA($B$9:$B995))</f>
        <v/>
      </c>
      <c r="B995" s="8" t="n"/>
      <c r="C995" s="8" t="n"/>
      <c r="D995" s="8" t="n"/>
      <c r="E995" s="8" t="n"/>
      <c r="F995" s="7">
        <f>IF($E995="","",IFERROR(IF(VLOOKUP($E995,AcctTbl,4,0)="","",VLOOKUP($E995,AcctTbl,4,0)),"—"))</f>
        <v/>
      </c>
      <c r="G995" s="8" t="n"/>
      <c r="H995" s="9" t="n"/>
      <c r="I995" s="9" t="n"/>
      <c r="J995" s="10">
        <f>IF(OR($H995="",$I995=""),"",ROUND($H995*$I995,0))</f>
        <v/>
      </c>
      <c r="K995" s="10">
        <f>IF(OR($B995="",$E995="",Calc!$B992=""),"",SUMIFS(CalcAmtA,CalcPartyA,$E995,CalcKeyA,"&lt;="&amp;Calc!$B992)-SUMIFS(CalcWitB,CalcPartyB,$E995,CalcKeyB,"&lt;="&amp;Calc!$B992)+SUMIFS(CalcDepB,CalcPartyB,$E995,CalcKeyB,"&lt;="&amp;Calc!$B992))</f>
        <v/>
      </c>
      <c r="L995" s="8" t="n"/>
    </row>
    <row r="996">
      <c r="A996" s="7">
        <f>IF($B996="","",COUNTA($B$9:$B996))</f>
        <v/>
      </c>
      <c r="B996" s="8" t="n"/>
      <c r="C996" s="8" t="n"/>
      <c r="D996" s="8" t="n"/>
      <c r="E996" s="8" t="n"/>
      <c r="F996" s="7">
        <f>IF($E996="","",IFERROR(IF(VLOOKUP($E996,AcctTbl,4,0)="","",VLOOKUP($E996,AcctTbl,4,0)),"—"))</f>
        <v/>
      </c>
      <c r="G996" s="8" t="n"/>
      <c r="H996" s="9" t="n"/>
      <c r="I996" s="9" t="n"/>
      <c r="J996" s="10">
        <f>IF(OR($H996="",$I996=""),"",ROUND($H996*$I996,0))</f>
        <v/>
      </c>
      <c r="K996" s="10">
        <f>IF(OR($B996="",$E996="",Calc!$B993=""),"",SUMIFS(CalcAmtA,CalcPartyA,$E996,CalcKeyA,"&lt;="&amp;Calc!$B993)-SUMIFS(CalcWitB,CalcPartyB,$E996,CalcKeyB,"&lt;="&amp;Calc!$B993)+SUMIFS(CalcDepB,CalcPartyB,$E996,CalcKeyB,"&lt;="&amp;Calc!$B993))</f>
        <v/>
      </c>
      <c r="L996" s="8" t="n"/>
    </row>
    <row r="997">
      <c r="A997" s="7">
        <f>IF($B997="","",COUNTA($B$9:$B997))</f>
        <v/>
      </c>
      <c r="B997" s="8" t="n"/>
      <c r="C997" s="8" t="n"/>
      <c r="D997" s="8" t="n"/>
      <c r="E997" s="8" t="n"/>
      <c r="F997" s="7">
        <f>IF($E997="","",IFERROR(IF(VLOOKUP($E997,AcctTbl,4,0)="","",VLOOKUP($E997,AcctTbl,4,0)),"—"))</f>
        <v/>
      </c>
      <c r="G997" s="8" t="n"/>
      <c r="H997" s="9" t="n"/>
      <c r="I997" s="9" t="n"/>
      <c r="J997" s="10">
        <f>IF(OR($H997="",$I997=""),"",ROUND($H997*$I997,0))</f>
        <v/>
      </c>
      <c r="K997" s="10">
        <f>IF(OR($B997="",$E997="",Calc!$B994=""),"",SUMIFS(CalcAmtA,CalcPartyA,$E997,CalcKeyA,"&lt;="&amp;Calc!$B994)-SUMIFS(CalcWitB,CalcPartyB,$E997,CalcKeyB,"&lt;="&amp;Calc!$B994)+SUMIFS(CalcDepB,CalcPartyB,$E997,CalcKeyB,"&lt;="&amp;Calc!$B994))</f>
        <v/>
      </c>
      <c r="L997" s="8" t="n"/>
    </row>
    <row r="998">
      <c r="A998" s="7">
        <f>IF($B998="","",COUNTA($B$9:$B998))</f>
        <v/>
      </c>
      <c r="B998" s="8" t="n"/>
      <c r="C998" s="8" t="n"/>
      <c r="D998" s="8" t="n"/>
      <c r="E998" s="8" t="n"/>
      <c r="F998" s="7">
        <f>IF($E998="","",IFERROR(IF(VLOOKUP($E998,AcctTbl,4,0)="","",VLOOKUP($E998,AcctTbl,4,0)),"—"))</f>
        <v/>
      </c>
      <c r="G998" s="8" t="n"/>
      <c r="H998" s="9" t="n"/>
      <c r="I998" s="9" t="n"/>
      <c r="J998" s="10">
        <f>IF(OR($H998="",$I998=""),"",ROUND($H998*$I998,0))</f>
        <v/>
      </c>
      <c r="K998" s="10">
        <f>IF(OR($B998="",$E998="",Calc!$B995=""),"",SUMIFS(CalcAmtA,CalcPartyA,$E998,CalcKeyA,"&lt;="&amp;Calc!$B995)-SUMIFS(CalcWitB,CalcPartyB,$E998,CalcKeyB,"&lt;="&amp;Calc!$B995)+SUMIFS(CalcDepB,CalcPartyB,$E998,CalcKeyB,"&lt;="&amp;Calc!$B995))</f>
        <v/>
      </c>
      <c r="L998" s="8" t="n"/>
    </row>
    <row r="999">
      <c r="A999" s="7">
        <f>IF($B999="","",COUNTA($B$9:$B999))</f>
        <v/>
      </c>
      <c r="B999" s="8" t="n"/>
      <c r="C999" s="8" t="n"/>
      <c r="D999" s="8" t="n"/>
      <c r="E999" s="8" t="n"/>
      <c r="F999" s="7">
        <f>IF($E999="","",IFERROR(IF(VLOOKUP($E999,AcctTbl,4,0)="","",VLOOKUP($E999,AcctTbl,4,0)),"—"))</f>
        <v/>
      </c>
      <c r="G999" s="8" t="n"/>
      <c r="H999" s="9" t="n"/>
      <c r="I999" s="9" t="n"/>
      <c r="J999" s="10">
        <f>IF(OR($H999="",$I999=""),"",ROUND($H999*$I999,0))</f>
        <v/>
      </c>
      <c r="K999" s="10">
        <f>IF(OR($B999="",$E999="",Calc!$B996=""),"",SUMIFS(CalcAmtA,CalcPartyA,$E999,CalcKeyA,"&lt;="&amp;Calc!$B996)-SUMIFS(CalcWitB,CalcPartyB,$E999,CalcKeyB,"&lt;="&amp;Calc!$B996)+SUMIFS(CalcDepB,CalcPartyB,$E999,CalcKeyB,"&lt;="&amp;Calc!$B996))</f>
        <v/>
      </c>
      <c r="L999" s="8" t="n"/>
    </row>
    <row r="1000">
      <c r="A1000" s="7">
        <f>IF($B1000="","",COUNTA($B$9:$B1000))</f>
        <v/>
      </c>
      <c r="B1000" s="8" t="n"/>
      <c r="C1000" s="8" t="n"/>
      <c r="D1000" s="8" t="n"/>
      <c r="E1000" s="8" t="n"/>
      <c r="F1000" s="7">
        <f>IF($E1000="","",IFERROR(IF(VLOOKUP($E1000,AcctTbl,4,0)="","",VLOOKUP($E1000,AcctTbl,4,0)),"—"))</f>
        <v/>
      </c>
      <c r="G1000" s="8" t="n"/>
      <c r="H1000" s="9" t="n"/>
      <c r="I1000" s="9" t="n"/>
      <c r="J1000" s="10">
        <f>IF(OR($H1000="",$I1000=""),"",ROUND($H1000*$I1000,0))</f>
        <v/>
      </c>
      <c r="K1000" s="10">
        <f>IF(OR($B1000="",$E1000="",Calc!$B997=""),"",SUMIFS(CalcAmtA,CalcPartyA,$E1000,CalcKeyA,"&lt;="&amp;Calc!$B997)-SUMIFS(CalcWitB,CalcPartyB,$E1000,CalcKeyB,"&lt;="&amp;Calc!$B997)+SUMIFS(CalcDepB,CalcPartyB,$E1000,CalcKeyB,"&lt;="&amp;Calc!$B997))</f>
        <v/>
      </c>
      <c r="L1000" s="8" t="n"/>
    </row>
    <row r="1001">
      <c r="A1001" s="7">
        <f>IF($B1001="","",COUNTA($B$9:$B1001))</f>
        <v/>
      </c>
      <c r="B1001" s="8" t="n"/>
      <c r="C1001" s="8" t="n"/>
      <c r="D1001" s="8" t="n"/>
      <c r="E1001" s="8" t="n"/>
      <c r="F1001" s="7">
        <f>IF($E1001="","",IFERROR(IF(VLOOKUP($E1001,AcctTbl,4,0)="","",VLOOKUP($E1001,AcctTbl,4,0)),"—"))</f>
        <v/>
      </c>
      <c r="G1001" s="8" t="n"/>
      <c r="H1001" s="9" t="n"/>
      <c r="I1001" s="9" t="n"/>
      <c r="J1001" s="10">
        <f>IF(OR($H1001="",$I1001=""),"",ROUND($H1001*$I1001,0))</f>
        <v/>
      </c>
      <c r="K1001" s="10">
        <f>IF(OR($B1001="",$E1001="",Calc!$B998=""),"",SUMIFS(CalcAmtA,CalcPartyA,$E1001,CalcKeyA,"&lt;="&amp;Calc!$B998)-SUMIFS(CalcWitB,CalcPartyB,$E1001,CalcKeyB,"&lt;="&amp;Calc!$B998)+SUMIFS(CalcDepB,CalcPartyB,$E1001,CalcKeyB,"&lt;="&amp;Calc!$B998))</f>
        <v/>
      </c>
      <c r="L1001" s="8" t="n"/>
    </row>
    <row r="1002">
      <c r="A1002" s="7">
        <f>IF($B1002="","",COUNTA($B$9:$B1002))</f>
        <v/>
      </c>
      <c r="B1002" s="8" t="n"/>
      <c r="C1002" s="8" t="n"/>
      <c r="D1002" s="8" t="n"/>
      <c r="E1002" s="8" t="n"/>
      <c r="F1002" s="7">
        <f>IF($E1002="","",IFERROR(IF(VLOOKUP($E1002,AcctTbl,4,0)="","",VLOOKUP($E1002,AcctTbl,4,0)),"—"))</f>
        <v/>
      </c>
      <c r="G1002" s="8" t="n"/>
      <c r="H1002" s="9" t="n"/>
      <c r="I1002" s="9" t="n"/>
      <c r="J1002" s="10">
        <f>IF(OR($H1002="",$I1002=""),"",ROUND($H1002*$I1002,0))</f>
        <v/>
      </c>
      <c r="K1002" s="10">
        <f>IF(OR($B1002="",$E1002="",Calc!$B999=""),"",SUMIFS(CalcAmtA,CalcPartyA,$E1002,CalcKeyA,"&lt;="&amp;Calc!$B999)-SUMIFS(CalcWitB,CalcPartyB,$E1002,CalcKeyB,"&lt;="&amp;Calc!$B999)+SUMIFS(CalcDepB,CalcPartyB,$E1002,CalcKeyB,"&lt;="&amp;Calc!$B999))</f>
        <v/>
      </c>
      <c r="L1002" s="8" t="n"/>
    </row>
    <row r="1003">
      <c r="A1003" s="7">
        <f>IF($B1003="","",COUNTA($B$9:$B1003))</f>
        <v/>
      </c>
      <c r="B1003" s="8" t="n"/>
      <c r="C1003" s="8" t="n"/>
      <c r="D1003" s="8" t="n"/>
      <c r="E1003" s="8" t="n"/>
      <c r="F1003" s="7">
        <f>IF($E1003="","",IFERROR(IF(VLOOKUP($E1003,AcctTbl,4,0)="","",VLOOKUP($E1003,AcctTbl,4,0)),"—"))</f>
        <v/>
      </c>
      <c r="G1003" s="8" t="n"/>
      <c r="H1003" s="9" t="n"/>
      <c r="I1003" s="9" t="n"/>
      <c r="J1003" s="10">
        <f>IF(OR($H1003="",$I1003=""),"",ROUND($H1003*$I1003,0))</f>
        <v/>
      </c>
      <c r="K1003" s="10">
        <f>IF(OR($B1003="",$E1003="",Calc!$B1000=""),"",SUMIFS(CalcAmtA,CalcPartyA,$E1003,CalcKeyA,"&lt;="&amp;Calc!$B1000)-SUMIFS(CalcWitB,CalcPartyB,$E1003,CalcKeyB,"&lt;="&amp;Calc!$B1000)+SUMIFS(CalcDepB,CalcPartyB,$E1003,CalcKeyB,"&lt;="&amp;Calc!$B1000))</f>
        <v/>
      </c>
      <c r="L1003" s="8" t="n"/>
    </row>
    <row r="1004">
      <c r="A1004" s="7">
        <f>IF($B1004="","",COUNTA($B$9:$B1004))</f>
        <v/>
      </c>
      <c r="B1004" s="8" t="n"/>
      <c r="C1004" s="8" t="n"/>
      <c r="D1004" s="8" t="n"/>
      <c r="E1004" s="8" t="n"/>
      <c r="F1004" s="7">
        <f>IF($E1004="","",IFERROR(IF(VLOOKUP($E1004,AcctTbl,4,0)="","",VLOOKUP($E1004,AcctTbl,4,0)),"—"))</f>
        <v/>
      </c>
      <c r="G1004" s="8" t="n"/>
      <c r="H1004" s="9" t="n"/>
      <c r="I1004" s="9" t="n"/>
      <c r="J1004" s="10">
        <f>IF(OR($H1004="",$I1004=""),"",ROUND($H1004*$I1004,0))</f>
        <v/>
      </c>
      <c r="K1004" s="10">
        <f>IF(OR($B1004="",$E1004="",Calc!$B1001=""),"",SUMIFS(CalcAmtA,CalcPartyA,$E1004,CalcKeyA,"&lt;="&amp;Calc!$B1001)-SUMIFS(CalcWitB,CalcPartyB,$E1004,CalcKeyB,"&lt;="&amp;Calc!$B1001)+SUMIFS(CalcDepB,CalcPartyB,$E1004,CalcKeyB,"&lt;="&amp;Calc!$B1001))</f>
        <v/>
      </c>
      <c r="L1004" s="8" t="n"/>
    </row>
    <row r="1005">
      <c r="A1005" s="7">
        <f>IF($B1005="","",COUNTA($B$9:$B1005))</f>
        <v/>
      </c>
      <c r="B1005" s="8" t="n"/>
      <c r="C1005" s="8" t="n"/>
      <c r="D1005" s="8" t="n"/>
      <c r="E1005" s="8" t="n"/>
      <c r="F1005" s="7">
        <f>IF($E1005="","",IFERROR(IF(VLOOKUP($E1005,AcctTbl,4,0)="","",VLOOKUP($E1005,AcctTbl,4,0)),"—"))</f>
        <v/>
      </c>
      <c r="G1005" s="8" t="n"/>
      <c r="H1005" s="9" t="n"/>
      <c r="I1005" s="9" t="n"/>
      <c r="J1005" s="10">
        <f>IF(OR($H1005="",$I1005=""),"",ROUND($H1005*$I1005,0))</f>
        <v/>
      </c>
      <c r="K1005" s="10">
        <f>IF(OR($B1005="",$E1005="",Calc!$B1002=""),"",SUMIFS(CalcAmtA,CalcPartyA,$E1005,CalcKeyA,"&lt;="&amp;Calc!$B1002)-SUMIFS(CalcWitB,CalcPartyB,$E1005,CalcKeyB,"&lt;="&amp;Calc!$B1002)+SUMIFS(CalcDepB,CalcPartyB,$E1005,CalcKeyB,"&lt;="&amp;Calc!$B1002))</f>
        <v/>
      </c>
      <c r="L1005" s="8" t="n"/>
    </row>
    <row r="1006">
      <c r="A1006" s="7">
        <f>IF($B1006="","",COUNTA($B$9:$B1006))</f>
        <v/>
      </c>
      <c r="B1006" s="8" t="n"/>
      <c r="C1006" s="8" t="n"/>
      <c r="D1006" s="8" t="n"/>
      <c r="E1006" s="8" t="n"/>
      <c r="F1006" s="7">
        <f>IF($E1006="","",IFERROR(IF(VLOOKUP($E1006,AcctTbl,4,0)="","",VLOOKUP($E1006,AcctTbl,4,0)),"—"))</f>
        <v/>
      </c>
      <c r="G1006" s="8" t="n"/>
      <c r="H1006" s="9" t="n"/>
      <c r="I1006" s="9" t="n"/>
      <c r="J1006" s="10">
        <f>IF(OR($H1006="",$I1006=""),"",ROUND($H1006*$I1006,0))</f>
        <v/>
      </c>
      <c r="K1006" s="10">
        <f>IF(OR($B1006="",$E1006="",Calc!$B1003=""),"",SUMIFS(CalcAmtA,CalcPartyA,$E1006,CalcKeyA,"&lt;="&amp;Calc!$B1003)-SUMIFS(CalcWitB,CalcPartyB,$E1006,CalcKeyB,"&lt;="&amp;Calc!$B1003)+SUMIFS(CalcDepB,CalcPartyB,$E1006,CalcKeyB,"&lt;="&amp;Calc!$B1003))</f>
        <v/>
      </c>
      <c r="L1006" s="8" t="n"/>
    </row>
    <row r="1007">
      <c r="A1007" s="7">
        <f>IF($B1007="","",COUNTA($B$9:$B1007))</f>
        <v/>
      </c>
      <c r="B1007" s="8" t="n"/>
      <c r="C1007" s="8" t="n"/>
      <c r="D1007" s="8" t="n"/>
      <c r="E1007" s="8" t="n"/>
      <c r="F1007" s="7">
        <f>IF($E1007="","",IFERROR(IF(VLOOKUP($E1007,AcctTbl,4,0)="","",VLOOKUP($E1007,AcctTbl,4,0)),"—"))</f>
        <v/>
      </c>
      <c r="G1007" s="8" t="n"/>
      <c r="H1007" s="9" t="n"/>
      <c r="I1007" s="9" t="n"/>
      <c r="J1007" s="10">
        <f>IF(OR($H1007="",$I1007=""),"",ROUND($H1007*$I1007,0))</f>
        <v/>
      </c>
      <c r="K1007" s="10">
        <f>IF(OR($B1007="",$E1007="",Calc!$B1004=""),"",SUMIFS(CalcAmtA,CalcPartyA,$E1007,CalcKeyA,"&lt;="&amp;Calc!$B1004)-SUMIFS(CalcWitB,CalcPartyB,$E1007,CalcKeyB,"&lt;="&amp;Calc!$B1004)+SUMIFS(CalcDepB,CalcPartyB,$E1007,CalcKeyB,"&lt;="&amp;Calc!$B1004))</f>
        <v/>
      </c>
      <c r="L1007" s="8" t="n"/>
    </row>
    <row r="1008">
      <c r="A1008" s="7">
        <f>IF($B1008="","",COUNTA($B$9:$B1008))</f>
        <v/>
      </c>
      <c r="B1008" s="8" t="n"/>
      <c r="C1008" s="8" t="n"/>
      <c r="D1008" s="8" t="n"/>
      <c r="E1008" s="8" t="n"/>
      <c r="F1008" s="7">
        <f>IF($E1008="","",IFERROR(IF(VLOOKUP($E1008,AcctTbl,4,0)="","",VLOOKUP($E1008,AcctTbl,4,0)),"—"))</f>
        <v/>
      </c>
      <c r="G1008" s="8" t="n"/>
      <c r="H1008" s="9" t="n"/>
      <c r="I1008" s="9" t="n"/>
      <c r="J1008" s="10">
        <f>IF(OR($H1008="",$I1008=""),"",ROUND($H1008*$I1008,0))</f>
        <v/>
      </c>
      <c r="K1008" s="10">
        <f>IF(OR($B1008="",$E1008="",Calc!$B1005=""),"",SUMIFS(CalcAmtA,CalcPartyA,$E1008,CalcKeyA,"&lt;="&amp;Calc!$B1005)-SUMIFS(CalcWitB,CalcPartyB,$E1008,CalcKeyB,"&lt;="&amp;Calc!$B1005)+SUMIFS(CalcDepB,CalcPartyB,$E1008,CalcKeyB,"&lt;="&amp;Calc!$B1005))</f>
        <v/>
      </c>
      <c r="L1008" s="8" t="n"/>
    </row>
  </sheetData>
  <mergeCells count="4">
    <mergeCell ref="A3:L3"/>
    <mergeCell ref="A2:L2"/>
    <mergeCell ref="A1:L1"/>
    <mergeCell ref="A4:L4"/>
  </mergeCells>
  <conditionalFormatting sqref="K9:K1008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9:E1008">
    <cfRule type="expression" priority="3" dxfId="2">
      <formula>AND($E9&lt;&gt;"",COUNTIF(AcctCodes,$E9)=0)</formula>
    </cfRule>
  </conditionalFormatting>
  <dataValidations count="2">
    <dataValidation sqref="E9:E1008" showDropDown="0" showInputMessage="1" showErrorMessage="1" allowBlank="1" errorTitle="کد فروشنده نامعتبر" error="کد از فایل INFO (شیت Accounts) — مثل S004. برای تعریف فروشنده جدید، در INFO ردیف خالی بعدی را پر کنید." promptTitle="کد فروشنده سبد" prompt="کد حساب فروشنده سبد (مثل S004) — نام و مانده خودکار می‌آید." type="custom" errorStyle="warning">
      <formula1>OR($E9="",COUNTIF(AcctCodes,$E9)&gt;0)</formula1>
    </dataValidation>
    <dataValidation sqref="G9:G1008" showDropDown="0" showInputMessage="1" showErrorMessage="0" allowBlank="1" promptTitle="نوع سبد" prompt="از INFO ← شیت Baskets (BK…) — انواع جدید را آنجا تعریف کنید." type="list">
      <formula1>OFFSET(Sync!$H$6,0,0,COUNTA(Sync!$H$6:$H$35),1)</formula1>
    </dataValidation>
  </dataValidations>
  <printOptions horizontalCentered="1"/>
  <pageMargins left="0.35" right="0.35" top="0.62" bottom="0.55" header="0.28" footer="0.25"/>
  <pageSetup orientation="landscape" paperSize="9" fitToHeight="0" fitToWidth="1"/>
  <headerFooter>
    <oddHeader>&amp;L&amp;"Tahoma"&amp;8 مازندشت — سامانه حساب‌های بانکی&amp;C&amp;"Tahoma"&amp;8 دفتر سبد — خرید سبد و ظروف&amp;R&amp;"Tahoma"&amp;8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N2016"/>
  <sheetViews>
    <sheetView showGridLines="0" rightToLeft="1" zoomScale="95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5.5" customWidth="1" min="1" max="1"/>
    <col width="11" customWidth="1" min="2" max="2"/>
    <col width="13" customWidth="1" min="3" max="3"/>
    <col width="22" customWidth="1" min="4" max="4"/>
    <col width="14" customWidth="1" min="5" max="5"/>
    <col width="9" customWidth="1" min="6" max="6"/>
    <col width="11" customWidth="1" min="7" max="7"/>
    <col width="14" customWidth="1" min="8" max="8"/>
    <col width="15" customWidth="1" min="9" max="9"/>
    <col width="16" customWidth="1" min="10" max="10"/>
    <col width="26" customWidth="1" min="11" max="11"/>
    <col width="6" customWidth="1" min="13" max="13"/>
    <col width="6" customWidth="1" min="14" max="14"/>
  </cols>
  <sheetData>
    <row r="1" ht="26" customHeight="1">
      <c r="A1" s="1">
        <f>IF(Sync!$N$6="","مازندشت",Sync!$N$6)&amp;" — "&amp;IF(Sync!$N$9="","سورتینگ و بسته‌بندی مرکبات",Sync!$N$9)</f>
        <v/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14" customHeight="1">
      <c r="A2" s="2">
        <f>IF(Sync!$N$7="","باغدشت، بخش مرکزی، شهرستان قائم‌شهر، استان مازندران، ایران",Sync!$N$7)&amp;"     |     MAZANDASHT · CITRUS SORTING &amp; PACKING"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24" customHeight="1">
      <c r="A3" s="3">
        <f>"کارتکس فروشنده سبد — "&amp;IFERROR(IF(VLOOKUP($C$5,AcctTbl,4,0)="","(بدون عنوان)",VLOOKUP($C$5,AcctTbl,4,0)),"کد را وارد کنید")</f>
        <v/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5">
      <c r="A5" s="11" t="inlineStr">
        <is>
          <t>کد فروشنده سبد (ورود دستی):</t>
        </is>
      </c>
      <c r="B5" s="11" t="n"/>
      <c r="C5" s="12" t="inlineStr">
        <is>
          <t>S004</t>
        </is>
      </c>
      <c r="D5" s="12" t="n"/>
      <c r="E5" s="13" t="inlineStr">
        <is>
          <t>کد را از INFO (شیت Accounts) وارد کنید — کل گردش خودکار به‌روز می‌شود. برای فروشنده دیگر، همین شیت را کپی و کد را عوض کنید.</t>
        </is>
      </c>
      <c r="F5" s="13" t="n"/>
      <c r="G5" s="13" t="n"/>
      <c r="H5" s="13" t="n"/>
      <c r="I5" s="13" t="n"/>
      <c r="J5" s="13" t="n"/>
      <c r="K5" s="13" t="n"/>
    </row>
    <row r="6" ht="17" customHeight="1">
      <c r="A6" s="14" t="inlineStr">
        <is>
          <t>نام صاحب حساب:</t>
        </is>
      </c>
      <c r="B6" s="14" t="n"/>
      <c r="C6" s="15">
        <f>IFERROR(IF(VLOOKUP($C$5,AcctTbl,4,0)="","(بدون عنوان)",VLOOKUP($C$5,AcctTbl,4,0)),"—")</f>
        <v/>
      </c>
      <c r="D6" s="15" t="n"/>
      <c r="E6" s="15" t="n"/>
      <c r="F6" s="15" t="n"/>
      <c r="G6" s="15" t="n"/>
      <c r="H6" s="15" t="n"/>
      <c r="I6" s="15" t="n"/>
      <c r="J6" s="15" t="n"/>
      <c r="K6" s="15" t="n"/>
    </row>
    <row r="7" ht="17" customHeight="1">
      <c r="A7" s="14" t="inlineStr">
        <is>
          <t>نوع و زیرمجموعه:</t>
        </is>
      </c>
      <c r="B7" s="14" t="n"/>
      <c r="C7" s="15">
        <f>IFERROR(IF(VLOOKUP($C$5,AcctTbl,3,0)="",VLOOKUP($C$5,AcctTbl,2,0),VLOOKUP($C$5,AcctTbl,2,0)&amp;" — "&amp;VLOOKUP($C$5,AcctTbl,3,0)),"—")</f>
        <v/>
      </c>
      <c r="D7" s="15" t="n"/>
      <c r="E7" s="15" t="n"/>
      <c r="F7" s="15" t="n"/>
      <c r="G7" s="15" t="n"/>
      <c r="H7" s="15" t="n"/>
      <c r="I7" s="15" t="n"/>
      <c r="J7" s="15" t="n"/>
      <c r="K7" s="15" t="n"/>
    </row>
    <row r="8">
      <c r="A8" s="14" t="inlineStr">
        <is>
          <t>مانده اولیه (دستی):</t>
        </is>
      </c>
      <c r="B8" s="14" t="n"/>
      <c r="C8" s="16" t="n">
        <v>0</v>
      </c>
      <c r="D8" s="16" t="n"/>
      <c r="E8" s="13" t="inlineStr">
        <is>
          <t>مثبت = بدهی قبلی ما به او. در مانده اولِ ردیف‌ها اثر می‌گذارد.</t>
        </is>
      </c>
      <c r="F8" s="13" t="n"/>
      <c r="G8" s="13" t="n"/>
      <c r="H8" s="13" t="n"/>
      <c r="I8" s="13" t="n"/>
      <c r="J8" s="13" t="n"/>
      <c r="K8" s="13" t="n"/>
    </row>
    <row r="10" ht="13" customHeight="1">
      <c r="A10" s="17" t="inlineStr">
        <is>
          <t>جمع خرید سبد (ریال)</t>
        </is>
      </c>
      <c r="B10" s="17" t="n"/>
      <c r="C10" s="17" t="inlineStr">
        <is>
          <t>جمع پرداخت به او (ریال)</t>
        </is>
      </c>
      <c r="D10" s="17" t="n"/>
      <c r="E10" s="17" t="inlineStr">
        <is>
          <t>جمع دریافت از او (ریال)</t>
        </is>
      </c>
      <c r="F10" s="17" t="n"/>
      <c r="G10" s="17" t="inlineStr">
        <is>
          <t>مانده نهایی (ریال)</t>
        </is>
      </c>
      <c r="H10" s="17" t="n"/>
      <c r="I10" s="17" t="inlineStr">
        <is>
          <t>وضعیت</t>
        </is>
      </c>
      <c r="J10" s="17" t="n"/>
      <c r="K10" s="17" t="n"/>
    </row>
    <row r="11" ht="22" customHeight="1">
      <c r="A11" s="18">
        <f>SUM($I$17:$I$2016)</f>
        <v/>
      </c>
      <c r="B11" s="18" t="n"/>
      <c r="C11" s="18">
        <f>SUM($H$17:$H$2016)</f>
        <v/>
      </c>
      <c r="D11" s="18" t="n"/>
      <c r="E11" s="18">
        <f>SUM($E$17:$E$2016)</f>
        <v/>
      </c>
      <c r="F11" s="18" t="n"/>
      <c r="G11" s="18">
        <f>IFERROR(LOOKUP(9.99E+307,$J$17:$J$2016),$C$8)</f>
        <v/>
      </c>
      <c r="H11" s="18" t="n"/>
      <c r="I11" s="19">
        <f>IF($G$11&gt;0,"● بستانکار — به او بدهکاریم",IF($G$11&lt;0,"● بدهکار — به ما بدهکار است","= تسویه شده"))</f>
        <v/>
      </c>
      <c r="J11" s="19" t="n"/>
      <c r="K11" s="19" t="n"/>
    </row>
    <row r="13" ht="13" customHeight="1">
      <c r="A13" s="17" t="inlineStr">
        <is>
          <t>تعداد کل سبد خریداری‌شده</t>
        </is>
      </c>
      <c r="B13" s="17" t="n"/>
      <c r="C13" s="17" t="inlineStr">
        <is>
          <t>تعداد ردیف خرید سبد</t>
        </is>
      </c>
      <c r="D13" s="17" t="n"/>
      <c r="E13" s="17" t="inlineStr">
        <is>
          <t>تعداد پرداخت/دریافت</t>
        </is>
      </c>
      <c r="F13" s="17" t="n"/>
      <c r="G13" s="17" t="inlineStr">
        <is>
          <t>آخرین رویداد</t>
        </is>
      </c>
      <c r="H13" s="17" t="n"/>
    </row>
    <row r="14" ht="22" customHeight="1">
      <c r="A14" s="18">
        <f>SUM($F$17:$F$2016)</f>
        <v/>
      </c>
      <c r="B14" s="18" t="n"/>
      <c r="C14" s="20">
        <f>COUNTIF($C$17:$C$2016,"خرید سبد")</f>
        <v/>
      </c>
      <c r="D14" s="20" t="n"/>
      <c r="E14" s="20">
        <f>COUNTIF($C$17:$C$2016,"پرداخت بانکی")+COUNTIF($C$17:$C$2016,"دریافت بانکی")</f>
        <v/>
      </c>
      <c r="F14" s="20" t="n"/>
      <c r="G14" s="19">
        <f>IF(COUNT($J$17:$J$2016)=0,"—",INDEX($B$17:$B$2016,COUNT($J$17:$J$2016)))</f>
        <v/>
      </c>
      <c r="H14" s="19" t="n"/>
    </row>
    <row r="15" ht="30" customHeight="1">
      <c r="A15" s="5" t="inlineStr">
        <is>
          <t>ردیف</t>
        </is>
      </c>
      <c r="B15" s="5" t="inlineStr">
        <is>
          <t>تاریخ</t>
        </is>
      </c>
      <c r="C15" s="5" t="inlineStr">
        <is>
          <t>نوع رویداد</t>
        </is>
      </c>
      <c r="D15" s="5" t="inlineStr">
        <is>
          <t>سند / بانک</t>
        </is>
      </c>
      <c r="E15" s="5" t="inlineStr">
        <is>
          <t>دریافت (ریال)</t>
        </is>
      </c>
      <c r="F15" s="5" t="inlineStr">
        <is>
          <t>تعداد سبد</t>
        </is>
      </c>
      <c r="G15" s="5" t="inlineStr">
        <is>
          <t>فی (ریال)</t>
        </is>
      </c>
      <c r="H15" s="5" t="inlineStr">
        <is>
          <t>پرداخت (ریال)</t>
        </is>
      </c>
      <c r="I15" s="5" t="inlineStr">
        <is>
          <t>خرید سبد (ریال)</t>
        </is>
      </c>
      <c r="J15" s="5" t="inlineStr">
        <is>
          <t>مانده (ریال)</t>
        </is>
      </c>
      <c r="K15" s="5" t="inlineStr">
        <is>
          <t>توضیحات</t>
        </is>
      </c>
    </row>
    <row r="16" ht="13" customHeight="1">
      <c r="A16" s="6" t="inlineStr">
        <is>
          <t>No.</t>
        </is>
      </c>
      <c r="B16" s="6" t="inlineStr">
        <is>
          <t>Date</t>
        </is>
      </c>
      <c r="C16" s="6" t="inlineStr">
        <is>
          <t>Type</t>
        </is>
      </c>
      <c r="D16" s="6" t="inlineStr">
        <is>
          <t>Doc / Bank</t>
        </is>
      </c>
      <c r="E16" s="6" t="inlineStr">
        <is>
          <t>Received</t>
        </is>
      </c>
      <c r="F16" s="6" t="inlineStr">
        <is>
          <t>Qty</t>
        </is>
      </c>
      <c r="G16" s="6" t="inlineStr">
        <is>
          <t>Unit Price</t>
        </is>
      </c>
      <c r="H16" s="6" t="inlineStr">
        <is>
          <t>Paid</t>
        </is>
      </c>
      <c r="I16" s="6" t="inlineStr">
        <is>
          <t>Purchase</t>
        </is>
      </c>
      <c r="J16" s="6" t="inlineStr">
        <is>
          <t>Balance</t>
        </is>
      </c>
      <c r="K16" s="6" t="inlineStr">
        <is>
          <t>Notes</t>
        </is>
      </c>
    </row>
    <row r="17">
      <c r="A17" s="21" t="n">
        <v>1</v>
      </c>
      <c r="B17" s="22">
        <f>IF(AND($M17="",$N17=""),"",IF($M17&lt;&gt;"",INDEX(CalcDateA,$M17),INDEX(CalcDateB,$N17)))</f>
        <v/>
      </c>
      <c r="C17" s="22">
        <f>IF($M17&lt;&gt;"","خرید سبد",IF($N17&lt;&gt;"",IF(N(INDEX(CalcDepB,$N17))&gt;0,"دریافت بانکی","پرداخت بانکی"),""))</f>
        <v/>
      </c>
      <c r="D17" s="22">
        <f>IF($M17&lt;&gt;"",IF(INDEX(CalcDocA,$M17)="","—",INDEX(CalcDocA,$M17)),IF($N17&lt;&gt;"",INDEX(CalcBankB,$N17),""))</f>
        <v/>
      </c>
      <c r="E17" s="23">
        <f>IF($N17&lt;&gt;"",IF(INDEX(CalcDepB,$N17)=0,"",INDEX(CalcDepB,$N17)),"")</f>
        <v/>
      </c>
      <c r="F17" s="23">
        <f>IF($M17&lt;&gt;"",IF(INDEX(CalcQtyA,$M17)=0,"",INDEX(CalcQtyA,$M17)),"")</f>
        <v/>
      </c>
      <c r="G17" s="23">
        <f>IF($M17&lt;&gt;"",IF(INDEX(CalcPriceA,$M17)=0,"",INDEX(CalcPriceA,$M17)),"")</f>
        <v/>
      </c>
      <c r="H17" s="23">
        <f>IF($N17&lt;&gt;"",IF(INDEX(CalcWitB,$N17)=0,"",INDEX(CalcWitB,$N17)),"")</f>
        <v/>
      </c>
      <c r="I17" s="24">
        <f>IF($M17&lt;&gt;"",INDEX(CalcAmtA,$M17),"")</f>
        <v/>
      </c>
      <c r="J17" s="24">
        <f>IF($B17="","",$C$8+IF($I17="",0,$I17)+IF($E17="",0,$E17)-IF($H17="",0,$H17))</f>
        <v/>
      </c>
      <c r="K17" s="25">
        <f>IF($M17&lt;&gt;"",IF(INDEX(CalcNoteA,$M17)="","—",INDEX(CalcNoteA,$M17)),IF($N17&lt;&gt;"",IF(INDEX(CalcNoteB,$N17)="","—",INDEX(CalcNoteB,$N17)),""))</f>
        <v/>
      </c>
      <c r="M17">
        <f>IFERROR(MATCH($C$5&amp;"|"&amp;RIGHT("000000"&amp;1,6),CalcRankKeyA,0),"")</f>
        <v/>
      </c>
      <c r="N17">
        <f>IFERROR(MATCH($C$5&amp;"|"&amp;RIGHT("000000"&amp;1,6),CalcRankKeyB,0),"")</f>
        <v/>
      </c>
    </row>
    <row r="18">
      <c r="A18" s="26" t="n">
        <v>2</v>
      </c>
      <c r="B18" s="27">
        <f>IF(AND($M18="",$N18=""),"",IF($M18&lt;&gt;"",INDEX(CalcDateA,$M18),INDEX(CalcDateB,$N18)))</f>
        <v/>
      </c>
      <c r="C18" s="27">
        <f>IF($M18&lt;&gt;"","خرید سبد",IF($N18&lt;&gt;"",IF(N(INDEX(CalcDepB,$N18))&gt;0,"دریافت بانکی","پرداخت بانکی"),""))</f>
        <v/>
      </c>
      <c r="D18" s="27">
        <f>IF($M18&lt;&gt;"",IF(INDEX(CalcDocA,$M18)="","—",INDEX(CalcDocA,$M18)),IF($N18&lt;&gt;"",INDEX(CalcBankB,$N18),""))</f>
        <v/>
      </c>
      <c r="E18" s="28">
        <f>IF($N18&lt;&gt;"",IF(INDEX(CalcDepB,$N18)=0,"",INDEX(CalcDepB,$N18)),"")</f>
        <v/>
      </c>
      <c r="F18" s="28">
        <f>IF($M18&lt;&gt;"",IF(INDEX(CalcQtyA,$M18)=0,"",INDEX(CalcQtyA,$M18)),"")</f>
        <v/>
      </c>
      <c r="G18" s="28">
        <f>IF($M18&lt;&gt;"",IF(INDEX(CalcPriceA,$M18)=0,"",INDEX(CalcPriceA,$M18)),"")</f>
        <v/>
      </c>
      <c r="H18" s="28">
        <f>IF($N18&lt;&gt;"",IF(INDEX(CalcWitB,$N18)=0,"",INDEX(CalcWitB,$N18)),"")</f>
        <v/>
      </c>
      <c r="I18" s="29">
        <f>IF($M18&lt;&gt;"",INDEX(CalcAmtA,$M18),"")</f>
        <v/>
      </c>
      <c r="J18" s="29">
        <f>IF($B18="","",IF($J17="",$C$8,$J17)+IF($I18="",0,$I18)+IF($E18="",0,$E18)-IF($H18="",0,$H18))</f>
        <v/>
      </c>
      <c r="K18" s="30">
        <f>IF($M18&lt;&gt;"",IF(INDEX(CalcNoteA,$M18)="","—",INDEX(CalcNoteA,$M18)),IF($N18&lt;&gt;"",IF(INDEX(CalcNoteB,$N18)="","—",INDEX(CalcNoteB,$N18)),""))</f>
        <v/>
      </c>
      <c r="M18">
        <f>IFERROR(MATCH($C$5&amp;"|"&amp;RIGHT("000000"&amp;2,6),CalcRankKeyA,0),"")</f>
        <v/>
      </c>
      <c r="N18">
        <f>IFERROR(MATCH($C$5&amp;"|"&amp;RIGHT("000000"&amp;2,6),CalcRankKeyB,0),"")</f>
        <v/>
      </c>
    </row>
    <row r="19">
      <c r="A19" s="21" t="n">
        <v>3</v>
      </c>
      <c r="B19" s="22">
        <f>IF(AND($M19="",$N19=""),"",IF($M19&lt;&gt;"",INDEX(CalcDateA,$M19),INDEX(CalcDateB,$N19)))</f>
        <v/>
      </c>
      <c r="C19" s="22">
        <f>IF($M19&lt;&gt;"","خرید سبد",IF($N19&lt;&gt;"",IF(N(INDEX(CalcDepB,$N19))&gt;0,"دریافت بانکی","پرداخت بانکی"),""))</f>
        <v/>
      </c>
      <c r="D19" s="22">
        <f>IF($M19&lt;&gt;"",IF(INDEX(CalcDocA,$M19)="","—",INDEX(CalcDocA,$M19)),IF($N19&lt;&gt;"",INDEX(CalcBankB,$N19),""))</f>
        <v/>
      </c>
      <c r="E19" s="23">
        <f>IF($N19&lt;&gt;"",IF(INDEX(CalcDepB,$N19)=0,"",INDEX(CalcDepB,$N19)),"")</f>
        <v/>
      </c>
      <c r="F19" s="23">
        <f>IF($M19&lt;&gt;"",IF(INDEX(CalcQtyA,$M19)=0,"",INDEX(CalcQtyA,$M19)),"")</f>
        <v/>
      </c>
      <c r="G19" s="23">
        <f>IF($M19&lt;&gt;"",IF(INDEX(CalcPriceA,$M19)=0,"",INDEX(CalcPriceA,$M19)),"")</f>
        <v/>
      </c>
      <c r="H19" s="23">
        <f>IF($N19&lt;&gt;"",IF(INDEX(CalcWitB,$N19)=0,"",INDEX(CalcWitB,$N19)),"")</f>
        <v/>
      </c>
      <c r="I19" s="24">
        <f>IF($M19&lt;&gt;"",INDEX(CalcAmtA,$M19),"")</f>
        <v/>
      </c>
      <c r="J19" s="24">
        <f>IF($B19="","",IF($J18="",$C$8,$J18)+IF($I19="",0,$I19)+IF($E19="",0,$E19)-IF($H19="",0,$H19))</f>
        <v/>
      </c>
      <c r="K19" s="25">
        <f>IF($M19&lt;&gt;"",IF(INDEX(CalcNoteA,$M19)="","—",INDEX(CalcNoteA,$M19)),IF($N19&lt;&gt;"",IF(INDEX(CalcNoteB,$N19)="","—",INDEX(CalcNoteB,$N19)),""))</f>
        <v/>
      </c>
      <c r="M19">
        <f>IFERROR(MATCH($C$5&amp;"|"&amp;RIGHT("000000"&amp;3,6),CalcRankKeyA,0),"")</f>
        <v/>
      </c>
      <c r="N19">
        <f>IFERROR(MATCH($C$5&amp;"|"&amp;RIGHT("000000"&amp;3,6),CalcRankKeyB,0),"")</f>
        <v/>
      </c>
    </row>
    <row r="20">
      <c r="A20" s="26" t="n">
        <v>4</v>
      </c>
      <c r="B20" s="27">
        <f>IF(AND($M20="",$N20=""),"",IF($M20&lt;&gt;"",INDEX(CalcDateA,$M20),INDEX(CalcDateB,$N20)))</f>
        <v/>
      </c>
      <c r="C20" s="27">
        <f>IF($M20&lt;&gt;"","خرید سبد",IF($N20&lt;&gt;"",IF(N(INDEX(CalcDepB,$N20))&gt;0,"دریافت بانکی","پرداخت بانکی"),""))</f>
        <v/>
      </c>
      <c r="D20" s="27">
        <f>IF($M20&lt;&gt;"",IF(INDEX(CalcDocA,$M20)="","—",INDEX(CalcDocA,$M20)),IF($N20&lt;&gt;"",INDEX(CalcBankB,$N20),""))</f>
        <v/>
      </c>
      <c r="E20" s="28">
        <f>IF($N20&lt;&gt;"",IF(INDEX(CalcDepB,$N20)=0,"",INDEX(CalcDepB,$N20)),"")</f>
        <v/>
      </c>
      <c r="F20" s="28">
        <f>IF($M20&lt;&gt;"",IF(INDEX(CalcQtyA,$M20)=0,"",INDEX(CalcQtyA,$M20)),"")</f>
        <v/>
      </c>
      <c r="G20" s="28">
        <f>IF($M20&lt;&gt;"",IF(INDEX(CalcPriceA,$M20)=0,"",INDEX(CalcPriceA,$M20)),"")</f>
        <v/>
      </c>
      <c r="H20" s="28">
        <f>IF($N20&lt;&gt;"",IF(INDEX(CalcWitB,$N20)=0,"",INDEX(CalcWitB,$N20)),"")</f>
        <v/>
      </c>
      <c r="I20" s="29">
        <f>IF($M20&lt;&gt;"",INDEX(CalcAmtA,$M20),"")</f>
        <v/>
      </c>
      <c r="J20" s="29">
        <f>IF($B20="","",IF($J19="",$C$8,$J19)+IF($I20="",0,$I20)+IF($E20="",0,$E20)-IF($H20="",0,$H20))</f>
        <v/>
      </c>
      <c r="K20" s="30">
        <f>IF($M20&lt;&gt;"",IF(INDEX(CalcNoteA,$M20)="","—",INDEX(CalcNoteA,$M20)),IF($N20&lt;&gt;"",IF(INDEX(CalcNoteB,$N20)="","—",INDEX(CalcNoteB,$N20)),""))</f>
        <v/>
      </c>
      <c r="M20">
        <f>IFERROR(MATCH($C$5&amp;"|"&amp;RIGHT("000000"&amp;4,6),CalcRankKeyA,0),"")</f>
        <v/>
      </c>
      <c r="N20">
        <f>IFERROR(MATCH($C$5&amp;"|"&amp;RIGHT("000000"&amp;4,6),CalcRankKeyB,0),"")</f>
        <v/>
      </c>
    </row>
    <row r="21">
      <c r="A21" s="21" t="n">
        <v>5</v>
      </c>
      <c r="B21" s="22">
        <f>IF(AND($M21="",$N21=""),"",IF($M21&lt;&gt;"",INDEX(CalcDateA,$M21),INDEX(CalcDateB,$N21)))</f>
        <v/>
      </c>
      <c r="C21" s="22">
        <f>IF($M21&lt;&gt;"","خرید سبد",IF($N21&lt;&gt;"",IF(N(INDEX(CalcDepB,$N21))&gt;0,"دریافت بانکی","پرداخت بانکی"),""))</f>
        <v/>
      </c>
      <c r="D21" s="22">
        <f>IF($M21&lt;&gt;"",IF(INDEX(CalcDocA,$M21)="","—",INDEX(CalcDocA,$M21)),IF($N21&lt;&gt;"",INDEX(CalcBankB,$N21),""))</f>
        <v/>
      </c>
      <c r="E21" s="23">
        <f>IF($N21&lt;&gt;"",IF(INDEX(CalcDepB,$N21)=0,"",INDEX(CalcDepB,$N21)),"")</f>
        <v/>
      </c>
      <c r="F21" s="23">
        <f>IF($M21&lt;&gt;"",IF(INDEX(CalcQtyA,$M21)=0,"",INDEX(CalcQtyA,$M21)),"")</f>
        <v/>
      </c>
      <c r="G21" s="23">
        <f>IF($M21&lt;&gt;"",IF(INDEX(CalcPriceA,$M21)=0,"",INDEX(CalcPriceA,$M21)),"")</f>
        <v/>
      </c>
      <c r="H21" s="23">
        <f>IF($N21&lt;&gt;"",IF(INDEX(CalcWitB,$N21)=0,"",INDEX(CalcWitB,$N21)),"")</f>
        <v/>
      </c>
      <c r="I21" s="24">
        <f>IF($M21&lt;&gt;"",INDEX(CalcAmtA,$M21),"")</f>
        <v/>
      </c>
      <c r="J21" s="24">
        <f>IF($B21="","",IF($J20="",$C$8,$J20)+IF($I21="",0,$I21)+IF($E21="",0,$E21)-IF($H21="",0,$H21))</f>
        <v/>
      </c>
      <c r="K21" s="25">
        <f>IF($M21&lt;&gt;"",IF(INDEX(CalcNoteA,$M21)="","—",INDEX(CalcNoteA,$M21)),IF($N21&lt;&gt;"",IF(INDEX(CalcNoteB,$N21)="","—",INDEX(CalcNoteB,$N21)),""))</f>
        <v/>
      </c>
      <c r="M21">
        <f>IFERROR(MATCH($C$5&amp;"|"&amp;RIGHT("000000"&amp;5,6),CalcRankKeyA,0),"")</f>
        <v/>
      </c>
      <c r="N21">
        <f>IFERROR(MATCH($C$5&amp;"|"&amp;RIGHT("000000"&amp;5,6),CalcRankKeyB,0),"")</f>
        <v/>
      </c>
    </row>
    <row r="22">
      <c r="A22" s="26" t="n">
        <v>6</v>
      </c>
      <c r="B22" s="27">
        <f>IF(AND($M22="",$N22=""),"",IF($M22&lt;&gt;"",INDEX(CalcDateA,$M22),INDEX(CalcDateB,$N22)))</f>
        <v/>
      </c>
      <c r="C22" s="27">
        <f>IF($M22&lt;&gt;"","خرید سبد",IF($N22&lt;&gt;"",IF(N(INDEX(CalcDepB,$N22))&gt;0,"دریافت بانکی","پرداخت بانکی"),""))</f>
        <v/>
      </c>
      <c r="D22" s="27">
        <f>IF($M22&lt;&gt;"",IF(INDEX(CalcDocA,$M22)="","—",INDEX(CalcDocA,$M22)),IF($N22&lt;&gt;"",INDEX(CalcBankB,$N22),""))</f>
        <v/>
      </c>
      <c r="E22" s="28">
        <f>IF($N22&lt;&gt;"",IF(INDEX(CalcDepB,$N22)=0,"",INDEX(CalcDepB,$N22)),"")</f>
        <v/>
      </c>
      <c r="F22" s="28">
        <f>IF($M22&lt;&gt;"",IF(INDEX(CalcQtyA,$M22)=0,"",INDEX(CalcQtyA,$M22)),"")</f>
        <v/>
      </c>
      <c r="G22" s="28">
        <f>IF($M22&lt;&gt;"",IF(INDEX(CalcPriceA,$M22)=0,"",INDEX(CalcPriceA,$M22)),"")</f>
        <v/>
      </c>
      <c r="H22" s="28">
        <f>IF($N22&lt;&gt;"",IF(INDEX(CalcWitB,$N22)=0,"",INDEX(CalcWitB,$N22)),"")</f>
        <v/>
      </c>
      <c r="I22" s="29">
        <f>IF($M22&lt;&gt;"",INDEX(CalcAmtA,$M22),"")</f>
        <v/>
      </c>
      <c r="J22" s="29">
        <f>IF($B22="","",IF($J21="",$C$8,$J21)+IF($I22="",0,$I22)+IF($E22="",0,$E22)-IF($H22="",0,$H22))</f>
        <v/>
      </c>
      <c r="K22" s="30">
        <f>IF($M22&lt;&gt;"",IF(INDEX(CalcNoteA,$M22)="","—",INDEX(CalcNoteA,$M22)),IF($N22&lt;&gt;"",IF(INDEX(CalcNoteB,$N22)="","—",INDEX(CalcNoteB,$N22)),""))</f>
        <v/>
      </c>
      <c r="M22">
        <f>IFERROR(MATCH($C$5&amp;"|"&amp;RIGHT("000000"&amp;6,6),CalcRankKeyA,0),"")</f>
        <v/>
      </c>
      <c r="N22">
        <f>IFERROR(MATCH($C$5&amp;"|"&amp;RIGHT("000000"&amp;6,6),CalcRankKeyB,0),"")</f>
        <v/>
      </c>
    </row>
    <row r="23">
      <c r="A23" s="21" t="n">
        <v>7</v>
      </c>
      <c r="B23" s="22">
        <f>IF(AND($M23="",$N23=""),"",IF($M23&lt;&gt;"",INDEX(CalcDateA,$M23),INDEX(CalcDateB,$N23)))</f>
        <v/>
      </c>
      <c r="C23" s="22">
        <f>IF($M23&lt;&gt;"","خرید سبد",IF($N23&lt;&gt;"",IF(N(INDEX(CalcDepB,$N23))&gt;0,"دریافت بانکی","پرداخت بانکی"),""))</f>
        <v/>
      </c>
      <c r="D23" s="22">
        <f>IF($M23&lt;&gt;"",IF(INDEX(CalcDocA,$M23)="","—",INDEX(CalcDocA,$M23)),IF($N23&lt;&gt;"",INDEX(CalcBankB,$N23),""))</f>
        <v/>
      </c>
      <c r="E23" s="23">
        <f>IF($N23&lt;&gt;"",IF(INDEX(CalcDepB,$N23)=0,"",INDEX(CalcDepB,$N23)),"")</f>
        <v/>
      </c>
      <c r="F23" s="23">
        <f>IF($M23&lt;&gt;"",IF(INDEX(CalcQtyA,$M23)=0,"",INDEX(CalcQtyA,$M23)),"")</f>
        <v/>
      </c>
      <c r="G23" s="23">
        <f>IF($M23&lt;&gt;"",IF(INDEX(CalcPriceA,$M23)=0,"",INDEX(CalcPriceA,$M23)),"")</f>
        <v/>
      </c>
      <c r="H23" s="23">
        <f>IF($N23&lt;&gt;"",IF(INDEX(CalcWitB,$N23)=0,"",INDEX(CalcWitB,$N23)),"")</f>
        <v/>
      </c>
      <c r="I23" s="24">
        <f>IF($M23&lt;&gt;"",INDEX(CalcAmtA,$M23),"")</f>
        <v/>
      </c>
      <c r="J23" s="24">
        <f>IF($B23="","",IF($J22="",$C$8,$J22)+IF($I23="",0,$I23)+IF($E23="",0,$E23)-IF($H23="",0,$H23))</f>
        <v/>
      </c>
      <c r="K23" s="25">
        <f>IF($M23&lt;&gt;"",IF(INDEX(CalcNoteA,$M23)="","—",INDEX(CalcNoteA,$M23)),IF($N23&lt;&gt;"",IF(INDEX(CalcNoteB,$N23)="","—",INDEX(CalcNoteB,$N23)),""))</f>
        <v/>
      </c>
      <c r="M23">
        <f>IFERROR(MATCH($C$5&amp;"|"&amp;RIGHT("000000"&amp;7,6),CalcRankKeyA,0),"")</f>
        <v/>
      </c>
      <c r="N23">
        <f>IFERROR(MATCH($C$5&amp;"|"&amp;RIGHT("000000"&amp;7,6),CalcRankKeyB,0),"")</f>
        <v/>
      </c>
    </row>
    <row r="24">
      <c r="A24" s="26" t="n">
        <v>8</v>
      </c>
      <c r="B24" s="27">
        <f>IF(AND($M24="",$N24=""),"",IF($M24&lt;&gt;"",INDEX(CalcDateA,$M24),INDEX(CalcDateB,$N24)))</f>
        <v/>
      </c>
      <c r="C24" s="27">
        <f>IF($M24&lt;&gt;"","خرید سبد",IF($N24&lt;&gt;"",IF(N(INDEX(CalcDepB,$N24))&gt;0,"دریافت بانکی","پرداخت بانکی"),""))</f>
        <v/>
      </c>
      <c r="D24" s="27">
        <f>IF($M24&lt;&gt;"",IF(INDEX(CalcDocA,$M24)="","—",INDEX(CalcDocA,$M24)),IF($N24&lt;&gt;"",INDEX(CalcBankB,$N24),""))</f>
        <v/>
      </c>
      <c r="E24" s="28">
        <f>IF($N24&lt;&gt;"",IF(INDEX(CalcDepB,$N24)=0,"",INDEX(CalcDepB,$N24)),"")</f>
        <v/>
      </c>
      <c r="F24" s="28">
        <f>IF($M24&lt;&gt;"",IF(INDEX(CalcQtyA,$M24)=0,"",INDEX(CalcQtyA,$M24)),"")</f>
        <v/>
      </c>
      <c r="G24" s="28">
        <f>IF($M24&lt;&gt;"",IF(INDEX(CalcPriceA,$M24)=0,"",INDEX(CalcPriceA,$M24)),"")</f>
        <v/>
      </c>
      <c r="H24" s="28">
        <f>IF($N24&lt;&gt;"",IF(INDEX(CalcWitB,$N24)=0,"",INDEX(CalcWitB,$N24)),"")</f>
        <v/>
      </c>
      <c r="I24" s="29">
        <f>IF($M24&lt;&gt;"",INDEX(CalcAmtA,$M24),"")</f>
        <v/>
      </c>
      <c r="J24" s="29">
        <f>IF($B24="","",IF($J23="",$C$8,$J23)+IF($I24="",0,$I24)+IF($E24="",0,$E24)-IF($H24="",0,$H24))</f>
        <v/>
      </c>
      <c r="K24" s="30">
        <f>IF($M24&lt;&gt;"",IF(INDEX(CalcNoteA,$M24)="","—",INDEX(CalcNoteA,$M24)),IF($N24&lt;&gt;"",IF(INDEX(CalcNoteB,$N24)="","—",INDEX(CalcNoteB,$N24)),""))</f>
        <v/>
      </c>
      <c r="M24">
        <f>IFERROR(MATCH($C$5&amp;"|"&amp;RIGHT("000000"&amp;8,6),CalcRankKeyA,0),"")</f>
        <v/>
      </c>
      <c r="N24">
        <f>IFERROR(MATCH($C$5&amp;"|"&amp;RIGHT("000000"&amp;8,6),CalcRankKeyB,0),"")</f>
        <v/>
      </c>
    </row>
    <row r="25">
      <c r="A25" s="21" t="n">
        <v>9</v>
      </c>
      <c r="B25" s="22">
        <f>IF(AND($M25="",$N25=""),"",IF($M25&lt;&gt;"",INDEX(CalcDateA,$M25),INDEX(CalcDateB,$N25)))</f>
        <v/>
      </c>
      <c r="C25" s="22">
        <f>IF($M25&lt;&gt;"","خرید سبد",IF($N25&lt;&gt;"",IF(N(INDEX(CalcDepB,$N25))&gt;0,"دریافت بانکی","پرداخت بانکی"),""))</f>
        <v/>
      </c>
      <c r="D25" s="22">
        <f>IF($M25&lt;&gt;"",IF(INDEX(CalcDocA,$M25)="","—",INDEX(CalcDocA,$M25)),IF($N25&lt;&gt;"",INDEX(CalcBankB,$N25),""))</f>
        <v/>
      </c>
      <c r="E25" s="23">
        <f>IF($N25&lt;&gt;"",IF(INDEX(CalcDepB,$N25)=0,"",INDEX(CalcDepB,$N25)),"")</f>
        <v/>
      </c>
      <c r="F25" s="23">
        <f>IF($M25&lt;&gt;"",IF(INDEX(CalcQtyA,$M25)=0,"",INDEX(CalcQtyA,$M25)),"")</f>
        <v/>
      </c>
      <c r="G25" s="23">
        <f>IF($M25&lt;&gt;"",IF(INDEX(CalcPriceA,$M25)=0,"",INDEX(CalcPriceA,$M25)),"")</f>
        <v/>
      </c>
      <c r="H25" s="23">
        <f>IF($N25&lt;&gt;"",IF(INDEX(CalcWitB,$N25)=0,"",INDEX(CalcWitB,$N25)),"")</f>
        <v/>
      </c>
      <c r="I25" s="24">
        <f>IF($M25&lt;&gt;"",INDEX(CalcAmtA,$M25),"")</f>
        <v/>
      </c>
      <c r="J25" s="24">
        <f>IF($B25="","",IF($J24="",$C$8,$J24)+IF($I25="",0,$I25)+IF($E25="",0,$E25)-IF($H25="",0,$H25))</f>
        <v/>
      </c>
      <c r="K25" s="25">
        <f>IF($M25&lt;&gt;"",IF(INDEX(CalcNoteA,$M25)="","—",INDEX(CalcNoteA,$M25)),IF($N25&lt;&gt;"",IF(INDEX(CalcNoteB,$N25)="","—",INDEX(CalcNoteB,$N25)),""))</f>
        <v/>
      </c>
      <c r="M25">
        <f>IFERROR(MATCH($C$5&amp;"|"&amp;RIGHT("000000"&amp;9,6),CalcRankKeyA,0),"")</f>
        <v/>
      </c>
      <c r="N25">
        <f>IFERROR(MATCH($C$5&amp;"|"&amp;RIGHT("000000"&amp;9,6),CalcRankKeyB,0),"")</f>
        <v/>
      </c>
    </row>
    <row r="26">
      <c r="A26" s="26" t="n">
        <v>10</v>
      </c>
      <c r="B26" s="27">
        <f>IF(AND($M26="",$N26=""),"",IF($M26&lt;&gt;"",INDEX(CalcDateA,$M26),INDEX(CalcDateB,$N26)))</f>
        <v/>
      </c>
      <c r="C26" s="27">
        <f>IF($M26&lt;&gt;"","خرید سبد",IF($N26&lt;&gt;"",IF(N(INDEX(CalcDepB,$N26))&gt;0,"دریافت بانکی","پرداخت بانکی"),""))</f>
        <v/>
      </c>
      <c r="D26" s="27">
        <f>IF($M26&lt;&gt;"",IF(INDEX(CalcDocA,$M26)="","—",INDEX(CalcDocA,$M26)),IF($N26&lt;&gt;"",INDEX(CalcBankB,$N26),""))</f>
        <v/>
      </c>
      <c r="E26" s="28">
        <f>IF($N26&lt;&gt;"",IF(INDEX(CalcDepB,$N26)=0,"",INDEX(CalcDepB,$N26)),"")</f>
        <v/>
      </c>
      <c r="F26" s="28">
        <f>IF($M26&lt;&gt;"",IF(INDEX(CalcQtyA,$M26)=0,"",INDEX(CalcQtyA,$M26)),"")</f>
        <v/>
      </c>
      <c r="G26" s="28">
        <f>IF($M26&lt;&gt;"",IF(INDEX(CalcPriceA,$M26)=0,"",INDEX(CalcPriceA,$M26)),"")</f>
        <v/>
      </c>
      <c r="H26" s="28">
        <f>IF($N26&lt;&gt;"",IF(INDEX(CalcWitB,$N26)=0,"",INDEX(CalcWitB,$N26)),"")</f>
        <v/>
      </c>
      <c r="I26" s="29">
        <f>IF($M26&lt;&gt;"",INDEX(CalcAmtA,$M26),"")</f>
        <v/>
      </c>
      <c r="J26" s="29">
        <f>IF($B26="","",IF($J25="",$C$8,$J25)+IF($I26="",0,$I26)+IF($E26="",0,$E26)-IF($H26="",0,$H26))</f>
        <v/>
      </c>
      <c r="K26" s="30">
        <f>IF($M26&lt;&gt;"",IF(INDEX(CalcNoteA,$M26)="","—",INDEX(CalcNoteA,$M26)),IF($N26&lt;&gt;"",IF(INDEX(CalcNoteB,$N26)="","—",INDEX(CalcNoteB,$N26)),""))</f>
        <v/>
      </c>
      <c r="M26">
        <f>IFERROR(MATCH($C$5&amp;"|"&amp;RIGHT("000000"&amp;10,6),CalcRankKeyA,0),"")</f>
        <v/>
      </c>
      <c r="N26">
        <f>IFERROR(MATCH($C$5&amp;"|"&amp;RIGHT("000000"&amp;10,6),CalcRankKeyB,0),"")</f>
        <v/>
      </c>
    </row>
    <row r="27">
      <c r="A27" s="21" t="n">
        <v>11</v>
      </c>
      <c r="B27" s="22">
        <f>IF(AND($M27="",$N27=""),"",IF($M27&lt;&gt;"",INDEX(CalcDateA,$M27),INDEX(CalcDateB,$N27)))</f>
        <v/>
      </c>
      <c r="C27" s="22">
        <f>IF($M27&lt;&gt;"","خرید سبد",IF($N27&lt;&gt;"",IF(N(INDEX(CalcDepB,$N27))&gt;0,"دریافت بانکی","پرداخت بانکی"),""))</f>
        <v/>
      </c>
      <c r="D27" s="22">
        <f>IF($M27&lt;&gt;"",IF(INDEX(CalcDocA,$M27)="","—",INDEX(CalcDocA,$M27)),IF($N27&lt;&gt;"",INDEX(CalcBankB,$N27),""))</f>
        <v/>
      </c>
      <c r="E27" s="23">
        <f>IF($N27&lt;&gt;"",IF(INDEX(CalcDepB,$N27)=0,"",INDEX(CalcDepB,$N27)),"")</f>
        <v/>
      </c>
      <c r="F27" s="23">
        <f>IF($M27&lt;&gt;"",IF(INDEX(CalcQtyA,$M27)=0,"",INDEX(CalcQtyA,$M27)),"")</f>
        <v/>
      </c>
      <c r="G27" s="23">
        <f>IF($M27&lt;&gt;"",IF(INDEX(CalcPriceA,$M27)=0,"",INDEX(CalcPriceA,$M27)),"")</f>
        <v/>
      </c>
      <c r="H27" s="23">
        <f>IF($N27&lt;&gt;"",IF(INDEX(CalcWitB,$N27)=0,"",INDEX(CalcWitB,$N27)),"")</f>
        <v/>
      </c>
      <c r="I27" s="24">
        <f>IF($M27&lt;&gt;"",INDEX(CalcAmtA,$M27),"")</f>
        <v/>
      </c>
      <c r="J27" s="24">
        <f>IF($B27="","",IF($J26="",$C$8,$J26)+IF($I27="",0,$I27)+IF($E27="",0,$E27)-IF($H27="",0,$H27))</f>
        <v/>
      </c>
      <c r="K27" s="25">
        <f>IF($M27&lt;&gt;"",IF(INDEX(CalcNoteA,$M27)="","—",INDEX(CalcNoteA,$M27)),IF($N27&lt;&gt;"",IF(INDEX(CalcNoteB,$N27)="","—",INDEX(CalcNoteB,$N27)),""))</f>
        <v/>
      </c>
      <c r="M27">
        <f>IFERROR(MATCH($C$5&amp;"|"&amp;RIGHT("000000"&amp;11,6),CalcRankKeyA,0),"")</f>
        <v/>
      </c>
      <c r="N27">
        <f>IFERROR(MATCH($C$5&amp;"|"&amp;RIGHT("000000"&amp;11,6),CalcRankKeyB,0),"")</f>
        <v/>
      </c>
    </row>
    <row r="28">
      <c r="A28" s="26" t="n">
        <v>12</v>
      </c>
      <c r="B28" s="27">
        <f>IF(AND($M28="",$N28=""),"",IF($M28&lt;&gt;"",INDEX(CalcDateA,$M28),INDEX(CalcDateB,$N28)))</f>
        <v/>
      </c>
      <c r="C28" s="27">
        <f>IF($M28&lt;&gt;"","خرید سبد",IF($N28&lt;&gt;"",IF(N(INDEX(CalcDepB,$N28))&gt;0,"دریافت بانکی","پرداخت بانکی"),""))</f>
        <v/>
      </c>
      <c r="D28" s="27">
        <f>IF($M28&lt;&gt;"",IF(INDEX(CalcDocA,$M28)="","—",INDEX(CalcDocA,$M28)),IF($N28&lt;&gt;"",INDEX(CalcBankB,$N28),""))</f>
        <v/>
      </c>
      <c r="E28" s="28">
        <f>IF($N28&lt;&gt;"",IF(INDEX(CalcDepB,$N28)=0,"",INDEX(CalcDepB,$N28)),"")</f>
        <v/>
      </c>
      <c r="F28" s="28">
        <f>IF($M28&lt;&gt;"",IF(INDEX(CalcQtyA,$M28)=0,"",INDEX(CalcQtyA,$M28)),"")</f>
        <v/>
      </c>
      <c r="G28" s="28">
        <f>IF($M28&lt;&gt;"",IF(INDEX(CalcPriceA,$M28)=0,"",INDEX(CalcPriceA,$M28)),"")</f>
        <v/>
      </c>
      <c r="H28" s="28">
        <f>IF($N28&lt;&gt;"",IF(INDEX(CalcWitB,$N28)=0,"",INDEX(CalcWitB,$N28)),"")</f>
        <v/>
      </c>
      <c r="I28" s="29">
        <f>IF($M28&lt;&gt;"",INDEX(CalcAmtA,$M28),"")</f>
        <v/>
      </c>
      <c r="J28" s="29">
        <f>IF($B28="","",IF($J27="",$C$8,$J27)+IF($I28="",0,$I28)+IF($E28="",0,$E28)-IF($H28="",0,$H28))</f>
        <v/>
      </c>
      <c r="K28" s="30">
        <f>IF($M28&lt;&gt;"",IF(INDEX(CalcNoteA,$M28)="","—",INDEX(CalcNoteA,$M28)),IF($N28&lt;&gt;"",IF(INDEX(CalcNoteB,$N28)="","—",INDEX(CalcNoteB,$N28)),""))</f>
        <v/>
      </c>
      <c r="M28">
        <f>IFERROR(MATCH($C$5&amp;"|"&amp;RIGHT("000000"&amp;12,6),CalcRankKeyA,0),"")</f>
        <v/>
      </c>
      <c r="N28">
        <f>IFERROR(MATCH($C$5&amp;"|"&amp;RIGHT("000000"&amp;12,6),CalcRankKeyB,0),"")</f>
        <v/>
      </c>
    </row>
    <row r="29">
      <c r="A29" s="21" t="n">
        <v>13</v>
      </c>
      <c r="B29" s="22">
        <f>IF(AND($M29="",$N29=""),"",IF($M29&lt;&gt;"",INDEX(CalcDateA,$M29),INDEX(CalcDateB,$N29)))</f>
        <v/>
      </c>
      <c r="C29" s="22">
        <f>IF($M29&lt;&gt;"","خرید سبد",IF($N29&lt;&gt;"",IF(N(INDEX(CalcDepB,$N29))&gt;0,"دریافت بانکی","پرداخت بانکی"),""))</f>
        <v/>
      </c>
      <c r="D29" s="22">
        <f>IF($M29&lt;&gt;"",IF(INDEX(CalcDocA,$M29)="","—",INDEX(CalcDocA,$M29)),IF($N29&lt;&gt;"",INDEX(CalcBankB,$N29),""))</f>
        <v/>
      </c>
      <c r="E29" s="23">
        <f>IF($N29&lt;&gt;"",IF(INDEX(CalcDepB,$N29)=0,"",INDEX(CalcDepB,$N29)),"")</f>
        <v/>
      </c>
      <c r="F29" s="23">
        <f>IF($M29&lt;&gt;"",IF(INDEX(CalcQtyA,$M29)=0,"",INDEX(CalcQtyA,$M29)),"")</f>
        <v/>
      </c>
      <c r="G29" s="23">
        <f>IF($M29&lt;&gt;"",IF(INDEX(CalcPriceA,$M29)=0,"",INDEX(CalcPriceA,$M29)),"")</f>
        <v/>
      </c>
      <c r="H29" s="23">
        <f>IF($N29&lt;&gt;"",IF(INDEX(CalcWitB,$N29)=0,"",INDEX(CalcWitB,$N29)),"")</f>
        <v/>
      </c>
      <c r="I29" s="24">
        <f>IF($M29&lt;&gt;"",INDEX(CalcAmtA,$M29),"")</f>
        <v/>
      </c>
      <c r="J29" s="24">
        <f>IF($B29="","",IF($J28="",$C$8,$J28)+IF($I29="",0,$I29)+IF($E29="",0,$E29)-IF($H29="",0,$H29))</f>
        <v/>
      </c>
      <c r="K29" s="25">
        <f>IF($M29&lt;&gt;"",IF(INDEX(CalcNoteA,$M29)="","—",INDEX(CalcNoteA,$M29)),IF($N29&lt;&gt;"",IF(INDEX(CalcNoteB,$N29)="","—",INDEX(CalcNoteB,$N29)),""))</f>
        <v/>
      </c>
      <c r="M29">
        <f>IFERROR(MATCH($C$5&amp;"|"&amp;RIGHT("000000"&amp;13,6),CalcRankKeyA,0),"")</f>
        <v/>
      </c>
      <c r="N29">
        <f>IFERROR(MATCH($C$5&amp;"|"&amp;RIGHT("000000"&amp;13,6),CalcRankKeyB,0),"")</f>
        <v/>
      </c>
    </row>
    <row r="30">
      <c r="A30" s="26" t="n">
        <v>14</v>
      </c>
      <c r="B30" s="27">
        <f>IF(AND($M30="",$N30=""),"",IF($M30&lt;&gt;"",INDEX(CalcDateA,$M30),INDEX(CalcDateB,$N30)))</f>
        <v/>
      </c>
      <c r="C30" s="27">
        <f>IF($M30&lt;&gt;"","خرید سبد",IF($N30&lt;&gt;"",IF(N(INDEX(CalcDepB,$N30))&gt;0,"دریافت بانکی","پرداخت بانکی"),""))</f>
        <v/>
      </c>
      <c r="D30" s="27">
        <f>IF($M30&lt;&gt;"",IF(INDEX(CalcDocA,$M30)="","—",INDEX(CalcDocA,$M30)),IF($N30&lt;&gt;"",INDEX(CalcBankB,$N30),""))</f>
        <v/>
      </c>
      <c r="E30" s="28">
        <f>IF($N30&lt;&gt;"",IF(INDEX(CalcDepB,$N30)=0,"",INDEX(CalcDepB,$N30)),"")</f>
        <v/>
      </c>
      <c r="F30" s="28">
        <f>IF($M30&lt;&gt;"",IF(INDEX(CalcQtyA,$M30)=0,"",INDEX(CalcQtyA,$M30)),"")</f>
        <v/>
      </c>
      <c r="G30" s="28">
        <f>IF($M30&lt;&gt;"",IF(INDEX(CalcPriceA,$M30)=0,"",INDEX(CalcPriceA,$M30)),"")</f>
        <v/>
      </c>
      <c r="H30" s="28">
        <f>IF($N30&lt;&gt;"",IF(INDEX(CalcWitB,$N30)=0,"",INDEX(CalcWitB,$N30)),"")</f>
        <v/>
      </c>
      <c r="I30" s="29">
        <f>IF($M30&lt;&gt;"",INDEX(CalcAmtA,$M30),"")</f>
        <v/>
      </c>
      <c r="J30" s="29">
        <f>IF($B30="","",IF($J29="",$C$8,$J29)+IF($I30="",0,$I30)+IF($E30="",0,$E30)-IF($H30="",0,$H30))</f>
        <v/>
      </c>
      <c r="K30" s="30">
        <f>IF($M30&lt;&gt;"",IF(INDEX(CalcNoteA,$M30)="","—",INDEX(CalcNoteA,$M30)),IF($N30&lt;&gt;"",IF(INDEX(CalcNoteB,$N30)="","—",INDEX(CalcNoteB,$N30)),""))</f>
        <v/>
      </c>
      <c r="M30">
        <f>IFERROR(MATCH($C$5&amp;"|"&amp;RIGHT("000000"&amp;14,6),CalcRankKeyA,0),"")</f>
        <v/>
      </c>
      <c r="N30">
        <f>IFERROR(MATCH($C$5&amp;"|"&amp;RIGHT("000000"&amp;14,6),CalcRankKeyB,0),"")</f>
        <v/>
      </c>
    </row>
    <row r="31">
      <c r="A31" s="21" t="n">
        <v>15</v>
      </c>
      <c r="B31" s="22">
        <f>IF(AND($M31="",$N31=""),"",IF($M31&lt;&gt;"",INDEX(CalcDateA,$M31),INDEX(CalcDateB,$N31)))</f>
        <v/>
      </c>
      <c r="C31" s="22">
        <f>IF($M31&lt;&gt;"","خرید سبد",IF($N31&lt;&gt;"",IF(N(INDEX(CalcDepB,$N31))&gt;0,"دریافت بانکی","پرداخت بانکی"),""))</f>
        <v/>
      </c>
      <c r="D31" s="22">
        <f>IF($M31&lt;&gt;"",IF(INDEX(CalcDocA,$M31)="","—",INDEX(CalcDocA,$M31)),IF($N31&lt;&gt;"",INDEX(CalcBankB,$N31),""))</f>
        <v/>
      </c>
      <c r="E31" s="23">
        <f>IF($N31&lt;&gt;"",IF(INDEX(CalcDepB,$N31)=0,"",INDEX(CalcDepB,$N31)),"")</f>
        <v/>
      </c>
      <c r="F31" s="23">
        <f>IF($M31&lt;&gt;"",IF(INDEX(CalcQtyA,$M31)=0,"",INDEX(CalcQtyA,$M31)),"")</f>
        <v/>
      </c>
      <c r="G31" s="23">
        <f>IF($M31&lt;&gt;"",IF(INDEX(CalcPriceA,$M31)=0,"",INDEX(CalcPriceA,$M31)),"")</f>
        <v/>
      </c>
      <c r="H31" s="23">
        <f>IF($N31&lt;&gt;"",IF(INDEX(CalcWitB,$N31)=0,"",INDEX(CalcWitB,$N31)),"")</f>
        <v/>
      </c>
      <c r="I31" s="24">
        <f>IF($M31&lt;&gt;"",INDEX(CalcAmtA,$M31),"")</f>
        <v/>
      </c>
      <c r="J31" s="24">
        <f>IF($B31="","",IF($J30="",$C$8,$J30)+IF($I31="",0,$I31)+IF($E31="",0,$E31)-IF($H31="",0,$H31))</f>
        <v/>
      </c>
      <c r="K31" s="25">
        <f>IF($M31&lt;&gt;"",IF(INDEX(CalcNoteA,$M31)="","—",INDEX(CalcNoteA,$M31)),IF($N31&lt;&gt;"",IF(INDEX(CalcNoteB,$N31)="","—",INDEX(CalcNoteB,$N31)),""))</f>
        <v/>
      </c>
      <c r="M31">
        <f>IFERROR(MATCH($C$5&amp;"|"&amp;RIGHT("000000"&amp;15,6),CalcRankKeyA,0),"")</f>
        <v/>
      </c>
      <c r="N31">
        <f>IFERROR(MATCH($C$5&amp;"|"&amp;RIGHT("000000"&amp;15,6),CalcRankKeyB,0),"")</f>
        <v/>
      </c>
    </row>
    <row r="32">
      <c r="A32" s="26" t="n">
        <v>16</v>
      </c>
      <c r="B32" s="27">
        <f>IF(AND($M32="",$N32=""),"",IF($M32&lt;&gt;"",INDEX(CalcDateA,$M32),INDEX(CalcDateB,$N32)))</f>
        <v/>
      </c>
      <c r="C32" s="27">
        <f>IF($M32&lt;&gt;"","خرید سبد",IF($N32&lt;&gt;"",IF(N(INDEX(CalcDepB,$N32))&gt;0,"دریافت بانکی","پرداخت بانکی"),""))</f>
        <v/>
      </c>
      <c r="D32" s="27">
        <f>IF($M32&lt;&gt;"",IF(INDEX(CalcDocA,$M32)="","—",INDEX(CalcDocA,$M32)),IF($N32&lt;&gt;"",INDEX(CalcBankB,$N32),""))</f>
        <v/>
      </c>
      <c r="E32" s="28">
        <f>IF($N32&lt;&gt;"",IF(INDEX(CalcDepB,$N32)=0,"",INDEX(CalcDepB,$N32)),"")</f>
        <v/>
      </c>
      <c r="F32" s="28">
        <f>IF($M32&lt;&gt;"",IF(INDEX(CalcQtyA,$M32)=0,"",INDEX(CalcQtyA,$M32)),"")</f>
        <v/>
      </c>
      <c r="G32" s="28">
        <f>IF($M32&lt;&gt;"",IF(INDEX(CalcPriceA,$M32)=0,"",INDEX(CalcPriceA,$M32)),"")</f>
        <v/>
      </c>
      <c r="H32" s="28">
        <f>IF($N32&lt;&gt;"",IF(INDEX(CalcWitB,$N32)=0,"",INDEX(CalcWitB,$N32)),"")</f>
        <v/>
      </c>
      <c r="I32" s="29">
        <f>IF($M32&lt;&gt;"",INDEX(CalcAmtA,$M32),"")</f>
        <v/>
      </c>
      <c r="J32" s="29">
        <f>IF($B32="","",IF($J31="",$C$8,$J31)+IF($I32="",0,$I32)+IF($E32="",0,$E32)-IF($H32="",0,$H32))</f>
        <v/>
      </c>
      <c r="K32" s="30">
        <f>IF($M32&lt;&gt;"",IF(INDEX(CalcNoteA,$M32)="","—",INDEX(CalcNoteA,$M32)),IF($N32&lt;&gt;"",IF(INDEX(CalcNoteB,$N32)="","—",INDEX(CalcNoteB,$N32)),""))</f>
        <v/>
      </c>
      <c r="M32">
        <f>IFERROR(MATCH($C$5&amp;"|"&amp;RIGHT("000000"&amp;16,6),CalcRankKeyA,0),"")</f>
        <v/>
      </c>
      <c r="N32">
        <f>IFERROR(MATCH($C$5&amp;"|"&amp;RIGHT("000000"&amp;16,6),CalcRankKeyB,0),"")</f>
        <v/>
      </c>
    </row>
    <row r="33">
      <c r="A33" s="21" t="n">
        <v>17</v>
      </c>
      <c r="B33" s="22">
        <f>IF(AND($M33="",$N33=""),"",IF($M33&lt;&gt;"",INDEX(CalcDateA,$M33),INDEX(CalcDateB,$N33)))</f>
        <v/>
      </c>
      <c r="C33" s="22">
        <f>IF($M33&lt;&gt;"","خرید سبد",IF($N33&lt;&gt;"",IF(N(INDEX(CalcDepB,$N33))&gt;0,"دریافت بانکی","پرداخت بانکی"),""))</f>
        <v/>
      </c>
      <c r="D33" s="22">
        <f>IF($M33&lt;&gt;"",IF(INDEX(CalcDocA,$M33)="","—",INDEX(CalcDocA,$M33)),IF($N33&lt;&gt;"",INDEX(CalcBankB,$N33),""))</f>
        <v/>
      </c>
      <c r="E33" s="23">
        <f>IF($N33&lt;&gt;"",IF(INDEX(CalcDepB,$N33)=0,"",INDEX(CalcDepB,$N33)),"")</f>
        <v/>
      </c>
      <c r="F33" s="23">
        <f>IF($M33&lt;&gt;"",IF(INDEX(CalcQtyA,$M33)=0,"",INDEX(CalcQtyA,$M33)),"")</f>
        <v/>
      </c>
      <c r="G33" s="23">
        <f>IF($M33&lt;&gt;"",IF(INDEX(CalcPriceA,$M33)=0,"",INDEX(CalcPriceA,$M33)),"")</f>
        <v/>
      </c>
      <c r="H33" s="23">
        <f>IF($N33&lt;&gt;"",IF(INDEX(CalcWitB,$N33)=0,"",INDEX(CalcWitB,$N33)),"")</f>
        <v/>
      </c>
      <c r="I33" s="24">
        <f>IF($M33&lt;&gt;"",INDEX(CalcAmtA,$M33),"")</f>
        <v/>
      </c>
      <c r="J33" s="24">
        <f>IF($B33="","",IF($J32="",$C$8,$J32)+IF($I33="",0,$I33)+IF($E33="",0,$E33)-IF($H33="",0,$H33))</f>
        <v/>
      </c>
      <c r="K33" s="25">
        <f>IF($M33&lt;&gt;"",IF(INDEX(CalcNoteA,$M33)="","—",INDEX(CalcNoteA,$M33)),IF($N33&lt;&gt;"",IF(INDEX(CalcNoteB,$N33)="","—",INDEX(CalcNoteB,$N33)),""))</f>
        <v/>
      </c>
      <c r="M33">
        <f>IFERROR(MATCH($C$5&amp;"|"&amp;RIGHT("000000"&amp;17,6),CalcRankKeyA,0),"")</f>
        <v/>
      </c>
      <c r="N33">
        <f>IFERROR(MATCH($C$5&amp;"|"&amp;RIGHT("000000"&amp;17,6),CalcRankKeyB,0),"")</f>
        <v/>
      </c>
    </row>
    <row r="34">
      <c r="A34" s="26" t="n">
        <v>18</v>
      </c>
      <c r="B34" s="27">
        <f>IF(AND($M34="",$N34=""),"",IF($M34&lt;&gt;"",INDEX(CalcDateA,$M34),INDEX(CalcDateB,$N34)))</f>
        <v/>
      </c>
      <c r="C34" s="27">
        <f>IF($M34&lt;&gt;"","خرید سبد",IF($N34&lt;&gt;"",IF(N(INDEX(CalcDepB,$N34))&gt;0,"دریافت بانکی","پرداخت بانکی"),""))</f>
        <v/>
      </c>
      <c r="D34" s="27">
        <f>IF($M34&lt;&gt;"",IF(INDEX(CalcDocA,$M34)="","—",INDEX(CalcDocA,$M34)),IF($N34&lt;&gt;"",INDEX(CalcBankB,$N34),""))</f>
        <v/>
      </c>
      <c r="E34" s="28">
        <f>IF($N34&lt;&gt;"",IF(INDEX(CalcDepB,$N34)=0,"",INDEX(CalcDepB,$N34)),"")</f>
        <v/>
      </c>
      <c r="F34" s="28">
        <f>IF($M34&lt;&gt;"",IF(INDEX(CalcQtyA,$M34)=0,"",INDEX(CalcQtyA,$M34)),"")</f>
        <v/>
      </c>
      <c r="G34" s="28">
        <f>IF($M34&lt;&gt;"",IF(INDEX(CalcPriceA,$M34)=0,"",INDEX(CalcPriceA,$M34)),"")</f>
        <v/>
      </c>
      <c r="H34" s="28">
        <f>IF($N34&lt;&gt;"",IF(INDEX(CalcWitB,$N34)=0,"",INDEX(CalcWitB,$N34)),"")</f>
        <v/>
      </c>
      <c r="I34" s="29">
        <f>IF($M34&lt;&gt;"",INDEX(CalcAmtA,$M34),"")</f>
        <v/>
      </c>
      <c r="J34" s="29">
        <f>IF($B34="","",IF($J33="",$C$8,$J33)+IF($I34="",0,$I34)+IF($E34="",0,$E34)-IF($H34="",0,$H34))</f>
        <v/>
      </c>
      <c r="K34" s="30">
        <f>IF($M34&lt;&gt;"",IF(INDEX(CalcNoteA,$M34)="","—",INDEX(CalcNoteA,$M34)),IF($N34&lt;&gt;"",IF(INDEX(CalcNoteB,$N34)="","—",INDEX(CalcNoteB,$N34)),""))</f>
        <v/>
      </c>
      <c r="M34">
        <f>IFERROR(MATCH($C$5&amp;"|"&amp;RIGHT("000000"&amp;18,6),CalcRankKeyA,0),"")</f>
        <v/>
      </c>
      <c r="N34">
        <f>IFERROR(MATCH($C$5&amp;"|"&amp;RIGHT("000000"&amp;18,6),CalcRankKeyB,0),"")</f>
        <v/>
      </c>
    </row>
    <row r="35">
      <c r="A35" s="21" t="n">
        <v>19</v>
      </c>
      <c r="B35" s="22">
        <f>IF(AND($M35="",$N35=""),"",IF($M35&lt;&gt;"",INDEX(CalcDateA,$M35),INDEX(CalcDateB,$N35)))</f>
        <v/>
      </c>
      <c r="C35" s="22">
        <f>IF($M35&lt;&gt;"","خرید سبد",IF($N35&lt;&gt;"",IF(N(INDEX(CalcDepB,$N35))&gt;0,"دریافت بانکی","پرداخت بانکی"),""))</f>
        <v/>
      </c>
      <c r="D35" s="22">
        <f>IF($M35&lt;&gt;"",IF(INDEX(CalcDocA,$M35)="","—",INDEX(CalcDocA,$M35)),IF($N35&lt;&gt;"",INDEX(CalcBankB,$N35),""))</f>
        <v/>
      </c>
      <c r="E35" s="23">
        <f>IF($N35&lt;&gt;"",IF(INDEX(CalcDepB,$N35)=0,"",INDEX(CalcDepB,$N35)),"")</f>
        <v/>
      </c>
      <c r="F35" s="23">
        <f>IF($M35&lt;&gt;"",IF(INDEX(CalcQtyA,$M35)=0,"",INDEX(CalcQtyA,$M35)),"")</f>
        <v/>
      </c>
      <c r="G35" s="23">
        <f>IF($M35&lt;&gt;"",IF(INDEX(CalcPriceA,$M35)=0,"",INDEX(CalcPriceA,$M35)),"")</f>
        <v/>
      </c>
      <c r="H35" s="23">
        <f>IF($N35&lt;&gt;"",IF(INDEX(CalcWitB,$N35)=0,"",INDEX(CalcWitB,$N35)),"")</f>
        <v/>
      </c>
      <c r="I35" s="24">
        <f>IF($M35&lt;&gt;"",INDEX(CalcAmtA,$M35),"")</f>
        <v/>
      </c>
      <c r="J35" s="24">
        <f>IF($B35="","",IF($J34="",$C$8,$J34)+IF($I35="",0,$I35)+IF($E35="",0,$E35)-IF($H35="",0,$H35))</f>
        <v/>
      </c>
      <c r="K35" s="25">
        <f>IF($M35&lt;&gt;"",IF(INDEX(CalcNoteA,$M35)="","—",INDEX(CalcNoteA,$M35)),IF($N35&lt;&gt;"",IF(INDEX(CalcNoteB,$N35)="","—",INDEX(CalcNoteB,$N35)),""))</f>
        <v/>
      </c>
      <c r="M35">
        <f>IFERROR(MATCH($C$5&amp;"|"&amp;RIGHT("000000"&amp;19,6),CalcRankKeyA,0),"")</f>
        <v/>
      </c>
      <c r="N35">
        <f>IFERROR(MATCH($C$5&amp;"|"&amp;RIGHT("000000"&amp;19,6),CalcRankKeyB,0),"")</f>
        <v/>
      </c>
    </row>
    <row r="36">
      <c r="A36" s="26" t="n">
        <v>20</v>
      </c>
      <c r="B36" s="27">
        <f>IF(AND($M36="",$N36=""),"",IF($M36&lt;&gt;"",INDEX(CalcDateA,$M36),INDEX(CalcDateB,$N36)))</f>
        <v/>
      </c>
      <c r="C36" s="27">
        <f>IF($M36&lt;&gt;"","خرید سبد",IF($N36&lt;&gt;"",IF(N(INDEX(CalcDepB,$N36))&gt;0,"دریافت بانکی","پرداخت بانکی"),""))</f>
        <v/>
      </c>
      <c r="D36" s="27">
        <f>IF($M36&lt;&gt;"",IF(INDEX(CalcDocA,$M36)="","—",INDEX(CalcDocA,$M36)),IF($N36&lt;&gt;"",INDEX(CalcBankB,$N36),""))</f>
        <v/>
      </c>
      <c r="E36" s="28">
        <f>IF($N36&lt;&gt;"",IF(INDEX(CalcDepB,$N36)=0,"",INDEX(CalcDepB,$N36)),"")</f>
        <v/>
      </c>
      <c r="F36" s="28">
        <f>IF($M36&lt;&gt;"",IF(INDEX(CalcQtyA,$M36)=0,"",INDEX(CalcQtyA,$M36)),"")</f>
        <v/>
      </c>
      <c r="G36" s="28">
        <f>IF($M36&lt;&gt;"",IF(INDEX(CalcPriceA,$M36)=0,"",INDEX(CalcPriceA,$M36)),"")</f>
        <v/>
      </c>
      <c r="H36" s="28">
        <f>IF($N36&lt;&gt;"",IF(INDEX(CalcWitB,$N36)=0,"",INDEX(CalcWitB,$N36)),"")</f>
        <v/>
      </c>
      <c r="I36" s="29">
        <f>IF($M36&lt;&gt;"",INDEX(CalcAmtA,$M36),"")</f>
        <v/>
      </c>
      <c r="J36" s="29">
        <f>IF($B36="","",IF($J35="",$C$8,$J35)+IF($I36="",0,$I36)+IF($E36="",0,$E36)-IF($H36="",0,$H36))</f>
        <v/>
      </c>
      <c r="K36" s="30">
        <f>IF($M36&lt;&gt;"",IF(INDEX(CalcNoteA,$M36)="","—",INDEX(CalcNoteA,$M36)),IF($N36&lt;&gt;"",IF(INDEX(CalcNoteB,$N36)="","—",INDEX(CalcNoteB,$N36)),""))</f>
        <v/>
      </c>
      <c r="M36">
        <f>IFERROR(MATCH($C$5&amp;"|"&amp;RIGHT("000000"&amp;20,6),CalcRankKeyA,0),"")</f>
        <v/>
      </c>
      <c r="N36">
        <f>IFERROR(MATCH($C$5&amp;"|"&amp;RIGHT("000000"&amp;20,6),CalcRankKeyB,0),"")</f>
        <v/>
      </c>
    </row>
    <row r="37">
      <c r="A37" s="21" t="n">
        <v>21</v>
      </c>
      <c r="B37" s="22">
        <f>IF(AND($M37="",$N37=""),"",IF($M37&lt;&gt;"",INDEX(CalcDateA,$M37),INDEX(CalcDateB,$N37)))</f>
        <v/>
      </c>
      <c r="C37" s="22">
        <f>IF($M37&lt;&gt;"","خرید سبد",IF($N37&lt;&gt;"",IF(N(INDEX(CalcDepB,$N37))&gt;0,"دریافت بانکی","پرداخت بانکی"),""))</f>
        <v/>
      </c>
      <c r="D37" s="22">
        <f>IF($M37&lt;&gt;"",IF(INDEX(CalcDocA,$M37)="","—",INDEX(CalcDocA,$M37)),IF($N37&lt;&gt;"",INDEX(CalcBankB,$N37),""))</f>
        <v/>
      </c>
      <c r="E37" s="23">
        <f>IF($N37&lt;&gt;"",IF(INDEX(CalcDepB,$N37)=0,"",INDEX(CalcDepB,$N37)),"")</f>
        <v/>
      </c>
      <c r="F37" s="23">
        <f>IF($M37&lt;&gt;"",IF(INDEX(CalcQtyA,$M37)=0,"",INDEX(CalcQtyA,$M37)),"")</f>
        <v/>
      </c>
      <c r="G37" s="23">
        <f>IF($M37&lt;&gt;"",IF(INDEX(CalcPriceA,$M37)=0,"",INDEX(CalcPriceA,$M37)),"")</f>
        <v/>
      </c>
      <c r="H37" s="23">
        <f>IF($N37&lt;&gt;"",IF(INDEX(CalcWitB,$N37)=0,"",INDEX(CalcWitB,$N37)),"")</f>
        <v/>
      </c>
      <c r="I37" s="24">
        <f>IF($M37&lt;&gt;"",INDEX(CalcAmtA,$M37),"")</f>
        <v/>
      </c>
      <c r="J37" s="24">
        <f>IF($B37="","",IF($J36="",$C$8,$J36)+IF($I37="",0,$I37)+IF($E37="",0,$E37)-IF($H37="",0,$H37))</f>
        <v/>
      </c>
      <c r="K37" s="25">
        <f>IF($M37&lt;&gt;"",IF(INDEX(CalcNoteA,$M37)="","—",INDEX(CalcNoteA,$M37)),IF($N37&lt;&gt;"",IF(INDEX(CalcNoteB,$N37)="","—",INDEX(CalcNoteB,$N37)),""))</f>
        <v/>
      </c>
      <c r="M37">
        <f>IFERROR(MATCH($C$5&amp;"|"&amp;RIGHT("000000"&amp;21,6),CalcRankKeyA,0),"")</f>
        <v/>
      </c>
      <c r="N37">
        <f>IFERROR(MATCH($C$5&amp;"|"&amp;RIGHT("000000"&amp;21,6),CalcRankKeyB,0),"")</f>
        <v/>
      </c>
    </row>
    <row r="38">
      <c r="A38" s="26" t="n">
        <v>22</v>
      </c>
      <c r="B38" s="27">
        <f>IF(AND($M38="",$N38=""),"",IF($M38&lt;&gt;"",INDEX(CalcDateA,$M38),INDEX(CalcDateB,$N38)))</f>
        <v/>
      </c>
      <c r="C38" s="27">
        <f>IF($M38&lt;&gt;"","خرید سبد",IF($N38&lt;&gt;"",IF(N(INDEX(CalcDepB,$N38))&gt;0,"دریافت بانکی","پرداخت بانکی"),""))</f>
        <v/>
      </c>
      <c r="D38" s="27">
        <f>IF($M38&lt;&gt;"",IF(INDEX(CalcDocA,$M38)="","—",INDEX(CalcDocA,$M38)),IF($N38&lt;&gt;"",INDEX(CalcBankB,$N38),""))</f>
        <v/>
      </c>
      <c r="E38" s="28">
        <f>IF($N38&lt;&gt;"",IF(INDEX(CalcDepB,$N38)=0,"",INDEX(CalcDepB,$N38)),"")</f>
        <v/>
      </c>
      <c r="F38" s="28">
        <f>IF($M38&lt;&gt;"",IF(INDEX(CalcQtyA,$M38)=0,"",INDEX(CalcQtyA,$M38)),"")</f>
        <v/>
      </c>
      <c r="G38" s="28">
        <f>IF($M38&lt;&gt;"",IF(INDEX(CalcPriceA,$M38)=0,"",INDEX(CalcPriceA,$M38)),"")</f>
        <v/>
      </c>
      <c r="H38" s="28">
        <f>IF($N38&lt;&gt;"",IF(INDEX(CalcWitB,$N38)=0,"",INDEX(CalcWitB,$N38)),"")</f>
        <v/>
      </c>
      <c r="I38" s="29">
        <f>IF($M38&lt;&gt;"",INDEX(CalcAmtA,$M38),"")</f>
        <v/>
      </c>
      <c r="J38" s="29">
        <f>IF($B38="","",IF($J37="",$C$8,$J37)+IF($I38="",0,$I38)+IF($E38="",0,$E38)-IF($H38="",0,$H38))</f>
        <v/>
      </c>
      <c r="K38" s="30">
        <f>IF($M38&lt;&gt;"",IF(INDEX(CalcNoteA,$M38)="","—",INDEX(CalcNoteA,$M38)),IF($N38&lt;&gt;"",IF(INDEX(CalcNoteB,$N38)="","—",INDEX(CalcNoteB,$N38)),""))</f>
        <v/>
      </c>
      <c r="M38">
        <f>IFERROR(MATCH($C$5&amp;"|"&amp;RIGHT("000000"&amp;22,6),CalcRankKeyA,0),"")</f>
        <v/>
      </c>
      <c r="N38">
        <f>IFERROR(MATCH($C$5&amp;"|"&amp;RIGHT("000000"&amp;22,6),CalcRankKeyB,0),"")</f>
        <v/>
      </c>
    </row>
    <row r="39">
      <c r="A39" s="21" t="n">
        <v>23</v>
      </c>
      <c r="B39" s="22">
        <f>IF(AND($M39="",$N39=""),"",IF($M39&lt;&gt;"",INDEX(CalcDateA,$M39),INDEX(CalcDateB,$N39)))</f>
        <v/>
      </c>
      <c r="C39" s="22">
        <f>IF($M39&lt;&gt;"","خرید سبد",IF($N39&lt;&gt;"",IF(N(INDEX(CalcDepB,$N39))&gt;0,"دریافت بانکی","پرداخت بانکی"),""))</f>
        <v/>
      </c>
      <c r="D39" s="22">
        <f>IF($M39&lt;&gt;"",IF(INDEX(CalcDocA,$M39)="","—",INDEX(CalcDocA,$M39)),IF($N39&lt;&gt;"",INDEX(CalcBankB,$N39),""))</f>
        <v/>
      </c>
      <c r="E39" s="23">
        <f>IF($N39&lt;&gt;"",IF(INDEX(CalcDepB,$N39)=0,"",INDEX(CalcDepB,$N39)),"")</f>
        <v/>
      </c>
      <c r="F39" s="23">
        <f>IF($M39&lt;&gt;"",IF(INDEX(CalcQtyA,$M39)=0,"",INDEX(CalcQtyA,$M39)),"")</f>
        <v/>
      </c>
      <c r="G39" s="23">
        <f>IF($M39&lt;&gt;"",IF(INDEX(CalcPriceA,$M39)=0,"",INDEX(CalcPriceA,$M39)),"")</f>
        <v/>
      </c>
      <c r="H39" s="23">
        <f>IF($N39&lt;&gt;"",IF(INDEX(CalcWitB,$N39)=0,"",INDEX(CalcWitB,$N39)),"")</f>
        <v/>
      </c>
      <c r="I39" s="24">
        <f>IF($M39&lt;&gt;"",INDEX(CalcAmtA,$M39),"")</f>
        <v/>
      </c>
      <c r="J39" s="24">
        <f>IF($B39="","",IF($J38="",$C$8,$J38)+IF($I39="",0,$I39)+IF($E39="",0,$E39)-IF($H39="",0,$H39))</f>
        <v/>
      </c>
      <c r="K39" s="25">
        <f>IF($M39&lt;&gt;"",IF(INDEX(CalcNoteA,$M39)="","—",INDEX(CalcNoteA,$M39)),IF($N39&lt;&gt;"",IF(INDEX(CalcNoteB,$N39)="","—",INDEX(CalcNoteB,$N39)),""))</f>
        <v/>
      </c>
      <c r="M39">
        <f>IFERROR(MATCH($C$5&amp;"|"&amp;RIGHT("000000"&amp;23,6),CalcRankKeyA,0),"")</f>
        <v/>
      </c>
      <c r="N39">
        <f>IFERROR(MATCH($C$5&amp;"|"&amp;RIGHT("000000"&amp;23,6),CalcRankKeyB,0),"")</f>
        <v/>
      </c>
    </row>
    <row r="40">
      <c r="A40" s="26" t="n">
        <v>24</v>
      </c>
      <c r="B40" s="27">
        <f>IF(AND($M40="",$N40=""),"",IF($M40&lt;&gt;"",INDEX(CalcDateA,$M40),INDEX(CalcDateB,$N40)))</f>
        <v/>
      </c>
      <c r="C40" s="27">
        <f>IF($M40&lt;&gt;"","خرید سبد",IF($N40&lt;&gt;"",IF(N(INDEX(CalcDepB,$N40))&gt;0,"دریافت بانکی","پرداخت بانکی"),""))</f>
        <v/>
      </c>
      <c r="D40" s="27">
        <f>IF($M40&lt;&gt;"",IF(INDEX(CalcDocA,$M40)="","—",INDEX(CalcDocA,$M40)),IF($N40&lt;&gt;"",INDEX(CalcBankB,$N40),""))</f>
        <v/>
      </c>
      <c r="E40" s="28">
        <f>IF($N40&lt;&gt;"",IF(INDEX(CalcDepB,$N40)=0,"",INDEX(CalcDepB,$N40)),"")</f>
        <v/>
      </c>
      <c r="F40" s="28">
        <f>IF($M40&lt;&gt;"",IF(INDEX(CalcQtyA,$M40)=0,"",INDEX(CalcQtyA,$M40)),"")</f>
        <v/>
      </c>
      <c r="G40" s="28">
        <f>IF($M40&lt;&gt;"",IF(INDEX(CalcPriceA,$M40)=0,"",INDEX(CalcPriceA,$M40)),"")</f>
        <v/>
      </c>
      <c r="H40" s="28">
        <f>IF($N40&lt;&gt;"",IF(INDEX(CalcWitB,$N40)=0,"",INDEX(CalcWitB,$N40)),"")</f>
        <v/>
      </c>
      <c r="I40" s="29">
        <f>IF($M40&lt;&gt;"",INDEX(CalcAmtA,$M40),"")</f>
        <v/>
      </c>
      <c r="J40" s="29">
        <f>IF($B40="","",IF($J39="",$C$8,$J39)+IF($I40="",0,$I40)+IF($E40="",0,$E40)-IF($H40="",0,$H40))</f>
        <v/>
      </c>
      <c r="K40" s="30">
        <f>IF($M40&lt;&gt;"",IF(INDEX(CalcNoteA,$M40)="","—",INDEX(CalcNoteA,$M40)),IF($N40&lt;&gt;"",IF(INDEX(CalcNoteB,$N40)="","—",INDEX(CalcNoteB,$N40)),""))</f>
        <v/>
      </c>
      <c r="M40">
        <f>IFERROR(MATCH($C$5&amp;"|"&amp;RIGHT("000000"&amp;24,6),CalcRankKeyA,0),"")</f>
        <v/>
      </c>
      <c r="N40">
        <f>IFERROR(MATCH($C$5&amp;"|"&amp;RIGHT("000000"&amp;24,6),CalcRankKeyB,0),"")</f>
        <v/>
      </c>
    </row>
    <row r="41">
      <c r="A41" s="21" t="n">
        <v>25</v>
      </c>
      <c r="B41" s="22">
        <f>IF(AND($M41="",$N41=""),"",IF($M41&lt;&gt;"",INDEX(CalcDateA,$M41),INDEX(CalcDateB,$N41)))</f>
        <v/>
      </c>
      <c r="C41" s="22">
        <f>IF($M41&lt;&gt;"","خرید سبد",IF($N41&lt;&gt;"",IF(N(INDEX(CalcDepB,$N41))&gt;0,"دریافت بانکی","پرداخت بانکی"),""))</f>
        <v/>
      </c>
      <c r="D41" s="22">
        <f>IF($M41&lt;&gt;"",IF(INDEX(CalcDocA,$M41)="","—",INDEX(CalcDocA,$M41)),IF($N41&lt;&gt;"",INDEX(CalcBankB,$N41),""))</f>
        <v/>
      </c>
      <c r="E41" s="23">
        <f>IF($N41&lt;&gt;"",IF(INDEX(CalcDepB,$N41)=0,"",INDEX(CalcDepB,$N41)),"")</f>
        <v/>
      </c>
      <c r="F41" s="23">
        <f>IF($M41&lt;&gt;"",IF(INDEX(CalcQtyA,$M41)=0,"",INDEX(CalcQtyA,$M41)),"")</f>
        <v/>
      </c>
      <c r="G41" s="23">
        <f>IF($M41&lt;&gt;"",IF(INDEX(CalcPriceA,$M41)=0,"",INDEX(CalcPriceA,$M41)),"")</f>
        <v/>
      </c>
      <c r="H41" s="23">
        <f>IF($N41&lt;&gt;"",IF(INDEX(CalcWitB,$N41)=0,"",INDEX(CalcWitB,$N41)),"")</f>
        <v/>
      </c>
      <c r="I41" s="24">
        <f>IF($M41&lt;&gt;"",INDEX(CalcAmtA,$M41),"")</f>
        <v/>
      </c>
      <c r="J41" s="24">
        <f>IF($B41="","",IF($J40="",$C$8,$J40)+IF($I41="",0,$I41)+IF($E41="",0,$E41)-IF($H41="",0,$H41))</f>
        <v/>
      </c>
      <c r="K41" s="25">
        <f>IF($M41&lt;&gt;"",IF(INDEX(CalcNoteA,$M41)="","—",INDEX(CalcNoteA,$M41)),IF($N41&lt;&gt;"",IF(INDEX(CalcNoteB,$N41)="","—",INDEX(CalcNoteB,$N41)),""))</f>
        <v/>
      </c>
      <c r="M41">
        <f>IFERROR(MATCH($C$5&amp;"|"&amp;RIGHT("000000"&amp;25,6),CalcRankKeyA,0),"")</f>
        <v/>
      </c>
      <c r="N41">
        <f>IFERROR(MATCH($C$5&amp;"|"&amp;RIGHT("000000"&amp;25,6),CalcRankKeyB,0),"")</f>
        <v/>
      </c>
    </row>
    <row r="42">
      <c r="A42" s="26" t="n">
        <v>26</v>
      </c>
      <c r="B42" s="27">
        <f>IF(AND($M42="",$N42=""),"",IF($M42&lt;&gt;"",INDEX(CalcDateA,$M42),INDEX(CalcDateB,$N42)))</f>
        <v/>
      </c>
      <c r="C42" s="27">
        <f>IF($M42&lt;&gt;"","خرید سبد",IF($N42&lt;&gt;"",IF(N(INDEX(CalcDepB,$N42))&gt;0,"دریافت بانکی","پرداخت بانکی"),""))</f>
        <v/>
      </c>
      <c r="D42" s="27">
        <f>IF($M42&lt;&gt;"",IF(INDEX(CalcDocA,$M42)="","—",INDEX(CalcDocA,$M42)),IF($N42&lt;&gt;"",INDEX(CalcBankB,$N42),""))</f>
        <v/>
      </c>
      <c r="E42" s="28">
        <f>IF($N42&lt;&gt;"",IF(INDEX(CalcDepB,$N42)=0,"",INDEX(CalcDepB,$N42)),"")</f>
        <v/>
      </c>
      <c r="F42" s="28">
        <f>IF($M42&lt;&gt;"",IF(INDEX(CalcQtyA,$M42)=0,"",INDEX(CalcQtyA,$M42)),"")</f>
        <v/>
      </c>
      <c r="G42" s="28">
        <f>IF($M42&lt;&gt;"",IF(INDEX(CalcPriceA,$M42)=0,"",INDEX(CalcPriceA,$M42)),"")</f>
        <v/>
      </c>
      <c r="H42" s="28">
        <f>IF($N42&lt;&gt;"",IF(INDEX(CalcWitB,$N42)=0,"",INDEX(CalcWitB,$N42)),"")</f>
        <v/>
      </c>
      <c r="I42" s="29">
        <f>IF($M42&lt;&gt;"",INDEX(CalcAmtA,$M42),"")</f>
        <v/>
      </c>
      <c r="J42" s="29">
        <f>IF($B42="","",IF($J41="",$C$8,$J41)+IF($I42="",0,$I42)+IF($E42="",0,$E42)-IF($H42="",0,$H42))</f>
        <v/>
      </c>
      <c r="K42" s="30">
        <f>IF($M42&lt;&gt;"",IF(INDEX(CalcNoteA,$M42)="","—",INDEX(CalcNoteA,$M42)),IF($N42&lt;&gt;"",IF(INDEX(CalcNoteB,$N42)="","—",INDEX(CalcNoteB,$N42)),""))</f>
        <v/>
      </c>
      <c r="M42">
        <f>IFERROR(MATCH($C$5&amp;"|"&amp;RIGHT("000000"&amp;26,6),CalcRankKeyA,0),"")</f>
        <v/>
      </c>
      <c r="N42">
        <f>IFERROR(MATCH($C$5&amp;"|"&amp;RIGHT("000000"&amp;26,6),CalcRankKeyB,0),"")</f>
        <v/>
      </c>
    </row>
    <row r="43">
      <c r="A43" s="21" t="n">
        <v>27</v>
      </c>
      <c r="B43" s="22">
        <f>IF(AND($M43="",$N43=""),"",IF($M43&lt;&gt;"",INDEX(CalcDateA,$M43),INDEX(CalcDateB,$N43)))</f>
        <v/>
      </c>
      <c r="C43" s="22">
        <f>IF($M43&lt;&gt;"","خرید سبد",IF($N43&lt;&gt;"",IF(N(INDEX(CalcDepB,$N43))&gt;0,"دریافت بانکی","پرداخت بانکی"),""))</f>
        <v/>
      </c>
      <c r="D43" s="22">
        <f>IF($M43&lt;&gt;"",IF(INDEX(CalcDocA,$M43)="","—",INDEX(CalcDocA,$M43)),IF($N43&lt;&gt;"",INDEX(CalcBankB,$N43),""))</f>
        <v/>
      </c>
      <c r="E43" s="23">
        <f>IF($N43&lt;&gt;"",IF(INDEX(CalcDepB,$N43)=0,"",INDEX(CalcDepB,$N43)),"")</f>
        <v/>
      </c>
      <c r="F43" s="23">
        <f>IF($M43&lt;&gt;"",IF(INDEX(CalcQtyA,$M43)=0,"",INDEX(CalcQtyA,$M43)),"")</f>
        <v/>
      </c>
      <c r="G43" s="23">
        <f>IF($M43&lt;&gt;"",IF(INDEX(CalcPriceA,$M43)=0,"",INDEX(CalcPriceA,$M43)),"")</f>
        <v/>
      </c>
      <c r="H43" s="23">
        <f>IF($N43&lt;&gt;"",IF(INDEX(CalcWitB,$N43)=0,"",INDEX(CalcWitB,$N43)),"")</f>
        <v/>
      </c>
      <c r="I43" s="24">
        <f>IF($M43&lt;&gt;"",INDEX(CalcAmtA,$M43),"")</f>
        <v/>
      </c>
      <c r="J43" s="24">
        <f>IF($B43="","",IF($J42="",$C$8,$J42)+IF($I43="",0,$I43)+IF($E43="",0,$E43)-IF($H43="",0,$H43))</f>
        <v/>
      </c>
      <c r="K43" s="25">
        <f>IF($M43&lt;&gt;"",IF(INDEX(CalcNoteA,$M43)="","—",INDEX(CalcNoteA,$M43)),IF($N43&lt;&gt;"",IF(INDEX(CalcNoteB,$N43)="","—",INDEX(CalcNoteB,$N43)),""))</f>
        <v/>
      </c>
      <c r="M43">
        <f>IFERROR(MATCH($C$5&amp;"|"&amp;RIGHT("000000"&amp;27,6),CalcRankKeyA,0),"")</f>
        <v/>
      </c>
      <c r="N43">
        <f>IFERROR(MATCH($C$5&amp;"|"&amp;RIGHT("000000"&amp;27,6),CalcRankKeyB,0),"")</f>
        <v/>
      </c>
    </row>
    <row r="44">
      <c r="A44" s="26" t="n">
        <v>28</v>
      </c>
      <c r="B44" s="27">
        <f>IF(AND($M44="",$N44=""),"",IF($M44&lt;&gt;"",INDEX(CalcDateA,$M44),INDEX(CalcDateB,$N44)))</f>
        <v/>
      </c>
      <c r="C44" s="27">
        <f>IF($M44&lt;&gt;"","خرید سبد",IF($N44&lt;&gt;"",IF(N(INDEX(CalcDepB,$N44))&gt;0,"دریافت بانکی","پرداخت بانکی"),""))</f>
        <v/>
      </c>
      <c r="D44" s="27">
        <f>IF($M44&lt;&gt;"",IF(INDEX(CalcDocA,$M44)="","—",INDEX(CalcDocA,$M44)),IF($N44&lt;&gt;"",INDEX(CalcBankB,$N44),""))</f>
        <v/>
      </c>
      <c r="E44" s="28">
        <f>IF($N44&lt;&gt;"",IF(INDEX(CalcDepB,$N44)=0,"",INDEX(CalcDepB,$N44)),"")</f>
        <v/>
      </c>
      <c r="F44" s="28">
        <f>IF($M44&lt;&gt;"",IF(INDEX(CalcQtyA,$M44)=0,"",INDEX(CalcQtyA,$M44)),"")</f>
        <v/>
      </c>
      <c r="G44" s="28">
        <f>IF($M44&lt;&gt;"",IF(INDEX(CalcPriceA,$M44)=0,"",INDEX(CalcPriceA,$M44)),"")</f>
        <v/>
      </c>
      <c r="H44" s="28">
        <f>IF($N44&lt;&gt;"",IF(INDEX(CalcWitB,$N44)=0,"",INDEX(CalcWitB,$N44)),"")</f>
        <v/>
      </c>
      <c r="I44" s="29">
        <f>IF($M44&lt;&gt;"",INDEX(CalcAmtA,$M44),"")</f>
        <v/>
      </c>
      <c r="J44" s="29">
        <f>IF($B44="","",IF($J43="",$C$8,$J43)+IF($I44="",0,$I44)+IF($E44="",0,$E44)-IF($H44="",0,$H44))</f>
        <v/>
      </c>
      <c r="K44" s="30">
        <f>IF($M44&lt;&gt;"",IF(INDEX(CalcNoteA,$M44)="","—",INDEX(CalcNoteA,$M44)),IF($N44&lt;&gt;"",IF(INDEX(CalcNoteB,$N44)="","—",INDEX(CalcNoteB,$N44)),""))</f>
        <v/>
      </c>
      <c r="M44">
        <f>IFERROR(MATCH($C$5&amp;"|"&amp;RIGHT("000000"&amp;28,6),CalcRankKeyA,0),"")</f>
        <v/>
      </c>
      <c r="N44">
        <f>IFERROR(MATCH($C$5&amp;"|"&amp;RIGHT("000000"&amp;28,6),CalcRankKeyB,0),"")</f>
        <v/>
      </c>
    </row>
    <row r="45">
      <c r="A45" s="21" t="n">
        <v>29</v>
      </c>
      <c r="B45" s="22">
        <f>IF(AND($M45="",$N45=""),"",IF($M45&lt;&gt;"",INDEX(CalcDateA,$M45),INDEX(CalcDateB,$N45)))</f>
        <v/>
      </c>
      <c r="C45" s="22">
        <f>IF($M45&lt;&gt;"","خرید سبد",IF($N45&lt;&gt;"",IF(N(INDEX(CalcDepB,$N45))&gt;0,"دریافت بانکی","پرداخت بانکی"),""))</f>
        <v/>
      </c>
      <c r="D45" s="22">
        <f>IF($M45&lt;&gt;"",IF(INDEX(CalcDocA,$M45)="","—",INDEX(CalcDocA,$M45)),IF($N45&lt;&gt;"",INDEX(CalcBankB,$N45),""))</f>
        <v/>
      </c>
      <c r="E45" s="23">
        <f>IF($N45&lt;&gt;"",IF(INDEX(CalcDepB,$N45)=0,"",INDEX(CalcDepB,$N45)),"")</f>
        <v/>
      </c>
      <c r="F45" s="23">
        <f>IF($M45&lt;&gt;"",IF(INDEX(CalcQtyA,$M45)=0,"",INDEX(CalcQtyA,$M45)),"")</f>
        <v/>
      </c>
      <c r="G45" s="23">
        <f>IF($M45&lt;&gt;"",IF(INDEX(CalcPriceA,$M45)=0,"",INDEX(CalcPriceA,$M45)),"")</f>
        <v/>
      </c>
      <c r="H45" s="23">
        <f>IF($N45&lt;&gt;"",IF(INDEX(CalcWitB,$N45)=0,"",INDEX(CalcWitB,$N45)),"")</f>
        <v/>
      </c>
      <c r="I45" s="24">
        <f>IF($M45&lt;&gt;"",INDEX(CalcAmtA,$M45),"")</f>
        <v/>
      </c>
      <c r="J45" s="24">
        <f>IF($B45="","",IF($J44="",$C$8,$J44)+IF($I45="",0,$I45)+IF($E45="",0,$E45)-IF($H45="",0,$H45))</f>
        <v/>
      </c>
      <c r="K45" s="25">
        <f>IF($M45&lt;&gt;"",IF(INDEX(CalcNoteA,$M45)="","—",INDEX(CalcNoteA,$M45)),IF($N45&lt;&gt;"",IF(INDEX(CalcNoteB,$N45)="","—",INDEX(CalcNoteB,$N45)),""))</f>
        <v/>
      </c>
      <c r="M45">
        <f>IFERROR(MATCH($C$5&amp;"|"&amp;RIGHT("000000"&amp;29,6),CalcRankKeyA,0),"")</f>
        <v/>
      </c>
      <c r="N45">
        <f>IFERROR(MATCH($C$5&amp;"|"&amp;RIGHT("000000"&amp;29,6),CalcRankKeyB,0),"")</f>
        <v/>
      </c>
    </row>
    <row r="46">
      <c r="A46" s="26" t="n">
        <v>30</v>
      </c>
      <c r="B46" s="27">
        <f>IF(AND($M46="",$N46=""),"",IF($M46&lt;&gt;"",INDEX(CalcDateA,$M46),INDEX(CalcDateB,$N46)))</f>
        <v/>
      </c>
      <c r="C46" s="27">
        <f>IF($M46&lt;&gt;"","خرید سبد",IF($N46&lt;&gt;"",IF(N(INDEX(CalcDepB,$N46))&gt;0,"دریافت بانکی","پرداخت بانکی"),""))</f>
        <v/>
      </c>
      <c r="D46" s="27">
        <f>IF($M46&lt;&gt;"",IF(INDEX(CalcDocA,$M46)="","—",INDEX(CalcDocA,$M46)),IF($N46&lt;&gt;"",INDEX(CalcBankB,$N46),""))</f>
        <v/>
      </c>
      <c r="E46" s="28">
        <f>IF($N46&lt;&gt;"",IF(INDEX(CalcDepB,$N46)=0,"",INDEX(CalcDepB,$N46)),"")</f>
        <v/>
      </c>
      <c r="F46" s="28">
        <f>IF($M46&lt;&gt;"",IF(INDEX(CalcQtyA,$M46)=0,"",INDEX(CalcQtyA,$M46)),"")</f>
        <v/>
      </c>
      <c r="G46" s="28">
        <f>IF($M46&lt;&gt;"",IF(INDEX(CalcPriceA,$M46)=0,"",INDEX(CalcPriceA,$M46)),"")</f>
        <v/>
      </c>
      <c r="H46" s="28">
        <f>IF($N46&lt;&gt;"",IF(INDEX(CalcWitB,$N46)=0,"",INDEX(CalcWitB,$N46)),"")</f>
        <v/>
      </c>
      <c r="I46" s="29">
        <f>IF($M46&lt;&gt;"",INDEX(CalcAmtA,$M46),"")</f>
        <v/>
      </c>
      <c r="J46" s="29">
        <f>IF($B46="","",IF($J45="",$C$8,$J45)+IF($I46="",0,$I46)+IF($E46="",0,$E46)-IF($H46="",0,$H46))</f>
        <v/>
      </c>
      <c r="K46" s="30">
        <f>IF($M46&lt;&gt;"",IF(INDEX(CalcNoteA,$M46)="","—",INDEX(CalcNoteA,$M46)),IF($N46&lt;&gt;"",IF(INDEX(CalcNoteB,$N46)="","—",INDEX(CalcNoteB,$N46)),""))</f>
        <v/>
      </c>
      <c r="M46">
        <f>IFERROR(MATCH($C$5&amp;"|"&amp;RIGHT("000000"&amp;30,6),CalcRankKeyA,0),"")</f>
        <v/>
      </c>
      <c r="N46">
        <f>IFERROR(MATCH($C$5&amp;"|"&amp;RIGHT("000000"&amp;30,6),CalcRankKeyB,0),"")</f>
        <v/>
      </c>
    </row>
    <row r="47">
      <c r="A47" s="21" t="n">
        <v>31</v>
      </c>
      <c r="B47" s="22">
        <f>IF(AND($M47="",$N47=""),"",IF($M47&lt;&gt;"",INDEX(CalcDateA,$M47),INDEX(CalcDateB,$N47)))</f>
        <v/>
      </c>
      <c r="C47" s="22">
        <f>IF($M47&lt;&gt;"","خرید سبد",IF($N47&lt;&gt;"",IF(N(INDEX(CalcDepB,$N47))&gt;0,"دریافت بانکی","پرداخت بانکی"),""))</f>
        <v/>
      </c>
      <c r="D47" s="22">
        <f>IF($M47&lt;&gt;"",IF(INDEX(CalcDocA,$M47)="","—",INDEX(CalcDocA,$M47)),IF($N47&lt;&gt;"",INDEX(CalcBankB,$N47),""))</f>
        <v/>
      </c>
      <c r="E47" s="23">
        <f>IF($N47&lt;&gt;"",IF(INDEX(CalcDepB,$N47)=0,"",INDEX(CalcDepB,$N47)),"")</f>
        <v/>
      </c>
      <c r="F47" s="23">
        <f>IF($M47&lt;&gt;"",IF(INDEX(CalcQtyA,$M47)=0,"",INDEX(CalcQtyA,$M47)),"")</f>
        <v/>
      </c>
      <c r="G47" s="23">
        <f>IF($M47&lt;&gt;"",IF(INDEX(CalcPriceA,$M47)=0,"",INDEX(CalcPriceA,$M47)),"")</f>
        <v/>
      </c>
      <c r="H47" s="23">
        <f>IF($N47&lt;&gt;"",IF(INDEX(CalcWitB,$N47)=0,"",INDEX(CalcWitB,$N47)),"")</f>
        <v/>
      </c>
      <c r="I47" s="24">
        <f>IF($M47&lt;&gt;"",INDEX(CalcAmtA,$M47),"")</f>
        <v/>
      </c>
      <c r="J47" s="24">
        <f>IF($B47="","",IF($J46="",$C$8,$J46)+IF($I47="",0,$I47)+IF($E47="",0,$E47)-IF($H47="",0,$H47))</f>
        <v/>
      </c>
      <c r="K47" s="25">
        <f>IF($M47&lt;&gt;"",IF(INDEX(CalcNoteA,$M47)="","—",INDEX(CalcNoteA,$M47)),IF($N47&lt;&gt;"",IF(INDEX(CalcNoteB,$N47)="","—",INDEX(CalcNoteB,$N47)),""))</f>
        <v/>
      </c>
      <c r="M47">
        <f>IFERROR(MATCH($C$5&amp;"|"&amp;RIGHT("000000"&amp;31,6),CalcRankKeyA,0),"")</f>
        <v/>
      </c>
      <c r="N47">
        <f>IFERROR(MATCH($C$5&amp;"|"&amp;RIGHT("000000"&amp;31,6),CalcRankKeyB,0),"")</f>
        <v/>
      </c>
    </row>
    <row r="48">
      <c r="A48" s="26" t="n">
        <v>32</v>
      </c>
      <c r="B48" s="27">
        <f>IF(AND($M48="",$N48=""),"",IF($M48&lt;&gt;"",INDEX(CalcDateA,$M48),INDEX(CalcDateB,$N48)))</f>
        <v/>
      </c>
      <c r="C48" s="27">
        <f>IF($M48&lt;&gt;"","خرید سبد",IF($N48&lt;&gt;"",IF(N(INDEX(CalcDepB,$N48))&gt;0,"دریافت بانکی","پرداخت بانکی"),""))</f>
        <v/>
      </c>
      <c r="D48" s="27">
        <f>IF($M48&lt;&gt;"",IF(INDEX(CalcDocA,$M48)="","—",INDEX(CalcDocA,$M48)),IF($N48&lt;&gt;"",INDEX(CalcBankB,$N48),""))</f>
        <v/>
      </c>
      <c r="E48" s="28">
        <f>IF($N48&lt;&gt;"",IF(INDEX(CalcDepB,$N48)=0,"",INDEX(CalcDepB,$N48)),"")</f>
        <v/>
      </c>
      <c r="F48" s="28">
        <f>IF($M48&lt;&gt;"",IF(INDEX(CalcQtyA,$M48)=0,"",INDEX(CalcQtyA,$M48)),"")</f>
        <v/>
      </c>
      <c r="G48" s="28">
        <f>IF($M48&lt;&gt;"",IF(INDEX(CalcPriceA,$M48)=0,"",INDEX(CalcPriceA,$M48)),"")</f>
        <v/>
      </c>
      <c r="H48" s="28">
        <f>IF($N48&lt;&gt;"",IF(INDEX(CalcWitB,$N48)=0,"",INDEX(CalcWitB,$N48)),"")</f>
        <v/>
      </c>
      <c r="I48" s="29">
        <f>IF($M48&lt;&gt;"",INDEX(CalcAmtA,$M48),"")</f>
        <v/>
      </c>
      <c r="J48" s="29">
        <f>IF($B48="","",IF($J47="",$C$8,$J47)+IF($I48="",0,$I48)+IF($E48="",0,$E48)-IF($H48="",0,$H48))</f>
        <v/>
      </c>
      <c r="K48" s="30">
        <f>IF($M48&lt;&gt;"",IF(INDEX(CalcNoteA,$M48)="","—",INDEX(CalcNoteA,$M48)),IF($N48&lt;&gt;"",IF(INDEX(CalcNoteB,$N48)="","—",INDEX(CalcNoteB,$N48)),""))</f>
        <v/>
      </c>
      <c r="M48">
        <f>IFERROR(MATCH($C$5&amp;"|"&amp;RIGHT("000000"&amp;32,6),CalcRankKeyA,0),"")</f>
        <v/>
      </c>
      <c r="N48">
        <f>IFERROR(MATCH($C$5&amp;"|"&amp;RIGHT("000000"&amp;32,6),CalcRankKeyB,0),"")</f>
        <v/>
      </c>
    </row>
    <row r="49">
      <c r="A49" s="21" t="n">
        <v>33</v>
      </c>
      <c r="B49" s="22">
        <f>IF(AND($M49="",$N49=""),"",IF($M49&lt;&gt;"",INDEX(CalcDateA,$M49),INDEX(CalcDateB,$N49)))</f>
        <v/>
      </c>
      <c r="C49" s="22">
        <f>IF($M49&lt;&gt;"","خرید سبد",IF($N49&lt;&gt;"",IF(N(INDEX(CalcDepB,$N49))&gt;0,"دریافت بانکی","پرداخت بانکی"),""))</f>
        <v/>
      </c>
      <c r="D49" s="22">
        <f>IF($M49&lt;&gt;"",IF(INDEX(CalcDocA,$M49)="","—",INDEX(CalcDocA,$M49)),IF($N49&lt;&gt;"",INDEX(CalcBankB,$N49),""))</f>
        <v/>
      </c>
      <c r="E49" s="23">
        <f>IF($N49&lt;&gt;"",IF(INDEX(CalcDepB,$N49)=0,"",INDEX(CalcDepB,$N49)),"")</f>
        <v/>
      </c>
      <c r="F49" s="23">
        <f>IF($M49&lt;&gt;"",IF(INDEX(CalcQtyA,$M49)=0,"",INDEX(CalcQtyA,$M49)),"")</f>
        <v/>
      </c>
      <c r="G49" s="23">
        <f>IF($M49&lt;&gt;"",IF(INDEX(CalcPriceA,$M49)=0,"",INDEX(CalcPriceA,$M49)),"")</f>
        <v/>
      </c>
      <c r="H49" s="23">
        <f>IF($N49&lt;&gt;"",IF(INDEX(CalcWitB,$N49)=0,"",INDEX(CalcWitB,$N49)),"")</f>
        <v/>
      </c>
      <c r="I49" s="24">
        <f>IF($M49&lt;&gt;"",INDEX(CalcAmtA,$M49),"")</f>
        <v/>
      </c>
      <c r="J49" s="24">
        <f>IF($B49="","",IF($J48="",$C$8,$J48)+IF($I49="",0,$I49)+IF($E49="",0,$E49)-IF($H49="",0,$H49))</f>
        <v/>
      </c>
      <c r="K49" s="25">
        <f>IF($M49&lt;&gt;"",IF(INDEX(CalcNoteA,$M49)="","—",INDEX(CalcNoteA,$M49)),IF($N49&lt;&gt;"",IF(INDEX(CalcNoteB,$N49)="","—",INDEX(CalcNoteB,$N49)),""))</f>
        <v/>
      </c>
      <c r="M49">
        <f>IFERROR(MATCH($C$5&amp;"|"&amp;RIGHT("000000"&amp;33,6),CalcRankKeyA,0),"")</f>
        <v/>
      </c>
      <c r="N49">
        <f>IFERROR(MATCH($C$5&amp;"|"&amp;RIGHT("000000"&amp;33,6),CalcRankKeyB,0),"")</f>
        <v/>
      </c>
    </row>
    <row r="50">
      <c r="A50" s="26" t="n">
        <v>34</v>
      </c>
      <c r="B50" s="27">
        <f>IF(AND($M50="",$N50=""),"",IF($M50&lt;&gt;"",INDEX(CalcDateA,$M50),INDEX(CalcDateB,$N50)))</f>
        <v/>
      </c>
      <c r="C50" s="27">
        <f>IF($M50&lt;&gt;"","خرید سبد",IF($N50&lt;&gt;"",IF(N(INDEX(CalcDepB,$N50))&gt;0,"دریافت بانکی","پرداخت بانکی"),""))</f>
        <v/>
      </c>
      <c r="D50" s="27">
        <f>IF($M50&lt;&gt;"",IF(INDEX(CalcDocA,$M50)="","—",INDEX(CalcDocA,$M50)),IF($N50&lt;&gt;"",INDEX(CalcBankB,$N50),""))</f>
        <v/>
      </c>
      <c r="E50" s="28">
        <f>IF($N50&lt;&gt;"",IF(INDEX(CalcDepB,$N50)=0,"",INDEX(CalcDepB,$N50)),"")</f>
        <v/>
      </c>
      <c r="F50" s="28">
        <f>IF($M50&lt;&gt;"",IF(INDEX(CalcQtyA,$M50)=0,"",INDEX(CalcQtyA,$M50)),"")</f>
        <v/>
      </c>
      <c r="G50" s="28">
        <f>IF($M50&lt;&gt;"",IF(INDEX(CalcPriceA,$M50)=0,"",INDEX(CalcPriceA,$M50)),"")</f>
        <v/>
      </c>
      <c r="H50" s="28">
        <f>IF($N50&lt;&gt;"",IF(INDEX(CalcWitB,$N50)=0,"",INDEX(CalcWitB,$N50)),"")</f>
        <v/>
      </c>
      <c r="I50" s="29">
        <f>IF($M50&lt;&gt;"",INDEX(CalcAmtA,$M50),"")</f>
        <v/>
      </c>
      <c r="J50" s="29">
        <f>IF($B50="","",IF($J49="",$C$8,$J49)+IF($I50="",0,$I50)+IF($E50="",0,$E50)-IF($H50="",0,$H50))</f>
        <v/>
      </c>
      <c r="K50" s="30">
        <f>IF($M50&lt;&gt;"",IF(INDEX(CalcNoteA,$M50)="","—",INDEX(CalcNoteA,$M50)),IF($N50&lt;&gt;"",IF(INDEX(CalcNoteB,$N50)="","—",INDEX(CalcNoteB,$N50)),""))</f>
        <v/>
      </c>
      <c r="M50">
        <f>IFERROR(MATCH($C$5&amp;"|"&amp;RIGHT("000000"&amp;34,6),CalcRankKeyA,0),"")</f>
        <v/>
      </c>
      <c r="N50">
        <f>IFERROR(MATCH($C$5&amp;"|"&amp;RIGHT("000000"&amp;34,6),CalcRankKeyB,0),"")</f>
        <v/>
      </c>
    </row>
    <row r="51">
      <c r="A51" s="21" t="n">
        <v>35</v>
      </c>
      <c r="B51" s="22">
        <f>IF(AND($M51="",$N51=""),"",IF($M51&lt;&gt;"",INDEX(CalcDateA,$M51),INDEX(CalcDateB,$N51)))</f>
        <v/>
      </c>
      <c r="C51" s="22">
        <f>IF($M51&lt;&gt;"","خرید سبد",IF($N51&lt;&gt;"",IF(N(INDEX(CalcDepB,$N51))&gt;0,"دریافت بانکی","پرداخت بانکی"),""))</f>
        <v/>
      </c>
      <c r="D51" s="22">
        <f>IF($M51&lt;&gt;"",IF(INDEX(CalcDocA,$M51)="","—",INDEX(CalcDocA,$M51)),IF($N51&lt;&gt;"",INDEX(CalcBankB,$N51),""))</f>
        <v/>
      </c>
      <c r="E51" s="23">
        <f>IF($N51&lt;&gt;"",IF(INDEX(CalcDepB,$N51)=0,"",INDEX(CalcDepB,$N51)),"")</f>
        <v/>
      </c>
      <c r="F51" s="23">
        <f>IF($M51&lt;&gt;"",IF(INDEX(CalcQtyA,$M51)=0,"",INDEX(CalcQtyA,$M51)),"")</f>
        <v/>
      </c>
      <c r="G51" s="23">
        <f>IF($M51&lt;&gt;"",IF(INDEX(CalcPriceA,$M51)=0,"",INDEX(CalcPriceA,$M51)),"")</f>
        <v/>
      </c>
      <c r="H51" s="23">
        <f>IF($N51&lt;&gt;"",IF(INDEX(CalcWitB,$N51)=0,"",INDEX(CalcWitB,$N51)),"")</f>
        <v/>
      </c>
      <c r="I51" s="24">
        <f>IF($M51&lt;&gt;"",INDEX(CalcAmtA,$M51),"")</f>
        <v/>
      </c>
      <c r="J51" s="24">
        <f>IF($B51="","",IF($J50="",$C$8,$J50)+IF($I51="",0,$I51)+IF($E51="",0,$E51)-IF($H51="",0,$H51))</f>
        <v/>
      </c>
      <c r="K51" s="25">
        <f>IF($M51&lt;&gt;"",IF(INDEX(CalcNoteA,$M51)="","—",INDEX(CalcNoteA,$M51)),IF($N51&lt;&gt;"",IF(INDEX(CalcNoteB,$N51)="","—",INDEX(CalcNoteB,$N51)),""))</f>
        <v/>
      </c>
      <c r="M51">
        <f>IFERROR(MATCH($C$5&amp;"|"&amp;RIGHT("000000"&amp;35,6),CalcRankKeyA,0),"")</f>
        <v/>
      </c>
      <c r="N51">
        <f>IFERROR(MATCH($C$5&amp;"|"&amp;RIGHT("000000"&amp;35,6),CalcRankKeyB,0),"")</f>
        <v/>
      </c>
    </row>
    <row r="52">
      <c r="A52" s="26" t="n">
        <v>36</v>
      </c>
      <c r="B52" s="27">
        <f>IF(AND($M52="",$N52=""),"",IF($M52&lt;&gt;"",INDEX(CalcDateA,$M52),INDEX(CalcDateB,$N52)))</f>
        <v/>
      </c>
      <c r="C52" s="27">
        <f>IF($M52&lt;&gt;"","خرید سبد",IF($N52&lt;&gt;"",IF(N(INDEX(CalcDepB,$N52))&gt;0,"دریافت بانکی","پرداخت بانکی"),""))</f>
        <v/>
      </c>
      <c r="D52" s="27">
        <f>IF($M52&lt;&gt;"",IF(INDEX(CalcDocA,$M52)="","—",INDEX(CalcDocA,$M52)),IF($N52&lt;&gt;"",INDEX(CalcBankB,$N52),""))</f>
        <v/>
      </c>
      <c r="E52" s="28">
        <f>IF($N52&lt;&gt;"",IF(INDEX(CalcDepB,$N52)=0,"",INDEX(CalcDepB,$N52)),"")</f>
        <v/>
      </c>
      <c r="F52" s="28">
        <f>IF($M52&lt;&gt;"",IF(INDEX(CalcQtyA,$M52)=0,"",INDEX(CalcQtyA,$M52)),"")</f>
        <v/>
      </c>
      <c r="G52" s="28">
        <f>IF($M52&lt;&gt;"",IF(INDEX(CalcPriceA,$M52)=0,"",INDEX(CalcPriceA,$M52)),"")</f>
        <v/>
      </c>
      <c r="H52" s="28">
        <f>IF($N52&lt;&gt;"",IF(INDEX(CalcWitB,$N52)=0,"",INDEX(CalcWitB,$N52)),"")</f>
        <v/>
      </c>
      <c r="I52" s="29">
        <f>IF($M52&lt;&gt;"",INDEX(CalcAmtA,$M52),"")</f>
        <v/>
      </c>
      <c r="J52" s="29">
        <f>IF($B52="","",IF($J51="",$C$8,$J51)+IF($I52="",0,$I52)+IF($E52="",0,$E52)-IF($H52="",0,$H52))</f>
        <v/>
      </c>
      <c r="K52" s="30">
        <f>IF($M52&lt;&gt;"",IF(INDEX(CalcNoteA,$M52)="","—",INDEX(CalcNoteA,$M52)),IF($N52&lt;&gt;"",IF(INDEX(CalcNoteB,$N52)="","—",INDEX(CalcNoteB,$N52)),""))</f>
        <v/>
      </c>
      <c r="M52">
        <f>IFERROR(MATCH($C$5&amp;"|"&amp;RIGHT("000000"&amp;36,6),CalcRankKeyA,0),"")</f>
        <v/>
      </c>
      <c r="N52">
        <f>IFERROR(MATCH($C$5&amp;"|"&amp;RIGHT("000000"&amp;36,6),CalcRankKeyB,0),"")</f>
        <v/>
      </c>
    </row>
    <row r="53">
      <c r="A53" s="21" t="n">
        <v>37</v>
      </c>
      <c r="B53" s="22">
        <f>IF(AND($M53="",$N53=""),"",IF($M53&lt;&gt;"",INDEX(CalcDateA,$M53),INDEX(CalcDateB,$N53)))</f>
        <v/>
      </c>
      <c r="C53" s="22">
        <f>IF($M53&lt;&gt;"","خرید سبد",IF($N53&lt;&gt;"",IF(N(INDEX(CalcDepB,$N53))&gt;0,"دریافت بانکی","پرداخت بانکی"),""))</f>
        <v/>
      </c>
      <c r="D53" s="22">
        <f>IF($M53&lt;&gt;"",IF(INDEX(CalcDocA,$M53)="","—",INDEX(CalcDocA,$M53)),IF($N53&lt;&gt;"",INDEX(CalcBankB,$N53),""))</f>
        <v/>
      </c>
      <c r="E53" s="23">
        <f>IF($N53&lt;&gt;"",IF(INDEX(CalcDepB,$N53)=0,"",INDEX(CalcDepB,$N53)),"")</f>
        <v/>
      </c>
      <c r="F53" s="23">
        <f>IF($M53&lt;&gt;"",IF(INDEX(CalcQtyA,$M53)=0,"",INDEX(CalcQtyA,$M53)),"")</f>
        <v/>
      </c>
      <c r="G53" s="23">
        <f>IF($M53&lt;&gt;"",IF(INDEX(CalcPriceA,$M53)=0,"",INDEX(CalcPriceA,$M53)),"")</f>
        <v/>
      </c>
      <c r="H53" s="23">
        <f>IF($N53&lt;&gt;"",IF(INDEX(CalcWitB,$N53)=0,"",INDEX(CalcWitB,$N53)),"")</f>
        <v/>
      </c>
      <c r="I53" s="24">
        <f>IF($M53&lt;&gt;"",INDEX(CalcAmtA,$M53),"")</f>
        <v/>
      </c>
      <c r="J53" s="24">
        <f>IF($B53="","",IF($J52="",$C$8,$J52)+IF($I53="",0,$I53)+IF($E53="",0,$E53)-IF($H53="",0,$H53))</f>
        <v/>
      </c>
      <c r="K53" s="25">
        <f>IF($M53&lt;&gt;"",IF(INDEX(CalcNoteA,$M53)="","—",INDEX(CalcNoteA,$M53)),IF($N53&lt;&gt;"",IF(INDEX(CalcNoteB,$N53)="","—",INDEX(CalcNoteB,$N53)),""))</f>
        <v/>
      </c>
      <c r="M53">
        <f>IFERROR(MATCH($C$5&amp;"|"&amp;RIGHT("000000"&amp;37,6),CalcRankKeyA,0),"")</f>
        <v/>
      </c>
      <c r="N53">
        <f>IFERROR(MATCH($C$5&amp;"|"&amp;RIGHT("000000"&amp;37,6),CalcRankKeyB,0),"")</f>
        <v/>
      </c>
    </row>
    <row r="54">
      <c r="A54" s="26" t="n">
        <v>38</v>
      </c>
      <c r="B54" s="27">
        <f>IF(AND($M54="",$N54=""),"",IF($M54&lt;&gt;"",INDEX(CalcDateA,$M54),INDEX(CalcDateB,$N54)))</f>
        <v/>
      </c>
      <c r="C54" s="27">
        <f>IF($M54&lt;&gt;"","خرید سبد",IF($N54&lt;&gt;"",IF(N(INDEX(CalcDepB,$N54))&gt;0,"دریافت بانکی","پرداخت بانکی"),""))</f>
        <v/>
      </c>
      <c r="D54" s="27">
        <f>IF($M54&lt;&gt;"",IF(INDEX(CalcDocA,$M54)="","—",INDEX(CalcDocA,$M54)),IF($N54&lt;&gt;"",INDEX(CalcBankB,$N54),""))</f>
        <v/>
      </c>
      <c r="E54" s="28">
        <f>IF($N54&lt;&gt;"",IF(INDEX(CalcDepB,$N54)=0,"",INDEX(CalcDepB,$N54)),"")</f>
        <v/>
      </c>
      <c r="F54" s="28">
        <f>IF($M54&lt;&gt;"",IF(INDEX(CalcQtyA,$M54)=0,"",INDEX(CalcQtyA,$M54)),"")</f>
        <v/>
      </c>
      <c r="G54" s="28">
        <f>IF($M54&lt;&gt;"",IF(INDEX(CalcPriceA,$M54)=0,"",INDEX(CalcPriceA,$M54)),"")</f>
        <v/>
      </c>
      <c r="H54" s="28">
        <f>IF($N54&lt;&gt;"",IF(INDEX(CalcWitB,$N54)=0,"",INDEX(CalcWitB,$N54)),"")</f>
        <v/>
      </c>
      <c r="I54" s="29">
        <f>IF($M54&lt;&gt;"",INDEX(CalcAmtA,$M54),"")</f>
        <v/>
      </c>
      <c r="J54" s="29">
        <f>IF($B54="","",IF($J53="",$C$8,$J53)+IF($I54="",0,$I54)+IF($E54="",0,$E54)-IF($H54="",0,$H54))</f>
        <v/>
      </c>
      <c r="K54" s="30">
        <f>IF($M54&lt;&gt;"",IF(INDEX(CalcNoteA,$M54)="","—",INDEX(CalcNoteA,$M54)),IF($N54&lt;&gt;"",IF(INDEX(CalcNoteB,$N54)="","—",INDEX(CalcNoteB,$N54)),""))</f>
        <v/>
      </c>
      <c r="M54">
        <f>IFERROR(MATCH($C$5&amp;"|"&amp;RIGHT("000000"&amp;38,6),CalcRankKeyA,0),"")</f>
        <v/>
      </c>
      <c r="N54">
        <f>IFERROR(MATCH($C$5&amp;"|"&amp;RIGHT("000000"&amp;38,6),CalcRankKeyB,0),"")</f>
        <v/>
      </c>
    </row>
    <row r="55">
      <c r="A55" s="21" t="n">
        <v>39</v>
      </c>
      <c r="B55" s="22">
        <f>IF(AND($M55="",$N55=""),"",IF($M55&lt;&gt;"",INDEX(CalcDateA,$M55),INDEX(CalcDateB,$N55)))</f>
        <v/>
      </c>
      <c r="C55" s="22">
        <f>IF($M55&lt;&gt;"","خرید سبد",IF($N55&lt;&gt;"",IF(N(INDEX(CalcDepB,$N55))&gt;0,"دریافت بانکی","پرداخت بانکی"),""))</f>
        <v/>
      </c>
      <c r="D55" s="22">
        <f>IF($M55&lt;&gt;"",IF(INDEX(CalcDocA,$M55)="","—",INDEX(CalcDocA,$M55)),IF($N55&lt;&gt;"",INDEX(CalcBankB,$N55),""))</f>
        <v/>
      </c>
      <c r="E55" s="23">
        <f>IF($N55&lt;&gt;"",IF(INDEX(CalcDepB,$N55)=0,"",INDEX(CalcDepB,$N55)),"")</f>
        <v/>
      </c>
      <c r="F55" s="23">
        <f>IF($M55&lt;&gt;"",IF(INDEX(CalcQtyA,$M55)=0,"",INDEX(CalcQtyA,$M55)),"")</f>
        <v/>
      </c>
      <c r="G55" s="23">
        <f>IF($M55&lt;&gt;"",IF(INDEX(CalcPriceA,$M55)=0,"",INDEX(CalcPriceA,$M55)),"")</f>
        <v/>
      </c>
      <c r="H55" s="23">
        <f>IF($N55&lt;&gt;"",IF(INDEX(CalcWitB,$N55)=0,"",INDEX(CalcWitB,$N55)),"")</f>
        <v/>
      </c>
      <c r="I55" s="24">
        <f>IF($M55&lt;&gt;"",INDEX(CalcAmtA,$M55),"")</f>
        <v/>
      </c>
      <c r="J55" s="24">
        <f>IF($B55="","",IF($J54="",$C$8,$J54)+IF($I55="",0,$I55)+IF($E55="",0,$E55)-IF($H55="",0,$H55))</f>
        <v/>
      </c>
      <c r="K55" s="25">
        <f>IF($M55&lt;&gt;"",IF(INDEX(CalcNoteA,$M55)="","—",INDEX(CalcNoteA,$M55)),IF($N55&lt;&gt;"",IF(INDEX(CalcNoteB,$N55)="","—",INDEX(CalcNoteB,$N55)),""))</f>
        <v/>
      </c>
      <c r="M55">
        <f>IFERROR(MATCH($C$5&amp;"|"&amp;RIGHT("000000"&amp;39,6),CalcRankKeyA,0),"")</f>
        <v/>
      </c>
      <c r="N55">
        <f>IFERROR(MATCH($C$5&amp;"|"&amp;RIGHT("000000"&amp;39,6),CalcRankKeyB,0),"")</f>
        <v/>
      </c>
    </row>
    <row r="56">
      <c r="A56" s="26" t="n">
        <v>40</v>
      </c>
      <c r="B56" s="27">
        <f>IF(AND($M56="",$N56=""),"",IF($M56&lt;&gt;"",INDEX(CalcDateA,$M56),INDEX(CalcDateB,$N56)))</f>
        <v/>
      </c>
      <c r="C56" s="27">
        <f>IF($M56&lt;&gt;"","خرید سبد",IF($N56&lt;&gt;"",IF(N(INDEX(CalcDepB,$N56))&gt;0,"دریافت بانکی","پرداخت بانکی"),""))</f>
        <v/>
      </c>
      <c r="D56" s="27">
        <f>IF($M56&lt;&gt;"",IF(INDEX(CalcDocA,$M56)="","—",INDEX(CalcDocA,$M56)),IF($N56&lt;&gt;"",INDEX(CalcBankB,$N56),""))</f>
        <v/>
      </c>
      <c r="E56" s="28">
        <f>IF($N56&lt;&gt;"",IF(INDEX(CalcDepB,$N56)=0,"",INDEX(CalcDepB,$N56)),"")</f>
        <v/>
      </c>
      <c r="F56" s="28">
        <f>IF($M56&lt;&gt;"",IF(INDEX(CalcQtyA,$M56)=0,"",INDEX(CalcQtyA,$M56)),"")</f>
        <v/>
      </c>
      <c r="G56" s="28">
        <f>IF($M56&lt;&gt;"",IF(INDEX(CalcPriceA,$M56)=0,"",INDEX(CalcPriceA,$M56)),"")</f>
        <v/>
      </c>
      <c r="H56" s="28">
        <f>IF($N56&lt;&gt;"",IF(INDEX(CalcWitB,$N56)=0,"",INDEX(CalcWitB,$N56)),"")</f>
        <v/>
      </c>
      <c r="I56" s="29">
        <f>IF($M56&lt;&gt;"",INDEX(CalcAmtA,$M56),"")</f>
        <v/>
      </c>
      <c r="J56" s="29">
        <f>IF($B56="","",IF($J55="",$C$8,$J55)+IF($I56="",0,$I56)+IF($E56="",0,$E56)-IF($H56="",0,$H56))</f>
        <v/>
      </c>
      <c r="K56" s="30">
        <f>IF($M56&lt;&gt;"",IF(INDEX(CalcNoteA,$M56)="","—",INDEX(CalcNoteA,$M56)),IF($N56&lt;&gt;"",IF(INDEX(CalcNoteB,$N56)="","—",INDEX(CalcNoteB,$N56)),""))</f>
        <v/>
      </c>
      <c r="M56">
        <f>IFERROR(MATCH($C$5&amp;"|"&amp;RIGHT("000000"&amp;40,6),CalcRankKeyA,0),"")</f>
        <v/>
      </c>
      <c r="N56">
        <f>IFERROR(MATCH($C$5&amp;"|"&amp;RIGHT("000000"&amp;40,6),CalcRankKeyB,0),"")</f>
        <v/>
      </c>
    </row>
    <row r="57">
      <c r="A57" s="21" t="n">
        <v>41</v>
      </c>
      <c r="B57" s="22">
        <f>IF(AND($M57="",$N57=""),"",IF($M57&lt;&gt;"",INDEX(CalcDateA,$M57),INDEX(CalcDateB,$N57)))</f>
        <v/>
      </c>
      <c r="C57" s="22">
        <f>IF($M57&lt;&gt;"","خرید سبد",IF($N57&lt;&gt;"",IF(N(INDEX(CalcDepB,$N57))&gt;0,"دریافت بانکی","پرداخت بانکی"),""))</f>
        <v/>
      </c>
      <c r="D57" s="22">
        <f>IF($M57&lt;&gt;"",IF(INDEX(CalcDocA,$M57)="","—",INDEX(CalcDocA,$M57)),IF($N57&lt;&gt;"",INDEX(CalcBankB,$N57),""))</f>
        <v/>
      </c>
      <c r="E57" s="23">
        <f>IF($N57&lt;&gt;"",IF(INDEX(CalcDepB,$N57)=0,"",INDEX(CalcDepB,$N57)),"")</f>
        <v/>
      </c>
      <c r="F57" s="23">
        <f>IF($M57&lt;&gt;"",IF(INDEX(CalcQtyA,$M57)=0,"",INDEX(CalcQtyA,$M57)),"")</f>
        <v/>
      </c>
      <c r="G57" s="23">
        <f>IF($M57&lt;&gt;"",IF(INDEX(CalcPriceA,$M57)=0,"",INDEX(CalcPriceA,$M57)),"")</f>
        <v/>
      </c>
      <c r="H57" s="23">
        <f>IF($N57&lt;&gt;"",IF(INDEX(CalcWitB,$N57)=0,"",INDEX(CalcWitB,$N57)),"")</f>
        <v/>
      </c>
      <c r="I57" s="24">
        <f>IF($M57&lt;&gt;"",INDEX(CalcAmtA,$M57),"")</f>
        <v/>
      </c>
      <c r="J57" s="24">
        <f>IF($B57="","",IF($J56="",$C$8,$J56)+IF($I57="",0,$I57)+IF($E57="",0,$E57)-IF($H57="",0,$H57))</f>
        <v/>
      </c>
      <c r="K57" s="25">
        <f>IF($M57&lt;&gt;"",IF(INDEX(CalcNoteA,$M57)="","—",INDEX(CalcNoteA,$M57)),IF($N57&lt;&gt;"",IF(INDEX(CalcNoteB,$N57)="","—",INDEX(CalcNoteB,$N57)),""))</f>
        <v/>
      </c>
      <c r="M57">
        <f>IFERROR(MATCH($C$5&amp;"|"&amp;RIGHT("000000"&amp;41,6),CalcRankKeyA,0),"")</f>
        <v/>
      </c>
      <c r="N57">
        <f>IFERROR(MATCH($C$5&amp;"|"&amp;RIGHT("000000"&amp;41,6),CalcRankKeyB,0),"")</f>
        <v/>
      </c>
    </row>
    <row r="58">
      <c r="A58" s="26" t="n">
        <v>42</v>
      </c>
      <c r="B58" s="27">
        <f>IF(AND($M58="",$N58=""),"",IF($M58&lt;&gt;"",INDEX(CalcDateA,$M58),INDEX(CalcDateB,$N58)))</f>
        <v/>
      </c>
      <c r="C58" s="27">
        <f>IF($M58&lt;&gt;"","خرید سبد",IF($N58&lt;&gt;"",IF(N(INDEX(CalcDepB,$N58))&gt;0,"دریافت بانکی","پرداخت بانکی"),""))</f>
        <v/>
      </c>
      <c r="D58" s="27">
        <f>IF($M58&lt;&gt;"",IF(INDEX(CalcDocA,$M58)="","—",INDEX(CalcDocA,$M58)),IF($N58&lt;&gt;"",INDEX(CalcBankB,$N58),""))</f>
        <v/>
      </c>
      <c r="E58" s="28">
        <f>IF($N58&lt;&gt;"",IF(INDEX(CalcDepB,$N58)=0,"",INDEX(CalcDepB,$N58)),"")</f>
        <v/>
      </c>
      <c r="F58" s="28">
        <f>IF($M58&lt;&gt;"",IF(INDEX(CalcQtyA,$M58)=0,"",INDEX(CalcQtyA,$M58)),"")</f>
        <v/>
      </c>
      <c r="G58" s="28">
        <f>IF($M58&lt;&gt;"",IF(INDEX(CalcPriceA,$M58)=0,"",INDEX(CalcPriceA,$M58)),"")</f>
        <v/>
      </c>
      <c r="H58" s="28">
        <f>IF($N58&lt;&gt;"",IF(INDEX(CalcWitB,$N58)=0,"",INDEX(CalcWitB,$N58)),"")</f>
        <v/>
      </c>
      <c r="I58" s="29">
        <f>IF($M58&lt;&gt;"",INDEX(CalcAmtA,$M58),"")</f>
        <v/>
      </c>
      <c r="J58" s="29">
        <f>IF($B58="","",IF($J57="",$C$8,$J57)+IF($I58="",0,$I58)+IF($E58="",0,$E58)-IF($H58="",0,$H58))</f>
        <v/>
      </c>
      <c r="K58" s="30">
        <f>IF($M58&lt;&gt;"",IF(INDEX(CalcNoteA,$M58)="","—",INDEX(CalcNoteA,$M58)),IF($N58&lt;&gt;"",IF(INDEX(CalcNoteB,$N58)="","—",INDEX(CalcNoteB,$N58)),""))</f>
        <v/>
      </c>
      <c r="M58">
        <f>IFERROR(MATCH($C$5&amp;"|"&amp;RIGHT("000000"&amp;42,6),CalcRankKeyA,0),"")</f>
        <v/>
      </c>
      <c r="N58">
        <f>IFERROR(MATCH($C$5&amp;"|"&amp;RIGHT("000000"&amp;42,6),CalcRankKeyB,0),"")</f>
        <v/>
      </c>
    </row>
    <row r="59">
      <c r="A59" s="21" t="n">
        <v>43</v>
      </c>
      <c r="B59" s="22">
        <f>IF(AND($M59="",$N59=""),"",IF($M59&lt;&gt;"",INDEX(CalcDateA,$M59),INDEX(CalcDateB,$N59)))</f>
        <v/>
      </c>
      <c r="C59" s="22">
        <f>IF($M59&lt;&gt;"","خرید سبد",IF($N59&lt;&gt;"",IF(N(INDEX(CalcDepB,$N59))&gt;0,"دریافت بانکی","پرداخت بانکی"),""))</f>
        <v/>
      </c>
      <c r="D59" s="22">
        <f>IF($M59&lt;&gt;"",IF(INDEX(CalcDocA,$M59)="","—",INDEX(CalcDocA,$M59)),IF($N59&lt;&gt;"",INDEX(CalcBankB,$N59),""))</f>
        <v/>
      </c>
      <c r="E59" s="23">
        <f>IF($N59&lt;&gt;"",IF(INDEX(CalcDepB,$N59)=0,"",INDEX(CalcDepB,$N59)),"")</f>
        <v/>
      </c>
      <c r="F59" s="23">
        <f>IF($M59&lt;&gt;"",IF(INDEX(CalcQtyA,$M59)=0,"",INDEX(CalcQtyA,$M59)),"")</f>
        <v/>
      </c>
      <c r="G59" s="23">
        <f>IF($M59&lt;&gt;"",IF(INDEX(CalcPriceA,$M59)=0,"",INDEX(CalcPriceA,$M59)),"")</f>
        <v/>
      </c>
      <c r="H59" s="23">
        <f>IF($N59&lt;&gt;"",IF(INDEX(CalcWitB,$N59)=0,"",INDEX(CalcWitB,$N59)),"")</f>
        <v/>
      </c>
      <c r="I59" s="24">
        <f>IF($M59&lt;&gt;"",INDEX(CalcAmtA,$M59),"")</f>
        <v/>
      </c>
      <c r="J59" s="24">
        <f>IF($B59="","",IF($J58="",$C$8,$J58)+IF($I59="",0,$I59)+IF($E59="",0,$E59)-IF($H59="",0,$H59))</f>
        <v/>
      </c>
      <c r="K59" s="25">
        <f>IF($M59&lt;&gt;"",IF(INDEX(CalcNoteA,$M59)="","—",INDEX(CalcNoteA,$M59)),IF($N59&lt;&gt;"",IF(INDEX(CalcNoteB,$N59)="","—",INDEX(CalcNoteB,$N59)),""))</f>
        <v/>
      </c>
      <c r="M59">
        <f>IFERROR(MATCH($C$5&amp;"|"&amp;RIGHT("000000"&amp;43,6),CalcRankKeyA,0),"")</f>
        <v/>
      </c>
      <c r="N59">
        <f>IFERROR(MATCH($C$5&amp;"|"&amp;RIGHT("000000"&amp;43,6),CalcRankKeyB,0),"")</f>
        <v/>
      </c>
    </row>
    <row r="60">
      <c r="A60" s="26" t="n">
        <v>44</v>
      </c>
      <c r="B60" s="27">
        <f>IF(AND($M60="",$N60=""),"",IF($M60&lt;&gt;"",INDEX(CalcDateA,$M60),INDEX(CalcDateB,$N60)))</f>
        <v/>
      </c>
      <c r="C60" s="27">
        <f>IF($M60&lt;&gt;"","خرید سبد",IF($N60&lt;&gt;"",IF(N(INDEX(CalcDepB,$N60))&gt;0,"دریافت بانکی","پرداخت بانکی"),""))</f>
        <v/>
      </c>
      <c r="D60" s="27">
        <f>IF($M60&lt;&gt;"",IF(INDEX(CalcDocA,$M60)="","—",INDEX(CalcDocA,$M60)),IF($N60&lt;&gt;"",INDEX(CalcBankB,$N60),""))</f>
        <v/>
      </c>
      <c r="E60" s="28">
        <f>IF($N60&lt;&gt;"",IF(INDEX(CalcDepB,$N60)=0,"",INDEX(CalcDepB,$N60)),"")</f>
        <v/>
      </c>
      <c r="F60" s="28">
        <f>IF($M60&lt;&gt;"",IF(INDEX(CalcQtyA,$M60)=0,"",INDEX(CalcQtyA,$M60)),"")</f>
        <v/>
      </c>
      <c r="G60" s="28">
        <f>IF($M60&lt;&gt;"",IF(INDEX(CalcPriceA,$M60)=0,"",INDEX(CalcPriceA,$M60)),"")</f>
        <v/>
      </c>
      <c r="H60" s="28">
        <f>IF($N60&lt;&gt;"",IF(INDEX(CalcWitB,$N60)=0,"",INDEX(CalcWitB,$N60)),"")</f>
        <v/>
      </c>
      <c r="I60" s="29">
        <f>IF($M60&lt;&gt;"",INDEX(CalcAmtA,$M60),"")</f>
        <v/>
      </c>
      <c r="J60" s="29">
        <f>IF($B60="","",IF($J59="",$C$8,$J59)+IF($I60="",0,$I60)+IF($E60="",0,$E60)-IF($H60="",0,$H60))</f>
        <v/>
      </c>
      <c r="K60" s="30">
        <f>IF($M60&lt;&gt;"",IF(INDEX(CalcNoteA,$M60)="","—",INDEX(CalcNoteA,$M60)),IF($N60&lt;&gt;"",IF(INDEX(CalcNoteB,$N60)="","—",INDEX(CalcNoteB,$N60)),""))</f>
        <v/>
      </c>
      <c r="M60">
        <f>IFERROR(MATCH($C$5&amp;"|"&amp;RIGHT("000000"&amp;44,6),CalcRankKeyA,0),"")</f>
        <v/>
      </c>
      <c r="N60">
        <f>IFERROR(MATCH($C$5&amp;"|"&amp;RIGHT("000000"&amp;44,6),CalcRankKeyB,0),"")</f>
        <v/>
      </c>
    </row>
    <row r="61">
      <c r="A61" s="21" t="n">
        <v>45</v>
      </c>
      <c r="B61" s="22">
        <f>IF(AND($M61="",$N61=""),"",IF($M61&lt;&gt;"",INDEX(CalcDateA,$M61),INDEX(CalcDateB,$N61)))</f>
        <v/>
      </c>
      <c r="C61" s="22">
        <f>IF($M61&lt;&gt;"","خرید سبد",IF($N61&lt;&gt;"",IF(N(INDEX(CalcDepB,$N61))&gt;0,"دریافت بانکی","پرداخت بانکی"),""))</f>
        <v/>
      </c>
      <c r="D61" s="22">
        <f>IF($M61&lt;&gt;"",IF(INDEX(CalcDocA,$M61)="","—",INDEX(CalcDocA,$M61)),IF($N61&lt;&gt;"",INDEX(CalcBankB,$N61),""))</f>
        <v/>
      </c>
      <c r="E61" s="23">
        <f>IF($N61&lt;&gt;"",IF(INDEX(CalcDepB,$N61)=0,"",INDEX(CalcDepB,$N61)),"")</f>
        <v/>
      </c>
      <c r="F61" s="23">
        <f>IF($M61&lt;&gt;"",IF(INDEX(CalcQtyA,$M61)=0,"",INDEX(CalcQtyA,$M61)),"")</f>
        <v/>
      </c>
      <c r="G61" s="23">
        <f>IF($M61&lt;&gt;"",IF(INDEX(CalcPriceA,$M61)=0,"",INDEX(CalcPriceA,$M61)),"")</f>
        <v/>
      </c>
      <c r="H61" s="23">
        <f>IF($N61&lt;&gt;"",IF(INDEX(CalcWitB,$N61)=0,"",INDEX(CalcWitB,$N61)),"")</f>
        <v/>
      </c>
      <c r="I61" s="24">
        <f>IF($M61&lt;&gt;"",INDEX(CalcAmtA,$M61),"")</f>
        <v/>
      </c>
      <c r="J61" s="24">
        <f>IF($B61="","",IF($J60="",$C$8,$J60)+IF($I61="",0,$I61)+IF($E61="",0,$E61)-IF($H61="",0,$H61))</f>
        <v/>
      </c>
      <c r="K61" s="25">
        <f>IF($M61&lt;&gt;"",IF(INDEX(CalcNoteA,$M61)="","—",INDEX(CalcNoteA,$M61)),IF($N61&lt;&gt;"",IF(INDEX(CalcNoteB,$N61)="","—",INDEX(CalcNoteB,$N61)),""))</f>
        <v/>
      </c>
      <c r="M61">
        <f>IFERROR(MATCH($C$5&amp;"|"&amp;RIGHT("000000"&amp;45,6),CalcRankKeyA,0),"")</f>
        <v/>
      </c>
      <c r="N61">
        <f>IFERROR(MATCH($C$5&amp;"|"&amp;RIGHT("000000"&amp;45,6),CalcRankKeyB,0),"")</f>
        <v/>
      </c>
    </row>
    <row r="62">
      <c r="A62" s="26" t="n">
        <v>46</v>
      </c>
      <c r="B62" s="27">
        <f>IF(AND($M62="",$N62=""),"",IF($M62&lt;&gt;"",INDEX(CalcDateA,$M62),INDEX(CalcDateB,$N62)))</f>
        <v/>
      </c>
      <c r="C62" s="27">
        <f>IF($M62&lt;&gt;"","خرید سبد",IF($N62&lt;&gt;"",IF(N(INDEX(CalcDepB,$N62))&gt;0,"دریافت بانکی","پرداخت بانکی"),""))</f>
        <v/>
      </c>
      <c r="D62" s="27">
        <f>IF($M62&lt;&gt;"",IF(INDEX(CalcDocA,$M62)="","—",INDEX(CalcDocA,$M62)),IF($N62&lt;&gt;"",INDEX(CalcBankB,$N62),""))</f>
        <v/>
      </c>
      <c r="E62" s="28">
        <f>IF($N62&lt;&gt;"",IF(INDEX(CalcDepB,$N62)=0,"",INDEX(CalcDepB,$N62)),"")</f>
        <v/>
      </c>
      <c r="F62" s="28">
        <f>IF($M62&lt;&gt;"",IF(INDEX(CalcQtyA,$M62)=0,"",INDEX(CalcQtyA,$M62)),"")</f>
        <v/>
      </c>
      <c r="G62" s="28">
        <f>IF($M62&lt;&gt;"",IF(INDEX(CalcPriceA,$M62)=0,"",INDEX(CalcPriceA,$M62)),"")</f>
        <v/>
      </c>
      <c r="H62" s="28">
        <f>IF($N62&lt;&gt;"",IF(INDEX(CalcWitB,$N62)=0,"",INDEX(CalcWitB,$N62)),"")</f>
        <v/>
      </c>
      <c r="I62" s="29">
        <f>IF($M62&lt;&gt;"",INDEX(CalcAmtA,$M62),"")</f>
        <v/>
      </c>
      <c r="J62" s="29">
        <f>IF($B62="","",IF($J61="",$C$8,$J61)+IF($I62="",0,$I62)+IF($E62="",0,$E62)-IF($H62="",0,$H62))</f>
        <v/>
      </c>
      <c r="K62" s="30">
        <f>IF($M62&lt;&gt;"",IF(INDEX(CalcNoteA,$M62)="","—",INDEX(CalcNoteA,$M62)),IF($N62&lt;&gt;"",IF(INDEX(CalcNoteB,$N62)="","—",INDEX(CalcNoteB,$N62)),""))</f>
        <v/>
      </c>
      <c r="M62">
        <f>IFERROR(MATCH($C$5&amp;"|"&amp;RIGHT("000000"&amp;46,6),CalcRankKeyA,0),"")</f>
        <v/>
      </c>
      <c r="N62">
        <f>IFERROR(MATCH($C$5&amp;"|"&amp;RIGHT("000000"&amp;46,6),CalcRankKeyB,0),"")</f>
        <v/>
      </c>
    </row>
    <row r="63">
      <c r="A63" s="21" t="n">
        <v>47</v>
      </c>
      <c r="B63" s="22">
        <f>IF(AND($M63="",$N63=""),"",IF($M63&lt;&gt;"",INDEX(CalcDateA,$M63),INDEX(CalcDateB,$N63)))</f>
        <v/>
      </c>
      <c r="C63" s="22">
        <f>IF($M63&lt;&gt;"","خرید سبد",IF($N63&lt;&gt;"",IF(N(INDEX(CalcDepB,$N63))&gt;0,"دریافت بانکی","پرداخت بانکی"),""))</f>
        <v/>
      </c>
      <c r="D63" s="22">
        <f>IF($M63&lt;&gt;"",IF(INDEX(CalcDocA,$M63)="","—",INDEX(CalcDocA,$M63)),IF($N63&lt;&gt;"",INDEX(CalcBankB,$N63),""))</f>
        <v/>
      </c>
      <c r="E63" s="23">
        <f>IF($N63&lt;&gt;"",IF(INDEX(CalcDepB,$N63)=0,"",INDEX(CalcDepB,$N63)),"")</f>
        <v/>
      </c>
      <c r="F63" s="23">
        <f>IF($M63&lt;&gt;"",IF(INDEX(CalcQtyA,$M63)=0,"",INDEX(CalcQtyA,$M63)),"")</f>
        <v/>
      </c>
      <c r="G63" s="23">
        <f>IF($M63&lt;&gt;"",IF(INDEX(CalcPriceA,$M63)=0,"",INDEX(CalcPriceA,$M63)),"")</f>
        <v/>
      </c>
      <c r="H63" s="23">
        <f>IF($N63&lt;&gt;"",IF(INDEX(CalcWitB,$N63)=0,"",INDEX(CalcWitB,$N63)),"")</f>
        <v/>
      </c>
      <c r="I63" s="24">
        <f>IF($M63&lt;&gt;"",INDEX(CalcAmtA,$M63),"")</f>
        <v/>
      </c>
      <c r="J63" s="24">
        <f>IF($B63="","",IF($J62="",$C$8,$J62)+IF($I63="",0,$I63)+IF($E63="",0,$E63)-IF($H63="",0,$H63))</f>
        <v/>
      </c>
      <c r="K63" s="25">
        <f>IF($M63&lt;&gt;"",IF(INDEX(CalcNoteA,$M63)="","—",INDEX(CalcNoteA,$M63)),IF($N63&lt;&gt;"",IF(INDEX(CalcNoteB,$N63)="","—",INDEX(CalcNoteB,$N63)),""))</f>
        <v/>
      </c>
      <c r="M63">
        <f>IFERROR(MATCH($C$5&amp;"|"&amp;RIGHT("000000"&amp;47,6),CalcRankKeyA,0),"")</f>
        <v/>
      </c>
      <c r="N63">
        <f>IFERROR(MATCH($C$5&amp;"|"&amp;RIGHT("000000"&amp;47,6),CalcRankKeyB,0),"")</f>
        <v/>
      </c>
    </row>
    <row r="64">
      <c r="A64" s="26" t="n">
        <v>48</v>
      </c>
      <c r="B64" s="27">
        <f>IF(AND($M64="",$N64=""),"",IF($M64&lt;&gt;"",INDEX(CalcDateA,$M64),INDEX(CalcDateB,$N64)))</f>
        <v/>
      </c>
      <c r="C64" s="27">
        <f>IF($M64&lt;&gt;"","خرید سبد",IF($N64&lt;&gt;"",IF(N(INDEX(CalcDepB,$N64))&gt;0,"دریافت بانکی","پرداخت بانکی"),""))</f>
        <v/>
      </c>
      <c r="D64" s="27">
        <f>IF($M64&lt;&gt;"",IF(INDEX(CalcDocA,$M64)="","—",INDEX(CalcDocA,$M64)),IF($N64&lt;&gt;"",INDEX(CalcBankB,$N64),""))</f>
        <v/>
      </c>
      <c r="E64" s="28">
        <f>IF($N64&lt;&gt;"",IF(INDEX(CalcDepB,$N64)=0,"",INDEX(CalcDepB,$N64)),"")</f>
        <v/>
      </c>
      <c r="F64" s="28">
        <f>IF($M64&lt;&gt;"",IF(INDEX(CalcQtyA,$M64)=0,"",INDEX(CalcQtyA,$M64)),"")</f>
        <v/>
      </c>
      <c r="G64" s="28">
        <f>IF($M64&lt;&gt;"",IF(INDEX(CalcPriceA,$M64)=0,"",INDEX(CalcPriceA,$M64)),"")</f>
        <v/>
      </c>
      <c r="H64" s="28">
        <f>IF($N64&lt;&gt;"",IF(INDEX(CalcWitB,$N64)=0,"",INDEX(CalcWitB,$N64)),"")</f>
        <v/>
      </c>
      <c r="I64" s="29">
        <f>IF($M64&lt;&gt;"",INDEX(CalcAmtA,$M64),"")</f>
        <v/>
      </c>
      <c r="J64" s="29">
        <f>IF($B64="","",IF($J63="",$C$8,$J63)+IF($I64="",0,$I64)+IF($E64="",0,$E64)-IF($H64="",0,$H64))</f>
        <v/>
      </c>
      <c r="K64" s="30">
        <f>IF($M64&lt;&gt;"",IF(INDEX(CalcNoteA,$M64)="","—",INDEX(CalcNoteA,$M64)),IF($N64&lt;&gt;"",IF(INDEX(CalcNoteB,$N64)="","—",INDEX(CalcNoteB,$N64)),""))</f>
        <v/>
      </c>
      <c r="M64">
        <f>IFERROR(MATCH($C$5&amp;"|"&amp;RIGHT("000000"&amp;48,6),CalcRankKeyA,0),"")</f>
        <v/>
      </c>
      <c r="N64">
        <f>IFERROR(MATCH($C$5&amp;"|"&amp;RIGHT("000000"&amp;48,6),CalcRankKeyB,0),"")</f>
        <v/>
      </c>
    </row>
    <row r="65">
      <c r="A65" s="21" t="n">
        <v>49</v>
      </c>
      <c r="B65" s="22">
        <f>IF(AND($M65="",$N65=""),"",IF($M65&lt;&gt;"",INDEX(CalcDateA,$M65),INDEX(CalcDateB,$N65)))</f>
        <v/>
      </c>
      <c r="C65" s="22">
        <f>IF($M65&lt;&gt;"","خرید سبد",IF($N65&lt;&gt;"",IF(N(INDEX(CalcDepB,$N65))&gt;0,"دریافت بانکی","پرداخت بانکی"),""))</f>
        <v/>
      </c>
      <c r="D65" s="22">
        <f>IF($M65&lt;&gt;"",IF(INDEX(CalcDocA,$M65)="","—",INDEX(CalcDocA,$M65)),IF($N65&lt;&gt;"",INDEX(CalcBankB,$N65),""))</f>
        <v/>
      </c>
      <c r="E65" s="23">
        <f>IF($N65&lt;&gt;"",IF(INDEX(CalcDepB,$N65)=0,"",INDEX(CalcDepB,$N65)),"")</f>
        <v/>
      </c>
      <c r="F65" s="23">
        <f>IF($M65&lt;&gt;"",IF(INDEX(CalcQtyA,$M65)=0,"",INDEX(CalcQtyA,$M65)),"")</f>
        <v/>
      </c>
      <c r="G65" s="23">
        <f>IF($M65&lt;&gt;"",IF(INDEX(CalcPriceA,$M65)=0,"",INDEX(CalcPriceA,$M65)),"")</f>
        <v/>
      </c>
      <c r="H65" s="23">
        <f>IF($N65&lt;&gt;"",IF(INDEX(CalcWitB,$N65)=0,"",INDEX(CalcWitB,$N65)),"")</f>
        <v/>
      </c>
      <c r="I65" s="24">
        <f>IF($M65&lt;&gt;"",INDEX(CalcAmtA,$M65),"")</f>
        <v/>
      </c>
      <c r="J65" s="24">
        <f>IF($B65="","",IF($J64="",$C$8,$J64)+IF($I65="",0,$I65)+IF($E65="",0,$E65)-IF($H65="",0,$H65))</f>
        <v/>
      </c>
      <c r="K65" s="25">
        <f>IF($M65&lt;&gt;"",IF(INDEX(CalcNoteA,$M65)="","—",INDEX(CalcNoteA,$M65)),IF($N65&lt;&gt;"",IF(INDEX(CalcNoteB,$N65)="","—",INDEX(CalcNoteB,$N65)),""))</f>
        <v/>
      </c>
      <c r="M65">
        <f>IFERROR(MATCH($C$5&amp;"|"&amp;RIGHT("000000"&amp;49,6),CalcRankKeyA,0),"")</f>
        <v/>
      </c>
      <c r="N65">
        <f>IFERROR(MATCH($C$5&amp;"|"&amp;RIGHT("000000"&amp;49,6),CalcRankKeyB,0),"")</f>
        <v/>
      </c>
    </row>
    <row r="66">
      <c r="A66" s="26" t="n">
        <v>50</v>
      </c>
      <c r="B66" s="27">
        <f>IF(AND($M66="",$N66=""),"",IF($M66&lt;&gt;"",INDEX(CalcDateA,$M66),INDEX(CalcDateB,$N66)))</f>
        <v/>
      </c>
      <c r="C66" s="27">
        <f>IF($M66&lt;&gt;"","خرید سبد",IF($N66&lt;&gt;"",IF(N(INDEX(CalcDepB,$N66))&gt;0,"دریافت بانکی","پرداخت بانکی"),""))</f>
        <v/>
      </c>
      <c r="D66" s="27">
        <f>IF($M66&lt;&gt;"",IF(INDEX(CalcDocA,$M66)="","—",INDEX(CalcDocA,$M66)),IF($N66&lt;&gt;"",INDEX(CalcBankB,$N66),""))</f>
        <v/>
      </c>
      <c r="E66" s="28">
        <f>IF($N66&lt;&gt;"",IF(INDEX(CalcDepB,$N66)=0,"",INDEX(CalcDepB,$N66)),"")</f>
        <v/>
      </c>
      <c r="F66" s="28">
        <f>IF($M66&lt;&gt;"",IF(INDEX(CalcQtyA,$M66)=0,"",INDEX(CalcQtyA,$M66)),"")</f>
        <v/>
      </c>
      <c r="G66" s="28">
        <f>IF($M66&lt;&gt;"",IF(INDEX(CalcPriceA,$M66)=0,"",INDEX(CalcPriceA,$M66)),"")</f>
        <v/>
      </c>
      <c r="H66" s="28">
        <f>IF($N66&lt;&gt;"",IF(INDEX(CalcWitB,$N66)=0,"",INDEX(CalcWitB,$N66)),"")</f>
        <v/>
      </c>
      <c r="I66" s="29">
        <f>IF($M66&lt;&gt;"",INDEX(CalcAmtA,$M66),"")</f>
        <v/>
      </c>
      <c r="J66" s="29">
        <f>IF($B66="","",IF($J65="",$C$8,$J65)+IF($I66="",0,$I66)+IF($E66="",0,$E66)-IF($H66="",0,$H66))</f>
        <v/>
      </c>
      <c r="K66" s="30">
        <f>IF($M66&lt;&gt;"",IF(INDEX(CalcNoteA,$M66)="","—",INDEX(CalcNoteA,$M66)),IF($N66&lt;&gt;"",IF(INDEX(CalcNoteB,$N66)="","—",INDEX(CalcNoteB,$N66)),""))</f>
        <v/>
      </c>
      <c r="M66">
        <f>IFERROR(MATCH($C$5&amp;"|"&amp;RIGHT("000000"&amp;50,6),CalcRankKeyA,0),"")</f>
        <v/>
      </c>
      <c r="N66">
        <f>IFERROR(MATCH($C$5&amp;"|"&amp;RIGHT("000000"&amp;50,6),CalcRankKeyB,0),"")</f>
        <v/>
      </c>
    </row>
    <row r="67">
      <c r="A67" s="21" t="n">
        <v>51</v>
      </c>
      <c r="B67" s="22">
        <f>IF(AND($M67="",$N67=""),"",IF($M67&lt;&gt;"",INDEX(CalcDateA,$M67),INDEX(CalcDateB,$N67)))</f>
        <v/>
      </c>
      <c r="C67" s="22">
        <f>IF($M67&lt;&gt;"","خرید سبد",IF($N67&lt;&gt;"",IF(N(INDEX(CalcDepB,$N67))&gt;0,"دریافت بانکی","پرداخت بانکی"),""))</f>
        <v/>
      </c>
      <c r="D67" s="22">
        <f>IF($M67&lt;&gt;"",IF(INDEX(CalcDocA,$M67)="","—",INDEX(CalcDocA,$M67)),IF($N67&lt;&gt;"",INDEX(CalcBankB,$N67),""))</f>
        <v/>
      </c>
      <c r="E67" s="23">
        <f>IF($N67&lt;&gt;"",IF(INDEX(CalcDepB,$N67)=0,"",INDEX(CalcDepB,$N67)),"")</f>
        <v/>
      </c>
      <c r="F67" s="23">
        <f>IF($M67&lt;&gt;"",IF(INDEX(CalcQtyA,$M67)=0,"",INDEX(CalcQtyA,$M67)),"")</f>
        <v/>
      </c>
      <c r="G67" s="23">
        <f>IF($M67&lt;&gt;"",IF(INDEX(CalcPriceA,$M67)=0,"",INDEX(CalcPriceA,$M67)),"")</f>
        <v/>
      </c>
      <c r="H67" s="23">
        <f>IF($N67&lt;&gt;"",IF(INDEX(CalcWitB,$N67)=0,"",INDEX(CalcWitB,$N67)),"")</f>
        <v/>
      </c>
      <c r="I67" s="24">
        <f>IF($M67&lt;&gt;"",INDEX(CalcAmtA,$M67),"")</f>
        <v/>
      </c>
      <c r="J67" s="24">
        <f>IF($B67="","",IF($J66="",$C$8,$J66)+IF($I67="",0,$I67)+IF($E67="",0,$E67)-IF($H67="",0,$H67))</f>
        <v/>
      </c>
      <c r="K67" s="25">
        <f>IF($M67&lt;&gt;"",IF(INDEX(CalcNoteA,$M67)="","—",INDEX(CalcNoteA,$M67)),IF($N67&lt;&gt;"",IF(INDEX(CalcNoteB,$N67)="","—",INDEX(CalcNoteB,$N67)),""))</f>
        <v/>
      </c>
      <c r="M67">
        <f>IFERROR(MATCH($C$5&amp;"|"&amp;RIGHT("000000"&amp;51,6),CalcRankKeyA,0),"")</f>
        <v/>
      </c>
      <c r="N67">
        <f>IFERROR(MATCH($C$5&amp;"|"&amp;RIGHT("000000"&amp;51,6),CalcRankKeyB,0),"")</f>
        <v/>
      </c>
    </row>
    <row r="68">
      <c r="A68" s="26" t="n">
        <v>52</v>
      </c>
      <c r="B68" s="27">
        <f>IF(AND($M68="",$N68=""),"",IF($M68&lt;&gt;"",INDEX(CalcDateA,$M68),INDEX(CalcDateB,$N68)))</f>
        <v/>
      </c>
      <c r="C68" s="27">
        <f>IF($M68&lt;&gt;"","خرید سبد",IF($N68&lt;&gt;"",IF(N(INDEX(CalcDepB,$N68))&gt;0,"دریافت بانکی","پرداخت بانکی"),""))</f>
        <v/>
      </c>
      <c r="D68" s="27">
        <f>IF($M68&lt;&gt;"",IF(INDEX(CalcDocA,$M68)="","—",INDEX(CalcDocA,$M68)),IF($N68&lt;&gt;"",INDEX(CalcBankB,$N68),""))</f>
        <v/>
      </c>
      <c r="E68" s="28">
        <f>IF($N68&lt;&gt;"",IF(INDEX(CalcDepB,$N68)=0,"",INDEX(CalcDepB,$N68)),"")</f>
        <v/>
      </c>
      <c r="F68" s="28">
        <f>IF($M68&lt;&gt;"",IF(INDEX(CalcQtyA,$M68)=0,"",INDEX(CalcQtyA,$M68)),"")</f>
        <v/>
      </c>
      <c r="G68" s="28">
        <f>IF($M68&lt;&gt;"",IF(INDEX(CalcPriceA,$M68)=0,"",INDEX(CalcPriceA,$M68)),"")</f>
        <v/>
      </c>
      <c r="H68" s="28">
        <f>IF($N68&lt;&gt;"",IF(INDEX(CalcWitB,$N68)=0,"",INDEX(CalcWitB,$N68)),"")</f>
        <v/>
      </c>
      <c r="I68" s="29">
        <f>IF($M68&lt;&gt;"",INDEX(CalcAmtA,$M68),"")</f>
        <v/>
      </c>
      <c r="J68" s="29">
        <f>IF($B68="","",IF($J67="",$C$8,$J67)+IF($I68="",0,$I68)+IF($E68="",0,$E68)-IF($H68="",0,$H68))</f>
        <v/>
      </c>
      <c r="K68" s="30">
        <f>IF($M68&lt;&gt;"",IF(INDEX(CalcNoteA,$M68)="","—",INDEX(CalcNoteA,$M68)),IF($N68&lt;&gt;"",IF(INDEX(CalcNoteB,$N68)="","—",INDEX(CalcNoteB,$N68)),""))</f>
        <v/>
      </c>
      <c r="M68">
        <f>IFERROR(MATCH($C$5&amp;"|"&amp;RIGHT("000000"&amp;52,6),CalcRankKeyA,0),"")</f>
        <v/>
      </c>
      <c r="N68">
        <f>IFERROR(MATCH($C$5&amp;"|"&amp;RIGHT("000000"&amp;52,6),CalcRankKeyB,0),"")</f>
        <v/>
      </c>
    </row>
    <row r="69">
      <c r="A69" s="21" t="n">
        <v>53</v>
      </c>
      <c r="B69" s="22">
        <f>IF(AND($M69="",$N69=""),"",IF($M69&lt;&gt;"",INDEX(CalcDateA,$M69),INDEX(CalcDateB,$N69)))</f>
        <v/>
      </c>
      <c r="C69" s="22">
        <f>IF($M69&lt;&gt;"","خرید سبد",IF($N69&lt;&gt;"",IF(N(INDEX(CalcDepB,$N69))&gt;0,"دریافت بانکی","پرداخت بانکی"),""))</f>
        <v/>
      </c>
      <c r="D69" s="22">
        <f>IF($M69&lt;&gt;"",IF(INDEX(CalcDocA,$M69)="","—",INDEX(CalcDocA,$M69)),IF($N69&lt;&gt;"",INDEX(CalcBankB,$N69),""))</f>
        <v/>
      </c>
      <c r="E69" s="23">
        <f>IF($N69&lt;&gt;"",IF(INDEX(CalcDepB,$N69)=0,"",INDEX(CalcDepB,$N69)),"")</f>
        <v/>
      </c>
      <c r="F69" s="23">
        <f>IF($M69&lt;&gt;"",IF(INDEX(CalcQtyA,$M69)=0,"",INDEX(CalcQtyA,$M69)),"")</f>
        <v/>
      </c>
      <c r="G69" s="23">
        <f>IF($M69&lt;&gt;"",IF(INDEX(CalcPriceA,$M69)=0,"",INDEX(CalcPriceA,$M69)),"")</f>
        <v/>
      </c>
      <c r="H69" s="23">
        <f>IF($N69&lt;&gt;"",IF(INDEX(CalcWitB,$N69)=0,"",INDEX(CalcWitB,$N69)),"")</f>
        <v/>
      </c>
      <c r="I69" s="24">
        <f>IF($M69&lt;&gt;"",INDEX(CalcAmtA,$M69),"")</f>
        <v/>
      </c>
      <c r="J69" s="24">
        <f>IF($B69="","",IF($J68="",$C$8,$J68)+IF($I69="",0,$I69)+IF($E69="",0,$E69)-IF($H69="",0,$H69))</f>
        <v/>
      </c>
      <c r="K69" s="25">
        <f>IF($M69&lt;&gt;"",IF(INDEX(CalcNoteA,$M69)="","—",INDEX(CalcNoteA,$M69)),IF($N69&lt;&gt;"",IF(INDEX(CalcNoteB,$N69)="","—",INDEX(CalcNoteB,$N69)),""))</f>
        <v/>
      </c>
      <c r="M69">
        <f>IFERROR(MATCH($C$5&amp;"|"&amp;RIGHT("000000"&amp;53,6),CalcRankKeyA,0),"")</f>
        <v/>
      </c>
      <c r="N69">
        <f>IFERROR(MATCH($C$5&amp;"|"&amp;RIGHT("000000"&amp;53,6),CalcRankKeyB,0),"")</f>
        <v/>
      </c>
    </row>
    <row r="70">
      <c r="A70" s="26" t="n">
        <v>54</v>
      </c>
      <c r="B70" s="27">
        <f>IF(AND($M70="",$N70=""),"",IF($M70&lt;&gt;"",INDEX(CalcDateA,$M70),INDEX(CalcDateB,$N70)))</f>
        <v/>
      </c>
      <c r="C70" s="27">
        <f>IF($M70&lt;&gt;"","خرید سبد",IF($N70&lt;&gt;"",IF(N(INDEX(CalcDepB,$N70))&gt;0,"دریافت بانکی","پرداخت بانکی"),""))</f>
        <v/>
      </c>
      <c r="D70" s="27">
        <f>IF($M70&lt;&gt;"",IF(INDEX(CalcDocA,$M70)="","—",INDEX(CalcDocA,$M70)),IF($N70&lt;&gt;"",INDEX(CalcBankB,$N70),""))</f>
        <v/>
      </c>
      <c r="E70" s="28">
        <f>IF($N70&lt;&gt;"",IF(INDEX(CalcDepB,$N70)=0,"",INDEX(CalcDepB,$N70)),"")</f>
        <v/>
      </c>
      <c r="F70" s="28">
        <f>IF($M70&lt;&gt;"",IF(INDEX(CalcQtyA,$M70)=0,"",INDEX(CalcQtyA,$M70)),"")</f>
        <v/>
      </c>
      <c r="G70" s="28">
        <f>IF($M70&lt;&gt;"",IF(INDEX(CalcPriceA,$M70)=0,"",INDEX(CalcPriceA,$M70)),"")</f>
        <v/>
      </c>
      <c r="H70" s="28">
        <f>IF($N70&lt;&gt;"",IF(INDEX(CalcWitB,$N70)=0,"",INDEX(CalcWitB,$N70)),"")</f>
        <v/>
      </c>
      <c r="I70" s="29">
        <f>IF($M70&lt;&gt;"",INDEX(CalcAmtA,$M70),"")</f>
        <v/>
      </c>
      <c r="J70" s="29">
        <f>IF($B70="","",IF($J69="",$C$8,$J69)+IF($I70="",0,$I70)+IF($E70="",0,$E70)-IF($H70="",0,$H70))</f>
        <v/>
      </c>
      <c r="K70" s="30">
        <f>IF($M70&lt;&gt;"",IF(INDEX(CalcNoteA,$M70)="","—",INDEX(CalcNoteA,$M70)),IF($N70&lt;&gt;"",IF(INDEX(CalcNoteB,$N70)="","—",INDEX(CalcNoteB,$N70)),""))</f>
        <v/>
      </c>
      <c r="M70">
        <f>IFERROR(MATCH($C$5&amp;"|"&amp;RIGHT("000000"&amp;54,6),CalcRankKeyA,0),"")</f>
        <v/>
      </c>
      <c r="N70">
        <f>IFERROR(MATCH($C$5&amp;"|"&amp;RIGHT("000000"&amp;54,6),CalcRankKeyB,0),"")</f>
        <v/>
      </c>
    </row>
    <row r="71">
      <c r="A71" s="21" t="n">
        <v>55</v>
      </c>
      <c r="B71" s="22">
        <f>IF(AND($M71="",$N71=""),"",IF($M71&lt;&gt;"",INDEX(CalcDateA,$M71),INDEX(CalcDateB,$N71)))</f>
        <v/>
      </c>
      <c r="C71" s="22">
        <f>IF($M71&lt;&gt;"","خرید سبد",IF($N71&lt;&gt;"",IF(N(INDEX(CalcDepB,$N71))&gt;0,"دریافت بانکی","پرداخت بانکی"),""))</f>
        <v/>
      </c>
      <c r="D71" s="22">
        <f>IF($M71&lt;&gt;"",IF(INDEX(CalcDocA,$M71)="","—",INDEX(CalcDocA,$M71)),IF($N71&lt;&gt;"",INDEX(CalcBankB,$N71),""))</f>
        <v/>
      </c>
      <c r="E71" s="23">
        <f>IF($N71&lt;&gt;"",IF(INDEX(CalcDepB,$N71)=0,"",INDEX(CalcDepB,$N71)),"")</f>
        <v/>
      </c>
      <c r="F71" s="23">
        <f>IF($M71&lt;&gt;"",IF(INDEX(CalcQtyA,$M71)=0,"",INDEX(CalcQtyA,$M71)),"")</f>
        <v/>
      </c>
      <c r="G71" s="23">
        <f>IF($M71&lt;&gt;"",IF(INDEX(CalcPriceA,$M71)=0,"",INDEX(CalcPriceA,$M71)),"")</f>
        <v/>
      </c>
      <c r="H71" s="23">
        <f>IF($N71&lt;&gt;"",IF(INDEX(CalcWitB,$N71)=0,"",INDEX(CalcWitB,$N71)),"")</f>
        <v/>
      </c>
      <c r="I71" s="24">
        <f>IF($M71&lt;&gt;"",INDEX(CalcAmtA,$M71),"")</f>
        <v/>
      </c>
      <c r="J71" s="24">
        <f>IF($B71="","",IF($J70="",$C$8,$J70)+IF($I71="",0,$I71)+IF($E71="",0,$E71)-IF($H71="",0,$H71))</f>
        <v/>
      </c>
      <c r="K71" s="25">
        <f>IF($M71&lt;&gt;"",IF(INDEX(CalcNoteA,$M71)="","—",INDEX(CalcNoteA,$M71)),IF($N71&lt;&gt;"",IF(INDEX(CalcNoteB,$N71)="","—",INDEX(CalcNoteB,$N71)),""))</f>
        <v/>
      </c>
      <c r="M71">
        <f>IFERROR(MATCH($C$5&amp;"|"&amp;RIGHT("000000"&amp;55,6),CalcRankKeyA,0),"")</f>
        <v/>
      </c>
      <c r="N71">
        <f>IFERROR(MATCH($C$5&amp;"|"&amp;RIGHT("000000"&amp;55,6),CalcRankKeyB,0),"")</f>
        <v/>
      </c>
    </row>
    <row r="72">
      <c r="A72" s="26" t="n">
        <v>56</v>
      </c>
      <c r="B72" s="27">
        <f>IF(AND($M72="",$N72=""),"",IF($M72&lt;&gt;"",INDEX(CalcDateA,$M72),INDEX(CalcDateB,$N72)))</f>
        <v/>
      </c>
      <c r="C72" s="27">
        <f>IF($M72&lt;&gt;"","خرید سبد",IF($N72&lt;&gt;"",IF(N(INDEX(CalcDepB,$N72))&gt;0,"دریافت بانکی","پرداخت بانکی"),""))</f>
        <v/>
      </c>
      <c r="D72" s="27">
        <f>IF($M72&lt;&gt;"",IF(INDEX(CalcDocA,$M72)="","—",INDEX(CalcDocA,$M72)),IF($N72&lt;&gt;"",INDEX(CalcBankB,$N72),""))</f>
        <v/>
      </c>
      <c r="E72" s="28">
        <f>IF($N72&lt;&gt;"",IF(INDEX(CalcDepB,$N72)=0,"",INDEX(CalcDepB,$N72)),"")</f>
        <v/>
      </c>
      <c r="F72" s="28">
        <f>IF($M72&lt;&gt;"",IF(INDEX(CalcQtyA,$M72)=0,"",INDEX(CalcQtyA,$M72)),"")</f>
        <v/>
      </c>
      <c r="G72" s="28">
        <f>IF($M72&lt;&gt;"",IF(INDEX(CalcPriceA,$M72)=0,"",INDEX(CalcPriceA,$M72)),"")</f>
        <v/>
      </c>
      <c r="H72" s="28">
        <f>IF($N72&lt;&gt;"",IF(INDEX(CalcWitB,$N72)=0,"",INDEX(CalcWitB,$N72)),"")</f>
        <v/>
      </c>
      <c r="I72" s="29">
        <f>IF($M72&lt;&gt;"",INDEX(CalcAmtA,$M72),"")</f>
        <v/>
      </c>
      <c r="J72" s="29">
        <f>IF($B72="","",IF($J71="",$C$8,$J71)+IF($I72="",0,$I72)+IF($E72="",0,$E72)-IF($H72="",0,$H72))</f>
        <v/>
      </c>
      <c r="K72" s="30">
        <f>IF($M72&lt;&gt;"",IF(INDEX(CalcNoteA,$M72)="","—",INDEX(CalcNoteA,$M72)),IF($N72&lt;&gt;"",IF(INDEX(CalcNoteB,$N72)="","—",INDEX(CalcNoteB,$N72)),""))</f>
        <v/>
      </c>
      <c r="M72">
        <f>IFERROR(MATCH($C$5&amp;"|"&amp;RIGHT("000000"&amp;56,6),CalcRankKeyA,0),"")</f>
        <v/>
      </c>
      <c r="N72">
        <f>IFERROR(MATCH($C$5&amp;"|"&amp;RIGHT("000000"&amp;56,6),CalcRankKeyB,0),"")</f>
        <v/>
      </c>
    </row>
    <row r="73">
      <c r="A73" s="21" t="n">
        <v>57</v>
      </c>
      <c r="B73" s="22">
        <f>IF(AND($M73="",$N73=""),"",IF($M73&lt;&gt;"",INDEX(CalcDateA,$M73),INDEX(CalcDateB,$N73)))</f>
        <v/>
      </c>
      <c r="C73" s="22">
        <f>IF($M73&lt;&gt;"","خرید سبد",IF($N73&lt;&gt;"",IF(N(INDEX(CalcDepB,$N73))&gt;0,"دریافت بانکی","پرداخت بانکی"),""))</f>
        <v/>
      </c>
      <c r="D73" s="22">
        <f>IF($M73&lt;&gt;"",IF(INDEX(CalcDocA,$M73)="","—",INDEX(CalcDocA,$M73)),IF($N73&lt;&gt;"",INDEX(CalcBankB,$N73),""))</f>
        <v/>
      </c>
      <c r="E73" s="23">
        <f>IF($N73&lt;&gt;"",IF(INDEX(CalcDepB,$N73)=0,"",INDEX(CalcDepB,$N73)),"")</f>
        <v/>
      </c>
      <c r="F73" s="23">
        <f>IF($M73&lt;&gt;"",IF(INDEX(CalcQtyA,$M73)=0,"",INDEX(CalcQtyA,$M73)),"")</f>
        <v/>
      </c>
      <c r="G73" s="23">
        <f>IF($M73&lt;&gt;"",IF(INDEX(CalcPriceA,$M73)=0,"",INDEX(CalcPriceA,$M73)),"")</f>
        <v/>
      </c>
      <c r="H73" s="23">
        <f>IF($N73&lt;&gt;"",IF(INDEX(CalcWitB,$N73)=0,"",INDEX(CalcWitB,$N73)),"")</f>
        <v/>
      </c>
      <c r="I73" s="24">
        <f>IF($M73&lt;&gt;"",INDEX(CalcAmtA,$M73),"")</f>
        <v/>
      </c>
      <c r="J73" s="24">
        <f>IF($B73="","",IF($J72="",$C$8,$J72)+IF($I73="",0,$I73)+IF($E73="",0,$E73)-IF($H73="",0,$H73))</f>
        <v/>
      </c>
      <c r="K73" s="25">
        <f>IF($M73&lt;&gt;"",IF(INDEX(CalcNoteA,$M73)="","—",INDEX(CalcNoteA,$M73)),IF($N73&lt;&gt;"",IF(INDEX(CalcNoteB,$N73)="","—",INDEX(CalcNoteB,$N73)),""))</f>
        <v/>
      </c>
      <c r="M73">
        <f>IFERROR(MATCH($C$5&amp;"|"&amp;RIGHT("000000"&amp;57,6),CalcRankKeyA,0),"")</f>
        <v/>
      </c>
      <c r="N73">
        <f>IFERROR(MATCH($C$5&amp;"|"&amp;RIGHT("000000"&amp;57,6),CalcRankKeyB,0),"")</f>
        <v/>
      </c>
    </row>
    <row r="74">
      <c r="A74" s="26" t="n">
        <v>58</v>
      </c>
      <c r="B74" s="27">
        <f>IF(AND($M74="",$N74=""),"",IF($M74&lt;&gt;"",INDEX(CalcDateA,$M74),INDEX(CalcDateB,$N74)))</f>
        <v/>
      </c>
      <c r="C74" s="27">
        <f>IF($M74&lt;&gt;"","خرید سبد",IF($N74&lt;&gt;"",IF(N(INDEX(CalcDepB,$N74))&gt;0,"دریافت بانکی","پرداخت بانکی"),""))</f>
        <v/>
      </c>
      <c r="D74" s="27">
        <f>IF($M74&lt;&gt;"",IF(INDEX(CalcDocA,$M74)="","—",INDEX(CalcDocA,$M74)),IF($N74&lt;&gt;"",INDEX(CalcBankB,$N74),""))</f>
        <v/>
      </c>
      <c r="E74" s="28">
        <f>IF($N74&lt;&gt;"",IF(INDEX(CalcDepB,$N74)=0,"",INDEX(CalcDepB,$N74)),"")</f>
        <v/>
      </c>
      <c r="F74" s="28">
        <f>IF($M74&lt;&gt;"",IF(INDEX(CalcQtyA,$M74)=0,"",INDEX(CalcQtyA,$M74)),"")</f>
        <v/>
      </c>
      <c r="G74" s="28">
        <f>IF($M74&lt;&gt;"",IF(INDEX(CalcPriceA,$M74)=0,"",INDEX(CalcPriceA,$M74)),"")</f>
        <v/>
      </c>
      <c r="H74" s="28">
        <f>IF($N74&lt;&gt;"",IF(INDEX(CalcWitB,$N74)=0,"",INDEX(CalcWitB,$N74)),"")</f>
        <v/>
      </c>
      <c r="I74" s="29">
        <f>IF($M74&lt;&gt;"",INDEX(CalcAmtA,$M74),"")</f>
        <v/>
      </c>
      <c r="J74" s="29">
        <f>IF($B74="","",IF($J73="",$C$8,$J73)+IF($I74="",0,$I74)+IF($E74="",0,$E74)-IF($H74="",0,$H74))</f>
        <v/>
      </c>
      <c r="K74" s="30">
        <f>IF($M74&lt;&gt;"",IF(INDEX(CalcNoteA,$M74)="","—",INDEX(CalcNoteA,$M74)),IF($N74&lt;&gt;"",IF(INDEX(CalcNoteB,$N74)="","—",INDEX(CalcNoteB,$N74)),""))</f>
        <v/>
      </c>
      <c r="M74">
        <f>IFERROR(MATCH($C$5&amp;"|"&amp;RIGHT("000000"&amp;58,6),CalcRankKeyA,0),"")</f>
        <v/>
      </c>
      <c r="N74">
        <f>IFERROR(MATCH($C$5&amp;"|"&amp;RIGHT("000000"&amp;58,6),CalcRankKeyB,0),"")</f>
        <v/>
      </c>
    </row>
    <row r="75">
      <c r="A75" s="21" t="n">
        <v>59</v>
      </c>
      <c r="B75" s="22">
        <f>IF(AND($M75="",$N75=""),"",IF($M75&lt;&gt;"",INDEX(CalcDateA,$M75),INDEX(CalcDateB,$N75)))</f>
        <v/>
      </c>
      <c r="C75" s="22">
        <f>IF($M75&lt;&gt;"","خرید سبد",IF($N75&lt;&gt;"",IF(N(INDEX(CalcDepB,$N75))&gt;0,"دریافت بانکی","پرداخت بانکی"),""))</f>
        <v/>
      </c>
      <c r="D75" s="22">
        <f>IF($M75&lt;&gt;"",IF(INDEX(CalcDocA,$M75)="","—",INDEX(CalcDocA,$M75)),IF($N75&lt;&gt;"",INDEX(CalcBankB,$N75),""))</f>
        <v/>
      </c>
      <c r="E75" s="23">
        <f>IF($N75&lt;&gt;"",IF(INDEX(CalcDepB,$N75)=0,"",INDEX(CalcDepB,$N75)),"")</f>
        <v/>
      </c>
      <c r="F75" s="23">
        <f>IF($M75&lt;&gt;"",IF(INDEX(CalcQtyA,$M75)=0,"",INDEX(CalcQtyA,$M75)),"")</f>
        <v/>
      </c>
      <c r="G75" s="23">
        <f>IF($M75&lt;&gt;"",IF(INDEX(CalcPriceA,$M75)=0,"",INDEX(CalcPriceA,$M75)),"")</f>
        <v/>
      </c>
      <c r="H75" s="23">
        <f>IF($N75&lt;&gt;"",IF(INDEX(CalcWitB,$N75)=0,"",INDEX(CalcWitB,$N75)),"")</f>
        <v/>
      </c>
      <c r="I75" s="24">
        <f>IF($M75&lt;&gt;"",INDEX(CalcAmtA,$M75),"")</f>
        <v/>
      </c>
      <c r="J75" s="24">
        <f>IF($B75="","",IF($J74="",$C$8,$J74)+IF($I75="",0,$I75)+IF($E75="",0,$E75)-IF($H75="",0,$H75))</f>
        <v/>
      </c>
      <c r="K75" s="25">
        <f>IF($M75&lt;&gt;"",IF(INDEX(CalcNoteA,$M75)="","—",INDEX(CalcNoteA,$M75)),IF($N75&lt;&gt;"",IF(INDEX(CalcNoteB,$N75)="","—",INDEX(CalcNoteB,$N75)),""))</f>
        <v/>
      </c>
      <c r="M75">
        <f>IFERROR(MATCH($C$5&amp;"|"&amp;RIGHT("000000"&amp;59,6),CalcRankKeyA,0),"")</f>
        <v/>
      </c>
      <c r="N75">
        <f>IFERROR(MATCH($C$5&amp;"|"&amp;RIGHT("000000"&amp;59,6),CalcRankKeyB,0),"")</f>
        <v/>
      </c>
    </row>
    <row r="76">
      <c r="A76" s="26" t="n">
        <v>60</v>
      </c>
      <c r="B76" s="27">
        <f>IF(AND($M76="",$N76=""),"",IF($M76&lt;&gt;"",INDEX(CalcDateA,$M76),INDEX(CalcDateB,$N76)))</f>
        <v/>
      </c>
      <c r="C76" s="27">
        <f>IF($M76&lt;&gt;"","خرید سبد",IF($N76&lt;&gt;"",IF(N(INDEX(CalcDepB,$N76))&gt;0,"دریافت بانکی","پرداخت بانکی"),""))</f>
        <v/>
      </c>
      <c r="D76" s="27">
        <f>IF($M76&lt;&gt;"",IF(INDEX(CalcDocA,$M76)="","—",INDEX(CalcDocA,$M76)),IF($N76&lt;&gt;"",INDEX(CalcBankB,$N76),""))</f>
        <v/>
      </c>
      <c r="E76" s="28">
        <f>IF($N76&lt;&gt;"",IF(INDEX(CalcDepB,$N76)=0,"",INDEX(CalcDepB,$N76)),"")</f>
        <v/>
      </c>
      <c r="F76" s="28">
        <f>IF($M76&lt;&gt;"",IF(INDEX(CalcQtyA,$M76)=0,"",INDEX(CalcQtyA,$M76)),"")</f>
        <v/>
      </c>
      <c r="G76" s="28">
        <f>IF($M76&lt;&gt;"",IF(INDEX(CalcPriceA,$M76)=0,"",INDEX(CalcPriceA,$M76)),"")</f>
        <v/>
      </c>
      <c r="H76" s="28">
        <f>IF($N76&lt;&gt;"",IF(INDEX(CalcWitB,$N76)=0,"",INDEX(CalcWitB,$N76)),"")</f>
        <v/>
      </c>
      <c r="I76" s="29">
        <f>IF($M76&lt;&gt;"",INDEX(CalcAmtA,$M76),"")</f>
        <v/>
      </c>
      <c r="J76" s="29">
        <f>IF($B76="","",IF($J75="",$C$8,$J75)+IF($I76="",0,$I76)+IF($E76="",0,$E76)-IF($H76="",0,$H76))</f>
        <v/>
      </c>
      <c r="K76" s="30">
        <f>IF($M76&lt;&gt;"",IF(INDEX(CalcNoteA,$M76)="","—",INDEX(CalcNoteA,$M76)),IF($N76&lt;&gt;"",IF(INDEX(CalcNoteB,$N76)="","—",INDEX(CalcNoteB,$N76)),""))</f>
        <v/>
      </c>
      <c r="M76">
        <f>IFERROR(MATCH($C$5&amp;"|"&amp;RIGHT("000000"&amp;60,6),CalcRankKeyA,0),"")</f>
        <v/>
      </c>
      <c r="N76">
        <f>IFERROR(MATCH($C$5&amp;"|"&amp;RIGHT("000000"&amp;60,6),CalcRankKeyB,0),"")</f>
        <v/>
      </c>
    </row>
    <row r="77">
      <c r="A77" s="21" t="n">
        <v>61</v>
      </c>
      <c r="B77" s="22">
        <f>IF(AND($M77="",$N77=""),"",IF($M77&lt;&gt;"",INDEX(CalcDateA,$M77),INDEX(CalcDateB,$N77)))</f>
        <v/>
      </c>
      <c r="C77" s="22">
        <f>IF($M77&lt;&gt;"","خرید سبد",IF($N77&lt;&gt;"",IF(N(INDEX(CalcDepB,$N77))&gt;0,"دریافت بانکی","پرداخت بانکی"),""))</f>
        <v/>
      </c>
      <c r="D77" s="22">
        <f>IF($M77&lt;&gt;"",IF(INDEX(CalcDocA,$M77)="","—",INDEX(CalcDocA,$M77)),IF($N77&lt;&gt;"",INDEX(CalcBankB,$N77),""))</f>
        <v/>
      </c>
      <c r="E77" s="23">
        <f>IF($N77&lt;&gt;"",IF(INDEX(CalcDepB,$N77)=0,"",INDEX(CalcDepB,$N77)),"")</f>
        <v/>
      </c>
      <c r="F77" s="23">
        <f>IF($M77&lt;&gt;"",IF(INDEX(CalcQtyA,$M77)=0,"",INDEX(CalcQtyA,$M77)),"")</f>
        <v/>
      </c>
      <c r="G77" s="23">
        <f>IF($M77&lt;&gt;"",IF(INDEX(CalcPriceA,$M77)=0,"",INDEX(CalcPriceA,$M77)),"")</f>
        <v/>
      </c>
      <c r="H77" s="23">
        <f>IF($N77&lt;&gt;"",IF(INDEX(CalcWitB,$N77)=0,"",INDEX(CalcWitB,$N77)),"")</f>
        <v/>
      </c>
      <c r="I77" s="24">
        <f>IF($M77&lt;&gt;"",INDEX(CalcAmtA,$M77),"")</f>
        <v/>
      </c>
      <c r="J77" s="24">
        <f>IF($B77="","",IF($J76="",$C$8,$J76)+IF($I77="",0,$I77)+IF($E77="",0,$E77)-IF($H77="",0,$H77))</f>
        <v/>
      </c>
      <c r="K77" s="25">
        <f>IF($M77&lt;&gt;"",IF(INDEX(CalcNoteA,$M77)="","—",INDEX(CalcNoteA,$M77)),IF($N77&lt;&gt;"",IF(INDEX(CalcNoteB,$N77)="","—",INDEX(CalcNoteB,$N77)),""))</f>
        <v/>
      </c>
      <c r="M77">
        <f>IFERROR(MATCH($C$5&amp;"|"&amp;RIGHT("000000"&amp;61,6),CalcRankKeyA,0),"")</f>
        <v/>
      </c>
      <c r="N77">
        <f>IFERROR(MATCH($C$5&amp;"|"&amp;RIGHT("000000"&amp;61,6),CalcRankKeyB,0),"")</f>
        <v/>
      </c>
    </row>
    <row r="78">
      <c r="A78" s="26" t="n">
        <v>62</v>
      </c>
      <c r="B78" s="27">
        <f>IF(AND($M78="",$N78=""),"",IF($M78&lt;&gt;"",INDEX(CalcDateA,$M78),INDEX(CalcDateB,$N78)))</f>
        <v/>
      </c>
      <c r="C78" s="27">
        <f>IF($M78&lt;&gt;"","خرید سبد",IF($N78&lt;&gt;"",IF(N(INDEX(CalcDepB,$N78))&gt;0,"دریافت بانکی","پرداخت بانکی"),""))</f>
        <v/>
      </c>
      <c r="D78" s="27">
        <f>IF($M78&lt;&gt;"",IF(INDEX(CalcDocA,$M78)="","—",INDEX(CalcDocA,$M78)),IF($N78&lt;&gt;"",INDEX(CalcBankB,$N78),""))</f>
        <v/>
      </c>
      <c r="E78" s="28">
        <f>IF($N78&lt;&gt;"",IF(INDEX(CalcDepB,$N78)=0,"",INDEX(CalcDepB,$N78)),"")</f>
        <v/>
      </c>
      <c r="F78" s="28">
        <f>IF($M78&lt;&gt;"",IF(INDEX(CalcQtyA,$M78)=0,"",INDEX(CalcQtyA,$M78)),"")</f>
        <v/>
      </c>
      <c r="G78" s="28">
        <f>IF($M78&lt;&gt;"",IF(INDEX(CalcPriceA,$M78)=0,"",INDEX(CalcPriceA,$M78)),"")</f>
        <v/>
      </c>
      <c r="H78" s="28">
        <f>IF($N78&lt;&gt;"",IF(INDEX(CalcWitB,$N78)=0,"",INDEX(CalcWitB,$N78)),"")</f>
        <v/>
      </c>
      <c r="I78" s="29">
        <f>IF($M78&lt;&gt;"",INDEX(CalcAmtA,$M78),"")</f>
        <v/>
      </c>
      <c r="J78" s="29">
        <f>IF($B78="","",IF($J77="",$C$8,$J77)+IF($I78="",0,$I78)+IF($E78="",0,$E78)-IF($H78="",0,$H78))</f>
        <v/>
      </c>
      <c r="K78" s="30">
        <f>IF($M78&lt;&gt;"",IF(INDEX(CalcNoteA,$M78)="","—",INDEX(CalcNoteA,$M78)),IF($N78&lt;&gt;"",IF(INDEX(CalcNoteB,$N78)="","—",INDEX(CalcNoteB,$N78)),""))</f>
        <v/>
      </c>
      <c r="M78">
        <f>IFERROR(MATCH($C$5&amp;"|"&amp;RIGHT("000000"&amp;62,6),CalcRankKeyA,0),"")</f>
        <v/>
      </c>
      <c r="N78">
        <f>IFERROR(MATCH($C$5&amp;"|"&amp;RIGHT("000000"&amp;62,6),CalcRankKeyB,0),"")</f>
        <v/>
      </c>
    </row>
    <row r="79">
      <c r="A79" s="21" t="n">
        <v>63</v>
      </c>
      <c r="B79" s="22">
        <f>IF(AND($M79="",$N79=""),"",IF($M79&lt;&gt;"",INDEX(CalcDateA,$M79),INDEX(CalcDateB,$N79)))</f>
        <v/>
      </c>
      <c r="C79" s="22">
        <f>IF($M79&lt;&gt;"","خرید سبد",IF($N79&lt;&gt;"",IF(N(INDEX(CalcDepB,$N79))&gt;0,"دریافت بانکی","پرداخت بانکی"),""))</f>
        <v/>
      </c>
      <c r="D79" s="22">
        <f>IF($M79&lt;&gt;"",IF(INDEX(CalcDocA,$M79)="","—",INDEX(CalcDocA,$M79)),IF($N79&lt;&gt;"",INDEX(CalcBankB,$N79),""))</f>
        <v/>
      </c>
      <c r="E79" s="23">
        <f>IF($N79&lt;&gt;"",IF(INDEX(CalcDepB,$N79)=0,"",INDEX(CalcDepB,$N79)),"")</f>
        <v/>
      </c>
      <c r="F79" s="23">
        <f>IF($M79&lt;&gt;"",IF(INDEX(CalcQtyA,$M79)=0,"",INDEX(CalcQtyA,$M79)),"")</f>
        <v/>
      </c>
      <c r="G79" s="23">
        <f>IF($M79&lt;&gt;"",IF(INDEX(CalcPriceA,$M79)=0,"",INDEX(CalcPriceA,$M79)),"")</f>
        <v/>
      </c>
      <c r="H79" s="23">
        <f>IF($N79&lt;&gt;"",IF(INDEX(CalcWitB,$N79)=0,"",INDEX(CalcWitB,$N79)),"")</f>
        <v/>
      </c>
      <c r="I79" s="24">
        <f>IF($M79&lt;&gt;"",INDEX(CalcAmtA,$M79),"")</f>
        <v/>
      </c>
      <c r="J79" s="24">
        <f>IF($B79="","",IF($J78="",$C$8,$J78)+IF($I79="",0,$I79)+IF($E79="",0,$E79)-IF($H79="",0,$H79))</f>
        <v/>
      </c>
      <c r="K79" s="25">
        <f>IF($M79&lt;&gt;"",IF(INDEX(CalcNoteA,$M79)="","—",INDEX(CalcNoteA,$M79)),IF($N79&lt;&gt;"",IF(INDEX(CalcNoteB,$N79)="","—",INDEX(CalcNoteB,$N79)),""))</f>
        <v/>
      </c>
      <c r="M79">
        <f>IFERROR(MATCH($C$5&amp;"|"&amp;RIGHT("000000"&amp;63,6),CalcRankKeyA,0),"")</f>
        <v/>
      </c>
      <c r="N79">
        <f>IFERROR(MATCH($C$5&amp;"|"&amp;RIGHT("000000"&amp;63,6),CalcRankKeyB,0),"")</f>
        <v/>
      </c>
    </row>
    <row r="80">
      <c r="A80" s="26" t="n">
        <v>64</v>
      </c>
      <c r="B80" s="27">
        <f>IF(AND($M80="",$N80=""),"",IF($M80&lt;&gt;"",INDEX(CalcDateA,$M80),INDEX(CalcDateB,$N80)))</f>
        <v/>
      </c>
      <c r="C80" s="27">
        <f>IF($M80&lt;&gt;"","خرید سبد",IF($N80&lt;&gt;"",IF(N(INDEX(CalcDepB,$N80))&gt;0,"دریافت بانکی","پرداخت بانکی"),""))</f>
        <v/>
      </c>
      <c r="D80" s="27">
        <f>IF($M80&lt;&gt;"",IF(INDEX(CalcDocA,$M80)="","—",INDEX(CalcDocA,$M80)),IF($N80&lt;&gt;"",INDEX(CalcBankB,$N80),""))</f>
        <v/>
      </c>
      <c r="E80" s="28">
        <f>IF($N80&lt;&gt;"",IF(INDEX(CalcDepB,$N80)=0,"",INDEX(CalcDepB,$N80)),"")</f>
        <v/>
      </c>
      <c r="F80" s="28">
        <f>IF($M80&lt;&gt;"",IF(INDEX(CalcQtyA,$M80)=0,"",INDEX(CalcQtyA,$M80)),"")</f>
        <v/>
      </c>
      <c r="G80" s="28">
        <f>IF($M80&lt;&gt;"",IF(INDEX(CalcPriceA,$M80)=0,"",INDEX(CalcPriceA,$M80)),"")</f>
        <v/>
      </c>
      <c r="H80" s="28">
        <f>IF($N80&lt;&gt;"",IF(INDEX(CalcWitB,$N80)=0,"",INDEX(CalcWitB,$N80)),"")</f>
        <v/>
      </c>
      <c r="I80" s="29">
        <f>IF($M80&lt;&gt;"",INDEX(CalcAmtA,$M80),"")</f>
        <v/>
      </c>
      <c r="J80" s="29">
        <f>IF($B80="","",IF($J79="",$C$8,$J79)+IF($I80="",0,$I80)+IF($E80="",0,$E80)-IF($H80="",0,$H80))</f>
        <v/>
      </c>
      <c r="K80" s="30">
        <f>IF($M80&lt;&gt;"",IF(INDEX(CalcNoteA,$M80)="","—",INDEX(CalcNoteA,$M80)),IF($N80&lt;&gt;"",IF(INDEX(CalcNoteB,$N80)="","—",INDEX(CalcNoteB,$N80)),""))</f>
        <v/>
      </c>
      <c r="M80">
        <f>IFERROR(MATCH($C$5&amp;"|"&amp;RIGHT("000000"&amp;64,6),CalcRankKeyA,0),"")</f>
        <v/>
      </c>
      <c r="N80">
        <f>IFERROR(MATCH($C$5&amp;"|"&amp;RIGHT("000000"&amp;64,6),CalcRankKeyB,0),"")</f>
        <v/>
      </c>
    </row>
    <row r="81">
      <c r="A81" s="21" t="n">
        <v>65</v>
      </c>
      <c r="B81" s="22">
        <f>IF(AND($M81="",$N81=""),"",IF($M81&lt;&gt;"",INDEX(CalcDateA,$M81),INDEX(CalcDateB,$N81)))</f>
        <v/>
      </c>
      <c r="C81" s="22">
        <f>IF($M81&lt;&gt;"","خرید سبد",IF($N81&lt;&gt;"",IF(N(INDEX(CalcDepB,$N81))&gt;0,"دریافت بانکی","پرداخت بانکی"),""))</f>
        <v/>
      </c>
      <c r="D81" s="22">
        <f>IF($M81&lt;&gt;"",IF(INDEX(CalcDocA,$M81)="","—",INDEX(CalcDocA,$M81)),IF($N81&lt;&gt;"",INDEX(CalcBankB,$N81),""))</f>
        <v/>
      </c>
      <c r="E81" s="23">
        <f>IF($N81&lt;&gt;"",IF(INDEX(CalcDepB,$N81)=0,"",INDEX(CalcDepB,$N81)),"")</f>
        <v/>
      </c>
      <c r="F81" s="23">
        <f>IF($M81&lt;&gt;"",IF(INDEX(CalcQtyA,$M81)=0,"",INDEX(CalcQtyA,$M81)),"")</f>
        <v/>
      </c>
      <c r="G81" s="23">
        <f>IF($M81&lt;&gt;"",IF(INDEX(CalcPriceA,$M81)=0,"",INDEX(CalcPriceA,$M81)),"")</f>
        <v/>
      </c>
      <c r="H81" s="23">
        <f>IF($N81&lt;&gt;"",IF(INDEX(CalcWitB,$N81)=0,"",INDEX(CalcWitB,$N81)),"")</f>
        <v/>
      </c>
      <c r="I81" s="24">
        <f>IF($M81&lt;&gt;"",INDEX(CalcAmtA,$M81),"")</f>
        <v/>
      </c>
      <c r="J81" s="24">
        <f>IF($B81="","",IF($J80="",$C$8,$J80)+IF($I81="",0,$I81)+IF($E81="",0,$E81)-IF($H81="",0,$H81))</f>
        <v/>
      </c>
      <c r="K81" s="25">
        <f>IF($M81&lt;&gt;"",IF(INDEX(CalcNoteA,$M81)="","—",INDEX(CalcNoteA,$M81)),IF($N81&lt;&gt;"",IF(INDEX(CalcNoteB,$N81)="","—",INDEX(CalcNoteB,$N81)),""))</f>
        <v/>
      </c>
      <c r="M81">
        <f>IFERROR(MATCH($C$5&amp;"|"&amp;RIGHT("000000"&amp;65,6),CalcRankKeyA,0),"")</f>
        <v/>
      </c>
      <c r="N81">
        <f>IFERROR(MATCH($C$5&amp;"|"&amp;RIGHT("000000"&amp;65,6),CalcRankKeyB,0),"")</f>
        <v/>
      </c>
    </row>
    <row r="82">
      <c r="A82" s="26" t="n">
        <v>66</v>
      </c>
      <c r="B82" s="27">
        <f>IF(AND($M82="",$N82=""),"",IF($M82&lt;&gt;"",INDEX(CalcDateA,$M82),INDEX(CalcDateB,$N82)))</f>
        <v/>
      </c>
      <c r="C82" s="27">
        <f>IF($M82&lt;&gt;"","خرید سبد",IF($N82&lt;&gt;"",IF(N(INDEX(CalcDepB,$N82))&gt;0,"دریافت بانکی","پرداخت بانکی"),""))</f>
        <v/>
      </c>
      <c r="D82" s="27">
        <f>IF($M82&lt;&gt;"",IF(INDEX(CalcDocA,$M82)="","—",INDEX(CalcDocA,$M82)),IF($N82&lt;&gt;"",INDEX(CalcBankB,$N82),""))</f>
        <v/>
      </c>
      <c r="E82" s="28">
        <f>IF($N82&lt;&gt;"",IF(INDEX(CalcDepB,$N82)=0,"",INDEX(CalcDepB,$N82)),"")</f>
        <v/>
      </c>
      <c r="F82" s="28">
        <f>IF($M82&lt;&gt;"",IF(INDEX(CalcQtyA,$M82)=0,"",INDEX(CalcQtyA,$M82)),"")</f>
        <v/>
      </c>
      <c r="G82" s="28">
        <f>IF($M82&lt;&gt;"",IF(INDEX(CalcPriceA,$M82)=0,"",INDEX(CalcPriceA,$M82)),"")</f>
        <v/>
      </c>
      <c r="H82" s="28">
        <f>IF($N82&lt;&gt;"",IF(INDEX(CalcWitB,$N82)=0,"",INDEX(CalcWitB,$N82)),"")</f>
        <v/>
      </c>
      <c r="I82" s="29">
        <f>IF($M82&lt;&gt;"",INDEX(CalcAmtA,$M82),"")</f>
        <v/>
      </c>
      <c r="J82" s="29">
        <f>IF($B82="","",IF($J81="",$C$8,$J81)+IF($I82="",0,$I82)+IF($E82="",0,$E82)-IF($H82="",0,$H82))</f>
        <v/>
      </c>
      <c r="K82" s="30">
        <f>IF($M82&lt;&gt;"",IF(INDEX(CalcNoteA,$M82)="","—",INDEX(CalcNoteA,$M82)),IF($N82&lt;&gt;"",IF(INDEX(CalcNoteB,$N82)="","—",INDEX(CalcNoteB,$N82)),""))</f>
        <v/>
      </c>
      <c r="M82">
        <f>IFERROR(MATCH($C$5&amp;"|"&amp;RIGHT("000000"&amp;66,6),CalcRankKeyA,0),"")</f>
        <v/>
      </c>
      <c r="N82">
        <f>IFERROR(MATCH($C$5&amp;"|"&amp;RIGHT("000000"&amp;66,6),CalcRankKeyB,0),"")</f>
        <v/>
      </c>
    </row>
    <row r="83">
      <c r="A83" s="21" t="n">
        <v>67</v>
      </c>
      <c r="B83" s="22">
        <f>IF(AND($M83="",$N83=""),"",IF($M83&lt;&gt;"",INDEX(CalcDateA,$M83),INDEX(CalcDateB,$N83)))</f>
        <v/>
      </c>
      <c r="C83" s="22">
        <f>IF($M83&lt;&gt;"","خرید سبد",IF($N83&lt;&gt;"",IF(N(INDEX(CalcDepB,$N83))&gt;0,"دریافت بانکی","پرداخت بانکی"),""))</f>
        <v/>
      </c>
      <c r="D83" s="22">
        <f>IF($M83&lt;&gt;"",IF(INDEX(CalcDocA,$M83)="","—",INDEX(CalcDocA,$M83)),IF($N83&lt;&gt;"",INDEX(CalcBankB,$N83),""))</f>
        <v/>
      </c>
      <c r="E83" s="23">
        <f>IF($N83&lt;&gt;"",IF(INDEX(CalcDepB,$N83)=0,"",INDEX(CalcDepB,$N83)),"")</f>
        <v/>
      </c>
      <c r="F83" s="23">
        <f>IF($M83&lt;&gt;"",IF(INDEX(CalcQtyA,$M83)=0,"",INDEX(CalcQtyA,$M83)),"")</f>
        <v/>
      </c>
      <c r="G83" s="23">
        <f>IF($M83&lt;&gt;"",IF(INDEX(CalcPriceA,$M83)=0,"",INDEX(CalcPriceA,$M83)),"")</f>
        <v/>
      </c>
      <c r="H83" s="23">
        <f>IF($N83&lt;&gt;"",IF(INDEX(CalcWitB,$N83)=0,"",INDEX(CalcWitB,$N83)),"")</f>
        <v/>
      </c>
      <c r="I83" s="24">
        <f>IF($M83&lt;&gt;"",INDEX(CalcAmtA,$M83),"")</f>
        <v/>
      </c>
      <c r="J83" s="24">
        <f>IF($B83="","",IF($J82="",$C$8,$J82)+IF($I83="",0,$I83)+IF($E83="",0,$E83)-IF($H83="",0,$H83))</f>
        <v/>
      </c>
      <c r="K83" s="25">
        <f>IF($M83&lt;&gt;"",IF(INDEX(CalcNoteA,$M83)="","—",INDEX(CalcNoteA,$M83)),IF($N83&lt;&gt;"",IF(INDEX(CalcNoteB,$N83)="","—",INDEX(CalcNoteB,$N83)),""))</f>
        <v/>
      </c>
      <c r="M83">
        <f>IFERROR(MATCH($C$5&amp;"|"&amp;RIGHT("000000"&amp;67,6),CalcRankKeyA,0),"")</f>
        <v/>
      </c>
      <c r="N83">
        <f>IFERROR(MATCH($C$5&amp;"|"&amp;RIGHT("000000"&amp;67,6),CalcRankKeyB,0),"")</f>
        <v/>
      </c>
    </row>
    <row r="84">
      <c r="A84" s="26" t="n">
        <v>68</v>
      </c>
      <c r="B84" s="27">
        <f>IF(AND($M84="",$N84=""),"",IF($M84&lt;&gt;"",INDEX(CalcDateA,$M84),INDEX(CalcDateB,$N84)))</f>
        <v/>
      </c>
      <c r="C84" s="27">
        <f>IF($M84&lt;&gt;"","خرید سبد",IF($N84&lt;&gt;"",IF(N(INDEX(CalcDepB,$N84))&gt;0,"دریافت بانکی","پرداخت بانکی"),""))</f>
        <v/>
      </c>
      <c r="D84" s="27">
        <f>IF($M84&lt;&gt;"",IF(INDEX(CalcDocA,$M84)="","—",INDEX(CalcDocA,$M84)),IF($N84&lt;&gt;"",INDEX(CalcBankB,$N84),""))</f>
        <v/>
      </c>
      <c r="E84" s="28">
        <f>IF($N84&lt;&gt;"",IF(INDEX(CalcDepB,$N84)=0,"",INDEX(CalcDepB,$N84)),"")</f>
        <v/>
      </c>
      <c r="F84" s="28">
        <f>IF($M84&lt;&gt;"",IF(INDEX(CalcQtyA,$M84)=0,"",INDEX(CalcQtyA,$M84)),"")</f>
        <v/>
      </c>
      <c r="G84" s="28">
        <f>IF($M84&lt;&gt;"",IF(INDEX(CalcPriceA,$M84)=0,"",INDEX(CalcPriceA,$M84)),"")</f>
        <v/>
      </c>
      <c r="H84" s="28">
        <f>IF($N84&lt;&gt;"",IF(INDEX(CalcWitB,$N84)=0,"",INDEX(CalcWitB,$N84)),"")</f>
        <v/>
      </c>
      <c r="I84" s="29">
        <f>IF($M84&lt;&gt;"",INDEX(CalcAmtA,$M84),"")</f>
        <v/>
      </c>
      <c r="J84" s="29">
        <f>IF($B84="","",IF($J83="",$C$8,$J83)+IF($I84="",0,$I84)+IF($E84="",0,$E84)-IF($H84="",0,$H84))</f>
        <v/>
      </c>
      <c r="K84" s="30">
        <f>IF($M84&lt;&gt;"",IF(INDEX(CalcNoteA,$M84)="","—",INDEX(CalcNoteA,$M84)),IF($N84&lt;&gt;"",IF(INDEX(CalcNoteB,$N84)="","—",INDEX(CalcNoteB,$N84)),""))</f>
        <v/>
      </c>
      <c r="M84">
        <f>IFERROR(MATCH($C$5&amp;"|"&amp;RIGHT("000000"&amp;68,6),CalcRankKeyA,0),"")</f>
        <v/>
      </c>
      <c r="N84">
        <f>IFERROR(MATCH($C$5&amp;"|"&amp;RIGHT("000000"&amp;68,6),CalcRankKeyB,0),"")</f>
        <v/>
      </c>
    </row>
    <row r="85">
      <c r="A85" s="21" t="n">
        <v>69</v>
      </c>
      <c r="B85" s="22">
        <f>IF(AND($M85="",$N85=""),"",IF($M85&lt;&gt;"",INDEX(CalcDateA,$M85),INDEX(CalcDateB,$N85)))</f>
        <v/>
      </c>
      <c r="C85" s="22">
        <f>IF($M85&lt;&gt;"","خرید سبد",IF($N85&lt;&gt;"",IF(N(INDEX(CalcDepB,$N85))&gt;0,"دریافت بانکی","پرداخت بانکی"),""))</f>
        <v/>
      </c>
      <c r="D85" s="22">
        <f>IF($M85&lt;&gt;"",IF(INDEX(CalcDocA,$M85)="","—",INDEX(CalcDocA,$M85)),IF($N85&lt;&gt;"",INDEX(CalcBankB,$N85),""))</f>
        <v/>
      </c>
      <c r="E85" s="23">
        <f>IF($N85&lt;&gt;"",IF(INDEX(CalcDepB,$N85)=0,"",INDEX(CalcDepB,$N85)),"")</f>
        <v/>
      </c>
      <c r="F85" s="23">
        <f>IF($M85&lt;&gt;"",IF(INDEX(CalcQtyA,$M85)=0,"",INDEX(CalcQtyA,$M85)),"")</f>
        <v/>
      </c>
      <c r="G85" s="23">
        <f>IF($M85&lt;&gt;"",IF(INDEX(CalcPriceA,$M85)=0,"",INDEX(CalcPriceA,$M85)),"")</f>
        <v/>
      </c>
      <c r="H85" s="23">
        <f>IF($N85&lt;&gt;"",IF(INDEX(CalcWitB,$N85)=0,"",INDEX(CalcWitB,$N85)),"")</f>
        <v/>
      </c>
      <c r="I85" s="24">
        <f>IF($M85&lt;&gt;"",INDEX(CalcAmtA,$M85),"")</f>
        <v/>
      </c>
      <c r="J85" s="24">
        <f>IF($B85="","",IF($J84="",$C$8,$J84)+IF($I85="",0,$I85)+IF($E85="",0,$E85)-IF($H85="",0,$H85))</f>
        <v/>
      </c>
      <c r="K85" s="25">
        <f>IF($M85&lt;&gt;"",IF(INDEX(CalcNoteA,$M85)="","—",INDEX(CalcNoteA,$M85)),IF($N85&lt;&gt;"",IF(INDEX(CalcNoteB,$N85)="","—",INDEX(CalcNoteB,$N85)),""))</f>
        <v/>
      </c>
      <c r="M85">
        <f>IFERROR(MATCH($C$5&amp;"|"&amp;RIGHT("000000"&amp;69,6),CalcRankKeyA,0),"")</f>
        <v/>
      </c>
      <c r="N85">
        <f>IFERROR(MATCH($C$5&amp;"|"&amp;RIGHT("000000"&amp;69,6),CalcRankKeyB,0),"")</f>
        <v/>
      </c>
    </row>
    <row r="86">
      <c r="A86" s="26" t="n">
        <v>70</v>
      </c>
      <c r="B86" s="27">
        <f>IF(AND($M86="",$N86=""),"",IF($M86&lt;&gt;"",INDEX(CalcDateA,$M86),INDEX(CalcDateB,$N86)))</f>
        <v/>
      </c>
      <c r="C86" s="27">
        <f>IF($M86&lt;&gt;"","خرید سبد",IF($N86&lt;&gt;"",IF(N(INDEX(CalcDepB,$N86))&gt;0,"دریافت بانکی","پرداخت بانکی"),""))</f>
        <v/>
      </c>
      <c r="D86" s="27">
        <f>IF($M86&lt;&gt;"",IF(INDEX(CalcDocA,$M86)="","—",INDEX(CalcDocA,$M86)),IF($N86&lt;&gt;"",INDEX(CalcBankB,$N86),""))</f>
        <v/>
      </c>
      <c r="E86" s="28">
        <f>IF($N86&lt;&gt;"",IF(INDEX(CalcDepB,$N86)=0,"",INDEX(CalcDepB,$N86)),"")</f>
        <v/>
      </c>
      <c r="F86" s="28">
        <f>IF($M86&lt;&gt;"",IF(INDEX(CalcQtyA,$M86)=0,"",INDEX(CalcQtyA,$M86)),"")</f>
        <v/>
      </c>
      <c r="G86" s="28">
        <f>IF($M86&lt;&gt;"",IF(INDEX(CalcPriceA,$M86)=0,"",INDEX(CalcPriceA,$M86)),"")</f>
        <v/>
      </c>
      <c r="H86" s="28">
        <f>IF($N86&lt;&gt;"",IF(INDEX(CalcWitB,$N86)=0,"",INDEX(CalcWitB,$N86)),"")</f>
        <v/>
      </c>
      <c r="I86" s="29">
        <f>IF($M86&lt;&gt;"",INDEX(CalcAmtA,$M86),"")</f>
        <v/>
      </c>
      <c r="J86" s="29">
        <f>IF($B86="","",IF($J85="",$C$8,$J85)+IF($I86="",0,$I86)+IF($E86="",0,$E86)-IF($H86="",0,$H86))</f>
        <v/>
      </c>
      <c r="K86" s="30">
        <f>IF($M86&lt;&gt;"",IF(INDEX(CalcNoteA,$M86)="","—",INDEX(CalcNoteA,$M86)),IF($N86&lt;&gt;"",IF(INDEX(CalcNoteB,$N86)="","—",INDEX(CalcNoteB,$N86)),""))</f>
        <v/>
      </c>
      <c r="M86">
        <f>IFERROR(MATCH($C$5&amp;"|"&amp;RIGHT("000000"&amp;70,6),CalcRankKeyA,0),"")</f>
        <v/>
      </c>
      <c r="N86">
        <f>IFERROR(MATCH($C$5&amp;"|"&amp;RIGHT("000000"&amp;70,6),CalcRankKeyB,0),"")</f>
        <v/>
      </c>
    </row>
    <row r="87">
      <c r="A87" s="21" t="n">
        <v>71</v>
      </c>
      <c r="B87" s="22">
        <f>IF(AND($M87="",$N87=""),"",IF($M87&lt;&gt;"",INDEX(CalcDateA,$M87),INDEX(CalcDateB,$N87)))</f>
        <v/>
      </c>
      <c r="C87" s="22">
        <f>IF($M87&lt;&gt;"","خرید سبد",IF($N87&lt;&gt;"",IF(N(INDEX(CalcDepB,$N87))&gt;0,"دریافت بانکی","پرداخت بانکی"),""))</f>
        <v/>
      </c>
      <c r="D87" s="22">
        <f>IF($M87&lt;&gt;"",IF(INDEX(CalcDocA,$M87)="","—",INDEX(CalcDocA,$M87)),IF($N87&lt;&gt;"",INDEX(CalcBankB,$N87),""))</f>
        <v/>
      </c>
      <c r="E87" s="23">
        <f>IF($N87&lt;&gt;"",IF(INDEX(CalcDepB,$N87)=0,"",INDEX(CalcDepB,$N87)),"")</f>
        <v/>
      </c>
      <c r="F87" s="23">
        <f>IF($M87&lt;&gt;"",IF(INDEX(CalcQtyA,$M87)=0,"",INDEX(CalcQtyA,$M87)),"")</f>
        <v/>
      </c>
      <c r="G87" s="23">
        <f>IF($M87&lt;&gt;"",IF(INDEX(CalcPriceA,$M87)=0,"",INDEX(CalcPriceA,$M87)),"")</f>
        <v/>
      </c>
      <c r="H87" s="23">
        <f>IF($N87&lt;&gt;"",IF(INDEX(CalcWitB,$N87)=0,"",INDEX(CalcWitB,$N87)),"")</f>
        <v/>
      </c>
      <c r="I87" s="24">
        <f>IF($M87&lt;&gt;"",INDEX(CalcAmtA,$M87),"")</f>
        <v/>
      </c>
      <c r="J87" s="24">
        <f>IF($B87="","",IF($J86="",$C$8,$J86)+IF($I87="",0,$I87)+IF($E87="",0,$E87)-IF($H87="",0,$H87))</f>
        <v/>
      </c>
      <c r="K87" s="25">
        <f>IF($M87&lt;&gt;"",IF(INDEX(CalcNoteA,$M87)="","—",INDEX(CalcNoteA,$M87)),IF($N87&lt;&gt;"",IF(INDEX(CalcNoteB,$N87)="","—",INDEX(CalcNoteB,$N87)),""))</f>
        <v/>
      </c>
      <c r="M87">
        <f>IFERROR(MATCH($C$5&amp;"|"&amp;RIGHT("000000"&amp;71,6),CalcRankKeyA,0),"")</f>
        <v/>
      </c>
      <c r="N87">
        <f>IFERROR(MATCH($C$5&amp;"|"&amp;RIGHT("000000"&amp;71,6),CalcRankKeyB,0),"")</f>
        <v/>
      </c>
    </row>
    <row r="88">
      <c r="A88" s="26" t="n">
        <v>72</v>
      </c>
      <c r="B88" s="27">
        <f>IF(AND($M88="",$N88=""),"",IF($M88&lt;&gt;"",INDEX(CalcDateA,$M88),INDEX(CalcDateB,$N88)))</f>
        <v/>
      </c>
      <c r="C88" s="27">
        <f>IF($M88&lt;&gt;"","خرید سبد",IF($N88&lt;&gt;"",IF(N(INDEX(CalcDepB,$N88))&gt;0,"دریافت بانکی","پرداخت بانکی"),""))</f>
        <v/>
      </c>
      <c r="D88" s="27">
        <f>IF($M88&lt;&gt;"",IF(INDEX(CalcDocA,$M88)="","—",INDEX(CalcDocA,$M88)),IF($N88&lt;&gt;"",INDEX(CalcBankB,$N88),""))</f>
        <v/>
      </c>
      <c r="E88" s="28">
        <f>IF($N88&lt;&gt;"",IF(INDEX(CalcDepB,$N88)=0,"",INDEX(CalcDepB,$N88)),"")</f>
        <v/>
      </c>
      <c r="F88" s="28">
        <f>IF($M88&lt;&gt;"",IF(INDEX(CalcQtyA,$M88)=0,"",INDEX(CalcQtyA,$M88)),"")</f>
        <v/>
      </c>
      <c r="G88" s="28">
        <f>IF($M88&lt;&gt;"",IF(INDEX(CalcPriceA,$M88)=0,"",INDEX(CalcPriceA,$M88)),"")</f>
        <v/>
      </c>
      <c r="H88" s="28">
        <f>IF($N88&lt;&gt;"",IF(INDEX(CalcWitB,$N88)=0,"",INDEX(CalcWitB,$N88)),"")</f>
        <v/>
      </c>
      <c r="I88" s="29">
        <f>IF($M88&lt;&gt;"",INDEX(CalcAmtA,$M88),"")</f>
        <v/>
      </c>
      <c r="J88" s="29">
        <f>IF($B88="","",IF($J87="",$C$8,$J87)+IF($I88="",0,$I88)+IF($E88="",0,$E88)-IF($H88="",0,$H88))</f>
        <v/>
      </c>
      <c r="K88" s="30">
        <f>IF($M88&lt;&gt;"",IF(INDEX(CalcNoteA,$M88)="","—",INDEX(CalcNoteA,$M88)),IF($N88&lt;&gt;"",IF(INDEX(CalcNoteB,$N88)="","—",INDEX(CalcNoteB,$N88)),""))</f>
        <v/>
      </c>
      <c r="M88">
        <f>IFERROR(MATCH($C$5&amp;"|"&amp;RIGHT("000000"&amp;72,6),CalcRankKeyA,0),"")</f>
        <v/>
      </c>
      <c r="N88">
        <f>IFERROR(MATCH($C$5&amp;"|"&amp;RIGHT("000000"&amp;72,6),CalcRankKeyB,0),"")</f>
        <v/>
      </c>
    </row>
    <row r="89">
      <c r="A89" s="21" t="n">
        <v>73</v>
      </c>
      <c r="B89" s="22">
        <f>IF(AND($M89="",$N89=""),"",IF($M89&lt;&gt;"",INDEX(CalcDateA,$M89),INDEX(CalcDateB,$N89)))</f>
        <v/>
      </c>
      <c r="C89" s="22">
        <f>IF($M89&lt;&gt;"","خرید سبد",IF($N89&lt;&gt;"",IF(N(INDEX(CalcDepB,$N89))&gt;0,"دریافت بانکی","پرداخت بانکی"),""))</f>
        <v/>
      </c>
      <c r="D89" s="22">
        <f>IF($M89&lt;&gt;"",IF(INDEX(CalcDocA,$M89)="","—",INDEX(CalcDocA,$M89)),IF($N89&lt;&gt;"",INDEX(CalcBankB,$N89),""))</f>
        <v/>
      </c>
      <c r="E89" s="23">
        <f>IF($N89&lt;&gt;"",IF(INDEX(CalcDepB,$N89)=0,"",INDEX(CalcDepB,$N89)),"")</f>
        <v/>
      </c>
      <c r="F89" s="23">
        <f>IF($M89&lt;&gt;"",IF(INDEX(CalcQtyA,$M89)=0,"",INDEX(CalcQtyA,$M89)),"")</f>
        <v/>
      </c>
      <c r="G89" s="23">
        <f>IF($M89&lt;&gt;"",IF(INDEX(CalcPriceA,$M89)=0,"",INDEX(CalcPriceA,$M89)),"")</f>
        <v/>
      </c>
      <c r="H89" s="23">
        <f>IF($N89&lt;&gt;"",IF(INDEX(CalcWitB,$N89)=0,"",INDEX(CalcWitB,$N89)),"")</f>
        <v/>
      </c>
      <c r="I89" s="24">
        <f>IF($M89&lt;&gt;"",INDEX(CalcAmtA,$M89),"")</f>
        <v/>
      </c>
      <c r="J89" s="24">
        <f>IF($B89="","",IF($J88="",$C$8,$J88)+IF($I89="",0,$I89)+IF($E89="",0,$E89)-IF($H89="",0,$H89))</f>
        <v/>
      </c>
      <c r="K89" s="25">
        <f>IF($M89&lt;&gt;"",IF(INDEX(CalcNoteA,$M89)="","—",INDEX(CalcNoteA,$M89)),IF($N89&lt;&gt;"",IF(INDEX(CalcNoteB,$N89)="","—",INDEX(CalcNoteB,$N89)),""))</f>
        <v/>
      </c>
      <c r="M89">
        <f>IFERROR(MATCH($C$5&amp;"|"&amp;RIGHT("000000"&amp;73,6),CalcRankKeyA,0),"")</f>
        <v/>
      </c>
      <c r="N89">
        <f>IFERROR(MATCH($C$5&amp;"|"&amp;RIGHT("000000"&amp;73,6),CalcRankKeyB,0),"")</f>
        <v/>
      </c>
    </row>
    <row r="90">
      <c r="A90" s="26" t="n">
        <v>74</v>
      </c>
      <c r="B90" s="27">
        <f>IF(AND($M90="",$N90=""),"",IF($M90&lt;&gt;"",INDEX(CalcDateA,$M90),INDEX(CalcDateB,$N90)))</f>
        <v/>
      </c>
      <c r="C90" s="27">
        <f>IF($M90&lt;&gt;"","خرید سبد",IF($N90&lt;&gt;"",IF(N(INDEX(CalcDepB,$N90))&gt;0,"دریافت بانکی","پرداخت بانکی"),""))</f>
        <v/>
      </c>
      <c r="D90" s="27">
        <f>IF($M90&lt;&gt;"",IF(INDEX(CalcDocA,$M90)="","—",INDEX(CalcDocA,$M90)),IF($N90&lt;&gt;"",INDEX(CalcBankB,$N90),""))</f>
        <v/>
      </c>
      <c r="E90" s="28">
        <f>IF($N90&lt;&gt;"",IF(INDEX(CalcDepB,$N90)=0,"",INDEX(CalcDepB,$N90)),"")</f>
        <v/>
      </c>
      <c r="F90" s="28">
        <f>IF($M90&lt;&gt;"",IF(INDEX(CalcQtyA,$M90)=0,"",INDEX(CalcQtyA,$M90)),"")</f>
        <v/>
      </c>
      <c r="G90" s="28">
        <f>IF($M90&lt;&gt;"",IF(INDEX(CalcPriceA,$M90)=0,"",INDEX(CalcPriceA,$M90)),"")</f>
        <v/>
      </c>
      <c r="H90" s="28">
        <f>IF($N90&lt;&gt;"",IF(INDEX(CalcWitB,$N90)=0,"",INDEX(CalcWitB,$N90)),"")</f>
        <v/>
      </c>
      <c r="I90" s="29">
        <f>IF($M90&lt;&gt;"",INDEX(CalcAmtA,$M90),"")</f>
        <v/>
      </c>
      <c r="J90" s="29">
        <f>IF($B90="","",IF($J89="",$C$8,$J89)+IF($I90="",0,$I90)+IF($E90="",0,$E90)-IF($H90="",0,$H90))</f>
        <v/>
      </c>
      <c r="K90" s="30">
        <f>IF($M90&lt;&gt;"",IF(INDEX(CalcNoteA,$M90)="","—",INDEX(CalcNoteA,$M90)),IF($N90&lt;&gt;"",IF(INDEX(CalcNoteB,$N90)="","—",INDEX(CalcNoteB,$N90)),""))</f>
        <v/>
      </c>
      <c r="M90">
        <f>IFERROR(MATCH($C$5&amp;"|"&amp;RIGHT("000000"&amp;74,6),CalcRankKeyA,0),"")</f>
        <v/>
      </c>
      <c r="N90">
        <f>IFERROR(MATCH($C$5&amp;"|"&amp;RIGHT("000000"&amp;74,6),CalcRankKeyB,0),"")</f>
        <v/>
      </c>
    </row>
    <row r="91">
      <c r="A91" s="21" t="n">
        <v>75</v>
      </c>
      <c r="B91" s="22">
        <f>IF(AND($M91="",$N91=""),"",IF($M91&lt;&gt;"",INDEX(CalcDateA,$M91),INDEX(CalcDateB,$N91)))</f>
        <v/>
      </c>
      <c r="C91" s="22">
        <f>IF($M91&lt;&gt;"","خرید سبد",IF($N91&lt;&gt;"",IF(N(INDEX(CalcDepB,$N91))&gt;0,"دریافت بانکی","پرداخت بانکی"),""))</f>
        <v/>
      </c>
      <c r="D91" s="22">
        <f>IF($M91&lt;&gt;"",IF(INDEX(CalcDocA,$M91)="","—",INDEX(CalcDocA,$M91)),IF($N91&lt;&gt;"",INDEX(CalcBankB,$N91),""))</f>
        <v/>
      </c>
      <c r="E91" s="23">
        <f>IF($N91&lt;&gt;"",IF(INDEX(CalcDepB,$N91)=0,"",INDEX(CalcDepB,$N91)),"")</f>
        <v/>
      </c>
      <c r="F91" s="23">
        <f>IF($M91&lt;&gt;"",IF(INDEX(CalcQtyA,$M91)=0,"",INDEX(CalcQtyA,$M91)),"")</f>
        <v/>
      </c>
      <c r="G91" s="23">
        <f>IF($M91&lt;&gt;"",IF(INDEX(CalcPriceA,$M91)=0,"",INDEX(CalcPriceA,$M91)),"")</f>
        <v/>
      </c>
      <c r="H91" s="23">
        <f>IF($N91&lt;&gt;"",IF(INDEX(CalcWitB,$N91)=0,"",INDEX(CalcWitB,$N91)),"")</f>
        <v/>
      </c>
      <c r="I91" s="24">
        <f>IF($M91&lt;&gt;"",INDEX(CalcAmtA,$M91),"")</f>
        <v/>
      </c>
      <c r="J91" s="24">
        <f>IF($B91="","",IF($J90="",$C$8,$J90)+IF($I91="",0,$I91)+IF($E91="",0,$E91)-IF($H91="",0,$H91))</f>
        <v/>
      </c>
      <c r="K91" s="25">
        <f>IF($M91&lt;&gt;"",IF(INDEX(CalcNoteA,$M91)="","—",INDEX(CalcNoteA,$M91)),IF($N91&lt;&gt;"",IF(INDEX(CalcNoteB,$N91)="","—",INDEX(CalcNoteB,$N91)),""))</f>
        <v/>
      </c>
      <c r="M91">
        <f>IFERROR(MATCH($C$5&amp;"|"&amp;RIGHT("000000"&amp;75,6),CalcRankKeyA,0),"")</f>
        <v/>
      </c>
      <c r="N91">
        <f>IFERROR(MATCH($C$5&amp;"|"&amp;RIGHT("000000"&amp;75,6),CalcRankKeyB,0),"")</f>
        <v/>
      </c>
    </row>
    <row r="92">
      <c r="A92" s="26" t="n">
        <v>76</v>
      </c>
      <c r="B92" s="27">
        <f>IF(AND($M92="",$N92=""),"",IF($M92&lt;&gt;"",INDEX(CalcDateA,$M92),INDEX(CalcDateB,$N92)))</f>
        <v/>
      </c>
      <c r="C92" s="27">
        <f>IF($M92&lt;&gt;"","خرید سبد",IF($N92&lt;&gt;"",IF(N(INDEX(CalcDepB,$N92))&gt;0,"دریافت بانکی","پرداخت بانکی"),""))</f>
        <v/>
      </c>
      <c r="D92" s="27">
        <f>IF($M92&lt;&gt;"",IF(INDEX(CalcDocA,$M92)="","—",INDEX(CalcDocA,$M92)),IF($N92&lt;&gt;"",INDEX(CalcBankB,$N92),""))</f>
        <v/>
      </c>
      <c r="E92" s="28">
        <f>IF($N92&lt;&gt;"",IF(INDEX(CalcDepB,$N92)=0,"",INDEX(CalcDepB,$N92)),"")</f>
        <v/>
      </c>
      <c r="F92" s="28">
        <f>IF($M92&lt;&gt;"",IF(INDEX(CalcQtyA,$M92)=0,"",INDEX(CalcQtyA,$M92)),"")</f>
        <v/>
      </c>
      <c r="G92" s="28">
        <f>IF($M92&lt;&gt;"",IF(INDEX(CalcPriceA,$M92)=0,"",INDEX(CalcPriceA,$M92)),"")</f>
        <v/>
      </c>
      <c r="H92" s="28">
        <f>IF($N92&lt;&gt;"",IF(INDEX(CalcWitB,$N92)=0,"",INDEX(CalcWitB,$N92)),"")</f>
        <v/>
      </c>
      <c r="I92" s="29">
        <f>IF($M92&lt;&gt;"",INDEX(CalcAmtA,$M92),"")</f>
        <v/>
      </c>
      <c r="J92" s="29">
        <f>IF($B92="","",IF($J91="",$C$8,$J91)+IF($I92="",0,$I92)+IF($E92="",0,$E92)-IF($H92="",0,$H92))</f>
        <v/>
      </c>
      <c r="K92" s="30">
        <f>IF($M92&lt;&gt;"",IF(INDEX(CalcNoteA,$M92)="","—",INDEX(CalcNoteA,$M92)),IF($N92&lt;&gt;"",IF(INDEX(CalcNoteB,$N92)="","—",INDEX(CalcNoteB,$N92)),""))</f>
        <v/>
      </c>
      <c r="M92">
        <f>IFERROR(MATCH($C$5&amp;"|"&amp;RIGHT("000000"&amp;76,6),CalcRankKeyA,0),"")</f>
        <v/>
      </c>
      <c r="N92">
        <f>IFERROR(MATCH($C$5&amp;"|"&amp;RIGHT("000000"&amp;76,6),CalcRankKeyB,0),"")</f>
        <v/>
      </c>
    </row>
    <row r="93">
      <c r="A93" s="21" t="n">
        <v>77</v>
      </c>
      <c r="B93" s="22">
        <f>IF(AND($M93="",$N93=""),"",IF($M93&lt;&gt;"",INDEX(CalcDateA,$M93),INDEX(CalcDateB,$N93)))</f>
        <v/>
      </c>
      <c r="C93" s="22">
        <f>IF($M93&lt;&gt;"","خرید سبد",IF($N93&lt;&gt;"",IF(N(INDEX(CalcDepB,$N93))&gt;0,"دریافت بانکی","پرداخت بانکی"),""))</f>
        <v/>
      </c>
      <c r="D93" s="22">
        <f>IF($M93&lt;&gt;"",IF(INDEX(CalcDocA,$M93)="","—",INDEX(CalcDocA,$M93)),IF($N93&lt;&gt;"",INDEX(CalcBankB,$N93),""))</f>
        <v/>
      </c>
      <c r="E93" s="23">
        <f>IF($N93&lt;&gt;"",IF(INDEX(CalcDepB,$N93)=0,"",INDEX(CalcDepB,$N93)),"")</f>
        <v/>
      </c>
      <c r="F93" s="23">
        <f>IF($M93&lt;&gt;"",IF(INDEX(CalcQtyA,$M93)=0,"",INDEX(CalcQtyA,$M93)),"")</f>
        <v/>
      </c>
      <c r="G93" s="23">
        <f>IF($M93&lt;&gt;"",IF(INDEX(CalcPriceA,$M93)=0,"",INDEX(CalcPriceA,$M93)),"")</f>
        <v/>
      </c>
      <c r="H93" s="23">
        <f>IF($N93&lt;&gt;"",IF(INDEX(CalcWitB,$N93)=0,"",INDEX(CalcWitB,$N93)),"")</f>
        <v/>
      </c>
      <c r="I93" s="24">
        <f>IF($M93&lt;&gt;"",INDEX(CalcAmtA,$M93),"")</f>
        <v/>
      </c>
      <c r="J93" s="24">
        <f>IF($B93="","",IF($J92="",$C$8,$J92)+IF($I93="",0,$I93)+IF($E93="",0,$E93)-IF($H93="",0,$H93))</f>
        <v/>
      </c>
      <c r="K93" s="25">
        <f>IF($M93&lt;&gt;"",IF(INDEX(CalcNoteA,$M93)="","—",INDEX(CalcNoteA,$M93)),IF($N93&lt;&gt;"",IF(INDEX(CalcNoteB,$N93)="","—",INDEX(CalcNoteB,$N93)),""))</f>
        <v/>
      </c>
      <c r="M93">
        <f>IFERROR(MATCH($C$5&amp;"|"&amp;RIGHT("000000"&amp;77,6),CalcRankKeyA,0),"")</f>
        <v/>
      </c>
      <c r="N93">
        <f>IFERROR(MATCH($C$5&amp;"|"&amp;RIGHT("000000"&amp;77,6),CalcRankKeyB,0),"")</f>
        <v/>
      </c>
    </row>
    <row r="94">
      <c r="A94" s="26" t="n">
        <v>78</v>
      </c>
      <c r="B94" s="27">
        <f>IF(AND($M94="",$N94=""),"",IF($M94&lt;&gt;"",INDEX(CalcDateA,$M94),INDEX(CalcDateB,$N94)))</f>
        <v/>
      </c>
      <c r="C94" s="27">
        <f>IF($M94&lt;&gt;"","خرید سبد",IF($N94&lt;&gt;"",IF(N(INDEX(CalcDepB,$N94))&gt;0,"دریافت بانکی","پرداخت بانکی"),""))</f>
        <v/>
      </c>
      <c r="D94" s="27">
        <f>IF($M94&lt;&gt;"",IF(INDEX(CalcDocA,$M94)="","—",INDEX(CalcDocA,$M94)),IF($N94&lt;&gt;"",INDEX(CalcBankB,$N94),""))</f>
        <v/>
      </c>
      <c r="E94" s="28">
        <f>IF($N94&lt;&gt;"",IF(INDEX(CalcDepB,$N94)=0,"",INDEX(CalcDepB,$N94)),"")</f>
        <v/>
      </c>
      <c r="F94" s="28">
        <f>IF($M94&lt;&gt;"",IF(INDEX(CalcQtyA,$M94)=0,"",INDEX(CalcQtyA,$M94)),"")</f>
        <v/>
      </c>
      <c r="G94" s="28">
        <f>IF($M94&lt;&gt;"",IF(INDEX(CalcPriceA,$M94)=0,"",INDEX(CalcPriceA,$M94)),"")</f>
        <v/>
      </c>
      <c r="H94" s="28">
        <f>IF($N94&lt;&gt;"",IF(INDEX(CalcWitB,$N94)=0,"",INDEX(CalcWitB,$N94)),"")</f>
        <v/>
      </c>
      <c r="I94" s="29">
        <f>IF($M94&lt;&gt;"",INDEX(CalcAmtA,$M94),"")</f>
        <v/>
      </c>
      <c r="J94" s="29">
        <f>IF($B94="","",IF($J93="",$C$8,$J93)+IF($I94="",0,$I94)+IF($E94="",0,$E94)-IF($H94="",0,$H94))</f>
        <v/>
      </c>
      <c r="K94" s="30">
        <f>IF($M94&lt;&gt;"",IF(INDEX(CalcNoteA,$M94)="","—",INDEX(CalcNoteA,$M94)),IF($N94&lt;&gt;"",IF(INDEX(CalcNoteB,$N94)="","—",INDEX(CalcNoteB,$N94)),""))</f>
        <v/>
      </c>
      <c r="M94">
        <f>IFERROR(MATCH($C$5&amp;"|"&amp;RIGHT("000000"&amp;78,6),CalcRankKeyA,0),"")</f>
        <v/>
      </c>
      <c r="N94">
        <f>IFERROR(MATCH($C$5&amp;"|"&amp;RIGHT("000000"&amp;78,6),CalcRankKeyB,0),"")</f>
        <v/>
      </c>
    </row>
    <row r="95">
      <c r="A95" s="21" t="n">
        <v>79</v>
      </c>
      <c r="B95" s="22">
        <f>IF(AND($M95="",$N95=""),"",IF($M95&lt;&gt;"",INDEX(CalcDateA,$M95),INDEX(CalcDateB,$N95)))</f>
        <v/>
      </c>
      <c r="C95" s="22">
        <f>IF($M95&lt;&gt;"","خرید سبد",IF($N95&lt;&gt;"",IF(N(INDEX(CalcDepB,$N95))&gt;0,"دریافت بانکی","پرداخت بانکی"),""))</f>
        <v/>
      </c>
      <c r="D95" s="22">
        <f>IF($M95&lt;&gt;"",IF(INDEX(CalcDocA,$M95)="","—",INDEX(CalcDocA,$M95)),IF($N95&lt;&gt;"",INDEX(CalcBankB,$N95),""))</f>
        <v/>
      </c>
      <c r="E95" s="23">
        <f>IF($N95&lt;&gt;"",IF(INDEX(CalcDepB,$N95)=0,"",INDEX(CalcDepB,$N95)),"")</f>
        <v/>
      </c>
      <c r="F95" s="23">
        <f>IF($M95&lt;&gt;"",IF(INDEX(CalcQtyA,$M95)=0,"",INDEX(CalcQtyA,$M95)),"")</f>
        <v/>
      </c>
      <c r="G95" s="23">
        <f>IF($M95&lt;&gt;"",IF(INDEX(CalcPriceA,$M95)=0,"",INDEX(CalcPriceA,$M95)),"")</f>
        <v/>
      </c>
      <c r="H95" s="23">
        <f>IF($N95&lt;&gt;"",IF(INDEX(CalcWitB,$N95)=0,"",INDEX(CalcWitB,$N95)),"")</f>
        <v/>
      </c>
      <c r="I95" s="24">
        <f>IF($M95&lt;&gt;"",INDEX(CalcAmtA,$M95),"")</f>
        <v/>
      </c>
      <c r="J95" s="24">
        <f>IF($B95="","",IF($J94="",$C$8,$J94)+IF($I95="",0,$I95)+IF($E95="",0,$E95)-IF($H95="",0,$H95))</f>
        <v/>
      </c>
      <c r="K95" s="25">
        <f>IF($M95&lt;&gt;"",IF(INDEX(CalcNoteA,$M95)="","—",INDEX(CalcNoteA,$M95)),IF($N95&lt;&gt;"",IF(INDEX(CalcNoteB,$N95)="","—",INDEX(CalcNoteB,$N95)),""))</f>
        <v/>
      </c>
      <c r="M95">
        <f>IFERROR(MATCH($C$5&amp;"|"&amp;RIGHT("000000"&amp;79,6),CalcRankKeyA,0),"")</f>
        <v/>
      </c>
      <c r="N95">
        <f>IFERROR(MATCH($C$5&amp;"|"&amp;RIGHT("000000"&amp;79,6),CalcRankKeyB,0),"")</f>
        <v/>
      </c>
    </row>
    <row r="96">
      <c r="A96" s="26" t="n">
        <v>80</v>
      </c>
      <c r="B96" s="27">
        <f>IF(AND($M96="",$N96=""),"",IF($M96&lt;&gt;"",INDEX(CalcDateA,$M96),INDEX(CalcDateB,$N96)))</f>
        <v/>
      </c>
      <c r="C96" s="27">
        <f>IF($M96&lt;&gt;"","خرید سبد",IF($N96&lt;&gt;"",IF(N(INDEX(CalcDepB,$N96))&gt;0,"دریافت بانکی","پرداخت بانکی"),""))</f>
        <v/>
      </c>
      <c r="D96" s="27">
        <f>IF($M96&lt;&gt;"",IF(INDEX(CalcDocA,$M96)="","—",INDEX(CalcDocA,$M96)),IF($N96&lt;&gt;"",INDEX(CalcBankB,$N96),""))</f>
        <v/>
      </c>
      <c r="E96" s="28">
        <f>IF($N96&lt;&gt;"",IF(INDEX(CalcDepB,$N96)=0,"",INDEX(CalcDepB,$N96)),"")</f>
        <v/>
      </c>
      <c r="F96" s="28">
        <f>IF($M96&lt;&gt;"",IF(INDEX(CalcQtyA,$M96)=0,"",INDEX(CalcQtyA,$M96)),"")</f>
        <v/>
      </c>
      <c r="G96" s="28">
        <f>IF($M96&lt;&gt;"",IF(INDEX(CalcPriceA,$M96)=0,"",INDEX(CalcPriceA,$M96)),"")</f>
        <v/>
      </c>
      <c r="H96" s="28">
        <f>IF($N96&lt;&gt;"",IF(INDEX(CalcWitB,$N96)=0,"",INDEX(CalcWitB,$N96)),"")</f>
        <v/>
      </c>
      <c r="I96" s="29">
        <f>IF($M96&lt;&gt;"",INDEX(CalcAmtA,$M96),"")</f>
        <v/>
      </c>
      <c r="J96" s="29">
        <f>IF($B96="","",IF($J95="",$C$8,$J95)+IF($I96="",0,$I96)+IF($E96="",0,$E96)-IF($H96="",0,$H96))</f>
        <v/>
      </c>
      <c r="K96" s="30">
        <f>IF($M96&lt;&gt;"",IF(INDEX(CalcNoteA,$M96)="","—",INDEX(CalcNoteA,$M96)),IF($N96&lt;&gt;"",IF(INDEX(CalcNoteB,$N96)="","—",INDEX(CalcNoteB,$N96)),""))</f>
        <v/>
      </c>
      <c r="M96">
        <f>IFERROR(MATCH($C$5&amp;"|"&amp;RIGHT("000000"&amp;80,6),CalcRankKeyA,0),"")</f>
        <v/>
      </c>
      <c r="N96">
        <f>IFERROR(MATCH($C$5&amp;"|"&amp;RIGHT("000000"&amp;80,6),CalcRankKeyB,0),"")</f>
        <v/>
      </c>
    </row>
    <row r="97">
      <c r="A97" s="21" t="n">
        <v>81</v>
      </c>
      <c r="B97" s="22">
        <f>IF(AND($M97="",$N97=""),"",IF($M97&lt;&gt;"",INDEX(CalcDateA,$M97),INDEX(CalcDateB,$N97)))</f>
        <v/>
      </c>
      <c r="C97" s="22">
        <f>IF($M97&lt;&gt;"","خرید سبد",IF($N97&lt;&gt;"",IF(N(INDEX(CalcDepB,$N97))&gt;0,"دریافت بانکی","پرداخت بانکی"),""))</f>
        <v/>
      </c>
      <c r="D97" s="22">
        <f>IF($M97&lt;&gt;"",IF(INDEX(CalcDocA,$M97)="","—",INDEX(CalcDocA,$M97)),IF($N97&lt;&gt;"",INDEX(CalcBankB,$N97),""))</f>
        <v/>
      </c>
      <c r="E97" s="23">
        <f>IF($N97&lt;&gt;"",IF(INDEX(CalcDepB,$N97)=0,"",INDEX(CalcDepB,$N97)),"")</f>
        <v/>
      </c>
      <c r="F97" s="23">
        <f>IF($M97&lt;&gt;"",IF(INDEX(CalcQtyA,$M97)=0,"",INDEX(CalcQtyA,$M97)),"")</f>
        <v/>
      </c>
      <c r="G97" s="23">
        <f>IF($M97&lt;&gt;"",IF(INDEX(CalcPriceA,$M97)=0,"",INDEX(CalcPriceA,$M97)),"")</f>
        <v/>
      </c>
      <c r="H97" s="23">
        <f>IF($N97&lt;&gt;"",IF(INDEX(CalcWitB,$N97)=0,"",INDEX(CalcWitB,$N97)),"")</f>
        <v/>
      </c>
      <c r="I97" s="24">
        <f>IF($M97&lt;&gt;"",INDEX(CalcAmtA,$M97),"")</f>
        <v/>
      </c>
      <c r="J97" s="24">
        <f>IF($B97="","",IF($J96="",$C$8,$J96)+IF($I97="",0,$I97)+IF($E97="",0,$E97)-IF($H97="",0,$H97))</f>
        <v/>
      </c>
      <c r="K97" s="25">
        <f>IF($M97&lt;&gt;"",IF(INDEX(CalcNoteA,$M97)="","—",INDEX(CalcNoteA,$M97)),IF($N97&lt;&gt;"",IF(INDEX(CalcNoteB,$N97)="","—",INDEX(CalcNoteB,$N97)),""))</f>
        <v/>
      </c>
      <c r="M97">
        <f>IFERROR(MATCH($C$5&amp;"|"&amp;RIGHT("000000"&amp;81,6),CalcRankKeyA,0),"")</f>
        <v/>
      </c>
      <c r="N97">
        <f>IFERROR(MATCH($C$5&amp;"|"&amp;RIGHT("000000"&amp;81,6),CalcRankKeyB,0),"")</f>
        <v/>
      </c>
    </row>
    <row r="98">
      <c r="A98" s="26" t="n">
        <v>82</v>
      </c>
      <c r="B98" s="27">
        <f>IF(AND($M98="",$N98=""),"",IF($M98&lt;&gt;"",INDEX(CalcDateA,$M98),INDEX(CalcDateB,$N98)))</f>
        <v/>
      </c>
      <c r="C98" s="27">
        <f>IF($M98&lt;&gt;"","خرید سبد",IF($N98&lt;&gt;"",IF(N(INDEX(CalcDepB,$N98))&gt;0,"دریافت بانکی","پرداخت بانکی"),""))</f>
        <v/>
      </c>
      <c r="D98" s="27">
        <f>IF($M98&lt;&gt;"",IF(INDEX(CalcDocA,$M98)="","—",INDEX(CalcDocA,$M98)),IF($N98&lt;&gt;"",INDEX(CalcBankB,$N98),""))</f>
        <v/>
      </c>
      <c r="E98" s="28">
        <f>IF($N98&lt;&gt;"",IF(INDEX(CalcDepB,$N98)=0,"",INDEX(CalcDepB,$N98)),"")</f>
        <v/>
      </c>
      <c r="F98" s="28">
        <f>IF($M98&lt;&gt;"",IF(INDEX(CalcQtyA,$M98)=0,"",INDEX(CalcQtyA,$M98)),"")</f>
        <v/>
      </c>
      <c r="G98" s="28">
        <f>IF($M98&lt;&gt;"",IF(INDEX(CalcPriceA,$M98)=0,"",INDEX(CalcPriceA,$M98)),"")</f>
        <v/>
      </c>
      <c r="H98" s="28">
        <f>IF($N98&lt;&gt;"",IF(INDEX(CalcWitB,$N98)=0,"",INDEX(CalcWitB,$N98)),"")</f>
        <v/>
      </c>
      <c r="I98" s="29">
        <f>IF($M98&lt;&gt;"",INDEX(CalcAmtA,$M98),"")</f>
        <v/>
      </c>
      <c r="J98" s="29">
        <f>IF($B98="","",IF($J97="",$C$8,$J97)+IF($I98="",0,$I98)+IF($E98="",0,$E98)-IF($H98="",0,$H98))</f>
        <v/>
      </c>
      <c r="K98" s="30">
        <f>IF($M98&lt;&gt;"",IF(INDEX(CalcNoteA,$M98)="","—",INDEX(CalcNoteA,$M98)),IF($N98&lt;&gt;"",IF(INDEX(CalcNoteB,$N98)="","—",INDEX(CalcNoteB,$N98)),""))</f>
        <v/>
      </c>
      <c r="M98">
        <f>IFERROR(MATCH($C$5&amp;"|"&amp;RIGHT("000000"&amp;82,6),CalcRankKeyA,0),"")</f>
        <v/>
      </c>
      <c r="N98">
        <f>IFERROR(MATCH($C$5&amp;"|"&amp;RIGHT("000000"&amp;82,6),CalcRankKeyB,0),"")</f>
        <v/>
      </c>
    </row>
    <row r="99">
      <c r="A99" s="21" t="n">
        <v>83</v>
      </c>
      <c r="B99" s="22">
        <f>IF(AND($M99="",$N99=""),"",IF($M99&lt;&gt;"",INDEX(CalcDateA,$M99),INDEX(CalcDateB,$N99)))</f>
        <v/>
      </c>
      <c r="C99" s="22">
        <f>IF($M99&lt;&gt;"","خرید سبد",IF($N99&lt;&gt;"",IF(N(INDEX(CalcDepB,$N99))&gt;0,"دریافت بانکی","پرداخت بانکی"),""))</f>
        <v/>
      </c>
      <c r="D99" s="22">
        <f>IF($M99&lt;&gt;"",IF(INDEX(CalcDocA,$M99)="","—",INDEX(CalcDocA,$M99)),IF($N99&lt;&gt;"",INDEX(CalcBankB,$N99),""))</f>
        <v/>
      </c>
      <c r="E99" s="23">
        <f>IF($N99&lt;&gt;"",IF(INDEX(CalcDepB,$N99)=0,"",INDEX(CalcDepB,$N99)),"")</f>
        <v/>
      </c>
      <c r="F99" s="23">
        <f>IF($M99&lt;&gt;"",IF(INDEX(CalcQtyA,$M99)=0,"",INDEX(CalcQtyA,$M99)),"")</f>
        <v/>
      </c>
      <c r="G99" s="23">
        <f>IF($M99&lt;&gt;"",IF(INDEX(CalcPriceA,$M99)=0,"",INDEX(CalcPriceA,$M99)),"")</f>
        <v/>
      </c>
      <c r="H99" s="23">
        <f>IF($N99&lt;&gt;"",IF(INDEX(CalcWitB,$N99)=0,"",INDEX(CalcWitB,$N99)),"")</f>
        <v/>
      </c>
      <c r="I99" s="24">
        <f>IF($M99&lt;&gt;"",INDEX(CalcAmtA,$M99),"")</f>
        <v/>
      </c>
      <c r="J99" s="24">
        <f>IF($B99="","",IF($J98="",$C$8,$J98)+IF($I99="",0,$I99)+IF($E99="",0,$E99)-IF($H99="",0,$H99))</f>
        <v/>
      </c>
      <c r="K99" s="25">
        <f>IF($M99&lt;&gt;"",IF(INDEX(CalcNoteA,$M99)="","—",INDEX(CalcNoteA,$M99)),IF($N99&lt;&gt;"",IF(INDEX(CalcNoteB,$N99)="","—",INDEX(CalcNoteB,$N99)),""))</f>
        <v/>
      </c>
      <c r="M99">
        <f>IFERROR(MATCH($C$5&amp;"|"&amp;RIGHT("000000"&amp;83,6),CalcRankKeyA,0),"")</f>
        <v/>
      </c>
      <c r="N99">
        <f>IFERROR(MATCH($C$5&amp;"|"&amp;RIGHT("000000"&amp;83,6),CalcRankKeyB,0),"")</f>
        <v/>
      </c>
    </row>
    <row r="100">
      <c r="A100" s="26" t="n">
        <v>84</v>
      </c>
      <c r="B100" s="27">
        <f>IF(AND($M100="",$N100=""),"",IF($M100&lt;&gt;"",INDEX(CalcDateA,$M100),INDEX(CalcDateB,$N100)))</f>
        <v/>
      </c>
      <c r="C100" s="27">
        <f>IF($M100&lt;&gt;"","خرید سبد",IF($N100&lt;&gt;"",IF(N(INDEX(CalcDepB,$N100))&gt;0,"دریافت بانکی","پرداخت بانکی"),""))</f>
        <v/>
      </c>
      <c r="D100" s="27">
        <f>IF($M100&lt;&gt;"",IF(INDEX(CalcDocA,$M100)="","—",INDEX(CalcDocA,$M100)),IF($N100&lt;&gt;"",INDEX(CalcBankB,$N100),""))</f>
        <v/>
      </c>
      <c r="E100" s="28">
        <f>IF($N100&lt;&gt;"",IF(INDEX(CalcDepB,$N100)=0,"",INDEX(CalcDepB,$N100)),"")</f>
        <v/>
      </c>
      <c r="F100" s="28">
        <f>IF($M100&lt;&gt;"",IF(INDEX(CalcQtyA,$M100)=0,"",INDEX(CalcQtyA,$M100)),"")</f>
        <v/>
      </c>
      <c r="G100" s="28">
        <f>IF($M100&lt;&gt;"",IF(INDEX(CalcPriceA,$M100)=0,"",INDEX(CalcPriceA,$M100)),"")</f>
        <v/>
      </c>
      <c r="H100" s="28">
        <f>IF($N100&lt;&gt;"",IF(INDEX(CalcWitB,$N100)=0,"",INDEX(CalcWitB,$N100)),"")</f>
        <v/>
      </c>
      <c r="I100" s="29">
        <f>IF($M100&lt;&gt;"",INDEX(CalcAmtA,$M100),"")</f>
        <v/>
      </c>
      <c r="J100" s="29">
        <f>IF($B100="","",IF($J99="",$C$8,$J99)+IF($I100="",0,$I100)+IF($E100="",0,$E100)-IF($H100="",0,$H100))</f>
        <v/>
      </c>
      <c r="K100" s="30">
        <f>IF($M100&lt;&gt;"",IF(INDEX(CalcNoteA,$M100)="","—",INDEX(CalcNoteA,$M100)),IF($N100&lt;&gt;"",IF(INDEX(CalcNoteB,$N100)="","—",INDEX(CalcNoteB,$N100)),""))</f>
        <v/>
      </c>
      <c r="M100">
        <f>IFERROR(MATCH($C$5&amp;"|"&amp;RIGHT("000000"&amp;84,6),CalcRankKeyA,0),"")</f>
        <v/>
      </c>
      <c r="N100">
        <f>IFERROR(MATCH($C$5&amp;"|"&amp;RIGHT("000000"&amp;84,6),CalcRankKeyB,0),"")</f>
        <v/>
      </c>
    </row>
    <row r="101">
      <c r="A101" s="21" t="n">
        <v>85</v>
      </c>
      <c r="B101" s="22">
        <f>IF(AND($M101="",$N101=""),"",IF($M101&lt;&gt;"",INDEX(CalcDateA,$M101),INDEX(CalcDateB,$N101)))</f>
        <v/>
      </c>
      <c r="C101" s="22">
        <f>IF($M101&lt;&gt;"","خرید سبد",IF($N101&lt;&gt;"",IF(N(INDEX(CalcDepB,$N101))&gt;0,"دریافت بانکی","پرداخت بانکی"),""))</f>
        <v/>
      </c>
      <c r="D101" s="22">
        <f>IF($M101&lt;&gt;"",IF(INDEX(CalcDocA,$M101)="","—",INDEX(CalcDocA,$M101)),IF($N101&lt;&gt;"",INDEX(CalcBankB,$N101),""))</f>
        <v/>
      </c>
      <c r="E101" s="23">
        <f>IF($N101&lt;&gt;"",IF(INDEX(CalcDepB,$N101)=0,"",INDEX(CalcDepB,$N101)),"")</f>
        <v/>
      </c>
      <c r="F101" s="23">
        <f>IF($M101&lt;&gt;"",IF(INDEX(CalcQtyA,$M101)=0,"",INDEX(CalcQtyA,$M101)),"")</f>
        <v/>
      </c>
      <c r="G101" s="23">
        <f>IF($M101&lt;&gt;"",IF(INDEX(CalcPriceA,$M101)=0,"",INDEX(CalcPriceA,$M101)),"")</f>
        <v/>
      </c>
      <c r="H101" s="23">
        <f>IF($N101&lt;&gt;"",IF(INDEX(CalcWitB,$N101)=0,"",INDEX(CalcWitB,$N101)),"")</f>
        <v/>
      </c>
      <c r="I101" s="24">
        <f>IF($M101&lt;&gt;"",INDEX(CalcAmtA,$M101),"")</f>
        <v/>
      </c>
      <c r="J101" s="24">
        <f>IF($B101="","",IF($J100="",$C$8,$J100)+IF($I101="",0,$I101)+IF($E101="",0,$E101)-IF($H101="",0,$H101))</f>
        <v/>
      </c>
      <c r="K101" s="25">
        <f>IF($M101&lt;&gt;"",IF(INDEX(CalcNoteA,$M101)="","—",INDEX(CalcNoteA,$M101)),IF($N101&lt;&gt;"",IF(INDEX(CalcNoteB,$N101)="","—",INDEX(CalcNoteB,$N101)),""))</f>
        <v/>
      </c>
      <c r="M101">
        <f>IFERROR(MATCH($C$5&amp;"|"&amp;RIGHT("000000"&amp;85,6),CalcRankKeyA,0),"")</f>
        <v/>
      </c>
      <c r="N101">
        <f>IFERROR(MATCH($C$5&amp;"|"&amp;RIGHT("000000"&amp;85,6),CalcRankKeyB,0),"")</f>
        <v/>
      </c>
    </row>
    <row r="102">
      <c r="A102" s="26" t="n">
        <v>86</v>
      </c>
      <c r="B102" s="27">
        <f>IF(AND($M102="",$N102=""),"",IF($M102&lt;&gt;"",INDEX(CalcDateA,$M102),INDEX(CalcDateB,$N102)))</f>
        <v/>
      </c>
      <c r="C102" s="27">
        <f>IF($M102&lt;&gt;"","خرید سبد",IF($N102&lt;&gt;"",IF(N(INDEX(CalcDepB,$N102))&gt;0,"دریافت بانکی","پرداخت بانکی"),""))</f>
        <v/>
      </c>
      <c r="D102" s="27">
        <f>IF($M102&lt;&gt;"",IF(INDEX(CalcDocA,$M102)="","—",INDEX(CalcDocA,$M102)),IF($N102&lt;&gt;"",INDEX(CalcBankB,$N102),""))</f>
        <v/>
      </c>
      <c r="E102" s="28">
        <f>IF($N102&lt;&gt;"",IF(INDEX(CalcDepB,$N102)=0,"",INDEX(CalcDepB,$N102)),"")</f>
        <v/>
      </c>
      <c r="F102" s="28">
        <f>IF($M102&lt;&gt;"",IF(INDEX(CalcQtyA,$M102)=0,"",INDEX(CalcQtyA,$M102)),"")</f>
        <v/>
      </c>
      <c r="G102" s="28">
        <f>IF($M102&lt;&gt;"",IF(INDEX(CalcPriceA,$M102)=0,"",INDEX(CalcPriceA,$M102)),"")</f>
        <v/>
      </c>
      <c r="H102" s="28">
        <f>IF($N102&lt;&gt;"",IF(INDEX(CalcWitB,$N102)=0,"",INDEX(CalcWitB,$N102)),"")</f>
        <v/>
      </c>
      <c r="I102" s="29">
        <f>IF($M102&lt;&gt;"",INDEX(CalcAmtA,$M102),"")</f>
        <v/>
      </c>
      <c r="J102" s="29">
        <f>IF($B102="","",IF($J101="",$C$8,$J101)+IF($I102="",0,$I102)+IF($E102="",0,$E102)-IF($H102="",0,$H102))</f>
        <v/>
      </c>
      <c r="K102" s="30">
        <f>IF($M102&lt;&gt;"",IF(INDEX(CalcNoteA,$M102)="","—",INDEX(CalcNoteA,$M102)),IF($N102&lt;&gt;"",IF(INDEX(CalcNoteB,$N102)="","—",INDEX(CalcNoteB,$N102)),""))</f>
        <v/>
      </c>
      <c r="M102">
        <f>IFERROR(MATCH($C$5&amp;"|"&amp;RIGHT("000000"&amp;86,6),CalcRankKeyA,0),"")</f>
        <v/>
      </c>
      <c r="N102">
        <f>IFERROR(MATCH($C$5&amp;"|"&amp;RIGHT("000000"&amp;86,6),CalcRankKeyB,0),"")</f>
        <v/>
      </c>
    </row>
    <row r="103">
      <c r="A103" s="21" t="n">
        <v>87</v>
      </c>
      <c r="B103" s="22">
        <f>IF(AND($M103="",$N103=""),"",IF($M103&lt;&gt;"",INDEX(CalcDateA,$M103),INDEX(CalcDateB,$N103)))</f>
        <v/>
      </c>
      <c r="C103" s="22">
        <f>IF($M103&lt;&gt;"","خرید سبد",IF($N103&lt;&gt;"",IF(N(INDEX(CalcDepB,$N103))&gt;0,"دریافت بانکی","پرداخت بانکی"),""))</f>
        <v/>
      </c>
      <c r="D103" s="22">
        <f>IF($M103&lt;&gt;"",IF(INDEX(CalcDocA,$M103)="","—",INDEX(CalcDocA,$M103)),IF($N103&lt;&gt;"",INDEX(CalcBankB,$N103),""))</f>
        <v/>
      </c>
      <c r="E103" s="23">
        <f>IF($N103&lt;&gt;"",IF(INDEX(CalcDepB,$N103)=0,"",INDEX(CalcDepB,$N103)),"")</f>
        <v/>
      </c>
      <c r="F103" s="23">
        <f>IF($M103&lt;&gt;"",IF(INDEX(CalcQtyA,$M103)=0,"",INDEX(CalcQtyA,$M103)),"")</f>
        <v/>
      </c>
      <c r="G103" s="23">
        <f>IF($M103&lt;&gt;"",IF(INDEX(CalcPriceA,$M103)=0,"",INDEX(CalcPriceA,$M103)),"")</f>
        <v/>
      </c>
      <c r="H103" s="23">
        <f>IF($N103&lt;&gt;"",IF(INDEX(CalcWitB,$N103)=0,"",INDEX(CalcWitB,$N103)),"")</f>
        <v/>
      </c>
      <c r="I103" s="24">
        <f>IF($M103&lt;&gt;"",INDEX(CalcAmtA,$M103),"")</f>
        <v/>
      </c>
      <c r="J103" s="24">
        <f>IF($B103="","",IF($J102="",$C$8,$J102)+IF($I103="",0,$I103)+IF($E103="",0,$E103)-IF($H103="",0,$H103))</f>
        <v/>
      </c>
      <c r="K103" s="25">
        <f>IF($M103&lt;&gt;"",IF(INDEX(CalcNoteA,$M103)="","—",INDEX(CalcNoteA,$M103)),IF($N103&lt;&gt;"",IF(INDEX(CalcNoteB,$N103)="","—",INDEX(CalcNoteB,$N103)),""))</f>
        <v/>
      </c>
      <c r="M103">
        <f>IFERROR(MATCH($C$5&amp;"|"&amp;RIGHT("000000"&amp;87,6),CalcRankKeyA,0),"")</f>
        <v/>
      </c>
      <c r="N103">
        <f>IFERROR(MATCH($C$5&amp;"|"&amp;RIGHT("000000"&amp;87,6),CalcRankKeyB,0),"")</f>
        <v/>
      </c>
    </row>
    <row r="104">
      <c r="A104" s="26" t="n">
        <v>88</v>
      </c>
      <c r="B104" s="27">
        <f>IF(AND($M104="",$N104=""),"",IF($M104&lt;&gt;"",INDEX(CalcDateA,$M104),INDEX(CalcDateB,$N104)))</f>
        <v/>
      </c>
      <c r="C104" s="27">
        <f>IF($M104&lt;&gt;"","خرید سبد",IF($N104&lt;&gt;"",IF(N(INDEX(CalcDepB,$N104))&gt;0,"دریافت بانکی","پرداخت بانکی"),""))</f>
        <v/>
      </c>
      <c r="D104" s="27">
        <f>IF($M104&lt;&gt;"",IF(INDEX(CalcDocA,$M104)="","—",INDEX(CalcDocA,$M104)),IF($N104&lt;&gt;"",INDEX(CalcBankB,$N104),""))</f>
        <v/>
      </c>
      <c r="E104" s="28">
        <f>IF($N104&lt;&gt;"",IF(INDEX(CalcDepB,$N104)=0,"",INDEX(CalcDepB,$N104)),"")</f>
        <v/>
      </c>
      <c r="F104" s="28">
        <f>IF($M104&lt;&gt;"",IF(INDEX(CalcQtyA,$M104)=0,"",INDEX(CalcQtyA,$M104)),"")</f>
        <v/>
      </c>
      <c r="G104" s="28">
        <f>IF($M104&lt;&gt;"",IF(INDEX(CalcPriceA,$M104)=0,"",INDEX(CalcPriceA,$M104)),"")</f>
        <v/>
      </c>
      <c r="H104" s="28">
        <f>IF($N104&lt;&gt;"",IF(INDEX(CalcWitB,$N104)=0,"",INDEX(CalcWitB,$N104)),"")</f>
        <v/>
      </c>
      <c r="I104" s="29">
        <f>IF($M104&lt;&gt;"",INDEX(CalcAmtA,$M104),"")</f>
        <v/>
      </c>
      <c r="J104" s="29">
        <f>IF($B104="","",IF($J103="",$C$8,$J103)+IF($I104="",0,$I104)+IF($E104="",0,$E104)-IF($H104="",0,$H104))</f>
        <v/>
      </c>
      <c r="K104" s="30">
        <f>IF($M104&lt;&gt;"",IF(INDEX(CalcNoteA,$M104)="","—",INDEX(CalcNoteA,$M104)),IF($N104&lt;&gt;"",IF(INDEX(CalcNoteB,$N104)="","—",INDEX(CalcNoteB,$N104)),""))</f>
        <v/>
      </c>
      <c r="M104">
        <f>IFERROR(MATCH($C$5&amp;"|"&amp;RIGHT("000000"&amp;88,6),CalcRankKeyA,0),"")</f>
        <v/>
      </c>
      <c r="N104">
        <f>IFERROR(MATCH($C$5&amp;"|"&amp;RIGHT("000000"&amp;88,6),CalcRankKeyB,0),"")</f>
        <v/>
      </c>
    </row>
    <row r="105">
      <c r="A105" s="21" t="n">
        <v>89</v>
      </c>
      <c r="B105" s="22">
        <f>IF(AND($M105="",$N105=""),"",IF($M105&lt;&gt;"",INDEX(CalcDateA,$M105),INDEX(CalcDateB,$N105)))</f>
        <v/>
      </c>
      <c r="C105" s="22">
        <f>IF($M105&lt;&gt;"","خرید سبد",IF($N105&lt;&gt;"",IF(N(INDEX(CalcDepB,$N105))&gt;0,"دریافت بانکی","پرداخت بانکی"),""))</f>
        <v/>
      </c>
      <c r="D105" s="22">
        <f>IF($M105&lt;&gt;"",IF(INDEX(CalcDocA,$M105)="","—",INDEX(CalcDocA,$M105)),IF($N105&lt;&gt;"",INDEX(CalcBankB,$N105),""))</f>
        <v/>
      </c>
      <c r="E105" s="23">
        <f>IF($N105&lt;&gt;"",IF(INDEX(CalcDepB,$N105)=0,"",INDEX(CalcDepB,$N105)),"")</f>
        <v/>
      </c>
      <c r="F105" s="23">
        <f>IF($M105&lt;&gt;"",IF(INDEX(CalcQtyA,$M105)=0,"",INDEX(CalcQtyA,$M105)),"")</f>
        <v/>
      </c>
      <c r="G105" s="23">
        <f>IF($M105&lt;&gt;"",IF(INDEX(CalcPriceA,$M105)=0,"",INDEX(CalcPriceA,$M105)),"")</f>
        <v/>
      </c>
      <c r="H105" s="23">
        <f>IF($N105&lt;&gt;"",IF(INDEX(CalcWitB,$N105)=0,"",INDEX(CalcWitB,$N105)),"")</f>
        <v/>
      </c>
      <c r="I105" s="24">
        <f>IF($M105&lt;&gt;"",INDEX(CalcAmtA,$M105),"")</f>
        <v/>
      </c>
      <c r="J105" s="24">
        <f>IF($B105="","",IF($J104="",$C$8,$J104)+IF($I105="",0,$I105)+IF($E105="",0,$E105)-IF($H105="",0,$H105))</f>
        <v/>
      </c>
      <c r="K105" s="25">
        <f>IF($M105&lt;&gt;"",IF(INDEX(CalcNoteA,$M105)="","—",INDEX(CalcNoteA,$M105)),IF($N105&lt;&gt;"",IF(INDEX(CalcNoteB,$N105)="","—",INDEX(CalcNoteB,$N105)),""))</f>
        <v/>
      </c>
      <c r="M105">
        <f>IFERROR(MATCH($C$5&amp;"|"&amp;RIGHT("000000"&amp;89,6),CalcRankKeyA,0),"")</f>
        <v/>
      </c>
      <c r="N105">
        <f>IFERROR(MATCH($C$5&amp;"|"&amp;RIGHT("000000"&amp;89,6),CalcRankKeyB,0),"")</f>
        <v/>
      </c>
    </row>
    <row r="106">
      <c r="A106" s="26" t="n">
        <v>90</v>
      </c>
      <c r="B106" s="27">
        <f>IF(AND($M106="",$N106=""),"",IF($M106&lt;&gt;"",INDEX(CalcDateA,$M106),INDEX(CalcDateB,$N106)))</f>
        <v/>
      </c>
      <c r="C106" s="27">
        <f>IF($M106&lt;&gt;"","خرید سبد",IF($N106&lt;&gt;"",IF(N(INDEX(CalcDepB,$N106))&gt;0,"دریافت بانکی","پرداخت بانکی"),""))</f>
        <v/>
      </c>
      <c r="D106" s="27">
        <f>IF($M106&lt;&gt;"",IF(INDEX(CalcDocA,$M106)="","—",INDEX(CalcDocA,$M106)),IF($N106&lt;&gt;"",INDEX(CalcBankB,$N106),""))</f>
        <v/>
      </c>
      <c r="E106" s="28">
        <f>IF($N106&lt;&gt;"",IF(INDEX(CalcDepB,$N106)=0,"",INDEX(CalcDepB,$N106)),"")</f>
        <v/>
      </c>
      <c r="F106" s="28">
        <f>IF($M106&lt;&gt;"",IF(INDEX(CalcQtyA,$M106)=0,"",INDEX(CalcQtyA,$M106)),"")</f>
        <v/>
      </c>
      <c r="G106" s="28">
        <f>IF($M106&lt;&gt;"",IF(INDEX(CalcPriceA,$M106)=0,"",INDEX(CalcPriceA,$M106)),"")</f>
        <v/>
      </c>
      <c r="H106" s="28">
        <f>IF($N106&lt;&gt;"",IF(INDEX(CalcWitB,$N106)=0,"",INDEX(CalcWitB,$N106)),"")</f>
        <v/>
      </c>
      <c r="I106" s="29">
        <f>IF($M106&lt;&gt;"",INDEX(CalcAmtA,$M106),"")</f>
        <v/>
      </c>
      <c r="J106" s="29">
        <f>IF($B106="","",IF($J105="",$C$8,$J105)+IF($I106="",0,$I106)+IF($E106="",0,$E106)-IF($H106="",0,$H106))</f>
        <v/>
      </c>
      <c r="K106" s="30">
        <f>IF($M106&lt;&gt;"",IF(INDEX(CalcNoteA,$M106)="","—",INDEX(CalcNoteA,$M106)),IF($N106&lt;&gt;"",IF(INDEX(CalcNoteB,$N106)="","—",INDEX(CalcNoteB,$N106)),""))</f>
        <v/>
      </c>
      <c r="M106">
        <f>IFERROR(MATCH($C$5&amp;"|"&amp;RIGHT("000000"&amp;90,6),CalcRankKeyA,0),"")</f>
        <v/>
      </c>
      <c r="N106">
        <f>IFERROR(MATCH($C$5&amp;"|"&amp;RIGHT("000000"&amp;90,6),CalcRankKeyB,0),"")</f>
        <v/>
      </c>
    </row>
    <row r="107">
      <c r="A107" s="21" t="n">
        <v>91</v>
      </c>
      <c r="B107" s="22">
        <f>IF(AND($M107="",$N107=""),"",IF($M107&lt;&gt;"",INDEX(CalcDateA,$M107),INDEX(CalcDateB,$N107)))</f>
        <v/>
      </c>
      <c r="C107" s="22">
        <f>IF($M107&lt;&gt;"","خرید سبد",IF($N107&lt;&gt;"",IF(N(INDEX(CalcDepB,$N107))&gt;0,"دریافت بانکی","پرداخت بانکی"),""))</f>
        <v/>
      </c>
      <c r="D107" s="22">
        <f>IF($M107&lt;&gt;"",IF(INDEX(CalcDocA,$M107)="","—",INDEX(CalcDocA,$M107)),IF($N107&lt;&gt;"",INDEX(CalcBankB,$N107),""))</f>
        <v/>
      </c>
      <c r="E107" s="23">
        <f>IF($N107&lt;&gt;"",IF(INDEX(CalcDepB,$N107)=0,"",INDEX(CalcDepB,$N107)),"")</f>
        <v/>
      </c>
      <c r="F107" s="23">
        <f>IF($M107&lt;&gt;"",IF(INDEX(CalcQtyA,$M107)=0,"",INDEX(CalcQtyA,$M107)),"")</f>
        <v/>
      </c>
      <c r="G107" s="23">
        <f>IF($M107&lt;&gt;"",IF(INDEX(CalcPriceA,$M107)=0,"",INDEX(CalcPriceA,$M107)),"")</f>
        <v/>
      </c>
      <c r="H107" s="23">
        <f>IF($N107&lt;&gt;"",IF(INDEX(CalcWitB,$N107)=0,"",INDEX(CalcWitB,$N107)),"")</f>
        <v/>
      </c>
      <c r="I107" s="24">
        <f>IF($M107&lt;&gt;"",INDEX(CalcAmtA,$M107),"")</f>
        <v/>
      </c>
      <c r="J107" s="24">
        <f>IF($B107="","",IF($J106="",$C$8,$J106)+IF($I107="",0,$I107)+IF($E107="",0,$E107)-IF($H107="",0,$H107))</f>
        <v/>
      </c>
      <c r="K107" s="25">
        <f>IF($M107&lt;&gt;"",IF(INDEX(CalcNoteA,$M107)="","—",INDEX(CalcNoteA,$M107)),IF($N107&lt;&gt;"",IF(INDEX(CalcNoteB,$N107)="","—",INDEX(CalcNoteB,$N107)),""))</f>
        <v/>
      </c>
      <c r="M107">
        <f>IFERROR(MATCH($C$5&amp;"|"&amp;RIGHT("000000"&amp;91,6),CalcRankKeyA,0),"")</f>
        <v/>
      </c>
      <c r="N107">
        <f>IFERROR(MATCH($C$5&amp;"|"&amp;RIGHT("000000"&amp;91,6),CalcRankKeyB,0),"")</f>
        <v/>
      </c>
    </row>
    <row r="108">
      <c r="A108" s="26" t="n">
        <v>92</v>
      </c>
      <c r="B108" s="27">
        <f>IF(AND($M108="",$N108=""),"",IF($M108&lt;&gt;"",INDEX(CalcDateA,$M108),INDEX(CalcDateB,$N108)))</f>
        <v/>
      </c>
      <c r="C108" s="27">
        <f>IF($M108&lt;&gt;"","خرید سبد",IF($N108&lt;&gt;"",IF(N(INDEX(CalcDepB,$N108))&gt;0,"دریافت بانکی","پرداخت بانکی"),""))</f>
        <v/>
      </c>
      <c r="D108" s="27">
        <f>IF($M108&lt;&gt;"",IF(INDEX(CalcDocA,$M108)="","—",INDEX(CalcDocA,$M108)),IF($N108&lt;&gt;"",INDEX(CalcBankB,$N108),""))</f>
        <v/>
      </c>
      <c r="E108" s="28">
        <f>IF($N108&lt;&gt;"",IF(INDEX(CalcDepB,$N108)=0,"",INDEX(CalcDepB,$N108)),"")</f>
        <v/>
      </c>
      <c r="F108" s="28">
        <f>IF($M108&lt;&gt;"",IF(INDEX(CalcQtyA,$M108)=0,"",INDEX(CalcQtyA,$M108)),"")</f>
        <v/>
      </c>
      <c r="G108" s="28">
        <f>IF($M108&lt;&gt;"",IF(INDEX(CalcPriceA,$M108)=0,"",INDEX(CalcPriceA,$M108)),"")</f>
        <v/>
      </c>
      <c r="H108" s="28">
        <f>IF($N108&lt;&gt;"",IF(INDEX(CalcWitB,$N108)=0,"",INDEX(CalcWitB,$N108)),"")</f>
        <v/>
      </c>
      <c r="I108" s="29">
        <f>IF($M108&lt;&gt;"",INDEX(CalcAmtA,$M108),"")</f>
        <v/>
      </c>
      <c r="J108" s="29">
        <f>IF($B108="","",IF($J107="",$C$8,$J107)+IF($I108="",0,$I108)+IF($E108="",0,$E108)-IF($H108="",0,$H108))</f>
        <v/>
      </c>
      <c r="K108" s="30">
        <f>IF($M108&lt;&gt;"",IF(INDEX(CalcNoteA,$M108)="","—",INDEX(CalcNoteA,$M108)),IF($N108&lt;&gt;"",IF(INDEX(CalcNoteB,$N108)="","—",INDEX(CalcNoteB,$N108)),""))</f>
        <v/>
      </c>
      <c r="M108">
        <f>IFERROR(MATCH($C$5&amp;"|"&amp;RIGHT("000000"&amp;92,6),CalcRankKeyA,0),"")</f>
        <v/>
      </c>
      <c r="N108">
        <f>IFERROR(MATCH($C$5&amp;"|"&amp;RIGHT("000000"&amp;92,6),CalcRankKeyB,0),"")</f>
        <v/>
      </c>
    </row>
    <row r="109">
      <c r="A109" s="21" t="n">
        <v>93</v>
      </c>
      <c r="B109" s="22">
        <f>IF(AND($M109="",$N109=""),"",IF($M109&lt;&gt;"",INDEX(CalcDateA,$M109),INDEX(CalcDateB,$N109)))</f>
        <v/>
      </c>
      <c r="C109" s="22">
        <f>IF($M109&lt;&gt;"","خرید سبد",IF($N109&lt;&gt;"",IF(N(INDEX(CalcDepB,$N109))&gt;0,"دریافت بانکی","پرداخت بانکی"),""))</f>
        <v/>
      </c>
      <c r="D109" s="22">
        <f>IF($M109&lt;&gt;"",IF(INDEX(CalcDocA,$M109)="","—",INDEX(CalcDocA,$M109)),IF($N109&lt;&gt;"",INDEX(CalcBankB,$N109),""))</f>
        <v/>
      </c>
      <c r="E109" s="23">
        <f>IF($N109&lt;&gt;"",IF(INDEX(CalcDepB,$N109)=0,"",INDEX(CalcDepB,$N109)),"")</f>
        <v/>
      </c>
      <c r="F109" s="23">
        <f>IF($M109&lt;&gt;"",IF(INDEX(CalcQtyA,$M109)=0,"",INDEX(CalcQtyA,$M109)),"")</f>
        <v/>
      </c>
      <c r="G109" s="23">
        <f>IF($M109&lt;&gt;"",IF(INDEX(CalcPriceA,$M109)=0,"",INDEX(CalcPriceA,$M109)),"")</f>
        <v/>
      </c>
      <c r="H109" s="23">
        <f>IF($N109&lt;&gt;"",IF(INDEX(CalcWitB,$N109)=0,"",INDEX(CalcWitB,$N109)),"")</f>
        <v/>
      </c>
      <c r="I109" s="24">
        <f>IF($M109&lt;&gt;"",INDEX(CalcAmtA,$M109),"")</f>
        <v/>
      </c>
      <c r="J109" s="24">
        <f>IF($B109="","",IF($J108="",$C$8,$J108)+IF($I109="",0,$I109)+IF($E109="",0,$E109)-IF($H109="",0,$H109))</f>
        <v/>
      </c>
      <c r="K109" s="25">
        <f>IF($M109&lt;&gt;"",IF(INDEX(CalcNoteA,$M109)="","—",INDEX(CalcNoteA,$M109)),IF($N109&lt;&gt;"",IF(INDEX(CalcNoteB,$N109)="","—",INDEX(CalcNoteB,$N109)),""))</f>
        <v/>
      </c>
      <c r="M109">
        <f>IFERROR(MATCH($C$5&amp;"|"&amp;RIGHT("000000"&amp;93,6),CalcRankKeyA,0),"")</f>
        <v/>
      </c>
      <c r="N109">
        <f>IFERROR(MATCH($C$5&amp;"|"&amp;RIGHT("000000"&amp;93,6),CalcRankKeyB,0),"")</f>
        <v/>
      </c>
    </row>
    <row r="110">
      <c r="A110" s="26" t="n">
        <v>94</v>
      </c>
      <c r="B110" s="27">
        <f>IF(AND($M110="",$N110=""),"",IF($M110&lt;&gt;"",INDEX(CalcDateA,$M110),INDEX(CalcDateB,$N110)))</f>
        <v/>
      </c>
      <c r="C110" s="27">
        <f>IF($M110&lt;&gt;"","خرید سبد",IF($N110&lt;&gt;"",IF(N(INDEX(CalcDepB,$N110))&gt;0,"دریافت بانکی","پرداخت بانکی"),""))</f>
        <v/>
      </c>
      <c r="D110" s="27">
        <f>IF($M110&lt;&gt;"",IF(INDEX(CalcDocA,$M110)="","—",INDEX(CalcDocA,$M110)),IF($N110&lt;&gt;"",INDEX(CalcBankB,$N110),""))</f>
        <v/>
      </c>
      <c r="E110" s="28">
        <f>IF($N110&lt;&gt;"",IF(INDEX(CalcDepB,$N110)=0,"",INDEX(CalcDepB,$N110)),"")</f>
        <v/>
      </c>
      <c r="F110" s="28">
        <f>IF($M110&lt;&gt;"",IF(INDEX(CalcQtyA,$M110)=0,"",INDEX(CalcQtyA,$M110)),"")</f>
        <v/>
      </c>
      <c r="G110" s="28">
        <f>IF($M110&lt;&gt;"",IF(INDEX(CalcPriceA,$M110)=0,"",INDEX(CalcPriceA,$M110)),"")</f>
        <v/>
      </c>
      <c r="H110" s="28">
        <f>IF($N110&lt;&gt;"",IF(INDEX(CalcWitB,$N110)=0,"",INDEX(CalcWitB,$N110)),"")</f>
        <v/>
      </c>
      <c r="I110" s="29">
        <f>IF($M110&lt;&gt;"",INDEX(CalcAmtA,$M110),"")</f>
        <v/>
      </c>
      <c r="J110" s="29">
        <f>IF($B110="","",IF($J109="",$C$8,$J109)+IF($I110="",0,$I110)+IF($E110="",0,$E110)-IF($H110="",0,$H110))</f>
        <v/>
      </c>
      <c r="K110" s="30">
        <f>IF($M110&lt;&gt;"",IF(INDEX(CalcNoteA,$M110)="","—",INDEX(CalcNoteA,$M110)),IF($N110&lt;&gt;"",IF(INDEX(CalcNoteB,$N110)="","—",INDEX(CalcNoteB,$N110)),""))</f>
        <v/>
      </c>
      <c r="M110">
        <f>IFERROR(MATCH($C$5&amp;"|"&amp;RIGHT("000000"&amp;94,6),CalcRankKeyA,0),"")</f>
        <v/>
      </c>
      <c r="N110">
        <f>IFERROR(MATCH($C$5&amp;"|"&amp;RIGHT("000000"&amp;94,6),CalcRankKeyB,0),"")</f>
        <v/>
      </c>
    </row>
    <row r="111">
      <c r="A111" s="21" t="n">
        <v>95</v>
      </c>
      <c r="B111" s="22">
        <f>IF(AND($M111="",$N111=""),"",IF($M111&lt;&gt;"",INDEX(CalcDateA,$M111),INDEX(CalcDateB,$N111)))</f>
        <v/>
      </c>
      <c r="C111" s="22">
        <f>IF($M111&lt;&gt;"","خرید سبد",IF($N111&lt;&gt;"",IF(N(INDEX(CalcDepB,$N111))&gt;0,"دریافت بانکی","پرداخت بانکی"),""))</f>
        <v/>
      </c>
      <c r="D111" s="22">
        <f>IF($M111&lt;&gt;"",IF(INDEX(CalcDocA,$M111)="","—",INDEX(CalcDocA,$M111)),IF($N111&lt;&gt;"",INDEX(CalcBankB,$N111),""))</f>
        <v/>
      </c>
      <c r="E111" s="23">
        <f>IF($N111&lt;&gt;"",IF(INDEX(CalcDepB,$N111)=0,"",INDEX(CalcDepB,$N111)),"")</f>
        <v/>
      </c>
      <c r="F111" s="23">
        <f>IF($M111&lt;&gt;"",IF(INDEX(CalcQtyA,$M111)=0,"",INDEX(CalcQtyA,$M111)),"")</f>
        <v/>
      </c>
      <c r="G111" s="23">
        <f>IF($M111&lt;&gt;"",IF(INDEX(CalcPriceA,$M111)=0,"",INDEX(CalcPriceA,$M111)),"")</f>
        <v/>
      </c>
      <c r="H111" s="23">
        <f>IF($N111&lt;&gt;"",IF(INDEX(CalcWitB,$N111)=0,"",INDEX(CalcWitB,$N111)),"")</f>
        <v/>
      </c>
      <c r="I111" s="24">
        <f>IF($M111&lt;&gt;"",INDEX(CalcAmtA,$M111),"")</f>
        <v/>
      </c>
      <c r="J111" s="24">
        <f>IF($B111="","",IF($J110="",$C$8,$J110)+IF($I111="",0,$I111)+IF($E111="",0,$E111)-IF($H111="",0,$H111))</f>
        <v/>
      </c>
      <c r="K111" s="25">
        <f>IF($M111&lt;&gt;"",IF(INDEX(CalcNoteA,$M111)="","—",INDEX(CalcNoteA,$M111)),IF($N111&lt;&gt;"",IF(INDEX(CalcNoteB,$N111)="","—",INDEX(CalcNoteB,$N111)),""))</f>
        <v/>
      </c>
      <c r="M111">
        <f>IFERROR(MATCH($C$5&amp;"|"&amp;RIGHT("000000"&amp;95,6),CalcRankKeyA,0),"")</f>
        <v/>
      </c>
      <c r="N111">
        <f>IFERROR(MATCH($C$5&amp;"|"&amp;RIGHT("000000"&amp;95,6),CalcRankKeyB,0),"")</f>
        <v/>
      </c>
    </row>
    <row r="112">
      <c r="A112" s="26" t="n">
        <v>96</v>
      </c>
      <c r="B112" s="27">
        <f>IF(AND($M112="",$N112=""),"",IF($M112&lt;&gt;"",INDEX(CalcDateA,$M112),INDEX(CalcDateB,$N112)))</f>
        <v/>
      </c>
      <c r="C112" s="27">
        <f>IF($M112&lt;&gt;"","خرید سبد",IF($N112&lt;&gt;"",IF(N(INDEX(CalcDepB,$N112))&gt;0,"دریافت بانکی","پرداخت بانکی"),""))</f>
        <v/>
      </c>
      <c r="D112" s="27">
        <f>IF($M112&lt;&gt;"",IF(INDEX(CalcDocA,$M112)="","—",INDEX(CalcDocA,$M112)),IF($N112&lt;&gt;"",INDEX(CalcBankB,$N112),""))</f>
        <v/>
      </c>
      <c r="E112" s="28">
        <f>IF($N112&lt;&gt;"",IF(INDEX(CalcDepB,$N112)=0,"",INDEX(CalcDepB,$N112)),"")</f>
        <v/>
      </c>
      <c r="F112" s="28">
        <f>IF($M112&lt;&gt;"",IF(INDEX(CalcQtyA,$M112)=0,"",INDEX(CalcQtyA,$M112)),"")</f>
        <v/>
      </c>
      <c r="G112" s="28">
        <f>IF($M112&lt;&gt;"",IF(INDEX(CalcPriceA,$M112)=0,"",INDEX(CalcPriceA,$M112)),"")</f>
        <v/>
      </c>
      <c r="H112" s="28">
        <f>IF($N112&lt;&gt;"",IF(INDEX(CalcWitB,$N112)=0,"",INDEX(CalcWitB,$N112)),"")</f>
        <v/>
      </c>
      <c r="I112" s="29">
        <f>IF($M112&lt;&gt;"",INDEX(CalcAmtA,$M112),"")</f>
        <v/>
      </c>
      <c r="J112" s="29">
        <f>IF($B112="","",IF($J111="",$C$8,$J111)+IF($I112="",0,$I112)+IF($E112="",0,$E112)-IF($H112="",0,$H112))</f>
        <v/>
      </c>
      <c r="K112" s="30">
        <f>IF($M112&lt;&gt;"",IF(INDEX(CalcNoteA,$M112)="","—",INDEX(CalcNoteA,$M112)),IF($N112&lt;&gt;"",IF(INDEX(CalcNoteB,$N112)="","—",INDEX(CalcNoteB,$N112)),""))</f>
        <v/>
      </c>
      <c r="M112">
        <f>IFERROR(MATCH($C$5&amp;"|"&amp;RIGHT("000000"&amp;96,6),CalcRankKeyA,0),"")</f>
        <v/>
      </c>
      <c r="N112">
        <f>IFERROR(MATCH($C$5&amp;"|"&amp;RIGHT("000000"&amp;96,6),CalcRankKeyB,0),"")</f>
        <v/>
      </c>
    </row>
    <row r="113">
      <c r="A113" s="21" t="n">
        <v>97</v>
      </c>
      <c r="B113" s="22">
        <f>IF(AND($M113="",$N113=""),"",IF($M113&lt;&gt;"",INDEX(CalcDateA,$M113),INDEX(CalcDateB,$N113)))</f>
        <v/>
      </c>
      <c r="C113" s="22">
        <f>IF($M113&lt;&gt;"","خرید سبد",IF($N113&lt;&gt;"",IF(N(INDEX(CalcDepB,$N113))&gt;0,"دریافت بانکی","پرداخت بانکی"),""))</f>
        <v/>
      </c>
      <c r="D113" s="22">
        <f>IF($M113&lt;&gt;"",IF(INDEX(CalcDocA,$M113)="","—",INDEX(CalcDocA,$M113)),IF($N113&lt;&gt;"",INDEX(CalcBankB,$N113),""))</f>
        <v/>
      </c>
      <c r="E113" s="23">
        <f>IF($N113&lt;&gt;"",IF(INDEX(CalcDepB,$N113)=0,"",INDEX(CalcDepB,$N113)),"")</f>
        <v/>
      </c>
      <c r="F113" s="23">
        <f>IF($M113&lt;&gt;"",IF(INDEX(CalcQtyA,$M113)=0,"",INDEX(CalcQtyA,$M113)),"")</f>
        <v/>
      </c>
      <c r="G113" s="23">
        <f>IF($M113&lt;&gt;"",IF(INDEX(CalcPriceA,$M113)=0,"",INDEX(CalcPriceA,$M113)),"")</f>
        <v/>
      </c>
      <c r="H113" s="23">
        <f>IF($N113&lt;&gt;"",IF(INDEX(CalcWitB,$N113)=0,"",INDEX(CalcWitB,$N113)),"")</f>
        <v/>
      </c>
      <c r="I113" s="24">
        <f>IF($M113&lt;&gt;"",INDEX(CalcAmtA,$M113),"")</f>
        <v/>
      </c>
      <c r="J113" s="24">
        <f>IF($B113="","",IF($J112="",$C$8,$J112)+IF($I113="",0,$I113)+IF($E113="",0,$E113)-IF($H113="",0,$H113))</f>
        <v/>
      </c>
      <c r="K113" s="25">
        <f>IF($M113&lt;&gt;"",IF(INDEX(CalcNoteA,$M113)="","—",INDEX(CalcNoteA,$M113)),IF($N113&lt;&gt;"",IF(INDEX(CalcNoteB,$N113)="","—",INDEX(CalcNoteB,$N113)),""))</f>
        <v/>
      </c>
      <c r="M113">
        <f>IFERROR(MATCH($C$5&amp;"|"&amp;RIGHT("000000"&amp;97,6),CalcRankKeyA,0),"")</f>
        <v/>
      </c>
      <c r="N113">
        <f>IFERROR(MATCH($C$5&amp;"|"&amp;RIGHT("000000"&amp;97,6),CalcRankKeyB,0),"")</f>
        <v/>
      </c>
    </row>
    <row r="114">
      <c r="A114" s="26" t="n">
        <v>98</v>
      </c>
      <c r="B114" s="27">
        <f>IF(AND($M114="",$N114=""),"",IF($M114&lt;&gt;"",INDEX(CalcDateA,$M114),INDEX(CalcDateB,$N114)))</f>
        <v/>
      </c>
      <c r="C114" s="27">
        <f>IF($M114&lt;&gt;"","خرید سبد",IF($N114&lt;&gt;"",IF(N(INDEX(CalcDepB,$N114))&gt;0,"دریافت بانکی","پرداخت بانکی"),""))</f>
        <v/>
      </c>
      <c r="D114" s="27">
        <f>IF($M114&lt;&gt;"",IF(INDEX(CalcDocA,$M114)="","—",INDEX(CalcDocA,$M114)),IF($N114&lt;&gt;"",INDEX(CalcBankB,$N114),""))</f>
        <v/>
      </c>
      <c r="E114" s="28">
        <f>IF($N114&lt;&gt;"",IF(INDEX(CalcDepB,$N114)=0,"",INDEX(CalcDepB,$N114)),"")</f>
        <v/>
      </c>
      <c r="F114" s="28">
        <f>IF($M114&lt;&gt;"",IF(INDEX(CalcQtyA,$M114)=0,"",INDEX(CalcQtyA,$M114)),"")</f>
        <v/>
      </c>
      <c r="G114" s="28">
        <f>IF($M114&lt;&gt;"",IF(INDEX(CalcPriceA,$M114)=0,"",INDEX(CalcPriceA,$M114)),"")</f>
        <v/>
      </c>
      <c r="H114" s="28">
        <f>IF($N114&lt;&gt;"",IF(INDEX(CalcWitB,$N114)=0,"",INDEX(CalcWitB,$N114)),"")</f>
        <v/>
      </c>
      <c r="I114" s="29">
        <f>IF($M114&lt;&gt;"",INDEX(CalcAmtA,$M114),"")</f>
        <v/>
      </c>
      <c r="J114" s="29">
        <f>IF($B114="","",IF($J113="",$C$8,$J113)+IF($I114="",0,$I114)+IF($E114="",0,$E114)-IF($H114="",0,$H114))</f>
        <v/>
      </c>
      <c r="K114" s="30">
        <f>IF($M114&lt;&gt;"",IF(INDEX(CalcNoteA,$M114)="","—",INDEX(CalcNoteA,$M114)),IF($N114&lt;&gt;"",IF(INDEX(CalcNoteB,$N114)="","—",INDEX(CalcNoteB,$N114)),""))</f>
        <v/>
      </c>
      <c r="M114">
        <f>IFERROR(MATCH($C$5&amp;"|"&amp;RIGHT("000000"&amp;98,6),CalcRankKeyA,0),"")</f>
        <v/>
      </c>
      <c r="N114">
        <f>IFERROR(MATCH($C$5&amp;"|"&amp;RIGHT("000000"&amp;98,6),CalcRankKeyB,0),"")</f>
        <v/>
      </c>
    </row>
    <row r="115">
      <c r="A115" s="21" t="n">
        <v>99</v>
      </c>
      <c r="B115" s="22">
        <f>IF(AND($M115="",$N115=""),"",IF($M115&lt;&gt;"",INDEX(CalcDateA,$M115),INDEX(CalcDateB,$N115)))</f>
        <v/>
      </c>
      <c r="C115" s="22">
        <f>IF($M115&lt;&gt;"","خرید سبد",IF($N115&lt;&gt;"",IF(N(INDEX(CalcDepB,$N115))&gt;0,"دریافت بانکی","پرداخت بانکی"),""))</f>
        <v/>
      </c>
      <c r="D115" s="22">
        <f>IF($M115&lt;&gt;"",IF(INDEX(CalcDocA,$M115)="","—",INDEX(CalcDocA,$M115)),IF($N115&lt;&gt;"",INDEX(CalcBankB,$N115),""))</f>
        <v/>
      </c>
      <c r="E115" s="23">
        <f>IF($N115&lt;&gt;"",IF(INDEX(CalcDepB,$N115)=0,"",INDEX(CalcDepB,$N115)),"")</f>
        <v/>
      </c>
      <c r="F115" s="23">
        <f>IF($M115&lt;&gt;"",IF(INDEX(CalcQtyA,$M115)=0,"",INDEX(CalcQtyA,$M115)),"")</f>
        <v/>
      </c>
      <c r="G115" s="23">
        <f>IF($M115&lt;&gt;"",IF(INDEX(CalcPriceA,$M115)=0,"",INDEX(CalcPriceA,$M115)),"")</f>
        <v/>
      </c>
      <c r="H115" s="23">
        <f>IF($N115&lt;&gt;"",IF(INDEX(CalcWitB,$N115)=0,"",INDEX(CalcWitB,$N115)),"")</f>
        <v/>
      </c>
      <c r="I115" s="24">
        <f>IF($M115&lt;&gt;"",INDEX(CalcAmtA,$M115),"")</f>
        <v/>
      </c>
      <c r="J115" s="24">
        <f>IF($B115="","",IF($J114="",$C$8,$J114)+IF($I115="",0,$I115)+IF($E115="",0,$E115)-IF($H115="",0,$H115))</f>
        <v/>
      </c>
      <c r="K115" s="25">
        <f>IF($M115&lt;&gt;"",IF(INDEX(CalcNoteA,$M115)="","—",INDEX(CalcNoteA,$M115)),IF($N115&lt;&gt;"",IF(INDEX(CalcNoteB,$N115)="","—",INDEX(CalcNoteB,$N115)),""))</f>
        <v/>
      </c>
      <c r="M115">
        <f>IFERROR(MATCH($C$5&amp;"|"&amp;RIGHT("000000"&amp;99,6),CalcRankKeyA,0),"")</f>
        <v/>
      </c>
      <c r="N115">
        <f>IFERROR(MATCH($C$5&amp;"|"&amp;RIGHT("000000"&amp;99,6),CalcRankKeyB,0),"")</f>
        <v/>
      </c>
    </row>
    <row r="116">
      <c r="A116" s="26" t="n">
        <v>100</v>
      </c>
      <c r="B116" s="27">
        <f>IF(AND($M116="",$N116=""),"",IF($M116&lt;&gt;"",INDEX(CalcDateA,$M116),INDEX(CalcDateB,$N116)))</f>
        <v/>
      </c>
      <c r="C116" s="27">
        <f>IF($M116&lt;&gt;"","خرید سبد",IF($N116&lt;&gt;"",IF(N(INDEX(CalcDepB,$N116))&gt;0,"دریافت بانکی","پرداخت بانکی"),""))</f>
        <v/>
      </c>
      <c r="D116" s="27">
        <f>IF($M116&lt;&gt;"",IF(INDEX(CalcDocA,$M116)="","—",INDEX(CalcDocA,$M116)),IF($N116&lt;&gt;"",INDEX(CalcBankB,$N116),""))</f>
        <v/>
      </c>
      <c r="E116" s="28">
        <f>IF($N116&lt;&gt;"",IF(INDEX(CalcDepB,$N116)=0,"",INDEX(CalcDepB,$N116)),"")</f>
        <v/>
      </c>
      <c r="F116" s="28">
        <f>IF($M116&lt;&gt;"",IF(INDEX(CalcQtyA,$M116)=0,"",INDEX(CalcQtyA,$M116)),"")</f>
        <v/>
      </c>
      <c r="G116" s="28">
        <f>IF($M116&lt;&gt;"",IF(INDEX(CalcPriceA,$M116)=0,"",INDEX(CalcPriceA,$M116)),"")</f>
        <v/>
      </c>
      <c r="H116" s="28">
        <f>IF($N116&lt;&gt;"",IF(INDEX(CalcWitB,$N116)=0,"",INDEX(CalcWitB,$N116)),"")</f>
        <v/>
      </c>
      <c r="I116" s="29">
        <f>IF($M116&lt;&gt;"",INDEX(CalcAmtA,$M116),"")</f>
        <v/>
      </c>
      <c r="J116" s="29">
        <f>IF($B116="","",IF($J115="",$C$8,$J115)+IF($I116="",0,$I116)+IF($E116="",0,$E116)-IF($H116="",0,$H116))</f>
        <v/>
      </c>
      <c r="K116" s="30">
        <f>IF($M116&lt;&gt;"",IF(INDEX(CalcNoteA,$M116)="","—",INDEX(CalcNoteA,$M116)),IF($N116&lt;&gt;"",IF(INDEX(CalcNoteB,$N116)="","—",INDEX(CalcNoteB,$N116)),""))</f>
        <v/>
      </c>
      <c r="M116">
        <f>IFERROR(MATCH($C$5&amp;"|"&amp;RIGHT("000000"&amp;100,6),CalcRankKeyA,0),"")</f>
        <v/>
      </c>
      <c r="N116">
        <f>IFERROR(MATCH($C$5&amp;"|"&amp;RIGHT("000000"&amp;100,6),CalcRankKeyB,0),"")</f>
        <v/>
      </c>
    </row>
    <row r="117">
      <c r="A117" s="21" t="n">
        <v>101</v>
      </c>
      <c r="B117" s="22">
        <f>IF(AND($M117="",$N117=""),"",IF($M117&lt;&gt;"",INDEX(CalcDateA,$M117),INDEX(CalcDateB,$N117)))</f>
        <v/>
      </c>
      <c r="C117" s="22">
        <f>IF($M117&lt;&gt;"","خرید سبد",IF($N117&lt;&gt;"",IF(N(INDEX(CalcDepB,$N117))&gt;0,"دریافت بانکی","پرداخت بانکی"),""))</f>
        <v/>
      </c>
      <c r="D117" s="22">
        <f>IF($M117&lt;&gt;"",IF(INDEX(CalcDocA,$M117)="","—",INDEX(CalcDocA,$M117)),IF($N117&lt;&gt;"",INDEX(CalcBankB,$N117),""))</f>
        <v/>
      </c>
      <c r="E117" s="23">
        <f>IF($N117&lt;&gt;"",IF(INDEX(CalcDepB,$N117)=0,"",INDEX(CalcDepB,$N117)),"")</f>
        <v/>
      </c>
      <c r="F117" s="23">
        <f>IF($M117&lt;&gt;"",IF(INDEX(CalcQtyA,$M117)=0,"",INDEX(CalcQtyA,$M117)),"")</f>
        <v/>
      </c>
      <c r="G117" s="23">
        <f>IF($M117&lt;&gt;"",IF(INDEX(CalcPriceA,$M117)=0,"",INDEX(CalcPriceA,$M117)),"")</f>
        <v/>
      </c>
      <c r="H117" s="23">
        <f>IF($N117&lt;&gt;"",IF(INDEX(CalcWitB,$N117)=0,"",INDEX(CalcWitB,$N117)),"")</f>
        <v/>
      </c>
      <c r="I117" s="24">
        <f>IF($M117&lt;&gt;"",INDEX(CalcAmtA,$M117),"")</f>
        <v/>
      </c>
      <c r="J117" s="24">
        <f>IF($B117="","",IF($J116="",$C$8,$J116)+IF($I117="",0,$I117)+IF($E117="",0,$E117)-IF($H117="",0,$H117))</f>
        <v/>
      </c>
      <c r="K117" s="25">
        <f>IF($M117&lt;&gt;"",IF(INDEX(CalcNoteA,$M117)="","—",INDEX(CalcNoteA,$M117)),IF($N117&lt;&gt;"",IF(INDEX(CalcNoteB,$N117)="","—",INDEX(CalcNoteB,$N117)),""))</f>
        <v/>
      </c>
      <c r="M117">
        <f>IFERROR(MATCH($C$5&amp;"|"&amp;RIGHT("000000"&amp;101,6),CalcRankKeyA,0),"")</f>
        <v/>
      </c>
      <c r="N117">
        <f>IFERROR(MATCH($C$5&amp;"|"&amp;RIGHT("000000"&amp;101,6),CalcRankKeyB,0),"")</f>
        <v/>
      </c>
    </row>
    <row r="118">
      <c r="A118" s="26" t="n">
        <v>102</v>
      </c>
      <c r="B118" s="27">
        <f>IF(AND($M118="",$N118=""),"",IF($M118&lt;&gt;"",INDEX(CalcDateA,$M118),INDEX(CalcDateB,$N118)))</f>
        <v/>
      </c>
      <c r="C118" s="27">
        <f>IF($M118&lt;&gt;"","خرید سبد",IF($N118&lt;&gt;"",IF(N(INDEX(CalcDepB,$N118))&gt;0,"دریافت بانکی","پرداخت بانکی"),""))</f>
        <v/>
      </c>
      <c r="D118" s="27">
        <f>IF($M118&lt;&gt;"",IF(INDEX(CalcDocA,$M118)="","—",INDEX(CalcDocA,$M118)),IF($N118&lt;&gt;"",INDEX(CalcBankB,$N118),""))</f>
        <v/>
      </c>
      <c r="E118" s="28">
        <f>IF($N118&lt;&gt;"",IF(INDEX(CalcDepB,$N118)=0,"",INDEX(CalcDepB,$N118)),"")</f>
        <v/>
      </c>
      <c r="F118" s="28">
        <f>IF($M118&lt;&gt;"",IF(INDEX(CalcQtyA,$M118)=0,"",INDEX(CalcQtyA,$M118)),"")</f>
        <v/>
      </c>
      <c r="G118" s="28">
        <f>IF($M118&lt;&gt;"",IF(INDEX(CalcPriceA,$M118)=0,"",INDEX(CalcPriceA,$M118)),"")</f>
        <v/>
      </c>
      <c r="H118" s="28">
        <f>IF($N118&lt;&gt;"",IF(INDEX(CalcWitB,$N118)=0,"",INDEX(CalcWitB,$N118)),"")</f>
        <v/>
      </c>
      <c r="I118" s="29">
        <f>IF($M118&lt;&gt;"",INDEX(CalcAmtA,$M118),"")</f>
        <v/>
      </c>
      <c r="J118" s="29">
        <f>IF($B118="","",IF($J117="",$C$8,$J117)+IF($I118="",0,$I118)+IF($E118="",0,$E118)-IF($H118="",0,$H118))</f>
        <v/>
      </c>
      <c r="K118" s="30">
        <f>IF($M118&lt;&gt;"",IF(INDEX(CalcNoteA,$M118)="","—",INDEX(CalcNoteA,$M118)),IF($N118&lt;&gt;"",IF(INDEX(CalcNoteB,$N118)="","—",INDEX(CalcNoteB,$N118)),""))</f>
        <v/>
      </c>
      <c r="M118">
        <f>IFERROR(MATCH($C$5&amp;"|"&amp;RIGHT("000000"&amp;102,6),CalcRankKeyA,0),"")</f>
        <v/>
      </c>
      <c r="N118">
        <f>IFERROR(MATCH($C$5&amp;"|"&amp;RIGHT("000000"&amp;102,6),CalcRankKeyB,0),"")</f>
        <v/>
      </c>
    </row>
    <row r="119">
      <c r="A119" s="21" t="n">
        <v>103</v>
      </c>
      <c r="B119" s="22">
        <f>IF(AND($M119="",$N119=""),"",IF($M119&lt;&gt;"",INDEX(CalcDateA,$M119),INDEX(CalcDateB,$N119)))</f>
        <v/>
      </c>
      <c r="C119" s="22">
        <f>IF($M119&lt;&gt;"","خرید سبد",IF($N119&lt;&gt;"",IF(N(INDEX(CalcDepB,$N119))&gt;0,"دریافت بانکی","پرداخت بانکی"),""))</f>
        <v/>
      </c>
      <c r="D119" s="22">
        <f>IF($M119&lt;&gt;"",IF(INDEX(CalcDocA,$M119)="","—",INDEX(CalcDocA,$M119)),IF($N119&lt;&gt;"",INDEX(CalcBankB,$N119),""))</f>
        <v/>
      </c>
      <c r="E119" s="23">
        <f>IF($N119&lt;&gt;"",IF(INDEX(CalcDepB,$N119)=0,"",INDEX(CalcDepB,$N119)),"")</f>
        <v/>
      </c>
      <c r="F119" s="23">
        <f>IF($M119&lt;&gt;"",IF(INDEX(CalcQtyA,$M119)=0,"",INDEX(CalcQtyA,$M119)),"")</f>
        <v/>
      </c>
      <c r="G119" s="23">
        <f>IF($M119&lt;&gt;"",IF(INDEX(CalcPriceA,$M119)=0,"",INDEX(CalcPriceA,$M119)),"")</f>
        <v/>
      </c>
      <c r="H119" s="23">
        <f>IF($N119&lt;&gt;"",IF(INDEX(CalcWitB,$N119)=0,"",INDEX(CalcWitB,$N119)),"")</f>
        <v/>
      </c>
      <c r="I119" s="24">
        <f>IF($M119&lt;&gt;"",INDEX(CalcAmtA,$M119),"")</f>
        <v/>
      </c>
      <c r="J119" s="24">
        <f>IF($B119="","",IF($J118="",$C$8,$J118)+IF($I119="",0,$I119)+IF($E119="",0,$E119)-IF($H119="",0,$H119))</f>
        <v/>
      </c>
      <c r="K119" s="25">
        <f>IF($M119&lt;&gt;"",IF(INDEX(CalcNoteA,$M119)="","—",INDEX(CalcNoteA,$M119)),IF($N119&lt;&gt;"",IF(INDEX(CalcNoteB,$N119)="","—",INDEX(CalcNoteB,$N119)),""))</f>
        <v/>
      </c>
      <c r="M119">
        <f>IFERROR(MATCH($C$5&amp;"|"&amp;RIGHT("000000"&amp;103,6),CalcRankKeyA,0),"")</f>
        <v/>
      </c>
      <c r="N119">
        <f>IFERROR(MATCH($C$5&amp;"|"&amp;RIGHT("000000"&amp;103,6),CalcRankKeyB,0),"")</f>
        <v/>
      </c>
    </row>
    <row r="120">
      <c r="A120" s="26" t="n">
        <v>104</v>
      </c>
      <c r="B120" s="27">
        <f>IF(AND($M120="",$N120=""),"",IF($M120&lt;&gt;"",INDEX(CalcDateA,$M120),INDEX(CalcDateB,$N120)))</f>
        <v/>
      </c>
      <c r="C120" s="27">
        <f>IF($M120&lt;&gt;"","خرید سبد",IF($N120&lt;&gt;"",IF(N(INDEX(CalcDepB,$N120))&gt;0,"دریافت بانکی","پرداخت بانکی"),""))</f>
        <v/>
      </c>
      <c r="D120" s="27">
        <f>IF($M120&lt;&gt;"",IF(INDEX(CalcDocA,$M120)="","—",INDEX(CalcDocA,$M120)),IF($N120&lt;&gt;"",INDEX(CalcBankB,$N120),""))</f>
        <v/>
      </c>
      <c r="E120" s="28">
        <f>IF($N120&lt;&gt;"",IF(INDEX(CalcDepB,$N120)=0,"",INDEX(CalcDepB,$N120)),"")</f>
        <v/>
      </c>
      <c r="F120" s="28">
        <f>IF($M120&lt;&gt;"",IF(INDEX(CalcQtyA,$M120)=0,"",INDEX(CalcQtyA,$M120)),"")</f>
        <v/>
      </c>
      <c r="G120" s="28">
        <f>IF($M120&lt;&gt;"",IF(INDEX(CalcPriceA,$M120)=0,"",INDEX(CalcPriceA,$M120)),"")</f>
        <v/>
      </c>
      <c r="H120" s="28">
        <f>IF($N120&lt;&gt;"",IF(INDEX(CalcWitB,$N120)=0,"",INDEX(CalcWitB,$N120)),"")</f>
        <v/>
      </c>
      <c r="I120" s="29">
        <f>IF($M120&lt;&gt;"",INDEX(CalcAmtA,$M120),"")</f>
        <v/>
      </c>
      <c r="J120" s="29">
        <f>IF($B120="","",IF($J119="",$C$8,$J119)+IF($I120="",0,$I120)+IF($E120="",0,$E120)-IF($H120="",0,$H120))</f>
        <v/>
      </c>
      <c r="K120" s="30">
        <f>IF($M120&lt;&gt;"",IF(INDEX(CalcNoteA,$M120)="","—",INDEX(CalcNoteA,$M120)),IF($N120&lt;&gt;"",IF(INDEX(CalcNoteB,$N120)="","—",INDEX(CalcNoteB,$N120)),""))</f>
        <v/>
      </c>
      <c r="M120">
        <f>IFERROR(MATCH($C$5&amp;"|"&amp;RIGHT("000000"&amp;104,6),CalcRankKeyA,0),"")</f>
        <v/>
      </c>
      <c r="N120">
        <f>IFERROR(MATCH($C$5&amp;"|"&amp;RIGHT("000000"&amp;104,6),CalcRankKeyB,0),"")</f>
        <v/>
      </c>
    </row>
    <row r="121">
      <c r="A121" s="21" t="n">
        <v>105</v>
      </c>
      <c r="B121" s="22">
        <f>IF(AND($M121="",$N121=""),"",IF($M121&lt;&gt;"",INDEX(CalcDateA,$M121),INDEX(CalcDateB,$N121)))</f>
        <v/>
      </c>
      <c r="C121" s="22">
        <f>IF($M121&lt;&gt;"","خرید سبد",IF($N121&lt;&gt;"",IF(N(INDEX(CalcDepB,$N121))&gt;0,"دریافت بانکی","پرداخت بانکی"),""))</f>
        <v/>
      </c>
      <c r="D121" s="22">
        <f>IF($M121&lt;&gt;"",IF(INDEX(CalcDocA,$M121)="","—",INDEX(CalcDocA,$M121)),IF($N121&lt;&gt;"",INDEX(CalcBankB,$N121),""))</f>
        <v/>
      </c>
      <c r="E121" s="23">
        <f>IF($N121&lt;&gt;"",IF(INDEX(CalcDepB,$N121)=0,"",INDEX(CalcDepB,$N121)),"")</f>
        <v/>
      </c>
      <c r="F121" s="23">
        <f>IF($M121&lt;&gt;"",IF(INDEX(CalcQtyA,$M121)=0,"",INDEX(CalcQtyA,$M121)),"")</f>
        <v/>
      </c>
      <c r="G121" s="23">
        <f>IF($M121&lt;&gt;"",IF(INDEX(CalcPriceA,$M121)=0,"",INDEX(CalcPriceA,$M121)),"")</f>
        <v/>
      </c>
      <c r="H121" s="23">
        <f>IF($N121&lt;&gt;"",IF(INDEX(CalcWitB,$N121)=0,"",INDEX(CalcWitB,$N121)),"")</f>
        <v/>
      </c>
      <c r="I121" s="24">
        <f>IF($M121&lt;&gt;"",INDEX(CalcAmtA,$M121),"")</f>
        <v/>
      </c>
      <c r="J121" s="24">
        <f>IF($B121="","",IF($J120="",$C$8,$J120)+IF($I121="",0,$I121)+IF($E121="",0,$E121)-IF($H121="",0,$H121))</f>
        <v/>
      </c>
      <c r="K121" s="25">
        <f>IF($M121&lt;&gt;"",IF(INDEX(CalcNoteA,$M121)="","—",INDEX(CalcNoteA,$M121)),IF($N121&lt;&gt;"",IF(INDEX(CalcNoteB,$N121)="","—",INDEX(CalcNoteB,$N121)),""))</f>
        <v/>
      </c>
      <c r="M121">
        <f>IFERROR(MATCH($C$5&amp;"|"&amp;RIGHT("000000"&amp;105,6),CalcRankKeyA,0),"")</f>
        <v/>
      </c>
      <c r="N121">
        <f>IFERROR(MATCH($C$5&amp;"|"&amp;RIGHT("000000"&amp;105,6),CalcRankKeyB,0),"")</f>
        <v/>
      </c>
    </row>
    <row r="122">
      <c r="A122" s="26" t="n">
        <v>106</v>
      </c>
      <c r="B122" s="27">
        <f>IF(AND($M122="",$N122=""),"",IF($M122&lt;&gt;"",INDEX(CalcDateA,$M122),INDEX(CalcDateB,$N122)))</f>
        <v/>
      </c>
      <c r="C122" s="27">
        <f>IF($M122&lt;&gt;"","خرید سبد",IF($N122&lt;&gt;"",IF(N(INDEX(CalcDepB,$N122))&gt;0,"دریافت بانکی","پرداخت بانکی"),""))</f>
        <v/>
      </c>
      <c r="D122" s="27">
        <f>IF($M122&lt;&gt;"",IF(INDEX(CalcDocA,$M122)="","—",INDEX(CalcDocA,$M122)),IF($N122&lt;&gt;"",INDEX(CalcBankB,$N122),""))</f>
        <v/>
      </c>
      <c r="E122" s="28">
        <f>IF($N122&lt;&gt;"",IF(INDEX(CalcDepB,$N122)=0,"",INDEX(CalcDepB,$N122)),"")</f>
        <v/>
      </c>
      <c r="F122" s="28">
        <f>IF($M122&lt;&gt;"",IF(INDEX(CalcQtyA,$M122)=0,"",INDEX(CalcQtyA,$M122)),"")</f>
        <v/>
      </c>
      <c r="G122" s="28">
        <f>IF($M122&lt;&gt;"",IF(INDEX(CalcPriceA,$M122)=0,"",INDEX(CalcPriceA,$M122)),"")</f>
        <v/>
      </c>
      <c r="H122" s="28">
        <f>IF($N122&lt;&gt;"",IF(INDEX(CalcWitB,$N122)=0,"",INDEX(CalcWitB,$N122)),"")</f>
        <v/>
      </c>
      <c r="I122" s="29">
        <f>IF($M122&lt;&gt;"",INDEX(CalcAmtA,$M122),"")</f>
        <v/>
      </c>
      <c r="J122" s="29">
        <f>IF($B122="","",IF($J121="",$C$8,$J121)+IF($I122="",0,$I122)+IF($E122="",0,$E122)-IF($H122="",0,$H122))</f>
        <v/>
      </c>
      <c r="K122" s="30">
        <f>IF($M122&lt;&gt;"",IF(INDEX(CalcNoteA,$M122)="","—",INDEX(CalcNoteA,$M122)),IF($N122&lt;&gt;"",IF(INDEX(CalcNoteB,$N122)="","—",INDEX(CalcNoteB,$N122)),""))</f>
        <v/>
      </c>
      <c r="M122">
        <f>IFERROR(MATCH($C$5&amp;"|"&amp;RIGHT("000000"&amp;106,6),CalcRankKeyA,0),"")</f>
        <v/>
      </c>
      <c r="N122">
        <f>IFERROR(MATCH($C$5&amp;"|"&amp;RIGHT("000000"&amp;106,6),CalcRankKeyB,0),"")</f>
        <v/>
      </c>
    </row>
    <row r="123">
      <c r="A123" s="21" t="n">
        <v>107</v>
      </c>
      <c r="B123" s="22">
        <f>IF(AND($M123="",$N123=""),"",IF($M123&lt;&gt;"",INDEX(CalcDateA,$M123),INDEX(CalcDateB,$N123)))</f>
        <v/>
      </c>
      <c r="C123" s="22">
        <f>IF($M123&lt;&gt;"","خرید سبد",IF($N123&lt;&gt;"",IF(N(INDEX(CalcDepB,$N123))&gt;0,"دریافت بانکی","پرداخت بانکی"),""))</f>
        <v/>
      </c>
      <c r="D123" s="22">
        <f>IF($M123&lt;&gt;"",IF(INDEX(CalcDocA,$M123)="","—",INDEX(CalcDocA,$M123)),IF($N123&lt;&gt;"",INDEX(CalcBankB,$N123),""))</f>
        <v/>
      </c>
      <c r="E123" s="23">
        <f>IF($N123&lt;&gt;"",IF(INDEX(CalcDepB,$N123)=0,"",INDEX(CalcDepB,$N123)),"")</f>
        <v/>
      </c>
      <c r="F123" s="23">
        <f>IF($M123&lt;&gt;"",IF(INDEX(CalcQtyA,$M123)=0,"",INDEX(CalcQtyA,$M123)),"")</f>
        <v/>
      </c>
      <c r="G123" s="23">
        <f>IF($M123&lt;&gt;"",IF(INDEX(CalcPriceA,$M123)=0,"",INDEX(CalcPriceA,$M123)),"")</f>
        <v/>
      </c>
      <c r="H123" s="23">
        <f>IF($N123&lt;&gt;"",IF(INDEX(CalcWitB,$N123)=0,"",INDEX(CalcWitB,$N123)),"")</f>
        <v/>
      </c>
      <c r="I123" s="24">
        <f>IF($M123&lt;&gt;"",INDEX(CalcAmtA,$M123),"")</f>
        <v/>
      </c>
      <c r="J123" s="24">
        <f>IF($B123="","",IF($J122="",$C$8,$J122)+IF($I123="",0,$I123)+IF($E123="",0,$E123)-IF($H123="",0,$H123))</f>
        <v/>
      </c>
      <c r="K123" s="25">
        <f>IF($M123&lt;&gt;"",IF(INDEX(CalcNoteA,$M123)="","—",INDEX(CalcNoteA,$M123)),IF($N123&lt;&gt;"",IF(INDEX(CalcNoteB,$N123)="","—",INDEX(CalcNoteB,$N123)),""))</f>
        <v/>
      </c>
      <c r="M123">
        <f>IFERROR(MATCH($C$5&amp;"|"&amp;RIGHT("000000"&amp;107,6),CalcRankKeyA,0),"")</f>
        <v/>
      </c>
      <c r="N123">
        <f>IFERROR(MATCH($C$5&amp;"|"&amp;RIGHT("000000"&amp;107,6),CalcRankKeyB,0),"")</f>
        <v/>
      </c>
    </row>
    <row r="124">
      <c r="A124" s="26" t="n">
        <v>108</v>
      </c>
      <c r="B124" s="27">
        <f>IF(AND($M124="",$N124=""),"",IF($M124&lt;&gt;"",INDEX(CalcDateA,$M124),INDEX(CalcDateB,$N124)))</f>
        <v/>
      </c>
      <c r="C124" s="27">
        <f>IF($M124&lt;&gt;"","خرید سبد",IF($N124&lt;&gt;"",IF(N(INDEX(CalcDepB,$N124))&gt;0,"دریافت بانکی","پرداخت بانکی"),""))</f>
        <v/>
      </c>
      <c r="D124" s="27">
        <f>IF($M124&lt;&gt;"",IF(INDEX(CalcDocA,$M124)="","—",INDEX(CalcDocA,$M124)),IF($N124&lt;&gt;"",INDEX(CalcBankB,$N124),""))</f>
        <v/>
      </c>
      <c r="E124" s="28">
        <f>IF($N124&lt;&gt;"",IF(INDEX(CalcDepB,$N124)=0,"",INDEX(CalcDepB,$N124)),"")</f>
        <v/>
      </c>
      <c r="F124" s="28">
        <f>IF($M124&lt;&gt;"",IF(INDEX(CalcQtyA,$M124)=0,"",INDEX(CalcQtyA,$M124)),"")</f>
        <v/>
      </c>
      <c r="G124" s="28">
        <f>IF($M124&lt;&gt;"",IF(INDEX(CalcPriceA,$M124)=0,"",INDEX(CalcPriceA,$M124)),"")</f>
        <v/>
      </c>
      <c r="H124" s="28">
        <f>IF($N124&lt;&gt;"",IF(INDEX(CalcWitB,$N124)=0,"",INDEX(CalcWitB,$N124)),"")</f>
        <v/>
      </c>
      <c r="I124" s="29">
        <f>IF($M124&lt;&gt;"",INDEX(CalcAmtA,$M124),"")</f>
        <v/>
      </c>
      <c r="J124" s="29">
        <f>IF($B124="","",IF($J123="",$C$8,$J123)+IF($I124="",0,$I124)+IF($E124="",0,$E124)-IF($H124="",0,$H124))</f>
        <v/>
      </c>
      <c r="K124" s="30">
        <f>IF($M124&lt;&gt;"",IF(INDEX(CalcNoteA,$M124)="","—",INDEX(CalcNoteA,$M124)),IF($N124&lt;&gt;"",IF(INDEX(CalcNoteB,$N124)="","—",INDEX(CalcNoteB,$N124)),""))</f>
        <v/>
      </c>
      <c r="M124">
        <f>IFERROR(MATCH($C$5&amp;"|"&amp;RIGHT("000000"&amp;108,6),CalcRankKeyA,0),"")</f>
        <v/>
      </c>
      <c r="N124">
        <f>IFERROR(MATCH($C$5&amp;"|"&amp;RIGHT("000000"&amp;108,6),CalcRankKeyB,0),"")</f>
        <v/>
      </c>
    </row>
    <row r="125">
      <c r="A125" s="21" t="n">
        <v>109</v>
      </c>
      <c r="B125" s="22">
        <f>IF(AND($M125="",$N125=""),"",IF($M125&lt;&gt;"",INDEX(CalcDateA,$M125),INDEX(CalcDateB,$N125)))</f>
        <v/>
      </c>
      <c r="C125" s="22">
        <f>IF($M125&lt;&gt;"","خرید سبد",IF($N125&lt;&gt;"",IF(N(INDEX(CalcDepB,$N125))&gt;0,"دریافت بانکی","پرداخت بانکی"),""))</f>
        <v/>
      </c>
      <c r="D125" s="22">
        <f>IF($M125&lt;&gt;"",IF(INDEX(CalcDocA,$M125)="","—",INDEX(CalcDocA,$M125)),IF($N125&lt;&gt;"",INDEX(CalcBankB,$N125),""))</f>
        <v/>
      </c>
      <c r="E125" s="23">
        <f>IF($N125&lt;&gt;"",IF(INDEX(CalcDepB,$N125)=0,"",INDEX(CalcDepB,$N125)),"")</f>
        <v/>
      </c>
      <c r="F125" s="23">
        <f>IF($M125&lt;&gt;"",IF(INDEX(CalcQtyA,$M125)=0,"",INDEX(CalcQtyA,$M125)),"")</f>
        <v/>
      </c>
      <c r="G125" s="23">
        <f>IF($M125&lt;&gt;"",IF(INDEX(CalcPriceA,$M125)=0,"",INDEX(CalcPriceA,$M125)),"")</f>
        <v/>
      </c>
      <c r="H125" s="23">
        <f>IF($N125&lt;&gt;"",IF(INDEX(CalcWitB,$N125)=0,"",INDEX(CalcWitB,$N125)),"")</f>
        <v/>
      </c>
      <c r="I125" s="24">
        <f>IF($M125&lt;&gt;"",INDEX(CalcAmtA,$M125),"")</f>
        <v/>
      </c>
      <c r="J125" s="24">
        <f>IF($B125="","",IF($J124="",$C$8,$J124)+IF($I125="",0,$I125)+IF($E125="",0,$E125)-IF($H125="",0,$H125))</f>
        <v/>
      </c>
      <c r="K125" s="25">
        <f>IF($M125&lt;&gt;"",IF(INDEX(CalcNoteA,$M125)="","—",INDEX(CalcNoteA,$M125)),IF($N125&lt;&gt;"",IF(INDEX(CalcNoteB,$N125)="","—",INDEX(CalcNoteB,$N125)),""))</f>
        <v/>
      </c>
      <c r="M125">
        <f>IFERROR(MATCH($C$5&amp;"|"&amp;RIGHT("000000"&amp;109,6),CalcRankKeyA,0),"")</f>
        <v/>
      </c>
      <c r="N125">
        <f>IFERROR(MATCH($C$5&amp;"|"&amp;RIGHT("000000"&amp;109,6),CalcRankKeyB,0),"")</f>
        <v/>
      </c>
    </row>
    <row r="126">
      <c r="A126" s="26" t="n">
        <v>110</v>
      </c>
      <c r="B126" s="27">
        <f>IF(AND($M126="",$N126=""),"",IF($M126&lt;&gt;"",INDEX(CalcDateA,$M126),INDEX(CalcDateB,$N126)))</f>
        <v/>
      </c>
      <c r="C126" s="27">
        <f>IF($M126&lt;&gt;"","خرید سبد",IF($N126&lt;&gt;"",IF(N(INDEX(CalcDepB,$N126))&gt;0,"دریافت بانکی","پرداخت بانکی"),""))</f>
        <v/>
      </c>
      <c r="D126" s="27">
        <f>IF($M126&lt;&gt;"",IF(INDEX(CalcDocA,$M126)="","—",INDEX(CalcDocA,$M126)),IF($N126&lt;&gt;"",INDEX(CalcBankB,$N126),""))</f>
        <v/>
      </c>
      <c r="E126" s="28">
        <f>IF($N126&lt;&gt;"",IF(INDEX(CalcDepB,$N126)=0,"",INDEX(CalcDepB,$N126)),"")</f>
        <v/>
      </c>
      <c r="F126" s="28">
        <f>IF($M126&lt;&gt;"",IF(INDEX(CalcQtyA,$M126)=0,"",INDEX(CalcQtyA,$M126)),"")</f>
        <v/>
      </c>
      <c r="G126" s="28">
        <f>IF($M126&lt;&gt;"",IF(INDEX(CalcPriceA,$M126)=0,"",INDEX(CalcPriceA,$M126)),"")</f>
        <v/>
      </c>
      <c r="H126" s="28">
        <f>IF($N126&lt;&gt;"",IF(INDEX(CalcWitB,$N126)=0,"",INDEX(CalcWitB,$N126)),"")</f>
        <v/>
      </c>
      <c r="I126" s="29">
        <f>IF($M126&lt;&gt;"",INDEX(CalcAmtA,$M126),"")</f>
        <v/>
      </c>
      <c r="J126" s="29">
        <f>IF($B126="","",IF($J125="",$C$8,$J125)+IF($I126="",0,$I126)+IF($E126="",0,$E126)-IF($H126="",0,$H126))</f>
        <v/>
      </c>
      <c r="K126" s="30">
        <f>IF($M126&lt;&gt;"",IF(INDEX(CalcNoteA,$M126)="","—",INDEX(CalcNoteA,$M126)),IF($N126&lt;&gt;"",IF(INDEX(CalcNoteB,$N126)="","—",INDEX(CalcNoteB,$N126)),""))</f>
        <v/>
      </c>
      <c r="M126">
        <f>IFERROR(MATCH($C$5&amp;"|"&amp;RIGHT("000000"&amp;110,6),CalcRankKeyA,0),"")</f>
        <v/>
      </c>
      <c r="N126">
        <f>IFERROR(MATCH($C$5&amp;"|"&amp;RIGHT("000000"&amp;110,6),CalcRankKeyB,0),"")</f>
        <v/>
      </c>
    </row>
    <row r="127">
      <c r="A127" s="21" t="n">
        <v>111</v>
      </c>
      <c r="B127" s="22">
        <f>IF(AND($M127="",$N127=""),"",IF($M127&lt;&gt;"",INDEX(CalcDateA,$M127),INDEX(CalcDateB,$N127)))</f>
        <v/>
      </c>
      <c r="C127" s="22">
        <f>IF($M127&lt;&gt;"","خرید سبد",IF($N127&lt;&gt;"",IF(N(INDEX(CalcDepB,$N127))&gt;0,"دریافت بانکی","پرداخت بانکی"),""))</f>
        <v/>
      </c>
      <c r="D127" s="22">
        <f>IF($M127&lt;&gt;"",IF(INDEX(CalcDocA,$M127)="","—",INDEX(CalcDocA,$M127)),IF($N127&lt;&gt;"",INDEX(CalcBankB,$N127),""))</f>
        <v/>
      </c>
      <c r="E127" s="23">
        <f>IF($N127&lt;&gt;"",IF(INDEX(CalcDepB,$N127)=0,"",INDEX(CalcDepB,$N127)),"")</f>
        <v/>
      </c>
      <c r="F127" s="23">
        <f>IF($M127&lt;&gt;"",IF(INDEX(CalcQtyA,$M127)=0,"",INDEX(CalcQtyA,$M127)),"")</f>
        <v/>
      </c>
      <c r="G127" s="23">
        <f>IF($M127&lt;&gt;"",IF(INDEX(CalcPriceA,$M127)=0,"",INDEX(CalcPriceA,$M127)),"")</f>
        <v/>
      </c>
      <c r="H127" s="23">
        <f>IF($N127&lt;&gt;"",IF(INDEX(CalcWitB,$N127)=0,"",INDEX(CalcWitB,$N127)),"")</f>
        <v/>
      </c>
      <c r="I127" s="24">
        <f>IF($M127&lt;&gt;"",INDEX(CalcAmtA,$M127),"")</f>
        <v/>
      </c>
      <c r="J127" s="24">
        <f>IF($B127="","",IF($J126="",$C$8,$J126)+IF($I127="",0,$I127)+IF($E127="",0,$E127)-IF($H127="",0,$H127))</f>
        <v/>
      </c>
      <c r="K127" s="25">
        <f>IF($M127&lt;&gt;"",IF(INDEX(CalcNoteA,$M127)="","—",INDEX(CalcNoteA,$M127)),IF($N127&lt;&gt;"",IF(INDEX(CalcNoteB,$N127)="","—",INDEX(CalcNoteB,$N127)),""))</f>
        <v/>
      </c>
      <c r="M127">
        <f>IFERROR(MATCH($C$5&amp;"|"&amp;RIGHT("000000"&amp;111,6),CalcRankKeyA,0),"")</f>
        <v/>
      </c>
      <c r="N127">
        <f>IFERROR(MATCH($C$5&amp;"|"&amp;RIGHT("000000"&amp;111,6),CalcRankKeyB,0),"")</f>
        <v/>
      </c>
    </row>
    <row r="128">
      <c r="A128" s="26" t="n">
        <v>112</v>
      </c>
      <c r="B128" s="27">
        <f>IF(AND($M128="",$N128=""),"",IF($M128&lt;&gt;"",INDEX(CalcDateA,$M128),INDEX(CalcDateB,$N128)))</f>
        <v/>
      </c>
      <c r="C128" s="27">
        <f>IF($M128&lt;&gt;"","خرید سبد",IF($N128&lt;&gt;"",IF(N(INDEX(CalcDepB,$N128))&gt;0,"دریافت بانکی","پرداخت بانکی"),""))</f>
        <v/>
      </c>
      <c r="D128" s="27">
        <f>IF($M128&lt;&gt;"",IF(INDEX(CalcDocA,$M128)="","—",INDEX(CalcDocA,$M128)),IF($N128&lt;&gt;"",INDEX(CalcBankB,$N128),""))</f>
        <v/>
      </c>
      <c r="E128" s="28">
        <f>IF($N128&lt;&gt;"",IF(INDEX(CalcDepB,$N128)=0,"",INDEX(CalcDepB,$N128)),"")</f>
        <v/>
      </c>
      <c r="F128" s="28">
        <f>IF($M128&lt;&gt;"",IF(INDEX(CalcQtyA,$M128)=0,"",INDEX(CalcQtyA,$M128)),"")</f>
        <v/>
      </c>
      <c r="G128" s="28">
        <f>IF($M128&lt;&gt;"",IF(INDEX(CalcPriceA,$M128)=0,"",INDEX(CalcPriceA,$M128)),"")</f>
        <v/>
      </c>
      <c r="H128" s="28">
        <f>IF($N128&lt;&gt;"",IF(INDEX(CalcWitB,$N128)=0,"",INDEX(CalcWitB,$N128)),"")</f>
        <v/>
      </c>
      <c r="I128" s="29">
        <f>IF($M128&lt;&gt;"",INDEX(CalcAmtA,$M128),"")</f>
        <v/>
      </c>
      <c r="J128" s="29">
        <f>IF($B128="","",IF($J127="",$C$8,$J127)+IF($I128="",0,$I128)+IF($E128="",0,$E128)-IF($H128="",0,$H128))</f>
        <v/>
      </c>
      <c r="K128" s="30">
        <f>IF($M128&lt;&gt;"",IF(INDEX(CalcNoteA,$M128)="","—",INDEX(CalcNoteA,$M128)),IF($N128&lt;&gt;"",IF(INDEX(CalcNoteB,$N128)="","—",INDEX(CalcNoteB,$N128)),""))</f>
        <v/>
      </c>
      <c r="M128">
        <f>IFERROR(MATCH($C$5&amp;"|"&amp;RIGHT("000000"&amp;112,6),CalcRankKeyA,0),"")</f>
        <v/>
      </c>
      <c r="N128">
        <f>IFERROR(MATCH($C$5&amp;"|"&amp;RIGHT("000000"&amp;112,6),CalcRankKeyB,0),"")</f>
        <v/>
      </c>
    </row>
    <row r="129">
      <c r="A129" s="21" t="n">
        <v>113</v>
      </c>
      <c r="B129" s="22">
        <f>IF(AND($M129="",$N129=""),"",IF($M129&lt;&gt;"",INDEX(CalcDateA,$M129),INDEX(CalcDateB,$N129)))</f>
        <v/>
      </c>
      <c r="C129" s="22">
        <f>IF($M129&lt;&gt;"","خرید سبد",IF($N129&lt;&gt;"",IF(N(INDEX(CalcDepB,$N129))&gt;0,"دریافت بانکی","پرداخت بانکی"),""))</f>
        <v/>
      </c>
      <c r="D129" s="22">
        <f>IF($M129&lt;&gt;"",IF(INDEX(CalcDocA,$M129)="","—",INDEX(CalcDocA,$M129)),IF($N129&lt;&gt;"",INDEX(CalcBankB,$N129),""))</f>
        <v/>
      </c>
      <c r="E129" s="23">
        <f>IF($N129&lt;&gt;"",IF(INDEX(CalcDepB,$N129)=0,"",INDEX(CalcDepB,$N129)),"")</f>
        <v/>
      </c>
      <c r="F129" s="23">
        <f>IF($M129&lt;&gt;"",IF(INDEX(CalcQtyA,$M129)=0,"",INDEX(CalcQtyA,$M129)),"")</f>
        <v/>
      </c>
      <c r="G129" s="23">
        <f>IF($M129&lt;&gt;"",IF(INDEX(CalcPriceA,$M129)=0,"",INDEX(CalcPriceA,$M129)),"")</f>
        <v/>
      </c>
      <c r="H129" s="23">
        <f>IF($N129&lt;&gt;"",IF(INDEX(CalcWitB,$N129)=0,"",INDEX(CalcWitB,$N129)),"")</f>
        <v/>
      </c>
      <c r="I129" s="24">
        <f>IF($M129&lt;&gt;"",INDEX(CalcAmtA,$M129),"")</f>
        <v/>
      </c>
      <c r="J129" s="24">
        <f>IF($B129="","",IF($J128="",$C$8,$J128)+IF($I129="",0,$I129)+IF($E129="",0,$E129)-IF($H129="",0,$H129))</f>
        <v/>
      </c>
      <c r="K129" s="25">
        <f>IF($M129&lt;&gt;"",IF(INDEX(CalcNoteA,$M129)="","—",INDEX(CalcNoteA,$M129)),IF($N129&lt;&gt;"",IF(INDEX(CalcNoteB,$N129)="","—",INDEX(CalcNoteB,$N129)),""))</f>
        <v/>
      </c>
      <c r="M129">
        <f>IFERROR(MATCH($C$5&amp;"|"&amp;RIGHT("000000"&amp;113,6),CalcRankKeyA,0),"")</f>
        <v/>
      </c>
      <c r="N129">
        <f>IFERROR(MATCH($C$5&amp;"|"&amp;RIGHT("000000"&amp;113,6),CalcRankKeyB,0),"")</f>
        <v/>
      </c>
    </row>
    <row r="130">
      <c r="A130" s="26" t="n">
        <v>114</v>
      </c>
      <c r="B130" s="27">
        <f>IF(AND($M130="",$N130=""),"",IF($M130&lt;&gt;"",INDEX(CalcDateA,$M130),INDEX(CalcDateB,$N130)))</f>
        <v/>
      </c>
      <c r="C130" s="27">
        <f>IF($M130&lt;&gt;"","خرید سبد",IF($N130&lt;&gt;"",IF(N(INDEX(CalcDepB,$N130))&gt;0,"دریافت بانکی","پرداخت بانکی"),""))</f>
        <v/>
      </c>
      <c r="D130" s="27">
        <f>IF($M130&lt;&gt;"",IF(INDEX(CalcDocA,$M130)="","—",INDEX(CalcDocA,$M130)),IF($N130&lt;&gt;"",INDEX(CalcBankB,$N130),""))</f>
        <v/>
      </c>
      <c r="E130" s="28">
        <f>IF($N130&lt;&gt;"",IF(INDEX(CalcDepB,$N130)=0,"",INDEX(CalcDepB,$N130)),"")</f>
        <v/>
      </c>
      <c r="F130" s="28">
        <f>IF($M130&lt;&gt;"",IF(INDEX(CalcQtyA,$M130)=0,"",INDEX(CalcQtyA,$M130)),"")</f>
        <v/>
      </c>
      <c r="G130" s="28">
        <f>IF($M130&lt;&gt;"",IF(INDEX(CalcPriceA,$M130)=0,"",INDEX(CalcPriceA,$M130)),"")</f>
        <v/>
      </c>
      <c r="H130" s="28">
        <f>IF($N130&lt;&gt;"",IF(INDEX(CalcWitB,$N130)=0,"",INDEX(CalcWitB,$N130)),"")</f>
        <v/>
      </c>
      <c r="I130" s="29">
        <f>IF($M130&lt;&gt;"",INDEX(CalcAmtA,$M130),"")</f>
        <v/>
      </c>
      <c r="J130" s="29">
        <f>IF($B130="","",IF($J129="",$C$8,$J129)+IF($I130="",0,$I130)+IF($E130="",0,$E130)-IF($H130="",0,$H130))</f>
        <v/>
      </c>
      <c r="K130" s="30">
        <f>IF($M130&lt;&gt;"",IF(INDEX(CalcNoteA,$M130)="","—",INDEX(CalcNoteA,$M130)),IF($N130&lt;&gt;"",IF(INDEX(CalcNoteB,$N130)="","—",INDEX(CalcNoteB,$N130)),""))</f>
        <v/>
      </c>
      <c r="M130">
        <f>IFERROR(MATCH($C$5&amp;"|"&amp;RIGHT("000000"&amp;114,6),CalcRankKeyA,0),"")</f>
        <v/>
      </c>
      <c r="N130">
        <f>IFERROR(MATCH($C$5&amp;"|"&amp;RIGHT("000000"&amp;114,6),CalcRankKeyB,0),"")</f>
        <v/>
      </c>
    </row>
    <row r="131">
      <c r="A131" s="21" t="n">
        <v>115</v>
      </c>
      <c r="B131" s="22">
        <f>IF(AND($M131="",$N131=""),"",IF($M131&lt;&gt;"",INDEX(CalcDateA,$M131),INDEX(CalcDateB,$N131)))</f>
        <v/>
      </c>
      <c r="C131" s="22">
        <f>IF($M131&lt;&gt;"","خرید سبد",IF($N131&lt;&gt;"",IF(N(INDEX(CalcDepB,$N131))&gt;0,"دریافت بانکی","پرداخت بانکی"),""))</f>
        <v/>
      </c>
      <c r="D131" s="22">
        <f>IF($M131&lt;&gt;"",IF(INDEX(CalcDocA,$M131)="","—",INDEX(CalcDocA,$M131)),IF($N131&lt;&gt;"",INDEX(CalcBankB,$N131),""))</f>
        <v/>
      </c>
      <c r="E131" s="23">
        <f>IF($N131&lt;&gt;"",IF(INDEX(CalcDepB,$N131)=0,"",INDEX(CalcDepB,$N131)),"")</f>
        <v/>
      </c>
      <c r="F131" s="23">
        <f>IF($M131&lt;&gt;"",IF(INDEX(CalcQtyA,$M131)=0,"",INDEX(CalcQtyA,$M131)),"")</f>
        <v/>
      </c>
      <c r="G131" s="23">
        <f>IF($M131&lt;&gt;"",IF(INDEX(CalcPriceA,$M131)=0,"",INDEX(CalcPriceA,$M131)),"")</f>
        <v/>
      </c>
      <c r="H131" s="23">
        <f>IF($N131&lt;&gt;"",IF(INDEX(CalcWitB,$N131)=0,"",INDEX(CalcWitB,$N131)),"")</f>
        <v/>
      </c>
      <c r="I131" s="24">
        <f>IF($M131&lt;&gt;"",INDEX(CalcAmtA,$M131),"")</f>
        <v/>
      </c>
      <c r="J131" s="24">
        <f>IF($B131="","",IF($J130="",$C$8,$J130)+IF($I131="",0,$I131)+IF($E131="",0,$E131)-IF($H131="",0,$H131))</f>
        <v/>
      </c>
      <c r="K131" s="25">
        <f>IF($M131&lt;&gt;"",IF(INDEX(CalcNoteA,$M131)="","—",INDEX(CalcNoteA,$M131)),IF($N131&lt;&gt;"",IF(INDEX(CalcNoteB,$N131)="","—",INDEX(CalcNoteB,$N131)),""))</f>
        <v/>
      </c>
      <c r="M131">
        <f>IFERROR(MATCH($C$5&amp;"|"&amp;RIGHT("000000"&amp;115,6),CalcRankKeyA,0),"")</f>
        <v/>
      </c>
      <c r="N131">
        <f>IFERROR(MATCH($C$5&amp;"|"&amp;RIGHT("000000"&amp;115,6),CalcRankKeyB,0),"")</f>
        <v/>
      </c>
    </row>
    <row r="132">
      <c r="A132" s="26" t="n">
        <v>116</v>
      </c>
      <c r="B132" s="27">
        <f>IF(AND($M132="",$N132=""),"",IF($M132&lt;&gt;"",INDEX(CalcDateA,$M132),INDEX(CalcDateB,$N132)))</f>
        <v/>
      </c>
      <c r="C132" s="27">
        <f>IF($M132&lt;&gt;"","خرید سبد",IF($N132&lt;&gt;"",IF(N(INDEX(CalcDepB,$N132))&gt;0,"دریافت بانکی","پرداخت بانکی"),""))</f>
        <v/>
      </c>
      <c r="D132" s="27">
        <f>IF($M132&lt;&gt;"",IF(INDEX(CalcDocA,$M132)="","—",INDEX(CalcDocA,$M132)),IF($N132&lt;&gt;"",INDEX(CalcBankB,$N132),""))</f>
        <v/>
      </c>
      <c r="E132" s="28">
        <f>IF($N132&lt;&gt;"",IF(INDEX(CalcDepB,$N132)=0,"",INDEX(CalcDepB,$N132)),"")</f>
        <v/>
      </c>
      <c r="F132" s="28">
        <f>IF($M132&lt;&gt;"",IF(INDEX(CalcQtyA,$M132)=0,"",INDEX(CalcQtyA,$M132)),"")</f>
        <v/>
      </c>
      <c r="G132" s="28">
        <f>IF($M132&lt;&gt;"",IF(INDEX(CalcPriceA,$M132)=0,"",INDEX(CalcPriceA,$M132)),"")</f>
        <v/>
      </c>
      <c r="H132" s="28">
        <f>IF($N132&lt;&gt;"",IF(INDEX(CalcWitB,$N132)=0,"",INDEX(CalcWitB,$N132)),"")</f>
        <v/>
      </c>
      <c r="I132" s="29">
        <f>IF($M132&lt;&gt;"",INDEX(CalcAmtA,$M132),"")</f>
        <v/>
      </c>
      <c r="J132" s="29">
        <f>IF($B132="","",IF($J131="",$C$8,$J131)+IF($I132="",0,$I132)+IF($E132="",0,$E132)-IF($H132="",0,$H132))</f>
        <v/>
      </c>
      <c r="K132" s="30">
        <f>IF($M132&lt;&gt;"",IF(INDEX(CalcNoteA,$M132)="","—",INDEX(CalcNoteA,$M132)),IF($N132&lt;&gt;"",IF(INDEX(CalcNoteB,$N132)="","—",INDEX(CalcNoteB,$N132)),""))</f>
        <v/>
      </c>
      <c r="M132">
        <f>IFERROR(MATCH($C$5&amp;"|"&amp;RIGHT("000000"&amp;116,6),CalcRankKeyA,0),"")</f>
        <v/>
      </c>
      <c r="N132">
        <f>IFERROR(MATCH($C$5&amp;"|"&amp;RIGHT("000000"&amp;116,6),CalcRankKeyB,0),"")</f>
        <v/>
      </c>
    </row>
    <row r="133">
      <c r="A133" s="21" t="n">
        <v>117</v>
      </c>
      <c r="B133" s="22">
        <f>IF(AND($M133="",$N133=""),"",IF($M133&lt;&gt;"",INDEX(CalcDateA,$M133),INDEX(CalcDateB,$N133)))</f>
        <v/>
      </c>
      <c r="C133" s="22">
        <f>IF($M133&lt;&gt;"","خرید سبد",IF($N133&lt;&gt;"",IF(N(INDEX(CalcDepB,$N133))&gt;0,"دریافت بانکی","پرداخت بانکی"),""))</f>
        <v/>
      </c>
      <c r="D133" s="22">
        <f>IF($M133&lt;&gt;"",IF(INDEX(CalcDocA,$M133)="","—",INDEX(CalcDocA,$M133)),IF($N133&lt;&gt;"",INDEX(CalcBankB,$N133),""))</f>
        <v/>
      </c>
      <c r="E133" s="23">
        <f>IF($N133&lt;&gt;"",IF(INDEX(CalcDepB,$N133)=0,"",INDEX(CalcDepB,$N133)),"")</f>
        <v/>
      </c>
      <c r="F133" s="23">
        <f>IF($M133&lt;&gt;"",IF(INDEX(CalcQtyA,$M133)=0,"",INDEX(CalcQtyA,$M133)),"")</f>
        <v/>
      </c>
      <c r="G133" s="23">
        <f>IF($M133&lt;&gt;"",IF(INDEX(CalcPriceA,$M133)=0,"",INDEX(CalcPriceA,$M133)),"")</f>
        <v/>
      </c>
      <c r="H133" s="23">
        <f>IF($N133&lt;&gt;"",IF(INDEX(CalcWitB,$N133)=0,"",INDEX(CalcWitB,$N133)),"")</f>
        <v/>
      </c>
      <c r="I133" s="24">
        <f>IF($M133&lt;&gt;"",INDEX(CalcAmtA,$M133),"")</f>
        <v/>
      </c>
      <c r="J133" s="24">
        <f>IF($B133="","",IF($J132="",$C$8,$J132)+IF($I133="",0,$I133)+IF($E133="",0,$E133)-IF($H133="",0,$H133))</f>
        <v/>
      </c>
      <c r="K133" s="25">
        <f>IF($M133&lt;&gt;"",IF(INDEX(CalcNoteA,$M133)="","—",INDEX(CalcNoteA,$M133)),IF($N133&lt;&gt;"",IF(INDEX(CalcNoteB,$N133)="","—",INDEX(CalcNoteB,$N133)),""))</f>
        <v/>
      </c>
      <c r="M133">
        <f>IFERROR(MATCH($C$5&amp;"|"&amp;RIGHT("000000"&amp;117,6),CalcRankKeyA,0),"")</f>
        <v/>
      </c>
      <c r="N133">
        <f>IFERROR(MATCH($C$5&amp;"|"&amp;RIGHT("000000"&amp;117,6),CalcRankKeyB,0),"")</f>
        <v/>
      </c>
    </row>
    <row r="134">
      <c r="A134" s="26" t="n">
        <v>118</v>
      </c>
      <c r="B134" s="27">
        <f>IF(AND($M134="",$N134=""),"",IF($M134&lt;&gt;"",INDEX(CalcDateA,$M134),INDEX(CalcDateB,$N134)))</f>
        <v/>
      </c>
      <c r="C134" s="27">
        <f>IF($M134&lt;&gt;"","خرید سبد",IF($N134&lt;&gt;"",IF(N(INDEX(CalcDepB,$N134))&gt;0,"دریافت بانکی","پرداخت بانکی"),""))</f>
        <v/>
      </c>
      <c r="D134" s="27">
        <f>IF($M134&lt;&gt;"",IF(INDEX(CalcDocA,$M134)="","—",INDEX(CalcDocA,$M134)),IF($N134&lt;&gt;"",INDEX(CalcBankB,$N134),""))</f>
        <v/>
      </c>
      <c r="E134" s="28">
        <f>IF($N134&lt;&gt;"",IF(INDEX(CalcDepB,$N134)=0,"",INDEX(CalcDepB,$N134)),"")</f>
        <v/>
      </c>
      <c r="F134" s="28">
        <f>IF($M134&lt;&gt;"",IF(INDEX(CalcQtyA,$M134)=0,"",INDEX(CalcQtyA,$M134)),"")</f>
        <v/>
      </c>
      <c r="G134" s="28">
        <f>IF($M134&lt;&gt;"",IF(INDEX(CalcPriceA,$M134)=0,"",INDEX(CalcPriceA,$M134)),"")</f>
        <v/>
      </c>
      <c r="H134" s="28">
        <f>IF($N134&lt;&gt;"",IF(INDEX(CalcWitB,$N134)=0,"",INDEX(CalcWitB,$N134)),"")</f>
        <v/>
      </c>
      <c r="I134" s="29">
        <f>IF($M134&lt;&gt;"",INDEX(CalcAmtA,$M134),"")</f>
        <v/>
      </c>
      <c r="J134" s="29">
        <f>IF($B134="","",IF($J133="",$C$8,$J133)+IF($I134="",0,$I134)+IF($E134="",0,$E134)-IF($H134="",0,$H134))</f>
        <v/>
      </c>
      <c r="K134" s="30">
        <f>IF($M134&lt;&gt;"",IF(INDEX(CalcNoteA,$M134)="","—",INDEX(CalcNoteA,$M134)),IF($N134&lt;&gt;"",IF(INDEX(CalcNoteB,$N134)="","—",INDEX(CalcNoteB,$N134)),""))</f>
        <v/>
      </c>
      <c r="M134">
        <f>IFERROR(MATCH($C$5&amp;"|"&amp;RIGHT("000000"&amp;118,6),CalcRankKeyA,0),"")</f>
        <v/>
      </c>
      <c r="N134">
        <f>IFERROR(MATCH($C$5&amp;"|"&amp;RIGHT("000000"&amp;118,6),CalcRankKeyB,0),"")</f>
        <v/>
      </c>
    </row>
    <row r="135">
      <c r="A135" s="21" t="n">
        <v>119</v>
      </c>
      <c r="B135" s="22">
        <f>IF(AND($M135="",$N135=""),"",IF($M135&lt;&gt;"",INDEX(CalcDateA,$M135),INDEX(CalcDateB,$N135)))</f>
        <v/>
      </c>
      <c r="C135" s="22">
        <f>IF($M135&lt;&gt;"","خرید سبد",IF($N135&lt;&gt;"",IF(N(INDEX(CalcDepB,$N135))&gt;0,"دریافت بانکی","پرداخت بانکی"),""))</f>
        <v/>
      </c>
      <c r="D135" s="22">
        <f>IF($M135&lt;&gt;"",IF(INDEX(CalcDocA,$M135)="","—",INDEX(CalcDocA,$M135)),IF($N135&lt;&gt;"",INDEX(CalcBankB,$N135),""))</f>
        <v/>
      </c>
      <c r="E135" s="23">
        <f>IF($N135&lt;&gt;"",IF(INDEX(CalcDepB,$N135)=0,"",INDEX(CalcDepB,$N135)),"")</f>
        <v/>
      </c>
      <c r="F135" s="23">
        <f>IF($M135&lt;&gt;"",IF(INDEX(CalcQtyA,$M135)=0,"",INDEX(CalcQtyA,$M135)),"")</f>
        <v/>
      </c>
      <c r="G135" s="23">
        <f>IF($M135&lt;&gt;"",IF(INDEX(CalcPriceA,$M135)=0,"",INDEX(CalcPriceA,$M135)),"")</f>
        <v/>
      </c>
      <c r="H135" s="23">
        <f>IF($N135&lt;&gt;"",IF(INDEX(CalcWitB,$N135)=0,"",INDEX(CalcWitB,$N135)),"")</f>
        <v/>
      </c>
      <c r="I135" s="24">
        <f>IF($M135&lt;&gt;"",INDEX(CalcAmtA,$M135),"")</f>
        <v/>
      </c>
      <c r="J135" s="24">
        <f>IF($B135="","",IF($J134="",$C$8,$J134)+IF($I135="",0,$I135)+IF($E135="",0,$E135)-IF($H135="",0,$H135))</f>
        <v/>
      </c>
      <c r="K135" s="25">
        <f>IF($M135&lt;&gt;"",IF(INDEX(CalcNoteA,$M135)="","—",INDEX(CalcNoteA,$M135)),IF($N135&lt;&gt;"",IF(INDEX(CalcNoteB,$N135)="","—",INDEX(CalcNoteB,$N135)),""))</f>
        <v/>
      </c>
      <c r="M135">
        <f>IFERROR(MATCH($C$5&amp;"|"&amp;RIGHT("000000"&amp;119,6),CalcRankKeyA,0),"")</f>
        <v/>
      </c>
      <c r="N135">
        <f>IFERROR(MATCH($C$5&amp;"|"&amp;RIGHT("000000"&amp;119,6),CalcRankKeyB,0),"")</f>
        <v/>
      </c>
    </row>
    <row r="136">
      <c r="A136" s="26" t="n">
        <v>120</v>
      </c>
      <c r="B136" s="27">
        <f>IF(AND($M136="",$N136=""),"",IF($M136&lt;&gt;"",INDEX(CalcDateA,$M136),INDEX(CalcDateB,$N136)))</f>
        <v/>
      </c>
      <c r="C136" s="27">
        <f>IF($M136&lt;&gt;"","خرید سبد",IF($N136&lt;&gt;"",IF(N(INDEX(CalcDepB,$N136))&gt;0,"دریافت بانکی","پرداخت بانکی"),""))</f>
        <v/>
      </c>
      <c r="D136" s="27">
        <f>IF($M136&lt;&gt;"",IF(INDEX(CalcDocA,$M136)="","—",INDEX(CalcDocA,$M136)),IF($N136&lt;&gt;"",INDEX(CalcBankB,$N136),""))</f>
        <v/>
      </c>
      <c r="E136" s="28">
        <f>IF($N136&lt;&gt;"",IF(INDEX(CalcDepB,$N136)=0,"",INDEX(CalcDepB,$N136)),"")</f>
        <v/>
      </c>
      <c r="F136" s="28">
        <f>IF($M136&lt;&gt;"",IF(INDEX(CalcQtyA,$M136)=0,"",INDEX(CalcQtyA,$M136)),"")</f>
        <v/>
      </c>
      <c r="G136" s="28">
        <f>IF($M136&lt;&gt;"",IF(INDEX(CalcPriceA,$M136)=0,"",INDEX(CalcPriceA,$M136)),"")</f>
        <v/>
      </c>
      <c r="H136" s="28">
        <f>IF($N136&lt;&gt;"",IF(INDEX(CalcWitB,$N136)=0,"",INDEX(CalcWitB,$N136)),"")</f>
        <v/>
      </c>
      <c r="I136" s="29">
        <f>IF($M136&lt;&gt;"",INDEX(CalcAmtA,$M136),"")</f>
        <v/>
      </c>
      <c r="J136" s="29">
        <f>IF($B136="","",IF($J135="",$C$8,$J135)+IF($I136="",0,$I136)+IF($E136="",0,$E136)-IF($H136="",0,$H136))</f>
        <v/>
      </c>
      <c r="K136" s="30">
        <f>IF($M136&lt;&gt;"",IF(INDEX(CalcNoteA,$M136)="","—",INDEX(CalcNoteA,$M136)),IF($N136&lt;&gt;"",IF(INDEX(CalcNoteB,$N136)="","—",INDEX(CalcNoteB,$N136)),""))</f>
        <v/>
      </c>
      <c r="M136">
        <f>IFERROR(MATCH($C$5&amp;"|"&amp;RIGHT("000000"&amp;120,6),CalcRankKeyA,0),"")</f>
        <v/>
      </c>
      <c r="N136">
        <f>IFERROR(MATCH($C$5&amp;"|"&amp;RIGHT("000000"&amp;120,6),CalcRankKeyB,0),"")</f>
        <v/>
      </c>
    </row>
    <row r="137">
      <c r="A137" s="21" t="n">
        <v>121</v>
      </c>
      <c r="B137" s="22">
        <f>IF(AND($M137="",$N137=""),"",IF($M137&lt;&gt;"",INDEX(CalcDateA,$M137),INDEX(CalcDateB,$N137)))</f>
        <v/>
      </c>
      <c r="C137" s="22">
        <f>IF($M137&lt;&gt;"","خرید سبد",IF($N137&lt;&gt;"",IF(N(INDEX(CalcDepB,$N137))&gt;0,"دریافت بانکی","پرداخت بانکی"),""))</f>
        <v/>
      </c>
      <c r="D137" s="22">
        <f>IF($M137&lt;&gt;"",IF(INDEX(CalcDocA,$M137)="","—",INDEX(CalcDocA,$M137)),IF($N137&lt;&gt;"",INDEX(CalcBankB,$N137),""))</f>
        <v/>
      </c>
      <c r="E137" s="23">
        <f>IF($N137&lt;&gt;"",IF(INDEX(CalcDepB,$N137)=0,"",INDEX(CalcDepB,$N137)),"")</f>
        <v/>
      </c>
      <c r="F137" s="23">
        <f>IF($M137&lt;&gt;"",IF(INDEX(CalcQtyA,$M137)=0,"",INDEX(CalcQtyA,$M137)),"")</f>
        <v/>
      </c>
      <c r="G137" s="23">
        <f>IF($M137&lt;&gt;"",IF(INDEX(CalcPriceA,$M137)=0,"",INDEX(CalcPriceA,$M137)),"")</f>
        <v/>
      </c>
      <c r="H137" s="23">
        <f>IF($N137&lt;&gt;"",IF(INDEX(CalcWitB,$N137)=0,"",INDEX(CalcWitB,$N137)),"")</f>
        <v/>
      </c>
      <c r="I137" s="24">
        <f>IF($M137&lt;&gt;"",INDEX(CalcAmtA,$M137),"")</f>
        <v/>
      </c>
      <c r="J137" s="24">
        <f>IF($B137="","",IF($J136="",$C$8,$J136)+IF($I137="",0,$I137)+IF($E137="",0,$E137)-IF($H137="",0,$H137))</f>
        <v/>
      </c>
      <c r="K137" s="25">
        <f>IF($M137&lt;&gt;"",IF(INDEX(CalcNoteA,$M137)="","—",INDEX(CalcNoteA,$M137)),IF($N137&lt;&gt;"",IF(INDEX(CalcNoteB,$N137)="","—",INDEX(CalcNoteB,$N137)),""))</f>
        <v/>
      </c>
      <c r="M137">
        <f>IFERROR(MATCH($C$5&amp;"|"&amp;RIGHT("000000"&amp;121,6),CalcRankKeyA,0),"")</f>
        <v/>
      </c>
      <c r="N137">
        <f>IFERROR(MATCH($C$5&amp;"|"&amp;RIGHT("000000"&amp;121,6),CalcRankKeyB,0),"")</f>
        <v/>
      </c>
    </row>
    <row r="138">
      <c r="A138" s="26" t="n">
        <v>122</v>
      </c>
      <c r="B138" s="27">
        <f>IF(AND($M138="",$N138=""),"",IF($M138&lt;&gt;"",INDEX(CalcDateA,$M138),INDEX(CalcDateB,$N138)))</f>
        <v/>
      </c>
      <c r="C138" s="27">
        <f>IF($M138&lt;&gt;"","خرید سبد",IF($N138&lt;&gt;"",IF(N(INDEX(CalcDepB,$N138))&gt;0,"دریافت بانکی","پرداخت بانکی"),""))</f>
        <v/>
      </c>
      <c r="D138" s="27">
        <f>IF($M138&lt;&gt;"",IF(INDEX(CalcDocA,$M138)="","—",INDEX(CalcDocA,$M138)),IF($N138&lt;&gt;"",INDEX(CalcBankB,$N138),""))</f>
        <v/>
      </c>
      <c r="E138" s="28">
        <f>IF($N138&lt;&gt;"",IF(INDEX(CalcDepB,$N138)=0,"",INDEX(CalcDepB,$N138)),"")</f>
        <v/>
      </c>
      <c r="F138" s="28">
        <f>IF($M138&lt;&gt;"",IF(INDEX(CalcQtyA,$M138)=0,"",INDEX(CalcQtyA,$M138)),"")</f>
        <v/>
      </c>
      <c r="G138" s="28">
        <f>IF($M138&lt;&gt;"",IF(INDEX(CalcPriceA,$M138)=0,"",INDEX(CalcPriceA,$M138)),"")</f>
        <v/>
      </c>
      <c r="H138" s="28">
        <f>IF($N138&lt;&gt;"",IF(INDEX(CalcWitB,$N138)=0,"",INDEX(CalcWitB,$N138)),"")</f>
        <v/>
      </c>
      <c r="I138" s="29">
        <f>IF($M138&lt;&gt;"",INDEX(CalcAmtA,$M138),"")</f>
        <v/>
      </c>
      <c r="J138" s="29">
        <f>IF($B138="","",IF($J137="",$C$8,$J137)+IF($I138="",0,$I138)+IF($E138="",0,$E138)-IF($H138="",0,$H138))</f>
        <v/>
      </c>
      <c r="K138" s="30">
        <f>IF($M138&lt;&gt;"",IF(INDEX(CalcNoteA,$M138)="","—",INDEX(CalcNoteA,$M138)),IF($N138&lt;&gt;"",IF(INDEX(CalcNoteB,$N138)="","—",INDEX(CalcNoteB,$N138)),""))</f>
        <v/>
      </c>
      <c r="M138">
        <f>IFERROR(MATCH($C$5&amp;"|"&amp;RIGHT("000000"&amp;122,6),CalcRankKeyA,0),"")</f>
        <v/>
      </c>
      <c r="N138">
        <f>IFERROR(MATCH($C$5&amp;"|"&amp;RIGHT("000000"&amp;122,6),CalcRankKeyB,0),"")</f>
        <v/>
      </c>
    </row>
    <row r="139">
      <c r="A139" s="21" t="n">
        <v>123</v>
      </c>
      <c r="B139" s="22">
        <f>IF(AND($M139="",$N139=""),"",IF($M139&lt;&gt;"",INDEX(CalcDateA,$M139),INDEX(CalcDateB,$N139)))</f>
        <v/>
      </c>
      <c r="C139" s="22">
        <f>IF($M139&lt;&gt;"","خرید سبد",IF($N139&lt;&gt;"",IF(N(INDEX(CalcDepB,$N139))&gt;0,"دریافت بانکی","پرداخت بانکی"),""))</f>
        <v/>
      </c>
      <c r="D139" s="22">
        <f>IF($M139&lt;&gt;"",IF(INDEX(CalcDocA,$M139)="","—",INDEX(CalcDocA,$M139)),IF($N139&lt;&gt;"",INDEX(CalcBankB,$N139),""))</f>
        <v/>
      </c>
      <c r="E139" s="23">
        <f>IF($N139&lt;&gt;"",IF(INDEX(CalcDepB,$N139)=0,"",INDEX(CalcDepB,$N139)),"")</f>
        <v/>
      </c>
      <c r="F139" s="23">
        <f>IF($M139&lt;&gt;"",IF(INDEX(CalcQtyA,$M139)=0,"",INDEX(CalcQtyA,$M139)),"")</f>
        <v/>
      </c>
      <c r="G139" s="23">
        <f>IF($M139&lt;&gt;"",IF(INDEX(CalcPriceA,$M139)=0,"",INDEX(CalcPriceA,$M139)),"")</f>
        <v/>
      </c>
      <c r="H139" s="23">
        <f>IF($N139&lt;&gt;"",IF(INDEX(CalcWitB,$N139)=0,"",INDEX(CalcWitB,$N139)),"")</f>
        <v/>
      </c>
      <c r="I139" s="24">
        <f>IF($M139&lt;&gt;"",INDEX(CalcAmtA,$M139),"")</f>
        <v/>
      </c>
      <c r="J139" s="24">
        <f>IF($B139="","",IF($J138="",$C$8,$J138)+IF($I139="",0,$I139)+IF($E139="",0,$E139)-IF($H139="",0,$H139))</f>
        <v/>
      </c>
      <c r="K139" s="25">
        <f>IF($M139&lt;&gt;"",IF(INDEX(CalcNoteA,$M139)="","—",INDEX(CalcNoteA,$M139)),IF($N139&lt;&gt;"",IF(INDEX(CalcNoteB,$N139)="","—",INDEX(CalcNoteB,$N139)),""))</f>
        <v/>
      </c>
      <c r="M139">
        <f>IFERROR(MATCH($C$5&amp;"|"&amp;RIGHT("000000"&amp;123,6),CalcRankKeyA,0),"")</f>
        <v/>
      </c>
      <c r="N139">
        <f>IFERROR(MATCH($C$5&amp;"|"&amp;RIGHT("000000"&amp;123,6),CalcRankKeyB,0),"")</f>
        <v/>
      </c>
    </row>
    <row r="140">
      <c r="A140" s="26" t="n">
        <v>124</v>
      </c>
      <c r="B140" s="27">
        <f>IF(AND($M140="",$N140=""),"",IF($M140&lt;&gt;"",INDEX(CalcDateA,$M140),INDEX(CalcDateB,$N140)))</f>
        <v/>
      </c>
      <c r="C140" s="27">
        <f>IF($M140&lt;&gt;"","خرید سبد",IF($N140&lt;&gt;"",IF(N(INDEX(CalcDepB,$N140))&gt;0,"دریافت بانکی","پرداخت بانکی"),""))</f>
        <v/>
      </c>
      <c r="D140" s="27">
        <f>IF($M140&lt;&gt;"",IF(INDEX(CalcDocA,$M140)="","—",INDEX(CalcDocA,$M140)),IF($N140&lt;&gt;"",INDEX(CalcBankB,$N140),""))</f>
        <v/>
      </c>
      <c r="E140" s="28">
        <f>IF($N140&lt;&gt;"",IF(INDEX(CalcDepB,$N140)=0,"",INDEX(CalcDepB,$N140)),"")</f>
        <v/>
      </c>
      <c r="F140" s="28">
        <f>IF($M140&lt;&gt;"",IF(INDEX(CalcQtyA,$M140)=0,"",INDEX(CalcQtyA,$M140)),"")</f>
        <v/>
      </c>
      <c r="G140" s="28">
        <f>IF($M140&lt;&gt;"",IF(INDEX(CalcPriceA,$M140)=0,"",INDEX(CalcPriceA,$M140)),"")</f>
        <v/>
      </c>
      <c r="H140" s="28">
        <f>IF($N140&lt;&gt;"",IF(INDEX(CalcWitB,$N140)=0,"",INDEX(CalcWitB,$N140)),"")</f>
        <v/>
      </c>
      <c r="I140" s="29">
        <f>IF($M140&lt;&gt;"",INDEX(CalcAmtA,$M140),"")</f>
        <v/>
      </c>
      <c r="J140" s="29">
        <f>IF($B140="","",IF($J139="",$C$8,$J139)+IF($I140="",0,$I140)+IF($E140="",0,$E140)-IF($H140="",0,$H140))</f>
        <v/>
      </c>
      <c r="K140" s="30">
        <f>IF($M140&lt;&gt;"",IF(INDEX(CalcNoteA,$M140)="","—",INDEX(CalcNoteA,$M140)),IF($N140&lt;&gt;"",IF(INDEX(CalcNoteB,$N140)="","—",INDEX(CalcNoteB,$N140)),""))</f>
        <v/>
      </c>
      <c r="M140">
        <f>IFERROR(MATCH($C$5&amp;"|"&amp;RIGHT("000000"&amp;124,6),CalcRankKeyA,0),"")</f>
        <v/>
      </c>
      <c r="N140">
        <f>IFERROR(MATCH($C$5&amp;"|"&amp;RIGHT("000000"&amp;124,6),CalcRankKeyB,0),"")</f>
        <v/>
      </c>
    </row>
    <row r="141">
      <c r="A141" s="21" t="n">
        <v>125</v>
      </c>
      <c r="B141" s="22">
        <f>IF(AND($M141="",$N141=""),"",IF($M141&lt;&gt;"",INDEX(CalcDateA,$M141),INDEX(CalcDateB,$N141)))</f>
        <v/>
      </c>
      <c r="C141" s="22">
        <f>IF($M141&lt;&gt;"","خرید سبد",IF($N141&lt;&gt;"",IF(N(INDEX(CalcDepB,$N141))&gt;0,"دریافت بانکی","پرداخت بانکی"),""))</f>
        <v/>
      </c>
      <c r="D141" s="22">
        <f>IF($M141&lt;&gt;"",IF(INDEX(CalcDocA,$M141)="","—",INDEX(CalcDocA,$M141)),IF($N141&lt;&gt;"",INDEX(CalcBankB,$N141),""))</f>
        <v/>
      </c>
      <c r="E141" s="23">
        <f>IF($N141&lt;&gt;"",IF(INDEX(CalcDepB,$N141)=0,"",INDEX(CalcDepB,$N141)),"")</f>
        <v/>
      </c>
      <c r="F141" s="23">
        <f>IF($M141&lt;&gt;"",IF(INDEX(CalcQtyA,$M141)=0,"",INDEX(CalcQtyA,$M141)),"")</f>
        <v/>
      </c>
      <c r="G141" s="23">
        <f>IF($M141&lt;&gt;"",IF(INDEX(CalcPriceA,$M141)=0,"",INDEX(CalcPriceA,$M141)),"")</f>
        <v/>
      </c>
      <c r="H141" s="23">
        <f>IF($N141&lt;&gt;"",IF(INDEX(CalcWitB,$N141)=0,"",INDEX(CalcWitB,$N141)),"")</f>
        <v/>
      </c>
      <c r="I141" s="24">
        <f>IF($M141&lt;&gt;"",INDEX(CalcAmtA,$M141),"")</f>
        <v/>
      </c>
      <c r="J141" s="24">
        <f>IF($B141="","",IF($J140="",$C$8,$J140)+IF($I141="",0,$I141)+IF($E141="",0,$E141)-IF($H141="",0,$H141))</f>
        <v/>
      </c>
      <c r="K141" s="25">
        <f>IF($M141&lt;&gt;"",IF(INDEX(CalcNoteA,$M141)="","—",INDEX(CalcNoteA,$M141)),IF($N141&lt;&gt;"",IF(INDEX(CalcNoteB,$N141)="","—",INDEX(CalcNoteB,$N141)),""))</f>
        <v/>
      </c>
      <c r="M141">
        <f>IFERROR(MATCH($C$5&amp;"|"&amp;RIGHT("000000"&amp;125,6),CalcRankKeyA,0),"")</f>
        <v/>
      </c>
      <c r="N141">
        <f>IFERROR(MATCH($C$5&amp;"|"&amp;RIGHT("000000"&amp;125,6),CalcRankKeyB,0),"")</f>
        <v/>
      </c>
    </row>
    <row r="142">
      <c r="A142" s="26" t="n">
        <v>126</v>
      </c>
      <c r="B142" s="27">
        <f>IF(AND($M142="",$N142=""),"",IF($M142&lt;&gt;"",INDEX(CalcDateA,$M142),INDEX(CalcDateB,$N142)))</f>
        <v/>
      </c>
      <c r="C142" s="27">
        <f>IF($M142&lt;&gt;"","خرید سبد",IF($N142&lt;&gt;"",IF(N(INDEX(CalcDepB,$N142))&gt;0,"دریافت بانکی","پرداخت بانکی"),""))</f>
        <v/>
      </c>
      <c r="D142" s="27">
        <f>IF($M142&lt;&gt;"",IF(INDEX(CalcDocA,$M142)="","—",INDEX(CalcDocA,$M142)),IF($N142&lt;&gt;"",INDEX(CalcBankB,$N142),""))</f>
        <v/>
      </c>
      <c r="E142" s="28">
        <f>IF($N142&lt;&gt;"",IF(INDEX(CalcDepB,$N142)=0,"",INDEX(CalcDepB,$N142)),"")</f>
        <v/>
      </c>
      <c r="F142" s="28">
        <f>IF($M142&lt;&gt;"",IF(INDEX(CalcQtyA,$M142)=0,"",INDEX(CalcQtyA,$M142)),"")</f>
        <v/>
      </c>
      <c r="G142" s="28">
        <f>IF($M142&lt;&gt;"",IF(INDEX(CalcPriceA,$M142)=0,"",INDEX(CalcPriceA,$M142)),"")</f>
        <v/>
      </c>
      <c r="H142" s="28">
        <f>IF($N142&lt;&gt;"",IF(INDEX(CalcWitB,$N142)=0,"",INDEX(CalcWitB,$N142)),"")</f>
        <v/>
      </c>
      <c r="I142" s="29">
        <f>IF($M142&lt;&gt;"",INDEX(CalcAmtA,$M142),"")</f>
        <v/>
      </c>
      <c r="J142" s="29">
        <f>IF($B142="","",IF($J141="",$C$8,$J141)+IF($I142="",0,$I142)+IF($E142="",0,$E142)-IF($H142="",0,$H142))</f>
        <v/>
      </c>
      <c r="K142" s="30">
        <f>IF($M142&lt;&gt;"",IF(INDEX(CalcNoteA,$M142)="","—",INDEX(CalcNoteA,$M142)),IF($N142&lt;&gt;"",IF(INDEX(CalcNoteB,$N142)="","—",INDEX(CalcNoteB,$N142)),""))</f>
        <v/>
      </c>
      <c r="M142">
        <f>IFERROR(MATCH($C$5&amp;"|"&amp;RIGHT("000000"&amp;126,6),CalcRankKeyA,0),"")</f>
        <v/>
      </c>
      <c r="N142">
        <f>IFERROR(MATCH($C$5&amp;"|"&amp;RIGHT("000000"&amp;126,6),CalcRankKeyB,0),"")</f>
        <v/>
      </c>
    </row>
    <row r="143">
      <c r="A143" s="21" t="n">
        <v>127</v>
      </c>
      <c r="B143" s="22">
        <f>IF(AND($M143="",$N143=""),"",IF($M143&lt;&gt;"",INDEX(CalcDateA,$M143),INDEX(CalcDateB,$N143)))</f>
        <v/>
      </c>
      <c r="C143" s="22">
        <f>IF($M143&lt;&gt;"","خرید سبد",IF($N143&lt;&gt;"",IF(N(INDEX(CalcDepB,$N143))&gt;0,"دریافت بانکی","پرداخت بانکی"),""))</f>
        <v/>
      </c>
      <c r="D143" s="22">
        <f>IF($M143&lt;&gt;"",IF(INDEX(CalcDocA,$M143)="","—",INDEX(CalcDocA,$M143)),IF($N143&lt;&gt;"",INDEX(CalcBankB,$N143),""))</f>
        <v/>
      </c>
      <c r="E143" s="23">
        <f>IF($N143&lt;&gt;"",IF(INDEX(CalcDepB,$N143)=0,"",INDEX(CalcDepB,$N143)),"")</f>
        <v/>
      </c>
      <c r="F143" s="23">
        <f>IF($M143&lt;&gt;"",IF(INDEX(CalcQtyA,$M143)=0,"",INDEX(CalcQtyA,$M143)),"")</f>
        <v/>
      </c>
      <c r="G143" s="23">
        <f>IF($M143&lt;&gt;"",IF(INDEX(CalcPriceA,$M143)=0,"",INDEX(CalcPriceA,$M143)),"")</f>
        <v/>
      </c>
      <c r="H143" s="23">
        <f>IF($N143&lt;&gt;"",IF(INDEX(CalcWitB,$N143)=0,"",INDEX(CalcWitB,$N143)),"")</f>
        <v/>
      </c>
      <c r="I143" s="24">
        <f>IF($M143&lt;&gt;"",INDEX(CalcAmtA,$M143),"")</f>
        <v/>
      </c>
      <c r="J143" s="24">
        <f>IF($B143="","",IF($J142="",$C$8,$J142)+IF($I143="",0,$I143)+IF($E143="",0,$E143)-IF($H143="",0,$H143))</f>
        <v/>
      </c>
      <c r="K143" s="25">
        <f>IF($M143&lt;&gt;"",IF(INDEX(CalcNoteA,$M143)="","—",INDEX(CalcNoteA,$M143)),IF($N143&lt;&gt;"",IF(INDEX(CalcNoteB,$N143)="","—",INDEX(CalcNoteB,$N143)),""))</f>
        <v/>
      </c>
      <c r="M143">
        <f>IFERROR(MATCH($C$5&amp;"|"&amp;RIGHT("000000"&amp;127,6),CalcRankKeyA,0),"")</f>
        <v/>
      </c>
      <c r="N143">
        <f>IFERROR(MATCH($C$5&amp;"|"&amp;RIGHT("000000"&amp;127,6),CalcRankKeyB,0),"")</f>
        <v/>
      </c>
    </row>
    <row r="144">
      <c r="A144" s="26" t="n">
        <v>128</v>
      </c>
      <c r="B144" s="27">
        <f>IF(AND($M144="",$N144=""),"",IF($M144&lt;&gt;"",INDEX(CalcDateA,$M144),INDEX(CalcDateB,$N144)))</f>
        <v/>
      </c>
      <c r="C144" s="27">
        <f>IF($M144&lt;&gt;"","خرید سبد",IF($N144&lt;&gt;"",IF(N(INDEX(CalcDepB,$N144))&gt;0,"دریافت بانکی","پرداخت بانکی"),""))</f>
        <v/>
      </c>
      <c r="D144" s="27">
        <f>IF($M144&lt;&gt;"",IF(INDEX(CalcDocA,$M144)="","—",INDEX(CalcDocA,$M144)),IF($N144&lt;&gt;"",INDEX(CalcBankB,$N144),""))</f>
        <v/>
      </c>
      <c r="E144" s="28">
        <f>IF($N144&lt;&gt;"",IF(INDEX(CalcDepB,$N144)=0,"",INDEX(CalcDepB,$N144)),"")</f>
        <v/>
      </c>
      <c r="F144" s="28">
        <f>IF($M144&lt;&gt;"",IF(INDEX(CalcQtyA,$M144)=0,"",INDEX(CalcQtyA,$M144)),"")</f>
        <v/>
      </c>
      <c r="G144" s="28">
        <f>IF($M144&lt;&gt;"",IF(INDEX(CalcPriceA,$M144)=0,"",INDEX(CalcPriceA,$M144)),"")</f>
        <v/>
      </c>
      <c r="H144" s="28">
        <f>IF($N144&lt;&gt;"",IF(INDEX(CalcWitB,$N144)=0,"",INDEX(CalcWitB,$N144)),"")</f>
        <v/>
      </c>
      <c r="I144" s="29">
        <f>IF($M144&lt;&gt;"",INDEX(CalcAmtA,$M144),"")</f>
        <v/>
      </c>
      <c r="J144" s="29">
        <f>IF($B144="","",IF($J143="",$C$8,$J143)+IF($I144="",0,$I144)+IF($E144="",0,$E144)-IF($H144="",0,$H144))</f>
        <v/>
      </c>
      <c r="K144" s="30">
        <f>IF($M144&lt;&gt;"",IF(INDEX(CalcNoteA,$M144)="","—",INDEX(CalcNoteA,$M144)),IF($N144&lt;&gt;"",IF(INDEX(CalcNoteB,$N144)="","—",INDEX(CalcNoteB,$N144)),""))</f>
        <v/>
      </c>
      <c r="M144">
        <f>IFERROR(MATCH($C$5&amp;"|"&amp;RIGHT("000000"&amp;128,6),CalcRankKeyA,0),"")</f>
        <v/>
      </c>
      <c r="N144">
        <f>IFERROR(MATCH($C$5&amp;"|"&amp;RIGHT("000000"&amp;128,6),CalcRankKeyB,0),"")</f>
        <v/>
      </c>
    </row>
    <row r="145">
      <c r="A145" s="21" t="n">
        <v>129</v>
      </c>
      <c r="B145" s="22">
        <f>IF(AND($M145="",$N145=""),"",IF($M145&lt;&gt;"",INDEX(CalcDateA,$M145),INDEX(CalcDateB,$N145)))</f>
        <v/>
      </c>
      <c r="C145" s="22">
        <f>IF($M145&lt;&gt;"","خرید سبد",IF($N145&lt;&gt;"",IF(N(INDEX(CalcDepB,$N145))&gt;0,"دریافت بانکی","پرداخت بانکی"),""))</f>
        <v/>
      </c>
      <c r="D145" s="22">
        <f>IF($M145&lt;&gt;"",IF(INDEX(CalcDocA,$M145)="","—",INDEX(CalcDocA,$M145)),IF($N145&lt;&gt;"",INDEX(CalcBankB,$N145),""))</f>
        <v/>
      </c>
      <c r="E145" s="23">
        <f>IF($N145&lt;&gt;"",IF(INDEX(CalcDepB,$N145)=0,"",INDEX(CalcDepB,$N145)),"")</f>
        <v/>
      </c>
      <c r="F145" s="23">
        <f>IF($M145&lt;&gt;"",IF(INDEX(CalcQtyA,$M145)=0,"",INDEX(CalcQtyA,$M145)),"")</f>
        <v/>
      </c>
      <c r="G145" s="23">
        <f>IF($M145&lt;&gt;"",IF(INDEX(CalcPriceA,$M145)=0,"",INDEX(CalcPriceA,$M145)),"")</f>
        <v/>
      </c>
      <c r="H145" s="23">
        <f>IF($N145&lt;&gt;"",IF(INDEX(CalcWitB,$N145)=0,"",INDEX(CalcWitB,$N145)),"")</f>
        <v/>
      </c>
      <c r="I145" s="24">
        <f>IF($M145&lt;&gt;"",INDEX(CalcAmtA,$M145),"")</f>
        <v/>
      </c>
      <c r="J145" s="24">
        <f>IF($B145="","",IF($J144="",$C$8,$J144)+IF($I145="",0,$I145)+IF($E145="",0,$E145)-IF($H145="",0,$H145))</f>
        <v/>
      </c>
      <c r="K145" s="25">
        <f>IF($M145&lt;&gt;"",IF(INDEX(CalcNoteA,$M145)="","—",INDEX(CalcNoteA,$M145)),IF($N145&lt;&gt;"",IF(INDEX(CalcNoteB,$N145)="","—",INDEX(CalcNoteB,$N145)),""))</f>
        <v/>
      </c>
      <c r="M145">
        <f>IFERROR(MATCH($C$5&amp;"|"&amp;RIGHT("000000"&amp;129,6),CalcRankKeyA,0),"")</f>
        <v/>
      </c>
      <c r="N145">
        <f>IFERROR(MATCH($C$5&amp;"|"&amp;RIGHT("000000"&amp;129,6),CalcRankKeyB,0),"")</f>
        <v/>
      </c>
    </row>
    <row r="146">
      <c r="A146" s="26" t="n">
        <v>130</v>
      </c>
      <c r="B146" s="27">
        <f>IF(AND($M146="",$N146=""),"",IF($M146&lt;&gt;"",INDEX(CalcDateA,$M146),INDEX(CalcDateB,$N146)))</f>
        <v/>
      </c>
      <c r="C146" s="27">
        <f>IF($M146&lt;&gt;"","خرید سبد",IF($N146&lt;&gt;"",IF(N(INDEX(CalcDepB,$N146))&gt;0,"دریافت بانکی","پرداخت بانکی"),""))</f>
        <v/>
      </c>
      <c r="D146" s="27">
        <f>IF($M146&lt;&gt;"",IF(INDEX(CalcDocA,$M146)="","—",INDEX(CalcDocA,$M146)),IF($N146&lt;&gt;"",INDEX(CalcBankB,$N146),""))</f>
        <v/>
      </c>
      <c r="E146" s="28">
        <f>IF($N146&lt;&gt;"",IF(INDEX(CalcDepB,$N146)=0,"",INDEX(CalcDepB,$N146)),"")</f>
        <v/>
      </c>
      <c r="F146" s="28">
        <f>IF($M146&lt;&gt;"",IF(INDEX(CalcQtyA,$M146)=0,"",INDEX(CalcQtyA,$M146)),"")</f>
        <v/>
      </c>
      <c r="G146" s="28">
        <f>IF($M146&lt;&gt;"",IF(INDEX(CalcPriceA,$M146)=0,"",INDEX(CalcPriceA,$M146)),"")</f>
        <v/>
      </c>
      <c r="H146" s="28">
        <f>IF($N146&lt;&gt;"",IF(INDEX(CalcWitB,$N146)=0,"",INDEX(CalcWitB,$N146)),"")</f>
        <v/>
      </c>
      <c r="I146" s="29">
        <f>IF($M146&lt;&gt;"",INDEX(CalcAmtA,$M146),"")</f>
        <v/>
      </c>
      <c r="J146" s="29">
        <f>IF($B146="","",IF($J145="",$C$8,$J145)+IF($I146="",0,$I146)+IF($E146="",0,$E146)-IF($H146="",0,$H146))</f>
        <v/>
      </c>
      <c r="K146" s="30">
        <f>IF($M146&lt;&gt;"",IF(INDEX(CalcNoteA,$M146)="","—",INDEX(CalcNoteA,$M146)),IF($N146&lt;&gt;"",IF(INDEX(CalcNoteB,$N146)="","—",INDEX(CalcNoteB,$N146)),""))</f>
        <v/>
      </c>
      <c r="M146">
        <f>IFERROR(MATCH($C$5&amp;"|"&amp;RIGHT("000000"&amp;130,6),CalcRankKeyA,0),"")</f>
        <v/>
      </c>
      <c r="N146">
        <f>IFERROR(MATCH($C$5&amp;"|"&amp;RIGHT("000000"&amp;130,6),CalcRankKeyB,0),"")</f>
        <v/>
      </c>
    </row>
    <row r="147">
      <c r="A147" s="21" t="n">
        <v>131</v>
      </c>
      <c r="B147" s="22">
        <f>IF(AND($M147="",$N147=""),"",IF($M147&lt;&gt;"",INDEX(CalcDateA,$M147),INDEX(CalcDateB,$N147)))</f>
        <v/>
      </c>
      <c r="C147" s="22">
        <f>IF($M147&lt;&gt;"","خرید سبد",IF($N147&lt;&gt;"",IF(N(INDEX(CalcDepB,$N147))&gt;0,"دریافت بانکی","پرداخت بانکی"),""))</f>
        <v/>
      </c>
      <c r="D147" s="22">
        <f>IF($M147&lt;&gt;"",IF(INDEX(CalcDocA,$M147)="","—",INDEX(CalcDocA,$M147)),IF($N147&lt;&gt;"",INDEX(CalcBankB,$N147),""))</f>
        <v/>
      </c>
      <c r="E147" s="23">
        <f>IF($N147&lt;&gt;"",IF(INDEX(CalcDepB,$N147)=0,"",INDEX(CalcDepB,$N147)),"")</f>
        <v/>
      </c>
      <c r="F147" s="23">
        <f>IF($M147&lt;&gt;"",IF(INDEX(CalcQtyA,$M147)=0,"",INDEX(CalcQtyA,$M147)),"")</f>
        <v/>
      </c>
      <c r="G147" s="23">
        <f>IF($M147&lt;&gt;"",IF(INDEX(CalcPriceA,$M147)=0,"",INDEX(CalcPriceA,$M147)),"")</f>
        <v/>
      </c>
      <c r="H147" s="23">
        <f>IF($N147&lt;&gt;"",IF(INDEX(CalcWitB,$N147)=0,"",INDEX(CalcWitB,$N147)),"")</f>
        <v/>
      </c>
      <c r="I147" s="24">
        <f>IF($M147&lt;&gt;"",INDEX(CalcAmtA,$M147),"")</f>
        <v/>
      </c>
      <c r="J147" s="24">
        <f>IF($B147="","",IF($J146="",$C$8,$J146)+IF($I147="",0,$I147)+IF($E147="",0,$E147)-IF($H147="",0,$H147))</f>
        <v/>
      </c>
      <c r="K147" s="25">
        <f>IF($M147&lt;&gt;"",IF(INDEX(CalcNoteA,$M147)="","—",INDEX(CalcNoteA,$M147)),IF($N147&lt;&gt;"",IF(INDEX(CalcNoteB,$N147)="","—",INDEX(CalcNoteB,$N147)),""))</f>
        <v/>
      </c>
      <c r="M147">
        <f>IFERROR(MATCH($C$5&amp;"|"&amp;RIGHT("000000"&amp;131,6),CalcRankKeyA,0),"")</f>
        <v/>
      </c>
      <c r="N147">
        <f>IFERROR(MATCH($C$5&amp;"|"&amp;RIGHT("000000"&amp;131,6),CalcRankKeyB,0),"")</f>
        <v/>
      </c>
    </row>
    <row r="148">
      <c r="A148" s="26" t="n">
        <v>132</v>
      </c>
      <c r="B148" s="27">
        <f>IF(AND($M148="",$N148=""),"",IF($M148&lt;&gt;"",INDEX(CalcDateA,$M148),INDEX(CalcDateB,$N148)))</f>
        <v/>
      </c>
      <c r="C148" s="27">
        <f>IF($M148&lt;&gt;"","خرید سبد",IF($N148&lt;&gt;"",IF(N(INDEX(CalcDepB,$N148))&gt;0,"دریافت بانکی","پرداخت بانکی"),""))</f>
        <v/>
      </c>
      <c r="D148" s="27">
        <f>IF($M148&lt;&gt;"",IF(INDEX(CalcDocA,$M148)="","—",INDEX(CalcDocA,$M148)),IF($N148&lt;&gt;"",INDEX(CalcBankB,$N148),""))</f>
        <v/>
      </c>
      <c r="E148" s="28">
        <f>IF($N148&lt;&gt;"",IF(INDEX(CalcDepB,$N148)=0,"",INDEX(CalcDepB,$N148)),"")</f>
        <v/>
      </c>
      <c r="F148" s="28">
        <f>IF($M148&lt;&gt;"",IF(INDEX(CalcQtyA,$M148)=0,"",INDEX(CalcQtyA,$M148)),"")</f>
        <v/>
      </c>
      <c r="G148" s="28">
        <f>IF($M148&lt;&gt;"",IF(INDEX(CalcPriceA,$M148)=0,"",INDEX(CalcPriceA,$M148)),"")</f>
        <v/>
      </c>
      <c r="H148" s="28">
        <f>IF($N148&lt;&gt;"",IF(INDEX(CalcWitB,$N148)=0,"",INDEX(CalcWitB,$N148)),"")</f>
        <v/>
      </c>
      <c r="I148" s="29">
        <f>IF($M148&lt;&gt;"",INDEX(CalcAmtA,$M148),"")</f>
        <v/>
      </c>
      <c r="J148" s="29">
        <f>IF($B148="","",IF($J147="",$C$8,$J147)+IF($I148="",0,$I148)+IF($E148="",0,$E148)-IF($H148="",0,$H148))</f>
        <v/>
      </c>
      <c r="K148" s="30">
        <f>IF($M148&lt;&gt;"",IF(INDEX(CalcNoteA,$M148)="","—",INDEX(CalcNoteA,$M148)),IF($N148&lt;&gt;"",IF(INDEX(CalcNoteB,$N148)="","—",INDEX(CalcNoteB,$N148)),""))</f>
        <v/>
      </c>
      <c r="M148">
        <f>IFERROR(MATCH($C$5&amp;"|"&amp;RIGHT("000000"&amp;132,6),CalcRankKeyA,0),"")</f>
        <v/>
      </c>
      <c r="N148">
        <f>IFERROR(MATCH($C$5&amp;"|"&amp;RIGHT("000000"&amp;132,6),CalcRankKeyB,0),"")</f>
        <v/>
      </c>
    </row>
    <row r="149">
      <c r="A149" s="21" t="n">
        <v>133</v>
      </c>
      <c r="B149" s="22">
        <f>IF(AND($M149="",$N149=""),"",IF($M149&lt;&gt;"",INDEX(CalcDateA,$M149),INDEX(CalcDateB,$N149)))</f>
        <v/>
      </c>
      <c r="C149" s="22">
        <f>IF($M149&lt;&gt;"","خرید سبد",IF($N149&lt;&gt;"",IF(N(INDEX(CalcDepB,$N149))&gt;0,"دریافت بانکی","پرداخت بانکی"),""))</f>
        <v/>
      </c>
      <c r="D149" s="22">
        <f>IF($M149&lt;&gt;"",IF(INDEX(CalcDocA,$M149)="","—",INDEX(CalcDocA,$M149)),IF($N149&lt;&gt;"",INDEX(CalcBankB,$N149),""))</f>
        <v/>
      </c>
      <c r="E149" s="23">
        <f>IF($N149&lt;&gt;"",IF(INDEX(CalcDepB,$N149)=0,"",INDEX(CalcDepB,$N149)),"")</f>
        <v/>
      </c>
      <c r="F149" s="23">
        <f>IF($M149&lt;&gt;"",IF(INDEX(CalcQtyA,$M149)=0,"",INDEX(CalcQtyA,$M149)),"")</f>
        <v/>
      </c>
      <c r="G149" s="23">
        <f>IF($M149&lt;&gt;"",IF(INDEX(CalcPriceA,$M149)=0,"",INDEX(CalcPriceA,$M149)),"")</f>
        <v/>
      </c>
      <c r="H149" s="23">
        <f>IF($N149&lt;&gt;"",IF(INDEX(CalcWitB,$N149)=0,"",INDEX(CalcWitB,$N149)),"")</f>
        <v/>
      </c>
      <c r="I149" s="24">
        <f>IF($M149&lt;&gt;"",INDEX(CalcAmtA,$M149),"")</f>
        <v/>
      </c>
      <c r="J149" s="24">
        <f>IF($B149="","",IF($J148="",$C$8,$J148)+IF($I149="",0,$I149)+IF($E149="",0,$E149)-IF($H149="",0,$H149))</f>
        <v/>
      </c>
      <c r="K149" s="25">
        <f>IF($M149&lt;&gt;"",IF(INDEX(CalcNoteA,$M149)="","—",INDEX(CalcNoteA,$M149)),IF($N149&lt;&gt;"",IF(INDEX(CalcNoteB,$N149)="","—",INDEX(CalcNoteB,$N149)),""))</f>
        <v/>
      </c>
      <c r="M149">
        <f>IFERROR(MATCH($C$5&amp;"|"&amp;RIGHT("000000"&amp;133,6),CalcRankKeyA,0),"")</f>
        <v/>
      </c>
      <c r="N149">
        <f>IFERROR(MATCH($C$5&amp;"|"&amp;RIGHT("000000"&amp;133,6),CalcRankKeyB,0),"")</f>
        <v/>
      </c>
    </row>
    <row r="150">
      <c r="A150" s="26" t="n">
        <v>134</v>
      </c>
      <c r="B150" s="27">
        <f>IF(AND($M150="",$N150=""),"",IF($M150&lt;&gt;"",INDEX(CalcDateA,$M150),INDEX(CalcDateB,$N150)))</f>
        <v/>
      </c>
      <c r="C150" s="27">
        <f>IF($M150&lt;&gt;"","خرید سبد",IF($N150&lt;&gt;"",IF(N(INDEX(CalcDepB,$N150))&gt;0,"دریافت بانکی","پرداخت بانکی"),""))</f>
        <v/>
      </c>
      <c r="D150" s="27">
        <f>IF($M150&lt;&gt;"",IF(INDEX(CalcDocA,$M150)="","—",INDEX(CalcDocA,$M150)),IF($N150&lt;&gt;"",INDEX(CalcBankB,$N150),""))</f>
        <v/>
      </c>
      <c r="E150" s="28">
        <f>IF($N150&lt;&gt;"",IF(INDEX(CalcDepB,$N150)=0,"",INDEX(CalcDepB,$N150)),"")</f>
        <v/>
      </c>
      <c r="F150" s="28">
        <f>IF($M150&lt;&gt;"",IF(INDEX(CalcQtyA,$M150)=0,"",INDEX(CalcQtyA,$M150)),"")</f>
        <v/>
      </c>
      <c r="G150" s="28">
        <f>IF($M150&lt;&gt;"",IF(INDEX(CalcPriceA,$M150)=0,"",INDEX(CalcPriceA,$M150)),"")</f>
        <v/>
      </c>
      <c r="H150" s="28">
        <f>IF($N150&lt;&gt;"",IF(INDEX(CalcWitB,$N150)=0,"",INDEX(CalcWitB,$N150)),"")</f>
        <v/>
      </c>
      <c r="I150" s="29">
        <f>IF($M150&lt;&gt;"",INDEX(CalcAmtA,$M150),"")</f>
        <v/>
      </c>
      <c r="J150" s="29">
        <f>IF($B150="","",IF($J149="",$C$8,$J149)+IF($I150="",0,$I150)+IF($E150="",0,$E150)-IF($H150="",0,$H150))</f>
        <v/>
      </c>
      <c r="K150" s="30">
        <f>IF($M150&lt;&gt;"",IF(INDEX(CalcNoteA,$M150)="","—",INDEX(CalcNoteA,$M150)),IF($N150&lt;&gt;"",IF(INDEX(CalcNoteB,$N150)="","—",INDEX(CalcNoteB,$N150)),""))</f>
        <v/>
      </c>
      <c r="M150">
        <f>IFERROR(MATCH($C$5&amp;"|"&amp;RIGHT("000000"&amp;134,6),CalcRankKeyA,0),"")</f>
        <v/>
      </c>
      <c r="N150">
        <f>IFERROR(MATCH($C$5&amp;"|"&amp;RIGHT("000000"&amp;134,6),CalcRankKeyB,0),"")</f>
        <v/>
      </c>
    </row>
    <row r="151">
      <c r="A151" s="21" t="n">
        <v>135</v>
      </c>
      <c r="B151" s="22">
        <f>IF(AND($M151="",$N151=""),"",IF($M151&lt;&gt;"",INDEX(CalcDateA,$M151),INDEX(CalcDateB,$N151)))</f>
        <v/>
      </c>
      <c r="C151" s="22">
        <f>IF($M151&lt;&gt;"","خرید سبد",IF($N151&lt;&gt;"",IF(N(INDEX(CalcDepB,$N151))&gt;0,"دریافت بانکی","پرداخت بانکی"),""))</f>
        <v/>
      </c>
      <c r="D151" s="22">
        <f>IF($M151&lt;&gt;"",IF(INDEX(CalcDocA,$M151)="","—",INDEX(CalcDocA,$M151)),IF($N151&lt;&gt;"",INDEX(CalcBankB,$N151),""))</f>
        <v/>
      </c>
      <c r="E151" s="23">
        <f>IF($N151&lt;&gt;"",IF(INDEX(CalcDepB,$N151)=0,"",INDEX(CalcDepB,$N151)),"")</f>
        <v/>
      </c>
      <c r="F151" s="23">
        <f>IF($M151&lt;&gt;"",IF(INDEX(CalcQtyA,$M151)=0,"",INDEX(CalcQtyA,$M151)),"")</f>
        <v/>
      </c>
      <c r="G151" s="23">
        <f>IF($M151&lt;&gt;"",IF(INDEX(CalcPriceA,$M151)=0,"",INDEX(CalcPriceA,$M151)),"")</f>
        <v/>
      </c>
      <c r="H151" s="23">
        <f>IF($N151&lt;&gt;"",IF(INDEX(CalcWitB,$N151)=0,"",INDEX(CalcWitB,$N151)),"")</f>
        <v/>
      </c>
      <c r="I151" s="24">
        <f>IF($M151&lt;&gt;"",INDEX(CalcAmtA,$M151),"")</f>
        <v/>
      </c>
      <c r="J151" s="24">
        <f>IF($B151="","",IF($J150="",$C$8,$J150)+IF($I151="",0,$I151)+IF($E151="",0,$E151)-IF($H151="",0,$H151))</f>
        <v/>
      </c>
      <c r="K151" s="25">
        <f>IF($M151&lt;&gt;"",IF(INDEX(CalcNoteA,$M151)="","—",INDEX(CalcNoteA,$M151)),IF($N151&lt;&gt;"",IF(INDEX(CalcNoteB,$N151)="","—",INDEX(CalcNoteB,$N151)),""))</f>
        <v/>
      </c>
      <c r="M151">
        <f>IFERROR(MATCH($C$5&amp;"|"&amp;RIGHT("000000"&amp;135,6),CalcRankKeyA,0),"")</f>
        <v/>
      </c>
      <c r="N151">
        <f>IFERROR(MATCH($C$5&amp;"|"&amp;RIGHT("000000"&amp;135,6),CalcRankKeyB,0),"")</f>
        <v/>
      </c>
    </row>
    <row r="152">
      <c r="A152" s="26" t="n">
        <v>136</v>
      </c>
      <c r="B152" s="27">
        <f>IF(AND($M152="",$N152=""),"",IF($M152&lt;&gt;"",INDEX(CalcDateA,$M152),INDEX(CalcDateB,$N152)))</f>
        <v/>
      </c>
      <c r="C152" s="27">
        <f>IF($M152&lt;&gt;"","خرید سبد",IF($N152&lt;&gt;"",IF(N(INDEX(CalcDepB,$N152))&gt;0,"دریافت بانکی","پرداخت بانکی"),""))</f>
        <v/>
      </c>
      <c r="D152" s="27">
        <f>IF($M152&lt;&gt;"",IF(INDEX(CalcDocA,$M152)="","—",INDEX(CalcDocA,$M152)),IF($N152&lt;&gt;"",INDEX(CalcBankB,$N152),""))</f>
        <v/>
      </c>
      <c r="E152" s="28">
        <f>IF($N152&lt;&gt;"",IF(INDEX(CalcDepB,$N152)=0,"",INDEX(CalcDepB,$N152)),"")</f>
        <v/>
      </c>
      <c r="F152" s="28">
        <f>IF($M152&lt;&gt;"",IF(INDEX(CalcQtyA,$M152)=0,"",INDEX(CalcQtyA,$M152)),"")</f>
        <v/>
      </c>
      <c r="G152" s="28">
        <f>IF($M152&lt;&gt;"",IF(INDEX(CalcPriceA,$M152)=0,"",INDEX(CalcPriceA,$M152)),"")</f>
        <v/>
      </c>
      <c r="H152" s="28">
        <f>IF($N152&lt;&gt;"",IF(INDEX(CalcWitB,$N152)=0,"",INDEX(CalcWitB,$N152)),"")</f>
        <v/>
      </c>
      <c r="I152" s="29">
        <f>IF($M152&lt;&gt;"",INDEX(CalcAmtA,$M152),"")</f>
        <v/>
      </c>
      <c r="J152" s="29">
        <f>IF($B152="","",IF($J151="",$C$8,$J151)+IF($I152="",0,$I152)+IF($E152="",0,$E152)-IF($H152="",0,$H152))</f>
        <v/>
      </c>
      <c r="K152" s="30">
        <f>IF($M152&lt;&gt;"",IF(INDEX(CalcNoteA,$M152)="","—",INDEX(CalcNoteA,$M152)),IF($N152&lt;&gt;"",IF(INDEX(CalcNoteB,$N152)="","—",INDEX(CalcNoteB,$N152)),""))</f>
        <v/>
      </c>
      <c r="M152">
        <f>IFERROR(MATCH($C$5&amp;"|"&amp;RIGHT("000000"&amp;136,6),CalcRankKeyA,0),"")</f>
        <v/>
      </c>
      <c r="N152">
        <f>IFERROR(MATCH($C$5&amp;"|"&amp;RIGHT("000000"&amp;136,6),CalcRankKeyB,0),"")</f>
        <v/>
      </c>
    </row>
    <row r="153">
      <c r="A153" s="21" t="n">
        <v>137</v>
      </c>
      <c r="B153" s="22">
        <f>IF(AND($M153="",$N153=""),"",IF($M153&lt;&gt;"",INDEX(CalcDateA,$M153),INDEX(CalcDateB,$N153)))</f>
        <v/>
      </c>
      <c r="C153" s="22">
        <f>IF($M153&lt;&gt;"","خرید سبد",IF($N153&lt;&gt;"",IF(N(INDEX(CalcDepB,$N153))&gt;0,"دریافت بانکی","پرداخت بانکی"),""))</f>
        <v/>
      </c>
      <c r="D153" s="22">
        <f>IF($M153&lt;&gt;"",IF(INDEX(CalcDocA,$M153)="","—",INDEX(CalcDocA,$M153)),IF($N153&lt;&gt;"",INDEX(CalcBankB,$N153),""))</f>
        <v/>
      </c>
      <c r="E153" s="23">
        <f>IF($N153&lt;&gt;"",IF(INDEX(CalcDepB,$N153)=0,"",INDEX(CalcDepB,$N153)),"")</f>
        <v/>
      </c>
      <c r="F153" s="23">
        <f>IF($M153&lt;&gt;"",IF(INDEX(CalcQtyA,$M153)=0,"",INDEX(CalcQtyA,$M153)),"")</f>
        <v/>
      </c>
      <c r="G153" s="23">
        <f>IF($M153&lt;&gt;"",IF(INDEX(CalcPriceA,$M153)=0,"",INDEX(CalcPriceA,$M153)),"")</f>
        <v/>
      </c>
      <c r="H153" s="23">
        <f>IF($N153&lt;&gt;"",IF(INDEX(CalcWitB,$N153)=0,"",INDEX(CalcWitB,$N153)),"")</f>
        <v/>
      </c>
      <c r="I153" s="24">
        <f>IF($M153&lt;&gt;"",INDEX(CalcAmtA,$M153),"")</f>
        <v/>
      </c>
      <c r="J153" s="24">
        <f>IF($B153="","",IF($J152="",$C$8,$J152)+IF($I153="",0,$I153)+IF($E153="",0,$E153)-IF($H153="",0,$H153))</f>
        <v/>
      </c>
      <c r="K153" s="25">
        <f>IF($M153&lt;&gt;"",IF(INDEX(CalcNoteA,$M153)="","—",INDEX(CalcNoteA,$M153)),IF($N153&lt;&gt;"",IF(INDEX(CalcNoteB,$N153)="","—",INDEX(CalcNoteB,$N153)),""))</f>
        <v/>
      </c>
      <c r="M153">
        <f>IFERROR(MATCH($C$5&amp;"|"&amp;RIGHT("000000"&amp;137,6),CalcRankKeyA,0),"")</f>
        <v/>
      </c>
      <c r="N153">
        <f>IFERROR(MATCH($C$5&amp;"|"&amp;RIGHT("000000"&amp;137,6),CalcRankKeyB,0),"")</f>
        <v/>
      </c>
    </row>
    <row r="154">
      <c r="A154" s="26" t="n">
        <v>138</v>
      </c>
      <c r="B154" s="27">
        <f>IF(AND($M154="",$N154=""),"",IF($M154&lt;&gt;"",INDEX(CalcDateA,$M154),INDEX(CalcDateB,$N154)))</f>
        <v/>
      </c>
      <c r="C154" s="27">
        <f>IF($M154&lt;&gt;"","خرید سبد",IF($N154&lt;&gt;"",IF(N(INDEX(CalcDepB,$N154))&gt;0,"دریافت بانکی","پرداخت بانکی"),""))</f>
        <v/>
      </c>
      <c r="D154" s="27">
        <f>IF($M154&lt;&gt;"",IF(INDEX(CalcDocA,$M154)="","—",INDEX(CalcDocA,$M154)),IF($N154&lt;&gt;"",INDEX(CalcBankB,$N154),""))</f>
        <v/>
      </c>
      <c r="E154" s="28">
        <f>IF($N154&lt;&gt;"",IF(INDEX(CalcDepB,$N154)=0,"",INDEX(CalcDepB,$N154)),"")</f>
        <v/>
      </c>
      <c r="F154" s="28">
        <f>IF($M154&lt;&gt;"",IF(INDEX(CalcQtyA,$M154)=0,"",INDEX(CalcQtyA,$M154)),"")</f>
        <v/>
      </c>
      <c r="G154" s="28">
        <f>IF($M154&lt;&gt;"",IF(INDEX(CalcPriceA,$M154)=0,"",INDEX(CalcPriceA,$M154)),"")</f>
        <v/>
      </c>
      <c r="H154" s="28">
        <f>IF($N154&lt;&gt;"",IF(INDEX(CalcWitB,$N154)=0,"",INDEX(CalcWitB,$N154)),"")</f>
        <v/>
      </c>
      <c r="I154" s="29">
        <f>IF($M154&lt;&gt;"",INDEX(CalcAmtA,$M154),"")</f>
        <v/>
      </c>
      <c r="J154" s="29">
        <f>IF($B154="","",IF($J153="",$C$8,$J153)+IF($I154="",0,$I154)+IF($E154="",0,$E154)-IF($H154="",0,$H154))</f>
        <v/>
      </c>
      <c r="K154" s="30">
        <f>IF($M154&lt;&gt;"",IF(INDEX(CalcNoteA,$M154)="","—",INDEX(CalcNoteA,$M154)),IF($N154&lt;&gt;"",IF(INDEX(CalcNoteB,$N154)="","—",INDEX(CalcNoteB,$N154)),""))</f>
        <v/>
      </c>
      <c r="M154">
        <f>IFERROR(MATCH($C$5&amp;"|"&amp;RIGHT("000000"&amp;138,6),CalcRankKeyA,0),"")</f>
        <v/>
      </c>
      <c r="N154">
        <f>IFERROR(MATCH($C$5&amp;"|"&amp;RIGHT("000000"&amp;138,6),CalcRankKeyB,0),"")</f>
        <v/>
      </c>
    </row>
    <row r="155">
      <c r="A155" s="21" t="n">
        <v>139</v>
      </c>
      <c r="B155" s="22">
        <f>IF(AND($M155="",$N155=""),"",IF($M155&lt;&gt;"",INDEX(CalcDateA,$M155),INDEX(CalcDateB,$N155)))</f>
        <v/>
      </c>
      <c r="C155" s="22">
        <f>IF($M155&lt;&gt;"","خرید سبد",IF($N155&lt;&gt;"",IF(N(INDEX(CalcDepB,$N155))&gt;0,"دریافت بانکی","پرداخت بانکی"),""))</f>
        <v/>
      </c>
      <c r="D155" s="22">
        <f>IF($M155&lt;&gt;"",IF(INDEX(CalcDocA,$M155)="","—",INDEX(CalcDocA,$M155)),IF($N155&lt;&gt;"",INDEX(CalcBankB,$N155),""))</f>
        <v/>
      </c>
      <c r="E155" s="23">
        <f>IF($N155&lt;&gt;"",IF(INDEX(CalcDepB,$N155)=0,"",INDEX(CalcDepB,$N155)),"")</f>
        <v/>
      </c>
      <c r="F155" s="23">
        <f>IF($M155&lt;&gt;"",IF(INDEX(CalcQtyA,$M155)=0,"",INDEX(CalcQtyA,$M155)),"")</f>
        <v/>
      </c>
      <c r="G155" s="23">
        <f>IF($M155&lt;&gt;"",IF(INDEX(CalcPriceA,$M155)=0,"",INDEX(CalcPriceA,$M155)),"")</f>
        <v/>
      </c>
      <c r="H155" s="23">
        <f>IF($N155&lt;&gt;"",IF(INDEX(CalcWitB,$N155)=0,"",INDEX(CalcWitB,$N155)),"")</f>
        <v/>
      </c>
      <c r="I155" s="24">
        <f>IF($M155&lt;&gt;"",INDEX(CalcAmtA,$M155),"")</f>
        <v/>
      </c>
      <c r="J155" s="24">
        <f>IF($B155="","",IF($J154="",$C$8,$J154)+IF($I155="",0,$I155)+IF($E155="",0,$E155)-IF($H155="",0,$H155))</f>
        <v/>
      </c>
      <c r="K155" s="25">
        <f>IF($M155&lt;&gt;"",IF(INDEX(CalcNoteA,$M155)="","—",INDEX(CalcNoteA,$M155)),IF($N155&lt;&gt;"",IF(INDEX(CalcNoteB,$N155)="","—",INDEX(CalcNoteB,$N155)),""))</f>
        <v/>
      </c>
      <c r="M155">
        <f>IFERROR(MATCH($C$5&amp;"|"&amp;RIGHT("000000"&amp;139,6),CalcRankKeyA,0),"")</f>
        <v/>
      </c>
      <c r="N155">
        <f>IFERROR(MATCH($C$5&amp;"|"&amp;RIGHT("000000"&amp;139,6),CalcRankKeyB,0),"")</f>
        <v/>
      </c>
    </row>
    <row r="156">
      <c r="A156" s="26" t="n">
        <v>140</v>
      </c>
      <c r="B156" s="27">
        <f>IF(AND($M156="",$N156=""),"",IF($M156&lt;&gt;"",INDEX(CalcDateA,$M156),INDEX(CalcDateB,$N156)))</f>
        <v/>
      </c>
      <c r="C156" s="27">
        <f>IF($M156&lt;&gt;"","خرید سبد",IF($N156&lt;&gt;"",IF(N(INDEX(CalcDepB,$N156))&gt;0,"دریافت بانکی","پرداخت بانکی"),""))</f>
        <v/>
      </c>
      <c r="D156" s="27">
        <f>IF($M156&lt;&gt;"",IF(INDEX(CalcDocA,$M156)="","—",INDEX(CalcDocA,$M156)),IF($N156&lt;&gt;"",INDEX(CalcBankB,$N156),""))</f>
        <v/>
      </c>
      <c r="E156" s="28">
        <f>IF($N156&lt;&gt;"",IF(INDEX(CalcDepB,$N156)=0,"",INDEX(CalcDepB,$N156)),"")</f>
        <v/>
      </c>
      <c r="F156" s="28">
        <f>IF($M156&lt;&gt;"",IF(INDEX(CalcQtyA,$M156)=0,"",INDEX(CalcQtyA,$M156)),"")</f>
        <v/>
      </c>
      <c r="G156" s="28">
        <f>IF($M156&lt;&gt;"",IF(INDEX(CalcPriceA,$M156)=0,"",INDEX(CalcPriceA,$M156)),"")</f>
        <v/>
      </c>
      <c r="H156" s="28">
        <f>IF($N156&lt;&gt;"",IF(INDEX(CalcWitB,$N156)=0,"",INDEX(CalcWitB,$N156)),"")</f>
        <v/>
      </c>
      <c r="I156" s="29">
        <f>IF($M156&lt;&gt;"",INDEX(CalcAmtA,$M156),"")</f>
        <v/>
      </c>
      <c r="J156" s="29">
        <f>IF($B156="","",IF($J155="",$C$8,$J155)+IF($I156="",0,$I156)+IF($E156="",0,$E156)-IF($H156="",0,$H156))</f>
        <v/>
      </c>
      <c r="K156" s="30">
        <f>IF($M156&lt;&gt;"",IF(INDEX(CalcNoteA,$M156)="","—",INDEX(CalcNoteA,$M156)),IF($N156&lt;&gt;"",IF(INDEX(CalcNoteB,$N156)="","—",INDEX(CalcNoteB,$N156)),""))</f>
        <v/>
      </c>
      <c r="M156">
        <f>IFERROR(MATCH($C$5&amp;"|"&amp;RIGHT("000000"&amp;140,6),CalcRankKeyA,0),"")</f>
        <v/>
      </c>
      <c r="N156">
        <f>IFERROR(MATCH($C$5&amp;"|"&amp;RIGHT("000000"&amp;140,6),CalcRankKeyB,0),"")</f>
        <v/>
      </c>
    </row>
    <row r="157">
      <c r="A157" s="21" t="n">
        <v>141</v>
      </c>
      <c r="B157" s="22">
        <f>IF(AND($M157="",$N157=""),"",IF($M157&lt;&gt;"",INDEX(CalcDateA,$M157),INDEX(CalcDateB,$N157)))</f>
        <v/>
      </c>
      <c r="C157" s="22">
        <f>IF($M157&lt;&gt;"","خرید سبد",IF($N157&lt;&gt;"",IF(N(INDEX(CalcDepB,$N157))&gt;0,"دریافت بانکی","پرداخت بانکی"),""))</f>
        <v/>
      </c>
      <c r="D157" s="22">
        <f>IF($M157&lt;&gt;"",IF(INDEX(CalcDocA,$M157)="","—",INDEX(CalcDocA,$M157)),IF($N157&lt;&gt;"",INDEX(CalcBankB,$N157),""))</f>
        <v/>
      </c>
      <c r="E157" s="23">
        <f>IF($N157&lt;&gt;"",IF(INDEX(CalcDepB,$N157)=0,"",INDEX(CalcDepB,$N157)),"")</f>
        <v/>
      </c>
      <c r="F157" s="23">
        <f>IF($M157&lt;&gt;"",IF(INDEX(CalcQtyA,$M157)=0,"",INDEX(CalcQtyA,$M157)),"")</f>
        <v/>
      </c>
      <c r="G157" s="23">
        <f>IF($M157&lt;&gt;"",IF(INDEX(CalcPriceA,$M157)=0,"",INDEX(CalcPriceA,$M157)),"")</f>
        <v/>
      </c>
      <c r="H157" s="23">
        <f>IF($N157&lt;&gt;"",IF(INDEX(CalcWitB,$N157)=0,"",INDEX(CalcWitB,$N157)),"")</f>
        <v/>
      </c>
      <c r="I157" s="24">
        <f>IF($M157&lt;&gt;"",INDEX(CalcAmtA,$M157),"")</f>
        <v/>
      </c>
      <c r="J157" s="24">
        <f>IF($B157="","",IF($J156="",$C$8,$J156)+IF($I157="",0,$I157)+IF($E157="",0,$E157)-IF($H157="",0,$H157))</f>
        <v/>
      </c>
      <c r="K157" s="25">
        <f>IF($M157&lt;&gt;"",IF(INDEX(CalcNoteA,$M157)="","—",INDEX(CalcNoteA,$M157)),IF($N157&lt;&gt;"",IF(INDEX(CalcNoteB,$N157)="","—",INDEX(CalcNoteB,$N157)),""))</f>
        <v/>
      </c>
      <c r="M157">
        <f>IFERROR(MATCH($C$5&amp;"|"&amp;RIGHT("000000"&amp;141,6),CalcRankKeyA,0),"")</f>
        <v/>
      </c>
      <c r="N157">
        <f>IFERROR(MATCH($C$5&amp;"|"&amp;RIGHT("000000"&amp;141,6),CalcRankKeyB,0),"")</f>
        <v/>
      </c>
    </row>
    <row r="158">
      <c r="A158" s="26" t="n">
        <v>142</v>
      </c>
      <c r="B158" s="27">
        <f>IF(AND($M158="",$N158=""),"",IF($M158&lt;&gt;"",INDEX(CalcDateA,$M158),INDEX(CalcDateB,$N158)))</f>
        <v/>
      </c>
      <c r="C158" s="27">
        <f>IF($M158&lt;&gt;"","خرید سبد",IF($N158&lt;&gt;"",IF(N(INDEX(CalcDepB,$N158))&gt;0,"دریافت بانکی","پرداخت بانکی"),""))</f>
        <v/>
      </c>
      <c r="D158" s="27">
        <f>IF($M158&lt;&gt;"",IF(INDEX(CalcDocA,$M158)="","—",INDEX(CalcDocA,$M158)),IF($N158&lt;&gt;"",INDEX(CalcBankB,$N158),""))</f>
        <v/>
      </c>
      <c r="E158" s="28">
        <f>IF($N158&lt;&gt;"",IF(INDEX(CalcDepB,$N158)=0,"",INDEX(CalcDepB,$N158)),"")</f>
        <v/>
      </c>
      <c r="F158" s="28">
        <f>IF($M158&lt;&gt;"",IF(INDEX(CalcQtyA,$M158)=0,"",INDEX(CalcQtyA,$M158)),"")</f>
        <v/>
      </c>
      <c r="G158" s="28">
        <f>IF($M158&lt;&gt;"",IF(INDEX(CalcPriceA,$M158)=0,"",INDEX(CalcPriceA,$M158)),"")</f>
        <v/>
      </c>
      <c r="H158" s="28">
        <f>IF($N158&lt;&gt;"",IF(INDEX(CalcWitB,$N158)=0,"",INDEX(CalcWitB,$N158)),"")</f>
        <v/>
      </c>
      <c r="I158" s="29">
        <f>IF($M158&lt;&gt;"",INDEX(CalcAmtA,$M158),"")</f>
        <v/>
      </c>
      <c r="J158" s="29">
        <f>IF($B158="","",IF($J157="",$C$8,$J157)+IF($I158="",0,$I158)+IF($E158="",0,$E158)-IF($H158="",0,$H158))</f>
        <v/>
      </c>
      <c r="K158" s="30">
        <f>IF($M158&lt;&gt;"",IF(INDEX(CalcNoteA,$M158)="","—",INDEX(CalcNoteA,$M158)),IF($N158&lt;&gt;"",IF(INDEX(CalcNoteB,$N158)="","—",INDEX(CalcNoteB,$N158)),""))</f>
        <v/>
      </c>
      <c r="M158">
        <f>IFERROR(MATCH($C$5&amp;"|"&amp;RIGHT("000000"&amp;142,6),CalcRankKeyA,0),"")</f>
        <v/>
      </c>
      <c r="N158">
        <f>IFERROR(MATCH($C$5&amp;"|"&amp;RIGHT("000000"&amp;142,6),CalcRankKeyB,0),"")</f>
        <v/>
      </c>
    </row>
    <row r="159">
      <c r="A159" s="21" t="n">
        <v>143</v>
      </c>
      <c r="B159" s="22">
        <f>IF(AND($M159="",$N159=""),"",IF($M159&lt;&gt;"",INDEX(CalcDateA,$M159),INDEX(CalcDateB,$N159)))</f>
        <v/>
      </c>
      <c r="C159" s="22">
        <f>IF($M159&lt;&gt;"","خرید سبد",IF($N159&lt;&gt;"",IF(N(INDEX(CalcDepB,$N159))&gt;0,"دریافت بانکی","پرداخت بانکی"),""))</f>
        <v/>
      </c>
      <c r="D159" s="22">
        <f>IF($M159&lt;&gt;"",IF(INDEX(CalcDocA,$M159)="","—",INDEX(CalcDocA,$M159)),IF($N159&lt;&gt;"",INDEX(CalcBankB,$N159),""))</f>
        <v/>
      </c>
      <c r="E159" s="23">
        <f>IF($N159&lt;&gt;"",IF(INDEX(CalcDepB,$N159)=0,"",INDEX(CalcDepB,$N159)),"")</f>
        <v/>
      </c>
      <c r="F159" s="23">
        <f>IF($M159&lt;&gt;"",IF(INDEX(CalcQtyA,$M159)=0,"",INDEX(CalcQtyA,$M159)),"")</f>
        <v/>
      </c>
      <c r="G159" s="23">
        <f>IF($M159&lt;&gt;"",IF(INDEX(CalcPriceA,$M159)=0,"",INDEX(CalcPriceA,$M159)),"")</f>
        <v/>
      </c>
      <c r="H159" s="23">
        <f>IF($N159&lt;&gt;"",IF(INDEX(CalcWitB,$N159)=0,"",INDEX(CalcWitB,$N159)),"")</f>
        <v/>
      </c>
      <c r="I159" s="24">
        <f>IF($M159&lt;&gt;"",INDEX(CalcAmtA,$M159),"")</f>
        <v/>
      </c>
      <c r="J159" s="24">
        <f>IF($B159="","",IF($J158="",$C$8,$J158)+IF($I159="",0,$I159)+IF($E159="",0,$E159)-IF($H159="",0,$H159))</f>
        <v/>
      </c>
      <c r="K159" s="25">
        <f>IF($M159&lt;&gt;"",IF(INDEX(CalcNoteA,$M159)="","—",INDEX(CalcNoteA,$M159)),IF($N159&lt;&gt;"",IF(INDEX(CalcNoteB,$N159)="","—",INDEX(CalcNoteB,$N159)),""))</f>
        <v/>
      </c>
      <c r="M159">
        <f>IFERROR(MATCH($C$5&amp;"|"&amp;RIGHT("000000"&amp;143,6),CalcRankKeyA,0),"")</f>
        <v/>
      </c>
      <c r="N159">
        <f>IFERROR(MATCH($C$5&amp;"|"&amp;RIGHT("000000"&amp;143,6),CalcRankKeyB,0),"")</f>
        <v/>
      </c>
    </row>
    <row r="160">
      <c r="A160" s="26" t="n">
        <v>144</v>
      </c>
      <c r="B160" s="27">
        <f>IF(AND($M160="",$N160=""),"",IF($M160&lt;&gt;"",INDEX(CalcDateA,$M160),INDEX(CalcDateB,$N160)))</f>
        <v/>
      </c>
      <c r="C160" s="27">
        <f>IF($M160&lt;&gt;"","خرید سبد",IF($N160&lt;&gt;"",IF(N(INDEX(CalcDepB,$N160))&gt;0,"دریافت بانکی","پرداخت بانکی"),""))</f>
        <v/>
      </c>
      <c r="D160" s="27">
        <f>IF($M160&lt;&gt;"",IF(INDEX(CalcDocA,$M160)="","—",INDEX(CalcDocA,$M160)),IF($N160&lt;&gt;"",INDEX(CalcBankB,$N160),""))</f>
        <v/>
      </c>
      <c r="E160" s="28">
        <f>IF($N160&lt;&gt;"",IF(INDEX(CalcDepB,$N160)=0,"",INDEX(CalcDepB,$N160)),"")</f>
        <v/>
      </c>
      <c r="F160" s="28">
        <f>IF($M160&lt;&gt;"",IF(INDEX(CalcQtyA,$M160)=0,"",INDEX(CalcQtyA,$M160)),"")</f>
        <v/>
      </c>
      <c r="G160" s="28">
        <f>IF($M160&lt;&gt;"",IF(INDEX(CalcPriceA,$M160)=0,"",INDEX(CalcPriceA,$M160)),"")</f>
        <v/>
      </c>
      <c r="H160" s="28">
        <f>IF($N160&lt;&gt;"",IF(INDEX(CalcWitB,$N160)=0,"",INDEX(CalcWitB,$N160)),"")</f>
        <v/>
      </c>
      <c r="I160" s="29">
        <f>IF($M160&lt;&gt;"",INDEX(CalcAmtA,$M160),"")</f>
        <v/>
      </c>
      <c r="J160" s="29">
        <f>IF($B160="","",IF($J159="",$C$8,$J159)+IF($I160="",0,$I160)+IF($E160="",0,$E160)-IF($H160="",0,$H160))</f>
        <v/>
      </c>
      <c r="K160" s="30">
        <f>IF($M160&lt;&gt;"",IF(INDEX(CalcNoteA,$M160)="","—",INDEX(CalcNoteA,$M160)),IF($N160&lt;&gt;"",IF(INDEX(CalcNoteB,$N160)="","—",INDEX(CalcNoteB,$N160)),""))</f>
        <v/>
      </c>
      <c r="M160">
        <f>IFERROR(MATCH($C$5&amp;"|"&amp;RIGHT("000000"&amp;144,6),CalcRankKeyA,0),"")</f>
        <v/>
      </c>
      <c r="N160">
        <f>IFERROR(MATCH($C$5&amp;"|"&amp;RIGHT("000000"&amp;144,6),CalcRankKeyB,0),"")</f>
        <v/>
      </c>
    </row>
    <row r="161">
      <c r="A161" s="21" t="n">
        <v>145</v>
      </c>
      <c r="B161" s="22">
        <f>IF(AND($M161="",$N161=""),"",IF($M161&lt;&gt;"",INDEX(CalcDateA,$M161),INDEX(CalcDateB,$N161)))</f>
        <v/>
      </c>
      <c r="C161" s="22">
        <f>IF($M161&lt;&gt;"","خرید سبد",IF($N161&lt;&gt;"",IF(N(INDEX(CalcDepB,$N161))&gt;0,"دریافت بانکی","پرداخت بانکی"),""))</f>
        <v/>
      </c>
      <c r="D161" s="22">
        <f>IF($M161&lt;&gt;"",IF(INDEX(CalcDocA,$M161)="","—",INDEX(CalcDocA,$M161)),IF($N161&lt;&gt;"",INDEX(CalcBankB,$N161),""))</f>
        <v/>
      </c>
      <c r="E161" s="23">
        <f>IF($N161&lt;&gt;"",IF(INDEX(CalcDepB,$N161)=0,"",INDEX(CalcDepB,$N161)),"")</f>
        <v/>
      </c>
      <c r="F161" s="23">
        <f>IF($M161&lt;&gt;"",IF(INDEX(CalcQtyA,$M161)=0,"",INDEX(CalcQtyA,$M161)),"")</f>
        <v/>
      </c>
      <c r="G161" s="23">
        <f>IF($M161&lt;&gt;"",IF(INDEX(CalcPriceA,$M161)=0,"",INDEX(CalcPriceA,$M161)),"")</f>
        <v/>
      </c>
      <c r="H161" s="23">
        <f>IF($N161&lt;&gt;"",IF(INDEX(CalcWitB,$N161)=0,"",INDEX(CalcWitB,$N161)),"")</f>
        <v/>
      </c>
      <c r="I161" s="24">
        <f>IF($M161&lt;&gt;"",INDEX(CalcAmtA,$M161),"")</f>
        <v/>
      </c>
      <c r="J161" s="24">
        <f>IF($B161="","",IF($J160="",$C$8,$J160)+IF($I161="",0,$I161)+IF($E161="",0,$E161)-IF($H161="",0,$H161))</f>
        <v/>
      </c>
      <c r="K161" s="25">
        <f>IF($M161&lt;&gt;"",IF(INDEX(CalcNoteA,$M161)="","—",INDEX(CalcNoteA,$M161)),IF($N161&lt;&gt;"",IF(INDEX(CalcNoteB,$N161)="","—",INDEX(CalcNoteB,$N161)),""))</f>
        <v/>
      </c>
      <c r="M161">
        <f>IFERROR(MATCH($C$5&amp;"|"&amp;RIGHT("000000"&amp;145,6),CalcRankKeyA,0),"")</f>
        <v/>
      </c>
      <c r="N161">
        <f>IFERROR(MATCH($C$5&amp;"|"&amp;RIGHT("000000"&amp;145,6),CalcRankKeyB,0),"")</f>
        <v/>
      </c>
    </row>
    <row r="162">
      <c r="A162" s="26" t="n">
        <v>146</v>
      </c>
      <c r="B162" s="27">
        <f>IF(AND($M162="",$N162=""),"",IF($M162&lt;&gt;"",INDEX(CalcDateA,$M162),INDEX(CalcDateB,$N162)))</f>
        <v/>
      </c>
      <c r="C162" s="27">
        <f>IF($M162&lt;&gt;"","خرید سبد",IF($N162&lt;&gt;"",IF(N(INDEX(CalcDepB,$N162))&gt;0,"دریافت بانکی","پرداخت بانکی"),""))</f>
        <v/>
      </c>
      <c r="D162" s="27">
        <f>IF($M162&lt;&gt;"",IF(INDEX(CalcDocA,$M162)="","—",INDEX(CalcDocA,$M162)),IF($N162&lt;&gt;"",INDEX(CalcBankB,$N162),""))</f>
        <v/>
      </c>
      <c r="E162" s="28">
        <f>IF($N162&lt;&gt;"",IF(INDEX(CalcDepB,$N162)=0,"",INDEX(CalcDepB,$N162)),"")</f>
        <v/>
      </c>
      <c r="F162" s="28">
        <f>IF($M162&lt;&gt;"",IF(INDEX(CalcQtyA,$M162)=0,"",INDEX(CalcQtyA,$M162)),"")</f>
        <v/>
      </c>
      <c r="G162" s="28">
        <f>IF($M162&lt;&gt;"",IF(INDEX(CalcPriceA,$M162)=0,"",INDEX(CalcPriceA,$M162)),"")</f>
        <v/>
      </c>
      <c r="H162" s="28">
        <f>IF($N162&lt;&gt;"",IF(INDEX(CalcWitB,$N162)=0,"",INDEX(CalcWitB,$N162)),"")</f>
        <v/>
      </c>
      <c r="I162" s="29">
        <f>IF($M162&lt;&gt;"",INDEX(CalcAmtA,$M162),"")</f>
        <v/>
      </c>
      <c r="J162" s="29">
        <f>IF($B162="","",IF($J161="",$C$8,$J161)+IF($I162="",0,$I162)+IF($E162="",0,$E162)-IF($H162="",0,$H162))</f>
        <v/>
      </c>
      <c r="K162" s="30">
        <f>IF($M162&lt;&gt;"",IF(INDEX(CalcNoteA,$M162)="","—",INDEX(CalcNoteA,$M162)),IF($N162&lt;&gt;"",IF(INDEX(CalcNoteB,$N162)="","—",INDEX(CalcNoteB,$N162)),""))</f>
        <v/>
      </c>
      <c r="M162">
        <f>IFERROR(MATCH($C$5&amp;"|"&amp;RIGHT("000000"&amp;146,6),CalcRankKeyA,0),"")</f>
        <v/>
      </c>
      <c r="N162">
        <f>IFERROR(MATCH($C$5&amp;"|"&amp;RIGHT("000000"&amp;146,6),CalcRankKeyB,0),"")</f>
        <v/>
      </c>
    </row>
    <row r="163">
      <c r="A163" s="21" t="n">
        <v>147</v>
      </c>
      <c r="B163" s="22">
        <f>IF(AND($M163="",$N163=""),"",IF($M163&lt;&gt;"",INDEX(CalcDateA,$M163),INDEX(CalcDateB,$N163)))</f>
        <v/>
      </c>
      <c r="C163" s="22">
        <f>IF($M163&lt;&gt;"","خرید سبد",IF($N163&lt;&gt;"",IF(N(INDEX(CalcDepB,$N163))&gt;0,"دریافت بانکی","پرداخت بانکی"),""))</f>
        <v/>
      </c>
      <c r="D163" s="22">
        <f>IF($M163&lt;&gt;"",IF(INDEX(CalcDocA,$M163)="","—",INDEX(CalcDocA,$M163)),IF($N163&lt;&gt;"",INDEX(CalcBankB,$N163),""))</f>
        <v/>
      </c>
      <c r="E163" s="23">
        <f>IF($N163&lt;&gt;"",IF(INDEX(CalcDepB,$N163)=0,"",INDEX(CalcDepB,$N163)),"")</f>
        <v/>
      </c>
      <c r="F163" s="23">
        <f>IF($M163&lt;&gt;"",IF(INDEX(CalcQtyA,$M163)=0,"",INDEX(CalcQtyA,$M163)),"")</f>
        <v/>
      </c>
      <c r="G163" s="23">
        <f>IF($M163&lt;&gt;"",IF(INDEX(CalcPriceA,$M163)=0,"",INDEX(CalcPriceA,$M163)),"")</f>
        <v/>
      </c>
      <c r="H163" s="23">
        <f>IF($N163&lt;&gt;"",IF(INDEX(CalcWitB,$N163)=0,"",INDEX(CalcWitB,$N163)),"")</f>
        <v/>
      </c>
      <c r="I163" s="24">
        <f>IF($M163&lt;&gt;"",INDEX(CalcAmtA,$M163),"")</f>
        <v/>
      </c>
      <c r="J163" s="24">
        <f>IF($B163="","",IF($J162="",$C$8,$J162)+IF($I163="",0,$I163)+IF($E163="",0,$E163)-IF($H163="",0,$H163))</f>
        <v/>
      </c>
      <c r="K163" s="25">
        <f>IF($M163&lt;&gt;"",IF(INDEX(CalcNoteA,$M163)="","—",INDEX(CalcNoteA,$M163)),IF($N163&lt;&gt;"",IF(INDEX(CalcNoteB,$N163)="","—",INDEX(CalcNoteB,$N163)),""))</f>
        <v/>
      </c>
      <c r="M163">
        <f>IFERROR(MATCH($C$5&amp;"|"&amp;RIGHT("000000"&amp;147,6),CalcRankKeyA,0),"")</f>
        <v/>
      </c>
      <c r="N163">
        <f>IFERROR(MATCH($C$5&amp;"|"&amp;RIGHT("000000"&amp;147,6),CalcRankKeyB,0),"")</f>
        <v/>
      </c>
    </row>
    <row r="164">
      <c r="A164" s="26" t="n">
        <v>148</v>
      </c>
      <c r="B164" s="27">
        <f>IF(AND($M164="",$N164=""),"",IF($M164&lt;&gt;"",INDEX(CalcDateA,$M164),INDEX(CalcDateB,$N164)))</f>
        <v/>
      </c>
      <c r="C164" s="27">
        <f>IF($M164&lt;&gt;"","خرید سبد",IF($N164&lt;&gt;"",IF(N(INDEX(CalcDepB,$N164))&gt;0,"دریافت بانکی","پرداخت بانکی"),""))</f>
        <v/>
      </c>
      <c r="D164" s="27">
        <f>IF($M164&lt;&gt;"",IF(INDEX(CalcDocA,$M164)="","—",INDEX(CalcDocA,$M164)),IF($N164&lt;&gt;"",INDEX(CalcBankB,$N164),""))</f>
        <v/>
      </c>
      <c r="E164" s="28">
        <f>IF($N164&lt;&gt;"",IF(INDEX(CalcDepB,$N164)=0,"",INDEX(CalcDepB,$N164)),"")</f>
        <v/>
      </c>
      <c r="F164" s="28">
        <f>IF($M164&lt;&gt;"",IF(INDEX(CalcQtyA,$M164)=0,"",INDEX(CalcQtyA,$M164)),"")</f>
        <v/>
      </c>
      <c r="G164" s="28">
        <f>IF($M164&lt;&gt;"",IF(INDEX(CalcPriceA,$M164)=0,"",INDEX(CalcPriceA,$M164)),"")</f>
        <v/>
      </c>
      <c r="H164" s="28">
        <f>IF($N164&lt;&gt;"",IF(INDEX(CalcWitB,$N164)=0,"",INDEX(CalcWitB,$N164)),"")</f>
        <v/>
      </c>
      <c r="I164" s="29">
        <f>IF($M164&lt;&gt;"",INDEX(CalcAmtA,$M164),"")</f>
        <v/>
      </c>
      <c r="J164" s="29">
        <f>IF($B164="","",IF($J163="",$C$8,$J163)+IF($I164="",0,$I164)+IF($E164="",0,$E164)-IF($H164="",0,$H164))</f>
        <v/>
      </c>
      <c r="K164" s="30">
        <f>IF($M164&lt;&gt;"",IF(INDEX(CalcNoteA,$M164)="","—",INDEX(CalcNoteA,$M164)),IF($N164&lt;&gt;"",IF(INDEX(CalcNoteB,$N164)="","—",INDEX(CalcNoteB,$N164)),""))</f>
        <v/>
      </c>
      <c r="M164">
        <f>IFERROR(MATCH($C$5&amp;"|"&amp;RIGHT("000000"&amp;148,6),CalcRankKeyA,0),"")</f>
        <v/>
      </c>
      <c r="N164">
        <f>IFERROR(MATCH($C$5&amp;"|"&amp;RIGHT("000000"&amp;148,6),CalcRankKeyB,0),"")</f>
        <v/>
      </c>
    </row>
    <row r="165">
      <c r="A165" s="21" t="n">
        <v>149</v>
      </c>
      <c r="B165" s="22">
        <f>IF(AND($M165="",$N165=""),"",IF($M165&lt;&gt;"",INDEX(CalcDateA,$M165),INDEX(CalcDateB,$N165)))</f>
        <v/>
      </c>
      <c r="C165" s="22">
        <f>IF($M165&lt;&gt;"","خرید سبد",IF($N165&lt;&gt;"",IF(N(INDEX(CalcDepB,$N165))&gt;0,"دریافت بانکی","پرداخت بانکی"),""))</f>
        <v/>
      </c>
      <c r="D165" s="22">
        <f>IF($M165&lt;&gt;"",IF(INDEX(CalcDocA,$M165)="","—",INDEX(CalcDocA,$M165)),IF($N165&lt;&gt;"",INDEX(CalcBankB,$N165),""))</f>
        <v/>
      </c>
      <c r="E165" s="23">
        <f>IF($N165&lt;&gt;"",IF(INDEX(CalcDepB,$N165)=0,"",INDEX(CalcDepB,$N165)),"")</f>
        <v/>
      </c>
      <c r="F165" s="23">
        <f>IF($M165&lt;&gt;"",IF(INDEX(CalcQtyA,$M165)=0,"",INDEX(CalcQtyA,$M165)),"")</f>
        <v/>
      </c>
      <c r="G165" s="23">
        <f>IF($M165&lt;&gt;"",IF(INDEX(CalcPriceA,$M165)=0,"",INDEX(CalcPriceA,$M165)),"")</f>
        <v/>
      </c>
      <c r="H165" s="23">
        <f>IF($N165&lt;&gt;"",IF(INDEX(CalcWitB,$N165)=0,"",INDEX(CalcWitB,$N165)),"")</f>
        <v/>
      </c>
      <c r="I165" s="24">
        <f>IF($M165&lt;&gt;"",INDEX(CalcAmtA,$M165),"")</f>
        <v/>
      </c>
      <c r="J165" s="24">
        <f>IF($B165="","",IF($J164="",$C$8,$J164)+IF($I165="",0,$I165)+IF($E165="",0,$E165)-IF($H165="",0,$H165))</f>
        <v/>
      </c>
      <c r="K165" s="25">
        <f>IF($M165&lt;&gt;"",IF(INDEX(CalcNoteA,$M165)="","—",INDEX(CalcNoteA,$M165)),IF($N165&lt;&gt;"",IF(INDEX(CalcNoteB,$N165)="","—",INDEX(CalcNoteB,$N165)),""))</f>
        <v/>
      </c>
      <c r="M165">
        <f>IFERROR(MATCH($C$5&amp;"|"&amp;RIGHT("000000"&amp;149,6),CalcRankKeyA,0),"")</f>
        <v/>
      </c>
      <c r="N165">
        <f>IFERROR(MATCH($C$5&amp;"|"&amp;RIGHT("000000"&amp;149,6),CalcRankKeyB,0),"")</f>
        <v/>
      </c>
    </row>
    <row r="166">
      <c r="A166" s="26" t="n">
        <v>150</v>
      </c>
      <c r="B166" s="27">
        <f>IF(AND($M166="",$N166=""),"",IF($M166&lt;&gt;"",INDEX(CalcDateA,$M166),INDEX(CalcDateB,$N166)))</f>
        <v/>
      </c>
      <c r="C166" s="27">
        <f>IF($M166&lt;&gt;"","خرید سبد",IF($N166&lt;&gt;"",IF(N(INDEX(CalcDepB,$N166))&gt;0,"دریافت بانکی","پرداخت بانکی"),""))</f>
        <v/>
      </c>
      <c r="D166" s="27">
        <f>IF($M166&lt;&gt;"",IF(INDEX(CalcDocA,$M166)="","—",INDEX(CalcDocA,$M166)),IF($N166&lt;&gt;"",INDEX(CalcBankB,$N166),""))</f>
        <v/>
      </c>
      <c r="E166" s="28">
        <f>IF($N166&lt;&gt;"",IF(INDEX(CalcDepB,$N166)=0,"",INDEX(CalcDepB,$N166)),"")</f>
        <v/>
      </c>
      <c r="F166" s="28">
        <f>IF($M166&lt;&gt;"",IF(INDEX(CalcQtyA,$M166)=0,"",INDEX(CalcQtyA,$M166)),"")</f>
        <v/>
      </c>
      <c r="G166" s="28">
        <f>IF($M166&lt;&gt;"",IF(INDEX(CalcPriceA,$M166)=0,"",INDEX(CalcPriceA,$M166)),"")</f>
        <v/>
      </c>
      <c r="H166" s="28">
        <f>IF($N166&lt;&gt;"",IF(INDEX(CalcWitB,$N166)=0,"",INDEX(CalcWitB,$N166)),"")</f>
        <v/>
      </c>
      <c r="I166" s="29">
        <f>IF($M166&lt;&gt;"",INDEX(CalcAmtA,$M166),"")</f>
        <v/>
      </c>
      <c r="J166" s="29">
        <f>IF($B166="","",IF($J165="",$C$8,$J165)+IF($I166="",0,$I166)+IF($E166="",0,$E166)-IF($H166="",0,$H166))</f>
        <v/>
      </c>
      <c r="K166" s="30">
        <f>IF($M166&lt;&gt;"",IF(INDEX(CalcNoteA,$M166)="","—",INDEX(CalcNoteA,$M166)),IF($N166&lt;&gt;"",IF(INDEX(CalcNoteB,$N166)="","—",INDEX(CalcNoteB,$N166)),""))</f>
        <v/>
      </c>
      <c r="M166">
        <f>IFERROR(MATCH($C$5&amp;"|"&amp;RIGHT("000000"&amp;150,6),CalcRankKeyA,0),"")</f>
        <v/>
      </c>
      <c r="N166">
        <f>IFERROR(MATCH($C$5&amp;"|"&amp;RIGHT("000000"&amp;150,6),CalcRankKeyB,0),"")</f>
        <v/>
      </c>
    </row>
    <row r="167">
      <c r="A167" s="21" t="n">
        <v>151</v>
      </c>
      <c r="B167" s="22">
        <f>IF(AND($M167="",$N167=""),"",IF($M167&lt;&gt;"",INDEX(CalcDateA,$M167),INDEX(CalcDateB,$N167)))</f>
        <v/>
      </c>
      <c r="C167" s="22">
        <f>IF($M167&lt;&gt;"","خرید سبد",IF($N167&lt;&gt;"",IF(N(INDEX(CalcDepB,$N167))&gt;0,"دریافت بانکی","پرداخت بانکی"),""))</f>
        <v/>
      </c>
      <c r="D167" s="22">
        <f>IF($M167&lt;&gt;"",IF(INDEX(CalcDocA,$M167)="","—",INDEX(CalcDocA,$M167)),IF($N167&lt;&gt;"",INDEX(CalcBankB,$N167),""))</f>
        <v/>
      </c>
      <c r="E167" s="23">
        <f>IF($N167&lt;&gt;"",IF(INDEX(CalcDepB,$N167)=0,"",INDEX(CalcDepB,$N167)),"")</f>
        <v/>
      </c>
      <c r="F167" s="23">
        <f>IF($M167&lt;&gt;"",IF(INDEX(CalcQtyA,$M167)=0,"",INDEX(CalcQtyA,$M167)),"")</f>
        <v/>
      </c>
      <c r="G167" s="23">
        <f>IF($M167&lt;&gt;"",IF(INDEX(CalcPriceA,$M167)=0,"",INDEX(CalcPriceA,$M167)),"")</f>
        <v/>
      </c>
      <c r="H167" s="23">
        <f>IF($N167&lt;&gt;"",IF(INDEX(CalcWitB,$N167)=0,"",INDEX(CalcWitB,$N167)),"")</f>
        <v/>
      </c>
      <c r="I167" s="24">
        <f>IF($M167&lt;&gt;"",INDEX(CalcAmtA,$M167),"")</f>
        <v/>
      </c>
      <c r="J167" s="24">
        <f>IF($B167="","",IF($J166="",$C$8,$J166)+IF($I167="",0,$I167)+IF($E167="",0,$E167)-IF($H167="",0,$H167))</f>
        <v/>
      </c>
      <c r="K167" s="25">
        <f>IF($M167&lt;&gt;"",IF(INDEX(CalcNoteA,$M167)="","—",INDEX(CalcNoteA,$M167)),IF($N167&lt;&gt;"",IF(INDEX(CalcNoteB,$N167)="","—",INDEX(CalcNoteB,$N167)),""))</f>
        <v/>
      </c>
      <c r="M167">
        <f>IFERROR(MATCH($C$5&amp;"|"&amp;RIGHT("000000"&amp;151,6),CalcRankKeyA,0),"")</f>
        <v/>
      </c>
      <c r="N167">
        <f>IFERROR(MATCH($C$5&amp;"|"&amp;RIGHT("000000"&amp;151,6),CalcRankKeyB,0),"")</f>
        <v/>
      </c>
    </row>
    <row r="168">
      <c r="A168" s="26" t="n">
        <v>152</v>
      </c>
      <c r="B168" s="27">
        <f>IF(AND($M168="",$N168=""),"",IF($M168&lt;&gt;"",INDEX(CalcDateA,$M168),INDEX(CalcDateB,$N168)))</f>
        <v/>
      </c>
      <c r="C168" s="27">
        <f>IF($M168&lt;&gt;"","خرید سبد",IF($N168&lt;&gt;"",IF(N(INDEX(CalcDepB,$N168))&gt;0,"دریافت بانکی","پرداخت بانکی"),""))</f>
        <v/>
      </c>
      <c r="D168" s="27">
        <f>IF($M168&lt;&gt;"",IF(INDEX(CalcDocA,$M168)="","—",INDEX(CalcDocA,$M168)),IF($N168&lt;&gt;"",INDEX(CalcBankB,$N168),""))</f>
        <v/>
      </c>
      <c r="E168" s="28">
        <f>IF($N168&lt;&gt;"",IF(INDEX(CalcDepB,$N168)=0,"",INDEX(CalcDepB,$N168)),"")</f>
        <v/>
      </c>
      <c r="F168" s="28">
        <f>IF($M168&lt;&gt;"",IF(INDEX(CalcQtyA,$M168)=0,"",INDEX(CalcQtyA,$M168)),"")</f>
        <v/>
      </c>
      <c r="G168" s="28">
        <f>IF($M168&lt;&gt;"",IF(INDEX(CalcPriceA,$M168)=0,"",INDEX(CalcPriceA,$M168)),"")</f>
        <v/>
      </c>
      <c r="H168" s="28">
        <f>IF($N168&lt;&gt;"",IF(INDEX(CalcWitB,$N168)=0,"",INDEX(CalcWitB,$N168)),"")</f>
        <v/>
      </c>
      <c r="I168" s="29">
        <f>IF($M168&lt;&gt;"",INDEX(CalcAmtA,$M168),"")</f>
        <v/>
      </c>
      <c r="J168" s="29">
        <f>IF($B168="","",IF($J167="",$C$8,$J167)+IF($I168="",0,$I168)+IF($E168="",0,$E168)-IF($H168="",0,$H168))</f>
        <v/>
      </c>
      <c r="K168" s="30">
        <f>IF($M168&lt;&gt;"",IF(INDEX(CalcNoteA,$M168)="","—",INDEX(CalcNoteA,$M168)),IF($N168&lt;&gt;"",IF(INDEX(CalcNoteB,$N168)="","—",INDEX(CalcNoteB,$N168)),""))</f>
        <v/>
      </c>
      <c r="M168">
        <f>IFERROR(MATCH($C$5&amp;"|"&amp;RIGHT("000000"&amp;152,6),CalcRankKeyA,0),"")</f>
        <v/>
      </c>
      <c r="N168">
        <f>IFERROR(MATCH($C$5&amp;"|"&amp;RIGHT("000000"&amp;152,6),CalcRankKeyB,0),"")</f>
        <v/>
      </c>
    </row>
    <row r="169">
      <c r="A169" s="21" t="n">
        <v>153</v>
      </c>
      <c r="B169" s="22">
        <f>IF(AND($M169="",$N169=""),"",IF($M169&lt;&gt;"",INDEX(CalcDateA,$M169),INDEX(CalcDateB,$N169)))</f>
        <v/>
      </c>
      <c r="C169" s="22">
        <f>IF($M169&lt;&gt;"","خرید سبد",IF($N169&lt;&gt;"",IF(N(INDEX(CalcDepB,$N169))&gt;0,"دریافت بانکی","پرداخت بانکی"),""))</f>
        <v/>
      </c>
      <c r="D169" s="22">
        <f>IF($M169&lt;&gt;"",IF(INDEX(CalcDocA,$M169)="","—",INDEX(CalcDocA,$M169)),IF($N169&lt;&gt;"",INDEX(CalcBankB,$N169),""))</f>
        <v/>
      </c>
      <c r="E169" s="23">
        <f>IF($N169&lt;&gt;"",IF(INDEX(CalcDepB,$N169)=0,"",INDEX(CalcDepB,$N169)),"")</f>
        <v/>
      </c>
      <c r="F169" s="23">
        <f>IF($M169&lt;&gt;"",IF(INDEX(CalcQtyA,$M169)=0,"",INDEX(CalcQtyA,$M169)),"")</f>
        <v/>
      </c>
      <c r="G169" s="23">
        <f>IF($M169&lt;&gt;"",IF(INDEX(CalcPriceA,$M169)=0,"",INDEX(CalcPriceA,$M169)),"")</f>
        <v/>
      </c>
      <c r="H169" s="23">
        <f>IF($N169&lt;&gt;"",IF(INDEX(CalcWitB,$N169)=0,"",INDEX(CalcWitB,$N169)),"")</f>
        <v/>
      </c>
      <c r="I169" s="24">
        <f>IF($M169&lt;&gt;"",INDEX(CalcAmtA,$M169),"")</f>
        <v/>
      </c>
      <c r="J169" s="24">
        <f>IF($B169="","",IF($J168="",$C$8,$J168)+IF($I169="",0,$I169)+IF($E169="",0,$E169)-IF($H169="",0,$H169))</f>
        <v/>
      </c>
      <c r="K169" s="25">
        <f>IF($M169&lt;&gt;"",IF(INDEX(CalcNoteA,$M169)="","—",INDEX(CalcNoteA,$M169)),IF($N169&lt;&gt;"",IF(INDEX(CalcNoteB,$N169)="","—",INDEX(CalcNoteB,$N169)),""))</f>
        <v/>
      </c>
      <c r="M169">
        <f>IFERROR(MATCH($C$5&amp;"|"&amp;RIGHT("000000"&amp;153,6),CalcRankKeyA,0),"")</f>
        <v/>
      </c>
      <c r="N169">
        <f>IFERROR(MATCH($C$5&amp;"|"&amp;RIGHT("000000"&amp;153,6),CalcRankKeyB,0),"")</f>
        <v/>
      </c>
    </row>
    <row r="170">
      <c r="A170" s="26" t="n">
        <v>154</v>
      </c>
      <c r="B170" s="27">
        <f>IF(AND($M170="",$N170=""),"",IF($M170&lt;&gt;"",INDEX(CalcDateA,$M170),INDEX(CalcDateB,$N170)))</f>
        <v/>
      </c>
      <c r="C170" s="27">
        <f>IF($M170&lt;&gt;"","خرید سبد",IF($N170&lt;&gt;"",IF(N(INDEX(CalcDepB,$N170))&gt;0,"دریافت بانکی","پرداخت بانکی"),""))</f>
        <v/>
      </c>
      <c r="D170" s="27">
        <f>IF($M170&lt;&gt;"",IF(INDEX(CalcDocA,$M170)="","—",INDEX(CalcDocA,$M170)),IF($N170&lt;&gt;"",INDEX(CalcBankB,$N170),""))</f>
        <v/>
      </c>
      <c r="E170" s="28">
        <f>IF($N170&lt;&gt;"",IF(INDEX(CalcDepB,$N170)=0,"",INDEX(CalcDepB,$N170)),"")</f>
        <v/>
      </c>
      <c r="F170" s="28">
        <f>IF($M170&lt;&gt;"",IF(INDEX(CalcQtyA,$M170)=0,"",INDEX(CalcQtyA,$M170)),"")</f>
        <v/>
      </c>
      <c r="G170" s="28">
        <f>IF($M170&lt;&gt;"",IF(INDEX(CalcPriceA,$M170)=0,"",INDEX(CalcPriceA,$M170)),"")</f>
        <v/>
      </c>
      <c r="H170" s="28">
        <f>IF($N170&lt;&gt;"",IF(INDEX(CalcWitB,$N170)=0,"",INDEX(CalcWitB,$N170)),"")</f>
        <v/>
      </c>
      <c r="I170" s="29">
        <f>IF($M170&lt;&gt;"",INDEX(CalcAmtA,$M170),"")</f>
        <v/>
      </c>
      <c r="J170" s="29">
        <f>IF($B170="","",IF($J169="",$C$8,$J169)+IF($I170="",0,$I170)+IF($E170="",0,$E170)-IF($H170="",0,$H170))</f>
        <v/>
      </c>
      <c r="K170" s="30">
        <f>IF($M170&lt;&gt;"",IF(INDEX(CalcNoteA,$M170)="","—",INDEX(CalcNoteA,$M170)),IF($N170&lt;&gt;"",IF(INDEX(CalcNoteB,$N170)="","—",INDEX(CalcNoteB,$N170)),""))</f>
        <v/>
      </c>
      <c r="M170">
        <f>IFERROR(MATCH($C$5&amp;"|"&amp;RIGHT("000000"&amp;154,6),CalcRankKeyA,0),"")</f>
        <v/>
      </c>
      <c r="N170">
        <f>IFERROR(MATCH($C$5&amp;"|"&amp;RIGHT("000000"&amp;154,6),CalcRankKeyB,0),"")</f>
        <v/>
      </c>
    </row>
    <row r="171">
      <c r="A171" s="21" t="n">
        <v>155</v>
      </c>
      <c r="B171" s="22">
        <f>IF(AND($M171="",$N171=""),"",IF($M171&lt;&gt;"",INDEX(CalcDateA,$M171),INDEX(CalcDateB,$N171)))</f>
        <v/>
      </c>
      <c r="C171" s="22">
        <f>IF($M171&lt;&gt;"","خرید سبد",IF($N171&lt;&gt;"",IF(N(INDEX(CalcDepB,$N171))&gt;0,"دریافت بانکی","پرداخت بانکی"),""))</f>
        <v/>
      </c>
      <c r="D171" s="22">
        <f>IF($M171&lt;&gt;"",IF(INDEX(CalcDocA,$M171)="","—",INDEX(CalcDocA,$M171)),IF($N171&lt;&gt;"",INDEX(CalcBankB,$N171),""))</f>
        <v/>
      </c>
      <c r="E171" s="23">
        <f>IF($N171&lt;&gt;"",IF(INDEX(CalcDepB,$N171)=0,"",INDEX(CalcDepB,$N171)),"")</f>
        <v/>
      </c>
      <c r="F171" s="23">
        <f>IF($M171&lt;&gt;"",IF(INDEX(CalcQtyA,$M171)=0,"",INDEX(CalcQtyA,$M171)),"")</f>
        <v/>
      </c>
      <c r="G171" s="23">
        <f>IF($M171&lt;&gt;"",IF(INDEX(CalcPriceA,$M171)=0,"",INDEX(CalcPriceA,$M171)),"")</f>
        <v/>
      </c>
      <c r="H171" s="23">
        <f>IF($N171&lt;&gt;"",IF(INDEX(CalcWitB,$N171)=0,"",INDEX(CalcWitB,$N171)),"")</f>
        <v/>
      </c>
      <c r="I171" s="24">
        <f>IF($M171&lt;&gt;"",INDEX(CalcAmtA,$M171),"")</f>
        <v/>
      </c>
      <c r="J171" s="24">
        <f>IF($B171="","",IF($J170="",$C$8,$J170)+IF($I171="",0,$I171)+IF($E171="",0,$E171)-IF($H171="",0,$H171))</f>
        <v/>
      </c>
      <c r="K171" s="25">
        <f>IF($M171&lt;&gt;"",IF(INDEX(CalcNoteA,$M171)="","—",INDEX(CalcNoteA,$M171)),IF($N171&lt;&gt;"",IF(INDEX(CalcNoteB,$N171)="","—",INDEX(CalcNoteB,$N171)),""))</f>
        <v/>
      </c>
      <c r="M171">
        <f>IFERROR(MATCH($C$5&amp;"|"&amp;RIGHT("000000"&amp;155,6),CalcRankKeyA,0),"")</f>
        <v/>
      </c>
      <c r="N171">
        <f>IFERROR(MATCH($C$5&amp;"|"&amp;RIGHT("000000"&amp;155,6),CalcRankKeyB,0),"")</f>
        <v/>
      </c>
    </row>
    <row r="172">
      <c r="A172" s="26" t="n">
        <v>156</v>
      </c>
      <c r="B172" s="27">
        <f>IF(AND($M172="",$N172=""),"",IF($M172&lt;&gt;"",INDEX(CalcDateA,$M172),INDEX(CalcDateB,$N172)))</f>
        <v/>
      </c>
      <c r="C172" s="27">
        <f>IF($M172&lt;&gt;"","خرید سبد",IF($N172&lt;&gt;"",IF(N(INDEX(CalcDepB,$N172))&gt;0,"دریافت بانکی","پرداخت بانکی"),""))</f>
        <v/>
      </c>
      <c r="D172" s="27">
        <f>IF($M172&lt;&gt;"",IF(INDEX(CalcDocA,$M172)="","—",INDEX(CalcDocA,$M172)),IF($N172&lt;&gt;"",INDEX(CalcBankB,$N172),""))</f>
        <v/>
      </c>
      <c r="E172" s="28">
        <f>IF($N172&lt;&gt;"",IF(INDEX(CalcDepB,$N172)=0,"",INDEX(CalcDepB,$N172)),"")</f>
        <v/>
      </c>
      <c r="F172" s="28">
        <f>IF($M172&lt;&gt;"",IF(INDEX(CalcQtyA,$M172)=0,"",INDEX(CalcQtyA,$M172)),"")</f>
        <v/>
      </c>
      <c r="G172" s="28">
        <f>IF($M172&lt;&gt;"",IF(INDEX(CalcPriceA,$M172)=0,"",INDEX(CalcPriceA,$M172)),"")</f>
        <v/>
      </c>
      <c r="H172" s="28">
        <f>IF($N172&lt;&gt;"",IF(INDEX(CalcWitB,$N172)=0,"",INDEX(CalcWitB,$N172)),"")</f>
        <v/>
      </c>
      <c r="I172" s="29">
        <f>IF($M172&lt;&gt;"",INDEX(CalcAmtA,$M172),"")</f>
        <v/>
      </c>
      <c r="J172" s="29">
        <f>IF($B172="","",IF($J171="",$C$8,$J171)+IF($I172="",0,$I172)+IF($E172="",0,$E172)-IF($H172="",0,$H172))</f>
        <v/>
      </c>
      <c r="K172" s="30">
        <f>IF($M172&lt;&gt;"",IF(INDEX(CalcNoteA,$M172)="","—",INDEX(CalcNoteA,$M172)),IF($N172&lt;&gt;"",IF(INDEX(CalcNoteB,$N172)="","—",INDEX(CalcNoteB,$N172)),""))</f>
        <v/>
      </c>
      <c r="M172">
        <f>IFERROR(MATCH($C$5&amp;"|"&amp;RIGHT("000000"&amp;156,6),CalcRankKeyA,0),"")</f>
        <v/>
      </c>
      <c r="N172">
        <f>IFERROR(MATCH($C$5&amp;"|"&amp;RIGHT("000000"&amp;156,6),CalcRankKeyB,0),"")</f>
        <v/>
      </c>
    </row>
    <row r="173">
      <c r="A173" s="21" t="n">
        <v>157</v>
      </c>
      <c r="B173" s="22">
        <f>IF(AND($M173="",$N173=""),"",IF($M173&lt;&gt;"",INDEX(CalcDateA,$M173),INDEX(CalcDateB,$N173)))</f>
        <v/>
      </c>
      <c r="C173" s="22">
        <f>IF($M173&lt;&gt;"","خرید سبد",IF($N173&lt;&gt;"",IF(N(INDEX(CalcDepB,$N173))&gt;0,"دریافت بانکی","پرداخت بانکی"),""))</f>
        <v/>
      </c>
      <c r="D173" s="22">
        <f>IF($M173&lt;&gt;"",IF(INDEX(CalcDocA,$M173)="","—",INDEX(CalcDocA,$M173)),IF($N173&lt;&gt;"",INDEX(CalcBankB,$N173),""))</f>
        <v/>
      </c>
      <c r="E173" s="23">
        <f>IF($N173&lt;&gt;"",IF(INDEX(CalcDepB,$N173)=0,"",INDEX(CalcDepB,$N173)),"")</f>
        <v/>
      </c>
      <c r="F173" s="23">
        <f>IF($M173&lt;&gt;"",IF(INDEX(CalcQtyA,$M173)=0,"",INDEX(CalcQtyA,$M173)),"")</f>
        <v/>
      </c>
      <c r="G173" s="23">
        <f>IF($M173&lt;&gt;"",IF(INDEX(CalcPriceA,$M173)=0,"",INDEX(CalcPriceA,$M173)),"")</f>
        <v/>
      </c>
      <c r="H173" s="23">
        <f>IF($N173&lt;&gt;"",IF(INDEX(CalcWitB,$N173)=0,"",INDEX(CalcWitB,$N173)),"")</f>
        <v/>
      </c>
      <c r="I173" s="24">
        <f>IF($M173&lt;&gt;"",INDEX(CalcAmtA,$M173),"")</f>
        <v/>
      </c>
      <c r="J173" s="24">
        <f>IF($B173="","",IF($J172="",$C$8,$J172)+IF($I173="",0,$I173)+IF($E173="",0,$E173)-IF($H173="",0,$H173))</f>
        <v/>
      </c>
      <c r="K173" s="25">
        <f>IF($M173&lt;&gt;"",IF(INDEX(CalcNoteA,$M173)="","—",INDEX(CalcNoteA,$M173)),IF($N173&lt;&gt;"",IF(INDEX(CalcNoteB,$N173)="","—",INDEX(CalcNoteB,$N173)),""))</f>
        <v/>
      </c>
      <c r="M173">
        <f>IFERROR(MATCH($C$5&amp;"|"&amp;RIGHT("000000"&amp;157,6),CalcRankKeyA,0),"")</f>
        <v/>
      </c>
      <c r="N173">
        <f>IFERROR(MATCH($C$5&amp;"|"&amp;RIGHT("000000"&amp;157,6),CalcRankKeyB,0),"")</f>
        <v/>
      </c>
    </row>
    <row r="174">
      <c r="A174" s="26" t="n">
        <v>158</v>
      </c>
      <c r="B174" s="27">
        <f>IF(AND($M174="",$N174=""),"",IF($M174&lt;&gt;"",INDEX(CalcDateA,$M174),INDEX(CalcDateB,$N174)))</f>
        <v/>
      </c>
      <c r="C174" s="27">
        <f>IF($M174&lt;&gt;"","خرید سبد",IF($N174&lt;&gt;"",IF(N(INDEX(CalcDepB,$N174))&gt;0,"دریافت بانکی","پرداخت بانکی"),""))</f>
        <v/>
      </c>
      <c r="D174" s="27">
        <f>IF($M174&lt;&gt;"",IF(INDEX(CalcDocA,$M174)="","—",INDEX(CalcDocA,$M174)),IF($N174&lt;&gt;"",INDEX(CalcBankB,$N174),""))</f>
        <v/>
      </c>
      <c r="E174" s="28">
        <f>IF($N174&lt;&gt;"",IF(INDEX(CalcDepB,$N174)=0,"",INDEX(CalcDepB,$N174)),"")</f>
        <v/>
      </c>
      <c r="F174" s="28">
        <f>IF($M174&lt;&gt;"",IF(INDEX(CalcQtyA,$M174)=0,"",INDEX(CalcQtyA,$M174)),"")</f>
        <v/>
      </c>
      <c r="G174" s="28">
        <f>IF($M174&lt;&gt;"",IF(INDEX(CalcPriceA,$M174)=0,"",INDEX(CalcPriceA,$M174)),"")</f>
        <v/>
      </c>
      <c r="H174" s="28">
        <f>IF($N174&lt;&gt;"",IF(INDEX(CalcWitB,$N174)=0,"",INDEX(CalcWitB,$N174)),"")</f>
        <v/>
      </c>
      <c r="I174" s="29">
        <f>IF($M174&lt;&gt;"",INDEX(CalcAmtA,$M174),"")</f>
        <v/>
      </c>
      <c r="J174" s="29">
        <f>IF($B174="","",IF($J173="",$C$8,$J173)+IF($I174="",0,$I174)+IF($E174="",0,$E174)-IF($H174="",0,$H174))</f>
        <v/>
      </c>
      <c r="K174" s="30">
        <f>IF($M174&lt;&gt;"",IF(INDEX(CalcNoteA,$M174)="","—",INDEX(CalcNoteA,$M174)),IF($N174&lt;&gt;"",IF(INDEX(CalcNoteB,$N174)="","—",INDEX(CalcNoteB,$N174)),""))</f>
        <v/>
      </c>
      <c r="M174">
        <f>IFERROR(MATCH($C$5&amp;"|"&amp;RIGHT("000000"&amp;158,6),CalcRankKeyA,0),"")</f>
        <v/>
      </c>
      <c r="N174">
        <f>IFERROR(MATCH($C$5&amp;"|"&amp;RIGHT("000000"&amp;158,6),CalcRankKeyB,0),"")</f>
        <v/>
      </c>
    </row>
    <row r="175">
      <c r="A175" s="21" t="n">
        <v>159</v>
      </c>
      <c r="B175" s="22">
        <f>IF(AND($M175="",$N175=""),"",IF($M175&lt;&gt;"",INDEX(CalcDateA,$M175),INDEX(CalcDateB,$N175)))</f>
        <v/>
      </c>
      <c r="C175" s="22">
        <f>IF($M175&lt;&gt;"","خرید سبد",IF($N175&lt;&gt;"",IF(N(INDEX(CalcDepB,$N175))&gt;0,"دریافت بانکی","پرداخت بانکی"),""))</f>
        <v/>
      </c>
      <c r="D175" s="22">
        <f>IF($M175&lt;&gt;"",IF(INDEX(CalcDocA,$M175)="","—",INDEX(CalcDocA,$M175)),IF($N175&lt;&gt;"",INDEX(CalcBankB,$N175),""))</f>
        <v/>
      </c>
      <c r="E175" s="23">
        <f>IF($N175&lt;&gt;"",IF(INDEX(CalcDepB,$N175)=0,"",INDEX(CalcDepB,$N175)),"")</f>
        <v/>
      </c>
      <c r="F175" s="23">
        <f>IF($M175&lt;&gt;"",IF(INDEX(CalcQtyA,$M175)=0,"",INDEX(CalcQtyA,$M175)),"")</f>
        <v/>
      </c>
      <c r="G175" s="23">
        <f>IF($M175&lt;&gt;"",IF(INDEX(CalcPriceA,$M175)=0,"",INDEX(CalcPriceA,$M175)),"")</f>
        <v/>
      </c>
      <c r="H175" s="23">
        <f>IF($N175&lt;&gt;"",IF(INDEX(CalcWitB,$N175)=0,"",INDEX(CalcWitB,$N175)),"")</f>
        <v/>
      </c>
      <c r="I175" s="24">
        <f>IF($M175&lt;&gt;"",INDEX(CalcAmtA,$M175),"")</f>
        <v/>
      </c>
      <c r="J175" s="24">
        <f>IF($B175="","",IF($J174="",$C$8,$J174)+IF($I175="",0,$I175)+IF($E175="",0,$E175)-IF($H175="",0,$H175))</f>
        <v/>
      </c>
      <c r="K175" s="25">
        <f>IF($M175&lt;&gt;"",IF(INDEX(CalcNoteA,$M175)="","—",INDEX(CalcNoteA,$M175)),IF($N175&lt;&gt;"",IF(INDEX(CalcNoteB,$N175)="","—",INDEX(CalcNoteB,$N175)),""))</f>
        <v/>
      </c>
      <c r="M175">
        <f>IFERROR(MATCH($C$5&amp;"|"&amp;RIGHT("000000"&amp;159,6),CalcRankKeyA,0),"")</f>
        <v/>
      </c>
      <c r="N175">
        <f>IFERROR(MATCH($C$5&amp;"|"&amp;RIGHT("000000"&amp;159,6),CalcRankKeyB,0),"")</f>
        <v/>
      </c>
    </row>
    <row r="176">
      <c r="A176" s="26" t="n">
        <v>160</v>
      </c>
      <c r="B176" s="27">
        <f>IF(AND($M176="",$N176=""),"",IF($M176&lt;&gt;"",INDEX(CalcDateA,$M176),INDEX(CalcDateB,$N176)))</f>
        <v/>
      </c>
      <c r="C176" s="27">
        <f>IF($M176&lt;&gt;"","خرید سبد",IF($N176&lt;&gt;"",IF(N(INDEX(CalcDepB,$N176))&gt;0,"دریافت بانکی","پرداخت بانکی"),""))</f>
        <v/>
      </c>
      <c r="D176" s="27">
        <f>IF($M176&lt;&gt;"",IF(INDEX(CalcDocA,$M176)="","—",INDEX(CalcDocA,$M176)),IF($N176&lt;&gt;"",INDEX(CalcBankB,$N176),""))</f>
        <v/>
      </c>
      <c r="E176" s="28">
        <f>IF($N176&lt;&gt;"",IF(INDEX(CalcDepB,$N176)=0,"",INDEX(CalcDepB,$N176)),"")</f>
        <v/>
      </c>
      <c r="F176" s="28">
        <f>IF($M176&lt;&gt;"",IF(INDEX(CalcQtyA,$M176)=0,"",INDEX(CalcQtyA,$M176)),"")</f>
        <v/>
      </c>
      <c r="G176" s="28">
        <f>IF($M176&lt;&gt;"",IF(INDEX(CalcPriceA,$M176)=0,"",INDEX(CalcPriceA,$M176)),"")</f>
        <v/>
      </c>
      <c r="H176" s="28">
        <f>IF($N176&lt;&gt;"",IF(INDEX(CalcWitB,$N176)=0,"",INDEX(CalcWitB,$N176)),"")</f>
        <v/>
      </c>
      <c r="I176" s="29">
        <f>IF($M176&lt;&gt;"",INDEX(CalcAmtA,$M176),"")</f>
        <v/>
      </c>
      <c r="J176" s="29">
        <f>IF($B176="","",IF($J175="",$C$8,$J175)+IF($I176="",0,$I176)+IF($E176="",0,$E176)-IF($H176="",0,$H176))</f>
        <v/>
      </c>
      <c r="K176" s="30">
        <f>IF($M176&lt;&gt;"",IF(INDEX(CalcNoteA,$M176)="","—",INDEX(CalcNoteA,$M176)),IF($N176&lt;&gt;"",IF(INDEX(CalcNoteB,$N176)="","—",INDEX(CalcNoteB,$N176)),""))</f>
        <v/>
      </c>
      <c r="M176">
        <f>IFERROR(MATCH($C$5&amp;"|"&amp;RIGHT("000000"&amp;160,6),CalcRankKeyA,0),"")</f>
        <v/>
      </c>
      <c r="N176">
        <f>IFERROR(MATCH($C$5&amp;"|"&amp;RIGHT("000000"&amp;160,6),CalcRankKeyB,0),"")</f>
        <v/>
      </c>
    </row>
    <row r="177">
      <c r="A177" s="21" t="n">
        <v>161</v>
      </c>
      <c r="B177" s="22">
        <f>IF(AND($M177="",$N177=""),"",IF($M177&lt;&gt;"",INDEX(CalcDateA,$M177),INDEX(CalcDateB,$N177)))</f>
        <v/>
      </c>
      <c r="C177" s="22">
        <f>IF($M177&lt;&gt;"","خرید سبد",IF($N177&lt;&gt;"",IF(N(INDEX(CalcDepB,$N177))&gt;0,"دریافت بانکی","پرداخت بانکی"),""))</f>
        <v/>
      </c>
      <c r="D177" s="22">
        <f>IF($M177&lt;&gt;"",IF(INDEX(CalcDocA,$M177)="","—",INDEX(CalcDocA,$M177)),IF($N177&lt;&gt;"",INDEX(CalcBankB,$N177),""))</f>
        <v/>
      </c>
      <c r="E177" s="23">
        <f>IF($N177&lt;&gt;"",IF(INDEX(CalcDepB,$N177)=0,"",INDEX(CalcDepB,$N177)),"")</f>
        <v/>
      </c>
      <c r="F177" s="23">
        <f>IF($M177&lt;&gt;"",IF(INDEX(CalcQtyA,$M177)=0,"",INDEX(CalcQtyA,$M177)),"")</f>
        <v/>
      </c>
      <c r="G177" s="23">
        <f>IF($M177&lt;&gt;"",IF(INDEX(CalcPriceA,$M177)=0,"",INDEX(CalcPriceA,$M177)),"")</f>
        <v/>
      </c>
      <c r="H177" s="23">
        <f>IF($N177&lt;&gt;"",IF(INDEX(CalcWitB,$N177)=0,"",INDEX(CalcWitB,$N177)),"")</f>
        <v/>
      </c>
      <c r="I177" s="24">
        <f>IF($M177&lt;&gt;"",INDEX(CalcAmtA,$M177),"")</f>
        <v/>
      </c>
      <c r="J177" s="24">
        <f>IF($B177="","",IF($J176="",$C$8,$J176)+IF($I177="",0,$I177)+IF($E177="",0,$E177)-IF($H177="",0,$H177))</f>
        <v/>
      </c>
      <c r="K177" s="25">
        <f>IF($M177&lt;&gt;"",IF(INDEX(CalcNoteA,$M177)="","—",INDEX(CalcNoteA,$M177)),IF($N177&lt;&gt;"",IF(INDEX(CalcNoteB,$N177)="","—",INDEX(CalcNoteB,$N177)),""))</f>
        <v/>
      </c>
      <c r="M177">
        <f>IFERROR(MATCH($C$5&amp;"|"&amp;RIGHT("000000"&amp;161,6),CalcRankKeyA,0),"")</f>
        <v/>
      </c>
      <c r="N177">
        <f>IFERROR(MATCH($C$5&amp;"|"&amp;RIGHT("000000"&amp;161,6),CalcRankKeyB,0),"")</f>
        <v/>
      </c>
    </row>
    <row r="178">
      <c r="A178" s="26" t="n">
        <v>162</v>
      </c>
      <c r="B178" s="27">
        <f>IF(AND($M178="",$N178=""),"",IF($M178&lt;&gt;"",INDEX(CalcDateA,$M178),INDEX(CalcDateB,$N178)))</f>
        <v/>
      </c>
      <c r="C178" s="27">
        <f>IF($M178&lt;&gt;"","خرید سبد",IF($N178&lt;&gt;"",IF(N(INDEX(CalcDepB,$N178))&gt;0,"دریافت بانکی","پرداخت بانکی"),""))</f>
        <v/>
      </c>
      <c r="D178" s="27">
        <f>IF($M178&lt;&gt;"",IF(INDEX(CalcDocA,$M178)="","—",INDEX(CalcDocA,$M178)),IF($N178&lt;&gt;"",INDEX(CalcBankB,$N178),""))</f>
        <v/>
      </c>
      <c r="E178" s="28">
        <f>IF($N178&lt;&gt;"",IF(INDEX(CalcDepB,$N178)=0,"",INDEX(CalcDepB,$N178)),"")</f>
        <v/>
      </c>
      <c r="F178" s="28">
        <f>IF($M178&lt;&gt;"",IF(INDEX(CalcQtyA,$M178)=0,"",INDEX(CalcQtyA,$M178)),"")</f>
        <v/>
      </c>
      <c r="G178" s="28">
        <f>IF($M178&lt;&gt;"",IF(INDEX(CalcPriceA,$M178)=0,"",INDEX(CalcPriceA,$M178)),"")</f>
        <v/>
      </c>
      <c r="H178" s="28">
        <f>IF($N178&lt;&gt;"",IF(INDEX(CalcWitB,$N178)=0,"",INDEX(CalcWitB,$N178)),"")</f>
        <v/>
      </c>
      <c r="I178" s="29">
        <f>IF($M178&lt;&gt;"",INDEX(CalcAmtA,$M178),"")</f>
        <v/>
      </c>
      <c r="J178" s="29">
        <f>IF($B178="","",IF($J177="",$C$8,$J177)+IF($I178="",0,$I178)+IF($E178="",0,$E178)-IF($H178="",0,$H178))</f>
        <v/>
      </c>
      <c r="K178" s="30">
        <f>IF($M178&lt;&gt;"",IF(INDEX(CalcNoteA,$M178)="","—",INDEX(CalcNoteA,$M178)),IF($N178&lt;&gt;"",IF(INDEX(CalcNoteB,$N178)="","—",INDEX(CalcNoteB,$N178)),""))</f>
        <v/>
      </c>
      <c r="M178">
        <f>IFERROR(MATCH($C$5&amp;"|"&amp;RIGHT("000000"&amp;162,6),CalcRankKeyA,0),"")</f>
        <v/>
      </c>
      <c r="N178">
        <f>IFERROR(MATCH($C$5&amp;"|"&amp;RIGHT("000000"&amp;162,6),CalcRankKeyB,0),"")</f>
        <v/>
      </c>
    </row>
    <row r="179">
      <c r="A179" s="21" t="n">
        <v>163</v>
      </c>
      <c r="B179" s="22">
        <f>IF(AND($M179="",$N179=""),"",IF($M179&lt;&gt;"",INDEX(CalcDateA,$M179),INDEX(CalcDateB,$N179)))</f>
        <v/>
      </c>
      <c r="C179" s="22">
        <f>IF($M179&lt;&gt;"","خرید سبد",IF($N179&lt;&gt;"",IF(N(INDEX(CalcDepB,$N179))&gt;0,"دریافت بانکی","پرداخت بانکی"),""))</f>
        <v/>
      </c>
      <c r="D179" s="22">
        <f>IF($M179&lt;&gt;"",IF(INDEX(CalcDocA,$M179)="","—",INDEX(CalcDocA,$M179)),IF($N179&lt;&gt;"",INDEX(CalcBankB,$N179),""))</f>
        <v/>
      </c>
      <c r="E179" s="23">
        <f>IF($N179&lt;&gt;"",IF(INDEX(CalcDepB,$N179)=0,"",INDEX(CalcDepB,$N179)),"")</f>
        <v/>
      </c>
      <c r="F179" s="23">
        <f>IF($M179&lt;&gt;"",IF(INDEX(CalcQtyA,$M179)=0,"",INDEX(CalcQtyA,$M179)),"")</f>
        <v/>
      </c>
      <c r="G179" s="23">
        <f>IF($M179&lt;&gt;"",IF(INDEX(CalcPriceA,$M179)=0,"",INDEX(CalcPriceA,$M179)),"")</f>
        <v/>
      </c>
      <c r="H179" s="23">
        <f>IF($N179&lt;&gt;"",IF(INDEX(CalcWitB,$N179)=0,"",INDEX(CalcWitB,$N179)),"")</f>
        <v/>
      </c>
      <c r="I179" s="24">
        <f>IF($M179&lt;&gt;"",INDEX(CalcAmtA,$M179),"")</f>
        <v/>
      </c>
      <c r="J179" s="24">
        <f>IF($B179="","",IF($J178="",$C$8,$J178)+IF($I179="",0,$I179)+IF($E179="",0,$E179)-IF($H179="",0,$H179))</f>
        <v/>
      </c>
      <c r="K179" s="25">
        <f>IF($M179&lt;&gt;"",IF(INDEX(CalcNoteA,$M179)="","—",INDEX(CalcNoteA,$M179)),IF($N179&lt;&gt;"",IF(INDEX(CalcNoteB,$N179)="","—",INDEX(CalcNoteB,$N179)),""))</f>
        <v/>
      </c>
      <c r="M179">
        <f>IFERROR(MATCH($C$5&amp;"|"&amp;RIGHT("000000"&amp;163,6),CalcRankKeyA,0),"")</f>
        <v/>
      </c>
      <c r="N179">
        <f>IFERROR(MATCH($C$5&amp;"|"&amp;RIGHT("000000"&amp;163,6),CalcRankKeyB,0),"")</f>
        <v/>
      </c>
    </row>
    <row r="180">
      <c r="A180" s="26" t="n">
        <v>164</v>
      </c>
      <c r="B180" s="27">
        <f>IF(AND($M180="",$N180=""),"",IF($M180&lt;&gt;"",INDEX(CalcDateA,$M180),INDEX(CalcDateB,$N180)))</f>
        <v/>
      </c>
      <c r="C180" s="27">
        <f>IF($M180&lt;&gt;"","خرید سبد",IF($N180&lt;&gt;"",IF(N(INDEX(CalcDepB,$N180))&gt;0,"دریافت بانکی","پرداخت بانکی"),""))</f>
        <v/>
      </c>
      <c r="D180" s="27">
        <f>IF($M180&lt;&gt;"",IF(INDEX(CalcDocA,$M180)="","—",INDEX(CalcDocA,$M180)),IF($N180&lt;&gt;"",INDEX(CalcBankB,$N180),""))</f>
        <v/>
      </c>
      <c r="E180" s="28">
        <f>IF($N180&lt;&gt;"",IF(INDEX(CalcDepB,$N180)=0,"",INDEX(CalcDepB,$N180)),"")</f>
        <v/>
      </c>
      <c r="F180" s="28">
        <f>IF($M180&lt;&gt;"",IF(INDEX(CalcQtyA,$M180)=0,"",INDEX(CalcQtyA,$M180)),"")</f>
        <v/>
      </c>
      <c r="G180" s="28">
        <f>IF($M180&lt;&gt;"",IF(INDEX(CalcPriceA,$M180)=0,"",INDEX(CalcPriceA,$M180)),"")</f>
        <v/>
      </c>
      <c r="H180" s="28">
        <f>IF($N180&lt;&gt;"",IF(INDEX(CalcWitB,$N180)=0,"",INDEX(CalcWitB,$N180)),"")</f>
        <v/>
      </c>
      <c r="I180" s="29">
        <f>IF($M180&lt;&gt;"",INDEX(CalcAmtA,$M180),"")</f>
        <v/>
      </c>
      <c r="J180" s="29">
        <f>IF($B180="","",IF($J179="",$C$8,$J179)+IF($I180="",0,$I180)+IF($E180="",0,$E180)-IF($H180="",0,$H180))</f>
        <v/>
      </c>
      <c r="K180" s="30">
        <f>IF($M180&lt;&gt;"",IF(INDEX(CalcNoteA,$M180)="","—",INDEX(CalcNoteA,$M180)),IF($N180&lt;&gt;"",IF(INDEX(CalcNoteB,$N180)="","—",INDEX(CalcNoteB,$N180)),""))</f>
        <v/>
      </c>
      <c r="M180">
        <f>IFERROR(MATCH($C$5&amp;"|"&amp;RIGHT("000000"&amp;164,6),CalcRankKeyA,0),"")</f>
        <v/>
      </c>
      <c r="N180">
        <f>IFERROR(MATCH($C$5&amp;"|"&amp;RIGHT("000000"&amp;164,6),CalcRankKeyB,0),"")</f>
        <v/>
      </c>
    </row>
    <row r="181">
      <c r="A181" s="21" t="n">
        <v>165</v>
      </c>
      <c r="B181" s="22">
        <f>IF(AND($M181="",$N181=""),"",IF($M181&lt;&gt;"",INDEX(CalcDateA,$M181),INDEX(CalcDateB,$N181)))</f>
        <v/>
      </c>
      <c r="C181" s="22">
        <f>IF($M181&lt;&gt;"","خرید سبد",IF($N181&lt;&gt;"",IF(N(INDEX(CalcDepB,$N181))&gt;0,"دریافت بانکی","پرداخت بانکی"),""))</f>
        <v/>
      </c>
      <c r="D181" s="22">
        <f>IF($M181&lt;&gt;"",IF(INDEX(CalcDocA,$M181)="","—",INDEX(CalcDocA,$M181)),IF($N181&lt;&gt;"",INDEX(CalcBankB,$N181),""))</f>
        <v/>
      </c>
      <c r="E181" s="23">
        <f>IF($N181&lt;&gt;"",IF(INDEX(CalcDepB,$N181)=0,"",INDEX(CalcDepB,$N181)),"")</f>
        <v/>
      </c>
      <c r="F181" s="23">
        <f>IF($M181&lt;&gt;"",IF(INDEX(CalcQtyA,$M181)=0,"",INDEX(CalcQtyA,$M181)),"")</f>
        <v/>
      </c>
      <c r="G181" s="23">
        <f>IF($M181&lt;&gt;"",IF(INDEX(CalcPriceA,$M181)=0,"",INDEX(CalcPriceA,$M181)),"")</f>
        <v/>
      </c>
      <c r="H181" s="23">
        <f>IF($N181&lt;&gt;"",IF(INDEX(CalcWitB,$N181)=0,"",INDEX(CalcWitB,$N181)),"")</f>
        <v/>
      </c>
      <c r="I181" s="24">
        <f>IF($M181&lt;&gt;"",INDEX(CalcAmtA,$M181),"")</f>
        <v/>
      </c>
      <c r="J181" s="24">
        <f>IF($B181="","",IF($J180="",$C$8,$J180)+IF($I181="",0,$I181)+IF($E181="",0,$E181)-IF($H181="",0,$H181))</f>
        <v/>
      </c>
      <c r="K181" s="25">
        <f>IF($M181&lt;&gt;"",IF(INDEX(CalcNoteA,$M181)="","—",INDEX(CalcNoteA,$M181)),IF($N181&lt;&gt;"",IF(INDEX(CalcNoteB,$N181)="","—",INDEX(CalcNoteB,$N181)),""))</f>
        <v/>
      </c>
      <c r="M181">
        <f>IFERROR(MATCH($C$5&amp;"|"&amp;RIGHT("000000"&amp;165,6),CalcRankKeyA,0),"")</f>
        <v/>
      </c>
      <c r="N181">
        <f>IFERROR(MATCH($C$5&amp;"|"&amp;RIGHT("000000"&amp;165,6),CalcRankKeyB,0),"")</f>
        <v/>
      </c>
    </row>
    <row r="182">
      <c r="A182" s="26" t="n">
        <v>166</v>
      </c>
      <c r="B182" s="27">
        <f>IF(AND($M182="",$N182=""),"",IF($M182&lt;&gt;"",INDEX(CalcDateA,$M182),INDEX(CalcDateB,$N182)))</f>
        <v/>
      </c>
      <c r="C182" s="27">
        <f>IF($M182&lt;&gt;"","خرید سبد",IF($N182&lt;&gt;"",IF(N(INDEX(CalcDepB,$N182))&gt;0,"دریافت بانکی","پرداخت بانکی"),""))</f>
        <v/>
      </c>
      <c r="D182" s="27">
        <f>IF($M182&lt;&gt;"",IF(INDEX(CalcDocA,$M182)="","—",INDEX(CalcDocA,$M182)),IF($N182&lt;&gt;"",INDEX(CalcBankB,$N182),""))</f>
        <v/>
      </c>
      <c r="E182" s="28">
        <f>IF($N182&lt;&gt;"",IF(INDEX(CalcDepB,$N182)=0,"",INDEX(CalcDepB,$N182)),"")</f>
        <v/>
      </c>
      <c r="F182" s="28">
        <f>IF($M182&lt;&gt;"",IF(INDEX(CalcQtyA,$M182)=0,"",INDEX(CalcQtyA,$M182)),"")</f>
        <v/>
      </c>
      <c r="G182" s="28">
        <f>IF($M182&lt;&gt;"",IF(INDEX(CalcPriceA,$M182)=0,"",INDEX(CalcPriceA,$M182)),"")</f>
        <v/>
      </c>
      <c r="H182" s="28">
        <f>IF($N182&lt;&gt;"",IF(INDEX(CalcWitB,$N182)=0,"",INDEX(CalcWitB,$N182)),"")</f>
        <v/>
      </c>
      <c r="I182" s="29">
        <f>IF($M182&lt;&gt;"",INDEX(CalcAmtA,$M182),"")</f>
        <v/>
      </c>
      <c r="J182" s="29">
        <f>IF($B182="","",IF($J181="",$C$8,$J181)+IF($I182="",0,$I182)+IF($E182="",0,$E182)-IF($H182="",0,$H182))</f>
        <v/>
      </c>
      <c r="K182" s="30">
        <f>IF($M182&lt;&gt;"",IF(INDEX(CalcNoteA,$M182)="","—",INDEX(CalcNoteA,$M182)),IF($N182&lt;&gt;"",IF(INDEX(CalcNoteB,$N182)="","—",INDEX(CalcNoteB,$N182)),""))</f>
        <v/>
      </c>
      <c r="M182">
        <f>IFERROR(MATCH($C$5&amp;"|"&amp;RIGHT("000000"&amp;166,6),CalcRankKeyA,0),"")</f>
        <v/>
      </c>
      <c r="N182">
        <f>IFERROR(MATCH($C$5&amp;"|"&amp;RIGHT("000000"&amp;166,6),CalcRankKeyB,0),"")</f>
        <v/>
      </c>
    </row>
    <row r="183">
      <c r="A183" s="21" t="n">
        <v>167</v>
      </c>
      <c r="B183" s="22">
        <f>IF(AND($M183="",$N183=""),"",IF($M183&lt;&gt;"",INDEX(CalcDateA,$M183),INDEX(CalcDateB,$N183)))</f>
        <v/>
      </c>
      <c r="C183" s="22">
        <f>IF($M183&lt;&gt;"","خرید سبد",IF($N183&lt;&gt;"",IF(N(INDEX(CalcDepB,$N183))&gt;0,"دریافت بانکی","پرداخت بانکی"),""))</f>
        <v/>
      </c>
      <c r="D183" s="22">
        <f>IF($M183&lt;&gt;"",IF(INDEX(CalcDocA,$M183)="","—",INDEX(CalcDocA,$M183)),IF($N183&lt;&gt;"",INDEX(CalcBankB,$N183),""))</f>
        <v/>
      </c>
      <c r="E183" s="23">
        <f>IF($N183&lt;&gt;"",IF(INDEX(CalcDepB,$N183)=0,"",INDEX(CalcDepB,$N183)),"")</f>
        <v/>
      </c>
      <c r="F183" s="23">
        <f>IF($M183&lt;&gt;"",IF(INDEX(CalcQtyA,$M183)=0,"",INDEX(CalcQtyA,$M183)),"")</f>
        <v/>
      </c>
      <c r="G183" s="23">
        <f>IF($M183&lt;&gt;"",IF(INDEX(CalcPriceA,$M183)=0,"",INDEX(CalcPriceA,$M183)),"")</f>
        <v/>
      </c>
      <c r="H183" s="23">
        <f>IF($N183&lt;&gt;"",IF(INDEX(CalcWitB,$N183)=0,"",INDEX(CalcWitB,$N183)),"")</f>
        <v/>
      </c>
      <c r="I183" s="24">
        <f>IF($M183&lt;&gt;"",INDEX(CalcAmtA,$M183),"")</f>
        <v/>
      </c>
      <c r="J183" s="24">
        <f>IF($B183="","",IF($J182="",$C$8,$J182)+IF($I183="",0,$I183)+IF($E183="",0,$E183)-IF($H183="",0,$H183))</f>
        <v/>
      </c>
      <c r="K183" s="25">
        <f>IF($M183&lt;&gt;"",IF(INDEX(CalcNoteA,$M183)="","—",INDEX(CalcNoteA,$M183)),IF($N183&lt;&gt;"",IF(INDEX(CalcNoteB,$N183)="","—",INDEX(CalcNoteB,$N183)),""))</f>
        <v/>
      </c>
      <c r="M183">
        <f>IFERROR(MATCH($C$5&amp;"|"&amp;RIGHT("000000"&amp;167,6),CalcRankKeyA,0),"")</f>
        <v/>
      </c>
      <c r="N183">
        <f>IFERROR(MATCH($C$5&amp;"|"&amp;RIGHT("000000"&amp;167,6),CalcRankKeyB,0),"")</f>
        <v/>
      </c>
    </row>
    <row r="184">
      <c r="A184" s="26" t="n">
        <v>168</v>
      </c>
      <c r="B184" s="27">
        <f>IF(AND($M184="",$N184=""),"",IF($M184&lt;&gt;"",INDEX(CalcDateA,$M184),INDEX(CalcDateB,$N184)))</f>
        <v/>
      </c>
      <c r="C184" s="27">
        <f>IF($M184&lt;&gt;"","خرید سبد",IF($N184&lt;&gt;"",IF(N(INDEX(CalcDepB,$N184))&gt;0,"دریافت بانکی","پرداخت بانکی"),""))</f>
        <v/>
      </c>
      <c r="D184" s="27">
        <f>IF($M184&lt;&gt;"",IF(INDEX(CalcDocA,$M184)="","—",INDEX(CalcDocA,$M184)),IF($N184&lt;&gt;"",INDEX(CalcBankB,$N184),""))</f>
        <v/>
      </c>
      <c r="E184" s="28">
        <f>IF($N184&lt;&gt;"",IF(INDEX(CalcDepB,$N184)=0,"",INDEX(CalcDepB,$N184)),"")</f>
        <v/>
      </c>
      <c r="F184" s="28">
        <f>IF($M184&lt;&gt;"",IF(INDEX(CalcQtyA,$M184)=0,"",INDEX(CalcQtyA,$M184)),"")</f>
        <v/>
      </c>
      <c r="G184" s="28">
        <f>IF($M184&lt;&gt;"",IF(INDEX(CalcPriceA,$M184)=0,"",INDEX(CalcPriceA,$M184)),"")</f>
        <v/>
      </c>
      <c r="H184" s="28">
        <f>IF($N184&lt;&gt;"",IF(INDEX(CalcWitB,$N184)=0,"",INDEX(CalcWitB,$N184)),"")</f>
        <v/>
      </c>
      <c r="I184" s="29">
        <f>IF($M184&lt;&gt;"",INDEX(CalcAmtA,$M184),"")</f>
        <v/>
      </c>
      <c r="J184" s="29">
        <f>IF($B184="","",IF($J183="",$C$8,$J183)+IF($I184="",0,$I184)+IF($E184="",0,$E184)-IF($H184="",0,$H184))</f>
        <v/>
      </c>
      <c r="K184" s="30">
        <f>IF($M184&lt;&gt;"",IF(INDEX(CalcNoteA,$M184)="","—",INDEX(CalcNoteA,$M184)),IF($N184&lt;&gt;"",IF(INDEX(CalcNoteB,$N184)="","—",INDEX(CalcNoteB,$N184)),""))</f>
        <v/>
      </c>
      <c r="M184">
        <f>IFERROR(MATCH($C$5&amp;"|"&amp;RIGHT("000000"&amp;168,6),CalcRankKeyA,0),"")</f>
        <v/>
      </c>
      <c r="N184">
        <f>IFERROR(MATCH($C$5&amp;"|"&amp;RIGHT("000000"&amp;168,6),CalcRankKeyB,0),"")</f>
        <v/>
      </c>
    </row>
    <row r="185">
      <c r="A185" s="21" t="n">
        <v>169</v>
      </c>
      <c r="B185" s="22">
        <f>IF(AND($M185="",$N185=""),"",IF($M185&lt;&gt;"",INDEX(CalcDateA,$M185),INDEX(CalcDateB,$N185)))</f>
        <v/>
      </c>
      <c r="C185" s="22">
        <f>IF($M185&lt;&gt;"","خرید سبد",IF($N185&lt;&gt;"",IF(N(INDEX(CalcDepB,$N185))&gt;0,"دریافت بانکی","پرداخت بانکی"),""))</f>
        <v/>
      </c>
      <c r="D185" s="22">
        <f>IF($M185&lt;&gt;"",IF(INDEX(CalcDocA,$M185)="","—",INDEX(CalcDocA,$M185)),IF($N185&lt;&gt;"",INDEX(CalcBankB,$N185),""))</f>
        <v/>
      </c>
      <c r="E185" s="23">
        <f>IF($N185&lt;&gt;"",IF(INDEX(CalcDepB,$N185)=0,"",INDEX(CalcDepB,$N185)),"")</f>
        <v/>
      </c>
      <c r="F185" s="23">
        <f>IF($M185&lt;&gt;"",IF(INDEX(CalcQtyA,$M185)=0,"",INDEX(CalcQtyA,$M185)),"")</f>
        <v/>
      </c>
      <c r="G185" s="23">
        <f>IF($M185&lt;&gt;"",IF(INDEX(CalcPriceA,$M185)=0,"",INDEX(CalcPriceA,$M185)),"")</f>
        <v/>
      </c>
      <c r="H185" s="23">
        <f>IF($N185&lt;&gt;"",IF(INDEX(CalcWitB,$N185)=0,"",INDEX(CalcWitB,$N185)),"")</f>
        <v/>
      </c>
      <c r="I185" s="24">
        <f>IF($M185&lt;&gt;"",INDEX(CalcAmtA,$M185),"")</f>
        <v/>
      </c>
      <c r="J185" s="24">
        <f>IF($B185="","",IF($J184="",$C$8,$J184)+IF($I185="",0,$I185)+IF($E185="",0,$E185)-IF($H185="",0,$H185))</f>
        <v/>
      </c>
      <c r="K185" s="25">
        <f>IF($M185&lt;&gt;"",IF(INDEX(CalcNoteA,$M185)="","—",INDEX(CalcNoteA,$M185)),IF($N185&lt;&gt;"",IF(INDEX(CalcNoteB,$N185)="","—",INDEX(CalcNoteB,$N185)),""))</f>
        <v/>
      </c>
      <c r="M185">
        <f>IFERROR(MATCH($C$5&amp;"|"&amp;RIGHT("000000"&amp;169,6),CalcRankKeyA,0),"")</f>
        <v/>
      </c>
      <c r="N185">
        <f>IFERROR(MATCH($C$5&amp;"|"&amp;RIGHT("000000"&amp;169,6),CalcRankKeyB,0),"")</f>
        <v/>
      </c>
    </row>
    <row r="186">
      <c r="A186" s="26" t="n">
        <v>170</v>
      </c>
      <c r="B186" s="27">
        <f>IF(AND($M186="",$N186=""),"",IF($M186&lt;&gt;"",INDEX(CalcDateA,$M186),INDEX(CalcDateB,$N186)))</f>
        <v/>
      </c>
      <c r="C186" s="27">
        <f>IF($M186&lt;&gt;"","خرید سبد",IF($N186&lt;&gt;"",IF(N(INDEX(CalcDepB,$N186))&gt;0,"دریافت بانکی","پرداخت بانکی"),""))</f>
        <v/>
      </c>
      <c r="D186" s="27">
        <f>IF($M186&lt;&gt;"",IF(INDEX(CalcDocA,$M186)="","—",INDEX(CalcDocA,$M186)),IF($N186&lt;&gt;"",INDEX(CalcBankB,$N186),""))</f>
        <v/>
      </c>
      <c r="E186" s="28">
        <f>IF($N186&lt;&gt;"",IF(INDEX(CalcDepB,$N186)=0,"",INDEX(CalcDepB,$N186)),"")</f>
        <v/>
      </c>
      <c r="F186" s="28">
        <f>IF($M186&lt;&gt;"",IF(INDEX(CalcQtyA,$M186)=0,"",INDEX(CalcQtyA,$M186)),"")</f>
        <v/>
      </c>
      <c r="G186" s="28">
        <f>IF($M186&lt;&gt;"",IF(INDEX(CalcPriceA,$M186)=0,"",INDEX(CalcPriceA,$M186)),"")</f>
        <v/>
      </c>
      <c r="H186" s="28">
        <f>IF($N186&lt;&gt;"",IF(INDEX(CalcWitB,$N186)=0,"",INDEX(CalcWitB,$N186)),"")</f>
        <v/>
      </c>
      <c r="I186" s="29">
        <f>IF($M186&lt;&gt;"",INDEX(CalcAmtA,$M186),"")</f>
        <v/>
      </c>
      <c r="J186" s="29">
        <f>IF($B186="","",IF($J185="",$C$8,$J185)+IF($I186="",0,$I186)+IF($E186="",0,$E186)-IF($H186="",0,$H186))</f>
        <v/>
      </c>
      <c r="K186" s="30">
        <f>IF($M186&lt;&gt;"",IF(INDEX(CalcNoteA,$M186)="","—",INDEX(CalcNoteA,$M186)),IF($N186&lt;&gt;"",IF(INDEX(CalcNoteB,$N186)="","—",INDEX(CalcNoteB,$N186)),""))</f>
        <v/>
      </c>
      <c r="M186">
        <f>IFERROR(MATCH($C$5&amp;"|"&amp;RIGHT("000000"&amp;170,6),CalcRankKeyA,0),"")</f>
        <v/>
      </c>
      <c r="N186">
        <f>IFERROR(MATCH($C$5&amp;"|"&amp;RIGHT("000000"&amp;170,6),CalcRankKeyB,0),"")</f>
        <v/>
      </c>
    </row>
    <row r="187">
      <c r="A187" s="21" t="n">
        <v>171</v>
      </c>
      <c r="B187" s="22">
        <f>IF(AND($M187="",$N187=""),"",IF($M187&lt;&gt;"",INDEX(CalcDateA,$M187),INDEX(CalcDateB,$N187)))</f>
        <v/>
      </c>
      <c r="C187" s="22">
        <f>IF($M187&lt;&gt;"","خرید سبد",IF($N187&lt;&gt;"",IF(N(INDEX(CalcDepB,$N187))&gt;0,"دریافت بانکی","پرداخت بانکی"),""))</f>
        <v/>
      </c>
      <c r="D187" s="22">
        <f>IF($M187&lt;&gt;"",IF(INDEX(CalcDocA,$M187)="","—",INDEX(CalcDocA,$M187)),IF($N187&lt;&gt;"",INDEX(CalcBankB,$N187),""))</f>
        <v/>
      </c>
      <c r="E187" s="23">
        <f>IF($N187&lt;&gt;"",IF(INDEX(CalcDepB,$N187)=0,"",INDEX(CalcDepB,$N187)),"")</f>
        <v/>
      </c>
      <c r="F187" s="23">
        <f>IF($M187&lt;&gt;"",IF(INDEX(CalcQtyA,$M187)=0,"",INDEX(CalcQtyA,$M187)),"")</f>
        <v/>
      </c>
      <c r="G187" s="23">
        <f>IF($M187&lt;&gt;"",IF(INDEX(CalcPriceA,$M187)=0,"",INDEX(CalcPriceA,$M187)),"")</f>
        <v/>
      </c>
      <c r="H187" s="23">
        <f>IF($N187&lt;&gt;"",IF(INDEX(CalcWitB,$N187)=0,"",INDEX(CalcWitB,$N187)),"")</f>
        <v/>
      </c>
      <c r="I187" s="24">
        <f>IF($M187&lt;&gt;"",INDEX(CalcAmtA,$M187),"")</f>
        <v/>
      </c>
      <c r="J187" s="24">
        <f>IF($B187="","",IF($J186="",$C$8,$J186)+IF($I187="",0,$I187)+IF($E187="",0,$E187)-IF($H187="",0,$H187))</f>
        <v/>
      </c>
      <c r="K187" s="25">
        <f>IF($M187&lt;&gt;"",IF(INDEX(CalcNoteA,$M187)="","—",INDEX(CalcNoteA,$M187)),IF($N187&lt;&gt;"",IF(INDEX(CalcNoteB,$N187)="","—",INDEX(CalcNoteB,$N187)),""))</f>
        <v/>
      </c>
      <c r="M187">
        <f>IFERROR(MATCH($C$5&amp;"|"&amp;RIGHT("000000"&amp;171,6),CalcRankKeyA,0),"")</f>
        <v/>
      </c>
      <c r="N187">
        <f>IFERROR(MATCH($C$5&amp;"|"&amp;RIGHT("000000"&amp;171,6),CalcRankKeyB,0),"")</f>
        <v/>
      </c>
    </row>
    <row r="188">
      <c r="A188" s="26" t="n">
        <v>172</v>
      </c>
      <c r="B188" s="27">
        <f>IF(AND($M188="",$N188=""),"",IF($M188&lt;&gt;"",INDEX(CalcDateA,$M188),INDEX(CalcDateB,$N188)))</f>
        <v/>
      </c>
      <c r="C188" s="27">
        <f>IF($M188&lt;&gt;"","خرید سبد",IF($N188&lt;&gt;"",IF(N(INDEX(CalcDepB,$N188))&gt;0,"دریافت بانکی","پرداخت بانکی"),""))</f>
        <v/>
      </c>
      <c r="D188" s="27">
        <f>IF($M188&lt;&gt;"",IF(INDEX(CalcDocA,$M188)="","—",INDEX(CalcDocA,$M188)),IF($N188&lt;&gt;"",INDEX(CalcBankB,$N188),""))</f>
        <v/>
      </c>
      <c r="E188" s="28">
        <f>IF($N188&lt;&gt;"",IF(INDEX(CalcDepB,$N188)=0,"",INDEX(CalcDepB,$N188)),"")</f>
        <v/>
      </c>
      <c r="F188" s="28">
        <f>IF($M188&lt;&gt;"",IF(INDEX(CalcQtyA,$M188)=0,"",INDEX(CalcQtyA,$M188)),"")</f>
        <v/>
      </c>
      <c r="G188" s="28">
        <f>IF($M188&lt;&gt;"",IF(INDEX(CalcPriceA,$M188)=0,"",INDEX(CalcPriceA,$M188)),"")</f>
        <v/>
      </c>
      <c r="H188" s="28">
        <f>IF($N188&lt;&gt;"",IF(INDEX(CalcWitB,$N188)=0,"",INDEX(CalcWitB,$N188)),"")</f>
        <v/>
      </c>
      <c r="I188" s="29">
        <f>IF($M188&lt;&gt;"",INDEX(CalcAmtA,$M188),"")</f>
        <v/>
      </c>
      <c r="J188" s="29">
        <f>IF($B188="","",IF($J187="",$C$8,$J187)+IF($I188="",0,$I188)+IF($E188="",0,$E188)-IF($H188="",0,$H188))</f>
        <v/>
      </c>
      <c r="K188" s="30">
        <f>IF($M188&lt;&gt;"",IF(INDEX(CalcNoteA,$M188)="","—",INDEX(CalcNoteA,$M188)),IF($N188&lt;&gt;"",IF(INDEX(CalcNoteB,$N188)="","—",INDEX(CalcNoteB,$N188)),""))</f>
        <v/>
      </c>
      <c r="M188">
        <f>IFERROR(MATCH($C$5&amp;"|"&amp;RIGHT("000000"&amp;172,6),CalcRankKeyA,0),"")</f>
        <v/>
      </c>
      <c r="N188">
        <f>IFERROR(MATCH($C$5&amp;"|"&amp;RIGHT("000000"&amp;172,6),CalcRankKeyB,0),"")</f>
        <v/>
      </c>
    </row>
    <row r="189">
      <c r="A189" s="21" t="n">
        <v>173</v>
      </c>
      <c r="B189" s="22">
        <f>IF(AND($M189="",$N189=""),"",IF($M189&lt;&gt;"",INDEX(CalcDateA,$M189),INDEX(CalcDateB,$N189)))</f>
        <v/>
      </c>
      <c r="C189" s="22">
        <f>IF($M189&lt;&gt;"","خرید سبد",IF($N189&lt;&gt;"",IF(N(INDEX(CalcDepB,$N189))&gt;0,"دریافت بانکی","پرداخت بانکی"),""))</f>
        <v/>
      </c>
      <c r="D189" s="22">
        <f>IF($M189&lt;&gt;"",IF(INDEX(CalcDocA,$M189)="","—",INDEX(CalcDocA,$M189)),IF($N189&lt;&gt;"",INDEX(CalcBankB,$N189),""))</f>
        <v/>
      </c>
      <c r="E189" s="23">
        <f>IF($N189&lt;&gt;"",IF(INDEX(CalcDepB,$N189)=0,"",INDEX(CalcDepB,$N189)),"")</f>
        <v/>
      </c>
      <c r="F189" s="23">
        <f>IF($M189&lt;&gt;"",IF(INDEX(CalcQtyA,$M189)=0,"",INDEX(CalcQtyA,$M189)),"")</f>
        <v/>
      </c>
      <c r="G189" s="23">
        <f>IF($M189&lt;&gt;"",IF(INDEX(CalcPriceA,$M189)=0,"",INDEX(CalcPriceA,$M189)),"")</f>
        <v/>
      </c>
      <c r="H189" s="23">
        <f>IF($N189&lt;&gt;"",IF(INDEX(CalcWitB,$N189)=0,"",INDEX(CalcWitB,$N189)),"")</f>
        <v/>
      </c>
      <c r="I189" s="24">
        <f>IF($M189&lt;&gt;"",INDEX(CalcAmtA,$M189),"")</f>
        <v/>
      </c>
      <c r="J189" s="24">
        <f>IF($B189="","",IF($J188="",$C$8,$J188)+IF($I189="",0,$I189)+IF($E189="",0,$E189)-IF($H189="",0,$H189))</f>
        <v/>
      </c>
      <c r="K189" s="25">
        <f>IF($M189&lt;&gt;"",IF(INDEX(CalcNoteA,$M189)="","—",INDEX(CalcNoteA,$M189)),IF($N189&lt;&gt;"",IF(INDEX(CalcNoteB,$N189)="","—",INDEX(CalcNoteB,$N189)),""))</f>
        <v/>
      </c>
      <c r="M189">
        <f>IFERROR(MATCH($C$5&amp;"|"&amp;RIGHT("000000"&amp;173,6),CalcRankKeyA,0),"")</f>
        <v/>
      </c>
      <c r="N189">
        <f>IFERROR(MATCH($C$5&amp;"|"&amp;RIGHT("000000"&amp;173,6),CalcRankKeyB,0),"")</f>
        <v/>
      </c>
    </row>
    <row r="190">
      <c r="A190" s="26" t="n">
        <v>174</v>
      </c>
      <c r="B190" s="27">
        <f>IF(AND($M190="",$N190=""),"",IF($M190&lt;&gt;"",INDEX(CalcDateA,$M190),INDEX(CalcDateB,$N190)))</f>
        <v/>
      </c>
      <c r="C190" s="27">
        <f>IF($M190&lt;&gt;"","خرید سبد",IF($N190&lt;&gt;"",IF(N(INDEX(CalcDepB,$N190))&gt;0,"دریافت بانکی","پرداخت بانکی"),""))</f>
        <v/>
      </c>
      <c r="D190" s="27">
        <f>IF($M190&lt;&gt;"",IF(INDEX(CalcDocA,$M190)="","—",INDEX(CalcDocA,$M190)),IF($N190&lt;&gt;"",INDEX(CalcBankB,$N190),""))</f>
        <v/>
      </c>
      <c r="E190" s="28">
        <f>IF($N190&lt;&gt;"",IF(INDEX(CalcDepB,$N190)=0,"",INDEX(CalcDepB,$N190)),"")</f>
        <v/>
      </c>
      <c r="F190" s="28">
        <f>IF($M190&lt;&gt;"",IF(INDEX(CalcQtyA,$M190)=0,"",INDEX(CalcQtyA,$M190)),"")</f>
        <v/>
      </c>
      <c r="G190" s="28">
        <f>IF($M190&lt;&gt;"",IF(INDEX(CalcPriceA,$M190)=0,"",INDEX(CalcPriceA,$M190)),"")</f>
        <v/>
      </c>
      <c r="H190" s="28">
        <f>IF($N190&lt;&gt;"",IF(INDEX(CalcWitB,$N190)=0,"",INDEX(CalcWitB,$N190)),"")</f>
        <v/>
      </c>
      <c r="I190" s="29">
        <f>IF($M190&lt;&gt;"",INDEX(CalcAmtA,$M190),"")</f>
        <v/>
      </c>
      <c r="J190" s="29">
        <f>IF($B190="","",IF($J189="",$C$8,$J189)+IF($I190="",0,$I190)+IF($E190="",0,$E190)-IF($H190="",0,$H190))</f>
        <v/>
      </c>
      <c r="K190" s="30">
        <f>IF($M190&lt;&gt;"",IF(INDEX(CalcNoteA,$M190)="","—",INDEX(CalcNoteA,$M190)),IF($N190&lt;&gt;"",IF(INDEX(CalcNoteB,$N190)="","—",INDEX(CalcNoteB,$N190)),""))</f>
        <v/>
      </c>
      <c r="M190">
        <f>IFERROR(MATCH($C$5&amp;"|"&amp;RIGHT("000000"&amp;174,6),CalcRankKeyA,0),"")</f>
        <v/>
      </c>
      <c r="N190">
        <f>IFERROR(MATCH($C$5&amp;"|"&amp;RIGHT("000000"&amp;174,6),CalcRankKeyB,0),"")</f>
        <v/>
      </c>
    </row>
    <row r="191">
      <c r="A191" s="21" t="n">
        <v>175</v>
      </c>
      <c r="B191" s="22">
        <f>IF(AND($M191="",$N191=""),"",IF($M191&lt;&gt;"",INDEX(CalcDateA,$M191),INDEX(CalcDateB,$N191)))</f>
        <v/>
      </c>
      <c r="C191" s="22">
        <f>IF($M191&lt;&gt;"","خرید سبد",IF($N191&lt;&gt;"",IF(N(INDEX(CalcDepB,$N191))&gt;0,"دریافت بانکی","پرداخت بانکی"),""))</f>
        <v/>
      </c>
      <c r="D191" s="22">
        <f>IF($M191&lt;&gt;"",IF(INDEX(CalcDocA,$M191)="","—",INDEX(CalcDocA,$M191)),IF($N191&lt;&gt;"",INDEX(CalcBankB,$N191),""))</f>
        <v/>
      </c>
      <c r="E191" s="23">
        <f>IF($N191&lt;&gt;"",IF(INDEX(CalcDepB,$N191)=0,"",INDEX(CalcDepB,$N191)),"")</f>
        <v/>
      </c>
      <c r="F191" s="23">
        <f>IF($M191&lt;&gt;"",IF(INDEX(CalcQtyA,$M191)=0,"",INDEX(CalcQtyA,$M191)),"")</f>
        <v/>
      </c>
      <c r="G191" s="23">
        <f>IF($M191&lt;&gt;"",IF(INDEX(CalcPriceA,$M191)=0,"",INDEX(CalcPriceA,$M191)),"")</f>
        <v/>
      </c>
      <c r="H191" s="23">
        <f>IF($N191&lt;&gt;"",IF(INDEX(CalcWitB,$N191)=0,"",INDEX(CalcWitB,$N191)),"")</f>
        <v/>
      </c>
      <c r="I191" s="24">
        <f>IF($M191&lt;&gt;"",INDEX(CalcAmtA,$M191),"")</f>
        <v/>
      </c>
      <c r="J191" s="24">
        <f>IF($B191="","",IF($J190="",$C$8,$J190)+IF($I191="",0,$I191)+IF($E191="",0,$E191)-IF($H191="",0,$H191))</f>
        <v/>
      </c>
      <c r="K191" s="25">
        <f>IF($M191&lt;&gt;"",IF(INDEX(CalcNoteA,$M191)="","—",INDEX(CalcNoteA,$M191)),IF($N191&lt;&gt;"",IF(INDEX(CalcNoteB,$N191)="","—",INDEX(CalcNoteB,$N191)),""))</f>
        <v/>
      </c>
      <c r="M191">
        <f>IFERROR(MATCH($C$5&amp;"|"&amp;RIGHT("000000"&amp;175,6),CalcRankKeyA,0),"")</f>
        <v/>
      </c>
      <c r="N191">
        <f>IFERROR(MATCH($C$5&amp;"|"&amp;RIGHT("000000"&amp;175,6),CalcRankKeyB,0),"")</f>
        <v/>
      </c>
    </row>
    <row r="192">
      <c r="A192" s="26" t="n">
        <v>176</v>
      </c>
      <c r="B192" s="27">
        <f>IF(AND($M192="",$N192=""),"",IF($M192&lt;&gt;"",INDEX(CalcDateA,$M192),INDEX(CalcDateB,$N192)))</f>
        <v/>
      </c>
      <c r="C192" s="27">
        <f>IF($M192&lt;&gt;"","خرید سبد",IF($N192&lt;&gt;"",IF(N(INDEX(CalcDepB,$N192))&gt;0,"دریافت بانکی","پرداخت بانکی"),""))</f>
        <v/>
      </c>
      <c r="D192" s="27">
        <f>IF($M192&lt;&gt;"",IF(INDEX(CalcDocA,$M192)="","—",INDEX(CalcDocA,$M192)),IF($N192&lt;&gt;"",INDEX(CalcBankB,$N192),""))</f>
        <v/>
      </c>
      <c r="E192" s="28">
        <f>IF($N192&lt;&gt;"",IF(INDEX(CalcDepB,$N192)=0,"",INDEX(CalcDepB,$N192)),"")</f>
        <v/>
      </c>
      <c r="F192" s="28">
        <f>IF($M192&lt;&gt;"",IF(INDEX(CalcQtyA,$M192)=0,"",INDEX(CalcQtyA,$M192)),"")</f>
        <v/>
      </c>
      <c r="G192" s="28">
        <f>IF($M192&lt;&gt;"",IF(INDEX(CalcPriceA,$M192)=0,"",INDEX(CalcPriceA,$M192)),"")</f>
        <v/>
      </c>
      <c r="H192" s="28">
        <f>IF($N192&lt;&gt;"",IF(INDEX(CalcWitB,$N192)=0,"",INDEX(CalcWitB,$N192)),"")</f>
        <v/>
      </c>
      <c r="I192" s="29">
        <f>IF($M192&lt;&gt;"",INDEX(CalcAmtA,$M192),"")</f>
        <v/>
      </c>
      <c r="J192" s="29">
        <f>IF($B192="","",IF($J191="",$C$8,$J191)+IF($I192="",0,$I192)+IF($E192="",0,$E192)-IF($H192="",0,$H192))</f>
        <v/>
      </c>
      <c r="K192" s="30">
        <f>IF($M192&lt;&gt;"",IF(INDEX(CalcNoteA,$M192)="","—",INDEX(CalcNoteA,$M192)),IF($N192&lt;&gt;"",IF(INDEX(CalcNoteB,$N192)="","—",INDEX(CalcNoteB,$N192)),""))</f>
        <v/>
      </c>
      <c r="M192">
        <f>IFERROR(MATCH($C$5&amp;"|"&amp;RIGHT("000000"&amp;176,6),CalcRankKeyA,0),"")</f>
        <v/>
      </c>
      <c r="N192">
        <f>IFERROR(MATCH($C$5&amp;"|"&amp;RIGHT("000000"&amp;176,6),CalcRankKeyB,0),"")</f>
        <v/>
      </c>
    </row>
    <row r="193">
      <c r="A193" s="21" t="n">
        <v>177</v>
      </c>
      <c r="B193" s="22">
        <f>IF(AND($M193="",$N193=""),"",IF($M193&lt;&gt;"",INDEX(CalcDateA,$M193),INDEX(CalcDateB,$N193)))</f>
        <v/>
      </c>
      <c r="C193" s="22">
        <f>IF($M193&lt;&gt;"","خرید سبد",IF($N193&lt;&gt;"",IF(N(INDEX(CalcDepB,$N193))&gt;0,"دریافت بانکی","پرداخت بانکی"),""))</f>
        <v/>
      </c>
      <c r="D193" s="22">
        <f>IF($M193&lt;&gt;"",IF(INDEX(CalcDocA,$M193)="","—",INDEX(CalcDocA,$M193)),IF($N193&lt;&gt;"",INDEX(CalcBankB,$N193),""))</f>
        <v/>
      </c>
      <c r="E193" s="23">
        <f>IF($N193&lt;&gt;"",IF(INDEX(CalcDepB,$N193)=0,"",INDEX(CalcDepB,$N193)),"")</f>
        <v/>
      </c>
      <c r="F193" s="23">
        <f>IF($M193&lt;&gt;"",IF(INDEX(CalcQtyA,$M193)=0,"",INDEX(CalcQtyA,$M193)),"")</f>
        <v/>
      </c>
      <c r="G193" s="23">
        <f>IF($M193&lt;&gt;"",IF(INDEX(CalcPriceA,$M193)=0,"",INDEX(CalcPriceA,$M193)),"")</f>
        <v/>
      </c>
      <c r="H193" s="23">
        <f>IF($N193&lt;&gt;"",IF(INDEX(CalcWitB,$N193)=0,"",INDEX(CalcWitB,$N193)),"")</f>
        <v/>
      </c>
      <c r="I193" s="24">
        <f>IF($M193&lt;&gt;"",INDEX(CalcAmtA,$M193),"")</f>
        <v/>
      </c>
      <c r="J193" s="24">
        <f>IF($B193="","",IF($J192="",$C$8,$J192)+IF($I193="",0,$I193)+IF($E193="",0,$E193)-IF($H193="",0,$H193))</f>
        <v/>
      </c>
      <c r="K193" s="25">
        <f>IF($M193&lt;&gt;"",IF(INDEX(CalcNoteA,$M193)="","—",INDEX(CalcNoteA,$M193)),IF($N193&lt;&gt;"",IF(INDEX(CalcNoteB,$N193)="","—",INDEX(CalcNoteB,$N193)),""))</f>
        <v/>
      </c>
      <c r="M193">
        <f>IFERROR(MATCH($C$5&amp;"|"&amp;RIGHT("000000"&amp;177,6),CalcRankKeyA,0),"")</f>
        <v/>
      </c>
      <c r="N193">
        <f>IFERROR(MATCH($C$5&amp;"|"&amp;RIGHT("000000"&amp;177,6),CalcRankKeyB,0),"")</f>
        <v/>
      </c>
    </row>
    <row r="194">
      <c r="A194" s="26" t="n">
        <v>178</v>
      </c>
      <c r="B194" s="27">
        <f>IF(AND($M194="",$N194=""),"",IF($M194&lt;&gt;"",INDEX(CalcDateA,$M194),INDEX(CalcDateB,$N194)))</f>
        <v/>
      </c>
      <c r="C194" s="27">
        <f>IF($M194&lt;&gt;"","خرید سبد",IF($N194&lt;&gt;"",IF(N(INDEX(CalcDepB,$N194))&gt;0,"دریافت بانکی","پرداخت بانکی"),""))</f>
        <v/>
      </c>
      <c r="D194" s="27">
        <f>IF($M194&lt;&gt;"",IF(INDEX(CalcDocA,$M194)="","—",INDEX(CalcDocA,$M194)),IF($N194&lt;&gt;"",INDEX(CalcBankB,$N194),""))</f>
        <v/>
      </c>
      <c r="E194" s="28">
        <f>IF($N194&lt;&gt;"",IF(INDEX(CalcDepB,$N194)=0,"",INDEX(CalcDepB,$N194)),"")</f>
        <v/>
      </c>
      <c r="F194" s="28">
        <f>IF($M194&lt;&gt;"",IF(INDEX(CalcQtyA,$M194)=0,"",INDEX(CalcQtyA,$M194)),"")</f>
        <v/>
      </c>
      <c r="G194" s="28">
        <f>IF($M194&lt;&gt;"",IF(INDEX(CalcPriceA,$M194)=0,"",INDEX(CalcPriceA,$M194)),"")</f>
        <v/>
      </c>
      <c r="H194" s="28">
        <f>IF($N194&lt;&gt;"",IF(INDEX(CalcWitB,$N194)=0,"",INDEX(CalcWitB,$N194)),"")</f>
        <v/>
      </c>
      <c r="I194" s="29">
        <f>IF($M194&lt;&gt;"",INDEX(CalcAmtA,$M194),"")</f>
        <v/>
      </c>
      <c r="J194" s="29">
        <f>IF($B194="","",IF($J193="",$C$8,$J193)+IF($I194="",0,$I194)+IF($E194="",0,$E194)-IF($H194="",0,$H194))</f>
        <v/>
      </c>
      <c r="K194" s="30">
        <f>IF($M194&lt;&gt;"",IF(INDEX(CalcNoteA,$M194)="","—",INDEX(CalcNoteA,$M194)),IF($N194&lt;&gt;"",IF(INDEX(CalcNoteB,$N194)="","—",INDEX(CalcNoteB,$N194)),""))</f>
        <v/>
      </c>
      <c r="M194">
        <f>IFERROR(MATCH($C$5&amp;"|"&amp;RIGHT("000000"&amp;178,6),CalcRankKeyA,0),"")</f>
        <v/>
      </c>
      <c r="N194">
        <f>IFERROR(MATCH($C$5&amp;"|"&amp;RIGHT("000000"&amp;178,6),CalcRankKeyB,0),"")</f>
        <v/>
      </c>
    </row>
    <row r="195">
      <c r="A195" s="21" t="n">
        <v>179</v>
      </c>
      <c r="B195" s="22">
        <f>IF(AND($M195="",$N195=""),"",IF($M195&lt;&gt;"",INDEX(CalcDateA,$M195),INDEX(CalcDateB,$N195)))</f>
        <v/>
      </c>
      <c r="C195" s="22">
        <f>IF($M195&lt;&gt;"","خرید سبد",IF($N195&lt;&gt;"",IF(N(INDEX(CalcDepB,$N195))&gt;0,"دریافت بانکی","پرداخت بانکی"),""))</f>
        <v/>
      </c>
      <c r="D195" s="22">
        <f>IF($M195&lt;&gt;"",IF(INDEX(CalcDocA,$M195)="","—",INDEX(CalcDocA,$M195)),IF($N195&lt;&gt;"",INDEX(CalcBankB,$N195),""))</f>
        <v/>
      </c>
      <c r="E195" s="23">
        <f>IF($N195&lt;&gt;"",IF(INDEX(CalcDepB,$N195)=0,"",INDEX(CalcDepB,$N195)),"")</f>
        <v/>
      </c>
      <c r="F195" s="23">
        <f>IF($M195&lt;&gt;"",IF(INDEX(CalcQtyA,$M195)=0,"",INDEX(CalcQtyA,$M195)),"")</f>
        <v/>
      </c>
      <c r="G195" s="23">
        <f>IF($M195&lt;&gt;"",IF(INDEX(CalcPriceA,$M195)=0,"",INDEX(CalcPriceA,$M195)),"")</f>
        <v/>
      </c>
      <c r="H195" s="23">
        <f>IF($N195&lt;&gt;"",IF(INDEX(CalcWitB,$N195)=0,"",INDEX(CalcWitB,$N195)),"")</f>
        <v/>
      </c>
      <c r="I195" s="24">
        <f>IF($M195&lt;&gt;"",INDEX(CalcAmtA,$M195),"")</f>
        <v/>
      </c>
      <c r="J195" s="24">
        <f>IF($B195="","",IF($J194="",$C$8,$J194)+IF($I195="",0,$I195)+IF($E195="",0,$E195)-IF($H195="",0,$H195))</f>
        <v/>
      </c>
      <c r="K195" s="25">
        <f>IF($M195&lt;&gt;"",IF(INDEX(CalcNoteA,$M195)="","—",INDEX(CalcNoteA,$M195)),IF($N195&lt;&gt;"",IF(INDEX(CalcNoteB,$N195)="","—",INDEX(CalcNoteB,$N195)),""))</f>
        <v/>
      </c>
      <c r="M195">
        <f>IFERROR(MATCH($C$5&amp;"|"&amp;RIGHT("000000"&amp;179,6),CalcRankKeyA,0),"")</f>
        <v/>
      </c>
      <c r="N195">
        <f>IFERROR(MATCH($C$5&amp;"|"&amp;RIGHT("000000"&amp;179,6),CalcRankKeyB,0),"")</f>
        <v/>
      </c>
    </row>
    <row r="196">
      <c r="A196" s="26" t="n">
        <v>180</v>
      </c>
      <c r="B196" s="27">
        <f>IF(AND($M196="",$N196=""),"",IF($M196&lt;&gt;"",INDEX(CalcDateA,$M196),INDEX(CalcDateB,$N196)))</f>
        <v/>
      </c>
      <c r="C196" s="27">
        <f>IF($M196&lt;&gt;"","خرید سبد",IF($N196&lt;&gt;"",IF(N(INDEX(CalcDepB,$N196))&gt;0,"دریافت بانکی","پرداخت بانکی"),""))</f>
        <v/>
      </c>
      <c r="D196" s="27">
        <f>IF($M196&lt;&gt;"",IF(INDEX(CalcDocA,$M196)="","—",INDEX(CalcDocA,$M196)),IF($N196&lt;&gt;"",INDEX(CalcBankB,$N196),""))</f>
        <v/>
      </c>
      <c r="E196" s="28">
        <f>IF($N196&lt;&gt;"",IF(INDEX(CalcDepB,$N196)=0,"",INDEX(CalcDepB,$N196)),"")</f>
        <v/>
      </c>
      <c r="F196" s="28">
        <f>IF($M196&lt;&gt;"",IF(INDEX(CalcQtyA,$M196)=0,"",INDEX(CalcQtyA,$M196)),"")</f>
        <v/>
      </c>
      <c r="G196" s="28">
        <f>IF($M196&lt;&gt;"",IF(INDEX(CalcPriceA,$M196)=0,"",INDEX(CalcPriceA,$M196)),"")</f>
        <v/>
      </c>
      <c r="H196" s="28">
        <f>IF($N196&lt;&gt;"",IF(INDEX(CalcWitB,$N196)=0,"",INDEX(CalcWitB,$N196)),"")</f>
        <v/>
      </c>
      <c r="I196" s="29">
        <f>IF($M196&lt;&gt;"",INDEX(CalcAmtA,$M196),"")</f>
        <v/>
      </c>
      <c r="J196" s="29">
        <f>IF($B196="","",IF($J195="",$C$8,$J195)+IF($I196="",0,$I196)+IF($E196="",0,$E196)-IF($H196="",0,$H196))</f>
        <v/>
      </c>
      <c r="K196" s="30">
        <f>IF($M196&lt;&gt;"",IF(INDEX(CalcNoteA,$M196)="","—",INDEX(CalcNoteA,$M196)),IF($N196&lt;&gt;"",IF(INDEX(CalcNoteB,$N196)="","—",INDEX(CalcNoteB,$N196)),""))</f>
        <v/>
      </c>
      <c r="M196">
        <f>IFERROR(MATCH($C$5&amp;"|"&amp;RIGHT("000000"&amp;180,6),CalcRankKeyA,0),"")</f>
        <v/>
      </c>
      <c r="N196">
        <f>IFERROR(MATCH($C$5&amp;"|"&amp;RIGHT("000000"&amp;180,6),CalcRankKeyB,0),"")</f>
        <v/>
      </c>
    </row>
    <row r="197">
      <c r="A197" s="21" t="n">
        <v>181</v>
      </c>
      <c r="B197" s="22">
        <f>IF(AND($M197="",$N197=""),"",IF($M197&lt;&gt;"",INDEX(CalcDateA,$M197),INDEX(CalcDateB,$N197)))</f>
        <v/>
      </c>
      <c r="C197" s="22">
        <f>IF($M197&lt;&gt;"","خرید سبد",IF($N197&lt;&gt;"",IF(N(INDEX(CalcDepB,$N197))&gt;0,"دریافت بانکی","پرداخت بانکی"),""))</f>
        <v/>
      </c>
      <c r="D197" s="22">
        <f>IF($M197&lt;&gt;"",IF(INDEX(CalcDocA,$M197)="","—",INDEX(CalcDocA,$M197)),IF($N197&lt;&gt;"",INDEX(CalcBankB,$N197),""))</f>
        <v/>
      </c>
      <c r="E197" s="23">
        <f>IF($N197&lt;&gt;"",IF(INDEX(CalcDepB,$N197)=0,"",INDEX(CalcDepB,$N197)),"")</f>
        <v/>
      </c>
      <c r="F197" s="23">
        <f>IF($M197&lt;&gt;"",IF(INDEX(CalcQtyA,$M197)=0,"",INDEX(CalcQtyA,$M197)),"")</f>
        <v/>
      </c>
      <c r="G197" s="23">
        <f>IF($M197&lt;&gt;"",IF(INDEX(CalcPriceA,$M197)=0,"",INDEX(CalcPriceA,$M197)),"")</f>
        <v/>
      </c>
      <c r="H197" s="23">
        <f>IF($N197&lt;&gt;"",IF(INDEX(CalcWitB,$N197)=0,"",INDEX(CalcWitB,$N197)),"")</f>
        <v/>
      </c>
      <c r="I197" s="24">
        <f>IF($M197&lt;&gt;"",INDEX(CalcAmtA,$M197),"")</f>
        <v/>
      </c>
      <c r="J197" s="24">
        <f>IF($B197="","",IF($J196="",$C$8,$J196)+IF($I197="",0,$I197)+IF($E197="",0,$E197)-IF($H197="",0,$H197))</f>
        <v/>
      </c>
      <c r="K197" s="25">
        <f>IF($M197&lt;&gt;"",IF(INDEX(CalcNoteA,$M197)="","—",INDEX(CalcNoteA,$M197)),IF($N197&lt;&gt;"",IF(INDEX(CalcNoteB,$N197)="","—",INDEX(CalcNoteB,$N197)),""))</f>
        <v/>
      </c>
      <c r="M197">
        <f>IFERROR(MATCH($C$5&amp;"|"&amp;RIGHT("000000"&amp;181,6),CalcRankKeyA,0),"")</f>
        <v/>
      </c>
      <c r="N197">
        <f>IFERROR(MATCH($C$5&amp;"|"&amp;RIGHT("000000"&amp;181,6),CalcRankKeyB,0),"")</f>
        <v/>
      </c>
    </row>
    <row r="198">
      <c r="A198" s="26" t="n">
        <v>182</v>
      </c>
      <c r="B198" s="27">
        <f>IF(AND($M198="",$N198=""),"",IF($M198&lt;&gt;"",INDEX(CalcDateA,$M198),INDEX(CalcDateB,$N198)))</f>
        <v/>
      </c>
      <c r="C198" s="27">
        <f>IF($M198&lt;&gt;"","خرید سبد",IF($N198&lt;&gt;"",IF(N(INDEX(CalcDepB,$N198))&gt;0,"دریافت بانکی","پرداخت بانکی"),""))</f>
        <v/>
      </c>
      <c r="D198" s="27">
        <f>IF($M198&lt;&gt;"",IF(INDEX(CalcDocA,$M198)="","—",INDEX(CalcDocA,$M198)),IF($N198&lt;&gt;"",INDEX(CalcBankB,$N198),""))</f>
        <v/>
      </c>
      <c r="E198" s="28">
        <f>IF($N198&lt;&gt;"",IF(INDEX(CalcDepB,$N198)=0,"",INDEX(CalcDepB,$N198)),"")</f>
        <v/>
      </c>
      <c r="F198" s="28">
        <f>IF($M198&lt;&gt;"",IF(INDEX(CalcQtyA,$M198)=0,"",INDEX(CalcQtyA,$M198)),"")</f>
        <v/>
      </c>
      <c r="G198" s="28">
        <f>IF($M198&lt;&gt;"",IF(INDEX(CalcPriceA,$M198)=0,"",INDEX(CalcPriceA,$M198)),"")</f>
        <v/>
      </c>
      <c r="H198" s="28">
        <f>IF($N198&lt;&gt;"",IF(INDEX(CalcWitB,$N198)=0,"",INDEX(CalcWitB,$N198)),"")</f>
        <v/>
      </c>
      <c r="I198" s="29">
        <f>IF($M198&lt;&gt;"",INDEX(CalcAmtA,$M198),"")</f>
        <v/>
      </c>
      <c r="J198" s="29">
        <f>IF($B198="","",IF($J197="",$C$8,$J197)+IF($I198="",0,$I198)+IF($E198="",0,$E198)-IF($H198="",0,$H198))</f>
        <v/>
      </c>
      <c r="K198" s="30">
        <f>IF($M198&lt;&gt;"",IF(INDEX(CalcNoteA,$M198)="","—",INDEX(CalcNoteA,$M198)),IF($N198&lt;&gt;"",IF(INDEX(CalcNoteB,$N198)="","—",INDEX(CalcNoteB,$N198)),""))</f>
        <v/>
      </c>
      <c r="M198">
        <f>IFERROR(MATCH($C$5&amp;"|"&amp;RIGHT("000000"&amp;182,6),CalcRankKeyA,0),"")</f>
        <v/>
      </c>
      <c r="N198">
        <f>IFERROR(MATCH($C$5&amp;"|"&amp;RIGHT("000000"&amp;182,6),CalcRankKeyB,0),"")</f>
        <v/>
      </c>
    </row>
    <row r="199">
      <c r="A199" s="21" t="n">
        <v>183</v>
      </c>
      <c r="B199" s="22">
        <f>IF(AND($M199="",$N199=""),"",IF($M199&lt;&gt;"",INDEX(CalcDateA,$M199),INDEX(CalcDateB,$N199)))</f>
        <v/>
      </c>
      <c r="C199" s="22">
        <f>IF($M199&lt;&gt;"","خرید سبد",IF($N199&lt;&gt;"",IF(N(INDEX(CalcDepB,$N199))&gt;0,"دریافت بانکی","پرداخت بانکی"),""))</f>
        <v/>
      </c>
      <c r="D199" s="22">
        <f>IF($M199&lt;&gt;"",IF(INDEX(CalcDocA,$M199)="","—",INDEX(CalcDocA,$M199)),IF($N199&lt;&gt;"",INDEX(CalcBankB,$N199),""))</f>
        <v/>
      </c>
      <c r="E199" s="23">
        <f>IF($N199&lt;&gt;"",IF(INDEX(CalcDepB,$N199)=0,"",INDEX(CalcDepB,$N199)),"")</f>
        <v/>
      </c>
      <c r="F199" s="23">
        <f>IF($M199&lt;&gt;"",IF(INDEX(CalcQtyA,$M199)=0,"",INDEX(CalcQtyA,$M199)),"")</f>
        <v/>
      </c>
      <c r="G199" s="23">
        <f>IF($M199&lt;&gt;"",IF(INDEX(CalcPriceA,$M199)=0,"",INDEX(CalcPriceA,$M199)),"")</f>
        <v/>
      </c>
      <c r="H199" s="23">
        <f>IF($N199&lt;&gt;"",IF(INDEX(CalcWitB,$N199)=0,"",INDEX(CalcWitB,$N199)),"")</f>
        <v/>
      </c>
      <c r="I199" s="24">
        <f>IF($M199&lt;&gt;"",INDEX(CalcAmtA,$M199),"")</f>
        <v/>
      </c>
      <c r="J199" s="24">
        <f>IF($B199="","",IF($J198="",$C$8,$J198)+IF($I199="",0,$I199)+IF($E199="",0,$E199)-IF($H199="",0,$H199))</f>
        <v/>
      </c>
      <c r="K199" s="25">
        <f>IF($M199&lt;&gt;"",IF(INDEX(CalcNoteA,$M199)="","—",INDEX(CalcNoteA,$M199)),IF($N199&lt;&gt;"",IF(INDEX(CalcNoteB,$N199)="","—",INDEX(CalcNoteB,$N199)),""))</f>
        <v/>
      </c>
      <c r="M199">
        <f>IFERROR(MATCH($C$5&amp;"|"&amp;RIGHT("000000"&amp;183,6),CalcRankKeyA,0),"")</f>
        <v/>
      </c>
      <c r="N199">
        <f>IFERROR(MATCH($C$5&amp;"|"&amp;RIGHT("000000"&amp;183,6),CalcRankKeyB,0),"")</f>
        <v/>
      </c>
    </row>
    <row r="200">
      <c r="A200" s="26" t="n">
        <v>184</v>
      </c>
      <c r="B200" s="27">
        <f>IF(AND($M200="",$N200=""),"",IF($M200&lt;&gt;"",INDEX(CalcDateA,$M200),INDEX(CalcDateB,$N200)))</f>
        <v/>
      </c>
      <c r="C200" s="27">
        <f>IF($M200&lt;&gt;"","خرید سبد",IF($N200&lt;&gt;"",IF(N(INDEX(CalcDepB,$N200))&gt;0,"دریافت بانکی","پرداخت بانکی"),""))</f>
        <v/>
      </c>
      <c r="D200" s="27">
        <f>IF($M200&lt;&gt;"",IF(INDEX(CalcDocA,$M200)="","—",INDEX(CalcDocA,$M200)),IF($N200&lt;&gt;"",INDEX(CalcBankB,$N200),""))</f>
        <v/>
      </c>
      <c r="E200" s="28">
        <f>IF($N200&lt;&gt;"",IF(INDEX(CalcDepB,$N200)=0,"",INDEX(CalcDepB,$N200)),"")</f>
        <v/>
      </c>
      <c r="F200" s="28">
        <f>IF($M200&lt;&gt;"",IF(INDEX(CalcQtyA,$M200)=0,"",INDEX(CalcQtyA,$M200)),"")</f>
        <v/>
      </c>
      <c r="G200" s="28">
        <f>IF($M200&lt;&gt;"",IF(INDEX(CalcPriceA,$M200)=0,"",INDEX(CalcPriceA,$M200)),"")</f>
        <v/>
      </c>
      <c r="H200" s="28">
        <f>IF($N200&lt;&gt;"",IF(INDEX(CalcWitB,$N200)=0,"",INDEX(CalcWitB,$N200)),"")</f>
        <v/>
      </c>
      <c r="I200" s="29">
        <f>IF($M200&lt;&gt;"",INDEX(CalcAmtA,$M200),"")</f>
        <v/>
      </c>
      <c r="J200" s="29">
        <f>IF($B200="","",IF($J199="",$C$8,$J199)+IF($I200="",0,$I200)+IF($E200="",0,$E200)-IF($H200="",0,$H200))</f>
        <v/>
      </c>
      <c r="K200" s="30">
        <f>IF($M200&lt;&gt;"",IF(INDEX(CalcNoteA,$M200)="","—",INDEX(CalcNoteA,$M200)),IF($N200&lt;&gt;"",IF(INDEX(CalcNoteB,$N200)="","—",INDEX(CalcNoteB,$N200)),""))</f>
        <v/>
      </c>
      <c r="M200">
        <f>IFERROR(MATCH($C$5&amp;"|"&amp;RIGHT("000000"&amp;184,6),CalcRankKeyA,0),"")</f>
        <v/>
      </c>
      <c r="N200">
        <f>IFERROR(MATCH($C$5&amp;"|"&amp;RIGHT("000000"&amp;184,6),CalcRankKeyB,0),"")</f>
        <v/>
      </c>
    </row>
    <row r="201">
      <c r="A201" s="21" t="n">
        <v>185</v>
      </c>
      <c r="B201" s="22">
        <f>IF(AND($M201="",$N201=""),"",IF($M201&lt;&gt;"",INDEX(CalcDateA,$M201),INDEX(CalcDateB,$N201)))</f>
        <v/>
      </c>
      <c r="C201" s="22">
        <f>IF($M201&lt;&gt;"","خرید سبد",IF($N201&lt;&gt;"",IF(N(INDEX(CalcDepB,$N201))&gt;0,"دریافت بانکی","پرداخت بانکی"),""))</f>
        <v/>
      </c>
      <c r="D201" s="22">
        <f>IF($M201&lt;&gt;"",IF(INDEX(CalcDocA,$M201)="","—",INDEX(CalcDocA,$M201)),IF($N201&lt;&gt;"",INDEX(CalcBankB,$N201),""))</f>
        <v/>
      </c>
      <c r="E201" s="23">
        <f>IF($N201&lt;&gt;"",IF(INDEX(CalcDepB,$N201)=0,"",INDEX(CalcDepB,$N201)),"")</f>
        <v/>
      </c>
      <c r="F201" s="23">
        <f>IF($M201&lt;&gt;"",IF(INDEX(CalcQtyA,$M201)=0,"",INDEX(CalcQtyA,$M201)),"")</f>
        <v/>
      </c>
      <c r="G201" s="23">
        <f>IF($M201&lt;&gt;"",IF(INDEX(CalcPriceA,$M201)=0,"",INDEX(CalcPriceA,$M201)),"")</f>
        <v/>
      </c>
      <c r="H201" s="23">
        <f>IF($N201&lt;&gt;"",IF(INDEX(CalcWitB,$N201)=0,"",INDEX(CalcWitB,$N201)),"")</f>
        <v/>
      </c>
      <c r="I201" s="24">
        <f>IF($M201&lt;&gt;"",INDEX(CalcAmtA,$M201),"")</f>
        <v/>
      </c>
      <c r="J201" s="24">
        <f>IF($B201="","",IF($J200="",$C$8,$J200)+IF($I201="",0,$I201)+IF($E201="",0,$E201)-IF($H201="",0,$H201))</f>
        <v/>
      </c>
      <c r="K201" s="25">
        <f>IF($M201&lt;&gt;"",IF(INDEX(CalcNoteA,$M201)="","—",INDEX(CalcNoteA,$M201)),IF($N201&lt;&gt;"",IF(INDEX(CalcNoteB,$N201)="","—",INDEX(CalcNoteB,$N201)),""))</f>
        <v/>
      </c>
      <c r="M201">
        <f>IFERROR(MATCH($C$5&amp;"|"&amp;RIGHT("000000"&amp;185,6),CalcRankKeyA,0),"")</f>
        <v/>
      </c>
      <c r="N201">
        <f>IFERROR(MATCH($C$5&amp;"|"&amp;RIGHT("000000"&amp;185,6),CalcRankKeyB,0),"")</f>
        <v/>
      </c>
    </row>
    <row r="202">
      <c r="A202" s="26" t="n">
        <v>186</v>
      </c>
      <c r="B202" s="27">
        <f>IF(AND($M202="",$N202=""),"",IF($M202&lt;&gt;"",INDEX(CalcDateA,$M202),INDEX(CalcDateB,$N202)))</f>
        <v/>
      </c>
      <c r="C202" s="27">
        <f>IF($M202&lt;&gt;"","خرید سبد",IF($N202&lt;&gt;"",IF(N(INDEX(CalcDepB,$N202))&gt;0,"دریافت بانکی","پرداخت بانکی"),""))</f>
        <v/>
      </c>
      <c r="D202" s="27">
        <f>IF($M202&lt;&gt;"",IF(INDEX(CalcDocA,$M202)="","—",INDEX(CalcDocA,$M202)),IF($N202&lt;&gt;"",INDEX(CalcBankB,$N202),""))</f>
        <v/>
      </c>
      <c r="E202" s="28">
        <f>IF($N202&lt;&gt;"",IF(INDEX(CalcDepB,$N202)=0,"",INDEX(CalcDepB,$N202)),"")</f>
        <v/>
      </c>
      <c r="F202" s="28">
        <f>IF($M202&lt;&gt;"",IF(INDEX(CalcQtyA,$M202)=0,"",INDEX(CalcQtyA,$M202)),"")</f>
        <v/>
      </c>
      <c r="G202" s="28">
        <f>IF($M202&lt;&gt;"",IF(INDEX(CalcPriceA,$M202)=0,"",INDEX(CalcPriceA,$M202)),"")</f>
        <v/>
      </c>
      <c r="H202" s="28">
        <f>IF($N202&lt;&gt;"",IF(INDEX(CalcWitB,$N202)=0,"",INDEX(CalcWitB,$N202)),"")</f>
        <v/>
      </c>
      <c r="I202" s="29">
        <f>IF($M202&lt;&gt;"",INDEX(CalcAmtA,$M202),"")</f>
        <v/>
      </c>
      <c r="J202" s="29">
        <f>IF($B202="","",IF($J201="",$C$8,$J201)+IF($I202="",0,$I202)+IF($E202="",0,$E202)-IF($H202="",0,$H202))</f>
        <v/>
      </c>
      <c r="K202" s="30">
        <f>IF($M202&lt;&gt;"",IF(INDEX(CalcNoteA,$M202)="","—",INDEX(CalcNoteA,$M202)),IF($N202&lt;&gt;"",IF(INDEX(CalcNoteB,$N202)="","—",INDEX(CalcNoteB,$N202)),""))</f>
        <v/>
      </c>
      <c r="M202">
        <f>IFERROR(MATCH($C$5&amp;"|"&amp;RIGHT("000000"&amp;186,6),CalcRankKeyA,0),"")</f>
        <v/>
      </c>
      <c r="N202">
        <f>IFERROR(MATCH($C$5&amp;"|"&amp;RIGHT("000000"&amp;186,6),CalcRankKeyB,0),"")</f>
        <v/>
      </c>
    </row>
    <row r="203">
      <c r="A203" s="21" t="n">
        <v>187</v>
      </c>
      <c r="B203" s="22">
        <f>IF(AND($M203="",$N203=""),"",IF($M203&lt;&gt;"",INDEX(CalcDateA,$M203),INDEX(CalcDateB,$N203)))</f>
        <v/>
      </c>
      <c r="C203" s="22">
        <f>IF($M203&lt;&gt;"","خرید سبد",IF($N203&lt;&gt;"",IF(N(INDEX(CalcDepB,$N203))&gt;0,"دریافت بانکی","پرداخت بانکی"),""))</f>
        <v/>
      </c>
      <c r="D203" s="22">
        <f>IF($M203&lt;&gt;"",IF(INDEX(CalcDocA,$M203)="","—",INDEX(CalcDocA,$M203)),IF($N203&lt;&gt;"",INDEX(CalcBankB,$N203),""))</f>
        <v/>
      </c>
      <c r="E203" s="23">
        <f>IF($N203&lt;&gt;"",IF(INDEX(CalcDepB,$N203)=0,"",INDEX(CalcDepB,$N203)),"")</f>
        <v/>
      </c>
      <c r="F203" s="23">
        <f>IF($M203&lt;&gt;"",IF(INDEX(CalcQtyA,$M203)=0,"",INDEX(CalcQtyA,$M203)),"")</f>
        <v/>
      </c>
      <c r="G203" s="23">
        <f>IF($M203&lt;&gt;"",IF(INDEX(CalcPriceA,$M203)=0,"",INDEX(CalcPriceA,$M203)),"")</f>
        <v/>
      </c>
      <c r="H203" s="23">
        <f>IF($N203&lt;&gt;"",IF(INDEX(CalcWitB,$N203)=0,"",INDEX(CalcWitB,$N203)),"")</f>
        <v/>
      </c>
      <c r="I203" s="24">
        <f>IF($M203&lt;&gt;"",INDEX(CalcAmtA,$M203),"")</f>
        <v/>
      </c>
      <c r="J203" s="24">
        <f>IF($B203="","",IF($J202="",$C$8,$J202)+IF($I203="",0,$I203)+IF($E203="",0,$E203)-IF($H203="",0,$H203))</f>
        <v/>
      </c>
      <c r="K203" s="25">
        <f>IF($M203&lt;&gt;"",IF(INDEX(CalcNoteA,$M203)="","—",INDEX(CalcNoteA,$M203)),IF($N203&lt;&gt;"",IF(INDEX(CalcNoteB,$N203)="","—",INDEX(CalcNoteB,$N203)),""))</f>
        <v/>
      </c>
      <c r="M203">
        <f>IFERROR(MATCH($C$5&amp;"|"&amp;RIGHT("000000"&amp;187,6),CalcRankKeyA,0),"")</f>
        <v/>
      </c>
      <c r="N203">
        <f>IFERROR(MATCH($C$5&amp;"|"&amp;RIGHT("000000"&amp;187,6),CalcRankKeyB,0),"")</f>
        <v/>
      </c>
    </row>
    <row r="204">
      <c r="A204" s="26" t="n">
        <v>188</v>
      </c>
      <c r="B204" s="27">
        <f>IF(AND($M204="",$N204=""),"",IF($M204&lt;&gt;"",INDEX(CalcDateA,$M204),INDEX(CalcDateB,$N204)))</f>
        <v/>
      </c>
      <c r="C204" s="27">
        <f>IF($M204&lt;&gt;"","خرید سبد",IF($N204&lt;&gt;"",IF(N(INDEX(CalcDepB,$N204))&gt;0,"دریافت بانکی","پرداخت بانکی"),""))</f>
        <v/>
      </c>
      <c r="D204" s="27">
        <f>IF($M204&lt;&gt;"",IF(INDEX(CalcDocA,$M204)="","—",INDEX(CalcDocA,$M204)),IF($N204&lt;&gt;"",INDEX(CalcBankB,$N204),""))</f>
        <v/>
      </c>
      <c r="E204" s="28">
        <f>IF($N204&lt;&gt;"",IF(INDEX(CalcDepB,$N204)=0,"",INDEX(CalcDepB,$N204)),"")</f>
        <v/>
      </c>
      <c r="F204" s="28">
        <f>IF($M204&lt;&gt;"",IF(INDEX(CalcQtyA,$M204)=0,"",INDEX(CalcQtyA,$M204)),"")</f>
        <v/>
      </c>
      <c r="G204" s="28">
        <f>IF($M204&lt;&gt;"",IF(INDEX(CalcPriceA,$M204)=0,"",INDEX(CalcPriceA,$M204)),"")</f>
        <v/>
      </c>
      <c r="H204" s="28">
        <f>IF($N204&lt;&gt;"",IF(INDEX(CalcWitB,$N204)=0,"",INDEX(CalcWitB,$N204)),"")</f>
        <v/>
      </c>
      <c r="I204" s="29">
        <f>IF($M204&lt;&gt;"",INDEX(CalcAmtA,$M204),"")</f>
        <v/>
      </c>
      <c r="J204" s="29">
        <f>IF($B204="","",IF($J203="",$C$8,$J203)+IF($I204="",0,$I204)+IF($E204="",0,$E204)-IF($H204="",0,$H204))</f>
        <v/>
      </c>
      <c r="K204" s="30">
        <f>IF($M204&lt;&gt;"",IF(INDEX(CalcNoteA,$M204)="","—",INDEX(CalcNoteA,$M204)),IF($N204&lt;&gt;"",IF(INDEX(CalcNoteB,$N204)="","—",INDEX(CalcNoteB,$N204)),""))</f>
        <v/>
      </c>
      <c r="M204">
        <f>IFERROR(MATCH($C$5&amp;"|"&amp;RIGHT("000000"&amp;188,6),CalcRankKeyA,0),"")</f>
        <v/>
      </c>
      <c r="N204">
        <f>IFERROR(MATCH($C$5&amp;"|"&amp;RIGHT("000000"&amp;188,6),CalcRankKeyB,0),"")</f>
        <v/>
      </c>
    </row>
    <row r="205">
      <c r="A205" s="21" t="n">
        <v>189</v>
      </c>
      <c r="B205" s="22">
        <f>IF(AND($M205="",$N205=""),"",IF($M205&lt;&gt;"",INDEX(CalcDateA,$M205),INDEX(CalcDateB,$N205)))</f>
        <v/>
      </c>
      <c r="C205" s="22">
        <f>IF($M205&lt;&gt;"","خرید سبد",IF($N205&lt;&gt;"",IF(N(INDEX(CalcDepB,$N205))&gt;0,"دریافت بانکی","پرداخت بانکی"),""))</f>
        <v/>
      </c>
      <c r="D205" s="22">
        <f>IF($M205&lt;&gt;"",IF(INDEX(CalcDocA,$M205)="","—",INDEX(CalcDocA,$M205)),IF($N205&lt;&gt;"",INDEX(CalcBankB,$N205),""))</f>
        <v/>
      </c>
      <c r="E205" s="23">
        <f>IF($N205&lt;&gt;"",IF(INDEX(CalcDepB,$N205)=0,"",INDEX(CalcDepB,$N205)),"")</f>
        <v/>
      </c>
      <c r="F205" s="23">
        <f>IF($M205&lt;&gt;"",IF(INDEX(CalcQtyA,$M205)=0,"",INDEX(CalcQtyA,$M205)),"")</f>
        <v/>
      </c>
      <c r="G205" s="23">
        <f>IF($M205&lt;&gt;"",IF(INDEX(CalcPriceA,$M205)=0,"",INDEX(CalcPriceA,$M205)),"")</f>
        <v/>
      </c>
      <c r="H205" s="23">
        <f>IF($N205&lt;&gt;"",IF(INDEX(CalcWitB,$N205)=0,"",INDEX(CalcWitB,$N205)),"")</f>
        <v/>
      </c>
      <c r="I205" s="24">
        <f>IF($M205&lt;&gt;"",INDEX(CalcAmtA,$M205),"")</f>
        <v/>
      </c>
      <c r="J205" s="24">
        <f>IF($B205="","",IF($J204="",$C$8,$J204)+IF($I205="",0,$I205)+IF($E205="",0,$E205)-IF($H205="",0,$H205))</f>
        <v/>
      </c>
      <c r="K205" s="25">
        <f>IF($M205&lt;&gt;"",IF(INDEX(CalcNoteA,$M205)="","—",INDEX(CalcNoteA,$M205)),IF($N205&lt;&gt;"",IF(INDEX(CalcNoteB,$N205)="","—",INDEX(CalcNoteB,$N205)),""))</f>
        <v/>
      </c>
      <c r="M205">
        <f>IFERROR(MATCH($C$5&amp;"|"&amp;RIGHT("000000"&amp;189,6),CalcRankKeyA,0),"")</f>
        <v/>
      </c>
      <c r="N205">
        <f>IFERROR(MATCH($C$5&amp;"|"&amp;RIGHT("000000"&amp;189,6),CalcRankKeyB,0),"")</f>
        <v/>
      </c>
    </row>
    <row r="206">
      <c r="A206" s="26" t="n">
        <v>190</v>
      </c>
      <c r="B206" s="27">
        <f>IF(AND($M206="",$N206=""),"",IF($M206&lt;&gt;"",INDEX(CalcDateA,$M206),INDEX(CalcDateB,$N206)))</f>
        <v/>
      </c>
      <c r="C206" s="27">
        <f>IF($M206&lt;&gt;"","خرید سبد",IF($N206&lt;&gt;"",IF(N(INDEX(CalcDepB,$N206))&gt;0,"دریافت بانکی","پرداخت بانکی"),""))</f>
        <v/>
      </c>
      <c r="D206" s="27">
        <f>IF($M206&lt;&gt;"",IF(INDEX(CalcDocA,$M206)="","—",INDEX(CalcDocA,$M206)),IF($N206&lt;&gt;"",INDEX(CalcBankB,$N206),""))</f>
        <v/>
      </c>
      <c r="E206" s="28">
        <f>IF($N206&lt;&gt;"",IF(INDEX(CalcDepB,$N206)=0,"",INDEX(CalcDepB,$N206)),"")</f>
        <v/>
      </c>
      <c r="F206" s="28">
        <f>IF($M206&lt;&gt;"",IF(INDEX(CalcQtyA,$M206)=0,"",INDEX(CalcQtyA,$M206)),"")</f>
        <v/>
      </c>
      <c r="G206" s="28">
        <f>IF($M206&lt;&gt;"",IF(INDEX(CalcPriceA,$M206)=0,"",INDEX(CalcPriceA,$M206)),"")</f>
        <v/>
      </c>
      <c r="H206" s="28">
        <f>IF($N206&lt;&gt;"",IF(INDEX(CalcWitB,$N206)=0,"",INDEX(CalcWitB,$N206)),"")</f>
        <v/>
      </c>
      <c r="I206" s="29">
        <f>IF($M206&lt;&gt;"",INDEX(CalcAmtA,$M206),"")</f>
        <v/>
      </c>
      <c r="J206" s="29">
        <f>IF($B206="","",IF($J205="",$C$8,$J205)+IF($I206="",0,$I206)+IF($E206="",0,$E206)-IF($H206="",0,$H206))</f>
        <v/>
      </c>
      <c r="K206" s="30">
        <f>IF($M206&lt;&gt;"",IF(INDEX(CalcNoteA,$M206)="","—",INDEX(CalcNoteA,$M206)),IF($N206&lt;&gt;"",IF(INDEX(CalcNoteB,$N206)="","—",INDEX(CalcNoteB,$N206)),""))</f>
        <v/>
      </c>
      <c r="M206">
        <f>IFERROR(MATCH($C$5&amp;"|"&amp;RIGHT("000000"&amp;190,6),CalcRankKeyA,0),"")</f>
        <v/>
      </c>
      <c r="N206">
        <f>IFERROR(MATCH($C$5&amp;"|"&amp;RIGHT("000000"&amp;190,6),CalcRankKeyB,0),"")</f>
        <v/>
      </c>
    </row>
    <row r="207">
      <c r="A207" s="21" t="n">
        <v>191</v>
      </c>
      <c r="B207" s="22">
        <f>IF(AND($M207="",$N207=""),"",IF($M207&lt;&gt;"",INDEX(CalcDateA,$M207),INDEX(CalcDateB,$N207)))</f>
        <v/>
      </c>
      <c r="C207" s="22">
        <f>IF($M207&lt;&gt;"","خرید سبد",IF($N207&lt;&gt;"",IF(N(INDEX(CalcDepB,$N207))&gt;0,"دریافت بانکی","پرداخت بانکی"),""))</f>
        <v/>
      </c>
      <c r="D207" s="22">
        <f>IF($M207&lt;&gt;"",IF(INDEX(CalcDocA,$M207)="","—",INDEX(CalcDocA,$M207)),IF($N207&lt;&gt;"",INDEX(CalcBankB,$N207),""))</f>
        <v/>
      </c>
      <c r="E207" s="23">
        <f>IF($N207&lt;&gt;"",IF(INDEX(CalcDepB,$N207)=0,"",INDEX(CalcDepB,$N207)),"")</f>
        <v/>
      </c>
      <c r="F207" s="23">
        <f>IF($M207&lt;&gt;"",IF(INDEX(CalcQtyA,$M207)=0,"",INDEX(CalcQtyA,$M207)),"")</f>
        <v/>
      </c>
      <c r="G207" s="23">
        <f>IF($M207&lt;&gt;"",IF(INDEX(CalcPriceA,$M207)=0,"",INDEX(CalcPriceA,$M207)),"")</f>
        <v/>
      </c>
      <c r="H207" s="23">
        <f>IF($N207&lt;&gt;"",IF(INDEX(CalcWitB,$N207)=0,"",INDEX(CalcWitB,$N207)),"")</f>
        <v/>
      </c>
      <c r="I207" s="24">
        <f>IF($M207&lt;&gt;"",INDEX(CalcAmtA,$M207),"")</f>
        <v/>
      </c>
      <c r="J207" s="24">
        <f>IF($B207="","",IF($J206="",$C$8,$J206)+IF($I207="",0,$I207)+IF($E207="",0,$E207)-IF($H207="",0,$H207))</f>
        <v/>
      </c>
      <c r="K207" s="25">
        <f>IF($M207&lt;&gt;"",IF(INDEX(CalcNoteA,$M207)="","—",INDEX(CalcNoteA,$M207)),IF($N207&lt;&gt;"",IF(INDEX(CalcNoteB,$N207)="","—",INDEX(CalcNoteB,$N207)),""))</f>
        <v/>
      </c>
      <c r="M207">
        <f>IFERROR(MATCH($C$5&amp;"|"&amp;RIGHT("000000"&amp;191,6),CalcRankKeyA,0),"")</f>
        <v/>
      </c>
      <c r="N207">
        <f>IFERROR(MATCH($C$5&amp;"|"&amp;RIGHT("000000"&amp;191,6),CalcRankKeyB,0),"")</f>
        <v/>
      </c>
    </row>
    <row r="208">
      <c r="A208" s="26" t="n">
        <v>192</v>
      </c>
      <c r="B208" s="27">
        <f>IF(AND($M208="",$N208=""),"",IF($M208&lt;&gt;"",INDEX(CalcDateA,$M208),INDEX(CalcDateB,$N208)))</f>
        <v/>
      </c>
      <c r="C208" s="27">
        <f>IF($M208&lt;&gt;"","خرید سبد",IF($N208&lt;&gt;"",IF(N(INDEX(CalcDepB,$N208))&gt;0,"دریافت بانکی","پرداخت بانکی"),""))</f>
        <v/>
      </c>
      <c r="D208" s="27">
        <f>IF($M208&lt;&gt;"",IF(INDEX(CalcDocA,$M208)="","—",INDEX(CalcDocA,$M208)),IF($N208&lt;&gt;"",INDEX(CalcBankB,$N208),""))</f>
        <v/>
      </c>
      <c r="E208" s="28">
        <f>IF($N208&lt;&gt;"",IF(INDEX(CalcDepB,$N208)=0,"",INDEX(CalcDepB,$N208)),"")</f>
        <v/>
      </c>
      <c r="F208" s="28">
        <f>IF($M208&lt;&gt;"",IF(INDEX(CalcQtyA,$M208)=0,"",INDEX(CalcQtyA,$M208)),"")</f>
        <v/>
      </c>
      <c r="G208" s="28">
        <f>IF($M208&lt;&gt;"",IF(INDEX(CalcPriceA,$M208)=0,"",INDEX(CalcPriceA,$M208)),"")</f>
        <v/>
      </c>
      <c r="H208" s="28">
        <f>IF($N208&lt;&gt;"",IF(INDEX(CalcWitB,$N208)=0,"",INDEX(CalcWitB,$N208)),"")</f>
        <v/>
      </c>
      <c r="I208" s="29">
        <f>IF($M208&lt;&gt;"",INDEX(CalcAmtA,$M208),"")</f>
        <v/>
      </c>
      <c r="J208" s="29">
        <f>IF($B208="","",IF($J207="",$C$8,$J207)+IF($I208="",0,$I208)+IF($E208="",0,$E208)-IF($H208="",0,$H208))</f>
        <v/>
      </c>
      <c r="K208" s="30">
        <f>IF($M208&lt;&gt;"",IF(INDEX(CalcNoteA,$M208)="","—",INDEX(CalcNoteA,$M208)),IF($N208&lt;&gt;"",IF(INDEX(CalcNoteB,$N208)="","—",INDEX(CalcNoteB,$N208)),""))</f>
        <v/>
      </c>
      <c r="M208">
        <f>IFERROR(MATCH($C$5&amp;"|"&amp;RIGHT("000000"&amp;192,6),CalcRankKeyA,0),"")</f>
        <v/>
      </c>
      <c r="N208">
        <f>IFERROR(MATCH($C$5&amp;"|"&amp;RIGHT("000000"&amp;192,6),CalcRankKeyB,0),"")</f>
        <v/>
      </c>
    </row>
    <row r="209">
      <c r="A209" s="21" t="n">
        <v>193</v>
      </c>
      <c r="B209" s="22">
        <f>IF(AND($M209="",$N209=""),"",IF($M209&lt;&gt;"",INDEX(CalcDateA,$M209),INDEX(CalcDateB,$N209)))</f>
        <v/>
      </c>
      <c r="C209" s="22">
        <f>IF($M209&lt;&gt;"","خرید سبد",IF($N209&lt;&gt;"",IF(N(INDEX(CalcDepB,$N209))&gt;0,"دریافت بانکی","پرداخت بانکی"),""))</f>
        <v/>
      </c>
      <c r="D209" s="22">
        <f>IF($M209&lt;&gt;"",IF(INDEX(CalcDocA,$M209)="","—",INDEX(CalcDocA,$M209)),IF($N209&lt;&gt;"",INDEX(CalcBankB,$N209),""))</f>
        <v/>
      </c>
      <c r="E209" s="23">
        <f>IF($N209&lt;&gt;"",IF(INDEX(CalcDepB,$N209)=0,"",INDEX(CalcDepB,$N209)),"")</f>
        <v/>
      </c>
      <c r="F209" s="23">
        <f>IF($M209&lt;&gt;"",IF(INDEX(CalcQtyA,$M209)=0,"",INDEX(CalcQtyA,$M209)),"")</f>
        <v/>
      </c>
      <c r="G209" s="23">
        <f>IF($M209&lt;&gt;"",IF(INDEX(CalcPriceA,$M209)=0,"",INDEX(CalcPriceA,$M209)),"")</f>
        <v/>
      </c>
      <c r="H209" s="23">
        <f>IF($N209&lt;&gt;"",IF(INDEX(CalcWitB,$N209)=0,"",INDEX(CalcWitB,$N209)),"")</f>
        <v/>
      </c>
      <c r="I209" s="24">
        <f>IF($M209&lt;&gt;"",INDEX(CalcAmtA,$M209),"")</f>
        <v/>
      </c>
      <c r="J209" s="24">
        <f>IF($B209="","",IF($J208="",$C$8,$J208)+IF($I209="",0,$I209)+IF($E209="",0,$E209)-IF($H209="",0,$H209))</f>
        <v/>
      </c>
      <c r="K209" s="25">
        <f>IF($M209&lt;&gt;"",IF(INDEX(CalcNoteA,$M209)="","—",INDEX(CalcNoteA,$M209)),IF($N209&lt;&gt;"",IF(INDEX(CalcNoteB,$N209)="","—",INDEX(CalcNoteB,$N209)),""))</f>
        <v/>
      </c>
      <c r="M209">
        <f>IFERROR(MATCH($C$5&amp;"|"&amp;RIGHT("000000"&amp;193,6),CalcRankKeyA,0),"")</f>
        <v/>
      </c>
      <c r="N209">
        <f>IFERROR(MATCH($C$5&amp;"|"&amp;RIGHT("000000"&amp;193,6),CalcRankKeyB,0),"")</f>
        <v/>
      </c>
    </row>
    <row r="210">
      <c r="A210" s="26" t="n">
        <v>194</v>
      </c>
      <c r="B210" s="27">
        <f>IF(AND($M210="",$N210=""),"",IF($M210&lt;&gt;"",INDEX(CalcDateA,$M210),INDEX(CalcDateB,$N210)))</f>
        <v/>
      </c>
      <c r="C210" s="27">
        <f>IF($M210&lt;&gt;"","خرید سبد",IF($N210&lt;&gt;"",IF(N(INDEX(CalcDepB,$N210))&gt;0,"دریافت بانکی","پرداخت بانکی"),""))</f>
        <v/>
      </c>
      <c r="D210" s="27">
        <f>IF($M210&lt;&gt;"",IF(INDEX(CalcDocA,$M210)="","—",INDEX(CalcDocA,$M210)),IF($N210&lt;&gt;"",INDEX(CalcBankB,$N210),""))</f>
        <v/>
      </c>
      <c r="E210" s="28">
        <f>IF($N210&lt;&gt;"",IF(INDEX(CalcDepB,$N210)=0,"",INDEX(CalcDepB,$N210)),"")</f>
        <v/>
      </c>
      <c r="F210" s="28">
        <f>IF($M210&lt;&gt;"",IF(INDEX(CalcQtyA,$M210)=0,"",INDEX(CalcQtyA,$M210)),"")</f>
        <v/>
      </c>
      <c r="G210" s="28">
        <f>IF($M210&lt;&gt;"",IF(INDEX(CalcPriceA,$M210)=0,"",INDEX(CalcPriceA,$M210)),"")</f>
        <v/>
      </c>
      <c r="H210" s="28">
        <f>IF($N210&lt;&gt;"",IF(INDEX(CalcWitB,$N210)=0,"",INDEX(CalcWitB,$N210)),"")</f>
        <v/>
      </c>
      <c r="I210" s="29">
        <f>IF($M210&lt;&gt;"",INDEX(CalcAmtA,$M210),"")</f>
        <v/>
      </c>
      <c r="J210" s="29">
        <f>IF($B210="","",IF($J209="",$C$8,$J209)+IF($I210="",0,$I210)+IF($E210="",0,$E210)-IF($H210="",0,$H210))</f>
        <v/>
      </c>
      <c r="K210" s="30">
        <f>IF($M210&lt;&gt;"",IF(INDEX(CalcNoteA,$M210)="","—",INDEX(CalcNoteA,$M210)),IF($N210&lt;&gt;"",IF(INDEX(CalcNoteB,$N210)="","—",INDEX(CalcNoteB,$N210)),""))</f>
        <v/>
      </c>
      <c r="M210">
        <f>IFERROR(MATCH($C$5&amp;"|"&amp;RIGHT("000000"&amp;194,6),CalcRankKeyA,0),"")</f>
        <v/>
      </c>
      <c r="N210">
        <f>IFERROR(MATCH($C$5&amp;"|"&amp;RIGHT("000000"&amp;194,6),CalcRankKeyB,0),"")</f>
        <v/>
      </c>
    </row>
    <row r="211">
      <c r="A211" s="21" t="n">
        <v>195</v>
      </c>
      <c r="B211" s="22">
        <f>IF(AND($M211="",$N211=""),"",IF($M211&lt;&gt;"",INDEX(CalcDateA,$M211),INDEX(CalcDateB,$N211)))</f>
        <v/>
      </c>
      <c r="C211" s="22">
        <f>IF($M211&lt;&gt;"","خرید سبد",IF($N211&lt;&gt;"",IF(N(INDEX(CalcDepB,$N211))&gt;0,"دریافت بانکی","پرداخت بانکی"),""))</f>
        <v/>
      </c>
      <c r="D211" s="22">
        <f>IF($M211&lt;&gt;"",IF(INDEX(CalcDocA,$M211)="","—",INDEX(CalcDocA,$M211)),IF($N211&lt;&gt;"",INDEX(CalcBankB,$N211),""))</f>
        <v/>
      </c>
      <c r="E211" s="23">
        <f>IF($N211&lt;&gt;"",IF(INDEX(CalcDepB,$N211)=0,"",INDEX(CalcDepB,$N211)),"")</f>
        <v/>
      </c>
      <c r="F211" s="23">
        <f>IF($M211&lt;&gt;"",IF(INDEX(CalcQtyA,$M211)=0,"",INDEX(CalcQtyA,$M211)),"")</f>
        <v/>
      </c>
      <c r="G211" s="23">
        <f>IF($M211&lt;&gt;"",IF(INDEX(CalcPriceA,$M211)=0,"",INDEX(CalcPriceA,$M211)),"")</f>
        <v/>
      </c>
      <c r="H211" s="23">
        <f>IF($N211&lt;&gt;"",IF(INDEX(CalcWitB,$N211)=0,"",INDEX(CalcWitB,$N211)),"")</f>
        <v/>
      </c>
      <c r="I211" s="24">
        <f>IF($M211&lt;&gt;"",INDEX(CalcAmtA,$M211),"")</f>
        <v/>
      </c>
      <c r="J211" s="24">
        <f>IF($B211="","",IF($J210="",$C$8,$J210)+IF($I211="",0,$I211)+IF($E211="",0,$E211)-IF($H211="",0,$H211))</f>
        <v/>
      </c>
      <c r="K211" s="25">
        <f>IF($M211&lt;&gt;"",IF(INDEX(CalcNoteA,$M211)="","—",INDEX(CalcNoteA,$M211)),IF($N211&lt;&gt;"",IF(INDEX(CalcNoteB,$N211)="","—",INDEX(CalcNoteB,$N211)),""))</f>
        <v/>
      </c>
      <c r="M211">
        <f>IFERROR(MATCH($C$5&amp;"|"&amp;RIGHT("000000"&amp;195,6),CalcRankKeyA,0),"")</f>
        <v/>
      </c>
      <c r="N211">
        <f>IFERROR(MATCH($C$5&amp;"|"&amp;RIGHT("000000"&amp;195,6),CalcRankKeyB,0),"")</f>
        <v/>
      </c>
    </row>
    <row r="212">
      <c r="A212" s="26" t="n">
        <v>196</v>
      </c>
      <c r="B212" s="27">
        <f>IF(AND($M212="",$N212=""),"",IF($M212&lt;&gt;"",INDEX(CalcDateA,$M212),INDEX(CalcDateB,$N212)))</f>
        <v/>
      </c>
      <c r="C212" s="27">
        <f>IF($M212&lt;&gt;"","خرید سبد",IF($N212&lt;&gt;"",IF(N(INDEX(CalcDepB,$N212))&gt;0,"دریافت بانکی","پرداخت بانکی"),""))</f>
        <v/>
      </c>
      <c r="D212" s="27">
        <f>IF($M212&lt;&gt;"",IF(INDEX(CalcDocA,$M212)="","—",INDEX(CalcDocA,$M212)),IF($N212&lt;&gt;"",INDEX(CalcBankB,$N212),""))</f>
        <v/>
      </c>
      <c r="E212" s="28">
        <f>IF($N212&lt;&gt;"",IF(INDEX(CalcDepB,$N212)=0,"",INDEX(CalcDepB,$N212)),"")</f>
        <v/>
      </c>
      <c r="F212" s="28">
        <f>IF($M212&lt;&gt;"",IF(INDEX(CalcQtyA,$M212)=0,"",INDEX(CalcQtyA,$M212)),"")</f>
        <v/>
      </c>
      <c r="G212" s="28">
        <f>IF($M212&lt;&gt;"",IF(INDEX(CalcPriceA,$M212)=0,"",INDEX(CalcPriceA,$M212)),"")</f>
        <v/>
      </c>
      <c r="H212" s="28">
        <f>IF($N212&lt;&gt;"",IF(INDEX(CalcWitB,$N212)=0,"",INDEX(CalcWitB,$N212)),"")</f>
        <v/>
      </c>
      <c r="I212" s="29">
        <f>IF($M212&lt;&gt;"",INDEX(CalcAmtA,$M212),"")</f>
        <v/>
      </c>
      <c r="J212" s="29">
        <f>IF($B212="","",IF($J211="",$C$8,$J211)+IF($I212="",0,$I212)+IF($E212="",0,$E212)-IF($H212="",0,$H212))</f>
        <v/>
      </c>
      <c r="K212" s="30">
        <f>IF($M212&lt;&gt;"",IF(INDEX(CalcNoteA,$M212)="","—",INDEX(CalcNoteA,$M212)),IF($N212&lt;&gt;"",IF(INDEX(CalcNoteB,$N212)="","—",INDEX(CalcNoteB,$N212)),""))</f>
        <v/>
      </c>
      <c r="M212">
        <f>IFERROR(MATCH($C$5&amp;"|"&amp;RIGHT("000000"&amp;196,6),CalcRankKeyA,0),"")</f>
        <v/>
      </c>
      <c r="N212">
        <f>IFERROR(MATCH($C$5&amp;"|"&amp;RIGHT("000000"&amp;196,6),CalcRankKeyB,0),"")</f>
        <v/>
      </c>
    </row>
    <row r="213">
      <c r="A213" s="21" t="n">
        <v>197</v>
      </c>
      <c r="B213" s="22">
        <f>IF(AND($M213="",$N213=""),"",IF($M213&lt;&gt;"",INDEX(CalcDateA,$M213),INDEX(CalcDateB,$N213)))</f>
        <v/>
      </c>
      <c r="C213" s="22">
        <f>IF($M213&lt;&gt;"","خرید سبد",IF($N213&lt;&gt;"",IF(N(INDEX(CalcDepB,$N213))&gt;0,"دریافت بانکی","پرداخت بانکی"),""))</f>
        <v/>
      </c>
      <c r="D213" s="22">
        <f>IF($M213&lt;&gt;"",IF(INDEX(CalcDocA,$M213)="","—",INDEX(CalcDocA,$M213)),IF($N213&lt;&gt;"",INDEX(CalcBankB,$N213),""))</f>
        <v/>
      </c>
      <c r="E213" s="23">
        <f>IF($N213&lt;&gt;"",IF(INDEX(CalcDepB,$N213)=0,"",INDEX(CalcDepB,$N213)),"")</f>
        <v/>
      </c>
      <c r="F213" s="23">
        <f>IF($M213&lt;&gt;"",IF(INDEX(CalcQtyA,$M213)=0,"",INDEX(CalcQtyA,$M213)),"")</f>
        <v/>
      </c>
      <c r="G213" s="23">
        <f>IF($M213&lt;&gt;"",IF(INDEX(CalcPriceA,$M213)=0,"",INDEX(CalcPriceA,$M213)),"")</f>
        <v/>
      </c>
      <c r="H213" s="23">
        <f>IF($N213&lt;&gt;"",IF(INDEX(CalcWitB,$N213)=0,"",INDEX(CalcWitB,$N213)),"")</f>
        <v/>
      </c>
      <c r="I213" s="24">
        <f>IF($M213&lt;&gt;"",INDEX(CalcAmtA,$M213),"")</f>
        <v/>
      </c>
      <c r="J213" s="24">
        <f>IF($B213="","",IF($J212="",$C$8,$J212)+IF($I213="",0,$I213)+IF($E213="",0,$E213)-IF($H213="",0,$H213))</f>
        <v/>
      </c>
      <c r="K213" s="25">
        <f>IF($M213&lt;&gt;"",IF(INDEX(CalcNoteA,$M213)="","—",INDEX(CalcNoteA,$M213)),IF($N213&lt;&gt;"",IF(INDEX(CalcNoteB,$N213)="","—",INDEX(CalcNoteB,$N213)),""))</f>
        <v/>
      </c>
      <c r="M213">
        <f>IFERROR(MATCH($C$5&amp;"|"&amp;RIGHT("000000"&amp;197,6),CalcRankKeyA,0),"")</f>
        <v/>
      </c>
      <c r="N213">
        <f>IFERROR(MATCH($C$5&amp;"|"&amp;RIGHT("000000"&amp;197,6),CalcRankKeyB,0),"")</f>
        <v/>
      </c>
    </row>
    <row r="214">
      <c r="A214" s="26" t="n">
        <v>198</v>
      </c>
      <c r="B214" s="27">
        <f>IF(AND($M214="",$N214=""),"",IF($M214&lt;&gt;"",INDEX(CalcDateA,$M214),INDEX(CalcDateB,$N214)))</f>
        <v/>
      </c>
      <c r="C214" s="27">
        <f>IF($M214&lt;&gt;"","خرید سبد",IF($N214&lt;&gt;"",IF(N(INDEX(CalcDepB,$N214))&gt;0,"دریافت بانکی","پرداخت بانکی"),""))</f>
        <v/>
      </c>
      <c r="D214" s="27">
        <f>IF($M214&lt;&gt;"",IF(INDEX(CalcDocA,$M214)="","—",INDEX(CalcDocA,$M214)),IF($N214&lt;&gt;"",INDEX(CalcBankB,$N214),""))</f>
        <v/>
      </c>
      <c r="E214" s="28">
        <f>IF($N214&lt;&gt;"",IF(INDEX(CalcDepB,$N214)=0,"",INDEX(CalcDepB,$N214)),"")</f>
        <v/>
      </c>
      <c r="F214" s="28">
        <f>IF($M214&lt;&gt;"",IF(INDEX(CalcQtyA,$M214)=0,"",INDEX(CalcQtyA,$M214)),"")</f>
        <v/>
      </c>
      <c r="G214" s="28">
        <f>IF($M214&lt;&gt;"",IF(INDEX(CalcPriceA,$M214)=0,"",INDEX(CalcPriceA,$M214)),"")</f>
        <v/>
      </c>
      <c r="H214" s="28">
        <f>IF($N214&lt;&gt;"",IF(INDEX(CalcWitB,$N214)=0,"",INDEX(CalcWitB,$N214)),"")</f>
        <v/>
      </c>
      <c r="I214" s="29">
        <f>IF($M214&lt;&gt;"",INDEX(CalcAmtA,$M214),"")</f>
        <v/>
      </c>
      <c r="J214" s="29">
        <f>IF($B214="","",IF($J213="",$C$8,$J213)+IF($I214="",0,$I214)+IF($E214="",0,$E214)-IF($H214="",0,$H214))</f>
        <v/>
      </c>
      <c r="K214" s="30">
        <f>IF($M214&lt;&gt;"",IF(INDEX(CalcNoteA,$M214)="","—",INDEX(CalcNoteA,$M214)),IF($N214&lt;&gt;"",IF(INDEX(CalcNoteB,$N214)="","—",INDEX(CalcNoteB,$N214)),""))</f>
        <v/>
      </c>
      <c r="M214">
        <f>IFERROR(MATCH($C$5&amp;"|"&amp;RIGHT("000000"&amp;198,6),CalcRankKeyA,0),"")</f>
        <v/>
      </c>
      <c r="N214">
        <f>IFERROR(MATCH($C$5&amp;"|"&amp;RIGHT("000000"&amp;198,6),CalcRankKeyB,0),"")</f>
        <v/>
      </c>
    </row>
    <row r="215">
      <c r="A215" s="21" t="n">
        <v>199</v>
      </c>
      <c r="B215" s="22">
        <f>IF(AND($M215="",$N215=""),"",IF($M215&lt;&gt;"",INDEX(CalcDateA,$M215),INDEX(CalcDateB,$N215)))</f>
        <v/>
      </c>
      <c r="C215" s="22">
        <f>IF($M215&lt;&gt;"","خرید سبد",IF($N215&lt;&gt;"",IF(N(INDEX(CalcDepB,$N215))&gt;0,"دریافت بانکی","پرداخت بانکی"),""))</f>
        <v/>
      </c>
      <c r="D215" s="22">
        <f>IF($M215&lt;&gt;"",IF(INDEX(CalcDocA,$M215)="","—",INDEX(CalcDocA,$M215)),IF($N215&lt;&gt;"",INDEX(CalcBankB,$N215),""))</f>
        <v/>
      </c>
      <c r="E215" s="23">
        <f>IF($N215&lt;&gt;"",IF(INDEX(CalcDepB,$N215)=0,"",INDEX(CalcDepB,$N215)),"")</f>
        <v/>
      </c>
      <c r="F215" s="23">
        <f>IF($M215&lt;&gt;"",IF(INDEX(CalcQtyA,$M215)=0,"",INDEX(CalcQtyA,$M215)),"")</f>
        <v/>
      </c>
      <c r="G215" s="23">
        <f>IF($M215&lt;&gt;"",IF(INDEX(CalcPriceA,$M215)=0,"",INDEX(CalcPriceA,$M215)),"")</f>
        <v/>
      </c>
      <c r="H215" s="23">
        <f>IF($N215&lt;&gt;"",IF(INDEX(CalcWitB,$N215)=0,"",INDEX(CalcWitB,$N215)),"")</f>
        <v/>
      </c>
      <c r="I215" s="24">
        <f>IF($M215&lt;&gt;"",INDEX(CalcAmtA,$M215),"")</f>
        <v/>
      </c>
      <c r="J215" s="24">
        <f>IF($B215="","",IF($J214="",$C$8,$J214)+IF($I215="",0,$I215)+IF($E215="",0,$E215)-IF($H215="",0,$H215))</f>
        <v/>
      </c>
      <c r="K215" s="25">
        <f>IF($M215&lt;&gt;"",IF(INDEX(CalcNoteA,$M215)="","—",INDEX(CalcNoteA,$M215)),IF($N215&lt;&gt;"",IF(INDEX(CalcNoteB,$N215)="","—",INDEX(CalcNoteB,$N215)),""))</f>
        <v/>
      </c>
      <c r="M215">
        <f>IFERROR(MATCH($C$5&amp;"|"&amp;RIGHT("000000"&amp;199,6),CalcRankKeyA,0),"")</f>
        <v/>
      </c>
      <c r="N215">
        <f>IFERROR(MATCH($C$5&amp;"|"&amp;RIGHT("000000"&amp;199,6),CalcRankKeyB,0),"")</f>
        <v/>
      </c>
    </row>
    <row r="216">
      <c r="A216" s="26" t="n">
        <v>200</v>
      </c>
      <c r="B216" s="27">
        <f>IF(AND($M216="",$N216=""),"",IF($M216&lt;&gt;"",INDEX(CalcDateA,$M216),INDEX(CalcDateB,$N216)))</f>
        <v/>
      </c>
      <c r="C216" s="27">
        <f>IF($M216&lt;&gt;"","خرید سبد",IF($N216&lt;&gt;"",IF(N(INDEX(CalcDepB,$N216))&gt;0,"دریافت بانکی","پرداخت بانکی"),""))</f>
        <v/>
      </c>
      <c r="D216" s="27">
        <f>IF($M216&lt;&gt;"",IF(INDEX(CalcDocA,$M216)="","—",INDEX(CalcDocA,$M216)),IF($N216&lt;&gt;"",INDEX(CalcBankB,$N216),""))</f>
        <v/>
      </c>
      <c r="E216" s="28">
        <f>IF($N216&lt;&gt;"",IF(INDEX(CalcDepB,$N216)=0,"",INDEX(CalcDepB,$N216)),"")</f>
        <v/>
      </c>
      <c r="F216" s="28">
        <f>IF($M216&lt;&gt;"",IF(INDEX(CalcQtyA,$M216)=0,"",INDEX(CalcQtyA,$M216)),"")</f>
        <v/>
      </c>
      <c r="G216" s="28">
        <f>IF($M216&lt;&gt;"",IF(INDEX(CalcPriceA,$M216)=0,"",INDEX(CalcPriceA,$M216)),"")</f>
        <v/>
      </c>
      <c r="H216" s="28">
        <f>IF($N216&lt;&gt;"",IF(INDEX(CalcWitB,$N216)=0,"",INDEX(CalcWitB,$N216)),"")</f>
        <v/>
      </c>
      <c r="I216" s="29">
        <f>IF($M216&lt;&gt;"",INDEX(CalcAmtA,$M216),"")</f>
        <v/>
      </c>
      <c r="J216" s="29">
        <f>IF($B216="","",IF($J215="",$C$8,$J215)+IF($I216="",0,$I216)+IF($E216="",0,$E216)-IF($H216="",0,$H216))</f>
        <v/>
      </c>
      <c r="K216" s="30">
        <f>IF($M216&lt;&gt;"",IF(INDEX(CalcNoteA,$M216)="","—",INDEX(CalcNoteA,$M216)),IF($N216&lt;&gt;"",IF(INDEX(CalcNoteB,$N216)="","—",INDEX(CalcNoteB,$N216)),""))</f>
        <v/>
      </c>
      <c r="M216">
        <f>IFERROR(MATCH($C$5&amp;"|"&amp;RIGHT("000000"&amp;200,6),CalcRankKeyA,0),"")</f>
        <v/>
      </c>
      <c r="N216">
        <f>IFERROR(MATCH($C$5&amp;"|"&amp;RIGHT("000000"&amp;200,6),CalcRankKeyB,0),"")</f>
        <v/>
      </c>
    </row>
    <row r="217">
      <c r="A217" s="21" t="n">
        <v>201</v>
      </c>
      <c r="B217" s="22">
        <f>IF(AND($M217="",$N217=""),"",IF($M217&lt;&gt;"",INDEX(CalcDateA,$M217),INDEX(CalcDateB,$N217)))</f>
        <v/>
      </c>
      <c r="C217" s="22">
        <f>IF($M217&lt;&gt;"","خرید سبد",IF($N217&lt;&gt;"",IF(N(INDEX(CalcDepB,$N217))&gt;0,"دریافت بانکی","پرداخت بانکی"),""))</f>
        <v/>
      </c>
      <c r="D217" s="22">
        <f>IF($M217&lt;&gt;"",IF(INDEX(CalcDocA,$M217)="","—",INDEX(CalcDocA,$M217)),IF($N217&lt;&gt;"",INDEX(CalcBankB,$N217),""))</f>
        <v/>
      </c>
      <c r="E217" s="23">
        <f>IF($N217&lt;&gt;"",IF(INDEX(CalcDepB,$N217)=0,"",INDEX(CalcDepB,$N217)),"")</f>
        <v/>
      </c>
      <c r="F217" s="23">
        <f>IF($M217&lt;&gt;"",IF(INDEX(CalcQtyA,$M217)=0,"",INDEX(CalcQtyA,$M217)),"")</f>
        <v/>
      </c>
      <c r="G217" s="23">
        <f>IF($M217&lt;&gt;"",IF(INDEX(CalcPriceA,$M217)=0,"",INDEX(CalcPriceA,$M217)),"")</f>
        <v/>
      </c>
      <c r="H217" s="23">
        <f>IF($N217&lt;&gt;"",IF(INDEX(CalcWitB,$N217)=0,"",INDEX(CalcWitB,$N217)),"")</f>
        <v/>
      </c>
      <c r="I217" s="24">
        <f>IF($M217&lt;&gt;"",INDEX(CalcAmtA,$M217),"")</f>
        <v/>
      </c>
      <c r="J217" s="24">
        <f>IF($B217="","",IF($J216="",$C$8,$J216)+IF($I217="",0,$I217)+IF($E217="",0,$E217)-IF($H217="",0,$H217))</f>
        <v/>
      </c>
      <c r="K217" s="25">
        <f>IF($M217&lt;&gt;"",IF(INDEX(CalcNoteA,$M217)="","—",INDEX(CalcNoteA,$M217)),IF($N217&lt;&gt;"",IF(INDEX(CalcNoteB,$N217)="","—",INDEX(CalcNoteB,$N217)),""))</f>
        <v/>
      </c>
      <c r="M217">
        <f>IFERROR(MATCH($C$5&amp;"|"&amp;RIGHT("000000"&amp;201,6),CalcRankKeyA,0),"")</f>
        <v/>
      </c>
      <c r="N217">
        <f>IFERROR(MATCH($C$5&amp;"|"&amp;RIGHT("000000"&amp;201,6),CalcRankKeyB,0),"")</f>
        <v/>
      </c>
    </row>
    <row r="218">
      <c r="A218" s="26" t="n">
        <v>202</v>
      </c>
      <c r="B218" s="27">
        <f>IF(AND($M218="",$N218=""),"",IF($M218&lt;&gt;"",INDEX(CalcDateA,$M218),INDEX(CalcDateB,$N218)))</f>
        <v/>
      </c>
      <c r="C218" s="27">
        <f>IF($M218&lt;&gt;"","خرید سبد",IF($N218&lt;&gt;"",IF(N(INDEX(CalcDepB,$N218))&gt;0,"دریافت بانکی","پرداخت بانکی"),""))</f>
        <v/>
      </c>
      <c r="D218" s="27">
        <f>IF($M218&lt;&gt;"",IF(INDEX(CalcDocA,$M218)="","—",INDEX(CalcDocA,$M218)),IF($N218&lt;&gt;"",INDEX(CalcBankB,$N218),""))</f>
        <v/>
      </c>
      <c r="E218" s="28">
        <f>IF($N218&lt;&gt;"",IF(INDEX(CalcDepB,$N218)=0,"",INDEX(CalcDepB,$N218)),"")</f>
        <v/>
      </c>
      <c r="F218" s="28">
        <f>IF($M218&lt;&gt;"",IF(INDEX(CalcQtyA,$M218)=0,"",INDEX(CalcQtyA,$M218)),"")</f>
        <v/>
      </c>
      <c r="G218" s="28">
        <f>IF($M218&lt;&gt;"",IF(INDEX(CalcPriceA,$M218)=0,"",INDEX(CalcPriceA,$M218)),"")</f>
        <v/>
      </c>
      <c r="H218" s="28">
        <f>IF($N218&lt;&gt;"",IF(INDEX(CalcWitB,$N218)=0,"",INDEX(CalcWitB,$N218)),"")</f>
        <v/>
      </c>
      <c r="I218" s="29">
        <f>IF($M218&lt;&gt;"",INDEX(CalcAmtA,$M218),"")</f>
        <v/>
      </c>
      <c r="J218" s="29">
        <f>IF($B218="","",IF($J217="",$C$8,$J217)+IF($I218="",0,$I218)+IF($E218="",0,$E218)-IF($H218="",0,$H218))</f>
        <v/>
      </c>
      <c r="K218" s="30">
        <f>IF($M218&lt;&gt;"",IF(INDEX(CalcNoteA,$M218)="","—",INDEX(CalcNoteA,$M218)),IF($N218&lt;&gt;"",IF(INDEX(CalcNoteB,$N218)="","—",INDEX(CalcNoteB,$N218)),""))</f>
        <v/>
      </c>
      <c r="M218">
        <f>IFERROR(MATCH($C$5&amp;"|"&amp;RIGHT("000000"&amp;202,6),CalcRankKeyA,0),"")</f>
        <v/>
      </c>
      <c r="N218">
        <f>IFERROR(MATCH($C$5&amp;"|"&amp;RIGHT("000000"&amp;202,6),CalcRankKeyB,0),"")</f>
        <v/>
      </c>
    </row>
    <row r="219">
      <c r="A219" s="21" t="n">
        <v>203</v>
      </c>
      <c r="B219" s="22">
        <f>IF(AND($M219="",$N219=""),"",IF($M219&lt;&gt;"",INDEX(CalcDateA,$M219),INDEX(CalcDateB,$N219)))</f>
        <v/>
      </c>
      <c r="C219" s="22">
        <f>IF($M219&lt;&gt;"","خرید سبد",IF($N219&lt;&gt;"",IF(N(INDEX(CalcDepB,$N219))&gt;0,"دریافت بانکی","پرداخت بانکی"),""))</f>
        <v/>
      </c>
      <c r="D219" s="22">
        <f>IF($M219&lt;&gt;"",IF(INDEX(CalcDocA,$M219)="","—",INDEX(CalcDocA,$M219)),IF($N219&lt;&gt;"",INDEX(CalcBankB,$N219),""))</f>
        <v/>
      </c>
      <c r="E219" s="23">
        <f>IF($N219&lt;&gt;"",IF(INDEX(CalcDepB,$N219)=0,"",INDEX(CalcDepB,$N219)),"")</f>
        <v/>
      </c>
      <c r="F219" s="23">
        <f>IF($M219&lt;&gt;"",IF(INDEX(CalcQtyA,$M219)=0,"",INDEX(CalcQtyA,$M219)),"")</f>
        <v/>
      </c>
      <c r="G219" s="23">
        <f>IF($M219&lt;&gt;"",IF(INDEX(CalcPriceA,$M219)=0,"",INDEX(CalcPriceA,$M219)),"")</f>
        <v/>
      </c>
      <c r="H219" s="23">
        <f>IF($N219&lt;&gt;"",IF(INDEX(CalcWitB,$N219)=0,"",INDEX(CalcWitB,$N219)),"")</f>
        <v/>
      </c>
      <c r="I219" s="24">
        <f>IF($M219&lt;&gt;"",INDEX(CalcAmtA,$M219),"")</f>
        <v/>
      </c>
      <c r="J219" s="24">
        <f>IF($B219="","",IF($J218="",$C$8,$J218)+IF($I219="",0,$I219)+IF($E219="",0,$E219)-IF($H219="",0,$H219))</f>
        <v/>
      </c>
      <c r="K219" s="25">
        <f>IF($M219&lt;&gt;"",IF(INDEX(CalcNoteA,$M219)="","—",INDEX(CalcNoteA,$M219)),IF($N219&lt;&gt;"",IF(INDEX(CalcNoteB,$N219)="","—",INDEX(CalcNoteB,$N219)),""))</f>
        <v/>
      </c>
      <c r="M219">
        <f>IFERROR(MATCH($C$5&amp;"|"&amp;RIGHT("000000"&amp;203,6),CalcRankKeyA,0),"")</f>
        <v/>
      </c>
      <c r="N219">
        <f>IFERROR(MATCH($C$5&amp;"|"&amp;RIGHT("000000"&amp;203,6),CalcRankKeyB,0),"")</f>
        <v/>
      </c>
    </row>
    <row r="220">
      <c r="A220" s="26" t="n">
        <v>204</v>
      </c>
      <c r="B220" s="27">
        <f>IF(AND($M220="",$N220=""),"",IF($M220&lt;&gt;"",INDEX(CalcDateA,$M220),INDEX(CalcDateB,$N220)))</f>
        <v/>
      </c>
      <c r="C220" s="27">
        <f>IF($M220&lt;&gt;"","خرید سبد",IF($N220&lt;&gt;"",IF(N(INDEX(CalcDepB,$N220))&gt;0,"دریافت بانکی","پرداخت بانکی"),""))</f>
        <v/>
      </c>
      <c r="D220" s="27">
        <f>IF($M220&lt;&gt;"",IF(INDEX(CalcDocA,$M220)="","—",INDEX(CalcDocA,$M220)),IF($N220&lt;&gt;"",INDEX(CalcBankB,$N220),""))</f>
        <v/>
      </c>
      <c r="E220" s="28">
        <f>IF($N220&lt;&gt;"",IF(INDEX(CalcDepB,$N220)=0,"",INDEX(CalcDepB,$N220)),"")</f>
        <v/>
      </c>
      <c r="F220" s="28">
        <f>IF($M220&lt;&gt;"",IF(INDEX(CalcQtyA,$M220)=0,"",INDEX(CalcQtyA,$M220)),"")</f>
        <v/>
      </c>
      <c r="G220" s="28">
        <f>IF($M220&lt;&gt;"",IF(INDEX(CalcPriceA,$M220)=0,"",INDEX(CalcPriceA,$M220)),"")</f>
        <v/>
      </c>
      <c r="H220" s="28">
        <f>IF($N220&lt;&gt;"",IF(INDEX(CalcWitB,$N220)=0,"",INDEX(CalcWitB,$N220)),"")</f>
        <v/>
      </c>
      <c r="I220" s="29">
        <f>IF($M220&lt;&gt;"",INDEX(CalcAmtA,$M220),"")</f>
        <v/>
      </c>
      <c r="J220" s="29">
        <f>IF($B220="","",IF($J219="",$C$8,$J219)+IF($I220="",0,$I220)+IF($E220="",0,$E220)-IF($H220="",0,$H220))</f>
        <v/>
      </c>
      <c r="K220" s="30">
        <f>IF($M220&lt;&gt;"",IF(INDEX(CalcNoteA,$M220)="","—",INDEX(CalcNoteA,$M220)),IF($N220&lt;&gt;"",IF(INDEX(CalcNoteB,$N220)="","—",INDEX(CalcNoteB,$N220)),""))</f>
        <v/>
      </c>
      <c r="M220">
        <f>IFERROR(MATCH($C$5&amp;"|"&amp;RIGHT("000000"&amp;204,6),CalcRankKeyA,0),"")</f>
        <v/>
      </c>
      <c r="N220">
        <f>IFERROR(MATCH($C$5&amp;"|"&amp;RIGHT("000000"&amp;204,6),CalcRankKeyB,0),"")</f>
        <v/>
      </c>
    </row>
    <row r="221">
      <c r="A221" s="21" t="n">
        <v>205</v>
      </c>
      <c r="B221" s="22">
        <f>IF(AND($M221="",$N221=""),"",IF($M221&lt;&gt;"",INDEX(CalcDateA,$M221),INDEX(CalcDateB,$N221)))</f>
        <v/>
      </c>
      <c r="C221" s="22">
        <f>IF($M221&lt;&gt;"","خرید سبد",IF($N221&lt;&gt;"",IF(N(INDEX(CalcDepB,$N221))&gt;0,"دریافت بانکی","پرداخت بانکی"),""))</f>
        <v/>
      </c>
      <c r="D221" s="22">
        <f>IF($M221&lt;&gt;"",IF(INDEX(CalcDocA,$M221)="","—",INDEX(CalcDocA,$M221)),IF($N221&lt;&gt;"",INDEX(CalcBankB,$N221),""))</f>
        <v/>
      </c>
      <c r="E221" s="23">
        <f>IF($N221&lt;&gt;"",IF(INDEX(CalcDepB,$N221)=0,"",INDEX(CalcDepB,$N221)),"")</f>
        <v/>
      </c>
      <c r="F221" s="23">
        <f>IF($M221&lt;&gt;"",IF(INDEX(CalcQtyA,$M221)=0,"",INDEX(CalcQtyA,$M221)),"")</f>
        <v/>
      </c>
      <c r="G221" s="23">
        <f>IF($M221&lt;&gt;"",IF(INDEX(CalcPriceA,$M221)=0,"",INDEX(CalcPriceA,$M221)),"")</f>
        <v/>
      </c>
      <c r="H221" s="23">
        <f>IF($N221&lt;&gt;"",IF(INDEX(CalcWitB,$N221)=0,"",INDEX(CalcWitB,$N221)),"")</f>
        <v/>
      </c>
      <c r="I221" s="24">
        <f>IF($M221&lt;&gt;"",INDEX(CalcAmtA,$M221),"")</f>
        <v/>
      </c>
      <c r="J221" s="24">
        <f>IF($B221="","",IF($J220="",$C$8,$J220)+IF($I221="",0,$I221)+IF($E221="",0,$E221)-IF($H221="",0,$H221))</f>
        <v/>
      </c>
      <c r="K221" s="25">
        <f>IF($M221&lt;&gt;"",IF(INDEX(CalcNoteA,$M221)="","—",INDEX(CalcNoteA,$M221)),IF($N221&lt;&gt;"",IF(INDEX(CalcNoteB,$N221)="","—",INDEX(CalcNoteB,$N221)),""))</f>
        <v/>
      </c>
      <c r="M221">
        <f>IFERROR(MATCH($C$5&amp;"|"&amp;RIGHT("000000"&amp;205,6),CalcRankKeyA,0),"")</f>
        <v/>
      </c>
      <c r="N221">
        <f>IFERROR(MATCH($C$5&amp;"|"&amp;RIGHT("000000"&amp;205,6),CalcRankKeyB,0),"")</f>
        <v/>
      </c>
    </row>
    <row r="222">
      <c r="A222" s="26" t="n">
        <v>206</v>
      </c>
      <c r="B222" s="27">
        <f>IF(AND($M222="",$N222=""),"",IF($M222&lt;&gt;"",INDEX(CalcDateA,$M222),INDEX(CalcDateB,$N222)))</f>
        <v/>
      </c>
      <c r="C222" s="27">
        <f>IF($M222&lt;&gt;"","خرید سبد",IF($N222&lt;&gt;"",IF(N(INDEX(CalcDepB,$N222))&gt;0,"دریافت بانکی","پرداخت بانکی"),""))</f>
        <v/>
      </c>
      <c r="D222" s="27">
        <f>IF($M222&lt;&gt;"",IF(INDEX(CalcDocA,$M222)="","—",INDEX(CalcDocA,$M222)),IF($N222&lt;&gt;"",INDEX(CalcBankB,$N222),""))</f>
        <v/>
      </c>
      <c r="E222" s="28">
        <f>IF($N222&lt;&gt;"",IF(INDEX(CalcDepB,$N222)=0,"",INDEX(CalcDepB,$N222)),"")</f>
        <v/>
      </c>
      <c r="F222" s="28">
        <f>IF($M222&lt;&gt;"",IF(INDEX(CalcQtyA,$M222)=0,"",INDEX(CalcQtyA,$M222)),"")</f>
        <v/>
      </c>
      <c r="G222" s="28">
        <f>IF($M222&lt;&gt;"",IF(INDEX(CalcPriceA,$M222)=0,"",INDEX(CalcPriceA,$M222)),"")</f>
        <v/>
      </c>
      <c r="H222" s="28">
        <f>IF($N222&lt;&gt;"",IF(INDEX(CalcWitB,$N222)=0,"",INDEX(CalcWitB,$N222)),"")</f>
        <v/>
      </c>
      <c r="I222" s="29">
        <f>IF($M222&lt;&gt;"",INDEX(CalcAmtA,$M222),"")</f>
        <v/>
      </c>
      <c r="J222" s="29">
        <f>IF($B222="","",IF($J221="",$C$8,$J221)+IF($I222="",0,$I222)+IF($E222="",0,$E222)-IF($H222="",0,$H222))</f>
        <v/>
      </c>
      <c r="K222" s="30">
        <f>IF($M222&lt;&gt;"",IF(INDEX(CalcNoteA,$M222)="","—",INDEX(CalcNoteA,$M222)),IF($N222&lt;&gt;"",IF(INDEX(CalcNoteB,$N222)="","—",INDEX(CalcNoteB,$N222)),""))</f>
        <v/>
      </c>
      <c r="M222">
        <f>IFERROR(MATCH($C$5&amp;"|"&amp;RIGHT("000000"&amp;206,6),CalcRankKeyA,0),"")</f>
        <v/>
      </c>
      <c r="N222">
        <f>IFERROR(MATCH($C$5&amp;"|"&amp;RIGHT("000000"&amp;206,6),CalcRankKeyB,0),"")</f>
        <v/>
      </c>
    </row>
    <row r="223">
      <c r="A223" s="21" t="n">
        <v>207</v>
      </c>
      <c r="B223" s="22">
        <f>IF(AND($M223="",$N223=""),"",IF($M223&lt;&gt;"",INDEX(CalcDateA,$M223),INDEX(CalcDateB,$N223)))</f>
        <v/>
      </c>
      <c r="C223" s="22">
        <f>IF($M223&lt;&gt;"","خرید سبد",IF($N223&lt;&gt;"",IF(N(INDEX(CalcDepB,$N223))&gt;0,"دریافت بانکی","پرداخت بانکی"),""))</f>
        <v/>
      </c>
      <c r="D223" s="22">
        <f>IF($M223&lt;&gt;"",IF(INDEX(CalcDocA,$M223)="","—",INDEX(CalcDocA,$M223)),IF($N223&lt;&gt;"",INDEX(CalcBankB,$N223),""))</f>
        <v/>
      </c>
      <c r="E223" s="23">
        <f>IF($N223&lt;&gt;"",IF(INDEX(CalcDepB,$N223)=0,"",INDEX(CalcDepB,$N223)),"")</f>
        <v/>
      </c>
      <c r="F223" s="23">
        <f>IF($M223&lt;&gt;"",IF(INDEX(CalcQtyA,$M223)=0,"",INDEX(CalcQtyA,$M223)),"")</f>
        <v/>
      </c>
      <c r="G223" s="23">
        <f>IF($M223&lt;&gt;"",IF(INDEX(CalcPriceA,$M223)=0,"",INDEX(CalcPriceA,$M223)),"")</f>
        <v/>
      </c>
      <c r="H223" s="23">
        <f>IF($N223&lt;&gt;"",IF(INDEX(CalcWitB,$N223)=0,"",INDEX(CalcWitB,$N223)),"")</f>
        <v/>
      </c>
      <c r="I223" s="24">
        <f>IF($M223&lt;&gt;"",INDEX(CalcAmtA,$M223),"")</f>
        <v/>
      </c>
      <c r="J223" s="24">
        <f>IF($B223="","",IF($J222="",$C$8,$J222)+IF($I223="",0,$I223)+IF($E223="",0,$E223)-IF($H223="",0,$H223))</f>
        <v/>
      </c>
      <c r="K223" s="25">
        <f>IF($M223&lt;&gt;"",IF(INDEX(CalcNoteA,$M223)="","—",INDEX(CalcNoteA,$M223)),IF($N223&lt;&gt;"",IF(INDEX(CalcNoteB,$N223)="","—",INDEX(CalcNoteB,$N223)),""))</f>
        <v/>
      </c>
      <c r="M223">
        <f>IFERROR(MATCH($C$5&amp;"|"&amp;RIGHT("000000"&amp;207,6),CalcRankKeyA,0),"")</f>
        <v/>
      </c>
      <c r="N223">
        <f>IFERROR(MATCH($C$5&amp;"|"&amp;RIGHT("000000"&amp;207,6),CalcRankKeyB,0),"")</f>
        <v/>
      </c>
    </row>
    <row r="224">
      <c r="A224" s="26" t="n">
        <v>208</v>
      </c>
      <c r="B224" s="27">
        <f>IF(AND($M224="",$N224=""),"",IF($M224&lt;&gt;"",INDEX(CalcDateA,$M224),INDEX(CalcDateB,$N224)))</f>
        <v/>
      </c>
      <c r="C224" s="27">
        <f>IF($M224&lt;&gt;"","خرید سبد",IF($N224&lt;&gt;"",IF(N(INDEX(CalcDepB,$N224))&gt;0,"دریافت بانکی","پرداخت بانکی"),""))</f>
        <v/>
      </c>
      <c r="D224" s="27">
        <f>IF($M224&lt;&gt;"",IF(INDEX(CalcDocA,$M224)="","—",INDEX(CalcDocA,$M224)),IF($N224&lt;&gt;"",INDEX(CalcBankB,$N224),""))</f>
        <v/>
      </c>
      <c r="E224" s="28">
        <f>IF($N224&lt;&gt;"",IF(INDEX(CalcDepB,$N224)=0,"",INDEX(CalcDepB,$N224)),"")</f>
        <v/>
      </c>
      <c r="F224" s="28">
        <f>IF($M224&lt;&gt;"",IF(INDEX(CalcQtyA,$M224)=0,"",INDEX(CalcQtyA,$M224)),"")</f>
        <v/>
      </c>
      <c r="G224" s="28">
        <f>IF($M224&lt;&gt;"",IF(INDEX(CalcPriceA,$M224)=0,"",INDEX(CalcPriceA,$M224)),"")</f>
        <v/>
      </c>
      <c r="H224" s="28">
        <f>IF($N224&lt;&gt;"",IF(INDEX(CalcWitB,$N224)=0,"",INDEX(CalcWitB,$N224)),"")</f>
        <v/>
      </c>
      <c r="I224" s="29">
        <f>IF($M224&lt;&gt;"",INDEX(CalcAmtA,$M224),"")</f>
        <v/>
      </c>
      <c r="J224" s="29">
        <f>IF($B224="","",IF($J223="",$C$8,$J223)+IF($I224="",0,$I224)+IF($E224="",0,$E224)-IF($H224="",0,$H224))</f>
        <v/>
      </c>
      <c r="K224" s="30">
        <f>IF($M224&lt;&gt;"",IF(INDEX(CalcNoteA,$M224)="","—",INDEX(CalcNoteA,$M224)),IF($N224&lt;&gt;"",IF(INDEX(CalcNoteB,$N224)="","—",INDEX(CalcNoteB,$N224)),""))</f>
        <v/>
      </c>
      <c r="M224">
        <f>IFERROR(MATCH($C$5&amp;"|"&amp;RIGHT("000000"&amp;208,6),CalcRankKeyA,0),"")</f>
        <v/>
      </c>
      <c r="N224">
        <f>IFERROR(MATCH($C$5&amp;"|"&amp;RIGHT("000000"&amp;208,6),CalcRankKeyB,0),"")</f>
        <v/>
      </c>
    </row>
    <row r="225">
      <c r="A225" s="21" t="n">
        <v>209</v>
      </c>
      <c r="B225" s="22">
        <f>IF(AND($M225="",$N225=""),"",IF($M225&lt;&gt;"",INDEX(CalcDateA,$M225),INDEX(CalcDateB,$N225)))</f>
        <v/>
      </c>
      <c r="C225" s="22">
        <f>IF($M225&lt;&gt;"","خرید سبد",IF($N225&lt;&gt;"",IF(N(INDEX(CalcDepB,$N225))&gt;0,"دریافت بانکی","پرداخت بانکی"),""))</f>
        <v/>
      </c>
      <c r="D225" s="22">
        <f>IF($M225&lt;&gt;"",IF(INDEX(CalcDocA,$M225)="","—",INDEX(CalcDocA,$M225)),IF($N225&lt;&gt;"",INDEX(CalcBankB,$N225),""))</f>
        <v/>
      </c>
      <c r="E225" s="23">
        <f>IF($N225&lt;&gt;"",IF(INDEX(CalcDepB,$N225)=0,"",INDEX(CalcDepB,$N225)),"")</f>
        <v/>
      </c>
      <c r="F225" s="23">
        <f>IF($M225&lt;&gt;"",IF(INDEX(CalcQtyA,$M225)=0,"",INDEX(CalcQtyA,$M225)),"")</f>
        <v/>
      </c>
      <c r="G225" s="23">
        <f>IF($M225&lt;&gt;"",IF(INDEX(CalcPriceA,$M225)=0,"",INDEX(CalcPriceA,$M225)),"")</f>
        <v/>
      </c>
      <c r="H225" s="23">
        <f>IF($N225&lt;&gt;"",IF(INDEX(CalcWitB,$N225)=0,"",INDEX(CalcWitB,$N225)),"")</f>
        <v/>
      </c>
      <c r="I225" s="24">
        <f>IF($M225&lt;&gt;"",INDEX(CalcAmtA,$M225),"")</f>
        <v/>
      </c>
      <c r="J225" s="24">
        <f>IF($B225="","",IF($J224="",$C$8,$J224)+IF($I225="",0,$I225)+IF($E225="",0,$E225)-IF($H225="",0,$H225))</f>
        <v/>
      </c>
      <c r="K225" s="25">
        <f>IF($M225&lt;&gt;"",IF(INDEX(CalcNoteA,$M225)="","—",INDEX(CalcNoteA,$M225)),IF($N225&lt;&gt;"",IF(INDEX(CalcNoteB,$N225)="","—",INDEX(CalcNoteB,$N225)),""))</f>
        <v/>
      </c>
      <c r="M225">
        <f>IFERROR(MATCH($C$5&amp;"|"&amp;RIGHT("000000"&amp;209,6),CalcRankKeyA,0),"")</f>
        <v/>
      </c>
      <c r="N225">
        <f>IFERROR(MATCH($C$5&amp;"|"&amp;RIGHT("000000"&amp;209,6),CalcRankKeyB,0),"")</f>
        <v/>
      </c>
    </row>
    <row r="226">
      <c r="A226" s="26" t="n">
        <v>210</v>
      </c>
      <c r="B226" s="27">
        <f>IF(AND($M226="",$N226=""),"",IF($M226&lt;&gt;"",INDEX(CalcDateA,$M226),INDEX(CalcDateB,$N226)))</f>
        <v/>
      </c>
      <c r="C226" s="27">
        <f>IF($M226&lt;&gt;"","خرید سبد",IF($N226&lt;&gt;"",IF(N(INDEX(CalcDepB,$N226))&gt;0,"دریافت بانکی","پرداخت بانکی"),""))</f>
        <v/>
      </c>
      <c r="D226" s="27">
        <f>IF($M226&lt;&gt;"",IF(INDEX(CalcDocA,$M226)="","—",INDEX(CalcDocA,$M226)),IF($N226&lt;&gt;"",INDEX(CalcBankB,$N226),""))</f>
        <v/>
      </c>
      <c r="E226" s="28">
        <f>IF($N226&lt;&gt;"",IF(INDEX(CalcDepB,$N226)=0,"",INDEX(CalcDepB,$N226)),"")</f>
        <v/>
      </c>
      <c r="F226" s="28">
        <f>IF($M226&lt;&gt;"",IF(INDEX(CalcQtyA,$M226)=0,"",INDEX(CalcQtyA,$M226)),"")</f>
        <v/>
      </c>
      <c r="G226" s="28">
        <f>IF($M226&lt;&gt;"",IF(INDEX(CalcPriceA,$M226)=0,"",INDEX(CalcPriceA,$M226)),"")</f>
        <v/>
      </c>
      <c r="H226" s="28">
        <f>IF($N226&lt;&gt;"",IF(INDEX(CalcWitB,$N226)=0,"",INDEX(CalcWitB,$N226)),"")</f>
        <v/>
      </c>
      <c r="I226" s="29">
        <f>IF($M226&lt;&gt;"",INDEX(CalcAmtA,$M226),"")</f>
        <v/>
      </c>
      <c r="J226" s="29">
        <f>IF($B226="","",IF($J225="",$C$8,$J225)+IF($I226="",0,$I226)+IF($E226="",0,$E226)-IF($H226="",0,$H226))</f>
        <v/>
      </c>
      <c r="K226" s="30">
        <f>IF($M226&lt;&gt;"",IF(INDEX(CalcNoteA,$M226)="","—",INDEX(CalcNoteA,$M226)),IF($N226&lt;&gt;"",IF(INDEX(CalcNoteB,$N226)="","—",INDEX(CalcNoteB,$N226)),""))</f>
        <v/>
      </c>
      <c r="M226">
        <f>IFERROR(MATCH($C$5&amp;"|"&amp;RIGHT("000000"&amp;210,6),CalcRankKeyA,0),"")</f>
        <v/>
      </c>
      <c r="N226">
        <f>IFERROR(MATCH($C$5&amp;"|"&amp;RIGHT("000000"&amp;210,6),CalcRankKeyB,0),"")</f>
        <v/>
      </c>
    </row>
    <row r="227">
      <c r="A227" s="21" t="n">
        <v>211</v>
      </c>
      <c r="B227" s="22">
        <f>IF(AND($M227="",$N227=""),"",IF($M227&lt;&gt;"",INDEX(CalcDateA,$M227),INDEX(CalcDateB,$N227)))</f>
        <v/>
      </c>
      <c r="C227" s="22">
        <f>IF($M227&lt;&gt;"","خرید سبد",IF($N227&lt;&gt;"",IF(N(INDEX(CalcDepB,$N227))&gt;0,"دریافت بانکی","پرداخت بانکی"),""))</f>
        <v/>
      </c>
      <c r="D227" s="22">
        <f>IF($M227&lt;&gt;"",IF(INDEX(CalcDocA,$M227)="","—",INDEX(CalcDocA,$M227)),IF($N227&lt;&gt;"",INDEX(CalcBankB,$N227),""))</f>
        <v/>
      </c>
      <c r="E227" s="23">
        <f>IF($N227&lt;&gt;"",IF(INDEX(CalcDepB,$N227)=0,"",INDEX(CalcDepB,$N227)),"")</f>
        <v/>
      </c>
      <c r="F227" s="23">
        <f>IF($M227&lt;&gt;"",IF(INDEX(CalcQtyA,$M227)=0,"",INDEX(CalcQtyA,$M227)),"")</f>
        <v/>
      </c>
      <c r="G227" s="23">
        <f>IF($M227&lt;&gt;"",IF(INDEX(CalcPriceA,$M227)=0,"",INDEX(CalcPriceA,$M227)),"")</f>
        <v/>
      </c>
      <c r="H227" s="23">
        <f>IF($N227&lt;&gt;"",IF(INDEX(CalcWitB,$N227)=0,"",INDEX(CalcWitB,$N227)),"")</f>
        <v/>
      </c>
      <c r="I227" s="24">
        <f>IF($M227&lt;&gt;"",INDEX(CalcAmtA,$M227),"")</f>
        <v/>
      </c>
      <c r="J227" s="24">
        <f>IF($B227="","",IF($J226="",$C$8,$J226)+IF($I227="",0,$I227)+IF($E227="",0,$E227)-IF($H227="",0,$H227))</f>
        <v/>
      </c>
      <c r="K227" s="25">
        <f>IF($M227&lt;&gt;"",IF(INDEX(CalcNoteA,$M227)="","—",INDEX(CalcNoteA,$M227)),IF($N227&lt;&gt;"",IF(INDEX(CalcNoteB,$N227)="","—",INDEX(CalcNoteB,$N227)),""))</f>
        <v/>
      </c>
      <c r="M227">
        <f>IFERROR(MATCH($C$5&amp;"|"&amp;RIGHT("000000"&amp;211,6),CalcRankKeyA,0),"")</f>
        <v/>
      </c>
      <c r="N227">
        <f>IFERROR(MATCH($C$5&amp;"|"&amp;RIGHT("000000"&amp;211,6),CalcRankKeyB,0),"")</f>
        <v/>
      </c>
    </row>
    <row r="228">
      <c r="A228" s="26" t="n">
        <v>212</v>
      </c>
      <c r="B228" s="27">
        <f>IF(AND($M228="",$N228=""),"",IF($M228&lt;&gt;"",INDEX(CalcDateA,$M228),INDEX(CalcDateB,$N228)))</f>
        <v/>
      </c>
      <c r="C228" s="27">
        <f>IF($M228&lt;&gt;"","خرید سبد",IF($N228&lt;&gt;"",IF(N(INDEX(CalcDepB,$N228))&gt;0,"دریافت بانکی","پرداخت بانکی"),""))</f>
        <v/>
      </c>
      <c r="D228" s="27">
        <f>IF($M228&lt;&gt;"",IF(INDEX(CalcDocA,$M228)="","—",INDEX(CalcDocA,$M228)),IF($N228&lt;&gt;"",INDEX(CalcBankB,$N228),""))</f>
        <v/>
      </c>
      <c r="E228" s="28">
        <f>IF($N228&lt;&gt;"",IF(INDEX(CalcDepB,$N228)=0,"",INDEX(CalcDepB,$N228)),"")</f>
        <v/>
      </c>
      <c r="F228" s="28">
        <f>IF($M228&lt;&gt;"",IF(INDEX(CalcQtyA,$M228)=0,"",INDEX(CalcQtyA,$M228)),"")</f>
        <v/>
      </c>
      <c r="G228" s="28">
        <f>IF($M228&lt;&gt;"",IF(INDEX(CalcPriceA,$M228)=0,"",INDEX(CalcPriceA,$M228)),"")</f>
        <v/>
      </c>
      <c r="H228" s="28">
        <f>IF($N228&lt;&gt;"",IF(INDEX(CalcWitB,$N228)=0,"",INDEX(CalcWitB,$N228)),"")</f>
        <v/>
      </c>
      <c r="I228" s="29">
        <f>IF($M228&lt;&gt;"",INDEX(CalcAmtA,$M228),"")</f>
        <v/>
      </c>
      <c r="J228" s="29">
        <f>IF($B228="","",IF($J227="",$C$8,$J227)+IF($I228="",0,$I228)+IF($E228="",0,$E228)-IF($H228="",0,$H228))</f>
        <v/>
      </c>
      <c r="K228" s="30">
        <f>IF($M228&lt;&gt;"",IF(INDEX(CalcNoteA,$M228)="","—",INDEX(CalcNoteA,$M228)),IF($N228&lt;&gt;"",IF(INDEX(CalcNoteB,$N228)="","—",INDEX(CalcNoteB,$N228)),""))</f>
        <v/>
      </c>
      <c r="M228">
        <f>IFERROR(MATCH($C$5&amp;"|"&amp;RIGHT("000000"&amp;212,6),CalcRankKeyA,0),"")</f>
        <v/>
      </c>
      <c r="N228">
        <f>IFERROR(MATCH($C$5&amp;"|"&amp;RIGHT("000000"&amp;212,6),CalcRankKeyB,0),"")</f>
        <v/>
      </c>
    </row>
    <row r="229">
      <c r="A229" s="21" t="n">
        <v>213</v>
      </c>
      <c r="B229" s="22">
        <f>IF(AND($M229="",$N229=""),"",IF($M229&lt;&gt;"",INDEX(CalcDateA,$M229),INDEX(CalcDateB,$N229)))</f>
        <v/>
      </c>
      <c r="C229" s="22">
        <f>IF($M229&lt;&gt;"","خرید سبد",IF($N229&lt;&gt;"",IF(N(INDEX(CalcDepB,$N229))&gt;0,"دریافت بانکی","پرداخت بانکی"),""))</f>
        <v/>
      </c>
      <c r="D229" s="22">
        <f>IF($M229&lt;&gt;"",IF(INDEX(CalcDocA,$M229)="","—",INDEX(CalcDocA,$M229)),IF($N229&lt;&gt;"",INDEX(CalcBankB,$N229),""))</f>
        <v/>
      </c>
      <c r="E229" s="23">
        <f>IF($N229&lt;&gt;"",IF(INDEX(CalcDepB,$N229)=0,"",INDEX(CalcDepB,$N229)),"")</f>
        <v/>
      </c>
      <c r="F229" s="23">
        <f>IF($M229&lt;&gt;"",IF(INDEX(CalcQtyA,$M229)=0,"",INDEX(CalcQtyA,$M229)),"")</f>
        <v/>
      </c>
      <c r="G229" s="23">
        <f>IF($M229&lt;&gt;"",IF(INDEX(CalcPriceA,$M229)=0,"",INDEX(CalcPriceA,$M229)),"")</f>
        <v/>
      </c>
      <c r="H229" s="23">
        <f>IF($N229&lt;&gt;"",IF(INDEX(CalcWitB,$N229)=0,"",INDEX(CalcWitB,$N229)),"")</f>
        <v/>
      </c>
      <c r="I229" s="24">
        <f>IF($M229&lt;&gt;"",INDEX(CalcAmtA,$M229),"")</f>
        <v/>
      </c>
      <c r="J229" s="24">
        <f>IF($B229="","",IF($J228="",$C$8,$J228)+IF($I229="",0,$I229)+IF($E229="",0,$E229)-IF($H229="",0,$H229))</f>
        <v/>
      </c>
      <c r="K229" s="25">
        <f>IF($M229&lt;&gt;"",IF(INDEX(CalcNoteA,$M229)="","—",INDEX(CalcNoteA,$M229)),IF($N229&lt;&gt;"",IF(INDEX(CalcNoteB,$N229)="","—",INDEX(CalcNoteB,$N229)),""))</f>
        <v/>
      </c>
      <c r="M229">
        <f>IFERROR(MATCH($C$5&amp;"|"&amp;RIGHT("000000"&amp;213,6),CalcRankKeyA,0),"")</f>
        <v/>
      </c>
      <c r="N229">
        <f>IFERROR(MATCH($C$5&amp;"|"&amp;RIGHT("000000"&amp;213,6),CalcRankKeyB,0),"")</f>
        <v/>
      </c>
    </row>
    <row r="230">
      <c r="A230" s="26" t="n">
        <v>214</v>
      </c>
      <c r="B230" s="27">
        <f>IF(AND($M230="",$N230=""),"",IF($M230&lt;&gt;"",INDEX(CalcDateA,$M230),INDEX(CalcDateB,$N230)))</f>
        <v/>
      </c>
      <c r="C230" s="27">
        <f>IF($M230&lt;&gt;"","خرید سبد",IF($N230&lt;&gt;"",IF(N(INDEX(CalcDepB,$N230))&gt;0,"دریافت بانکی","پرداخت بانکی"),""))</f>
        <v/>
      </c>
      <c r="D230" s="27">
        <f>IF($M230&lt;&gt;"",IF(INDEX(CalcDocA,$M230)="","—",INDEX(CalcDocA,$M230)),IF($N230&lt;&gt;"",INDEX(CalcBankB,$N230),""))</f>
        <v/>
      </c>
      <c r="E230" s="28">
        <f>IF($N230&lt;&gt;"",IF(INDEX(CalcDepB,$N230)=0,"",INDEX(CalcDepB,$N230)),"")</f>
        <v/>
      </c>
      <c r="F230" s="28">
        <f>IF($M230&lt;&gt;"",IF(INDEX(CalcQtyA,$M230)=0,"",INDEX(CalcQtyA,$M230)),"")</f>
        <v/>
      </c>
      <c r="G230" s="28">
        <f>IF($M230&lt;&gt;"",IF(INDEX(CalcPriceA,$M230)=0,"",INDEX(CalcPriceA,$M230)),"")</f>
        <v/>
      </c>
      <c r="H230" s="28">
        <f>IF($N230&lt;&gt;"",IF(INDEX(CalcWitB,$N230)=0,"",INDEX(CalcWitB,$N230)),"")</f>
        <v/>
      </c>
      <c r="I230" s="29">
        <f>IF($M230&lt;&gt;"",INDEX(CalcAmtA,$M230),"")</f>
        <v/>
      </c>
      <c r="J230" s="29">
        <f>IF($B230="","",IF($J229="",$C$8,$J229)+IF($I230="",0,$I230)+IF($E230="",0,$E230)-IF($H230="",0,$H230))</f>
        <v/>
      </c>
      <c r="K230" s="30">
        <f>IF($M230&lt;&gt;"",IF(INDEX(CalcNoteA,$M230)="","—",INDEX(CalcNoteA,$M230)),IF($N230&lt;&gt;"",IF(INDEX(CalcNoteB,$N230)="","—",INDEX(CalcNoteB,$N230)),""))</f>
        <v/>
      </c>
      <c r="M230">
        <f>IFERROR(MATCH($C$5&amp;"|"&amp;RIGHT("000000"&amp;214,6),CalcRankKeyA,0),"")</f>
        <v/>
      </c>
      <c r="N230">
        <f>IFERROR(MATCH($C$5&amp;"|"&amp;RIGHT("000000"&amp;214,6),CalcRankKeyB,0),"")</f>
        <v/>
      </c>
    </row>
    <row r="231">
      <c r="A231" s="21" t="n">
        <v>215</v>
      </c>
      <c r="B231" s="22">
        <f>IF(AND($M231="",$N231=""),"",IF($M231&lt;&gt;"",INDEX(CalcDateA,$M231),INDEX(CalcDateB,$N231)))</f>
        <v/>
      </c>
      <c r="C231" s="22">
        <f>IF($M231&lt;&gt;"","خرید سبد",IF($N231&lt;&gt;"",IF(N(INDEX(CalcDepB,$N231))&gt;0,"دریافت بانکی","پرداخت بانکی"),""))</f>
        <v/>
      </c>
      <c r="D231" s="22">
        <f>IF($M231&lt;&gt;"",IF(INDEX(CalcDocA,$M231)="","—",INDEX(CalcDocA,$M231)),IF($N231&lt;&gt;"",INDEX(CalcBankB,$N231),""))</f>
        <v/>
      </c>
      <c r="E231" s="23">
        <f>IF($N231&lt;&gt;"",IF(INDEX(CalcDepB,$N231)=0,"",INDEX(CalcDepB,$N231)),"")</f>
        <v/>
      </c>
      <c r="F231" s="23">
        <f>IF($M231&lt;&gt;"",IF(INDEX(CalcQtyA,$M231)=0,"",INDEX(CalcQtyA,$M231)),"")</f>
        <v/>
      </c>
      <c r="G231" s="23">
        <f>IF($M231&lt;&gt;"",IF(INDEX(CalcPriceA,$M231)=0,"",INDEX(CalcPriceA,$M231)),"")</f>
        <v/>
      </c>
      <c r="H231" s="23">
        <f>IF($N231&lt;&gt;"",IF(INDEX(CalcWitB,$N231)=0,"",INDEX(CalcWitB,$N231)),"")</f>
        <v/>
      </c>
      <c r="I231" s="24">
        <f>IF($M231&lt;&gt;"",INDEX(CalcAmtA,$M231),"")</f>
        <v/>
      </c>
      <c r="J231" s="24">
        <f>IF($B231="","",IF($J230="",$C$8,$J230)+IF($I231="",0,$I231)+IF($E231="",0,$E231)-IF($H231="",0,$H231))</f>
        <v/>
      </c>
      <c r="K231" s="25">
        <f>IF($M231&lt;&gt;"",IF(INDEX(CalcNoteA,$M231)="","—",INDEX(CalcNoteA,$M231)),IF($N231&lt;&gt;"",IF(INDEX(CalcNoteB,$N231)="","—",INDEX(CalcNoteB,$N231)),""))</f>
        <v/>
      </c>
      <c r="M231">
        <f>IFERROR(MATCH($C$5&amp;"|"&amp;RIGHT("000000"&amp;215,6),CalcRankKeyA,0),"")</f>
        <v/>
      </c>
      <c r="N231">
        <f>IFERROR(MATCH($C$5&amp;"|"&amp;RIGHT("000000"&amp;215,6),CalcRankKeyB,0),"")</f>
        <v/>
      </c>
    </row>
    <row r="232">
      <c r="A232" s="26" t="n">
        <v>216</v>
      </c>
      <c r="B232" s="27">
        <f>IF(AND($M232="",$N232=""),"",IF($M232&lt;&gt;"",INDEX(CalcDateA,$M232),INDEX(CalcDateB,$N232)))</f>
        <v/>
      </c>
      <c r="C232" s="27">
        <f>IF($M232&lt;&gt;"","خرید سبد",IF($N232&lt;&gt;"",IF(N(INDEX(CalcDepB,$N232))&gt;0,"دریافت بانکی","پرداخت بانکی"),""))</f>
        <v/>
      </c>
      <c r="D232" s="27">
        <f>IF($M232&lt;&gt;"",IF(INDEX(CalcDocA,$M232)="","—",INDEX(CalcDocA,$M232)),IF($N232&lt;&gt;"",INDEX(CalcBankB,$N232),""))</f>
        <v/>
      </c>
      <c r="E232" s="28">
        <f>IF($N232&lt;&gt;"",IF(INDEX(CalcDepB,$N232)=0,"",INDEX(CalcDepB,$N232)),"")</f>
        <v/>
      </c>
      <c r="F232" s="28">
        <f>IF($M232&lt;&gt;"",IF(INDEX(CalcQtyA,$M232)=0,"",INDEX(CalcQtyA,$M232)),"")</f>
        <v/>
      </c>
      <c r="G232" s="28">
        <f>IF($M232&lt;&gt;"",IF(INDEX(CalcPriceA,$M232)=0,"",INDEX(CalcPriceA,$M232)),"")</f>
        <v/>
      </c>
      <c r="H232" s="28">
        <f>IF($N232&lt;&gt;"",IF(INDEX(CalcWitB,$N232)=0,"",INDEX(CalcWitB,$N232)),"")</f>
        <v/>
      </c>
      <c r="I232" s="29">
        <f>IF($M232&lt;&gt;"",INDEX(CalcAmtA,$M232),"")</f>
        <v/>
      </c>
      <c r="J232" s="29">
        <f>IF($B232="","",IF($J231="",$C$8,$J231)+IF($I232="",0,$I232)+IF($E232="",0,$E232)-IF($H232="",0,$H232))</f>
        <v/>
      </c>
      <c r="K232" s="30">
        <f>IF($M232&lt;&gt;"",IF(INDEX(CalcNoteA,$M232)="","—",INDEX(CalcNoteA,$M232)),IF($N232&lt;&gt;"",IF(INDEX(CalcNoteB,$N232)="","—",INDEX(CalcNoteB,$N232)),""))</f>
        <v/>
      </c>
      <c r="M232">
        <f>IFERROR(MATCH($C$5&amp;"|"&amp;RIGHT("000000"&amp;216,6),CalcRankKeyA,0),"")</f>
        <v/>
      </c>
      <c r="N232">
        <f>IFERROR(MATCH($C$5&amp;"|"&amp;RIGHT("000000"&amp;216,6),CalcRankKeyB,0),"")</f>
        <v/>
      </c>
    </row>
    <row r="233">
      <c r="A233" s="21" t="n">
        <v>217</v>
      </c>
      <c r="B233" s="22">
        <f>IF(AND($M233="",$N233=""),"",IF($M233&lt;&gt;"",INDEX(CalcDateA,$M233),INDEX(CalcDateB,$N233)))</f>
        <v/>
      </c>
      <c r="C233" s="22">
        <f>IF($M233&lt;&gt;"","خرید سبد",IF($N233&lt;&gt;"",IF(N(INDEX(CalcDepB,$N233))&gt;0,"دریافت بانکی","پرداخت بانکی"),""))</f>
        <v/>
      </c>
      <c r="D233" s="22">
        <f>IF($M233&lt;&gt;"",IF(INDEX(CalcDocA,$M233)="","—",INDEX(CalcDocA,$M233)),IF($N233&lt;&gt;"",INDEX(CalcBankB,$N233),""))</f>
        <v/>
      </c>
      <c r="E233" s="23">
        <f>IF($N233&lt;&gt;"",IF(INDEX(CalcDepB,$N233)=0,"",INDEX(CalcDepB,$N233)),"")</f>
        <v/>
      </c>
      <c r="F233" s="23">
        <f>IF($M233&lt;&gt;"",IF(INDEX(CalcQtyA,$M233)=0,"",INDEX(CalcQtyA,$M233)),"")</f>
        <v/>
      </c>
      <c r="G233" s="23">
        <f>IF($M233&lt;&gt;"",IF(INDEX(CalcPriceA,$M233)=0,"",INDEX(CalcPriceA,$M233)),"")</f>
        <v/>
      </c>
      <c r="H233" s="23">
        <f>IF($N233&lt;&gt;"",IF(INDEX(CalcWitB,$N233)=0,"",INDEX(CalcWitB,$N233)),"")</f>
        <v/>
      </c>
      <c r="I233" s="24">
        <f>IF($M233&lt;&gt;"",INDEX(CalcAmtA,$M233),"")</f>
        <v/>
      </c>
      <c r="J233" s="24">
        <f>IF($B233="","",IF($J232="",$C$8,$J232)+IF($I233="",0,$I233)+IF($E233="",0,$E233)-IF($H233="",0,$H233))</f>
        <v/>
      </c>
      <c r="K233" s="25">
        <f>IF($M233&lt;&gt;"",IF(INDEX(CalcNoteA,$M233)="","—",INDEX(CalcNoteA,$M233)),IF($N233&lt;&gt;"",IF(INDEX(CalcNoteB,$N233)="","—",INDEX(CalcNoteB,$N233)),""))</f>
        <v/>
      </c>
      <c r="M233">
        <f>IFERROR(MATCH($C$5&amp;"|"&amp;RIGHT("000000"&amp;217,6),CalcRankKeyA,0),"")</f>
        <v/>
      </c>
      <c r="N233">
        <f>IFERROR(MATCH($C$5&amp;"|"&amp;RIGHT("000000"&amp;217,6),CalcRankKeyB,0),"")</f>
        <v/>
      </c>
    </row>
    <row r="234">
      <c r="A234" s="26" t="n">
        <v>218</v>
      </c>
      <c r="B234" s="27">
        <f>IF(AND($M234="",$N234=""),"",IF($M234&lt;&gt;"",INDEX(CalcDateA,$M234),INDEX(CalcDateB,$N234)))</f>
        <v/>
      </c>
      <c r="C234" s="27">
        <f>IF($M234&lt;&gt;"","خرید سبد",IF($N234&lt;&gt;"",IF(N(INDEX(CalcDepB,$N234))&gt;0,"دریافت بانکی","پرداخت بانکی"),""))</f>
        <v/>
      </c>
      <c r="D234" s="27">
        <f>IF($M234&lt;&gt;"",IF(INDEX(CalcDocA,$M234)="","—",INDEX(CalcDocA,$M234)),IF($N234&lt;&gt;"",INDEX(CalcBankB,$N234),""))</f>
        <v/>
      </c>
      <c r="E234" s="28">
        <f>IF($N234&lt;&gt;"",IF(INDEX(CalcDepB,$N234)=0,"",INDEX(CalcDepB,$N234)),"")</f>
        <v/>
      </c>
      <c r="F234" s="28">
        <f>IF($M234&lt;&gt;"",IF(INDEX(CalcQtyA,$M234)=0,"",INDEX(CalcQtyA,$M234)),"")</f>
        <v/>
      </c>
      <c r="G234" s="28">
        <f>IF($M234&lt;&gt;"",IF(INDEX(CalcPriceA,$M234)=0,"",INDEX(CalcPriceA,$M234)),"")</f>
        <v/>
      </c>
      <c r="H234" s="28">
        <f>IF($N234&lt;&gt;"",IF(INDEX(CalcWitB,$N234)=0,"",INDEX(CalcWitB,$N234)),"")</f>
        <v/>
      </c>
      <c r="I234" s="29">
        <f>IF($M234&lt;&gt;"",INDEX(CalcAmtA,$M234),"")</f>
        <v/>
      </c>
      <c r="J234" s="29">
        <f>IF($B234="","",IF($J233="",$C$8,$J233)+IF($I234="",0,$I234)+IF($E234="",0,$E234)-IF($H234="",0,$H234))</f>
        <v/>
      </c>
      <c r="K234" s="30">
        <f>IF($M234&lt;&gt;"",IF(INDEX(CalcNoteA,$M234)="","—",INDEX(CalcNoteA,$M234)),IF($N234&lt;&gt;"",IF(INDEX(CalcNoteB,$N234)="","—",INDEX(CalcNoteB,$N234)),""))</f>
        <v/>
      </c>
      <c r="M234">
        <f>IFERROR(MATCH($C$5&amp;"|"&amp;RIGHT("000000"&amp;218,6),CalcRankKeyA,0),"")</f>
        <v/>
      </c>
      <c r="N234">
        <f>IFERROR(MATCH($C$5&amp;"|"&amp;RIGHT("000000"&amp;218,6),CalcRankKeyB,0),"")</f>
        <v/>
      </c>
    </row>
    <row r="235">
      <c r="A235" s="21" t="n">
        <v>219</v>
      </c>
      <c r="B235" s="22">
        <f>IF(AND($M235="",$N235=""),"",IF($M235&lt;&gt;"",INDEX(CalcDateA,$M235),INDEX(CalcDateB,$N235)))</f>
        <v/>
      </c>
      <c r="C235" s="22">
        <f>IF($M235&lt;&gt;"","خرید سبد",IF($N235&lt;&gt;"",IF(N(INDEX(CalcDepB,$N235))&gt;0,"دریافت بانکی","پرداخت بانکی"),""))</f>
        <v/>
      </c>
      <c r="D235" s="22">
        <f>IF($M235&lt;&gt;"",IF(INDEX(CalcDocA,$M235)="","—",INDEX(CalcDocA,$M235)),IF($N235&lt;&gt;"",INDEX(CalcBankB,$N235),""))</f>
        <v/>
      </c>
      <c r="E235" s="23">
        <f>IF($N235&lt;&gt;"",IF(INDEX(CalcDepB,$N235)=0,"",INDEX(CalcDepB,$N235)),"")</f>
        <v/>
      </c>
      <c r="F235" s="23">
        <f>IF($M235&lt;&gt;"",IF(INDEX(CalcQtyA,$M235)=0,"",INDEX(CalcQtyA,$M235)),"")</f>
        <v/>
      </c>
      <c r="G235" s="23">
        <f>IF($M235&lt;&gt;"",IF(INDEX(CalcPriceA,$M235)=0,"",INDEX(CalcPriceA,$M235)),"")</f>
        <v/>
      </c>
      <c r="H235" s="23">
        <f>IF($N235&lt;&gt;"",IF(INDEX(CalcWitB,$N235)=0,"",INDEX(CalcWitB,$N235)),"")</f>
        <v/>
      </c>
      <c r="I235" s="24">
        <f>IF($M235&lt;&gt;"",INDEX(CalcAmtA,$M235),"")</f>
        <v/>
      </c>
      <c r="J235" s="24">
        <f>IF($B235="","",IF($J234="",$C$8,$J234)+IF($I235="",0,$I235)+IF($E235="",0,$E235)-IF($H235="",0,$H235))</f>
        <v/>
      </c>
      <c r="K235" s="25">
        <f>IF($M235&lt;&gt;"",IF(INDEX(CalcNoteA,$M235)="","—",INDEX(CalcNoteA,$M235)),IF($N235&lt;&gt;"",IF(INDEX(CalcNoteB,$N235)="","—",INDEX(CalcNoteB,$N235)),""))</f>
        <v/>
      </c>
      <c r="M235">
        <f>IFERROR(MATCH($C$5&amp;"|"&amp;RIGHT("000000"&amp;219,6),CalcRankKeyA,0),"")</f>
        <v/>
      </c>
      <c r="N235">
        <f>IFERROR(MATCH($C$5&amp;"|"&amp;RIGHT("000000"&amp;219,6),CalcRankKeyB,0),"")</f>
        <v/>
      </c>
    </row>
    <row r="236">
      <c r="A236" s="26" t="n">
        <v>220</v>
      </c>
      <c r="B236" s="27">
        <f>IF(AND($M236="",$N236=""),"",IF($M236&lt;&gt;"",INDEX(CalcDateA,$M236),INDEX(CalcDateB,$N236)))</f>
        <v/>
      </c>
      <c r="C236" s="27">
        <f>IF($M236&lt;&gt;"","خرید سبد",IF($N236&lt;&gt;"",IF(N(INDEX(CalcDepB,$N236))&gt;0,"دریافت بانکی","پرداخت بانکی"),""))</f>
        <v/>
      </c>
      <c r="D236" s="27">
        <f>IF($M236&lt;&gt;"",IF(INDEX(CalcDocA,$M236)="","—",INDEX(CalcDocA,$M236)),IF($N236&lt;&gt;"",INDEX(CalcBankB,$N236),""))</f>
        <v/>
      </c>
      <c r="E236" s="28">
        <f>IF($N236&lt;&gt;"",IF(INDEX(CalcDepB,$N236)=0,"",INDEX(CalcDepB,$N236)),"")</f>
        <v/>
      </c>
      <c r="F236" s="28">
        <f>IF($M236&lt;&gt;"",IF(INDEX(CalcQtyA,$M236)=0,"",INDEX(CalcQtyA,$M236)),"")</f>
        <v/>
      </c>
      <c r="G236" s="28">
        <f>IF($M236&lt;&gt;"",IF(INDEX(CalcPriceA,$M236)=0,"",INDEX(CalcPriceA,$M236)),"")</f>
        <v/>
      </c>
      <c r="H236" s="28">
        <f>IF($N236&lt;&gt;"",IF(INDEX(CalcWitB,$N236)=0,"",INDEX(CalcWitB,$N236)),"")</f>
        <v/>
      </c>
      <c r="I236" s="29">
        <f>IF($M236&lt;&gt;"",INDEX(CalcAmtA,$M236),"")</f>
        <v/>
      </c>
      <c r="J236" s="29">
        <f>IF($B236="","",IF($J235="",$C$8,$J235)+IF($I236="",0,$I236)+IF($E236="",0,$E236)-IF($H236="",0,$H236))</f>
        <v/>
      </c>
      <c r="K236" s="30">
        <f>IF($M236&lt;&gt;"",IF(INDEX(CalcNoteA,$M236)="","—",INDEX(CalcNoteA,$M236)),IF($N236&lt;&gt;"",IF(INDEX(CalcNoteB,$N236)="","—",INDEX(CalcNoteB,$N236)),""))</f>
        <v/>
      </c>
      <c r="M236">
        <f>IFERROR(MATCH($C$5&amp;"|"&amp;RIGHT("000000"&amp;220,6),CalcRankKeyA,0),"")</f>
        <v/>
      </c>
      <c r="N236">
        <f>IFERROR(MATCH($C$5&amp;"|"&amp;RIGHT("000000"&amp;220,6),CalcRankKeyB,0),"")</f>
        <v/>
      </c>
    </row>
    <row r="237">
      <c r="A237" s="21" t="n">
        <v>221</v>
      </c>
      <c r="B237" s="22">
        <f>IF(AND($M237="",$N237=""),"",IF($M237&lt;&gt;"",INDEX(CalcDateA,$M237),INDEX(CalcDateB,$N237)))</f>
        <v/>
      </c>
      <c r="C237" s="22">
        <f>IF($M237&lt;&gt;"","خرید سبد",IF($N237&lt;&gt;"",IF(N(INDEX(CalcDepB,$N237))&gt;0,"دریافت بانکی","پرداخت بانکی"),""))</f>
        <v/>
      </c>
      <c r="D237" s="22">
        <f>IF($M237&lt;&gt;"",IF(INDEX(CalcDocA,$M237)="","—",INDEX(CalcDocA,$M237)),IF($N237&lt;&gt;"",INDEX(CalcBankB,$N237),""))</f>
        <v/>
      </c>
      <c r="E237" s="23">
        <f>IF($N237&lt;&gt;"",IF(INDEX(CalcDepB,$N237)=0,"",INDEX(CalcDepB,$N237)),"")</f>
        <v/>
      </c>
      <c r="F237" s="23">
        <f>IF($M237&lt;&gt;"",IF(INDEX(CalcQtyA,$M237)=0,"",INDEX(CalcQtyA,$M237)),"")</f>
        <v/>
      </c>
      <c r="G237" s="23">
        <f>IF($M237&lt;&gt;"",IF(INDEX(CalcPriceA,$M237)=0,"",INDEX(CalcPriceA,$M237)),"")</f>
        <v/>
      </c>
      <c r="H237" s="23">
        <f>IF($N237&lt;&gt;"",IF(INDEX(CalcWitB,$N237)=0,"",INDEX(CalcWitB,$N237)),"")</f>
        <v/>
      </c>
      <c r="I237" s="24">
        <f>IF($M237&lt;&gt;"",INDEX(CalcAmtA,$M237),"")</f>
        <v/>
      </c>
      <c r="J237" s="24">
        <f>IF($B237="","",IF($J236="",$C$8,$J236)+IF($I237="",0,$I237)+IF($E237="",0,$E237)-IF($H237="",0,$H237))</f>
        <v/>
      </c>
      <c r="K237" s="25">
        <f>IF($M237&lt;&gt;"",IF(INDEX(CalcNoteA,$M237)="","—",INDEX(CalcNoteA,$M237)),IF($N237&lt;&gt;"",IF(INDEX(CalcNoteB,$N237)="","—",INDEX(CalcNoteB,$N237)),""))</f>
        <v/>
      </c>
      <c r="M237">
        <f>IFERROR(MATCH($C$5&amp;"|"&amp;RIGHT("000000"&amp;221,6),CalcRankKeyA,0),"")</f>
        <v/>
      </c>
      <c r="N237">
        <f>IFERROR(MATCH($C$5&amp;"|"&amp;RIGHT("000000"&amp;221,6),CalcRankKeyB,0),"")</f>
        <v/>
      </c>
    </row>
    <row r="238">
      <c r="A238" s="26" t="n">
        <v>222</v>
      </c>
      <c r="B238" s="27">
        <f>IF(AND($M238="",$N238=""),"",IF($M238&lt;&gt;"",INDEX(CalcDateA,$M238),INDEX(CalcDateB,$N238)))</f>
        <v/>
      </c>
      <c r="C238" s="27">
        <f>IF($M238&lt;&gt;"","خرید سبد",IF($N238&lt;&gt;"",IF(N(INDEX(CalcDepB,$N238))&gt;0,"دریافت بانکی","پرداخت بانکی"),""))</f>
        <v/>
      </c>
      <c r="D238" s="27">
        <f>IF($M238&lt;&gt;"",IF(INDEX(CalcDocA,$M238)="","—",INDEX(CalcDocA,$M238)),IF($N238&lt;&gt;"",INDEX(CalcBankB,$N238),""))</f>
        <v/>
      </c>
      <c r="E238" s="28">
        <f>IF($N238&lt;&gt;"",IF(INDEX(CalcDepB,$N238)=0,"",INDEX(CalcDepB,$N238)),"")</f>
        <v/>
      </c>
      <c r="F238" s="28">
        <f>IF($M238&lt;&gt;"",IF(INDEX(CalcQtyA,$M238)=0,"",INDEX(CalcQtyA,$M238)),"")</f>
        <v/>
      </c>
      <c r="G238" s="28">
        <f>IF($M238&lt;&gt;"",IF(INDEX(CalcPriceA,$M238)=0,"",INDEX(CalcPriceA,$M238)),"")</f>
        <v/>
      </c>
      <c r="H238" s="28">
        <f>IF($N238&lt;&gt;"",IF(INDEX(CalcWitB,$N238)=0,"",INDEX(CalcWitB,$N238)),"")</f>
        <v/>
      </c>
      <c r="I238" s="29">
        <f>IF($M238&lt;&gt;"",INDEX(CalcAmtA,$M238),"")</f>
        <v/>
      </c>
      <c r="J238" s="29">
        <f>IF($B238="","",IF($J237="",$C$8,$J237)+IF($I238="",0,$I238)+IF($E238="",0,$E238)-IF($H238="",0,$H238))</f>
        <v/>
      </c>
      <c r="K238" s="30">
        <f>IF($M238&lt;&gt;"",IF(INDEX(CalcNoteA,$M238)="","—",INDEX(CalcNoteA,$M238)),IF($N238&lt;&gt;"",IF(INDEX(CalcNoteB,$N238)="","—",INDEX(CalcNoteB,$N238)),""))</f>
        <v/>
      </c>
      <c r="M238">
        <f>IFERROR(MATCH($C$5&amp;"|"&amp;RIGHT("000000"&amp;222,6),CalcRankKeyA,0),"")</f>
        <v/>
      </c>
      <c r="N238">
        <f>IFERROR(MATCH($C$5&amp;"|"&amp;RIGHT("000000"&amp;222,6),CalcRankKeyB,0),"")</f>
        <v/>
      </c>
    </row>
    <row r="239">
      <c r="A239" s="21" t="n">
        <v>223</v>
      </c>
      <c r="B239" s="22">
        <f>IF(AND($M239="",$N239=""),"",IF($M239&lt;&gt;"",INDEX(CalcDateA,$M239),INDEX(CalcDateB,$N239)))</f>
        <v/>
      </c>
      <c r="C239" s="22">
        <f>IF($M239&lt;&gt;"","خرید سبد",IF($N239&lt;&gt;"",IF(N(INDEX(CalcDepB,$N239))&gt;0,"دریافت بانکی","پرداخت بانکی"),""))</f>
        <v/>
      </c>
      <c r="D239" s="22">
        <f>IF($M239&lt;&gt;"",IF(INDEX(CalcDocA,$M239)="","—",INDEX(CalcDocA,$M239)),IF($N239&lt;&gt;"",INDEX(CalcBankB,$N239),""))</f>
        <v/>
      </c>
      <c r="E239" s="23">
        <f>IF($N239&lt;&gt;"",IF(INDEX(CalcDepB,$N239)=0,"",INDEX(CalcDepB,$N239)),"")</f>
        <v/>
      </c>
      <c r="F239" s="23">
        <f>IF($M239&lt;&gt;"",IF(INDEX(CalcQtyA,$M239)=0,"",INDEX(CalcQtyA,$M239)),"")</f>
        <v/>
      </c>
      <c r="G239" s="23">
        <f>IF($M239&lt;&gt;"",IF(INDEX(CalcPriceA,$M239)=0,"",INDEX(CalcPriceA,$M239)),"")</f>
        <v/>
      </c>
      <c r="H239" s="23">
        <f>IF($N239&lt;&gt;"",IF(INDEX(CalcWitB,$N239)=0,"",INDEX(CalcWitB,$N239)),"")</f>
        <v/>
      </c>
      <c r="I239" s="24">
        <f>IF($M239&lt;&gt;"",INDEX(CalcAmtA,$M239),"")</f>
        <v/>
      </c>
      <c r="J239" s="24">
        <f>IF($B239="","",IF($J238="",$C$8,$J238)+IF($I239="",0,$I239)+IF($E239="",0,$E239)-IF($H239="",0,$H239))</f>
        <v/>
      </c>
      <c r="K239" s="25">
        <f>IF($M239&lt;&gt;"",IF(INDEX(CalcNoteA,$M239)="","—",INDEX(CalcNoteA,$M239)),IF($N239&lt;&gt;"",IF(INDEX(CalcNoteB,$N239)="","—",INDEX(CalcNoteB,$N239)),""))</f>
        <v/>
      </c>
      <c r="M239">
        <f>IFERROR(MATCH($C$5&amp;"|"&amp;RIGHT("000000"&amp;223,6),CalcRankKeyA,0),"")</f>
        <v/>
      </c>
      <c r="N239">
        <f>IFERROR(MATCH($C$5&amp;"|"&amp;RIGHT("000000"&amp;223,6),CalcRankKeyB,0),"")</f>
        <v/>
      </c>
    </row>
    <row r="240">
      <c r="A240" s="26" t="n">
        <v>224</v>
      </c>
      <c r="B240" s="27">
        <f>IF(AND($M240="",$N240=""),"",IF($M240&lt;&gt;"",INDEX(CalcDateA,$M240),INDEX(CalcDateB,$N240)))</f>
        <v/>
      </c>
      <c r="C240" s="27">
        <f>IF($M240&lt;&gt;"","خرید سبد",IF($N240&lt;&gt;"",IF(N(INDEX(CalcDepB,$N240))&gt;0,"دریافت بانکی","پرداخت بانکی"),""))</f>
        <v/>
      </c>
      <c r="D240" s="27">
        <f>IF($M240&lt;&gt;"",IF(INDEX(CalcDocA,$M240)="","—",INDEX(CalcDocA,$M240)),IF($N240&lt;&gt;"",INDEX(CalcBankB,$N240),""))</f>
        <v/>
      </c>
      <c r="E240" s="28">
        <f>IF($N240&lt;&gt;"",IF(INDEX(CalcDepB,$N240)=0,"",INDEX(CalcDepB,$N240)),"")</f>
        <v/>
      </c>
      <c r="F240" s="28">
        <f>IF($M240&lt;&gt;"",IF(INDEX(CalcQtyA,$M240)=0,"",INDEX(CalcQtyA,$M240)),"")</f>
        <v/>
      </c>
      <c r="G240" s="28">
        <f>IF($M240&lt;&gt;"",IF(INDEX(CalcPriceA,$M240)=0,"",INDEX(CalcPriceA,$M240)),"")</f>
        <v/>
      </c>
      <c r="H240" s="28">
        <f>IF($N240&lt;&gt;"",IF(INDEX(CalcWitB,$N240)=0,"",INDEX(CalcWitB,$N240)),"")</f>
        <v/>
      </c>
      <c r="I240" s="29">
        <f>IF($M240&lt;&gt;"",INDEX(CalcAmtA,$M240),"")</f>
        <v/>
      </c>
      <c r="J240" s="29">
        <f>IF($B240="","",IF($J239="",$C$8,$J239)+IF($I240="",0,$I240)+IF($E240="",0,$E240)-IF($H240="",0,$H240))</f>
        <v/>
      </c>
      <c r="K240" s="30">
        <f>IF($M240&lt;&gt;"",IF(INDEX(CalcNoteA,$M240)="","—",INDEX(CalcNoteA,$M240)),IF($N240&lt;&gt;"",IF(INDEX(CalcNoteB,$N240)="","—",INDEX(CalcNoteB,$N240)),""))</f>
        <v/>
      </c>
      <c r="M240">
        <f>IFERROR(MATCH($C$5&amp;"|"&amp;RIGHT("000000"&amp;224,6),CalcRankKeyA,0),"")</f>
        <v/>
      </c>
      <c r="N240">
        <f>IFERROR(MATCH($C$5&amp;"|"&amp;RIGHT("000000"&amp;224,6),CalcRankKeyB,0),"")</f>
        <v/>
      </c>
    </row>
    <row r="241">
      <c r="A241" s="21" t="n">
        <v>225</v>
      </c>
      <c r="B241" s="22">
        <f>IF(AND($M241="",$N241=""),"",IF($M241&lt;&gt;"",INDEX(CalcDateA,$M241),INDEX(CalcDateB,$N241)))</f>
        <v/>
      </c>
      <c r="C241" s="22">
        <f>IF($M241&lt;&gt;"","خرید سبد",IF($N241&lt;&gt;"",IF(N(INDEX(CalcDepB,$N241))&gt;0,"دریافت بانکی","پرداخت بانکی"),""))</f>
        <v/>
      </c>
      <c r="D241" s="22">
        <f>IF($M241&lt;&gt;"",IF(INDEX(CalcDocA,$M241)="","—",INDEX(CalcDocA,$M241)),IF($N241&lt;&gt;"",INDEX(CalcBankB,$N241),""))</f>
        <v/>
      </c>
      <c r="E241" s="23">
        <f>IF($N241&lt;&gt;"",IF(INDEX(CalcDepB,$N241)=0,"",INDEX(CalcDepB,$N241)),"")</f>
        <v/>
      </c>
      <c r="F241" s="23">
        <f>IF($M241&lt;&gt;"",IF(INDEX(CalcQtyA,$M241)=0,"",INDEX(CalcQtyA,$M241)),"")</f>
        <v/>
      </c>
      <c r="G241" s="23">
        <f>IF($M241&lt;&gt;"",IF(INDEX(CalcPriceA,$M241)=0,"",INDEX(CalcPriceA,$M241)),"")</f>
        <v/>
      </c>
      <c r="H241" s="23">
        <f>IF($N241&lt;&gt;"",IF(INDEX(CalcWitB,$N241)=0,"",INDEX(CalcWitB,$N241)),"")</f>
        <v/>
      </c>
      <c r="I241" s="24">
        <f>IF($M241&lt;&gt;"",INDEX(CalcAmtA,$M241),"")</f>
        <v/>
      </c>
      <c r="J241" s="24">
        <f>IF($B241="","",IF($J240="",$C$8,$J240)+IF($I241="",0,$I241)+IF($E241="",0,$E241)-IF($H241="",0,$H241))</f>
        <v/>
      </c>
      <c r="K241" s="25">
        <f>IF($M241&lt;&gt;"",IF(INDEX(CalcNoteA,$M241)="","—",INDEX(CalcNoteA,$M241)),IF($N241&lt;&gt;"",IF(INDEX(CalcNoteB,$N241)="","—",INDEX(CalcNoteB,$N241)),""))</f>
        <v/>
      </c>
      <c r="M241">
        <f>IFERROR(MATCH($C$5&amp;"|"&amp;RIGHT("000000"&amp;225,6),CalcRankKeyA,0),"")</f>
        <v/>
      </c>
      <c r="N241">
        <f>IFERROR(MATCH($C$5&amp;"|"&amp;RIGHT("000000"&amp;225,6),CalcRankKeyB,0),"")</f>
        <v/>
      </c>
    </row>
    <row r="242">
      <c r="A242" s="26" t="n">
        <v>226</v>
      </c>
      <c r="B242" s="27">
        <f>IF(AND($M242="",$N242=""),"",IF($M242&lt;&gt;"",INDEX(CalcDateA,$M242),INDEX(CalcDateB,$N242)))</f>
        <v/>
      </c>
      <c r="C242" s="27">
        <f>IF($M242&lt;&gt;"","خرید سبد",IF($N242&lt;&gt;"",IF(N(INDEX(CalcDepB,$N242))&gt;0,"دریافت بانکی","پرداخت بانکی"),""))</f>
        <v/>
      </c>
      <c r="D242" s="27">
        <f>IF($M242&lt;&gt;"",IF(INDEX(CalcDocA,$M242)="","—",INDEX(CalcDocA,$M242)),IF($N242&lt;&gt;"",INDEX(CalcBankB,$N242),""))</f>
        <v/>
      </c>
      <c r="E242" s="28">
        <f>IF($N242&lt;&gt;"",IF(INDEX(CalcDepB,$N242)=0,"",INDEX(CalcDepB,$N242)),"")</f>
        <v/>
      </c>
      <c r="F242" s="28">
        <f>IF($M242&lt;&gt;"",IF(INDEX(CalcQtyA,$M242)=0,"",INDEX(CalcQtyA,$M242)),"")</f>
        <v/>
      </c>
      <c r="G242" s="28">
        <f>IF($M242&lt;&gt;"",IF(INDEX(CalcPriceA,$M242)=0,"",INDEX(CalcPriceA,$M242)),"")</f>
        <v/>
      </c>
      <c r="H242" s="28">
        <f>IF($N242&lt;&gt;"",IF(INDEX(CalcWitB,$N242)=0,"",INDEX(CalcWitB,$N242)),"")</f>
        <v/>
      </c>
      <c r="I242" s="29">
        <f>IF($M242&lt;&gt;"",INDEX(CalcAmtA,$M242),"")</f>
        <v/>
      </c>
      <c r="J242" s="29">
        <f>IF($B242="","",IF($J241="",$C$8,$J241)+IF($I242="",0,$I242)+IF($E242="",0,$E242)-IF($H242="",0,$H242))</f>
        <v/>
      </c>
      <c r="K242" s="30">
        <f>IF($M242&lt;&gt;"",IF(INDEX(CalcNoteA,$M242)="","—",INDEX(CalcNoteA,$M242)),IF($N242&lt;&gt;"",IF(INDEX(CalcNoteB,$N242)="","—",INDEX(CalcNoteB,$N242)),""))</f>
        <v/>
      </c>
      <c r="M242">
        <f>IFERROR(MATCH($C$5&amp;"|"&amp;RIGHT("000000"&amp;226,6),CalcRankKeyA,0),"")</f>
        <v/>
      </c>
      <c r="N242">
        <f>IFERROR(MATCH($C$5&amp;"|"&amp;RIGHT("000000"&amp;226,6),CalcRankKeyB,0),"")</f>
        <v/>
      </c>
    </row>
    <row r="243">
      <c r="A243" s="21" t="n">
        <v>227</v>
      </c>
      <c r="B243" s="22">
        <f>IF(AND($M243="",$N243=""),"",IF($M243&lt;&gt;"",INDEX(CalcDateA,$M243),INDEX(CalcDateB,$N243)))</f>
        <v/>
      </c>
      <c r="C243" s="22">
        <f>IF($M243&lt;&gt;"","خرید سبد",IF($N243&lt;&gt;"",IF(N(INDEX(CalcDepB,$N243))&gt;0,"دریافت بانکی","پرداخت بانکی"),""))</f>
        <v/>
      </c>
      <c r="D243" s="22">
        <f>IF($M243&lt;&gt;"",IF(INDEX(CalcDocA,$M243)="","—",INDEX(CalcDocA,$M243)),IF($N243&lt;&gt;"",INDEX(CalcBankB,$N243),""))</f>
        <v/>
      </c>
      <c r="E243" s="23">
        <f>IF($N243&lt;&gt;"",IF(INDEX(CalcDepB,$N243)=0,"",INDEX(CalcDepB,$N243)),"")</f>
        <v/>
      </c>
      <c r="F243" s="23">
        <f>IF($M243&lt;&gt;"",IF(INDEX(CalcQtyA,$M243)=0,"",INDEX(CalcQtyA,$M243)),"")</f>
        <v/>
      </c>
      <c r="G243" s="23">
        <f>IF($M243&lt;&gt;"",IF(INDEX(CalcPriceA,$M243)=0,"",INDEX(CalcPriceA,$M243)),"")</f>
        <v/>
      </c>
      <c r="H243" s="23">
        <f>IF($N243&lt;&gt;"",IF(INDEX(CalcWitB,$N243)=0,"",INDEX(CalcWitB,$N243)),"")</f>
        <v/>
      </c>
      <c r="I243" s="24">
        <f>IF($M243&lt;&gt;"",INDEX(CalcAmtA,$M243),"")</f>
        <v/>
      </c>
      <c r="J243" s="24">
        <f>IF($B243="","",IF($J242="",$C$8,$J242)+IF($I243="",0,$I243)+IF($E243="",0,$E243)-IF($H243="",0,$H243))</f>
        <v/>
      </c>
      <c r="K243" s="25">
        <f>IF($M243&lt;&gt;"",IF(INDEX(CalcNoteA,$M243)="","—",INDEX(CalcNoteA,$M243)),IF($N243&lt;&gt;"",IF(INDEX(CalcNoteB,$N243)="","—",INDEX(CalcNoteB,$N243)),""))</f>
        <v/>
      </c>
      <c r="M243">
        <f>IFERROR(MATCH($C$5&amp;"|"&amp;RIGHT("000000"&amp;227,6),CalcRankKeyA,0),"")</f>
        <v/>
      </c>
      <c r="N243">
        <f>IFERROR(MATCH($C$5&amp;"|"&amp;RIGHT("000000"&amp;227,6),CalcRankKeyB,0),"")</f>
        <v/>
      </c>
    </row>
    <row r="244">
      <c r="A244" s="26" t="n">
        <v>228</v>
      </c>
      <c r="B244" s="27">
        <f>IF(AND($M244="",$N244=""),"",IF($M244&lt;&gt;"",INDEX(CalcDateA,$M244),INDEX(CalcDateB,$N244)))</f>
        <v/>
      </c>
      <c r="C244" s="27">
        <f>IF($M244&lt;&gt;"","خرید سبد",IF($N244&lt;&gt;"",IF(N(INDEX(CalcDepB,$N244))&gt;0,"دریافت بانکی","پرداخت بانکی"),""))</f>
        <v/>
      </c>
      <c r="D244" s="27">
        <f>IF($M244&lt;&gt;"",IF(INDEX(CalcDocA,$M244)="","—",INDEX(CalcDocA,$M244)),IF($N244&lt;&gt;"",INDEX(CalcBankB,$N244),""))</f>
        <v/>
      </c>
      <c r="E244" s="28">
        <f>IF($N244&lt;&gt;"",IF(INDEX(CalcDepB,$N244)=0,"",INDEX(CalcDepB,$N244)),"")</f>
        <v/>
      </c>
      <c r="F244" s="28">
        <f>IF($M244&lt;&gt;"",IF(INDEX(CalcQtyA,$M244)=0,"",INDEX(CalcQtyA,$M244)),"")</f>
        <v/>
      </c>
      <c r="G244" s="28">
        <f>IF($M244&lt;&gt;"",IF(INDEX(CalcPriceA,$M244)=0,"",INDEX(CalcPriceA,$M244)),"")</f>
        <v/>
      </c>
      <c r="H244" s="28">
        <f>IF($N244&lt;&gt;"",IF(INDEX(CalcWitB,$N244)=0,"",INDEX(CalcWitB,$N244)),"")</f>
        <v/>
      </c>
      <c r="I244" s="29">
        <f>IF($M244&lt;&gt;"",INDEX(CalcAmtA,$M244),"")</f>
        <v/>
      </c>
      <c r="J244" s="29">
        <f>IF($B244="","",IF($J243="",$C$8,$J243)+IF($I244="",0,$I244)+IF($E244="",0,$E244)-IF($H244="",0,$H244))</f>
        <v/>
      </c>
      <c r="K244" s="30">
        <f>IF($M244&lt;&gt;"",IF(INDEX(CalcNoteA,$M244)="","—",INDEX(CalcNoteA,$M244)),IF($N244&lt;&gt;"",IF(INDEX(CalcNoteB,$N244)="","—",INDEX(CalcNoteB,$N244)),""))</f>
        <v/>
      </c>
      <c r="M244">
        <f>IFERROR(MATCH($C$5&amp;"|"&amp;RIGHT("000000"&amp;228,6),CalcRankKeyA,0),"")</f>
        <v/>
      </c>
      <c r="N244">
        <f>IFERROR(MATCH($C$5&amp;"|"&amp;RIGHT("000000"&amp;228,6),CalcRankKeyB,0),"")</f>
        <v/>
      </c>
    </row>
    <row r="245">
      <c r="A245" s="21" t="n">
        <v>229</v>
      </c>
      <c r="B245" s="22">
        <f>IF(AND($M245="",$N245=""),"",IF($M245&lt;&gt;"",INDEX(CalcDateA,$M245),INDEX(CalcDateB,$N245)))</f>
        <v/>
      </c>
      <c r="C245" s="22">
        <f>IF($M245&lt;&gt;"","خرید سبد",IF($N245&lt;&gt;"",IF(N(INDEX(CalcDepB,$N245))&gt;0,"دریافت بانکی","پرداخت بانکی"),""))</f>
        <v/>
      </c>
      <c r="D245" s="22">
        <f>IF($M245&lt;&gt;"",IF(INDEX(CalcDocA,$M245)="","—",INDEX(CalcDocA,$M245)),IF($N245&lt;&gt;"",INDEX(CalcBankB,$N245),""))</f>
        <v/>
      </c>
      <c r="E245" s="23">
        <f>IF($N245&lt;&gt;"",IF(INDEX(CalcDepB,$N245)=0,"",INDEX(CalcDepB,$N245)),"")</f>
        <v/>
      </c>
      <c r="F245" s="23">
        <f>IF($M245&lt;&gt;"",IF(INDEX(CalcQtyA,$M245)=0,"",INDEX(CalcQtyA,$M245)),"")</f>
        <v/>
      </c>
      <c r="G245" s="23">
        <f>IF($M245&lt;&gt;"",IF(INDEX(CalcPriceA,$M245)=0,"",INDEX(CalcPriceA,$M245)),"")</f>
        <v/>
      </c>
      <c r="H245" s="23">
        <f>IF($N245&lt;&gt;"",IF(INDEX(CalcWitB,$N245)=0,"",INDEX(CalcWitB,$N245)),"")</f>
        <v/>
      </c>
      <c r="I245" s="24">
        <f>IF($M245&lt;&gt;"",INDEX(CalcAmtA,$M245),"")</f>
        <v/>
      </c>
      <c r="J245" s="24">
        <f>IF($B245="","",IF($J244="",$C$8,$J244)+IF($I245="",0,$I245)+IF($E245="",0,$E245)-IF($H245="",0,$H245))</f>
        <v/>
      </c>
      <c r="K245" s="25">
        <f>IF($M245&lt;&gt;"",IF(INDEX(CalcNoteA,$M245)="","—",INDEX(CalcNoteA,$M245)),IF($N245&lt;&gt;"",IF(INDEX(CalcNoteB,$N245)="","—",INDEX(CalcNoteB,$N245)),""))</f>
        <v/>
      </c>
      <c r="M245">
        <f>IFERROR(MATCH($C$5&amp;"|"&amp;RIGHT("000000"&amp;229,6),CalcRankKeyA,0),"")</f>
        <v/>
      </c>
      <c r="N245">
        <f>IFERROR(MATCH($C$5&amp;"|"&amp;RIGHT("000000"&amp;229,6),CalcRankKeyB,0),"")</f>
        <v/>
      </c>
    </row>
    <row r="246">
      <c r="A246" s="26" t="n">
        <v>230</v>
      </c>
      <c r="B246" s="27">
        <f>IF(AND($M246="",$N246=""),"",IF($M246&lt;&gt;"",INDEX(CalcDateA,$M246),INDEX(CalcDateB,$N246)))</f>
        <v/>
      </c>
      <c r="C246" s="27">
        <f>IF($M246&lt;&gt;"","خرید سبد",IF($N246&lt;&gt;"",IF(N(INDEX(CalcDepB,$N246))&gt;0,"دریافت بانکی","پرداخت بانکی"),""))</f>
        <v/>
      </c>
      <c r="D246" s="27">
        <f>IF($M246&lt;&gt;"",IF(INDEX(CalcDocA,$M246)="","—",INDEX(CalcDocA,$M246)),IF($N246&lt;&gt;"",INDEX(CalcBankB,$N246),""))</f>
        <v/>
      </c>
      <c r="E246" s="28">
        <f>IF($N246&lt;&gt;"",IF(INDEX(CalcDepB,$N246)=0,"",INDEX(CalcDepB,$N246)),"")</f>
        <v/>
      </c>
      <c r="F246" s="28">
        <f>IF($M246&lt;&gt;"",IF(INDEX(CalcQtyA,$M246)=0,"",INDEX(CalcQtyA,$M246)),"")</f>
        <v/>
      </c>
      <c r="G246" s="28">
        <f>IF($M246&lt;&gt;"",IF(INDEX(CalcPriceA,$M246)=0,"",INDEX(CalcPriceA,$M246)),"")</f>
        <v/>
      </c>
      <c r="H246" s="28">
        <f>IF($N246&lt;&gt;"",IF(INDEX(CalcWitB,$N246)=0,"",INDEX(CalcWitB,$N246)),"")</f>
        <v/>
      </c>
      <c r="I246" s="29">
        <f>IF($M246&lt;&gt;"",INDEX(CalcAmtA,$M246),"")</f>
        <v/>
      </c>
      <c r="J246" s="29">
        <f>IF($B246="","",IF($J245="",$C$8,$J245)+IF($I246="",0,$I246)+IF($E246="",0,$E246)-IF($H246="",0,$H246))</f>
        <v/>
      </c>
      <c r="K246" s="30">
        <f>IF($M246&lt;&gt;"",IF(INDEX(CalcNoteA,$M246)="","—",INDEX(CalcNoteA,$M246)),IF($N246&lt;&gt;"",IF(INDEX(CalcNoteB,$N246)="","—",INDEX(CalcNoteB,$N246)),""))</f>
        <v/>
      </c>
      <c r="M246">
        <f>IFERROR(MATCH($C$5&amp;"|"&amp;RIGHT("000000"&amp;230,6),CalcRankKeyA,0),"")</f>
        <v/>
      </c>
      <c r="N246">
        <f>IFERROR(MATCH($C$5&amp;"|"&amp;RIGHT("000000"&amp;230,6),CalcRankKeyB,0),"")</f>
        <v/>
      </c>
    </row>
    <row r="247">
      <c r="A247" s="21" t="n">
        <v>231</v>
      </c>
      <c r="B247" s="22">
        <f>IF(AND($M247="",$N247=""),"",IF($M247&lt;&gt;"",INDEX(CalcDateA,$M247),INDEX(CalcDateB,$N247)))</f>
        <v/>
      </c>
      <c r="C247" s="22">
        <f>IF($M247&lt;&gt;"","خرید سبد",IF($N247&lt;&gt;"",IF(N(INDEX(CalcDepB,$N247))&gt;0,"دریافت بانکی","پرداخت بانکی"),""))</f>
        <v/>
      </c>
      <c r="D247" s="22">
        <f>IF($M247&lt;&gt;"",IF(INDEX(CalcDocA,$M247)="","—",INDEX(CalcDocA,$M247)),IF($N247&lt;&gt;"",INDEX(CalcBankB,$N247),""))</f>
        <v/>
      </c>
      <c r="E247" s="23">
        <f>IF($N247&lt;&gt;"",IF(INDEX(CalcDepB,$N247)=0,"",INDEX(CalcDepB,$N247)),"")</f>
        <v/>
      </c>
      <c r="F247" s="23">
        <f>IF($M247&lt;&gt;"",IF(INDEX(CalcQtyA,$M247)=0,"",INDEX(CalcQtyA,$M247)),"")</f>
        <v/>
      </c>
      <c r="G247" s="23">
        <f>IF($M247&lt;&gt;"",IF(INDEX(CalcPriceA,$M247)=0,"",INDEX(CalcPriceA,$M247)),"")</f>
        <v/>
      </c>
      <c r="H247" s="23">
        <f>IF($N247&lt;&gt;"",IF(INDEX(CalcWitB,$N247)=0,"",INDEX(CalcWitB,$N247)),"")</f>
        <v/>
      </c>
      <c r="I247" s="24">
        <f>IF($M247&lt;&gt;"",INDEX(CalcAmtA,$M247),"")</f>
        <v/>
      </c>
      <c r="J247" s="24">
        <f>IF($B247="","",IF($J246="",$C$8,$J246)+IF($I247="",0,$I247)+IF($E247="",0,$E247)-IF($H247="",0,$H247))</f>
        <v/>
      </c>
      <c r="K247" s="25">
        <f>IF($M247&lt;&gt;"",IF(INDEX(CalcNoteA,$M247)="","—",INDEX(CalcNoteA,$M247)),IF($N247&lt;&gt;"",IF(INDEX(CalcNoteB,$N247)="","—",INDEX(CalcNoteB,$N247)),""))</f>
        <v/>
      </c>
      <c r="M247">
        <f>IFERROR(MATCH($C$5&amp;"|"&amp;RIGHT("000000"&amp;231,6),CalcRankKeyA,0),"")</f>
        <v/>
      </c>
      <c r="N247">
        <f>IFERROR(MATCH($C$5&amp;"|"&amp;RIGHT("000000"&amp;231,6),CalcRankKeyB,0),"")</f>
        <v/>
      </c>
    </row>
    <row r="248">
      <c r="A248" s="26" t="n">
        <v>232</v>
      </c>
      <c r="B248" s="27">
        <f>IF(AND($M248="",$N248=""),"",IF($M248&lt;&gt;"",INDEX(CalcDateA,$M248),INDEX(CalcDateB,$N248)))</f>
        <v/>
      </c>
      <c r="C248" s="27">
        <f>IF($M248&lt;&gt;"","خرید سبد",IF($N248&lt;&gt;"",IF(N(INDEX(CalcDepB,$N248))&gt;0,"دریافت بانکی","پرداخت بانکی"),""))</f>
        <v/>
      </c>
      <c r="D248" s="27">
        <f>IF($M248&lt;&gt;"",IF(INDEX(CalcDocA,$M248)="","—",INDEX(CalcDocA,$M248)),IF($N248&lt;&gt;"",INDEX(CalcBankB,$N248),""))</f>
        <v/>
      </c>
      <c r="E248" s="28">
        <f>IF($N248&lt;&gt;"",IF(INDEX(CalcDepB,$N248)=0,"",INDEX(CalcDepB,$N248)),"")</f>
        <v/>
      </c>
      <c r="F248" s="28">
        <f>IF($M248&lt;&gt;"",IF(INDEX(CalcQtyA,$M248)=0,"",INDEX(CalcQtyA,$M248)),"")</f>
        <v/>
      </c>
      <c r="G248" s="28">
        <f>IF($M248&lt;&gt;"",IF(INDEX(CalcPriceA,$M248)=0,"",INDEX(CalcPriceA,$M248)),"")</f>
        <v/>
      </c>
      <c r="H248" s="28">
        <f>IF($N248&lt;&gt;"",IF(INDEX(CalcWitB,$N248)=0,"",INDEX(CalcWitB,$N248)),"")</f>
        <v/>
      </c>
      <c r="I248" s="29">
        <f>IF($M248&lt;&gt;"",INDEX(CalcAmtA,$M248),"")</f>
        <v/>
      </c>
      <c r="J248" s="29">
        <f>IF($B248="","",IF($J247="",$C$8,$J247)+IF($I248="",0,$I248)+IF($E248="",0,$E248)-IF($H248="",0,$H248))</f>
        <v/>
      </c>
      <c r="K248" s="30">
        <f>IF($M248&lt;&gt;"",IF(INDEX(CalcNoteA,$M248)="","—",INDEX(CalcNoteA,$M248)),IF($N248&lt;&gt;"",IF(INDEX(CalcNoteB,$N248)="","—",INDEX(CalcNoteB,$N248)),""))</f>
        <v/>
      </c>
      <c r="M248">
        <f>IFERROR(MATCH($C$5&amp;"|"&amp;RIGHT("000000"&amp;232,6),CalcRankKeyA,0),"")</f>
        <v/>
      </c>
      <c r="N248">
        <f>IFERROR(MATCH($C$5&amp;"|"&amp;RIGHT("000000"&amp;232,6),CalcRankKeyB,0),"")</f>
        <v/>
      </c>
    </row>
    <row r="249">
      <c r="A249" s="21" t="n">
        <v>233</v>
      </c>
      <c r="B249" s="22">
        <f>IF(AND($M249="",$N249=""),"",IF($M249&lt;&gt;"",INDEX(CalcDateA,$M249),INDEX(CalcDateB,$N249)))</f>
        <v/>
      </c>
      <c r="C249" s="22">
        <f>IF($M249&lt;&gt;"","خرید سبد",IF($N249&lt;&gt;"",IF(N(INDEX(CalcDepB,$N249))&gt;0,"دریافت بانکی","پرداخت بانکی"),""))</f>
        <v/>
      </c>
      <c r="D249" s="22">
        <f>IF($M249&lt;&gt;"",IF(INDEX(CalcDocA,$M249)="","—",INDEX(CalcDocA,$M249)),IF($N249&lt;&gt;"",INDEX(CalcBankB,$N249),""))</f>
        <v/>
      </c>
      <c r="E249" s="23">
        <f>IF($N249&lt;&gt;"",IF(INDEX(CalcDepB,$N249)=0,"",INDEX(CalcDepB,$N249)),"")</f>
        <v/>
      </c>
      <c r="F249" s="23">
        <f>IF($M249&lt;&gt;"",IF(INDEX(CalcQtyA,$M249)=0,"",INDEX(CalcQtyA,$M249)),"")</f>
        <v/>
      </c>
      <c r="G249" s="23">
        <f>IF($M249&lt;&gt;"",IF(INDEX(CalcPriceA,$M249)=0,"",INDEX(CalcPriceA,$M249)),"")</f>
        <v/>
      </c>
      <c r="H249" s="23">
        <f>IF($N249&lt;&gt;"",IF(INDEX(CalcWitB,$N249)=0,"",INDEX(CalcWitB,$N249)),"")</f>
        <v/>
      </c>
      <c r="I249" s="24">
        <f>IF($M249&lt;&gt;"",INDEX(CalcAmtA,$M249),"")</f>
        <v/>
      </c>
      <c r="J249" s="24">
        <f>IF($B249="","",IF($J248="",$C$8,$J248)+IF($I249="",0,$I249)+IF($E249="",0,$E249)-IF($H249="",0,$H249))</f>
        <v/>
      </c>
      <c r="K249" s="25">
        <f>IF($M249&lt;&gt;"",IF(INDEX(CalcNoteA,$M249)="","—",INDEX(CalcNoteA,$M249)),IF($N249&lt;&gt;"",IF(INDEX(CalcNoteB,$N249)="","—",INDEX(CalcNoteB,$N249)),""))</f>
        <v/>
      </c>
      <c r="M249">
        <f>IFERROR(MATCH($C$5&amp;"|"&amp;RIGHT("000000"&amp;233,6),CalcRankKeyA,0),"")</f>
        <v/>
      </c>
      <c r="N249">
        <f>IFERROR(MATCH($C$5&amp;"|"&amp;RIGHT("000000"&amp;233,6),CalcRankKeyB,0),"")</f>
        <v/>
      </c>
    </row>
    <row r="250">
      <c r="A250" s="26" t="n">
        <v>234</v>
      </c>
      <c r="B250" s="27">
        <f>IF(AND($M250="",$N250=""),"",IF($M250&lt;&gt;"",INDEX(CalcDateA,$M250),INDEX(CalcDateB,$N250)))</f>
        <v/>
      </c>
      <c r="C250" s="27">
        <f>IF($M250&lt;&gt;"","خرید سبد",IF($N250&lt;&gt;"",IF(N(INDEX(CalcDepB,$N250))&gt;0,"دریافت بانکی","پرداخت بانکی"),""))</f>
        <v/>
      </c>
      <c r="D250" s="27">
        <f>IF($M250&lt;&gt;"",IF(INDEX(CalcDocA,$M250)="","—",INDEX(CalcDocA,$M250)),IF($N250&lt;&gt;"",INDEX(CalcBankB,$N250),""))</f>
        <v/>
      </c>
      <c r="E250" s="28">
        <f>IF($N250&lt;&gt;"",IF(INDEX(CalcDepB,$N250)=0,"",INDEX(CalcDepB,$N250)),"")</f>
        <v/>
      </c>
      <c r="F250" s="28">
        <f>IF($M250&lt;&gt;"",IF(INDEX(CalcQtyA,$M250)=0,"",INDEX(CalcQtyA,$M250)),"")</f>
        <v/>
      </c>
      <c r="G250" s="28">
        <f>IF($M250&lt;&gt;"",IF(INDEX(CalcPriceA,$M250)=0,"",INDEX(CalcPriceA,$M250)),"")</f>
        <v/>
      </c>
      <c r="H250" s="28">
        <f>IF($N250&lt;&gt;"",IF(INDEX(CalcWitB,$N250)=0,"",INDEX(CalcWitB,$N250)),"")</f>
        <v/>
      </c>
      <c r="I250" s="29">
        <f>IF($M250&lt;&gt;"",INDEX(CalcAmtA,$M250),"")</f>
        <v/>
      </c>
      <c r="J250" s="29">
        <f>IF($B250="","",IF($J249="",$C$8,$J249)+IF($I250="",0,$I250)+IF($E250="",0,$E250)-IF($H250="",0,$H250))</f>
        <v/>
      </c>
      <c r="K250" s="30">
        <f>IF($M250&lt;&gt;"",IF(INDEX(CalcNoteA,$M250)="","—",INDEX(CalcNoteA,$M250)),IF($N250&lt;&gt;"",IF(INDEX(CalcNoteB,$N250)="","—",INDEX(CalcNoteB,$N250)),""))</f>
        <v/>
      </c>
      <c r="M250">
        <f>IFERROR(MATCH($C$5&amp;"|"&amp;RIGHT("000000"&amp;234,6),CalcRankKeyA,0),"")</f>
        <v/>
      </c>
      <c r="N250">
        <f>IFERROR(MATCH($C$5&amp;"|"&amp;RIGHT("000000"&amp;234,6),CalcRankKeyB,0),"")</f>
        <v/>
      </c>
    </row>
    <row r="251">
      <c r="A251" s="21" t="n">
        <v>235</v>
      </c>
      <c r="B251" s="22">
        <f>IF(AND($M251="",$N251=""),"",IF($M251&lt;&gt;"",INDEX(CalcDateA,$M251),INDEX(CalcDateB,$N251)))</f>
        <v/>
      </c>
      <c r="C251" s="22">
        <f>IF($M251&lt;&gt;"","خرید سبد",IF($N251&lt;&gt;"",IF(N(INDEX(CalcDepB,$N251))&gt;0,"دریافت بانکی","پرداخت بانکی"),""))</f>
        <v/>
      </c>
      <c r="D251" s="22">
        <f>IF($M251&lt;&gt;"",IF(INDEX(CalcDocA,$M251)="","—",INDEX(CalcDocA,$M251)),IF($N251&lt;&gt;"",INDEX(CalcBankB,$N251),""))</f>
        <v/>
      </c>
      <c r="E251" s="23">
        <f>IF($N251&lt;&gt;"",IF(INDEX(CalcDepB,$N251)=0,"",INDEX(CalcDepB,$N251)),"")</f>
        <v/>
      </c>
      <c r="F251" s="23">
        <f>IF($M251&lt;&gt;"",IF(INDEX(CalcQtyA,$M251)=0,"",INDEX(CalcQtyA,$M251)),"")</f>
        <v/>
      </c>
      <c r="G251" s="23">
        <f>IF($M251&lt;&gt;"",IF(INDEX(CalcPriceA,$M251)=0,"",INDEX(CalcPriceA,$M251)),"")</f>
        <v/>
      </c>
      <c r="H251" s="23">
        <f>IF($N251&lt;&gt;"",IF(INDEX(CalcWitB,$N251)=0,"",INDEX(CalcWitB,$N251)),"")</f>
        <v/>
      </c>
      <c r="I251" s="24">
        <f>IF($M251&lt;&gt;"",INDEX(CalcAmtA,$M251),"")</f>
        <v/>
      </c>
      <c r="J251" s="24">
        <f>IF($B251="","",IF($J250="",$C$8,$J250)+IF($I251="",0,$I251)+IF($E251="",0,$E251)-IF($H251="",0,$H251))</f>
        <v/>
      </c>
      <c r="K251" s="25">
        <f>IF($M251&lt;&gt;"",IF(INDEX(CalcNoteA,$M251)="","—",INDEX(CalcNoteA,$M251)),IF($N251&lt;&gt;"",IF(INDEX(CalcNoteB,$N251)="","—",INDEX(CalcNoteB,$N251)),""))</f>
        <v/>
      </c>
      <c r="M251">
        <f>IFERROR(MATCH($C$5&amp;"|"&amp;RIGHT("000000"&amp;235,6),CalcRankKeyA,0),"")</f>
        <v/>
      </c>
      <c r="N251">
        <f>IFERROR(MATCH($C$5&amp;"|"&amp;RIGHT("000000"&amp;235,6),CalcRankKeyB,0),"")</f>
        <v/>
      </c>
    </row>
    <row r="252">
      <c r="A252" s="26" t="n">
        <v>236</v>
      </c>
      <c r="B252" s="27">
        <f>IF(AND($M252="",$N252=""),"",IF($M252&lt;&gt;"",INDEX(CalcDateA,$M252),INDEX(CalcDateB,$N252)))</f>
        <v/>
      </c>
      <c r="C252" s="27">
        <f>IF($M252&lt;&gt;"","خرید سبد",IF($N252&lt;&gt;"",IF(N(INDEX(CalcDepB,$N252))&gt;0,"دریافت بانکی","پرداخت بانکی"),""))</f>
        <v/>
      </c>
      <c r="D252" s="27">
        <f>IF($M252&lt;&gt;"",IF(INDEX(CalcDocA,$M252)="","—",INDEX(CalcDocA,$M252)),IF($N252&lt;&gt;"",INDEX(CalcBankB,$N252),""))</f>
        <v/>
      </c>
      <c r="E252" s="28">
        <f>IF($N252&lt;&gt;"",IF(INDEX(CalcDepB,$N252)=0,"",INDEX(CalcDepB,$N252)),"")</f>
        <v/>
      </c>
      <c r="F252" s="28">
        <f>IF($M252&lt;&gt;"",IF(INDEX(CalcQtyA,$M252)=0,"",INDEX(CalcQtyA,$M252)),"")</f>
        <v/>
      </c>
      <c r="G252" s="28">
        <f>IF($M252&lt;&gt;"",IF(INDEX(CalcPriceA,$M252)=0,"",INDEX(CalcPriceA,$M252)),"")</f>
        <v/>
      </c>
      <c r="H252" s="28">
        <f>IF($N252&lt;&gt;"",IF(INDEX(CalcWitB,$N252)=0,"",INDEX(CalcWitB,$N252)),"")</f>
        <v/>
      </c>
      <c r="I252" s="29">
        <f>IF($M252&lt;&gt;"",INDEX(CalcAmtA,$M252),"")</f>
        <v/>
      </c>
      <c r="J252" s="29">
        <f>IF($B252="","",IF($J251="",$C$8,$J251)+IF($I252="",0,$I252)+IF($E252="",0,$E252)-IF($H252="",0,$H252))</f>
        <v/>
      </c>
      <c r="K252" s="30">
        <f>IF($M252&lt;&gt;"",IF(INDEX(CalcNoteA,$M252)="","—",INDEX(CalcNoteA,$M252)),IF($N252&lt;&gt;"",IF(INDEX(CalcNoteB,$N252)="","—",INDEX(CalcNoteB,$N252)),""))</f>
        <v/>
      </c>
      <c r="M252">
        <f>IFERROR(MATCH($C$5&amp;"|"&amp;RIGHT("000000"&amp;236,6),CalcRankKeyA,0),"")</f>
        <v/>
      </c>
      <c r="N252">
        <f>IFERROR(MATCH($C$5&amp;"|"&amp;RIGHT("000000"&amp;236,6),CalcRankKeyB,0),"")</f>
        <v/>
      </c>
    </row>
    <row r="253">
      <c r="A253" s="21" t="n">
        <v>237</v>
      </c>
      <c r="B253" s="22">
        <f>IF(AND($M253="",$N253=""),"",IF($M253&lt;&gt;"",INDEX(CalcDateA,$M253),INDEX(CalcDateB,$N253)))</f>
        <v/>
      </c>
      <c r="C253" s="22">
        <f>IF($M253&lt;&gt;"","خرید سبد",IF($N253&lt;&gt;"",IF(N(INDEX(CalcDepB,$N253))&gt;0,"دریافت بانکی","پرداخت بانکی"),""))</f>
        <v/>
      </c>
      <c r="D253" s="22">
        <f>IF($M253&lt;&gt;"",IF(INDEX(CalcDocA,$M253)="","—",INDEX(CalcDocA,$M253)),IF($N253&lt;&gt;"",INDEX(CalcBankB,$N253),""))</f>
        <v/>
      </c>
      <c r="E253" s="23">
        <f>IF($N253&lt;&gt;"",IF(INDEX(CalcDepB,$N253)=0,"",INDEX(CalcDepB,$N253)),"")</f>
        <v/>
      </c>
      <c r="F253" s="23">
        <f>IF($M253&lt;&gt;"",IF(INDEX(CalcQtyA,$M253)=0,"",INDEX(CalcQtyA,$M253)),"")</f>
        <v/>
      </c>
      <c r="G253" s="23">
        <f>IF($M253&lt;&gt;"",IF(INDEX(CalcPriceA,$M253)=0,"",INDEX(CalcPriceA,$M253)),"")</f>
        <v/>
      </c>
      <c r="H253" s="23">
        <f>IF($N253&lt;&gt;"",IF(INDEX(CalcWitB,$N253)=0,"",INDEX(CalcWitB,$N253)),"")</f>
        <v/>
      </c>
      <c r="I253" s="24">
        <f>IF($M253&lt;&gt;"",INDEX(CalcAmtA,$M253),"")</f>
        <v/>
      </c>
      <c r="J253" s="24">
        <f>IF($B253="","",IF($J252="",$C$8,$J252)+IF($I253="",0,$I253)+IF($E253="",0,$E253)-IF($H253="",0,$H253))</f>
        <v/>
      </c>
      <c r="K253" s="25">
        <f>IF($M253&lt;&gt;"",IF(INDEX(CalcNoteA,$M253)="","—",INDEX(CalcNoteA,$M253)),IF($N253&lt;&gt;"",IF(INDEX(CalcNoteB,$N253)="","—",INDEX(CalcNoteB,$N253)),""))</f>
        <v/>
      </c>
      <c r="M253">
        <f>IFERROR(MATCH($C$5&amp;"|"&amp;RIGHT("000000"&amp;237,6),CalcRankKeyA,0),"")</f>
        <v/>
      </c>
      <c r="N253">
        <f>IFERROR(MATCH($C$5&amp;"|"&amp;RIGHT("000000"&amp;237,6),CalcRankKeyB,0),"")</f>
        <v/>
      </c>
    </row>
    <row r="254">
      <c r="A254" s="26" t="n">
        <v>238</v>
      </c>
      <c r="B254" s="27">
        <f>IF(AND($M254="",$N254=""),"",IF($M254&lt;&gt;"",INDEX(CalcDateA,$M254),INDEX(CalcDateB,$N254)))</f>
        <v/>
      </c>
      <c r="C254" s="27">
        <f>IF($M254&lt;&gt;"","خرید سبد",IF($N254&lt;&gt;"",IF(N(INDEX(CalcDepB,$N254))&gt;0,"دریافت بانکی","پرداخت بانکی"),""))</f>
        <v/>
      </c>
      <c r="D254" s="27">
        <f>IF($M254&lt;&gt;"",IF(INDEX(CalcDocA,$M254)="","—",INDEX(CalcDocA,$M254)),IF($N254&lt;&gt;"",INDEX(CalcBankB,$N254),""))</f>
        <v/>
      </c>
      <c r="E254" s="28">
        <f>IF($N254&lt;&gt;"",IF(INDEX(CalcDepB,$N254)=0,"",INDEX(CalcDepB,$N254)),"")</f>
        <v/>
      </c>
      <c r="F254" s="28">
        <f>IF($M254&lt;&gt;"",IF(INDEX(CalcQtyA,$M254)=0,"",INDEX(CalcQtyA,$M254)),"")</f>
        <v/>
      </c>
      <c r="G254" s="28">
        <f>IF($M254&lt;&gt;"",IF(INDEX(CalcPriceA,$M254)=0,"",INDEX(CalcPriceA,$M254)),"")</f>
        <v/>
      </c>
      <c r="H254" s="28">
        <f>IF($N254&lt;&gt;"",IF(INDEX(CalcWitB,$N254)=0,"",INDEX(CalcWitB,$N254)),"")</f>
        <v/>
      </c>
      <c r="I254" s="29">
        <f>IF($M254&lt;&gt;"",INDEX(CalcAmtA,$M254),"")</f>
        <v/>
      </c>
      <c r="J254" s="29">
        <f>IF($B254="","",IF($J253="",$C$8,$J253)+IF($I254="",0,$I254)+IF($E254="",0,$E254)-IF($H254="",0,$H254))</f>
        <v/>
      </c>
      <c r="K254" s="30">
        <f>IF($M254&lt;&gt;"",IF(INDEX(CalcNoteA,$M254)="","—",INDEX(CalcNoteA,$M254)),IF($N254&lt;&gt;"",IF(INDEX(CalcNoteB,$N254)="","—",INDEX(CalcNoteB,$N254)),""))</f>
        <v/>
      </c>
      <c r="M254">
        <f>IFERROR(MATCH($C$5&amp;"|"&amp;RIGHT("000000"&amp;238,6),CalcRankKeyA,0),"")</f>
        <v/>
      </c>
      <c r="N254">
        <f>IFERROR(MATCH($C$5&amp;"|"&amp;RIGHT("000000"&amp;238,6),CalcRankKeyB,0),"")</f>
        <v/>
      </c>
    </row>
    <row r="255">
      <c r="A255" s="21" t="n">
        <v>239</v>
      </c>
      <c r="B255" s="22">
        <f>IF(AND($M255="",$N255=""),"",IF($M255&lt;&gt;"",INDEX(CalcDateA,$M255),INDEX(CalcDateB,$N255)))</f>
        <v/>
      </c>
      <c r="C255" s="22">
        <f>IF($M255&lt;&gt;"","خرید سبد",IF($N255&lt;&gt;"",IF(N(INDEX(CalcDepB,$N255))&gt;0,"دریافت بانکی","پرداخت بانکی"),""))</f>
        <v/>
      </c>
      <c r="D255" s="22">
        <f>IF($M255&lt;&gt;"",IF(INDEX(CalcDocA,$M255)="","—",INDEX(CalcDocA,$M255)),IF($N255&lt;&gt;"",INDEX(CalcBankB,$N255),""))</f>
        <v/>
      </c>
      <c r="E255" s="23">
        <f>IF($N255&lt;&gt;"",IF(INDEX(CalcDepB,$N255)=0,"",INDEX(CalcDepB,$N255)),"")</f>
        <v/>
      </c>
      <c r="F255" s="23">
        <f>IF($M255&lt;&gt;"",IF(INDEX(CalcQtyA,$M255)=0,"",INDEX(CalcQtyA,$M255)),"")</f>
        <v/>
      </c>
      <c r="G255" s="23">
        <f>IF($M255&lt;&gt;"",IF(INDEX(CalcPriceA,$M255)=0,"",INDEX(CalcPriceA,$M255)),"")</f>
        <v/>
      </c>
      <c r="H255" s="23">
        <f>IF($N255&lt;&gt;"",IF(INDEX(CalcWitB,$N255)=0,"",INDEX(CalcWitB,$N255)),"")</f>
        <v/>
      </c>
      <c r="I255" s="24">
        <f>IF($M255&lt;&gt;"",INDEX(CalcAmtA,$M255),"")</f>
        <v/>
      </c>
      <c r="J255" s="24">
        <f>IF($B255="","",IF($J254="",$C$8,$J254)+IF($I255="",0,$I255)+IF($E255="",0,$E255)-IF($H255="",0,$H255))</f>
        <v/>
      </c>
      <c r="K255" s="25">
        <f>IF($M255&lt;&gt;"",IF(INDEX(CalcNoteA,$M255)="","—",INDEX(CalcNoteA,$M255)),IF($N255&lt;&gt;"",IF(INDEX(CalcNoteB,$N255)="","—",INDEX(CalcNoteB,$N255)),""))</f>
        <v/>
      </c>
      <c r="M255">
        <f>IFERROR(MATCH($C$5&amp;"|"&amp;RIGHT("000000"&amp;239,6),CalcRankKeyA,0),"")</f>
        <v/>
      </c>
      <c r="N255">
        <f>IFERROR(MATCH($C$5&amp;"|"&amp;RIGHT("000000"&amp;239,6),CalcRankKeyB,0),"")</f>
        <v/>
      </c>
    </row>
    <row r="256">
      <c r="A256" s="26" t="n">
        <v>240</v>
      </c>
      <c r="B256" s="27">
        <f>IF(AND($M256="",$N256=""),"",IF($M256&lt;&gt;"",INDEX(CalcDateA,$M256),INDEX(CalcDateB,$N256)))</f>
        <v/>
      </c>
      <c r="C256" s="27">
        <f>IF($M256&lt;&gt;"","خرید سبد",IF($N256&lt;&gt;"",IF(N(INDEX(CalcDepB,$N256))&gt;0,"دریافت بانکی","پرداخت بانکی"),""))</f>
        <v/>
      </c>
      <c r="D256" s="27">
        <f>IF($M256&lt;&gt;"",IF(INDEX(CalcDocA,$M256)="","—",INDEX(CalcDocA,$M256)),IF($N256&lt;&gt;"",INDEX(CalcBankB,$N256),""))</f>
        <v/>
      </c>
      <c r="E256" s="28">
        <f>IF($N256&lt;&gt;"",IF(INDEX(CalcDepB,$N256)=0,"",INDEX(CalcDepB,$N256)),"")</f>
        <v/>
      </c>
      <c r="F256" s="28">
        <f>IF($M256&lt;&gt;"",IF(INDEX(CalcQtyA,$M256)=0,"",INDEX(CalcQtyA,$M256)),"")</f>
        <v/>
      </c>
      <c r="G256" s="28">
        <f>IF($M256&lt;&gt;"",IF(INDEX(CalcPriceA,$M256)=0,"",INDEX(CalcPriceA,$M256)),"")</f>
        <v/>
      </c>
      <c r="H256" s="28">
        <f>IF($N256&lt;&gt;"",IF(INDEX(CalcWitB,$N256)=0,"",INDEX(CalcWitB,$N256)),"")</f>
        <v/>
      </c>
      <c r="I256" s="29">
        <f>IF($M256&lt;&gt;"",INDEX(CalcAmtA,$M256),"")</f>
        <v/>
      </c>
      <c r="J256" s="29">
        <f>IF($B256="","",IF($J255="",$C$8,$J255)+IF($I256="",0,$I256)+IF($E256="",0,$E256)-IF($H256="",0,$H256))</f>
        <v/>
      </c>
      <c r="K256" s="30">
        <f>IF($M256&lt;&gt;"",IF(INDEX(CalcNoteA,$M256)="","—",INDEX(CalcNoteA,$M256)),IF($N256&lt;&gt;"",IF(INDEX(CalcNoteB,$N256)="","—",INDEX(CalcNoteB,$N256)),""))</f>
        <v/>
      </c>
      <c r="M256">
        <f>IFERROR(MATCH($C$5&amp;"|"&amp;RIGHT("000000"&amp;240,6),CalcRankKeyA,0),"")</f>
        <v/>
      </c>
      <c r="N256">
        <f>IFERROR(MATCH($C$5&amp;"|"&amp;RIGHT("000000"&amp;240,6),CalcRankKeyB,0),"")</f>
        <v/>
      </c>
    </row>
    <row r="257">
      <c r="A257" s="21" t="n">
        <v>241</v>
      </c>
      <c r="B257" s="22">
        <f>IF(AND($M257="",$N257=""),"",IF($M257&lt;&gt;"",INDEX(CalcDateA,$M257),INDEX(CalcDateB,$N257)))</f>
        <v/>
      </c>
      <c r="C257" s="22">
        <f>IF($M257&lt;&gt;"","خرید سبد",IF($N257&lt;&gt;"",IF(N(INDEX(CalcDepB,$N257))&gt;0,"دریافت بانکی","پرداخت بانکی"),""))</f>
        <v/>
      </c>
      <c r="D257" s="22">
        <f>IF($M257&lt;&gt;"",IF(INDEX(CalcDocA,$M257)="","—",INDEX(CalcDocA,$M257)),IF($N257&lt;&gt;"",INDEX(CalcBankB,$N257),""))</f>
        <v/>
      </c>
      <c r="E257" s="23">
        <f>IF($N257&lt;&gt;"",IF(INDEX(CalcDepB,$N257)=0,"",INDEX(CalcDepB,$N257)),"")</f>
        <v/>
      </c>
      <c r="F257" s="23">
        <f>IF($M257&lt;&gt;"",IF(INDEX(CalcQtyA,$M257)=0,"",INDEX(CalcQtyA,$M257)),"")</f>
        <v/>
      </c>
      <c r="G257" s="23">
        <f>IF($M257&lt;&gt;"",IF(INDEX(CalcPriceA,$M257)=0,"",INDEX(CalcPriceA,$M257)),"")</f>
        <v/>
      </c>
      <c r="H257" s="23">
        <f>IF($N257&lt;&gt;"",IF(INDEX(CalcWitB,$N257)=0,"",INDEX(CalcWitB,$N257)),"")</f>
        <v/>
      </c>
      <c r="I257" s="24">
        <f>IF($M257&lt;&gt;"",INDEX(CalcAmtA,$M257),"")</f>
        <v/>
      </c>
      <c r="J257" s="24">
        <f>IF($B257="","",IF($J256="",$C$8,$J256)+IF($I257="",0,$I257)+IF($E257="",0,$E257)-IF($H257="",0,$H257))</f>
        <v/>
      </c>
      <c r="K257" s="25">
        <f>IF($M257&lt;&gt;"",IF(INDEX(CalcNoteA,$M257)="","—",INDEX(CalcNoteA,$M257)),IF($N257&lt;&gt;"",IF(INDEX(CalcNoteB,$N257)="","—",INDEX(CalcNoteB,$N257)),""))</f>
        <v/>
      </c>
      <c r="M257">
        <f>IFERROR(MATCH($C$5&amp;"|"&amp;RIGHT("000000"&amp;241,6),CalcRankKeyA,0),"")</f>
        <v/>
      </c>
      <c r="N257">
        <f>IFERROR(MATCH($C$5&amp;"|"&amp;RIGHT("000000"&amp;241,6),CalcRankKeyB,0),"")</f>
        <v/>
      </c>
    </row>
    <row r="258">
      <c r="A258" s="26" t="n">
        <v>242</v>
      </c>
      <c r="B258" s="27">
        <f>IF(AND($M258="",$N258=""),"",IF($M258&lt;&gt;"",INDEX(CalcDateA,$M258),INDEX(CalcDateB,$N258)))</f>
        <v/>
      </c>
      <c r="C258" s="27">
        <f>IF($M258&lt;&gt;"","خرید سبد",IF($N258&lt;&gt;"",IF(N(INDEX(CalcDepB,$N258))&gt;0,"دریافت بانکی","پرداخت بانکی"),""))</f>
        <v/>
      </c>
      <c r="D258" s="27">
        <f>IF($M258&lt;&gt;"",IF(INDEX(CalcDocA,$M258)="","—",INDEX(CalcDocA,$M258)),IF($N258&lt;&gt;"",INDEX(CalcBankB,$N258),""))</f>
        <v/>
      </c>
      <c r="E258" s="28">
        <f>IF($N258&lt;&gt;"",IF(INDEX(CalcDepB,$N258)=0,"",INDEX(CalcDepB,$N258)),"")</f>
        <v/>
      </c>
      <c r="F258" s="28">
        <f>IF($M258&lt;&gt;"",IF(INDEX(CalcQtyA,$M258)=0,"",INDEX(CalcQtyA,$M258)),"")</f>
        <v/>
      </c>
      <c r="G258" s="28">
        <f>IF($M258&lt;&gt;"",IF(INDEX(CalcPriceA,$M258)=0,"",INDEX(CalcPriceA,$M258)),"")</f>
        <v/>
      </c>
      <c r="H258" s="28">
        <f>IF($N258&lt;&gt;"",IF(INDEX(CalcWitB,$N258)=0,"",INDEX(CalcWitB,$N258)),"")</f>
        <v/>
      </c>
      <c r="I258" s="29">
        <f>IF($M258&lt;&gt;"",INDEX(CalcAmtA,$M258),"")</f>
        <v/>
      </c>
      <c r="J258" s="29">
        <f>IF($B258="","",IF($J257="",$C$8,$J257)+IF($I258="",0,$I258)+IF($E258="",0,$E258)-IF($H258="",0,$H258))</f>
        <v/>
      </c>
      <c r="K258" s="30">
        <f>IF($M258&lt;&gt;"",IF(INDEX(CalcNoteA,$M258)="","—",INDEX(CalcNoteA,$M258)),IF($N258&lt;&gt;"",IF(INDEX(CalcNoteB,$N258)="","—",INDEX(CalcNoteB,$N258)),""))</f>
        <v/>
      </c>
      <c r="M258">
        <f>IFERROR(MATCH($C$5&amp;"|"&amp;RIGHT("000000"&amp;242,6),CalcRankKeyA,0),"")</f>
        <v/>
      </c>
      <c r="N258">
        <f>IFERROR(MATCH($C$5&amp;"|"&amp;RIGHT("000000"&amp;242,6),CalcRankKeyB,0),"")</f>
        <v/>
      </c>
    </row>
    <row r="259">
      <c r="A259" s="21" t="n">
        <v>243</v>
      </c>
      <c r="B259" s="22">
        <f>IF(AND($M259="",$N259=""),"",IF($M259&lt;&gt;"",INDEX(CalcDateA,$M259),INDEX(CalcDateB,$N259)))</f>
        <v/>
      </c>
      <c r="C259" s="22">
        <f>IF($M259&lt;&gt;"","خرید سبد",IF($N259&lt;&gt;"",IF(N(INDEX(CalcDepB,$N259))&gt;0,"دریافت بانکی","پرداخت بانکی"),""))</f>
        <v/>
      </c>
      <c r="D259" s="22">
        <f>IF($M259&lt;&gt;"",IF(INDEX(CalcDocA,$M259)="","—",INDEX(CalcDocA,$M259)),IF($N259&lt;&gt;"",INDEX(CalcBankB,$N259),""))</f>
        <v/>
      </c>
      <c r="E259" s="23">
        <f>IF($N259&lt;&gt;"",IF(INDEX(CalcDepB,$N259)=0,"",INDEX(CalcDepB,$N259)),"")</f>
        <v/>
      </c>
      <c r="F259" s="23">
        <f>IF($M259&lt;&gt;"",IF(INDEX(CalcQtyA,$M259)=0,"",INDEX(CalcQtyA,$M259)),"")</f>
        <v/>
      </c>
      <c r="G259" s="23">
        <f>IF($M259&lt;&gt;"",IF(INDEX(CalcPriceA,$M259)=0,"",INDEX(CalcPriceA,$M259)),"")</f>
        <v/>
      </c>
      <c r="H259" s="23">
        <f>IF($N259&lt;&gt;"",IF(INDEX(CalcWitB,$N259)=0,"",INDEX(CalcWitB,$N259)),"")</f>
        <v/>
      </c>
      <c r="I259" s="24">
        <f>IF($M259&lt;&gt;"",INDEX(CalcAmtA,$M259),"")</f>
        <v/>
      </c>
      <c r="J259" s="24">
        <f>IF($B259="","",IF($J258="",$C$8,$J258)+IF($I259="",0,$I259)+IF($E259="",0,$E259)-IF($H259="",0,$H259))</f>
        <v/>
      </c>
      <c r="K259" s="25">
        <f>IF($M259&lt;&gt;"",IF(INDEX(CalcNoteA,$M259)="","—",INDEX(CalcNoteA,$M259)),IF($N259&lt;&gt;"",IF(INDEX(CalcNoteB,$N259)="","—",INDEX(CalcNoteB,$N259)),""))</f>
        <v/>
      </c>
      <c r="M259">
        <f>IFERROR(MATCH($C$5&amp;"|"&amp;RIGHT("000000"&amp;243,6),CalcRankKeyA,0),"")</f>
        <v/>
      </c>
      <c r="N259">
        <f>IFERROR(MATCH($C$5&amp;"|"&amp;RIGHT("000000"&amp;243,6),CalcRankKeyB,0),"")</f>
        <v/>
      </c>
    </row>
    <row r="260">
      <c r="A260" s="26" t="n">
        <v>244</v>
      </c>
      <c r="B260" s="27">
        <f>IF(AND($M260="",$N260=""),"",IF($M260&lt;&gt;"",INDEX(CalcDateA,$M260),INDEX(CalcDateB,$N260)))</f>
        <v/>
      </c>
      <c r="C260" s="27">
        <f>IF($M260&lt;&gt;"","خرید سبد",IF($N260&lt;&gt;"",IF(N(INDEX(CalcDepB,$N260))&gt;0,"دریافت بانکی","پرداخت بانکی"),""))</f>
        <v/>
      </c>
      <c r="D260" s="27">
        <f>IF($M260&lt;&gt;"",IF(INDEX(CalcDocA,$M260)="","—",INDEX(CalcDocA,$M260)),IF($N260&lt;&gt;"",INDEX(CalcBankB,$N260),""))</f>
        <v/>
      </c>
      <c r="E260" s="28">
        <f>IF($N260&lt;&gt;"",IF(INDEX(CalcDepB,$N260)=0,"",INDEX(CalcDepB,$N260)),"")</f>
        <v/>
      </c>
      <c r="F260" s="28">
        <f>IF($M260&lt;&gt;"",IF(INDEX(CalcQtyA,$M260)=0,"",INDEX(CalcQtyA,$M260)),"")</f>
        <v/>
      </c>
      <c r="G260" s="28">
        <f>IF($M260&lt;&gt;"",IF(INDEX(CalcPriceA,$M260)=0,"",INDEX(CalcPriceA,$M260)),"")</f>
        <v/>
      </c>
      <c r="H260" s="28">
        <f>IF($N260&lt;&gt;"",IF(INDEX(CalcWitB,$N260)=0,"",INDEX(CalcWitB,$N260)),"")</f>
        <v/>
      </c>
      <c r="I260" s="29">
        <f>IF($M260&lt;&gt;"",INDEX(CalcAmtA,$M260),"")</f>
        <v/>
      </c>
      <c r="J260" s="29">
        <f>IF($B260="","",IF($J259="",$C$8,$J259)+IF($I260="",0,$I260)+IF($E260="",0,$E260)-IF($H260="",0,$H260))</f>
        <v/>
      </c>
      <c r="K260" s="30">
        <f>IF($M260&lt;&gt;"",IF(INDEX(CalcNoteA,$M260)="","—",INDEX(CalcNoteA,$M260)),IF($N260&lt;&gt;"",IF(INDEX(CalcNoteB,$N260)="","—",INDEX(CalcNoteB,$N260)),""))</f>
        <v/>
      </c>
      <c r="M260">
        <f>IFERROR(MATCH($C$5&amp;"|"&amp;RIGHT("000000"&amp;244,6),CalcRankKeyA,0),"")</f>
        <v/>
      </c>
      <c r="N260">
        <f>IFERROR(MATCH($C$5&amp;"|"&amp;RIGHT("000000"&amp;244,6),CalcRankKeyB,0),"")</f>
        <v/>
      </c>
    </row>
    <row r="261">
      <c r="A261" s="21" t="n">
        <v>245</v>
      </c>
      <c r="B261" s="22">
        <f>IF(AND($M261="",$N261=""),"",IF($M261&lt;&gt;"",INDEX(CalcDateA,$M261),INDEX(CalcDateB,$N261)))</f>
        <v/>
      </c>
      <c r="C261" s="22">
        <f>IF($M261&lt;&gt;"","خرید سبد",IF($N261&lt;&gt;"",IF(N(INDEX(CalcDepB,$N261))&gt;0,"دریافت بانکی","پرداخت بانکی"),""))</f>
        <v/>
      </c>
      <c r="D261" s="22">
        <f>IF($M261&lt;&gt;"",IF(INDEX(CalcDocA,$M261)="","—",INDEX(CalcDocA,$M261)),IF($N261&lt;&gt;"",INDEX(CalcBankB,$N261),""))</f>
        <v/>
      </c>
      <c r="E261" s="23">
        <f>IF($N261&lt;&gt;"",IF(INDEX(CalcDepB,$N261)=0,"",INDEX(CalcDepB,$N261)),"")</f>
        <v/>
      </c>
      <c r="F261" s="23">
        <f>IF($M261&lt;&gt;"",IF(INDEX(CalcQtyA,$M261)=0,"",INDEX(CalcQtyA,$M261)),"")</f>
        <v/>
      </c>
      <c r="G261" s="23">
        <f>IF($M261&lt;&gt;"",IF(INDEX(CalcPriceA,$M261)=0,"",INDEX(CalcPriceA,$M261)),"")</f>
        <v/>
      </c>
      <c r="H261" s="23">
        <f>IF($N261&lt;&gt;"",IF(INDEX(CalcWitB,$N261)=0,"",INDEX(CalcWitB,$N261)),"")</f>
        <v/>
      </c>
      <c r="I261" s="24">
        <f>IF($M261&lt;&gt;"",INDEX(CalcAmtA,$M261),"")</f>
        <v/>
      </c>
      <c r="J261" s="24">
        <f>IF($B261="","",IF($J260="",$C$8,$J260)+IF($I261="",0,$I261)+IF($E261="",0,$E261)-IF($H261="",0,$H261))</f>
        <v/>
      </c>
      <c r="K261" s="25">
        <f>IF($M261&lt;&gt;"",IF(INDEX(CalcNoteA,$M261)="","—",INDEX(CalcNoteA,$M261)),IF($N261&lt;&gt;"",IF(INDEX(CalcNoteB,$N261)="","—",INDEX(CalcNoteB,$N261)),""))</f>
        <v/>
      </c>
      <c r="M261">
        <f>IFERROR(MATCH($C$5&amp;"|"&amp;RIGHT("000000"&amp;245,6),CalcRankKeyA,0),"")</f>
        <v/>
      </c>
      <c r="N261">
        <f>IFERROR(MATCH($C$5&amp;"|"&amp;RIGHT("000000"&amp;245,6),CalcRankKeyB,0),"")</f>
        <v/>
      </c>
    </row>
    <row r="262">
      <c r="A262" s="26" t="n">
        <v>246</v>
      </c>
      <c r="B262" s="27">
        <f>IF(AND($M262="",$N262=""),"",IF($M262&lt;&gt;"",INDEX(CalcDateA,$M262),INDEX(CalcDateB,$N262)))</f>
        <v/>
      </c>
      <c r="C262" s="27">
        <f>IF($M262&lt;&gt;"","خرید سبد",IF($N262&lt;&gt;"",IF(N(INDEX(CalcDepB,$N262))&gt;0,"دریافت بانکی","پرداخت بانکی"),""))</f>
        <v/>
      </c>
      <c r="D262" s="27">
        <f>IF($M262&lt;&gt;"",IF(INDEX(CalcDocA,$M262)="","—",INDEX(CalcDocA,$M262)),IF($N262&lt;&gt;"",INDEX(CalcBankB,$N262),""))</f>
        <v/>
      </c>
      <c r="E262" s="28">
        <f>IF($N262&lt;&gt;"",IF(INDEX(CalcDepB,$N262)=0,"",INDEX(CalcDepB,$N262)),"")</f>
        <v/>
      </c>
      <c r="F262" s="28">
        <f>IF($M262&lt;&gt;"",IF(INDEX(CalcQtyA,$M262)=0,"",INDEX(CalcQtyA,$M262)),"")</f>
        <v/>
      </c>
      <c r="G262" s="28">
        <f>IF($M262&lt;&gt;"",IF(INDEX(CalcPriceA,$M262)=0,"",INDEX(CalcPriceA,$M262)),"")</f>
        <v/>
      </c>
      <c r="H262" s="28">
        <f>IF($N262&lt;&gt;"",IF(INDEX(CalcWitB,$N262)=0,"",INDEX(CalcWitB,$N262)),"")</f>
        <v/>
      </c>
      <c r="I262" s="29">
        <f>IF($M262&lt;&gt;"",INDEX(CalcAmtA,$M262),"")</f>
        <v/>
      </c>
      <c r="J262" s="29">
        <f>IF($B262="","",IF($J261="",$C$8,$J261)+IF($I262="",0,$I262)+IF($E262="",0,$E262)-IF($H262="",0,$H262))</f>
        <v/>
      </c>
      <c r="K262" s="30">
        <f>IF($M262&lt;&gt;"",IF(INDEX(CalcNoteA,$M262)="","—",INDEX(CalcNoteA,$M262)),IF($N262&lt;&gt;"",IF(INDEX(CalcNoteB,$N262)="","—",INDEX(CalcNoteB,$N262)),""))</f>
        <v/>
      </c>
      <c r="M262">
        <f>IFERROR(MATCH($C$5&amp;"|"&amp;RIGHT("000000"&amp;246,6),CalcRankKeyA,0),"")</f>
        <v/>
      </c>
      <c r="N262">
        <f>IFERROR(MATCH($C$5&amp;"|"&amp;RIGHT("000000"&amp;246,6),CalcRankKeyB,0),"")</f>
        <v/>
      </c>
    </row>
    <row r="263">
      <c r="A263" s="21" t="n">
        <v>247</v>
      </c>
      <c r="B263" s="22">
        <f>IF(AND($M263="",$N263=""),"",IF($M263&lt;&gt;"",INDEX(CalcDateA,$M263),INDEX(CalcDateB,$N263)))</f>
        <v/>
      </c>
      <c r="C263" s="22">
        <f>IF($M263&lt;&gt;"","خرید سبد",IF($N263&lt;&gt;"",IF(N(INDEX(CalcDepB,$N263))&gt;0,"دریافت بانکی","پرداخت بانکی"),""))</f>
        <v/>
      </c>
      <c r="D263" s="22">
        <f>IF($M263&lt;&gt;"",IF(INDEX(CalcDocA,$M263)="","—",INDEX(CalcDocA,$M263)),IF($N263&lt;&gt;"",INDEX(CalcBankB,$N263),""))</f>
        <v/>
      </c>
      <c r="E263" s="23">
        <f>IF($N263&lt;&gt;"",IF(INDEX(CalcDepB,$N263)=0,"",INDEX(CalcDepB,$N263)),"")</f>
        <v/>
      </c>
      <c r="F263" s="23">
        <f>IF($M263&lt;&gt;"",IF(INDEX(CalcQtyA,$M263)=0,"",INDEX(CalcQtyA,$M263)),"")</f>
        <v/>
      </c>
      <c r="G263" s="23">
        <f>IF($M263&lt;&gt;"",IF(INDEX(CalcPriceA,$M263)=0,"",INDEX(CalcPriceA,$M263)),"")</f>
        <v/>
      </c>
      <c r="H263" s="23">
        <f>IF($N263&lt;&gt;"",IF(INDEX(CalcWitB,$N263)=0,"",INDEX(CalcWitB,$N263)),"")</f>
        <v/>
      </c>
      <c r="I263" s="24">
        <f>IF($M263&lt;&gt;"",INDEX(CalcAmtA,$M263),"")</f>
        <v/>
      </c>
      <c r="J263" s="24">
        <f>IF($B263="","",IF($J262="",$C$8,$J262)+IF($I263="",0,$I263)+IF($E263="",0,$E263)-IF($H263="",0,$H263))</f>
        <v/>
      </c>
      <c r="K263" s="25">
        <f>IF($M263&lt;&gt;"",IF(INDEX(CalcNoteA,$M263)="","—",INDEX(CalcNoteA,$M263)),IF($N263&lt;&gt;"",IF(INDEX(CalcNoteB,$N263)="","—",INDEX(CalcNoteB,$N263)),""))</f>
        <v/>
      </c>
      <c r="M263">
        <f>IFERROR(MATCH($C$5&amp;"|"&amp;RIGHT("000000"&amp;247,6),CalcRankKeyA,0),"")</f>
        <v/>
      </c>
      <c r="N263">
        <f>IFERROR(MATCH($C$5&amp;"|"&amp;RIGHT("000000"&amp;247,6),CalcRankKeyB,0),"")</f>
        <v/>
      </c>
    </row>
    <row r="264">
      <c r="A264" s="26" t="n">
        <v>248</v>
      </c>
      <c r="B264" s="27">
        <f>IF(AND($M264="",$N264=""),"",IF($M264&lt;&gt;"",INDEX(CalcDateA,$M264),INDEX(CalcDateB,$N264)))</f>
        <v/>
      </c>
      <c r="C264" s="27">
        <f>IF($M264&lt;&gt;"","خرید سبد",IF($N264&lt;&gt;"",IF(N(INDEX(CalcDepB,$N264))&gt;0,"دریافت بانکی","پرداخت بانکی"),""))</f>
        <v/>
      </c>
      <c r="D264" s="27">
        <f>IF($M264&lt;&gt;"",IF(INDEX(CalcDocA,$M264)="","—",INDEX(CalcDocA,$M264)),IF($N264&lt;&gt;"",INDEX(CalcBankB,$N264),""))</f>
        <v/>
      </c>
      <c r="E264" s="28">
        <f>IF($N264&lt;&gt;"",IF(INDEX(CalcDepB,$N264)=0,"",INDEX(CalcDepB,$N264)),"")</f>
        <v/>
      </c>
      <c r="F264" s="28">
        <f>IF($M264&lt;&gt;"",IF(INDEX(CalcQtyA,$M264)=0,"",INDEX(CalcQtyA,$M264)),"")</f>
        <v/>
      </c>
      <c r="G264" s="28">
        <f>IF($M264&lt;&gt;"",IF(INDEX(CalcPriceA,$M264)=0,"",INDEX(CalcPriceA,$M264)),"")</f>
        <v/>
      </c>
      <c r="H264" s="28">
        <f>IF($N264&lt;&gt;"",IF(INDEX(CalcWitB,$N264)=0,"",INDEX(CalcWitB,$N264)),"")</f>
        <v/>
      </c>
      <c r="I264" s="29">
        <f>IF($M264&lt;&gt;"",INDEX(CalcAmtA,$M264),"")</f>
        <v/>
      </c>
      <c r="J264" s="29">
        <f>IF($B264="","",IF($J263="",$C$8,$J263)+IF($I264="",0,$I264)+IF($E264="",0,$E264)-IF($H264="",0,$H264))</f>
        <v/>
      </c>
      <c r="K264" s="30">
        <f>IF($M264&lt;&gt;"",IF(INDEX(CalcNoteA,$M264)="","—",INDEX(CalcNoteA,$M264)),IF($N264&lt;&gt;"",IF(INDEX(CalcNoteB,$N264)="","—",INDEX(CalcNoteB,$N264)),""))</f>
        <v/>
      </c>
      <c r="M264">
        <f>IFERROR(MATCH($C$5&amp;"|"&amp;RIGHT("000000"&amp;248,6),CalcRankKeyA,0),"")</f>
        <v/>
      </c>
      <c r="N264">
        <f>IFERROR(MATCH($C$5&amp;"|"&amp;RIGHT("000000"&amp;248,6),CalcRankKeyB,0),"")</f>
        <v/>
      </c>
    </row>
    <row r="265">
      <c r="A265" s="21" t="n">
        <v>249</v>
      </c>
      <c r="B265" s="22">
        <f>IF(AND($M265="",$N265=""),"",IF($M265&lt;&gt;"",INDEX(CalcDateA,$M265),INDEX(CalcDateB,$N265)))</f>
        <v/>
      </c>
      <c r="C265" s="22">
        <f>IF($M265&lt;&gt;"","خرید سبد",IF($N265&lt;&gt;"",IF(N(INDEX(CalcDepB,$N265))&gt;0,"دریافت بانکی","پرداخت بانکی"),""))</f>
        <v/>
      </c>
      <c r="D265" s="22">
        <f>IF($M265&lt;&gt;"",IF(INDEX(CalcDocA,$M265)="","—",INDEX(CalcDocA,$M265)),IF($N265&lt;&gt;"",INDEX(CalcBankB,$N265),""))</f>
        <v/>
      </c>
      <c r="E265" s="23">
        <f>IF($N265&lt;&gt;"",IF(INDEX(CalcDepB,$N265)=0,"",INDEX(CalcDepB,$N265)),"")</f>
        <v/>
      </c>
      <c r="F265" s="23">
        <f>IF($M265&lt;&gt;"",IF(INDEX(CalcQtyA,$M265)=0,"",INDEX(CalcQtyA,$M265)),"")</f>
        <v/>
      </c>
      <c r="G265" s="23">
        <f>IF($M265&lt;&gt;"",IF(INDEX(CalcPriceA,$M265)=0,"",INDEX(CalcPriceA,$M265)),"")</f>
        <v/>
      </c>
      <c r="H265" s="23">
        <f>IF($N265&lt;&gt;"",IF(INDEX(CalcWitB,$N265)=0,"",INDEX(CalcWitB,$N265)),"")</f>
        <v/>
      </c>
      <c r="I265" s="24">
        <f>IF($M265&lt;&gt;"",INDEX(CalcAmtA,$M265),"")</f>
        <v/>
      </c>
      <c r="J265" s="24">
        <f>IF($B265="","",IF($J264="",$C$8,$J264)+IF($I265="",0,$I265)+IF($E265="",0,$E265)-IF($H265="",0,$H265))</f>
        <v/>
      </c>
      <c r="K265" s="25">
        <f>IF($M265&lt;&gt;"",IF(INDEX(CalcNoteA,$M265)="","—",INDEX(CalcNoteA,$M265)),IF($N265&lt;&gt;"",IF(INDEX(CalcNoteB,$N265)="","—",INDEX(CalcNoteB,$N265)),""))</f>
        <v/>
      </c>
      <c r="M265">
        <f>IFERROR(MATCH($C$5&amp;"|"&amp;RIGHT("000000"&amp;249,6),CalcRankKeyA,0),"")</f>
        <v/>
      </c>
      <c r="N265">
        <f>IFERROR(MATCH($C$5&amp;"|"&amp;RIGHT("000000"&amp;249,6),CalcRankKeyB,0),"")</f>
        <v/>
      </c>
    </row>
    <row r="266">
      <c r="A266" s="26" t="n">
        <v>250</v>
      </c>
      <c r="B266" s="27">
        <f>IF(AND($M266="",$N266=""),"",IF($M266&lt;&gt;"",INDEX(CalcDateA,$M266),INDEX(CalcDateB,$N266)))</f>
        <v/>
      </c>
      <c r="C266" s="27">
        <f>IF($M266&lt;&gt;"","خرید سبد",IF($N266&lt;&gt;"",IF(N(INDEX(CalcDepB,$N266))&gt;0,"دریافت بانکی","پرداخت بانکی"),""))</f>
        <v/>
      </c>
      <c r="D266" s="27">
        <f>IF($M266&lt;&gt;"",IF(INDEX(CalcDocA,$M266)="","—",INDEX(CalcDocA,$M266)),IF($N266&lt;&gt;"",INDEX(CalcBankB,$N266),""))</f>
        <v/>
      </c>
      <c r="E266" s="28">
        <f>IF($N266&lt;&gt;"",IF(INDEX(CalcDepB,$N266)=0,"",INDEX(CalcDepB,$N266)),"")</f>
        <v/>
      </c>
      <c r="F266" s="28">
        <f>IF($M266&lt;&gt;"",IF(INDEX(CalcQtyA,$M266)=0,"",INDEX(CalcQtyA,$M266)),"")</f>
        <v/>
      </c>
      <c r="G266" s="28">
        <f>IF($M266&lt;&gt;"",IF(INDEX(CalcPriceA,$M266)=0,"",INDEX(CalcPriceA,$M266)),"")</f>
        <v/>
      </c>
      <c r="H266" s="28">
        <f>IF($N266&lt;&gt;"",IF(INDEX(CalcWitB,$N266)=0,"",INDEX(CalcWitB,$N266)),"")</f>
        <v/>
      </c>
      <c r="I266" s="29">
        <f>IF($M266&lt;&gt;"",INDEX(CalcAmtA,$M266),"")</f>
        <v/>
      </c>
      <c r="J266" s="29">
        <f>IF($B266="","",IF($J265="",$C$8,$J265)+IF($I266="",0,$I266)+IF($E266="",0,$E266)-IF($H266="",0,$H266))</f>
        <v/>
      </c>
      <c r="K266" s="30">
        <f>IF($M266&lt;&gt;"",IF(INDEX(CalcNoteA,$M266)="","—",INDEX(CalcNoteA,$M266)),IF($N266&lt;&gt;"",IF(INDEX(CalcNoteB,$N266)="","—",INDEX(CalcNoteB,$N266)),""))</f>
        <v/>
      </c>
      <c r="M266">
        <f>IFERROR(MATCH($C$5&amp;"|"&amp;RIGHT("000000"&amp;250,6),CalcRankKeyA,0),"")</f>
        <v/>
      </c>
      <c r="N266">
        <f>IFERROR(MATCH($C$5&amp;"|"&amp;RIGHT("000000"&amp;250,6),CalcRankKeyB,0),"")</f>
        <v/>
      </c>
    </row>
    <row r="267">
      <c r="A267" s="21" t="n">
        <v>251</v>
      </c>
      <c r="B267" s="22">
        <f>IF(AND($M267="",$N267=""),"",IF($M267&lt;&gt;"",INDEX(CalcDateA,$M267),INDEX(CalcDateB,$N267)))</f>
        <v/>
      </c>
      <c r="C267" s="22">
        <f>IF($M267&lt;&gt;"","خرید سبد",IF($N267&lt;&gt;"",IF(N(INDEX(CalcDepB,$N267))&gt;0,"دریافت بانکی","پرداخت بانکی"),""))</f>
        <v/>
      </c>
      <c r="D267" s="22">
        <f>IF($M267&lt;&gt;"",IF(INDEX(CalcDocA,$M267)="","—",INDEX(CalcDocA,$M267)),IF($N267&lt;&gt;"",INDEX(CalcBankB,$N267),""))</f>
        <v/>
      </c>
      <c r="E267" s="23">
        <f>IF($N267&lt;&gt;"",IF(INDEX(CalcDepB,$N267)=0,"",INDEX(CalcDepB,$N267)),"")</f>
        <v/>
      </c>
      <c r="F267" s="23">
        <f>IF($M267&lt;&gt;"",IF(INDEX(CalcQtyA,$M267)=0,"",INDEX(CalcQtyA,$M267)),"")</f>
        <v/>
      </c>
      <c r="G267" s="23">
        <f>IF($M267&lt;&gt;"",IF(INDEX(CalcPriceA,$M267)=0,"",INDEX(CalcPriceA,$M267)),"")</f>
        <v/>
      </c>
      <c r="H267" s="23">
        <f>IF($N267&lt;&gt;"",IF(INDEX(CalcWitB,$N267)=0,"",INDEX(CalcWitB,$N267)),"")</f>
        <v/>
      </c>
      <c r="I267" s="24">
        <f>IF($M267&lt;&gt;"",INDEX(CalcAmtA,$M267),"")</f>
        <v/>
      </c>
      <c r="J267" s="24">
        <f>IF($B267="","",IF($J266="",$C$8,$J266)+IF($I267="",0,$I267)+IF($E267="",0,$E267)-IF($H267="",0,$H267))</f>
        <v/>
      </c>
      <c r="K267" s="25">
        <f>IF($M267&lt;&gt;"",IF(INDEX(CalcNoteA,$M267)="","—",INDEX(CalcNoteA,$M267)),IF($N267&lt;&gt;"",IF(INDEX(CalcNoteB,$N267)="","—",INDEX(CalcNoteB,$N267)),""))</f>
        <v/>
      </c>
      <c r="M267">
        <f>IFERROR(MATCH($C$5&amp;"|"&amp;RIGHT("000000"&amp;251,6),CalcRankKeyA,0),"")</f>
        <v/>
      </c>
      <c r="N267">
        <f>IFERROR(MATCH($C$5&amp;"|"&amp;RIGHT("000000"&amp;251,6),CalcRankKeyB,0),"")</f>
        <v/>
      </c>
    </row>
    <row r="268">
      <c r="A268" s="26" t="n">
        <v>252</v>
      </c>
      <c r="B268" s="27">
        <f>IF(AND($M268="",$N268=""),"",IF($M268&lt;&gt;"",INDEX(CalcDateA,$M268),INDEX(CalcDateB,$N268)))</f>
        <v/>
      </c>
      <c r="C268" s="27">
        <f>IF($M268&lt;&gt;"","خرید سبد",IF($N268&lt;&gt;"",IF(N(INDEX(CalcDepB,$N268))&gt;0,"دریافت بانکی","پرداخت بانکی"),""))</f>
        <v/>
      </c>
      <c r="D268" s="27">
        <f>IF($M268&lt;&gt;"",IF(INDEX(CalcDocA,$M268)="","—",INDEX(CalcDocA,$M268)),IF($N268&lt;&gt;"",INDEX(CalcBankB,$N268),""))</f>
        <v/>
      </c>
      <c r="E268" s="28">
        <f>IF($N268&lt;&gt;"",IF(INDEX(CalcDepB,$N268)=0,"",INDEX(CalcDepB,$N268)),"")</f>
        <v/>
      </c>
      <c r="F268" s="28">
        <f>IF($M268&lt;&gt;"",IF(INDEX(CalcQtyA,$M268)=0,"",INDEX(CalcQtyA,$M268)),"")</f>
        <v/>
      </c>
      <c r="G268" s="28">
        <f>IF($M268&lt;&gt;"",IF(INDEX(CalcPriceA,$M268)=0,"",INDEX(CalcPriceA,$M268)),"")</f>
        <v/>
      </c>
      <c r="H268" s="28">
        <f>IF($N268&lt;&gt;"",IF(INDEX(CalcWitB,$N268)=0,"",INDEX(CalcWitB,$N268)),"")</f>
        <v/>
      </c>
      <c r="I268" s="29">
        <f>IF($M268&lt;&gt;"",INDEX(CalcAmtA,$M268),"")</f>
        <v/>
      </c>
      <c r="J268" s="29">
        <f>IF($B268="","",IF($J267="",$C$8,$J267)+IF($I268="",0,$I268)+IF($E268="",0,$E268)-IF($H268="",0,$H268))</f>
        <v/>
      </c>
      <c r="K268" s="30">
        <f>IF($M268&lt;&gt;"",IF(INDEX(CalcNoteA,$M268)="","—",INDEX(CalcNoteA,$M268)),IF($N268&lt;&gt;"",IF(INDEX(CalcNoteB,$N268)="","—",INDEX(CalcNoteB,$N268)),""))</f>
        <v/>
      </c>
      <c r="M268">
        <f>IFERROR(MATCH($C$5&amp;"|"&amp;RIGHT("000000"&amp;252,6),CalcRankKeyA,0),"")</f>
        <v/>
      </c>
      <c r="N268">
        <f>IFERROR(MATCH($C$5&amp;"|"&amp;RIGHT("000000"&amp;252,6),CalcRankKeyB,0),"")</f>
        <v/>
      </c>
    </row>
    <row r="269">
      <c r="A269" s="21" t="n">
        <v>253</v>
      </c>
      <c r="B269" s="22">
        <f>IF(AND($M269="",$N269=""),"",IF($M269&lt;&gt;"",INDEX(CalcDateA,$M269),INDEX(CalcDateB,$N269)))</f>
        <v/>
      </c>
      <c r="C269" s="22">
        <f>IF($M269&lt;&gt;"","خرید سبد",IF($N269&lt;&gt;"",IF(N(INDEX(CalcDepB,$N269))&gt;0,"دریافت بانکی","پرداخت بانکی"),""))</f>
        <v/>
      </c>
      <c r="D269" s="22">
        <f>IF($M269&lt;&gt;"",IF(INDEX(CalcDocA,$M269)="","—",INDEX(CalcDocA,$M269)),IF($N269&lt;&gt;"",INDEX(CalcBankB,$N269),""))</f>
        <v/>
      </c>
      <c r="E269" s="23">
        <f>IF($N269&lt;&gt;"",IF(INDEX(CalcDepB,$N269)=0,"",INDEX(CalcDepB,$N269)),"")</f>
        <v/>
      </c>
      <c r="F269" s="23">
        <f>IF($M269&lt;&gt;"",IF(INDEX(CalcQtyA,$M269)=0,"",INDEX(CalcQtyA,$M269)),"")</f>
        <v/>
      </c>
      <c r="G269" s="23">
        <f>IF($M269&lt;&gt;"",IF(INDEX(CalcPriceA,$M269)=0,"",INDEX(CalcPriceA,$M269)),"")</f>
        <v/>
      </c>
      <c r="H269" s="23">
        <f>IF($N269&lt;&gt;"",IF(INDEX(CalcWitB,$N269)=0,"",INDEX(CalcWitB,$N269)),"")</f>
        <v/>
      </c>
      <c r="I269" s="24">
        <f>IF($M269&lt;&gt;"",INDEX(CalcAmtA,$M269),"")</f>
        <v/>
      </c>
      <c r="J269" s="24">
        <f>IF($B269="","",IF($J268="",$C$8,$J268)+IF($I269="",0,$I269)+IF($E269="",0,$E269)-IF($H269="",0,$H269))</f>
        <v/>
      </c>
      <c r="K269" s="25">
        <f>IF($M269&lt;&gt;"",IF(INDEX(CalcNoteA,$M269)="","—",INDEX(CalcNoteA,$M269)),IF($N269&lt;&gt;"",IF(INDEX(CalcNoteB,$N269)="","—",INDEX(CalcNoteB,$N269)),""))</f>
        <v/>
      </c>
      <c r="M269">
        <f>IFERROR(MATCH($C$5&amp;"|"&amp;RIGHT("000000"&amp;253,6),CalcRankKeyA,0),"")</f>
        <v/>
      </c>
      <c r="N269">
        <f>IFERROR(MATCH($C$5&amp;"|"&amp;RIGHT("000000"&amp;253,6),CalcRankKeyB,0),"")</f>
        <v/>
      </c>
    </row>
    <row r="270">
      <c r="A270" s="26" t="n">
        <v>254</v>
      </c>
      <c r="B270" s="27">
        <f>IF(AND($M270="",$N270=""),"",IF($M270&lt;&gt;"",INDEX(CalcDateA,$M270),INDEX(CalcDateB,$N270)))</f>
        <v/>
      </c>
      <c r="C270" s="27">
        <f>IF($M270&lt;&gt;"","خرید سبد",IF($N270&lt;&gt;"",IF(N(INDEX(CalcDepB,$N270))&gt;0,"دریافت بانکی","پرداخت بانکی"),""))</f>
        <v/>
      </c>
      <c r="D270" s="27">
        <f>IF($M270&lt;&gt;"",IF(INDEX(CalcDocA,$M270)="","—",INDEX(CalcDocA,$M270)),IF($N270&lt;&gt;"",INDEX(CalcBankB,$N270),""))</f>
        <v/>
      </c>
      <c r="E270" s="28">
        <f>IF($N270&lt;&gt;"",IF(INDEX(CalcDepB,$N270)=0,"",INDEX(CalcDepB,$N270)),"")</f>
        <v/>
      </c>
      <c r="F270" s="28">
        <f>IF($M270&lt;&gt;"",IF(INDEX(CalcQtyA,$M270)=0,"",INDEX(CalcQtyA,$M270)),"")</f>
        <v/>
      </c>
      <c r="G270" s="28">
        <f>IF($M270&lt;&gt;"",IF(INDEX(CalcPriceA,$M270)=0,"",INDEX(CalcPriceA,$M270)),"")</f>
        <v/>
      </c>
      <c r="H270" s="28">
        <f>IF($N270&lt;&gt;"",IF(INDEX(CalcWitB,$N270)=0,"",INDEX(CalcWitB,$N270)),"")</f>
        <v/>
      </c>
      <c r="I270" s="29">
        <f>IF($M270&lt;&gt;"",INDEX(CalcAmtA,$M270),"")</f>
        <v/>
      </c>
      <c r="J270" s="29">
        <f>IF($B270="","",IF($J269="",$C$8,$J269)+IF($I270="",0,$I270)+IF($E270="",0,$E270)-IF($H270="",0,$H270))</f>
        <v/>
      </c>
      <c r="K270" s="30">
        <f>IF($M270&lt;&gt;"",IF(INDEX(CalcNoteA,$M270)="","—",INDEX(CalcNoteA,$M270)),IF($N270&lt;&gt;"",IF(INDEX(CalcNoteB,$N270)="","—",INDEX(CalcNoteB,$N270)),""))</f>
        <v/>
      </c>
      <c r="M270">
        <f>IFERROR(MATCH($C$5&amp;"|"&amp;RIGHT("000000"&amp;254,6),CalcRankKeyA,0),"")</f>
        <v/>
      </c>
      <c r="N270">
        <f>IFERROR(MATCH($C$5&amp;"|"&amp;RIGHT("000000"&amp;254,6),CalcRankKeyB,0),"")</f>
        <v/>
      </c>
    </row>
    <row r="271">
      <c r="A271" s="21" t="n">
        <v>255</v>
      </c>
      <c r="B271" s="22">
        <f>IF(AND($M271="",$N271=""),"",IF($M271&lt;&gt;"",INDEX(CalcDateA,$M271),INDEX(CalcDateB,$N271)))</f>
        <v/>
      </c>
      <c r="C271" s="22">
        <f>IF($M271&lt;&gt;"","خرید سبد",IF($N271&lt;&gt;"",IF(N(INDEX(CalcDepB,$N271))&gt;0,"دریافت بانکی","پرداخت بانکی"),""))</f>
        <v/>
      </c>
      <c r="D271" s="22">
        <f>IF($M271&lt;&gt;"",IF(INDEX(CalcDocA,$M271)="","—",INDEX(CalcDocA,$M271)),IF($N271&lt;&gt;"",INDEX(CalcBankB,$N271),""))</f>
        <v/>
      </c>
      <c r="E271" s="23">
        <f>IF($N271&lt;&gt;"",IF(INDEX(CalcDepB,$N271)=0,"",INDEX(CalcDepB,$N271)),"")</f>
        <v/>
      </c>
      <c r="F271" s="23">
        <f>IF($M271&lt;&gt;"",IF(INDEX(CalcQtyA,$M271)=0,"",INDEX(CalcQtyA,$M271)),"")</f>
        <v/>
      </c>
      <c r="G271" s="23">
        <f>IF($M271&lt;&gt;"",IF(INDEX(CalcPriceA,$M271)=0,"",INDEX(CalcPriceA,$M271)),"")</f>
        <v/>
      </c>
      <c r="H271" s="23">
        <f>IF($N271&lt;&gt;"",IF(INDEX(CalcWitB,$N271)=0,"",INDEX(CalcWitB,$N271)),"")</f>
        <v/>
      </c>
      <c r="I271" s="24">
        <f>IF($M271&lt;&gt;"",INDEX(CalcAmtA,$M271),"")</f>
        <v/>
      </c>
      <c r="J271" s="24">
        <f>IF($B271="","",IF($J270="",$C$8,$J270)+IF($I271="",0,$I271)+IF($E271="",0,$E271)-IF($H271="",0,$H271))</f>
        <v/>
      </c>
      <c r="K271" s="25">
        <f>IF($M271&lt;&gt;"",IF(INDEX(CalcNoteA,$M271)="","—",INDEX(CalcNoteA,$M271)),IF($N271&lt;&gt;"",IF(INDEX(CalcNoteB,$N271)="","—",INDEX(CalcNoteB,$N271)),""))</f>
        <v/>
      </c>
      <c r="M271">
        <f>IFERROR(MATCH($C$5&amp;"|"&amp;RIGHT("000000"&amp;255,6),CalcRankKeyA,0),"")</f>
        <v/>
      </c>
      <c r="N271">
        <f>IFERROR(MATCH($C$5&amp;"|"&amp;RIGHT("000000"&amp;255,6),CalcRankKeyB,0),"")</f>
        <v/>
      </c>
    </row>
    <row r="272">
      <c r="A272" s="26" t="n">
        <v>256</v>
      </c>
      <c r="B272" s="27">
        <f>IF(AND($M272="",$N272=""),"",IF($M272&lt;&gt;"",INDEX(CalcDateA,$M272),INDEX(CalcDateB,$N272)))</f>
        <v/>
      </c>
      <c r="C272" s="27">
        <f>IF($M272&lt;&gt;"","خرید سبد",IF($N272&lt;&gt;"",IF(N(INDEX(CalcDepB,$N272))&gt;0,"دریافت بانکی","پرداخت بانکی"),""))</f>
        <v/>
      </c>
      <c r="D272" s="27">
        <f>IF($M272&lt;&gt;"",IF(INDEX(CalcDocA,$M272)="","—",INDEX(CalcDocA,$M272)),IF($N272&lt;&gt;"",INDEX(CalcBankB,$N272),""))</f>
        <v/>
      </c>
      <c r="E272" s="28">
        <f>IF($N272&lt;&gt;"",IF(INDEX(CalcDepB,$N272)=0,"",INDEX(CalcDepB,$N272)),"")</f>
        <v/>
      </c>
      <c r="F272" s="28">
        <f>IF($M272&lt;&gt;"",IF(INDEX(CalcQtyA,$M272)=0,"",INDEX(CalcQtyA,$M272)),"")</f>
        <v/>
      </c>
      <c r="G272" s="28">
        <f>IF($M272&lt;&gt;"",IF(INDEX(CalcPriceA,$M272)=0,"",INDEX(CalcPriceA,$M272)),"")</f>
        <v/>
      </c>
      <c r="H272" s="28">
        <f>IF($N272&lt;&gt;"",IF(INDEX(CalcWitB,$N272)=0,"",INDEX(CalcWitB,$N272)),"")</f>
        <v/>
      </c>
      <c r="I272" s="29">
        <f>IF($M272&lt;&gt;"",INDEX(CalcAmtA,$M272),"")</f>
        <v/>
      </c>
      <c r="J272" s="29">
        <f>IF($B272="","",IF($J271="",$C$8,$J271)+IF($I272="",0,$I272)+IF($E272="",0,$E272)-IF($H272="",0,$H272))</f>
        <v/>
      </c>
      <c r="K272" s="30">
        <f>IF($M272&lt;&gt;"",IF(INDEX(CalcNoteA,$M272)="","—",INDEX(CalcNoteA,$M272)),IF($N272&lt;&gt;"",IF(INDEX(CalcNoteB,$N272)="","—",INDEX(CalcNoteB,$N272)),""))</f>
        <v/>
      </c>
      <c r="M272">
        <f>IFERROR(MATCH($C$5&amp;"|"&amp;RIGHT("000000"&amp;256,6),CalcRankKeyA,0),"")</f>
        <v/>
      </c>
      <c r="N272">
        <f>IFERROR(MATCH($C$5&amp;"|"&amp;RIGHT("000000"&amp;256,6),CalcRankKeyB,0),"")</f>
        <v/>
      </c>
    </row>
    <row r="273">
      <c r="A273" s="21" t="n">
        <v>257</v>
      </c>
      <c r="B273" s="22">
        <f>IF(AND($M273="",$N273=""),"",IF($M273&lt;&gt;"",INDEX(CalcDateA,$M273),INDEX(CalcDateB,$N273)))</f>
        <v/>
      </c>
      <c r="C273" s="22">
        <f>IF($M273&lt;&gt;"","خرید سبد",IF($N273&lt;&gt;"",IF(N(INDEX(CalcDepB,$N273))&gt;0,"دریافت بانکی","پرداخت بانکی"),""))</f>
        <v/>
      </c>
      <c r="D273" s="22">
        <f>IF($M273&lt;&gt;"",IF(INDEX(CalcDocA,$M273)="","—",INDEX(CalcDocA,$M273)),IF($N273&lt;&gt;"",INDEX(CalcBankB,$N273),""))</f>
        <v/>
      </c>
      <c r="E273" s="23">
        <f>IF($N273&lt;&gt;"",IF(INDEX(CalcDepB,$N273)=0,"",INDEX(CalcDepB,$N273)),"")</f>
        <v/>
      </c>
      <c r="F273" s="23">
        <f>IF($M273&lt;&gt;"",IF(INDEX(CalcQtyA,$M273)=0,"",INDEX(CalcQtyA,$M273)),"")</f>
        <v/>
      </c>
      <c r="G273" s="23">
        <f>IF($M273&lt;&gt;"",IF(INDEX(CalcPriceA,$M273)=0,"",INDEX(CalcPriceA,$M273)),"")</f>
        <v/>
      </c>
      <c r="H273" s="23">
        <f>IF($N273&lt;&gt;"",IF(INDEX(CalcWitB,$N273)=0,"",INDEX(CalcWitB,$N273)),"")</f>
        <v/>
      </c>
      <c r="I273" s="24">
        <f>IF($M273&lt;&gt;"",INDEX(CalcAmtA,$M273),"")</f>
        <v/>
      </c>
      <c r="J273" s="24">
        <f>IF($B273="","",IF($J272="",$C$8,$J272)+IF($I273="",0,$I273)+IF($E273="",0,$E273)-IF($H273="",0,$H273))</f>
        <v/>
      </c>
      <c r="K273" s="25">
        <f>IF($M273&lt;&gt;"",IF(INDEX(CalcNoteA,$M273)="","—",INDEX(CalcNoteA,$M273)),IF($N273&lt;&gt;"",IF(INDEX(CalcNoteB,$N273)="","—",INDEX(CalcNoteB,$N273)),""))</f>
        <v/>
      </c>
      <c r="M273">
        <f>IFERROR(MATCH($C$5&amp;"|"&amp;RIGHT("000000"&amp;257,6),CalcRankKeyA,0),"")</f>
        <v/>
      </c>
      <c r="N273">
        <f>IFERROR(MATCH($C$5&amp;"|"&amp;RIGHT("000000"&amp;257,6),CalcRankKeyB,0),"")</f>
        <v/>
      </c>
    </row>
    <row r="274">
      <c r="A274" s="26" t="n">
        <v>258</v>
      </c>
      <c r="B274" s="27">
        <f>IF(AND($M274="",$N274=""),"",IF($M274&lt;&gt;"",INDEX(CalcDateA,$M274),INDEX(CalcDateB,$N274)))</f>
        <v/>
      </c>
      <c r="C274" s="27">
        <f>IF($M274&lt;&gt;"","خرید سبد",IF($N274&lt;&gt;"",IF(N(INDEX(CalcDepB,$N274))&gt;0,"دریافت بانکی","پرداخت بانکی"),""))</f>
        <v/>
      </c>
      <c r="D274" s="27">
        <f>IF($M274&lt;&gt;"",IF(INDEX(CalcDocA,$M274)="","—",INDEX(CalcDocA,$M274)),IF($N274&lt;&gt;"",INDEX(CalcBankB,$N274),""))</f>
        <v/>
      </c>
      <c r="E274" s="28">
        <f>IF($N274&lt;&gt;"",IF(INDEX(CalcDepB,$N274)=0,"",INDEX(CalcDepB,$N274)),"")</f>
        <v/>
      </c>
      <c r="F274" s="28">
        <f>IF($M274&lt;&gt;"",IF(INDEX(CalcQtyA,$M274)=0,"",INDEX(CalcQtyA,$M274)),"")</f>
        <v/>
      </c>
      <c r="G274" s="28">
        <f>IF($M274&lt;&gt;"",IF(INDEX(CalcPriceA,$M274)=0,"",INDEX(CalcPriceA,$M274)),"")</f>
        <v/>
      </c>
      <c r="H274" s="28">
        <f>IF($N274&lt;&gt;"",IF(INDEX(CalcWitB,$N274)=0,"",INDEX(CalcWitB,$N274)),"")</f>
        <v/>
      </c>
      <c r="I274" s="29">
        <f>IF($M274&lt;&gt;"",INDEX(CalcAmtA,$M274),"")</f>
        <v/>
      </c>
      <c r="J274" s="29">
        <f>IF($B274="","",IF($J273="",$C$8,$J273)+IF($I274="",0,$I274)+IF($E274="",0,$E274)-IF($H274="",0,$H274))</f>
        <v/>
      </c>
      <c r="K274" s="30">
        <f>IF($M274&lt;&gt;"",IF(INDEX(CalcNoteA,$M274)="","—",INDEX(CalcNoteA,$M274)),IF($N274&lt;&gt;"",IF(INDEX(CalcNoteB,$N274)="","—",INDEX(CalcNoteB,$N274)),""))</f>
        <v/>
      </c>
      <c r="M274">
        <f>IFERROR(MATCH($C$5&amp;"|"&amp;RIGHT("000000"&amp;258,6),CalcRankKeyA,0),"")</f>
        <v/>
      </c>
      <c r="N274">
        <f>IFERROR(MATCH($C$5&amp;"|"&amp;RIGHT("000000"&amp;258,6),CalcRankKeyB,0),"")</f>
        <v/>
      </c>
    </row>
    <row r="275">
      <c r="A275" s="21" t="n">
        <v>259</v>
      </c>
      <c r="B275" s="22">
        <f>IF(AND($M275="",$N275=""),"",IF($M275&lt;&gt;"",INDEX(CalcDateA,$M275),INDEX(CalcDateB,$N275)))</f>
        <v/>
      </c>
      <c r="C275" s="22">
        <f>IF($M275&lt;&gt;"","خرید سبد",IF($N275&lt;&gt;"",IF(N(INDEX(CalcDepB,$N275))&gt;0,"دریافت بانکی","پرداخت بانکی"),""))</f>
        <v/>
      </c>
      <c r="D275" s="22">
        <f>IF($M275&lt;&gt;"",IF(INDEX(CalcDocA,$M275)="","—",INDEX(CalcDocA,$M275)),IF($N275&lt;&gt;"",INDEX(CalcBankB,$N275),""))</f>
        <v/>
      </c>
      <c r="E275" s="23">
        <f>IF($N275&lt;&gt;"",IF(INDEX(CalcDepB,$N275)=0,"",INDEX(CalcDepB,$N275)),"")</f>
        <v/>
      </c>
      <c r="F275" s="23">
        <f>IF($M275&lt;&gt;"",IF(INDEX(CalcQtyA,$M275)=0,"",INDEX(CalcQtyA,$M275)),"")</f>
        <v/>
      </c>
      <c r="G275" s="23">
        <f>IF($M275&lt;&gt;"",IF(INDEX(CalcPriceA,$M275)=0,"",INDEX(CalcPriceA,$M275)),"")</f>
        <v/>
      </c>
      <c r="H275" s="23">
        <f>IF($N275&lt;&gt;"",IF(INDEX(CalcWitB,$N275)=0,"",INDEX(CalcWitB,$N275)),"")</f>
        <v/>
      </c>
      <c r="I275" s="24">
        <f>IF($M275&lt;&gt;"",INDEX(CalcAmtA,$M275),"")</f>
        <v/>
      </c>
      <c r="J275" s="24">
        <f>IF($B275="","",IF($J274="",$C$8,$J274)+IF($I275="",0,$I275)+IF($E275="",0,$E275)-IF($H275="",0,$H275))</f>
        <v/>
      </c>
      <c r="K275" s="25">
        <f>IF($M275&lt;&gt;"",IF(INDEX(CalcNoteA,$M275)="","—",INDEX(CalcNoteA,$M275)),IF($N275&lt;&gt;"",IF(INDEX(CalcNoteB,$N275)="","—",INDEX(CalcNoteB,$N275)),""))</f>
        <v/>
      </c>
      <c r="M275">
        <f>IFERROR(MATCH($C$5&amp;"|"&amp;RIGHT("000000"&amp;259,6),CalcRankKeyA,0),"")</f>
        <v/>
      </c>
      <c r="N275">
        <f>IFERROR(MATCH($C$5&amp;"|"&amp;RIGHT("000000"&amp;259,6),CalcRankKeyB,0),"")</f>
        <v/>
      </c>
    </row>
    <row r="276">
      <c r="A276" s="26" t="n">
        <v>260</v>
      </c>
      <c r="B276" s="27">
        <f>IF(AND($M276="",$N276=""),"",IF($M276&lt;&gt;"",INDEX(CalcDateA,$M276),INDEX(CalcDateB,$N276)))</f>
        <v/>
      </c>
      <c r="C276" s="27">
        <f>IF($M276&lt;&gt;"","خرید سبد",IF($N276&lt;&gt;"",IF(N(INDEX(CalcDepB,$N276))&gt;0,"دریافت بانکی","پرداخت بانکی"),""))</f>
        <v/>
      </c>
      <c r="D276" s="27">
        <f>IF($M276&lt;&gt;"",IF(INDEX(CalcDocA,$M276)="","—",INDEX(CalcDocA,$M276)),IF($N276&lt;&gt;"",INDEX(CalcBankB,$N276),""))</f>
        <v/>
      </c>
      <c r="E276" s="28">
        <f>IF($N276&lt;&gt;"",IF(INDEX(CalcDepB,$N276)=0,"",INDEX(CalcDepB,$N276)),"")</f>
        <v/>
      </c>
      <c r="F276" s="28">
        <f>IF($M276&lt;&gt;"",IF(INDEX(CalcQtyA,$M276)=0,"",INDEX(CalcQtyA,$M276)),"")</f>
        <v/>
      </c>
      <c r="G276" s="28">
        <f>IF($M276&lt;&gt;"",IF(INDEX(CalcPriceA,$M276)=0,"",INDEX(CalcPriceA,$M276)),"")</f>
        <v/>
      </c>
      <c r="H276" s="28">
        <f>IF($N276&lt;&gt;"",IF(INDEX(CalcWitB,$N276)=0,"",INDEX(CalcWitB,$N276)),"")</f>
        <v/>
      </c>
      <c r="I276" s="29">
        <f>IF($M276&lt;&gt;"",INDEX(CalcAmtA,$M276),"")</f>
        <v/>
      </c>
      <c r="J276" s="29">
        <f>IF($B276="","",IF($J275="",$C$8,$J275)+IF($I276="",0,$I276)+IF($E276="",0,$E276)-IF($H276="",0,$H276))</f>
        <v/>
      </c>
      <c r="K276" s="30">
        <f>IF($M276&lt;&gt;"",IF(INDEX(CalcNoteA,$M276)="","—",INDEX(CalcNoteA,$M276)),IF($N276&lt;&gt;"",IF(INDEX(CalcNoteB,$N276)="","—",INDEX(CalcNoteB,$N276)),""))</f>
        <v/>
      </c>
      <c r="M276">
        <f>IFERROR(MATCH($C$5&amp;"|"&amp;RIGHT("000000"&amp;260,6),CalcRankKeyA,0),"")</f>
        <v/>
      </c>
      <c r="N276">
        <f>IFERROR(MATCH($C$5&amp;"|"&amp;RIGHT("000000"&amp;260,6),CalcRankKeyB,0),"")</f>
        <v/>
      </c>
    </row>
    <row r="277">
      <c r="A277" s="21" t="n">
        <v>261</v>
      </c>
      <c r="B277" s="22">
        <f>IF(AND($M277="",$N277=""),"",IF($M277&lt;&gt;"",INDEX(CalcDateA,$M277),INDEX(CalcDateB,$N277)))</f>
        <v/>
      </c>
      <c r="C277" s="22">
        <f>IF($M277&lt;&gt;"","خرید سبد",IF($N277&lt;&gt;"",IF(N(INDEX(CalcDepB,$N277))&gt;0,"دریافت بانکی","پرداخت بانکی"),""))</f>
        <v/>
      </c>
      <c r="D277" s="22">
        <f>IF($M277&lt;&gt;"",IF(INDEX(CalcDocA,$M277)="","—",INDEX(CalcDocA,$M277)),IF($N277&lt;&gt;"",INDEX(CalcBankB,$N277),""))</f>
        <v/>
      </c>
      <c r="E277" s="23">
        <f>IF($N277&lt;&gt;"",IF(INDEX(CalcDepB,$N277)=0,"",INDEX(CalcDepB,$N277)),"")</f>
        <v/>
      </c>
      <c r="F277" s="23">
        <f>IF($M277&lt;&gt;"",IF(INDEX(CalcQtyA,$M277)=0,"",INDEX(CalcQtyA,$M277)),"")</f>
        <v/>
      </c>
      <c r="G277" s="23">
        <f>IF($M277&lt;&gt;"",IF(INDEX(CalcPriceA,$M277)=0,"",INDEX(CalcPriceA,$M277)),"")</f>
        <v/>
      </c>
      <c r="H277" s="23">
        <f>IF($N277&lt;&gt;"",IF(INDEX(CalcWitB,$N277)=0,"",INDEX(CalcWitB,$N277)),"")</f>
        <v/>
      </c>
      <c r="I277" s="24">
        <f>IF($M277&lt;&gt;"",INDEX(CalcAmtA,$M277),"")</f>
        <v/>
      </c>
      <c r="J277" s="24">
        <f>IF($B277="","",IF($J276="",$C$8,$J276)+IF($I277="",0,$I277)+IF($E277="",0,$E277)-IF($H277="",0,$H277))</f>
        <v/>
      </c>
      <c r="K277" s="25">
        <f>IF($M277&lt;&gt;"",IF(INDEX(CalcNoteA,$M277)="","—",INDEX(CalcNoteA,$M277)),IF($N277&lt;&gt;"",IF(INDEX(CalcNoteB,$N277)="","—",INDEX(CalcNoteB,$N277)),""))</f>
        <v/>
      </c>
      <c r="M277">
        <f>IFERROR(MATCH($C$5&amp;"|"&amp;RIGHT("000000"&amp;261,6),CalcRankKeyA,0),"")</f>
        <v/>
      </c>
      <c r="N277">
        <f>IFERROR(MATCH($C$5&amp;"|"&amp;RIGHT("000000"&amp;261,6),CalcRankKeyB,0),"")</f>
        <v/>
      </c>
    </row>
    <row r="278">
      <c r="A278" s="26" t="n">
        <v>262</v>
      </c>
      <c r="B278" s="27">
        <f>IF(AND($M278="",$N278=""),"",IF($M278&lt;&gt;"",INDEX(CalcDateA,$M278),INDEX(CalcDateB,$N278)))</f>
        <v/>
      </c>
      <c r="C278" s="27">
        <f>IF($M278&lt;&gt;"","خرید سبد",IF($N278&lt;&gt;"",IF(N(INDEX(CalcDepB,$N278))&gt;0,"دریافت بانکی","پرداخت بانکی"),""))</f>
        <v/>
      </c>
      <c r="D278" s="27">
        <f>IF($M278&lt;&gt;"",IF(INDEX(CalcDocA,$M278)="","—",INDEX(CalcDocA,$M278)),IF($N278&lt;&gt;"",INDEX(CalcBankB,$N278),""))</f>
        <v/>
      </c>
      <c r="E278" s="28">
        <f>IF($N278&lt;&gt;"",IF(INDEX(CalcDepB,$N278)=0,"",INDEX(CalcDepB,$N278)),"")</f>
        <v/>
      </c>
      <c r="F278" s="28">
        <f>IF($M278&lt;&gt;"",IF(INDEX(CalcQtyA,$M278)=0,"",INDEX(CalcQtyA,$M278)),"")</f>
        <v/>
      </c>
      <c r="G278" s="28">
        <f>IF($M278&lt;&gt;"",IF(INDEX(CalcPriceA,$M278)=0,"",INDEX(CalcPriceA,$M278)),"")</f>
        <v/>
      </c>
      <c r="H278" s="28">
        <f>IF($N278&lt;&gt;"",IF(INDEX(CalcWitB,$N278)=0,"",INDEX(CalcWitB,$N278)),"")</f>
        <v/>
      </c>
      <c r="I278" s="29">
        <f>IF($M278&lt;&gt;"",INDEX(CalcAmtA,$M278),"")</f>
        <v/>
      </c>
      <c r="J278" s="29">
        <f>IF($B278="","",IF($J277="",$C$8,$J277)+IF($I278="",0,$I278)+IF($E278="",0,$E278)-IF($H278="",0,$H278))</f>
        <v/>
      </c>
      <c r="K278" s="30">
        <f>IF($M278&lt;&gt;"",IF(INDEX(CalcNoteA,$M278)="","—",INDEX(CalcNoteA,$M278)),IF($N278&lt;&gt;"",IF(INDEX(CalcNoteB,$N278)="","—",INDEX(CalcNoteB,$N278)),""))</f>
        <v/>
      </c>
      <c r="M278">
        <f>IFERROR(MATCH($C$5&amp;"|"&amp;RIGHT("000000"&amp;262,6),CalcRankKeyA,0),"")</f>
        <v/>
      </c>
      <c r="N278">
        <f>IFERROR(MATCH($C$5&amp;"|"&amp;RIGHT("000000"&amp;262,6),CalcRankKeyB,0),"")</f>
        <v/>
      </c>
    </row>
    <row r="279">
      <c r="A279" s="21" t="n">
        <v>263</v>
      </c>
      <c r="B279" s="22">
        <f>IF(AND($M279="",$N279=""),"",IF($M279&lt;&gt;"",INDEX(CalcDateA,$M279),INDEX(CalcDateB,$N279)))</f>
        <v/>
      </c>
      <c r="C279" s="22">
        <f>IF($M279&lt;&gt;"","خرید سبد",IF($N279&lt;&gt;"",IF(N(INDEX(CalcDepB,$N279))&gt;0,"دریافت بانکی","پرداخت بانکی"),""))</f>
        <v/>
      </c>
      <c r="D279" s="22">
        <f>IF($M279&lt;&gt;"",IF(INDEX(CalcDocA,$M279)="","—",INDEX(CalcDocA,$M279)),IF($N279&lt;&gt;"",INDEX(CalcBankB,$N279),""))</f>
        <v/>
      </c>
      <c r="E279" s="23">
        <f>IF($N279&lt;&gt;"",IF(INDEX(CalcDepB,$N279)=0,"",INDEX(CalcDepB,$N279)),"")</f>
        <v/>
      </c>
      <c r="F279" s="23">
        <f>IF($M279&lt;&gt;"",IF(INDEX(CalcQtyA,$M279)=0,"",INDEX(CalcQtyA,$M279)),"")</f>
        <v/>
      </c>
      <c r="G279" s="23">
        <f>IF($M279&lt;&gt;"",IF(INDEX(CalcPriceA,$M279)=0,"",INDEX(CalcPriceA,$M279)),"")</f>
        <v/>
      </c>
      <c r="H279" s="23">
        <f>IF($N279&lt;&gt;"",IF(INDEX(CalcWitB,$N279)=0,"",INDEX(CalcWitB,$N279)),"")</f>
        <v/>
      </c>
      <c r="I279" s="24">
        <f>IF($M279&lt;&gt;"",INDEX(CalcAmtA,$M279),"")</f>
        <v/>
      </c>
      <c r="J279" s="24">
        <f>IF($B279="","",IF($J278="",$C$8,$J278)+IF($I279="",0,$I279)+IF($E279="",0,$E279)-IF($H279="",0,$H279))</f>
        <v/>
      </c>
      <c r="K279" s="25">
        <f>IF($M279&lt;&gt;"",IF(INDEX(CalcNoteA,$M279)="","—",INDEX(CalcNoteA,$M279)),IF($N279&lt;&gt;"",IF(INDEX(CalcNoteB,$N279)="","—",INDEX(CalcNoteB,$N279)),""))</f>
        <v/>
      </c>
      <c r="M279">
        <f>IFERROR(MATCH($C$5&amp;"|"&amp;RIGHT("000000"&amp;263,6),CalcRankKeyA,0),"")</f>
        <v/>
      </c>
      <c r="N279">
        <f>IFERROR(MATCH($C$5&amp;"|"&amp;RIGHT("000000"&amp;263,6),CalcRankKeyB,0),"")</f>
        <v/>
      </c>
    </row>
    <row r="280">
      <c r="A280" s="26" t="n">
        <v>264</v>
      </c>
      <c r="B280" s="27">
        <f>IF(AND($M280="",$N280=""),"",IF($M280&lt;&gt;"",INDEX(CalcDateA,$M280),INDEX(CalcDateB,$N280)))</f>
        <v/>
      </c>
      <c r="C280" s="27">
        <f>IF($M280&lt;&gt;"","خرید سبد",IF($N280&lt;&gt;"",IF(N(INDEX(CalcDepB,$N280))&gt;0,"دریافت بانکی","پرداخت بانکی"),""))</f>
        <v/>
      </c>
      <c r="D280" s="27">
        <f>IF($M280&lt;&gt;"",IF(INDEX(CalcDocA,$M280)="","—",INDEX(CalcDocA,$M280)),IF($N280&lt;&gt;"",INDEX(CalcBankB,$N280),""))</f>
        <v/>
      </c>
      <c r="E280" s="28">
        <f>IF($N280&lt;&gt;"",IF(INDEX(CalcDepB,$N280)=0,"",INDEX(CalcDepB,$N280)),"")</f>
        <v/>
      </c>
      <c r="F280" s="28">
        <f>IF($M280&lt;&gt;"",IF(INDEX(CalcQtyA,$M280)=0,"",INDEX(CalcQtyA,$M280)),"")</f>
        <v/>
      </c>
      <c r="G280" s="28">
        <f>IF($M280&lt;&gt;"",IF(INDEX(CalcPriceA,$M280)=0,"",INDEX(CalcPriceA,$M280)),"")</f>
        <v/>
      </c>
      <c r="H280" s="28">
        <f>IF($N280&lt;&gt;"",IF(INDEX(CalcWitB,$N280)=0,"",INDEX(CalcWitB,$N280)),"")</f>
        <v/>
      </c>
      <c r="I280" s="29">
        <f>IF($M280&lt;&gt;"",INDEX(CalcAmtA,$M280),"")</f>
        <v/>
      </c>
      <c r="J280" s="29">
        <f>IF($B280="","",IF($J279="",$C$8,$J279)+IF($I280="",0,$I280)+IF($E280="",0,$E280)-IF($H280="",0,$H280))</f>
        <v/>
      </c>
      <c r="K280" s="30">
        <f>IF($M280&lt;&gt;"",IF(INDEX(CalcNoteA,$M280)="","—",INDEX(CalcNoteA,$M280)),IF($N280&lt;&gt;"",IF(INDEX(CalcNoteB,$N280)="","—",INDEX(CalcNoteB,$N280)),""))</f>
        <v/>
      </c>
      <c r="M280">
        <f>IFERROR(MATCH($C$5&amp;"|"&amp;RIGHT("000000"&amp;264,6),CalcRankKeyA,0),"")</f>
        <v/>
      </c>
      <c r="N280">
        <f>IFERROR(MATCH($C$5&amp;"|"&amp;RIGHT("000000"&amp;264,6),CalcRankKeyB,0),"")</f>
        <v/>
      </c>
    </row>
    <row r="281">
      <c r="A281" s="21" t="n">
        <v>265</v>
      </c>
      <c r="B281" s="22">
        <f>IF(AND($M281="",$N281=""),"",IF($M281&lt;&gt;"",INDEX(CalcDateA,$M281),INDEX(CalcDateB,$N281)))</f>
        <v/>
      </c>
      <c r="C281" s="22">
        <f>IF($M281&lt;&gt;"","خرید سبد",IF($N281&lt;&gt;"",IF(N(INDEX(CalcDepB,$N281))&gt;0,"دریافت بانکی","پرداخت بانکی"),""))</f>
        <v/>
      </c>
      <c r="D281" s="22">
        <f>IF($M281&lt;&gt;"",IF(INDEX(CalcDocA,$M281)="","—",INDEX(CalcDocA,$M281)),IF($N281&lt;&gt;"",INDEX(CalcBankB,$N281),""))</f>
        <v/>
      </c>
      <c r="E281" s="23">
        <f>IF($N281&lt;&gt;"",IF(INDEX(CalcDepB,$N281)=0,"",INDEX(CalcDepB,$N281)),"")</f>
        <v/>
      </c>
      <c r="F281" s="23">
        <f>IF($M281&lt;&gt;"",IF(INDEX(CalcQtyA,$M281)=0,"",INDEX(CalcQtyA,$M281)),"")</f>
        <v/>
      </c>
      <c r="G281" s="23">
        <f>IF($M281&lt;&gt;"",IF(INDEX(CalcPriceA,$M281)=0,"",INDEX(CalcPriceA,$M281)),"")</f>
        <v/>
      </c>
      <c r="H281" s="23">
        <f>IF($N281&lt;&gt;"",IF(INDEX(CalcWitB,$N281)=0,"",INDEX(CalcWitB,$N281)),"")</f>
        <v/>
      </c>
      <c r="I281" s="24">
        <f>IF($M281&lt;&gt;"",INDEX(CalcAmtA,$M281),"")</f>
        <v/>
      </c>
      <c r="J281" s="24">
        <f>IF($B281="","",IF($J280="",$C$8,$J280)+IF($I281="",0,$I281)+IF($E281="",0,$E281)-IF($H281="",0,$H281))</f>
        <v/>
      </c>
      <c r="K281" s="25">
        <f>IF($M281&lt;&gt;"",IF(INDEX(CalcNoteA,$M281)="","—",INDEX(CalcNoteA,$M281)),IF($N281&lt;&gt;"",IF(INDEX(CalcNoteB,$N281)="","—",INDEX(CalcNoteB,$N281)),""))</f>
        <v/>
      </c>
      <c r="M281">
        <f>IFERROR(MATCH($C$5&amp;"|"&amp;RIGHT("000000"&amp;265,6),CalcRankKeyA,0),"")</f>
        <v/>
      </c>
      <c r="N281">
        <f>IFERROR(MATCH($C$5&amp;"|"&amp;RIGHT("000000"&amp;265,6),CalcRankKeyB,0),"")</f>
        <v/>
      </c>
    </row>
    <row r="282">
      <c r="A282" s="26" t="n">
        <v>266</v>
      </c>
      <c r="B282" s="27">
        <f>IF(AND($M282="",$N282=""),"",IF($M282&lt;&gt;"",INDEX(CalcDateA,$M282),INDEX(CalcDateB,$N282)))</f>
        <v/>
      </c>
      <c r="C282" s="27">
        <f>IF($M282&lt;&gt;"","خرید سبد",IF($N282&lt;&gt;"",IF(N(INDEX(CalcDepB,$N282))&gt;0,"دریافت بانکی","پرداخت بانکی"),""))</f>
        <v/>
      </c>
      <c r="D282" s="27">
        <f>IF($M282&lt;&gt;"",IF(INDEX(CalcDocA,$M282)="","—",INDEX(CalcDocA,$M282)),IF($N282&lt;&gt;"",INDEX(CalcBankB,$N282),""))</f>
        <v/>
      </c>
      <c r="E282" s="28">
        <f>IF($N282&lt;&gt;"",IF(INDEX(CalcDepB,$N282)=0,"",INDEX(CalcDepB,$N282)),"")</f>
        <v/>
      </c>
      <c r="F282" s="28">
        <f>IF($M282&lt;&gt;"",IF(INDEX(CalcQtyA,$M282)=0,"",INDEX(CalcQtyA,$M282)),"")</f>
        <v/>
      </c>
      <c r="G282" s="28">
        <f>IF($M282&lt;&gt;"",IF(INDEX(CalcPriceA,$M282)=0,"",INDEX(CalcPriceA,$M282)),"")</f>
        <v/>
      </c>
      <c r="H282" s="28">
        <f>IF($N282&lt;&gt;"",IF(INDEX(CalcWitB,$N282)=0,"",INDEX(CalcWitB,$N282)),"")</f>
        <v/>
      </c>
      <c r="I282" s="29">
        <f>IF($M282&lt;&gt;"",INDEX(CalcAmtA,$M282),"")</f>
        <v/>
      </c>
      <c r="J282" s="29">
        <f>IF($B282="","",IF($J281="",$C$8,$J281)+IF($I282="",0,$I282)+IF($E282="",0,$E282)-IF($H282="",0,$H282))</f>
        <v/>
      </c>
      <c r="K282" s="30">
        <f>IF($M282&lt;&gt;"",IF(INDEX(CalcNoteA,$M282)="","—",INDEX(CalcNoteA,$M282)),IF($N282&lt;&gt;"",IF(INDEX(CalcNoteB,$N282)="","—",INDEX(CalcNoteB,$N282)),""))</f>
        <v/>
      </c>
      <c r="M282">
        <f>IFERROR(MATCH($C$5&amp;"|"&amp;RIGHT("000000"&amp;266,6),CalcRankKeyA,0),"")</f>
        <v/>
      </c>
      <c r="N282">
        <f>IFERROR(MATCH($C$5&amp;"|"&amp;RIGHT("000000"&amp;266,6),CalcRankKeyB,0),"")</f>
        <v/>
      </c>
    </row>
    <row r="283">
      <c r="A283" s="21" t="n">
        <v>267</v>
      </c>
      <c r="B283" s="22">
        <f>IF(AND($M283="",$N283=""),"",IF($M283&lt;&gt;"",INDEX(CalcDateA,$M283),INDEX(CalcDateB,$N283)))</f>
        <v/>
      </c>
      <c r="C283" s="22">
        <f>IF($M283&lt;&gt;"","خرید سبد",IF($N283&lt;&gt;"",IF(N(INDEX(CalcDepB,$N283))&gt;0,"دریافت بانکی","پرداخت بانکی"),""))</f>
        <v/>
      </c>
      <c r="D283" s="22">
        <f>IF($M283&lt;&gt;"",IF(INDEX(CalcDocA,$M283)="","—",INDEX(CalcDocA,$M283)),IF($N283&lt;&gt;"",INDEX(CalcBankB,$N283),""))</f>
        <v/>
      </c>
      <c r="E283" s="23">
        <f>IF($N283&lt;&gt;"",IF(INDEX(CalcDepB,$N283)=0,"",INDEX(CalcDepB,$N283)),"")</f>
        <v/>
      </c>
      <c r="F283" s="23">
        <f>IF($M283&lt;&gt;"",IF(INDEX(CalcQtyA,$M283)=0,"",INDEX(CalcQtyA,$M283)),"")</f>
        <v/>
      </c>
      <c r="G283" s="23">
        <f>IF($M283&lt;&gt;"",IF(INDEX(CalcPriceA,$M283)=0,"",INDEX(CalcPriceA,$M283)),"")</f>
        <v/>
      </c>
      <c r="H283" s="23">
        <f>IF($N283&lt;&gt;"",IF(INDEX(CalcWitB,$N283)=0,"",INDEX(CalcWitB,$N283)),"")</f>
        <v/>
      </c>
      <c r="I283" s="24">
        <f>IF($M283&lt;&gt;"",INDEX(CalcAmtA,$M283),"")</f>
        <v/>
      </c>
      <c r="J283" s="24">
        <f>IF($B283="","",IF($J282="",$C$8,$J282)+IF($I283="",0,$I283)+IF($E283="",0,$E283)-IF($H283="",0,$H283))</f>
        <v/>
      </c>
      <c r="K283" s="25">
        <f>IF($M283&lt;&gt;"",IF(INDEX(CalcNoteA,$M283)="","—",INDEX(CalcNoteA,$M283)),IF($N283&lt;&gt;"",IF(INDEX(CalcNoteB,$N283)="","—",INDEX(CalcNoteB,$N283)),""))</f>
        <v/>
      </c>
      <c r="M283">
        <f>IFERROR(MATCH($C$5&amp;"|"&amp;RIGHT("000000"&amp;267,6),CalcRankKeyA,0),"")</f>
        <v/>
      </c>
      <c r="N283">
        <f>IFERROR(MATCH($C$5&amp;"|"&amp;RIGHT("000000"&amp;267,6),CalcRankKeyB,0),"")</f>
        <v/>
      </c>
    </row>
    <row r="284">
      <c r="A284" s="26" t="n">
        <v>268</v>
      </c>
      <c r="B284" s="27">
        <f>IF(AND($M284="",$N284=""),"",IF($M284&lt;&gt;"",INDEX(CalcDateA,$M284),INDEX(CalcDateB,$N284)))</f>
        <v/>
      </c>
      <c r="C284" s="27">
        <f>IF($M284&lt;&gt;"","خرید سبد",IF($N284&lt;&gt;"",IF(N(INDEX(CalcDepB,$N284))&gt;0,"دریافت بانکی","پرداخت بانکی"),""))</f>
        <v/>
      </c>
      <c r="D284" s="27">
        <f>IF($M284&lt;&gt;"",IF(INDEX(CalcDocA,$M284)="","—",INDEX(CalcDocA,$M284)),IF($N284&lt;&gt;"",INDEX(CalcBankB,$N284),""))</f>
        <v/>
      </c>
      <c r="E284" s="28">
        <f>IF($N284&lt;&gt;"",IF(INDEX(CalcDepB,$N284)=0,"",INDEX(CalcDepB,$N284)),"")</f>
        <v/>
      </c>
      <c r="F284" s="28">
        <f>IF($M284&lt;&gt;"",IF(INDEX(CalcQtyA,$M284)=0,"",INDEX(CalcQtyA,$M284)),"")</f>
        <v/>
      </c>
      <c r="G284" s="28">
        <f>IF($M284&lt;&gt;"",IF(INDEX(CalcPriceA,$M284)=0,"",INDEX(CalcPriceA,$M284)),"")</f>
        <v/>
      </c>
      <c r="H284" s="28">
        <f>IF($N284&lt;&gt;"",IF(INDEX(CalcWitB,$N284)=0,"",INDEX(CalcWitB,$N284)),"")</f>
        <v/>
      </c>
      <c r="I284" s="29">
        <f>IF($M284&lt;&gt;"",INDEX(CalcAmtA,$M284),"")</f>
        <v/>
      </c>
      <c r="J284" s="29">
        <f>IF($B284="","",IF($J283="",$C$8,$J283)+IF($I284="",0,$I284)+IF($E284="",0,$E284)-IF($H284="",0,$H284))</f>
        <v/>
      </c>
      <c r="K284" s="30">
        <f>IF($M284&lt;&gt;"",IF(INDEX(CalcNoteA,$M284)="","—",INDEX(CalcNoteA,$M284)),IF($N284&lt;&gt;"",IF(INDEX(CalcNoteB,$N284)="","—",INDEX(CalcNoteB,$N284)),""))</f>
        <v/>
      </c>
      <c r="M284">
        <f>IFERROR(MATCH($C$5&amp;"|"&amp;RIGHT("000000"&amp;268,6),CalcRankKeyA,0),"")</f>
        <v/>
      </c>
      <c r="N284">
        <f>IFERROR(MATCH($C$5&amp;"|"&amp;RIGHT("000000"&amp;268,6),CalcRankKeyB,0),"")</f>
        <v/>
      </c>
    </row>
    <row r="285">
      <c r="A285" s="21" t="n">
        <v>269</v>
      </c>
      <c r="B285" s="22">
        <f>IF(AND($M285="",$N285=""),"",IF($M285&lt;&gt;"",INDEX(CalcDateA,$M285),INDEX(CalcDateB,$N285)))</f>
        <v/>
      </c>
      <c r="C285" s="22">
        <f>IF($M285&lt;&gt;"","خرید سبد",IF($N285&lt;&gt;"",IF(N(INDEX(CalcDepB,$N285))&gt;0,"دریافت بانکی","پرداخت بانکی"),""))</f>
        <v/>
      </c>
      <c r="D285" s="22">
        <f>IF($M285&lt;&gt;"",IF(INDEX(CalcDocA,$M285)="","—",INDEX(CalcDocA,$M285)),IF($N285&lt;&gt;"",INDEX(CalcBankB,$N285),""))</f>
        <v/>
      </c>
      <c r="E285" s="23">
        <f>IF($N285&lt;&gt;"",IF(INDEX(CalcDepB,$N285)=0,"",INDEX(CalcDepB,$N285)),"")</f>
        <v/>
      </c>
      <c r="F285" s="23">
        <f>IF($M285&lt;&gt;"",IF(INDEX(CalcQtyA,$M285)=0,"",INDEX(CalcQtyA,$M285)),"")</f>
        <v/>
      </c>
      <c r="G285" s="23">
        <f>IF($M285&lt;&gt;"",IF(INDEX(CalcPriceA,$M285)=0,"",INDEX(CalcPriceA,$M285)),"")</f>
        <v/>
      </c>
      <c r="H285" s="23">
        <f>IF($N285&lt;&gt;"",IF(INDEX(CalcWitB,$N285)=0,"",INDEX(CalcWitB,$N285)),"")</f>
        <v/>
      </c>
      <c r="I285" s="24">
        <f>IF($M285&lt;&gt;"",INDEX(CalcAmtA,$M285),"")</f>
        <v/>
      </c>
      <c r="J285" s="24">
        <f>IF($B285="","",IF($J284="",$C$8,$J284)+IF($I285="",0,$I285)+IF($E285="",0,$E285)-IF($H285="",0,$H285))</f>
        <v/>
      </c>
      <c r="K285" s="25">
        <f>IF($M285&lt;&gt;"",IF(INDEX(CalcNoteA,$M285)="","—",INDEX(CalcNoteA,$M285)),IF($N285&lt;&gt;"",IF(INDEX(CalcNoteB,$N285)="","—",INDEX(CalcNoteB,$N285)),""))</f>
        <v/>
      </c>
      <c r="M285">
        <f>IFERROR(MATCH($C$5&amp;"|"&amp;RIGHT("000000"&amp;269,6),CalcRankKeyA,0),"")</f>
        <v/>
      </c>
      <c r="N285">
        <f>IFERROR(MATCH($C$5&amp;"|"&amp;RIGHT("000000"&amp;269,6),CalcRankKeyB,0),"")</f>
        <v/>
      </c>
    </row>
    <row r="286">
      <c r="A286" s="26" t="n">
        <v>270</v>
      </c>
      <c r="B286" s="27">
        <f>IF(AND($M286="",$N286=""),"",IF($M286&lt;&gt;"",INDEX(CalcDateA,$M286),INDEX(CalcDateB,$N286)))</f>
        <v/>
      </c>
      <c r="C286" s="27">
        <f>IF($M286&lt;&gt;"","خرید سبد",IF($N286&lt;&gt;"",IF(N(INDEX(CalcDepB,$N286))&gt;0,"دریافت بانکی","پرداخت بانکی"),""))</f>
        <v/>
      </c>
      <c r="D286" s="27">
        <f>IF($M286&lt;&gt;"",IF(INDEX(CalcDocA,$M286)="","—",INDEX(CalcDocA,$M286)),IF($N286&lt;&gt;"",INDEX(CalcBankB,$N286),""))</f>
        <v/>
      </c>
      <c r="E286" s="28">
        <f>IF($N286&lt;&gt;"",IF(INDEX(CalcDepB,$N286)=0,"",INDEX(CalcDepB,$N286)),"")</f>
        <v/>
      </c>
      <c r="F286" s="28">
        <f>IF($M286&lt;&gt;"",IF(INDEX(CalcQtyA,$M286)=0,"",INDEX(CalcQtyA,$M286)),"")</f>
        <v/>
      </c>
      <c r="G286" s="28">
        <f>IF($M286&lt;&gt;"",IF(INDEX(CalcPriceA,$M286)=0,"",INDEX(CalcPriceA,$M286)),"")</f>
        <v/>
      </c>
      <c r="H286" s="28">
        <f>IF($N286&lt;&gt;"",IF(INDEX(CalcWitB,$N286)=0,"",INDEX(CalcWitB,$N286)),"")</f>
        <v/>
      </c>
      <c r="I286" s="29">
        <f>IF($M286&lt;&gt;"",INDEX(CalcAmtA,$M286),"")</f>
        <v/>
      </c>
      <c r="J286" s="29">
        <f>IF($B286="","",IF($J285="",$C$8,$J285)+IF($I286="",0,$I286)+IF($E286="",0,$E286)-IF($H286="",0,$H286))</f>
        <v/>
      </c>
      <c r="K286" s="30">
        <f>IF($M286&lt;&gt;"",IF(INDEX(CalcNoteA,$M286)="","—",INDEX(CalcNoteA,$M286)),IF($N286&lt;&gt;"",IF(INDEX(CalcNoteB,$N286)="","—",INDEX(CalcNoteB,$N286)),""))</f>
        <v/>
      </c>
      <c r="M286">
        <f>IFERROR(MATCH($C$5&amp;"|"&amp;RIGHT("000000"&amp;270,6),CalcRankKeyA,0),"")</f>
        <v/>
      </c>
      <c r="N286">
        <f>IFERROR(MATCH($C$5&amp;"|"&amp;RIGHT("000000"&amp;270,6),CalcRankKeyB,0),"")</f>
        <v/>
      </c>
    </row>
    <row r="287">
      <c r="A287" s="21" t="n">
        <v>271</v>
      </c>
      <c r="B287" s="22">
        <f>IF(AND($M287="",$N287=""),"",IF($M287&lt;&gt;"",INDEX(CalcDateA,$M287),INDEX(CalcDateB,$N287)))</f>
        <v/>
      </c>
      <c r="C287" s="22">
        <f>IF($M287&lt;&gt;"","خرید سبد",IF($N287&lt;&gt;"",IF(N(INDEX(CalcDepB,$N287))&gt;0,"دریافت بانکی","پرداخت بانکی"),""))</f>
        <v/>
      </c>
      <c r="D287" s="22">
        <f>IF($M287&lt;&gt;"",IF(INDEX(CalcDocA,$M287)="","—",INDEX(CalcDocA,$M287)),IF($N287&lt;&gt;"",INDEX(CalcBankB,$N287),""))</f>
        <v/>
      </c>
      <c r="E287" s="23">
        <f>IF($N287&lt;&gt;"",IF(INDEX(CalcDepB,$N287)=0,"",INDEX(CalcDepB,$N287)),"")</f>
        <v/>
      </c>
      <c r="F287" s="23">
        <f>IF($M287&lt;&gt;"",IF(INDEX(CalcQtyA,$M287)=0,"",INDEX(CalcQtyA,$M287)),"")</f>
        <v/>
      </c>
      <c r="G287" s="23">
        <f>IF($M287&lt;&gt;"",IF(INDEX(CalcPriceA,$M287)=0,"",INDEX(CalcPriceA,$M287)),"")</f>
        <v/>
      </c>
      <c r="H287" s="23">
        <f>IF($N287&lt;&gt;"",IF(INDEX(CalcWitB,$N287)=0,"",INDEX(CalcWitB,$N287)),"")</f>
        <v/>
      </c>
      <c r="I287" s="24">
        <f>IF($M287&lt;&gt;"",INDEX(CalcAmtA,$M287),"")</f>
        <v/>
      </c>
      <c r="J287" s="24">
        <f>IF($B287="","",IF($J286="",$C$8,$J286)+IF($I287="",0,$I287)+IF($E287="",0,$E287)-IF($H287="",0,$H287))</f>
        <v/>
      </c>
      <c r="K287" s="25">
        <f>IF($M287&lt;&gt;"",IF(INDEX(CalcNoteA,$M287)="","—",INDEX(CalcNoteA,$M287)),IF($N287&lt;&gt;"",IF(INDEX(CalcNoteB,$N287)="","—",INDEX(CalcNoteB,$N287)),""))</f>
        <v/>
      </c>
      <c r="M287">
        <f>IFERROR(MATCH($C$5&amp;"|"&amp;RIGHT("000000"&amp;271,6),CalcRankKeyA,0),"")</f>
        <v/>
      </c>
      <c r="N287">
        <f>IFERROR(MATCH($C$5&amp;"|"&amp;RIGHT("000000"&amp;271,6),CalcRankKeyB,0),"")</f>
        <v/>
      </c>
    </row>
    <row r="288">
      <c r="A288" s="26" t="n">
        <v>272</v>
      </c>
      <c r="B288" s="27">
        <f>IF(AND($M288="",$N288=""),"",IF($M288&lt;&gt;"",INDEX(CalcDateA,$M288),INDEX(CalcDateB,$N288)))</f>
        <v/>
      </c>
      <c r="C288" s="27">
        <f>IF($M288&lt;&gt;"","خرید سبد",IF($N288&lt;&gt;"",IF(N(INDEX(CalcDepB,$N288))&gt;0,"دریافت بانکی","پرداخت بانکی"),""))</f>
        <v/>
      </c>
      <c r="D288" s="27">
        <f>IF($M288&lt;&gt;"",IF(INDEX(CalcDocA,$M288)="","—",INDEX(CalcDocA,$M288)),IF($N288&lt;&gt;"",INDEX(CalcBankB,$N288),""))</f>
        <v/>
      </c>
      <c r="E288" s="28">
        <f>IF($N288&lt;&gt;"",IF(INDEX(CalcDepB,$N288)=0,"",INDEX(CalcDepB,$N288)),"")</f>
        <v/>
      </c>
      <c r="F288" s="28">
        <f>IF($M288&lt;&gt;"",IF(INDEX(CalcQtyA,$M288)=0,"",INDEX(CalcQtyA,$M288)),"")</f>
        <v/>
      </c>
      <c r="G288" s="28">
        <f>IF($M288&lt;&gt;"",IF(INDEX(CalcPriceA,$M288)=0,"",INDEX(CalcPriceA,$M288)),"")</f>
        <v/>
      </c>
      <c r="H288" s="28">
        <f>IF($N288&lt;&gt;"",IF(INDEX(CalcWitB,$N288)=0,"",INDEX(CalcWitB,$N288)),"")</f>
        <v/>
      </c>
      <c r="I288" s="29">
        <f>IF($M288&lt;&gt;"",INDEX(CalcAmtA,$M288),"")</f>
        <v/>
      </c>
      <c r="J288" s="29">
        <f>IF($B288="","",IF($J287="",$C$8,$J287)+IF($I288="",0,$I288)+IF($E288="",0,$E288)-IF($H288="",0,$H288))</f>
        <v/>
      </c>
      <c r="K288" s="30">
        <f>IF($M288&lt;&gt;"",IF(INDEX(CalcNoteA,$M288)="","—",INDEX(CalcNoteA,$M288)),IF($N288&lt;&gt;"",IF(INDEX(CalcNoteB,$N288)="","—",INDEX(CalcNoteB,$N288)),""))</f>
        <v/>
      </c>
      <c r="M288">
        <f>IFERROR(MATCH($C$5&amp;"|"&amp;RIGHT("000000"&amp;272,6),CalcRankKeyA,0),"")</f>
        <v/>
      </c>
      <c r="N288">
        <f>IFERROR(MATCH($C$5&amp;"|"&amp;RIGHT("000000"&amp;272,6),CalcRankKeyB,0),"")</f>
        <v/>
      </c>
    </row>
    <row r="289">
      <c r="A289" s="21" t="n">
        <v>273</v>
      </c>
      <c r="B289" s="22">
        <f>IF(AND($M289="",$N289=""),"",IF($M289&lt;&gt;"",INDEX(CalcDateA,$M289),INDEX(CalcDateB,$N289)))</f>
        <v/>
      </c>
      <c r="C289" s="22">
        <f>IF($M289&lt;&gt;"","خرید سبد",IF($N289&lt;&gt;"",IF(N(INDEX(CalcDepB,$N289))&gt;0,"دریافت بانکی","پرداخت بانکی"),""))</f>
        <v/>
      </c>
      <c r="D289" s="22">
        <f>IF($M289&lt;&gt;"",IF(INDEX(CalcDocA,$M289)="","—",INDEX(CalcDocA,$M289)),IF($N289&lt;&gt;"",INDEX(CalcBankB,$N289),""))</f>
        <v/>
      </c>
      <c r="E289" s="23">
        <f>IF($N289&lt;&gt;"",IF(INDEX(CalcDepB,$N289)=0,"",INDEX(CalcDepB,$N289)),"")</f>
        <v/>
      </c>
      <c r="F289" s="23">
        <f>IF($M289&lt;&gt;"",IF(INDEX(CalcQtyA,$M289)=0,"",INDEX(CalcQtyA,$M289)),"")</f>
        <v/>
      </c>
      <c r="G289" s="23">
        <f>IF($M289&lt;&gt;"",IF(INDEX(CalcPriceA,$M289)=0,"",INDEX(CalcPriceA,$M289)),"")</f>
        <v/>
      </c>
      <c r="H289" s="23">
        <f>IF($N289&lt;&gt;"",IF(INDEX(CalcWitB,$N289)=0,"",INDEX(CalcWitB,$N289)),"")</f>
        <v/>
      </c>
      <c r="I289" s="24">
        <f>IF($M289&lt;&gt;"",INDEX(CalcAmtA,$M289),"")</f>
        <v/>
      </c>
      <c r="J289" s="24">
        <f>IF($B289="","",IF($J288="",$C$8,$J288)+IF($I289="",0,$I289)+IF($E289="",0,$E289)-IF($H289="",0,$H289))</f>
        <v/>
      </c>
      <c r="K289" s="25">
        <f>IF($M289&lt;&gt;"",IF(INDEX(CalcNoteA,$M289)="","—",INDEX(CalcNoteA,$M289)),IF($N289&lt;&gt;"",IF(INDEX(CalcNoteB,$N289)="","—",INDEX(CalcNoteB,$N289)),""))</f>
        <v/>
      </c>
      <c r="M289">
        <f>IFERROR(MATCH($C$5&amp;"|"&amp;RIGHT("000000"&amp;273,6),CalcRankKeyA,0),"")</f>
        <v/>
      </c>
      <c r="N289">
        <f>IFERROR(MATCH($C$5&amp;"|"&amp;RIGHT("000000"&amp;273,6),CalcRankKeyB,0),"")</f>
        <v/>
      </c>
    </row>
    <row r="290">
      <c r="A290" s="26" t="n">
        <v>274</v>
      </c>
      <c r="B290" s="27">
        <f>IF(AND($M290="",$N290=""),"",IF($M290&lt;&gt;"",INDEX(CalcDateA,$M290),INDEX(CalcDateB,$N290)))</f>
        <v/>
      </c>
      <c r="C290" s="27">
        <f>IF($M290&lt;&gt;"","خرید سبد",IF($N290&lt;&gt;"",IF(N(INDEX(CalcDepB,$N290))&gt;0,"دریافت بانکی","پرداخت بانکی"),""))</f>
        <v/>
      </c>
      <c r="D290" s="27">
        <f>IF($M290&lt;&gt;"",IF(INDEX(CalcDocA,$M290)="","—",INDEX(CalcDocA,$M290)),IF($N290&lt;&gt;"",INDEX(CalcBankB,$N290),""))</f>
        <v/>
      </c>
      <c r="E290" s="28">
        <f>IF($N290&lt;&gt;"",IF(INDEX(CalcDepB,$N290)=0,"",INDEX(CalcDepB,$N290)),"")</f>
        <v/>
      </c>
      <c r="F290" s="28">
        <f>IF($M290&lt;&gt;"",IF(INDEX(CalcQtyA,$M290)=0,"",INDEX(CalcQtyA,$M290)),"")</f>
        <v/>
      </c>
      <c r="G290" s="28">
        <f>IF($M290&lt;&gt;"",IF(INDEX(CalcPriceA,$M290)=0,"",INDEX(CalcPriceA,$M290)),"")</f>
        <v/>
      </c>
      <c r="H290" s="28">
        <f>IF($N290&lt;&gt;"",IF(INDEX(CalcWitB,$N290)=0,"",INDEX(CalcWitB,$N290)),"")</f>
        <v/>
      </c>
      <c r="I290" s="29">
        <f>IF($M290&lt;&gt;"",INDEX(CalcAmtA,$M290),"")</f>
        <v/>
      </c>
      <c r="J290" s="29">
        <f>IF($B290="","",IF($J289="",$C$8,$J289)+IF($I290="",0,$I290)+IF($E290="",0,$E290)-IF($H290="",0,$H290))</f>
        <v/>
      </c>
      <c r="K290" s="30">
        <f>IF($M290&lt;&gt;"",IF(INDEX(CalcNoteA,$M290)="","—",INDEX(CalcNoteA,$M290)),IF($N290&lt;&gt;"",IF(INDEX(CalcNoteB,$N290)="","—",INDEX(CalcNoteB,$N290)),""))</f>
        <v/>
      </c>
      <c r="M290">
        <f>IFERROR(MATCH($C$5&amp;"|"&amp;RIGHT("000000"&amp;274,6),CalcRankKeyA,0),"")</f>
        <v/>
      </c>
      <c r="N290">
        <f>IFERROR(MATCH($C$5&amp;"|"&amp;RIGHT("000000"&amp;274,6),CalcRankKeyB,0),"")</f>
        <v/>
      </c>
    </row>
    <row r="291">
      <c r="A291" s="21" t="n">
        <v>275</v>
      </c>
      <c r="B291" s="22">
        <f>IF(AND($M291="",$N291=""),"",IF($M291&lt;&gt;"",INDEX(CalcDateA,$M291),INDEX(CalcDateB,$N291)))</f>
        <v/>
      </c>
      <c r="C291" s="22">
        <f>IF($M291&lt;&gt;"","خرید سبد",IF($N291&lt;&gt;"",IF(N(INDEX(CalcDepB,$N291))&gt;0,"دریافت بانکی","پرداخت بانکی"),""))</f>
        <v/>
      </c>
      <c r="D291" s="22">
        <f>IF($M291&lt;&gt;"",IF(INDEX(CalcDocA,$M291)="","—",INDEX(CalcDocA,$M291)),IF($N291&lt;&gt;"",INDEX(CalcBankB,$N291),""))</f>
        <v/>
      </c>
      <c r="E291" s="23">
        <f>IF($N291&lt;&gt;"",IF(INDEX(CalcDepB,$N291)=0,"",INDEX(CalcDepB,$N291)),"")</f>
        <v/>
      </c>
      <c r="F291" s="23">
        <f>IF($M291&lt;&gt;"",IF(INDEX(CalcQtyA,$M291)=0,"",INDEX(CalcQtyA,$M291)),"")</f>
        <v/>
      </c>
      <c r="G291" s="23">
        <f>IF($M291&lt;&gt;"",IF(INDEX(CalcPriceA,$M291)=0,"",INDEX(CalcPriceA,$M291)),"")</f>
        <v/>
      </c>
      <c r="H291" s="23">
        <f>IF($N291&lt;&gt;"",IF(INDEX(CalcWitB,$N291)=0,"",INDEX(CalcWitB,$N291)),"")</f>
        <v/>
      </c>
      <c r="I291" s="24">
        <f>IF($M291&lt;&gt;"",INDEX(CalcAmtA,$M291),"")</f>
        <v/>
      </c>
      <c r="J291" s="24">
        <f>IF($B291="","",IF($J290="",$C$8,$J290)+IF($I291="",0,$I291)+IF($E291="",0,$E291)-IF($H291="",0,$H291))</f>
        <v/>
      </c>
      <c r="K291" s="25">
        <f>IF($M291&lt;&gt;"",IF(INDEX(CalcNoteA,$M291)="","—",INDEX(CalcNoteA,$M291)),IF($N291&lt;&gt;"",IF(INDEX(CalcNoteB,$N291)="","—",INDEX(CalcNoteB,$N291)),""))</f>
        <v/>
      </c>
      <c r="M291">
        <f>IFERROR(MATCH($C$5&amp;"|"&amp;RIGHT("000000"&amp;275,6),CalcRankKeyA,0),"")</f>
        <v/>
      </c>
      <c r="N291">
        <f>IFERROR(MATCH($C$5&amp;"|"&amp;RIGHT("000000"&amp;275,6),CalcRankKeyB,0),"")</f>
        <v/>
      </c>
    </row>
    <row r="292">
      <c r="A292" s="26" t="n">
        <v>276</v>
      </c>
      <c r="B292" s="27">
        <f>IF(AND($M292="",$N292=""),"",IF($M292&lt;&gt;"",INDEX(CalcDateA,$M292),INDEX(CalcDateB,$N292)))</f>
        <v/>
      </c>
      <c r="C292" s="27">
        <f>IF($M292&lt;&gt;"","خرید سبد",IF($N292&lt;&gt;"",IF(N(INDEX(CalcDepB,$N292))&gt;0,"دریافت بانکی","پرداخت بانکی"),""))</f>
        <v/>
      </c>
      <c r="D292" s="27">
        <f>IF($M292&lt;&gt;"",IF(INDEX(CalcDocA,$M292)="","—",INDEX(CalcDocA,$M292)),IF($N292&lt;&gt;"",INDEX(CalcBankB,$N292),""))</f>
        <v/>
      </c>
      <c r="E292" s="28">
        <f>IF($N292&lt;&gt;"",IF(INDEX(CalcDepB,$N292)=0,"",INDEX(CalcDepB,$N292)),"")</f>
        <v/>
      </c>
      <c r="F292" s="28">
        <f>IF($M292&lt;&gt;"",IF(INDEX(CalcQtyA,$M292)=0,"",INDEX(CalcQtyA,$M292)),"")</f>
        <v/>
      </c>
      <c r="G292" s="28">
        <f>IF($M292&lt;&gt;"",IF(INDEX(CalcPriceA,$M292)=0,"",INDEX(CalcPriceA,$M292)),"")</f>
        <v/>
      </c>
      <c r="H292" s="28">
        <f>IF($N292&lt;&gt;"",IF(INDEX(CalcWitB,$N292)=0,"",INDEX(CalcWitB,$N292)),"")</f>
        <v/>
      </c>
      <c r="I292" s="29">
        <f>IF($M292&lt;&gt;"",INDEX(CalcAmtA,$M292),"")</f>
        <v/>
      </c>
      <c r="J292" s="29">
        <f>IF($B292="","",IF($J291="",$C$8,$J291)+IF($I292="",0,$I292)+IF($E292="",0,$E292)-IF($H292="",0,$H292))</f>
        <v/>
      </c>
      <c r="K292" s="30">
        <f>IF($M292&lt;&gt;"",IF(INDEX(CalcNoteA,$M292)="","—",INDEX(CalcNoteA,$M292)),IF($N292&lt;&gt;"",IF(INDEX(CalcNoteB,$N292)="","—",INDEX(CalcNoteB,$N292)),""))</f>
        <v/>
      </c>
      <c r="M292">
        <f>IFERROR(MATCH($C$5&amp;"|"&amp;RIGHT("000000"&amp;276,6),CalcRankKeyA,0),"")</f>
        <v/>
      </c>
      <c r="N292">
        <f>IFERROR(MATCH($C$5&amp;"|"&amp;RIGHT("000000"&amp;276,6),CalcRankKeyB,0),"")</f>
        <v/>
      </c>
    </row>
    <row r="293">
      <c r="A293" s="21" t="n">
        <v>277</v>
      </c>
      <c r="B293" s="22">
        <f>IF(AND($M293="",$N293=""),"",IF($M293&lt;&gt;"",INDEX(CalcDateA,$M293),INDEX(CalcDateB,$N293)))</f>
        <v/>
      </c>
      <c r="C293" s="22">
        <f>IF($M293&lt;&gt;"","خرید سبد",IF($N293&lt;&gt;"",IF(N(INDEX(CalcDepB,$N293))&gt;0,"دریافت بانکی","پرداخت بانکی"),""))</f>
        <v/>
      </c>
      <c r="D293" s="22">
        <f>IF($M293&lt;&gt;"",IF(INDEX(CalcDocA,$M293)="","—",INDEX(CalcDocA,$M293)),IF($N293&lt;&gt;"",INDEX(CalcBankB,$N293),""))</f>
        <v/>
      </c>
      <c r="E293" s="23">
        <f>IF($N293&lt;&gt;"",IF(INDEX(CalcDepB,$N293)=0,"",INDEX(CalcDepB,$N293)),"")</f>
        <v/>
      </c>
      <c r="F293" s="23">
        <f>IF($M293&lt;&gt;"",IF(INDEX(CalcQtyA,$M293)=0,"",INDEX(CalcQtyA,$M293)),"")</f>
        <v/>
      </c>
      <c r="G293" s="23">
        <f>IF($M293&lt;&gt;"",IF(INDEX(CalcPriceA,$M293)=0,"",INDEX(CalcPriceA,$M293)),"")</f>
        <v/>
      </c>
      <c r="H293" s="23">
        <f>IF($N293&lt;&gt;"",IF(INDEX(CalcWitB,$N293)=0,"",INDEX(CalcWitB,$N293)),"")</f>
        <v/>
      </c>
      <c r="I293" s="24">
        <f>IF($M293&lt;&gt;"",INDEX(CalcAmtA,$M293),"")</f>
        <v/>
      </c>
      <c r="J293" s="24">
        <f>IF($B293="","",IF($J292="",$C$8,$J292)+IF($I293="",0,$I293)+IF($E293="",0,$E293)-IF($H293="",0,$H293))</f>
        <v/>
      </c>
      <c r="K293" s="25">
        <f>IF($M293&lt;&gt;"",IF(INDEX(CalcNoteA,$M293)="","—",INDEX(CalcNoteA,$M293)),IF($N293&lt;&gt;"",IF(INDEX(CalcNoteB,$N293)="","—",INDEX(CalcNoteB,$N293)),""))</f>
        <v/>
      </c>
      <c r="M293">
        <f>IFERROR(MATCH($C$5&amp;"|"&amp;RIGHT("000000"&amp;277,6),CalcRankKeyA,0),"")</f>
        <v/>
      </c>
      <c r="N293">
        <f>IFERROR(MATCH($C$5&amp;"|"&amp;RIGHT("000000"&amp;277,6),CalcRankKeyB,0),"")</f>
        <v/>
      </c>
    </row>
    <row r="294">
      <c r="A294" s="26" t="n">
        <v>278</v>
      </c>
      <c r="B294" s="27">
        <f>IF(AND($M294="",$N294=""),"",IF($M294&lt;&gt;"",INDEX(CalcDateA,$M294),INDEX(CalcDateB,$N294)))</f>
        <v/>
      </c>
      <c r="C294" s="27">
        <f>IF($M294&lt;&gt;"","خرید سبد",IF($N294&lt;&gt;"",IF(N(INDEX(CalcDepB,$N294))&gt;0,"دریافت بانکی","پرداخت بانکی"),""))</f>
        <v/>
      </c>
      <c r="D294" s="27">
        <f>IF($M294&lt;&gt;"",IF(INDEX(CalcDocA,$M294)="","—",INDEX(CalcDocA,$M294)),IF($N294&lt;&gt;"",INDEX(CalcBankB,$N294),""))</f>
        <v/>
      </c>
      <c r="E294" s="28">
        <f>IF($N294&lt;&gt;"",IF(INDEX(CalcDepB,$N294)=0,"",INDEX(CalcDepB,$N294)),"")</f>
        <v/>
      </c>
      <c r="F294" s="28">
        <f>IF($M294&lt;&gt;"",IF(INDEX(CalcQtyA,$M294)=0,"",INDEX(CalcQtyA,$M294)),"")</f>
        <v/>
      </c>
      <c r="G294" s="28">
        <f>IF($M294&lt;&gt;"",IF(INDEX(CalcPriceA,$M294)=0,"",INDEX(CalcPriceA,$M294)),"")</f>
        <v/>
      </c>
      <c r="H294" s="28">
        <f>IF($N294&lt;&gt;"",IF(INDEX(CalcWitB,$N294)=0,"",INDEX(CalcWitB,$N294)),"")</f>
        <v/>
      </c>
      <c r="I294" s="29">
        <f>IF($M294&lt;&gt;"",INDEX(CalcAmtA,$M294),"")</f>
        <v/>
      </c>
      <c r="J294" s="29">
        <f>IF($B294="","",IF($J293="",$C$8,$J293)+IF($I294="",0,$I294)+IF($E294="",0,$E294)-IF($H294="",0,$H294))</f>
        <v/>
      </c>
      <c r="K294" s="30">
        <f>IF($M294&lt;&gt;"",IF(INDEX(CalcNoteA,$M294)="","—",INDEX(CalcNoteA,$M294)),IF($N294&lt;&gt;"",IF(INDEX(CalcNoteB,$N294)="","—",INDEX(CalcNoteB,$N294)),""))</f>
        <v/>
      </c>
      <c r="M294">
        <f>IFERROR(MATCH($C$5&amp;"|"&amp;RIGHT("000000"&amp;278,6),CalcRankKeyA,0),"")</f>
        <v/>
      </c>
      <c r="N294">
        <f>IFERROR(MATCH($C$5&amp;"|"&amp;RIGHT("000000"&amp;278,6),CalcRankKeyB,0),"")</f>
        <v/>
      </c>
    </row>
    <row r="295">
      <c r="A295" s="21" t="n">
        <v>279</v>
      </c>
      <c r="B295" s="22">
        <f>IF(AND($M295="",$N295=""),"",IF($M295&lt;&gt;"",INDEX(CalcDateA,$M295),INDEX(CalcDateB,$N295)))</f>
        <v/>
      </c>
      <c r="C295" s="22">
        <f>IF($M295&lt;&gt;"","خرید سبد",IF($N295&lt;&gt;"",IF(N(INDEX(CalcDepB,$N295))&gt;0,"دریافت بانکی","پرداخت بانکی"),""))</f>
        <v/>
      </c>
      <c r="D295" s="22">
        <f>IF($M295&lt;&gt;"",IF(INDEX(CalcDocA,$M295)="","—",INDEX(CalcDocA,$M295)),IF($N295&lt;&gt;"",INDEX(CalcBankB,$N295),""))</f>
        <v/>
      </c>
      <c r="E295" s="23">
        <f>IF($N295&lt;&gt;"",IF(INDEX(CalcDepB,$N295)=0,"",INDEX(CalcDepB,$N295)),"")</f>
        <v/>
      </c>
      <c r="F295" s="23">
        <f>IF($M295&lt;&gt;"",IF(INDEX(CalcQtyA,$M295)=0,"",INDEX(CalcQtyA,$M295)),"")</f>
        <v/>
      </c>
      <c r="G295" s="23">
        <f>IF($M295&lt;&gt;"",IF(INDEX(CalcPriceA,$M295)=0,"",INDEX(CalcPriceA,$M295)),"")</f>
        <v/>
      </c>
      <c r="H295" s="23">
        <f>IF($N295&lt;&gt;"",IF(INDEX(CalcWitB,$N295)=0,"",INDEX(CalcWitB,$N295)),"")</f>
        <v/>
      </c>
      <c r="I295" s="24">
        <f>IF($M295&lt;&gt;"",INDEX(CalcAmtA,$M295),"")</f>
        <v/>
      </c>
      <c r="J295" s="24">
        <f>IF($B295="","",IF($J294="",$C$8,$J294)+IF($I295="",0,$I295)+IF($E295="",0,$E295)-IF($H295="",0,$H295))</f>
        <v/>
      </c>
      <c r="K295" s="25">
        <f>IF($M295&lt;&gt;"",IF(INDEX(CalcNoteA,$M295)="","—",INDEX(CalcNoteA,$M295)),IF($N295&lt;&gt;"",IF(INDEX(CalcNoteB,$N295)="","—",INDEX(CalcNoteB,$N295)),""))</f>
        <v/>
      </c>
      <c r="M295">
        <f>IFERROR(MATCH($C$5&amp;"|"&amp;RIGHT("000000"&amp;279,6),CalcRankKeyA,0),"")</f>
        <v/>
      </c>
      <c r="N295">
        <f>IFERROR(MATCH($C$5&amp;"|"&amp;RIGHT("000000"&amp;279,6),CalcRankKeyB,0),"")</f>
        <v/>
      </c>
    </row>
    <row r="296">
      <c r="A296" s="26" t="n">
        <v>280</v>
      </c>
      <c r="B296" s="27">
        <f>IF(AND($M296="",$N296=""),"",IF($M296&lt;&gt;"",INDEX(CalcDateA,$M296),INDEX(CalcDateB,$N296)))</f>
        <v/>
      </c>
      <c r="C296" s="27">
        <f>IF($M296&lt;&gt;"","خرید سبد",IF($N296&lt;&gt;"",IF(N(INDEX(CalcDepB,$N296))&gt;0,"دریافت بانکی","پرداخت بانکی"),""))</f>
        <v/>
      </c>
      <c r="D296" s="27">
        <f>IF($M296&lt;&gt;"",IF(INDEX(CalcDocA,$M296)="","—",INDEX(CalcDocA,$M296)),IF($N296&lt;&gt;"",INDEX(CalcBankB,$N296),""))</f>
        <v/>
      </c>
      <c r="E296" s="28">
        <f>IF($N296&lt;&gt;"",IF(INDEX(CalcDepB,$N296)=0,"",INDEX(CalcDepB,$N296)),"")</f>
        <v/>
      </c>
      <c r="F296" s="28">
        <f>IF($M296&lt;&gt;"",IF(INDEX(CalcQtyA,$M296)=0,"",INDEX(CalcQtyA,$M296)),"")</f>
        <v/>
      </c>
      <c r="G296" s="28">
        <f>IF($M296&lt;&gt;"",IF(INDEX(CalcPriceA,$M296)=0,"",INDEX(CalcPriceA,$M296)),"")</f>
        <v/>
      </c>
      <c r="H296" s="28">
        <f>IF($N296&lt;&gt;"",IF(INDEX(CalcWitB,$N296)=0,"",INDEX(CalcWitB,$N296)),"")</f>
        <v/>
      </c>
      <c r="I296" s="29">
        <f>IF($M296&lt;&gt;"",INDEX(CalcAmtA,$M296),"")</f>
        <v/>
      </c>
      <c r="J296" s="29">
        <f>IF($B296="","",IF($J295="",$C$8,$J295)+IF($I296="",0,$I296)+IF($E296="",0,$E296)-IF($H296="",0,$H296))</f>
        <v/>
      </c>
      <c r="K296" s="30">
        <f>IF($M296&lt;&gt;"",IF(INDEX(CalcNoteA,$M296)="","—",INDEX(CalcNoteA,$M296)),IF($N296&lt;&gt;"",IF(INDEX(CalcNoteB,$N296)="","—",INDEX(CalcNoteB,$N296)),""))</f>
        <v/>
      </c>
      <c r="M296">
        <f>IFERROR(MATCH($C$5&amp;"|"&amp;RIGHT("000000"&amp;280,6),CalcRankKeyA,0),"")</f>
        <v/>
      </c>
      <c r="N296">
        <f>IFERROR(MATCH($C$5&amp;"|"&amp;RIGHT("000000"&amp;280,6),CalcRankKeyB,0),"")</f>
        <v/>
      </c>
    </row>
    <row r="297">
      <c r="A297" s="21" t="n">
        <v>281</v>
      </c>
      <c r="B297" s="22">
        <f>IF(AND($M297="",$N297=""),"",IF($M297&lt;&gt;"",INDEX(CalcDateA,$M297),INDEX(CalcDateB,$N297)))</f>
        <v/>
      </c>
      <c r="C297" s="22">
        <f>IF($M297&lt;&gt;"","خرید سبد",IF($N297&lt;&gt;"",IF(N(INDEX(CalcDepB,$N297))&gt;0,"دریافت بانکی","پرداخت بانکی"),""))</f>
        <v/>
      </c>
      <c r="D297" s="22">
        <f>IF($M297&lt;&gt;"",IF(INDEX(CalcDocA,$M297)="","—",INDEX(CalcDocA,$M297)),IF($N297&lt;&gt;"",INDEX(CalcBankB,$N297),""))</f>
        <v/>
      </c>
      <c r="E297" s="23">
        <f>IF($N297&lt;&gt;"",IF(INDEX(CalcDepB,$N297)=0,"",INDEX(CalcDepB,$N297)),"")</f>
        <v/>
      </c>
      <c r="F297" s="23">
        <f>IF($M297&lt;&gt;"",IF(INDEX(CalcQtyA,$M297)=0,"",INDEX(CalcQtyA,$M297)),"")</f>
        <v/>
      </c>
      <c r="G297" s="23">
        <f>IF($M297&lt;&gt;"",IF(INDEX(CalcPriceA,$M297)=0,"",INDEX(CalcPriceA,$M297)),"")</f>
        <v/>
      </c>
      <c r="H297" s="23">
        <f>IF($N297&lt;&gt;"",IF(INDEX(CalcWitB,$N297)=0,"",INDEX(CalcWitB,$N297)),"")</f>
        <v/>
      </c>
      <c r="I297" s="24">
        <f>IF($M297&lt;&gt;"",INDEX(CalcAmtA,$M297),"")</f>
        <v/>
      </c>
      <c r="J297" s="24">
        <f>IF($B297="","",IF($J296="",$C$8,$J296)+IF($I297="",0,$I297)+IF($E297="",0,$E297)-IF($H297="",0,$H297))</f>
        <v/>
      </c>
      <c r="K297" s="25">
        <f>IF($M297&lt;&gt;"",IF(INDEX(CalcNoteA,$M297)="","—",INDEX(CalcNoteA,$M297)),IF($N297&lt;&gt;"",IF(INDEX(CalcNoteB,$N297)="","—",INDEX(CalcNoteB,$N297)),""))</f>
        <v/>
      </c>
      <c r="M297">
        <f>IFERROR(MATCH($C$5&amp;"|"&amp;RIGHT("000000"&amp;281,6),CalcRankKeyA,0),"")</f>
        <v/>
      </c>
      <c r="N297">
        <f>IFERROR(MATCH($C$5&amp;"|"&amp;RIGHT("000000"&amp;281,6),CalcRankKeyB,0),"")</f>
        <v/>
      </c>
    </row>
    <row r="298">
      <c r="A298" s="26" t="n">
        <v>282</v>
      </c>
      <c r="B298" s="27">
        <f>IF(AND($M298="",$N298=""),"",IF($M298&lt;&gt;"",INDEX(CalcDateA,$M298),INDEX(CalcDateB,$N298)))</f>
        <v/>
      </c>
      <c r="C298" s="27">
        <f>IF($M298&lt;&gt;"","خرید سبد",IF($N298&lt;&gt;"",IF(N(INDEX(CalcDepB,$N298))&gt;0,"دریافت بانکی","پرداخت بانکی"),""))</f>
        <v/>
      </c>
      <c r="D298" s="27">
        <f>IF($M298&lt;&gt;"",IF(INDEX(CalcDocA,$M298)="","—",INDEX(CalcDocA,$M298)),IF($N298&lt;&gt;"",INDEX(CalcBankB,$N298),""))</f>
        <v/>
      </c>
      <c r="E298" s="28">
        <f>IF($N298&lt;&gt;"",IF(INDEX(CalcDepB,$N298)=0,"",INDEX(CalcDepB,$N298)),"")</f>
        <v/>
      </c>
      <c r="F298" s="28">
        <f>IF($M298&lt;&gt;"",IF(INDEX(CalcQtyA,$M298)=0,"",INDEX(CalcQtyA,$M298)),"")</f>
        <v/>
      </c>
      <c r="G298" s="28">
        <f>IF($M298&lt;&gt;"",IF(INDEX(CalcPriceA,$M298)=0,"",INDEX(CalcPriceA,$M298)),"")</f>
        <v/>
      </c>
      <c r="H298" s="28">
        <f>IF($N298&lt;&gt;"",IF(INDEX(CalcWitB,$N298)=0,"",INDEX(CalcWitB,$N298)),"")</f>
        <v/>
      </c>
      <c r="I298" s="29">
        <f>IF($M298&lt;&gt;"",INDEX(CalcAmtA,$M298),"")</f>
        <v/>
      </c>
      <c r="J298" s="29">
        <f>IF($B298="","",IF($J297="",$C$8,$J297)+IF($I298="",0,$I298)+IF($E298="",0,$E298)-IF($H298="",0,$H298))</f>
        <v/>
      </c>
      <c r="K298" s="30">
        <f>IF($M298&lt;&gt;"",IF(INDEX(CalcNoteA,$M298)="","—",INDEX(CalcNoteA,$M298)),IF($N298&lt;&gt;"",IF(INDEX(CalcNoteB,$N298)="","—",INDEX(CalcNoteB,$N298)),""))</f>
        <v/>
      </c>
      <c r="M298">
        <f>IFERROR(MATCH($C$5&amp;"|"&amp;RIGHT("000000"&amp;282,6),CalcRankKeyA,0),"")</f>
        <v/>
      </c>
      <c r="N298">
        <f>IFERROR(MATCH($C$5&amp;"|"&amp;RIGHT("000000"&amp;282,6),CalcRankKeyB,0),"")</f>
        <v/>
      </c>
    </row>
    <row r="299">
      <c r="A299" s="21" t="n">
        <v>283</v>
      </c>
      <c r="B299" s="22">
        <f>IF(AND($M299="",$N299=""),"",IF($M299&lt;&gt;"",INDEX(CalcDateA,$M299),INDEX(CalcDateB,$N299)))</f>
        <v/>
      </c>
      <c r="C299" s="22">
        <f>IF($M299&lt;&gt;"","خرید سبد",IF($N299&lt;&gt;"",IF(N(INDEX(CalcDepB,$N299))&gt;0,"دریافت بانکی","پرداخت بانکی"),""))</f>
        <v/>
      </c>
      <c r="D299" s="22">
        <f>IF($M299&lt;&gt;"",IF(INDEX(CalcDocA,$M299)="","—",INDEX(CalcDocA,$M299)),IF($N299&lt;&gt;"",INDEX(CalcBankB,$N299),""))</f>
        <v/>
      </c>
      <c r="E299" s="23">
        <f>IF($N299&lt;&gt;"",IF(INDEX(CalcDepB,$N299)=0,"",INDEX(CalcDepB,$N299)),"")</f>
        <v/>
      </c>
      <c r="F299" s="23">
        <f>IF($M299&lt;&gt;"",IF(INDEX(CalcQtyA,$M299)=0,"",INDEX(CalcQtyA,$M299)),"")</f>
        <v/>
      </c>
      <c r="G299" s="23">
        <f>IF($M299&lt;&gt;"",IF(INDEX(CalcPriceA,$M299)=0,"",INDEX(CalcPriceA,$M299)),"")</f>
        <v/>
      </c>
      <c r="H299" s="23">
        <f>IF($N299&lt;&gt;"",IF(INDEX(CalcWitB,$N299)=0,"",INDEX(CalcWitB,$N299)),"")</f>
        <v/>
      </c>
      <c r="I299" s="24">
        <f>IF($M299&lt;&gt;"",INDEX(CalcAmtA,$M299),"")</f>
        <v/>
      </c>
      <c r="J299" s="24">
        <f>IF($B299="","",IF($J298="",$C$8,$J298)+IF($I299="",0,$I299)+IF($E299="",0,$E299)-IF($H299="",0,$H299))</f>
        <v/>
      </c>
      <c r="K299" s="25">
        <f>IF($M299&lt;&gt;"",IF(INDEX(CalcNoteA,$M299)="","—",INDEX(CalcNoteA,$M299)),IF($N299&lt;&gt;"",IF(INDEX(CalcNoteB,$N299)="","—",INDEX(CalcNoteB,$N299)),""))</f>
        <v/>
      </c>
      <c r="M299">
        <f>IFERROR(MATCH($C$5&amp;"|"&amp;RIGHT("000000"&amp;283,6),CalcRankKeyA,0),"")</f>
        <v/>
      </c>
      <c r="N299">
        <f>IFERROR(MATCH($C$5&amp;"|"&amp;RIGHT("000000"&amp;283,6),CalcRankKeyB,0),"")</f>
        <v/>
      </c>
    </row>
    <row r="300">
      <c r="A300" s="26" t="n">
        <v>284</v>
      </c>
      <c r="B300" s="27">
        <f>IF(AND($M300="",$N300=""),"",IF($M300&lt;&gt;"",INDEX(CalcDateA,$M300),INDEX(CalcDateB,$N300)))</f>
        <v/>
      </c>
      <c r="C300" s="27">
        <f>IF($M300&lt;&gt;"","خرید سبد",IF($N300&lt;&gt;"",IF(N(INDEX(CalcDepB,$N300))&gt;0,"دریافت بانکی","پرداخت بانکی"),""))</f>
        <v/>
      </c>
      <c r="D300" s="27">
        <f>IF($M300&lt;&gt;"",IF(INDEX(CalcDocA,$M300)="","—",INDEX(CalcDocA,$M300)),IF($N300&lt;&gt;"",INDEX(CalcBankB,$N300),""))</f>
        <v/>
      </c>
      <c r="E300" s="28">
        <f>IF($N300&lt;&gt;"",IF(INDEX(CalcDepB,$N300)=0,"",INDEX(CalcDepB,$N300)),"")</f>
        <v/>
      </c>
      <c r="F300" s="28">
        <f>IF($M300&lt;&gt;"",IF(INDEX(CalcQtyA,$M300)=0,"",INDEX(CalcQtyA,$M300)),"")</f>
        <v/>
      </c>
      <c r="G300" s="28">
        <f>IF($M300&lt;&gt;"",IF(INDEX(CalcPriceA,$M300)=0,"",INDEX(CalcPriceA,$M300)),"")</f>
        <v/>
      </c>
      <c r="H300" s="28">
        <f>IF($N300&lt;&gt;"",IF(INDEX(CalcWitB,$N300)=0,"",INDEX(CalcWitB,$N300)),"")</f>
        <v/>
      </c>
      <c r="I300" s="29">
        <f>IF($M300&lt;&gt;"",INDEX(CalcAmtA,$M300),"")</f>
        <v/>
      </c>
      <c r="J300" s="29">
        <f>IF($B300="","",IF($J299="",$C$8,$J299)+IF($I300="",0,$I300)+IF($E300="",0,$E300)-IF($H300="",0,$H300))</f>
        <v/>
      </c>
      <c r="K300" s="30">
        <f>IF($M300&lt;&gt;"",IF(INDEX(CalcNoteA,$M300)="","—",INDEX(CalcNoteA,$M300)),IF($N300&lt;&gt;"",IF(INDEX(CalcNoteB,$N300)="","—",INDEX(CalcNoteB,$N300)),""))</f>
        <v/>
      </c>
      <c r="M300">
        <f>IFERROR(MATCH($C$5&amp;"|"&amp;RIGHT("000000"&amp;284,6),CalcRankKeyA,0),"")</f>
        <v/>
      </c>
      <c r="N300">
        <f>IFERROR(MATCH($C$5&amp;"|"&amp;RIGHT("000000"&amp;284,6),CalcRankKeyB,0),"")</f>
        <v/>
      </c>
    </row>
    <row r="301">
      <c r="A301" s="21" t="n">
        <v>285</v>
      </c>
      <c r="B301" s="22">
        <f>IF(AND($M301="",$N301=""),"",IF($M301&lt;&gt;"",INDEX(CalcDateA,$M301),INDEX(CalcDateB,$N301)))</f>
        <v/>
      </c>
      <c r="C301" s="22">
        <f>IF($M301&lt;&gt;"","خرید سبد",IF($N301&lt;&gt;"",IF(N(INDEX(CalcDepB,$N301))&gt;0,"دریافت بانکی","پرداخت بانکی"),""))</f>
        <v/>
      </c>
      <c r="D301" s="22">
        <f>IF($M301&lt;&gt;"",IF(INDEX(CalcDocA,$M301)="","—",INDEX(CalcDocA,$M301)),IF($N301&lt;&gt;"",INDEX(CalcBankB,$N301),""))</f>
        <v/>
      </c>
      <c r="E301" s="23">
        <f>IF($N301&lt;&gt;"",IF(INDEX(CalcDepB,$N301)=0,"",INDEX(CalcDepB,$N301)),"")</f>
        <v/>
      </c>
      <c r="F301" s="23">
        <f>IF($M301&lt;&gt;"",IF(INDEX(CalcQtyA,$M301)=0,"",INDEX(CalcQtyA,$M301)),"")</f>
        <v/>
      </c>
      <c r="G301" s="23">
        <f>IF($M301&lt;&gt;"",IF(INDEX(CalcPriceA,$M301)=0,"",INDEX(CalcPriceA,$M301)),"")</f>
        <v/>
      </c>
      <c r="H301" s="23">
        <f>IF($N301&lt;&gt;"",IF(INDEX(CalcWitB,$N301)=0,"",INDEX(CalcWitB,$N301)),"")</f>
        <v/>
      </c>
      <c r="I301" s="24">
        <f>IF($M301&lt;&gt;"",INDEX(CalcAmtA,$M301),"")</f>
        <v/>
      </c>
      <c r="J301" s="24">
        <f>IF($B301="","",IF($J300="",$C$8,$J300)+IF($I301="",0,$I301)+IF($E301="",0,$E301)-IF($H301="",0,$H301))</f>
        <v/>
      </c>
      <c r="K301" s="25">
        <f>IF($M301&lt;&gt;"",IF(INDEX(CalcNoteA,$M301)="","—",INDEX(CalcNoteA,$M301)),IF($N301&lt;&gt;"",IF(INDEX(CalcNoteB,$N301)="","—",INDEX(CalcNoteB,$N301)),""))</f>
        <v/>
      </c>
      <c r="M301">
        <f>IFERROR(MATCH($C$5&amp;"|"&amp;RIGHT("000000"&amp;285,6),CalcRankKeyA,0),"")</f>
        <v/>
      </c>
      <c r="N301">
        <f>IFERROR(MATCH($C$5&amp;"|"&amp;RIGHT("000000"&amp;285,6),CalcRankKeyB,0),"")</f>
        <v/>
      </c>
    </row>
    <row r="302">
      <c r="A302" s="26" t="n">
        <v>286</v>
      </c>
      <c r="B302" s="27">
        <f>IF(AND($M302="",$N302=""),"",IF($M302&lt;&gt;"",INDEX(CalcDateA,$M302),INDEX(CalcDateB,$N302)))</f>
        <v/>
      </c>
      <c r="C302" s="27">
        <f>IF($M302&lt;&gt;"","خرید سبد",IF($N302&lt;&gt;"",IF(N(INDEX(CalcDepB,$N302))&gt;0,"دریافت بانکی","پرداخت بانکی"),""))</f>
        <v/>
      </c>
      <c r="D302" s="27">
        <f>IF($M302&lt;&gt;"",IF(INDEX(CalcDocA,$M302)="","—",INDEX(CalcDocA,$M302)),IF($N302&lt;&gt;"",INDEX(CalcBankB,$N302),""))</f>
        <v/>
      </c>
      <c r="E302" s="28">
        <f>IF($N302&lt;&gt;"",IF(INDEX(CalcDepB,$N302)=0,"",INDEX(CalcDepB,$N302)),"")</f>
        <v/>
      </c>
      <c r="F302" s="28">
        <f>IF($M302&lt;&gt;"",IF(INDEX(CalcQtyA,$M302)=0,"",INDEX(CalcQtyA,$M302)),"")</f>
        <v/>
      </c>
      <c r="G302" s="28">
        <f>IF($M302&lt;&gt;"",IF(INDEX(CalcPriceA,$M302)=0,"",INDEX(CalcPriceA,$M302)),"")</f>
        <v/>
      </c>
      <c r="H302" s="28">
        <f>IF($N302&lt;&gt;"",IF(INDEX(CalcWitB,$N302)=0,"",INDEX(CalcWitB,$N302)),"")</f>
        <v/>
      </c>
      <c r="I302" s="29">
        <f>IF($M302&lt;&gt;"",INDEX(CalcAmtA,$M302),"")</f>
        <v/>
      </c>
      <c r="J302" s="29">
        <f>IF($B302="","",IF($J301="",$C$8,$J301)+IF($I302="",0,$I302)+IF($E302="",0,$E302)-IF($H302="",0,$H302))</f>
        <v/>
      </c>
      <c r="K302" s="30">
        <f>IF($M302&lt;&gt;"",IF(INDEX(CalcNoteA,$M302)="","—",INDEX(CalcNoteA,$M302)),IF($N302&lt;&gt;"",IF(INDEX(CalcNoteB,$N302)="","—",INDEX(CalcNoteB,$N302)),""))</f>
        <v/>
      </c>
      <c r="M302">
        <f>IFERROR(MATCH($C$5&amp;"|"&amp;RIGHT("000000"&amp;286,6),CalcRankKeyA,0),"")</f>
        <v/>
      </c>
      <c r="N302">
        <f>IFERROR(MATCH($C$5&amp;"|"&amp;RIGHT("000000"&amp;286,6),CalcRankKeyB,0),"")</f>
        <v/>
      </c>
    </row>
    <row r="303">
      <c r="A303" s="21" t="n">
        <v>287</v>
      </c>
      <c r="B303" s="22">
        <f>IF(AND($M303="",$N303=""),"",IF($M303&lt;&gt;"",INDEX(CalcDateA,$M303),INDEX(CalcDateB,$N303)))</f>
        <v/>
      </c>
      <c r="C303" s="22">
        <f>IF($M303&lt;&gt;"","خرید سبد",IF($N303&lt;&gt;"",IF(N(INDEX(CalcDepB,$N303))&gt;0,"دریافت بانکی","پرداخت بانکی"),""))</f>
        <v/>
      </c>
      <c r="D303" s="22">
        <f>IF($M303&lt;&gt;"",IF(INDEX(CalcDocA,$M303)="","—",INDEX(CalcDocA,$M303)),IF($N303&lt;&gt;"",INDEX(CalcBankB,$N303),""))</f>
        <v/>
      </c>
      <c r="E303" s="23">
        <f>IF($N303&lt;&gt;"",IF(INDEX(CalcDepB,$N303)=0,"",INDEX(CalcDepB,$N303)),"")</f>
        <v/>
      </c>
      <c r="F303" s="23">
        <f>IF($M303&lt;&gt;"",IF(INDEX(CalcQtyA,$M303)=0,"",INDEX(CalcQtyA,$M303)),"")</f>
        <v/>
      </c>
      <c r="G303" s="23">
        <f>IF($M303&lt;&gt;"",IF(INDEX(CalcPriceA,$M303)=0,"",INDEX(CalcPriceA,$M303)),"")</f>
        <v/>
      </c>
      <c r="H303" s="23">
        <f>IF($N303&lt;&gt;"",IF(INDEX(CalcWitB,$N303)=0,"",INDEX(CalcWitB,$N303)),"")</f>
        <v/>
      </c>
      <c r="I303" s="24">
        <f>IF($M303&lt;&gt;"",INDEX(CalcAmtA,$M303),"")</f>
        <v/>
      </c>
      <c r="J303" s="24">
        <f>IF($B303="","",IF($J302="",$C$8,$J302)+IF($I303="",0,$I303)+IF($E303="",0,$E303)-IF($H303="",0,$H303))</f>
        <v/>
      </c>
      <c r="K303" s="25">
        <f>IF($M303&lt;&gt;"",IF(INDEX(CalcNoteA,$M303)="","—",INDEX(CalcNoteA,$M303)),IF($N303&lt;&gt;"",IF(INDEX(CalcNoteB,$N303)="","—",INDEX(CalcNoteB,$N303)),""))</f>
        <v/>
      </c>
      <c r="M303">
        <f>IFERROR(MATCH($C$5&amp;"|"&amp;RIGHT("000000"&amp;287,6),CalcRankKeyA,0),"")</f>
        <v/>
      </c>
      <c r="N303">
        <f>IFERROR(MATCH($C$5&amp;"|"&amp;RIGHT("000000"&amp;287,6),CalcRankKeyB,0),"")</f>
        <v/>
      </c>
    </row>
    <row r="304">
      <c r="A304" s="26" t="n">
        <v>288</v>
      </c>
      <c r="B304" s="27">
        <f>IF(AND($M304="",$N304=""),"",IF($M304&lt;&gt;"",INDEX(CalcDateA,$M304),INDEX(CalcDateB,$N304)))</f>
        <v/>
      </c>
      <c r="C304" s="27">
        <f>IF($M304&lt;&gt;"","خرید سبد",IF($N304&lt;&gt;"",IF(N(INDEX(CalcDepB,$N304))&gt;0,"دریافت بانکی","پرداخت بانکی"),""))</f>
        <v/>
      </c>
      <c r="D304" s="27">
        <f>IF($M304&lt;&gt;"",IF(INDEX(CalcDocA,$M304)="","—",INDEX(CalcDocA,$M304)),IF($N304&lt;&gt;"",INDEX(CalcBankB,$N304),""))</f>
        <v/>
      </c>
      <c r="E304" s="28">
        <f>IF($N304&lt;&gt;"",IF(INDEX(CalcDepB,$N304)=0,"",INDEX(CalcDepB,$N304)),"")</f>
        <v/>
      </c>
      <c r="F304" s="28">
        <f>IF($M304&lt;&gt;"",IF(INDEX(CalcQtyA,$M304)=0,"",INDEX(CalcQtyA,$M304)),"")</f>
        <v/>
      </c>
      <c r="G304" s="28">
        <f>IF($M304&lt;&gt;"",IF(INDEX(CalcPriceA,$M304)=0,"",INDEX(CalcPriceA,$M304)),"")</f>
        <v/>
      </c>
      <c r="H304" s="28">
        <f>IF($N304&lt;&gt;"",IF(INDEX(CalcWitB,$N304)=0,"",INDEX(CalcWitB,$N304)),"")</f>
        <v/>
      </c>
      <c r="I304" s="29">
        <f>IF($M304&lt;&gt;"",INDEX(CalcAmtA,$M304),"")</f>
        <v/>
      </c>
      <c r="J304" s="29">
        <f>IF($B304="","",IF($J303="",$C$8,$J303)+IF($I304="",0,$I304)+IF($E304="",0,$E304)-IF($H304="",0,$H304))</f>
        <v/>
      </c>
      <c r="K304" s="30">
        <f>IF($M304&lt;&gt;"",IF(INDEX(CalcNoteA,$M304)="","—",INDEX(CalcNoteA,$M304)),IF($N304&lt;&gt;"",IF(INDEX(CalcNoteB,$N304)="","—",INDEX(CalcNoteB,$N304)),""))</f>
        <v/>
      </c>
      <c r="M304">
        <f>IFERROR(MATCH($C$5&amp;"|"&amp;RIGHT("000000"&amp;288,6),CalcRankKeyA,0),"")</f>
        <v/>
      </c>
      <c r="N304">
        <f>IFERROR(MATCH($C$5&amp;"|"&amp;RIGHT("000000"&amp;288,6),CalcRankKeyB,0),"")</f>
        <v/>
      </c>
    </row>
    <row r="305">
      <c r="A305" s="21" t="n">
        <v>289</v>
      </c>
      <c r="B305" s="22">
        <f>IF(AND($M305="",$N305=""),"",IF($M305&lt;&gt;"",INDEX(CalcDateA,$M305),INDEX(CalcDateB,$N305)))</f>
        <v/>
      </c>
      <c r="C305" s="22">
        <f>IF($M305&lt;&gt;"","خرید سبد",IF($N305&lt;&gt;"",IF(N(INDEX(CalcDepB,$N305))&gt;0,"دریافت بانکی","پرداخت بانکی"),""))</f>
        <v/>
      </c>
      <c r="D305" s="22">
        <f>IF($M305&lt;&gt;"",IF(INDEX(CalcDocA,$M305)="","—",INDEX(CalcDocA,$M305)),IF($N305&lt;&gt;"",INDEX(CalcBankB,$N305),""))</f>
        <v/>
      </c>
      <c r="E305" s="23">
        <f>IF($N305&lt;&gt;"",IF(INDEX(CalcDepB,$N305)=0,"",INDEX(CalcDepB,$N305)),"")</f>
        <v/>
      </c>
      <c r="F305" s="23">
        <f>IF($M305&lt;&gt;"",IF(INDEX(CalcQtyA,$M305)=0,"",INDEX(CalcQtyA,$M305)),"")</f>
        <v/>
      </c>
      <c r="G305" s="23">
        <f>IF($M305&lt;&gt;"",IF(INDEX(CalcPriceA,$M305)=0,"",INDEX(CalcPriceA,$M305)),"")</f>
        <v/>
      </c>
      <c r="H305" s="23">
        <f>IF($N305&lt;&gt;"",IF(INDEX(CalcWitB,$N305)=0,"",INDEX(CalcWitB,$N305)),"")</f>
        <v/>
      </c>
      <c r="I305" s="24">
        <f>IF($M305&lt;&gt;"",INDEX(CalcAmtA,$M305),"")</f>
        <v/>
      </c>
      <c r="J305" s="24">
        <f>IF($B305="","",IF($J304="",$C$8,$J304)+IF($I305="",0,$I305)+IF($E305="",0,$E305)-IF($H305="",0,$H305))</f>
        <v/>
      </c>
      <c r="K305" s="25">
        <f>IF($M305&lt;&gt;"",IF(INDEX(CalcNoteA,$M305)="","—",INDEX(CalcNoteA,$M305)),IF($N305&lt;&gt;"",IF(INDEX(CalcNoteB,$N305)="","—",INDEX(CalcNoteB,$N305)),""))</f>
        <v/>
      </c>
      <c r="M305">
        <f>IFERROR(MATCH($C$5&amp;"|"&amp;RIGHT("000000"&amp;289,6),CalcRankKeyA,0),"")</f>
        <v/>
      </c>
      <c r="N305">
        <f>IFERROR(MATCH($C$5&amp;"|"&amp;RIGHT("000000"&amp;289,6),CalcRankKeyB,0),"")</f>
        <v/>
      </c>
    </row>
    <row r="306">
      <c r="A306" s="26" t="n">
        <v>290</v>
      </c>
      <c r="B306" s="27">
        <f>IF(AND($M306="",$N306=""),"",IF($M306&lt;&gt;"",INDEX(CalcDateA,$M306),INDEX(CalcDateB,$N306)))</f>
        <v/>
      </c>
      <c r="C306" s="27">
        <f>IF($M306&lt;&gt;"","خرید سبد",IF($N306&lt;&gt;"",IF(N(INDEX(CalcDepB,$N306))&gt;0,"دریافت بانکی","پرداخت بانکی"),""))</f>
        <v/>
      </c>
      <c r="D306" s="27">
        <f>IF($M306&lt;&gt;"",IF(INDEX(CalcDocA,$M306)="","—",INDEX(CalcDocA,$M306)),IF($N306&lt;&gt;"",INDEX(CalcBankB,$N306),""))</f>
        <v/>
      </c>
      <c r="E306" s="28">
        <f>IF($N306&lt;&gt;"",IF(INDEX(CalcDepB,$N306)=0,"",INDEX(CalcDepB,$N306)),"")</f>
        <v/>
      </c>
      <c r="F306" s="28">
        <f>IF($M306&lt;&gt;"",IF(INDEX(CalcQtyA,$M306)=0,"",INDEX(CalcQtyA,$M306)),"")</f>
        <v/>
      </c>
      <c r="G306" s="28">
        <f>IF($M306&lt;&gt;"",IF(INDEX(CalcPriceA,$M306)=0,"",INDEX(CalcPriceA,$M306)),"")</f>
        <v/>
      </c>
      <c r="H306" s="28">
        <f>IF($N306&lt;&gt;"",IF(INDEX(CalcWitB,$N306)=0,"",INDEX(CalcWitB,$N306)),"")</f>
        <v/>
      </c>
      <c r="I306" s="29">
        <f>IF($M306&lt;&gt;"",INDEX(CalcAmtA,$M306),"")</f>
        <v/>
      </c>
      <c r="J306" s="29">
        <f>IF($B306="","",IF($J305="",$C$8,$J305)+IF($I306="",0,$I306)+IF($E306="",0,$E306)-IF($H306="",0,$H306))</f>
        <v/>
      </c>
      <c r="K306" s="30">
        <f>IF($M306&lt;&gt;"",IF(INDEX(CalcNoteA,$M306)="","—",INDEX(CalcNoteA,$M306)),IF($N306&lt;&gt;"",IF(INDEX(CalcNoteB,$N306)="","—",INDEX(CalcNoteB,$N306)),""))</f>
        <v/>
      </c>
      <c r="M306">
        <f>IFERROR(MATCH($C$5&amp;"|"&amp;RIGHT("000000"&amp;290,6),CalcRankKeyA,0),"")</f>
        <v/>
      </c>
      <c r="N306">
        <f>IFERROR(MATCH($C$5&amp;"|"&amp;RIGHT("000000"&amp;290,6),CalcRankKeyB,0),"")</f>
        <v/>
      </c>
    </row>
    <row r="307">
      <c r="A307" s="21" t="n">
        <v>291</v>
      </c>
      <c r="B307" s="22">
        <f>IF(AND($M307="",$N307=""),"",IF($M307&lt;&gt;"",INDEX(CalcDateA,$M307),INDEX(CalcDateB,$N307)))</f>
        <v/>
      </c>
      <c r="C307" s="22">
        <f>IF($M307&lt;&gt;"","خرید سبد",IF($N307&lt;&gt;"",IF(N(INDEX(CalcDepB,$N307))&gt;0,"دریافت بانکی","پرداخت بانکی"),""))</f>
        <v/>
      </c>
      <c r="D307" s="22">
        <f>IF($M307&lt;&gt;"",IF(INDEX(CalcDocA,$M307)="","—",INDEX(CalcDocA,$M307)),IF($N307&lt;&gt;"",INDEX(CalcBankB,$N307),""))</f>
        <v/>
      </c>
      <c r="E307" s="23">
        <f>IF($N307&lt;&gt;"",IF(INDEX(CalcDepB,$N307)=0,"",INDEX(CalcDepB,$N307)),"")</f>
        <v/>
      </c>
      <c r="F307" s="23">
        <f>IF($M307&lt;&gt;"",IF(INDEX(CalcQtyA,$M307)=0,"",INDEX(CalcQtyA,$M307)),"")</f>
        <v/>
      </c>
      <c r="G307" s="23">
        <f>IF($M307&lt;&gt;"",IF(INDEX(CalcPriceA,$M307)=0,"",INDEX(CalcPriceA,$M307)),"")</f>
        <v/>
      </c>
      <c r="H307" s="23">
        <f>IF($N307&lt;&gt;"",IF(INDEX(CalcWitB,$N307)=0,"",INDEX(CalcWitB,$N307)),"")</f>
        <v/>
      </c>
      <c r="I307" s="24">
        <f>IF($M307&lt;&gt;"",INDEX(CalcAmtA,$M307),"")</f>
        <v/>
      </c>
      <c r="J307" s="24">
        <f>IF($B307="","",IF($J306="",$C$8,$J306)+IF($I307="",0,$I307)+IF($E307="",0,$E307)-IF($H307="",0,$H307))</f>
        <v/>
      </c>
      <c r="K307" s="25">
        <f>IF($M307&lt;&gt;"",IF(INDEX(CalcNoteA,$M307)="","—",INDEX(CalcNoteA,$M307)),IF($N307&lt;&gt;"",IF(INDEX(CalcNoteB,$N307)="","—",INDEX(CalcNoteB,$N307)),""))</f>
        <v/>
      </c>
      <c r="M307">
        <f>IFERROR(MATCH($C$5&amp;"|"&amp;RIGHT("000000"&amp;291,6),CalcRankKeyA,0),"")</f>
        <v/>
      </c>
      <c r="N307">
        <f>IFERROR(MATCH($C$5&amp;"|"&amp;RIGHT("000000"&amp;291,6),CalcRankKeyB,0),"")</f>
        <v/>
      </c>
    </row>
    <row r="308">
      <c r="A308" s="26" t="n">
        <v>292</v>
      </c>
      <c r="B308" s="27">
        <f>IF(AND($M308="",$N308=""),"",IF($M308&lt;&gt;"",INDEX(CalcDateA,$M308),INDEX(CalcDateB,$N308)))</f>
        <v/>
      </c>
      <c r="C308" s="27">
        <f>IF($M308&lt;&gt;"","خرید سبد",IF($N308&lt;&gt;"",IF(N(INDEX(CalcDepB,$N308))&gt;0,"دریافت بانکی","پرداخت بانکی"),""))</f>
        <v/>
      </c>
      <c r="D308" s="27">
        <f>IF($M308&lt;&gt;"",IF(INDEX(CalcDocA,$M308)="","—",INDEX(CalcDocA,$M308)),IF($N308&lt;&gt;"",INDEX(CalcBankB,$N308),""))</f>
        <v/>
      </c>
      <c r="E308" s="28">
        <f>IF($N308&lt;&gt;"",IF(INDEX(CalcDepB,$N308)=0,"",INDEX(CalcDepB,$N308)),"")</f>
        <v/>
      </c>
      <c r="F308" s="28">
        <f>IF($M308&lt;&gt;"",IF(INDEX(CalcQtyA,$M308)=0,"",INDEX(CalcQtyA,$M308)),"")</f>
        <v/>
      </c>
      <c r="G308" s="28">
        <f>IF($M308&lt;&gt;"",IF(INDEX(CalcPriceA,$M308)=0,"",INDEX(CalcPriceA,$M308)),"")</f>
        <v/>
      </c>
      <c r="H308" s="28">
        <f>IF($N308&lt;&gt;"",IF(INDEX(CalcWitB,$N308)=0,"",INDEX(CalcWitB,$N308)),"")</f>
        <v/>
      </c>
      <c r="I308" s="29">
        <f>IF($M308&lt;&gt;"",INDEX(CalcAmtA,$M308),"")</f>
        <v/>
      </c>
      <c r="J308" s="29">
        <f>IF($B308="","",IF($J307="",$C$8,$J307)+IF($I308="",0,$I308)+IF($E308="",0,$E308)-IF($H308="",0,$H308))</f>
        <v/>
      </c>
      <c r="K308" s="30">
        <f>IF($M308&lt;&gt;"",IF(INDEX(CalcNoteA,$M308)="","—",INDEX(CalcNoteA,$M308)),IF($N308&lt;&gt;"",IF(INDEX(CalcNoteB,$N308)="","—",INDEX(CalcNoteB,$N308)),""))</f>
        <v/>
      </c>
      <c r="M308">
        <f>IFERROR(MATCH($C$5&amp;"|"&amp;RIGHT("000000"&amp;292,6),CalcRankKeyA,0),"")</f>
        <v/>
      </c>
      <c r="N308">
        <f>IFERROR(MATCH($C$5&amp;"|"&amp;RIGHT("000000"&amp;292,6),CalcRankKeyB,0),"")</f>
        <v/>
      </c>
    </row>
    <row r="309">
      <c r="A309" s="21" t="n">
        <v>293</v>
      </c>
      <c r="B309" s="22">
        <f>IF(AND($M309="",$N309=""),"",IF($M309&lt;&gt;"",INDEX(CalcDateA,$M309),INDEX(CalcDateB,$N309)))</f>
        <v/>
      </c>
      <c r="C309" s="22">
        <f>IF($M309&lt;&gt;"","خرید سبد",IF($N309&lt;&gt;"",IF(N(INDEX(CalcDepB,$N309))&gt;0,"دریافت بانکی","پرداخت بانکی"),""))</f>
        <v/>
      </c>
      <c r="D309" s="22">
        <f>IF($M309&lt;&gt;"",IF(INDEX(CalcDocA,$M309)="","—",INDEX(CalcDocA,$M309)),IF($N309&lt;&gt;"",INDEX(CalcBankB,$N309),""))</f>
        <v/>
      </c>
      <c r="E309" s="23">
        <f>IF($N309&lt;&gt;"",IF(INDEX(CalcDepB,$N309)=0,"",INDEX(CalcDepB,$N309)),"")</f>
        <v/>
      </c>
      <c r="F309" s="23">
        <f>IF($M309&lt;&gt;"",IF(INDEX(CalcQtyA,$M309)=0,"",INDEX(CalcQtyA,$M309)),"")</f>
        <v/>
      </c>
      <c r="G309" s="23">
        <f>IF($M309&lt;&gt;"",IF(INDEX(CalcPriceA,$M309)=0,"",INDEX(CalcPriceA,$M309)),"")</f>
        <v/>
      </c>
      <c r="H309" s="23">
        <f>IF($N309&lt;&gt;"",IF(INDEX(CalcWitB,$N309)=0,"",INDEX(CalcWitB,$N309)),"")</f>
        <v/>
      </c>
      <c r="I309" s="24">
        <f>IF($M309&lt;&gt;"",INDEX(CalcAmtA,$M309),"")</f>
        <v/>
      </c>
      <c r="J309" s="24">
        <f>IF($B309="","",IF($J308="",$C$8,$J308)+IF($I309="",0,$I309)+IF($E309="",0,$E309)-IF($H309="",0,$H309))</f>
        <v/>
      </c>
      <c r="K309" s="25">
        <f>IF($M309&lt;&gt;"",IF(INDEX(CalcNoteA,$M309)="","—",INDEX(CalcNoteA,$M309)),IF($N309&lt;&gt;"",IF(INDEX(CalcNoteB,$N309)="","—",INDEX(CalcNoteB,$N309)),""))</f>
        <v/>
      </c>
      <c r="M309">
        <f>IFERROR(MATCH($C$5&amp;"|"&amp;RIGHT("000000"&amp;293,6),CalcRankKeyA,0),"")</f>
        <v/>
      </c>
      <c r="N309">
        <f>IFERROR(MATCH($C$5&amp;"|"&amp;RIGHT("000000"&amp;293,6),CalcRankKeyB,0),"")</f>
        <v/>
      </c>
    </row>
    <row r="310">
      <c r="A310" s="26" t="n">
        <v>294</v>
      </c>
      <c r="B310" s="27">
        <f>IF(AND($M310="",$N310=""),"",IF($M310&lt;&gt;"",INDEX(CalcDateA,$M310),INDEX(CalcDateB,$N310)))</f>
        <v/>
      </c>
      <c r="C310" s="27">
        <f>IF($M310&lt;&gt;"","خرید سبد",IF($N310&lt;&gt;"",IF(N(INDEX(CalcDepB,$N310))&gt;0,"دریافت بانکی","پرداخت بانکی"),""))</f>
        <v/>
      </c>
      <c r="D310" s="27">
        <f>IF($M310&lt;&gt;"",IF(INDEX(CalcDocA,$M310)="","—",INDEX(CalcDocA,$M310)),IF($N310&lt;&gt;"",INDEX(CalcBankB,$N310),""))</f>
        <v/>
      </c>
      <c r="E310" s="28">
        <f>IF($N310&lt;&gt;"",IF(INDEX(CalcDepB,$N310)=0,"",INDEX(CalcDepB,$N310)),"")</f>
        <v/>
      </c>
      <c r="F310" s="28">
        <f>IF($M310&lt;&gt;"",IF(INDEX(CalcQtyA,$M310)=0,"",INDEX(CalcQtyA,$M310)),"")</f>
        <v/>
      </c>
      <c r="G310" s="28">
        <f>IF($M310&lt;&gt;"",IF(INDEX(CalcPriceA,$M310)=0,"",INDEX(CalcPriceA,$M310)),"")</f>
        <v/>
      </c>
      <c r="H310" s="28">
        <f>IF($N310&lt;&gt;"",IF(INDEX(CalcWitB,$N310)=0,"",INDEX(CalcWitB,$N310)),"")</f>
        <v/>
      </c>
      <c r="I310" s="29">
        <f>IF($M310&lt;&gt;"",INDEX(CalcAmtA,$M310),"")</f>
        <v/>
      </c>
      <c r="J310" s="29">
        <f>IF($B310="","",IF($J309="",$C$8,$J309)+IF($I310="",0,$I310)+IF($E310="",0,$E310)-IF($H310="",0,$H310))</f>
        <v/>
      </c>
      <c r="K310" s="30">
        <f>IF($M310&lt;&gt;"",IF(INDEX(CalcNoteA,$M310)="","—",INDEX(CalcNoteA,$M310)),IF($N310&lt;&gt;"",IF(INDEX(CalcNoteB,$N310)="","—",INDEX(CalcNoteB,$N310)),""))</f>
        <v/>
      </c>
      <c r="M310">
        <f>IFERROR(MATCH($C$5&amp;"|"&amp;RIGHT("000000"&amp;294,6),CalcRankKeyA,0),"")</f>
        <v/>
      </c>
      <c r="N310">
        <f>IFERROR(MATCH($C$5&amp;"|"&amp;RIGHT("000000"&amp;294,6),CalcRankKeyB,0),"")</f>
        <v/>
      </c>
    </row>
    <row r="311">
      <c r="A311" s="21" t="n">
        <v>295</v>
      </c>
      <c r="B311" s="22">
        <f>IF(AND($M311="",$N311=""),"",IF($M311&lt;&gt;"",INDEX(CalcDateA,$M311),INDEX(CalcDateB,$N311)))</f>
        <v/>
      </c>
      <c r="C311" s="22">
        <f>IF($M311&lt;&gt;"","خرید سبد",IF($N311&lt;&gt;"",IF(N(INDEX(CalcDepB,$N311))&gt;0,"دریافت بانکی","پرداخت بانکی"),""))</f>
        <v/>
      </c>
      <c r="D311" s="22">
        <f>IF($M311&lt;&gt;"",IF(INDEX(CalcDocA,$M311)="","—",INDEX(CalcDocA,$M311)),IF($N311&lt;&gt;"",INDEX(CalcBankB,$N311),""))</f>
        <v/>
      </c>
      <c r="E311" s="23">
        <f>IF($N311&lt;&gt;"",IF(INDEX(CalcDepB,$N311)=0,"",INDEX(CalcDepB,$N311)),"")</f>
        <v/>
      </c>
      <c r="F311" s="23">
        <f>IF($M311&lt;&gt;"",IF(INDEX(CalcQtyA,$M311)=0,"",INDEX(CalcQtyA,$M311)),"")</f>
        <v/>
      </c>
      <c r="G311" s="23">
        <f>IF($M311&lt;&gt;"",IF(INDEX(CalcPriceA,$M311)=0,"",INDEX(CalcPriceA,$M311)),"")</f>
        <v/>
      </c>
      <c r="H311" s="23">
        <f>IF($N311&lt;&gt;"",IF(INDEX(CalcWitB,$N311)=0,"",INDEX(CalcWitB,$N311)),"")</f>
        <v/>
      </c>
      <c r="I311" s="24">
        <f>IF($M311&lt;&gt;"",INDEX(CalcAmtA,$M311),"")</f>
        <v/>
      </c>
      <c r="J311" s="24">
        <f>IF($B311="","",IF($J310="",$C$8,$J310)+IF($I311="",0,$I311)+IF($E311="",0,$E311)-IF($H311="",0,$H311))</f>
        <v/>
      </c>
      <c r="K311" s="25">
        <f>IF($M311&lt;&gt;"",IF(INDEX(CalcNoteA,$M311)="","—",INDEX(CalcNoteA,$M311)),IF($N311&lt;&gt;"",IF(INDEX(CalcNoteB,$N311)="","—",INDEX(CalcNoteB,$N311)),""))</f>
        <v/>
      </c>
      <c r="M311">
        <f>IFERROR(MATCH($C$5&amp;"|"&amp;RIGHT("000000"&amp;295,6),CalcRankKeyA,0),"")</f>
        <v/>
      </c>
      <c r="N311">
        <f>IFERROR(MATCH($C$5&amp;"|"&amp;RIGHT("000000"&amp;295,6),CalcRankKeyB,0),"")</f>
        <v/>
      </c>
    </row>
    <row r="312">
      <c r="A312" s="26" t="n">
        <v>296</v>
      </c>
      <c r="B312" s="27">
        <f>IF(AND($M312="",$N312=""),"",IF($M312&lt;&gt;"",INDEX(CalcDateA,$M312),INDEX(CalcDateB,$N312)))</f>
        <v/>
      </c>
      <c r="C312" s="27">
        <f>IF($M312&lt;&gt;"","خرید سبد",IF($N312&lt;&gt;"",IF(N(INDEX(CalcDepB,$N312))&gt;0,"دریافت بانکی","پرداخت بانکی"),""))</f>
        <v/>
      </c>
      <c r="D312" s="27">
        <f>IF($M312&lt;&gt;"",IF(INDEX(CalcDocA,$M312)="","—",INDEX(CalcDocA,$M312)),IF($N312&lt;&gt;"",INDEX(CalcBankB,$N312),""))</f>
        <v/>
      </c>
      <c r="E312" s="28">
        <f>IF($N312&lt;&gt;"",IF(INDEX(CalcDepB,$N312)=0,"",INDEX(CalcDepB,$N312)),"")</f>
        <v/>
      </c>
      <c r="F312" s="28">
        <f>IF($M312&lt;&gt;"",IF(INDEX(CalcQtyA,$M312)=0,"",INDEX(CalcQtyA,$M312)),"")</f>
        <v/>
      </c>
      <c r="G312" s="28">
        <f>IF($M312&lt;&gt;"",IF(INDEX(CalcPriceA,$M312)=0,"",INDEX(CalcPriceA,$M312)),"")</f>
        <v/>
      </c>
      <c r="H312" s="28">
        <f>IF($N312&lt;&gt;"",IF(INDEX(CalcWitB,$N312)=0,"",INDEX(CalcWitB,$N312)),"")</f>
        <v/>
      </c>
      <c r="I312" s="29">
        <f>IF($M312&lt;&gt;"",INDEX(CalcAmtA,$M312),"")</f>
        <v/>
      </c>
      <c r="J312" s="29">
        <f>IF($B312="","",IF($J311="",$C$8,$J311)+IF($I312="",0,$I312)+IF($E312="",0,$E312)-IF($H312="",0,$H312))</f>
        <v/>
      </c>
      <c r="K312" s="30">
        <f>IF($M312&lt;&gt;"",IF(INDEX(CalcNoteA,$M312)="","—",INDEX(CalcNoteA,$M312)),IF($N312&lt;&gt;"",IF(INDEX(CalcNoteB,$N312)="","—",INDEX(CalcNoteB,$N312)),""))</f>
        <v/>
      </c>
      <c r="M312">
        <f>IFERROR(MATCH($C$5&amp;"|"&amp;RIGHT("000000"&amp;296,6),CalcRankKeyA,0),"")</f>
        <v/>
      </c>
      <c r="N312">
        <f>IFERROR(MATCH($C$5&amp;"|"&amp;RIGHT("000000"&amp;296,6),CalcRankKeyB,0),"")</f>
        <v/>
      </c>
    </row>
    <row r="313">
      <c r="A313" s="21" t="n">
        <v>297</v>
      </c>
      <c r="B313" s="22">
        <f>IF(AND($M313="",$N313=""),"",IF($M313&lt;&gt;"",INDEX(CalcDateA,$M313),INDEX(CalcDateB,$N313)))</f>
        <v/>
      </c>
      <c r="C313" s="22">
        <f>IF($M313&lt;&gt;"","خرید سبد",IF($N313&lt;&gt;"",IF(N(INDEX(CalcDepB,$N313))&gt;0,"دریافت بانکی","پرداخت بانکی"),""))</f>
        <v/>
      </c>
      <c r="D313" s="22">
        <f>IF($M313&lt;&gt;"",IF(INDEX(CalcDocA,$M313)="","—",INDEX(CalcDocA,$M313)),IF($N313&lt;&gt;"",INDEX(CalcBankB,$N313),""))</f>
        <v/>
      </c>
      <c r="E313" s="23">
        <f>IF($N313&lt;&gt;"",IF(INDEX(CalcDepB,$N313)=0,"",INDEX(CalcDepB,$N313)),"")</f>
        <v/>
      </c>
      <c r="F313" s="23">
        <f>IF($M313&lt;&gt;"",IF(INDEX(CalcQtyA,$M313)=0,"",INDEX(CalcQtyA,$M313)),"")</f>
        <v/>
      </c>
      <c r="G313" s="23">
        <f>IF($M313&lt;&gt;"",IF(INDEX(CalcPriceA,$M313)=0,"",INDEX(CalcPriceA,$M313)),"")</f>
        <v/>
      </c>
      <c r="H313" s="23">
        <f>IF($N313&lt;&gt;"",IF(INDEX(CalcWitB,$N313)=0,"",INDEX(CalcWitB,$N313)),"")</f>
        <v/>
      </c>
      <c r="I313" s="24">
        <f>IF($M313&lt;&gt;"",INDEX(CalcAmtA,$M313),"")</f>
        <v/>
      </c>
      <c r="J313" s="24">
        <f>IF($B313="","",IF($J312="",$C$8,$J312)+IF($I313="",0,$I313)+IF($E313="",0,$E313)-IF($H313="",0,$H313))</f>
        <v/>
      </c>
      <c r="K313" s="25">
        <f>IF($M313&lt;&gt;"",IF(INDEX(CalcNoteA,$M313)="","—",INDEX(CalcNoteA,$M313)),IF($N313&lt;&gt;"",IF(INDEX(CalcNoteB,$N313)="","—",INDEX(CalcNoteB,$N313)),""))</f>
        <v/>
      </c>
      <c r="M313">
        <f>IFERROR(MATCH($C$5&amp;"|"&amp;RIGHT("000000"&amp;297,6),CalcRankKeyA,0),"")</f>
        <v/>
      </c>
      <c r="N313">
        <f>IFERROR(MATCH($C$5&amp;"|"&amp;RIGHT("000000"&amp;297,6),CalcRankKeyB,0),"")</f>
        <v/>
      </c>
    </row>
    <row r="314">
      <c r="A314" s="26" t="n">
        <v>298</v>
      </c>
      <c r="B314" s="27">
        <f>IF(AND($M314="",$N314=""),"",IF($M314&lt;&gt;"",INDEX(CalcDateA,$M314),INDEX(CalcDateB,$N314)))</f>
        <v/>
      </c>
      <c r="C314" s="27">
        <f>IF($M314&lt;&gt;"","خرید سبد",IF($N314&lt;&gt;"",IF(N(INDEX(CalcDepB,$N314))&gt;0,"دریافت بانکی","پرداخت بانکی"),""))</f>
        <v/>
      </c>
      <c r="D314" s="27">
        <f>IF($M314&lt;&gt;"",IF(INDEX(CalcDocA,$M314)="","—",INDEX(CalcDocA,$M314)),IF($N314&lt;&gt;"",INDEX(CalcBankB,$N314),""))</f>
        <v/>
      </c>
      <c r="E314" s="28">
        <f>IF($N314&lt;&gt;"",IF(INDEX(CalcDepB,$N314)=0,"",INDEX(CalcDepB,$N314)),"")</f>
        <v/>
      </c>
      <c r="F314" s="28">
        <f>IF($M314&lt;&gt;"",IF(INDEX(CalcQtyA,$M314)=0,"",INDEX(CalcQtyA,$M314)),"")</f>
        <v/>
      </c>
      <c r="G314" s="28">
        <f>IF($M314&lt;&gt;"",IF(INDEX(CalcPriceA,$M314)=0,"",INDEX(CalcPriceA,$M314)),"")</f>
        <v/>
      </c>
      <c r="H314" s="28">
        <f>IF($N314&lt;&gt;"",IF(INDEX(CalcWitB,$N314)=0,"",INDEX(CalcWitB,$N314)),"")</f>
        <v/>
      </c>
      <c r="I314" s="29">
        <f>IF($M314&lt;&gt;"",INDEX(CalcAmtA,$M314),"")</f>
        <v/>
      </c>
      <c r="J314" s="29">
        <f>IF($B314="","",IF($J313="",$C$8,$J313)+IF($I314="",0,$I314)+IF($E314="",0,$E314)-IF($H314="",0,$H314))</f>
        <v/>
      </c>
      <c r="K314" s="30">
        <f>IF($M314&lt;&gt;"",IF(INDEX(CalcNoteA,$M314)="","—",INDEX(CalcNoteA,$M314)),IF($N314&lt;&gt;"",IF(INDEX(CalcNoteB,$N314)="","—",INDEX(CalcNoteB,$N314)),""))</f>
        <v/>
      </c>
      <c r="M314">
        <f>IFERROR(MATCH($C$5&amp;"|"&amp;RIGHT("000000"&amp;298,6),CalcRankKeyA,0),"")</f>
        <v/>
      </c>
      <c r="N314">
        <f>IFERROR(MATCH($C$5&amp;"|"&amp;RIGHT("000000"&amp;298,6),CalcRankKeyB,0),"")</f>
        <v/>
      </c>
    </row>
    <row r="315">
      <c r="A315" s="21" t="n">
        <v>299</v>
      </c>
      <c r="B315" s="22">
        <f>IF(AND($M315="",$N315=""),"",IF($M315&lt;&gt;"",INDEX(CalcDateA,$M315),INDEX(CalcDateB,$N315)))</f>
        <v/>
      </c>
      <c r="C315" s="22">
        <f>IF($M315&lt;&gt;"","خرید سبد",IF($N315&lt;&gt;"",IF(N(INDEX(CalcDepB,$N315))&gt;0,"دریافت بانکی","پرداخت بانکی"),""))</f>
        <v/>
      </c>
      <c r="D315" s="22">
        <f>IF($M315&lt;&gt;"",IF(INDEX(CalcDocA,$M315)="","—",INDEX(CalcDocA,$M315)),IF($N315&lt;&gt;"",INDEX(CalcBankB,$N315),""))</f>
        <v/>
      </c>
      <c r="E315" s="23">
        <f>IF($N315&lt;&gt;"",IF(INDEX(CalcDepB,$N315)=0,"",INDEX(CalcDepB,$N315)),"")</f>
        <v/>
      </c>
      <c r="F315" s="23">
        <f>IF($M315&lt;&gt;"",IF(INDEX(CalcQtyA,$M315)=0,"",INDEX(CalcQtyA,$M315)),"")</f>
        <v/>
      </c>
      <c r="G315" s="23">
        <f>IF($M315&lt;&gt;"",IF(INDEX(CalcPriceA,$M315)=0,"",INDEX(CalcPriceA,$M315)),"")</f>
        <v/>
      </c>
      <c r="H315" s="23">
        <f>IF($N315&lt;&gt;"",IF(INDEX(CalcWitB,$N315)=0,"",INDEX(CalcWitB,$N315)),"")</f>
        <v/>
      </c>
      <c r="I315" s="24">
        <f>IF($M315&lt;&gt;"",INDEX(CalcAmtA,$M315),"")</f>
        <v/>
      </c>
      <c r="J315" s="24">
        <f>IF($B315="","",IF($J314="",$C$8,$J314)+IF($I315="",0,$I315)+IF($E315="",0,$E315)-IF($H315="",0,$H315))</f>
        <v/>
      </c>
      <c r="K315" s="25">
        <f>IF($M315&lt;&gt;"",IF(INDEX(CalcNoteA,$M315)="","—",INDEX(CalcNoteA,$M315)),IF($N315&lt;&gt;"",IF(INDEX(CalcNoteB,$N315)="","—",INDEX(CalcNoteB,$N315)),""))</f>
        <v/>
      </c>
      <c r="M315">
        <f>IFERROR(MATCH($C$5&amp;"|"&amp;RIGHT("000000"&amp;299,6),CalcRankKeyA,0),"")</f>
        <v/>
      </c>
      <c r="N315">
        <f>IFERROR(MATCH($C$5&amp;"|"&amp;RIGHT("000000"&amp;299,6),CalcRankKeyB,0),"")</f>
        <v/>
      </c>
    </row>
    <row r="316">
      <c r="A316" s="26" t="n">
        <v>300</v>
      </c>
      <c r="B316" s="27">
        <f>IF(AND($M316="",$N316=""),"",IF($M316&lt;&gt;"",INDEX(CalcDateA,$M316),INDEX(CalcDateB,$N316)))</f>
        <v/>
      </c>
      <c r="C316" s="27">
        <f>IF($M316&lt;&gt;"","خرید سبد",IF($N316&lt;&gt;"",IF(N(INDEX(CalcDepB,$N316))&gt;0,"دریافت بانکی","پرداخت بانکی"),""))</f>
        <v/>
      </c>
      <c r="D316" s="27">
        <f>IF($M316&lt;&gt;"",IF(INDEX(CalcDocA,$M316)="","—",INDEX(CalcDocA,$M316)),IF($N316&lt;&gt;"",INDEX(CalcBankB,$N316),""))</f>
        <v/>
      </c>
      <c r="E316" s="28">
        <f>IF($N316&lt;&gt;"",IF(INDEX(CalcDepB,$N316)=0,"",INDEX(CalcDepB,$N316)),"")</f>
        <v/>
      </c>
      <c r="F316" s="28">
        <f>IF($M316&lt;&gt;"",IF(INDEX(CalcQtyA,$M316)=0,"",INDEX(CalcQtyA,$M316)),"")</f>
        <v/>
      </c>
      <c r="G316" s="28">
        <f>IF($M316&lt;&gt;"",IF(INDEX(CalcPriceA,$M316)=0,"",INDEX(CalcPriceA,$M316)),"")</f>
        <v/>
      </c>
      <c r="H316" s="28">
        <f>IF($N316&lt;&gt;"",IF(INDEX(CalcWitB,$N316)=0,"",INDEX(CalcWitB,$N316)),"")</f>
        <v/>
      </c>
      <c r="I316" s="29">
        <f>IF($M316&lt;&gt;"",INDEX(CalcAmtA,$M316),"")</f>
        <v/>
      </c>
      <c r="J316" s="29">
        <f>IF($B316="","",IF($J315="",$C$8,$J315)+IF($I316="",0,$I316)+IF($E316="",0,$E316)-IF($H316="",0,$H316))</f>
        <v/>
      </c>
      <c r="K316" s="30">
        <f>IF($M316&lt;&gt;"",IF(INDEX(CalcNoteA,$M316)="","—",INDEX(CalcNoteA,$M316)),IF($N316&lt;&gt;"",IF(INDEX(CalcNoteB,$N316)="","—",INDEX(CalcNoteB,$N316)),""))</f>
        <v/>
      </c>
      <c r="M316">
        <f>IFERROR(MATCH($C$5&amp;"|"&amp;RIGHT("000000"&amp;300,6),CalcRankKeyA,0),"")</f>
        <v/>
      </c>
      <c r="N316">
        <f>IFERROR(MATCH($C$5&amp;"|"&amp;RIGHT("000000"&amp;300,6),CalcRankKeyB,0),"")</f>
        <v/>
      </c>
    </row>
    <row r="317">
      <c r="A317" s="21" t="n">
        <v>301</v>
      </c>
      <c r="B317" s="22">
        <f>IF(AND($M317="",$N317=""),"",IF($M317&lt;&gt;"",INDEX(CalcDateA,$M317),INDEX(CalcDateB,$N317)))</f>
        <v/>
      </c>
      <c r="C317" s="22">
        <f>IF($M317&lt;&gt;"","خرید سبد",IF($N317&lt;&gt;"",IF(N(INDEX(CalcDepB,$N317))&gt;0,"دریافت بانکی","پرداخت بانکی"),""))</f>
        <v/>
      </c>
      <c r="D317" s="22">
        <f>IF($M317&lt;&gt;"",IF(INDEX(CalcDocA,$M317)="","—",INDEX(CalcDocA,$M317)),IF($N317&lt;&gt;"",INDEX(CalcBankB,$N317),""))</f>
        <v/>
      </c>
      <c r="E317" s="23">
        <f>IF($N317&lt;&gt;"",IF(INDEX(CalcDepB,$N317)=0,"",INDEX(CalcDepB,$N317)),"")</f>
        <v/>
      </c>
      <c r="F317" s="23">
        <f>IF($M317&lt;&gt;"",IF(INDEX(CalcQtyA,$M317)=0,"",INDEX(CalcQtyA,$M317)),"")</f>
        <v/>
      </c>
      <c r="G317" s="23">
        <f>IF($M317&lt;&gt;"",IF(INDEX(CalcPriceA,$M317)=0,"",INDEX(CalcPriceA,$M317)),"")</f>
        <v/>
      </c>
      <c r="H317" s="23">
        <f>IF($N317&lt;&gt;"",IF(INDEX(CalcWitB,$N317)=0,"",INDEX(CalcWitB,$N317)),"")</f>
        <v/>
      </c>
      <c r="I317" s="24">
        <f>IF($M317&lt;&gt;"",INDEX(CalcAmtA,$M317),"")</f>
        <v/>
      </c>
      <c r="J317" s="24">
        <f>IF($B317="","",IF($J316="",$C$8,$J316)+IF($I317="",0,$I317)+IF($E317="",0,$E317)-IF($H317="",0,$H317))</f>
        <v/>
      </c>
      <c r="K317" s="25">
        <f>IF($M317&lt;&gt;"",IF(INDEX(CalcNoteA,$M317)="","—",INDEX(CalcNoteA,$M317)),IF($N317&lt;&gt;"",IF(INDEX(CalcNoteB,$N317)="","—",INDEX(CalcNoteB,$N317)),""))</f>
        <v/>
      </c>
      <c r="M317">
        <f>IFERROR(MATCH($C$5&amp;"|"&amp;RIGHT("000000"&amp;301,6),CalcRankKeyA,0),"")</f>
        <v/>
      </c>
      <c r="N317">
        <f>IFERROR(MATCH($C$5&amp;"|"&amp;RIGHT("000000"&amp;301,6),CalcRankKeyB,0),"")</f>
        <v/>
      </c>
    </row>
    <row r="318">
      <c r="A318" s="26" t="n">
        <v>302</v>
      </c>
      <c r="B318" s="27">
        <f>IF(AND($M318="",$N318=""),"",IF($M318&lt;&gt;"",INDEX(CalcDateA,$M318),INDEX(CalcDateB,$N318)))</f>
        <v/>
      </c>
      <c r="C318" s="27">
        <f>IF($M318&lt;&gt;"","خرید سبد",IF($N318&lt;&gt;"",IF(N(INDEX(CalcDepB,$N318))&gt;0,"دریافت بانکی","پرداخت بانکی"),""))</f>
        <v/>
      </c>
      <c r="D318" s="27">
        <f>IF($M318&lt;&gt;"",IF(INDEX(CalcDocA,$M318)="","—",INDEX(CalcDocA,$M318)),IF($N318&lt;&gt;"",INDEX(CalcBankB,$N318),""))</f>
        <v/>
      </c>
      <c r="E318" s="28">
        <f>IF($N318&lt;&gt;"",IF(INDEX(CalcDepB,$N318)=0,"",INDEX(CalcDepB,$N318)),"")</f>
        <v/>
      </c>
      <c r="F318" s="28">
        <f>IF($M318&lt;&gt;"",IF(INDEX(CalcQtyA,$M318)=0,"",INDEX(CalcQtyA,$M318)),"")</f>
        <v/>
      </c>
      <c r="G318" s="28">
        <f>IF($M318&lt;&gt;"",IF(INDEX(CalcPriceA,$M318)=0,"",INDEX(CalcPriceA,$M318)),"")</f>
        <v/>
      </c>
      <c r="H318" s="28">
        <f>IF($N318&lt;&gt;"",IF(INDEX(CalcWitB,$N318)=0,"",INDEX(CalcWitB,$N318)),"")</f>
        <v/>
      </c>
      <c r="I318" s="29">
        <f>IF($M318&lt;&gt;"",INDEX(CalcAmtA,$M318),"")</f>
        <v/>
      </c>
      <c r="J318" s="29">
        <f>IF($B318="","",IF($J317="",$C$8,$J317)+IF($I318="",0,$I318)+IF($E318="",0,$E318)-IF($H318="",0,$H318))</f>
        <v/>
      </c>
      <c r="K318" s="30">
        <f>IF($M318&lt;&gt;"",IF(INDEX(CalcNoteA,$M318)="","—",INDEX(CalcNoteA,$M318)),IF($N318&lt;&gt;"",IF(INDEX(CalcNoteB,$N318)="","—",INDEX(CalcNoteB,$N318)),""))</f>
        <v/>
      </c>
      <c r="M318">
        <f>IFERROR(MATCH($C$5&amp;"|"&amp;RIGHT("000000"&amp;302,6),CalcRankKeyA,0),"")</f>
        <v/>
      </c>
      <c r="N318">
        <f>IFERROR(MATCH($C$5&amp;"|"&amp;RIGHT("000000"&amp;302,6),CalcRankKeyB,0),"")</f>
        <v/>
      </c>
    </row>
    <row r="319">
      <c r="A319" s="21" t="n">
        <v>303</v>
      </c>
      <c r="B319" s="22">
        <f>IF(AND($M319="",$N319=""),"",IF($M319&lt;&gt;"",INDEX(CalcDateA,$M319),INDEX(CalcDateB,$N319)))</f>
        <v/>
      </c>
      <c r="C319" s="22">
        <f>IF($M319&lt;&gt;"","خرید سبد",IF($N319&lt;&gt;"",IF(N(INDEX(CalcDepB,$N319))&gt;0,"دریافت بانکی","پرداخت بانکی"),""))</f>
        <v/>
      </c>
      <c r="D319" s="22">
        <f>IF($M319&lt;&gt;"",IF(INDEX(CalcDocA,$M319)="","—",INDEX(CalcDocA,$M319)),IF($N319&lt;&gt;"",INDEX(CalcBankB,$N319),""))</f>
        <v/>
      </c>
      <c r="E319" s="23">
        <f>IF($N319&lt;&gt;"",IF(INDEX(CalcDepB,$N319)=0,"",INDEX(CalcDepB,$N319)),"")</f>
        <v/>
      </c>
      <c r="F319" s="23">
        <f>IF($M319&lt;&gt;"",IF(INDEX(CalcQtyA,$M319)=0,"",INDEX(CalcQtyA,$M319)),"")</f>
        <v/>
      </c>
      <c r="G319" s="23">
        <f>IF($M319&lt;&gt;"",IF(INDEX(CalcPriceA,$M319)=0,"",INDEX(CalcPriceA,$M319)),"")</f>
        <v/>
      </c>
      <c r="H319" s="23">
        <f>IF($N319&lt;&gt;"",IF(INDEX(CalcWitB,$N319)=0,"",INDEX(CalcWitB,$N319)),"")</f>
        <v/>
      </c>
      <c r="I319" s="24">
        <f>IF($M319&lt;&gt;"",INDEX(CalcAmtA,$M319),"")</f>
        <v/>
      </c>
      <c r="J319" s="24">
        <f>IF($B319="","",IF($J318="",$C$8,$J318)+IF($I319="",0,$I319)+IF($E319="",0,$E319)-IF($H319="",0,$H319))</f>
        <v/>
      </c>
      <c r="K319" s="25">
        <f>IF($M319&lt;&gt;"",IF(INDEX(CalcNoteA,$M319)="","—",INDEX(CalcNoteA,$M319)),IF($N319&lt;&gt;"",IF(INDEX(CalcNoteB,$N319)="","—",INDEX(CalcNoteB,$N319)),""))</f>
        <v/>
      </c>
      <c r="M319">
        <f>IFERROR(MATCH($C$5&amp;"|"&amp;RIGHT("000000"&amp;303,6),CalcRankKeyA,0),"")</f>
        <v/>
      </c>
      <c r="N319">
        <f>IFERROR(MATCH($C$5&amp;"|"&amp;RIGHT("000000"&amp;303,6),CalcRankKeyB,0),"")</f>
        <v/>
      </c>
    </row>
    <row r="320">
      <c r="A320" s="26" t="n">
        <v>304</v>
      </c>
      <c r="B320" s="27">
        <f>IF(AND($M320="",$N320=""),"",IF($M320&lt;&gt;"",INDEX(CalcDateA,$M320),INDEX(CalcDateB,$N320)))</f>
        <v/>
      </c>
      <c r="C320" s="27">
        <f>IF($M320&lt;&gt;"","خرید سبد",IF($N320&lt;&gt;"",IF(N(INDEX(CalcDepB,$N320))&gt;0,"دریافت بانکی","پرداخت بانکی"),""))</f>
        <v/>
      </c>
      <c r="D320" s="27">
        <f>IF($M320&lt;&gt;"",IF(INDEX(CalcDocA,$M320)="","—",INDEX(CalcDocA,$M320)),IF($N320&lt;&gt;"",INDEX(CalcBankB,$N320),""))</f>
        <v/>
      </c>
      <c r="E320" s="28">
        <f>IF($N320&lt;&gt;"",IF(INDEX(CalcDepB,$N320)=0,"",INDEX(CalcDepB,$N320)),"")</f>
        <v/>
      </c>
      <c r="F320" s="28">
        <f>IF($M320&lt;&gt;"",IF(INDEX(CalcQtyA,$M320)=0,"",INDEX(CalcQtyA,$M320)),"")</f>
        <v/>
      </c>
      <c r="G320" s="28">
        <f>IF($M320&lt;&gt;"",IF(INDEX(CalcPriceA,$M320)=0,"",INDEX(CalcPriceA,$M320)),"")</f>
        <v/>
      </c>
      <c r="H320" s="28">
        <f>IF($N320&lt;&gt;"",IF(INDEX(CalcWitB,$N320)=0,"",INDEX(CalcWitB,$N320)),"")</f>
        <v/>
      </c>
      <c r="I320" s="29">
        <f>IF($M320&lt;&gt;"",INDEX(CalcAmtA,$M320),"")</f>
        <v/>
      </c>
      <c r="J320" s="29">
        <f>IF($B320="","",IF($J319="",$C$8,$J319)+IF($I320="",0,$I320)+IF($E320="",0,$E320)-IF($H320="",0,$H320))</f>
        <v/>
      </c>
      <c r="K320" s="30">
        <f>IF($M320&lt;&gt;"",IF(INDEX(CalcNoteA,$M320)="","—",INDEX(CalcNoteA,$M320)),IF($N320&lt;&gt;"",IF(INDEX(CalcNoteB,$N320)="","—",INDEX(CalcNoteB,$N320)),""))</f>
        <v/>
      </c>
      <c r="M320">
        <f>IFERROR(MATCH($C$5&amp;"|"&amp;RIGHT("000000"&amp;304,6),CalcRankKeyA,0),"")</f>
        <v/>
      </c>
      <c r="N320">
        <f>IFERROR(MATCH($C$5&amp;"|"&amp;RIGHT("000000"&amp;304,6),CalcRankKeyB,0),"")</f>
        <v/>
      </c>
    </row>
    <row r="321">
      <c r="A321" s="21" t="n">
        <v>305</v>
      </c>
      <c r="B321" s="22">
        <f>IF(AND($M321="",$N321=""),"",IF($M321&lt;&gt;"",INDEX(CalcDateA,$M321),INDEX(CalcDateB,$N321)))</f>
        <v/>
      </c>
      <c r="C321" s="22">
        <f>IF($M321&lt;&gt;"","خرید سبد",IF($N321&lt;&gt;"",IF(N(INDEX(CalcDepB,$N321))&gt;0,"دریافت بانکی","پرداخت بانکی"),""))</f>
        <v/>
      </c>
      <c r="D321" s="22">
        <f>IF($M321&lt;&gt;"",IF(INDEX(CalcDocA,$M321)="","—",INDEX(CalcDocA,$M321)),IF($N321&lt;&gt;"",INDEX(CalcBankB,$N321),""))</f>
        <v/>
      </c>
      <c r="E321" s="23">
        <f>IF($N321&lt;&gt;"",IF(INDEX(CalcDepB,$N321)=0,"",INDEX(CalcDepB,$N321)),"")</f>
        <v/>
      </c>
      <c r="F321" s="23">
        <f>IF($M321&lt;&gt;"",IF(INDEX(CalcQtyA,$M321)=0,"",INDEX(CalcQtyA,$M321)),"")</f>
        <v/>
      </c>
      <c r="G321" s="23">
        <f>IF($M321&lt;&gt;"",IF(INDEX(CalcPriceA,$M321)=0,"",INDEX(CalcPriceA,$M321)),"")</f>
        <v/>
      </c>
      <c r="H321" s="23">
        <f>IF($N321&lt;&gt;"",IF(INDEX(CalcWitB,$N321)=0,"",INDEX(CalcWitB,$N321)),"")</f>
        <v/>
      </c>
      <c r="I321" s="24">
        <f>IF($M321&lt;&gt;"",INDEX(CalcAmtA,$M321),"")</f>
        <v/>
      </c>
      <c r="J321" s="24">
        <f>IF($B321="","",IF($J320="",$C$8,$J320)+IF($I321="",0,$I321)+IF($E321="",0,$E321)-IF($H321="",0,$H321))</f>
        <v/>
      </c>
      <c r="K321" s="25">
        <f>IF($M321&lt;&gt;"",IF(INDEX(CalcNoteA,$M321)="","—",INDEX(CalcNoteA,$M321)),IF($N321&lt;&gt;"",IF(INDEX(CalcNoteB,$N321)="","—",INDEX(CalcNoteB,$N321)),""))</f>
        <v/>
      </c>
      <c r="M321">
        <f>IFERROR(MATCH($C$5&amp;"|"&amp;RIGHT("000000"&amp;305,6),CalcRankKeyA,0),"")</f>
        <v/>
      </c>
      <c r="N321">
        <f>IFERROR(MATCH($C$5&amp;"|"&amp;RIGHT("000000"&amp;305,6),CalcRankKeyB,0),"")</f>
        <v/>
      </c>
    </row>
    <row r="322">
      <c r="A322" s="26" t="n">
        <v>306</v>
      </c>
      <c r="B322" s="27">
        <f>IF(AND($M322="",$N322=""),"",IF($M322&lt;&gt;"",INDEX(CalcDateA,$M322),INDEX(CalcDateB,$N322)))</f>
        <v/>
      </c>
      <c r="C322" s="27">
        <f>IF($M322&lt;&gt;"","خرید سبد",IF($N322&lt;&gt;"",IF(N(INDEX(CalcDepB,$N322))&gt;0,"دریافت بانکی","پرداخت بانکی"),""))</f>
        <v/>
      </c>
      <c r="D322" s="27">
        <f>IF($M322&lt;&gt;"",IF(INDEX(CalcDocA,$M322)="","—",INDEX(CalcDocA,$M322)),IF($N322&lt;&gt;"",INDEX(CalcBankB,$N322),""))</f>
        <v/>
      </c>
      <c r="E322" s="28">
        <f>IF($N322&lt;&gt;"",IF(INDEX(CalcDepB,$N322)=0,"",INDEX(CalcDepB,$N322)),"")</f>
        <v/>
      </c>
      <c r="F322" s="28">
        <f>IF($M322&lt;&gt;"",IF(INDEX(CalcQtyA,$M322)=0,"",INDEX(CalcQtyA,$M322)),"")</f>
        <v/>
      </c>
      <c r="G322" s="28">
        <f>IF($M322&lt;&gt;"",IF(INDEX(CalcPriceA,$M322)=0,"",INDEX(CalcPriceA,$M322)),"")</f>
        <v/>
      </c>
      <c r="H322" s="28">
        <f>IF($N322&lt;&gt;"",IF(INDEX(CalcWitB,$N322)=0,"",INDEX(CalcWitB,$N322)),"")</f>
        <v/>
      </c>
      <c r="I322" s="29">
        <f>IF($M322&lt;&gt;"",INDEX(CalcAmtA,$M322),"")</f>
        <v/>
      </c>
      <c r="J322" s="29">
        <f>IF($B322="","",IF($J321="",$C$8,$J321)+IF($I322="",0,$I322)+IF($E322="",0,$E322)-IF($H322="",0,$H322))</f>
        <v/>
      </c>
      <c r="K322" s="30">
        <f>IF($M322&lt;&gt;"",IF(INDEX(CalcNoteA,$M322)="","—",INDEX(CalcNoteA,$M322)),IF($N322&lt;&gt;"",IF(INDEX(CalcNoteB,$N322)="","—",INDEX(CalcNoteB,$N322)),""))</f>
        <v/>
      </c>
      <c r="M322">
        <f>IFERROR(MATCH($C$5&amp;"|"&amp;RIGHT("000000"&amp;306,6),CalcRankKeyA,0),"")</f>
        <v/>
      </c>
      <c r="N322">
        <f>IFERROR(MATCH($C$5&amp;"|"&amp;RIGHT("000000"&amp;306,6),CalcRankKeyB,0),"")</f>
        <v/>
      </c>
    </row>
    <row r="323">
      <c r="A323" s="21" t="n">
        <v>307</v>
      </c>
      <c r="B323" s="22">
        <f>IF(AND($M323="",$N323=""),"",IF($M323&lt;&gt;"",INDEX(CalcDateA,$M323),INDEX(CalcDateB,$N323)))</f>
        <v/>
      </c>
      <c r="C323" s="22">
        <f>IF($M323&lt;&gt;"","خرید سبد",IF($N323&lt;&gt;"",IF(N(INDEX(CalcDepB,$N323))&gt;0,"دریافت بانکی","پرداخت بانکی"),""))</f>
        <v/>
      </c>
      <c r="D323" s="22">
        <f>IF($M323&lt;&gt;"",IF(INDEX(CalcDocA,$M323)="","—",INDEX(CalcDocA,$M323)),IF($N323&lt;&gt;"",INDEX(CalcBankB,$N323),""))</f>
        <v/>
      </c>
      <c r="E323" s="23">
        <f>IF($N323&lt;&gt;"",IF(INDEX(CalcDepB,$N323)=0,"",INDEX(CalcDepB,$N323)),"")</f>
        <v/>
      </c>
      <c r="F323" s="23">
        <f>IF($M323&lt;&gt;"",IF(INDEX(CalcQtyA,$M323)=0,"",INDEX(CalcQtyA,$M323)),"")</f>
        <v/>
      </c>
      <c r="G323" s="23">
        <f>IF($M323&lt;&gt;"",IF(INDEX(CalcPriceA,$M323)=0,"",INDEX(CalcPriceA,$M323)),"")</f>
        <v/>
      </c>
      <c r="H323" s="23">
        <f>IF($N323&lt;&gt;"",IF(INDEX(CalcWitB,$N323)=0,"",INDEX(CalcWitB,$N323)),"")</f>
        <v/>
      </c>
      <c r="I323" s="24">
        <f>IF($M323&lt;&gt;"",INDEX(CalcAmtA,$M323),"")</f>
        <v/>
      </c>
      <c r="J323" s="24">
        <f>IF($B323="","",IF($J322="",$C$8,$J322)+IF($I323="",0,$I323)+IF($E323="",0,$E323)-IF($H323="",0,$H323))</f>
        <v/>
      </c>
      <c r="K323" s="25">
        <f>IF($M323&lt;&gt;"",IF(INDEX(CalcNoteA,$M323)="","—",INDEX(CalcNoteA,$M323)),IF($N323&lt;&gt;"",IF(INDEX(CalcNoteB,$N323)="","—",INDEX(CalcNoteB,$N323)),""))</f>
        <v/>
      </c>
      <c r="M323">
        <f>IFERROR(MATCH($C$5&amp;"|"&amp;RIGHT("000000"&amp;307,6),CalcRankKeyA,0),"")</f>
        <v/>
      </c>
      <c r="N323">
        <f>IFERROR(MATCH($C$5&amp;"|"&amp;RIGHT("000000"&amp;307,6),CalcRankKeyB,0),"")</f>
        <v/>
      </c>
    </row>
    <row r="324">
      <c r="A324" s="26" t="n">
        <v>308</v>
      </c>
      <c r="B324" s="27">
        <f>IF(AND($M324="",$N324=""),"",IF($M324&lt;&gt;"",INDEX(CalcDateA,$M324),INDEX(CalcDateB,$N324)))</f>
        <v/>
      </c>
      <c r="C324" s="27">
        <f>IF($M324&lt;&gt;"","خرید سبد",IF($N324&lt;&gt;"",IF(N(INDEX(CalcDepB,$N324))&gt;0,"دریافت بانکی","پرداخت بانکی"),""))</f>
        <v/>
      </c>
      <c r="D324" s="27">
        <f>IF($M324&lt;&gt;"",IF(INDEX(CalcDocA,$M324)="","—",INDEX(CalcDocA,$M324)),IF($N324&lt;&gt;"",INDEX(CalcBankB,$N324),""))</f>
        <v/>
      </c>
      <c r="E324" s="28">
        <f>IF($N324&lt;&gt;"",IF(INDEX(CalcDepB,$N324)=0,"",INDEX(CalcDepB,$N324)),"")</f>
        <v/>
      </c>
      <c r="F324" s="28">
        <f>IF($M324&lt;&gt;"",IF(INDEX(CalcQtyA,$M324)=0,"",INDEX(CalcQtyA,$M324)),"")</f>
        <v/>
      </c>
      <c r="G324" s="28">
        <f>IF($M324&lt;&gt;"",IF(INDEX(CalcPriceA,$M324)=0,"",INDEX(CalcPriceA,$M324)),"")</f>
        <v/>
      </c>
      <c r="H324" s="28">
        <f>IF($N324&lt;&gt;"",IF(INDEX(CalcWitB,$N324)=0,"",INDEX(CalcWitB,$N324)),"")</f>
        <v/>
      </c>
      <c r="I324" s="29">
        <f>IF($M324&lt;&gt;"",INDEX(CalcAmtA,$M324),"")</f>
        <v/>
      </c>
      <c r="J324" s="29">
        <f>IF($B324="","",IF($J323="",$C$8,$J323)+IF($I324="",0,$I324)+IF($E324="",0,$E324)-IF($H324="",0,$H324))</f>
        <v/>
      </c>
      <c r="K324" s="30">
        <f>IF($M324&lt;&gt;"",IF(INDEX(CalcNoteA,$M324)="","—",INDEX(CalcNoteA,$M324)),IF($N324&lt;&gt;"",IF(INDEX(CalcNoteB,$N324)="","—",INDEX(CalcNoteB,$N324)),""))</f>
        <v/>
      </c>
      <c r="M324">
        <f>IFERROR(MATCH($C$5&amp;"|"&amp;RIGHT("000000"&amp;308,6),CalcRankKeyA,0),"")</f>
        <v/>
      </c>
      <c r="N324">
        <f>IFERROR(MATCH($C$5&amp;"|"&amp;RIGHT("000000"&amp;308,6),CalcRankKeyB,0),"")</f>
        <v/>
      </c>
    </row>
    <row r="325">
      <c r="A325" s="21" t="n">
        <v>309</v>
      </c>
      <c r="B325" s="22">
        <f>IF(AND($M325="",$N325=""),"",IF($M325&lt;&gt;"",INDEX(CalcDateA,$M325),INDEX(CalcDateB,$N325)))</f>
        <v/>
      </c>
      <c r="C325" s="22">
        <f>IF($M325&lt;&gt;"","خرید سبد",IF($N325&lt;&gt;"",IF(N(INDEX(CalcDepB,$N325))&gt;0,"دریافت بانکی","پرداخت بانکی"),""))</f>
        <v/>
      </c>
      <c r="D325" s="22">
        <f>IF($M325&lt;&gt;"",IF(INDEX(CalcDocA,$M325)="","—",INDEX(CalcDocA,$M325)),IF($N325&lt;&gt;"",INDEX(CalcBankB,$N325),""))</f>
        <v/>
      </c>
      <c r="E325" s="23">
        <f>IF($N325&lt;&gt;"",IF(INDEX(CalcDepB,$N325)=0,"",INDEX(CalcDepB,$N325)),"")</f>
        <v/>
      </c>
      <c r="F325" s="23">
        <f>IF($M325&lt;&gt;"",IF(INDEX(CalcQtyA,$M325)=0,"",INDEX(CalcQtyA,$M325)),"")</f>
        <v/>
      </c>
      <c r="G325" s="23">
        <f>IF($M325&lt;&gt;"",IF(INDEX(CalcPriceA,$M325)=0,"",INDEX(CalcPriceA,$M325)),"")</f>
        <v/>
      </c>
      <c r="H325" s="23">
        <f>IF($N325&lt;&gt;"",IF(INDEX(CalcWitB,$N325)=0,"",INDEX(CalcWitB,$N325)),"")</f>
        <v/>
      </c>
      <c r="I325" s="24">
        <f>IF($M325&lt;&gt;"",INDEX(CalcAmtA,$M325),"")</f>
        <v/>
      </c>
      <c r="J325" s="24">
        <f>IF($B325="","",IF($J324="",$C$8,$J324)+IF($I325="",0,$I325)+IF($E325="",0,$E325)-IF($H325="",0,$H325))</f>
        <v/>
      </c>
      <c r="K325" s="25">
        <f>IF($M325&lt;&gt;"",IF(INDEX(CalcNoteA,$M325)="","—",INDEX(CalcNoteA,$M325)),IF($N325&lt;&gt;"",IF(INDEX(CalcNoteB,$N325)="","—",INDEX(CalcNoteB,$N325)),""))</f>
        <v/>
      </c>
      <c r="M325">
        <f>IFERROR(MATCH($C$5&amp;"|"&amp;RIGHT("000000"&amp;309,6),CalcRankKeyA,0),"")</f>
        <v/>
      </c>
      <c r="N325">
        <f>IFERROR(MATCH($C$5&amp;"|"&amp;RIGHT("000000"&amp;309,6),CalcRankKeyB,0),"")</f>
        <v/>
      </c>
    </row>
    <row r="326">
      <c r="A326" s="26" t="n">
        <v>310</v>
      </c>
      <c r="B326" s="27">
        <f>IF(AND($M326="",$N326=""),"",IF($M326&lt;&gt;"",INDEX(CalcDateA,$M326),INDEX(CalcDateB,$N326)))</f>
        <v/>
      </c>
      <c r="C326" s="27">
        <f>IF($M326&lt;&gt;"","خرید سبد",IF($N326&lt;&gt;"",IF(N(INDEX(CalcDepB,$N326))&gt;0,"دریافت بانکی","پرداخت بانکی"),""))</f>
        <v/>
      </c>
      <c r="D326" s="27">
        <f>IF($M326&lt;&gt;"",IF(INDEX(CalcDocA,$M326)="","—",INDEX(CalcDocA,$M326)),IF($N326&lt;&gt;"",INDEX(CalcBankB,$N326),""))</f>
        <v/>
      </c>
      <c r="E326" s="28">
        <f>IF($N326&lt;&gt;"",IF(INDEX(CalcDepB,$N326)=0,"",INDEX(CalcDepB,$N326)),"")</f>
        <v/>
      </c>
      <c r="F326" s="28">
        <f>IF($M326&lt;&gt;"",IF(INDEX(CalcQtyA,$M326)=0,"",INDEX(CalcQtyA,$M326)),"")</f>
        <v/>
      </c>
      <c r="G326" s="28">
        <f>IF($M326&lt;&gt;"",IF(INDEX(CalcPriceA,$M326)=0,"",INDEX(CalcPriceA,$M326)),"")</f>
        <v/>
      </c>
      <c r="H326" s="28">
        <f>IF($N326&lt;&gt;"",IF(INDEX(CalcWitB,$N326)=0,"",INDEX(CalcWitB,$N326)),"")</f>
        <v/>
      </c>
      <c r="I326" s="29">
        <f>IF($M326&lt;&gt;"",INDEX(CalcAmtA,$M326),"")</f>
        <v/>
      </c>
      <c r="J326" s="29">
        <f>IF($B326="","",IF($J325="",$C$8,$J325)+IF($I326="",0,$I326)+IF($E326="",0,$E326)-IF($H326="",0,$H326))</f>
        <v/>
      </c>
      <c r="K326" s="30">
        <f>IF($M326&lt;&gt;"",IF(INDEX(CalcNoteA,$M326)="","—",INDEX(CalcNoteA,$M326)),IF($N326&lt;&gt;"",IF(INDEX(CalcNoteB,$N326)="","—",INDEX(CalcNoteB,$N326)),""))</f>
        <v/>
      </c>
      <c r="M326">
        <f>IFERROR(MATCH($C$5&amp;"|"&amp;RIGHT("000000"&amp;310,6),CalcRankKeyA,0),"")</f>
        <v/>
      </c>
      <c r="N326">
        <f>IFERROR(MATCH($C$5&amp;"|"&amp;RIGHT("000000"&amp;310,6),CalcRankKeyB,0),"")</f>
        <v/>
      </c>
    </row>
    <row r="327">
      <c r="A327" s="21" t="n">
        <v>311</v>
      </c>
      <c r="B327" s="22">
        <f>IF(AND($M327="",$N327=""),"",IF($M327&lt;&gt;"",INDEX(CalcDateA,$M327),INDEX(CalcDateB,$N327)))</f>
        <v/>
      </c>
      <c r="C327" s="22">
        <f>IF($M327&lt;&gt;"","خرید سبد",IF($N327&lt;&gt;"",IF(N(INDEX(CalcDepB,$N327))&gt;0,"دریافت بانکی","پرداخت بانکی"),""))</f>
        <v/>
      </c>
      <c r="D327" s="22">
        <f>IF($M327&lt;&gt;"",IF(INDEX(CalcDocA,$M327)="","—",INDEX(CalcDocA,$M327)),IF($N327&lt;&gt;"",INDEX(CalcBankB,$N327),""))</f>
        <v/>
      </c>
      <c r="E327" s="23">
        <f>IF($N327&lt;&gt;"",IF(INDEX(CalcDepB,$N327)=0,"",INDEX(CalcDepB,$N327)),"")</f>
        <v/>
      </c>
      <c r="F327" s="23">
        <f>IF($M327&lt;&gt;"",IF(INDEX(CalcQtyA,$M327)=0,"",INDEX(CalcQtyA,$M327)),"")</f>
        <v/>
      </c>
      <c r="G327" s="23">
        <f>IF($M327&lt;&gt;"",IF(INDEX(CalcPriceA,$M327)=0,"",INDEX(CalcPriceA,$M327)),"")</f>
        <v/>
      </c>
      <c r="H327" s="23">
        <f>IF($N327&lt;&gt;"",IF(INDEX(CalcWitB,$N327)=0,"",INDEX(CalcWitB,$N327)),"")</f>
        <v/>
      </c>
      <c r="I327" s="24">
        <f>IF($M327&lt;&gt;"",INDEX(CalcAmtA,$M327),"")</f>
        <v/>
      </c>
      <c r="J327" s="24">
        <f>IF($B327="","",IF($J326="",$C$8,$J326)+IF($I327="",0,$I327)+IF($E327="",0,$E327)-IF($H327="",0,$H327))</f>
        <v/>
      </c>
      <c r="K327" s="25">
        <f>IF($M327&lt;&gt;"",IF(INDEX(CalcNoteA,$M327)="","—",INDEX(CalcNoteA,$M327)),IF($N327&lt;&gt;"",IF(INDEX(CalcNoteB,$N327)="","—",INDEX(CalcNoteB,$N327)),""))</f>
        <v/>
      </c>
      <c r="M327">
        <f>IFERROR(MATCH($C$5&amp;"|"&amp;RIGHT("000000"&amp;311,6),CalcRankKeyA,0),"")</f>
        <v/>
      </c>
      <c r="N327">
        <f>IFERROR(MATCH($C$5&amp;"|"&amp;RIGHT("000000"&amp;311,6),CalcRankKeyB,0),"")</f>
        <v/>
      </c>
    </row>
    <row r="328">
      <c r="A328" s="26" t="n">
        <v>312</v>
      </c>
      <c r="B328" s="27">
        <f>IF(AND($M328="",$N328=""),"",IF($M328&lt;&gt;"",INDEX(CalcDateA,$M328),INDEX(CalcDateB,$N328)))</f>
        <v/>
      </c>
      <c r="C328" s="27">
        <f>IF($M328&lt;&gt;"","خرید سبد",IF($N328&lt;&gt;"",IF(N(INDEX(CalcDepB,$N328))&gt;0,"دریافت بانکی","پرداخت بانکی"),""))</f>
        <v/>
      </c>
      <c r="D328" s="27">
        <f>IF($M328&lt;&gt;"",IF(INDEX(CalcDocA,$M328)="","—",INDEX(CalcDocA,$M328)),IF($N328&lt;&gt;"",INDEX(CalcBankB,$N328),""))</f>
        <v/>
      </c>
      <c r="E328" s="28">
        <f>IF($N328&lt;&gt;"",IF(INDEX(CalcDepB,$N328)=0,"",INDEX(CalcDepB,$N328)),"")</f>
        <v/>
      </c>
      <c r="F328" s="28">
        <f>IF($M328&lt;&gt;"",IF(INDEX(CalcQtyA,$M328)=0,"",INDEX(CalcQtyA,$M328)),"")</f>
        <v/>
      </c>
      <c r="G328" s="28">
        <f>IF($M328&lt;&gt;"",IF(INDEX(CalcPriceA,$M328)=0,"",INDEX(CalcPriceA,$M328)),"")</f>
        <v/>
      </c>
      <c r="H328" s="28">
        <f>IF($N328&lt;&gt;"",IF(INDEX(CalcWitB,$N328)=0,"",INDEX(CalcWitB,$N328)),"")</f>
        <v/>
      </c>
      <c r="I328" s="29">
        <f>IF($M328&lt;&gt;"",INDEX(CalcAmtA,$M328),"")</f>
        <v/>
      </c>
      <c r="J328" s="29">
        <f>IF($B328="","",IF($J327="",$C$8,$J327)+IF($I328="",0,$I328)+IF($E328="",0,$E328)-IF($H328="",0,$H328))</f>
        <v/>
      </c>
      <c r="K328" s="30">
        <f>IF($M328&lt;&gt;"",IF(INDEX(CalcNoteA,$M328)="","—",INDEX(CalcNoteA,$M328)),IF($N328&lt;&gt;"",IF(INDEX(CalcNoteB,$N328)="","—",INDEX(CalcNoteB,$N328)),""))</f>
        <v/>
      </c>
      <c r="M328">
        <f>IFERROR(MATCH($C$5&amp;"|"&amp;RIGHT("000000"&amp;312,6),CalcRankKeyA,0),"")</f>
        <v/>
      </c>
      <c r="N328">
        <f>IFERROR(MATCH($C$5&amp;"|"&amp;RIGHT("000000"&amp;312,6),CalcRankKeyB,0),"")</f>
        <v/>
      </c>
    </row>
    <row r="329">
      <c r="A329" s="21" t="n">
        <v>313</v>
      </c>
      <c r="B329" s="22">
        <f>IF(AND($M329="",$N329=""),"",IF($M329&lt;&gt;"",INDEX(CalcDateA,$M329),INDEX(CalcDateB,$N329)))</f>
        <v/>
      </c>
      <c r="C329" s="22">
        <f>IF($M329&lt;&gt;"","خرید سبد",IF($N329&lt;&gt;"",IF(N(INDEX(CalcDepB,$N329))&gt;0,"دریافت بانکی","پرداخت بانکی"),""))</f>
        <v/>
      </c>
      <c r="D329" s="22">
        <f>IF($M329&lt;&gt;"",IF(INDEX(CalcDocA,$M329)="","—",INDEX(CalcDocA,$M329)),IF($N329&lt;&gt;"",INDEX(CalcBankB,$N329),""))</f>
        <v/>
      </c>
      <c r="E329" s="23">
        <f>IF($N329&lt;&gt;"",IF(INDEX(CalcDepB,$N329)=0,"",INDEX(CalcDepB,$N329)),"")</f>
        <v/>
      </c>
      <c r="F329" s="23">
        <f>IF($M329&lt;&gt;"",IF(INDEX(CalcQtyA,$M329)=0,"",INDEX(CalcQtyA,$M329)),"")</f>
        <v/>
      </c>
      <c r="G329" s="23">
        <f>IF($M329&lt;&gt;"",IF(INDEX(CalcPriceA,$M329)=0,"",INDEX(CalcPriceA,$M329)),"")</f>
        <v/>
      </c>
      <c r="H329" s="23">
        <f>IF($N329&lt;&gt;"",IF(INDEX(CalcWitB,$N329)=0,"",INDEX(CalcWitB,$N329)),"")</f>
        <v/>
      </c>
      <c r="I329" s="24">
        <f>IF($M329&lt;&gt;"",INDEX(CalcAmtA,$M329),"")</f>
        <v/>
      </c>
      <c r="J329" s="24">
        <f>IF($B329="","",IF($J328="",$C$8,$J328)+IF($I329="",0,$I329)+IF($E329="",0,$E329)-IF($H329="",0,$H329))</f>
        <v/>
      </c>
      <c r="K329" s="25">
        <f>IF($M329&lt;&gt;"",IF(INDEX(CalcNoteA,$M329)="","—",INDEX(CalcNoteA,$M329)),IF($N329&lt;&gt;"",IF(INDEX(CalcNoteB,$N329)="","—",INDEX(CalcNoteB,$N329)),""))</f>
        <v/>
      </c>
      <c r="M329">
        <f>IFERROR(MATCH($C$5&amp;"|"&amp;RIGHT("000000"&amp;313,6),CalcRankKeyA,0),"")</f>
        <v/>
      </c>
      <c r="N329">
        <f>IFERROR(MATCH($C$5&amp;"|"&amp;RIGHT("000000"&amp;313,6),CalcRankKeyB,0),"")</f>
        <v/>
      </c>
    </row>
    <row r="330">
      <c r="A330" s="26" t="n">
        <v>314</v>
      </c>
      <c r="B330" s="27">
        <f>IF(AND($M330="",$N330=""),"",IF($M330&lt;&gt;"",INDEX(CalcDateA,$M330),INDEX(CalcDateB,$N330)))</f>
        <v/>
      </c>
      <c r="C330" s="27">
        <f>IF($M330&lt;&gt;"","خرید سبد",IF($N330&lt;&gt;"",IF(N(INDEX(CalcDepB,$N330))&gt;0,"دریافت بانکی","پرداخت بانکی"),""))</f>
        <v/>
      </c>
      <c r="D330" s="27">
        <f>IF($M330&lt;&gt;"",IF(INDEX(CalcDocA,$M330)="","—",INDEX(CalcDocA,$M330)),IF($N330&lt;&gt;"",INDEX(CalcBankB,$N330),""))</f>
        <v/>
      </c>
      <c r="E330" s="28">
        <f>IF($N330&lt;&gt;"",IF(INDEX(CalcDepB,$N330)=0,"",INDEX(CalcDepB,$N330)),"")</f>
        <v/>
      </c>
      <c r="F330" s="28">
        <f>IF($M330&lt;&gt;"",IF(INDEX(CalcQtyA,$M330)=0,"",INDEX(CalcQtyA,$M330)),"")</f>
        <v/>
      </c>
      <c r="G330" s="28">
        <f>IF($M330&lt;&gt;"",IF(INDEX(CalcPriceA,$M330)=0,"",INDEX(CalcPriceA,$M330)),"")</f>
        <v/>
      </c>
      <c r="H330" s="28">
        <f>IF($N330&lt;&gt;"",IF(INDEX(CalcWitB,$N330)=0,"",INDEX(CalcWitB,$N330)),"")</f>
        <v/>
      </c>
      <c r="I330" s="29">
        <f>IF($M330&lt;&gt;"",INDEX(CalcAmtA,$M330),"")</f>
        <v/>
      </c>
      <c r="J330" s="29">
        <f>IF($B330="","",IF($J329="",$C$8,$J329)+IF($I330="",0,$I330)+IF($E330="",0,$E330)-IF($H330="",0,$H330))</f>
        <v/>
      </c>
      <c r="K330" s="30">
        <f>IF($M330&lt;&gt;"",IF(INDEX(CalcNoteA,$M330)="","—",INDEX(CalcNoteA,$M330)),IF($N330&lt;&gt;"",IF(INDEX(CalcNoteB,$N330)="","—",INDEX(CalcNoteB,$N330)),""))</f>
        <v/>
      </c>
      <c r="M330">
        <f>IFERROR(MATCH($C$5&amp;"|"&amp;RIGHT("000000"&amp;314,6),CalcRankKeyA,0),"")</f>
        <v/>
      </c>
      <c r="N330">
        <f>IFERROR(MATCH($C$5&amp;"|"&amp;RIGHT("000000"&amp;314,6),CalcRankKeyB,0),"")</f>
        <v/>
      </c>
    </row>
    <row r="331">
      <c r="A331" s="21" t="n">
        <v>315</v>
      </c>
      <c r="B331" s="22">
        <f>IF(AND($M331="",$N331=""),"",IF($M331&lt;&gt;"",INDEX(CalcDateA,$M331),INDEX(CalcDateB,$N331)))</f>
        <v/>
      </c>
      <c r="C331" s="22">
        <f>IF($M331&lt;&gt;"","خرید سبد",IF($N331&lt;&gt;"",IF(N(INDEX(CalcDepB,$N331))&gt;0,"دریافت بانکی","پرداخت بانکی"),""))</f>
        <v/>
      </c>
      <c r="D331" s="22">
        <f>IF($M331&lt;&gt;"",IF(INDEX(CalcDocA,$M331)="","—",INDEX(CalcDocA,$M331)),IF($N331&lt;&gt;"",INDEX(CalcBankB,$N331),""))</f>
        <v/>
      </c>
      <c r="E331" s="23">
        <f>IF($N331&lt;&gt;"",IF(INDEX(CalcDepB,$N331)=0,"",INDEX(CalcDepB,$N331)),"")</f>
        <v/>
      </c>
      <c r="F331" s="23">
        <f>IF($M331&lt;&gt;"",IF(INDEX(CalcQtyA,$M331)=0,"",INDEX(CalcQtyA,$M331)),"")</f>
        <v/>
      </c>
      <c r="G331" s="23">
        <f>IF($M331&lt;&gt;"",IF(INDEX(CalcPriceA,$M331)=0,"",INDEX(CalcPriceA,$M331)),"")</f>
        <v/>
      </c>
      <c r="H331" s="23">
        <f>IF($N331&lt;&gt;"",IF(INDEX(CalcWitB,$N331)=0,"",INDEX(CalcWitB,$N331)),"")</f>
        <v/>
      </c>
      <c r="I331" s="24">
        <f>IF($M331&lt;&gt;"",INDEX(CalcAmtA,$M331),"")</f>
        <v/>
      </c>
      <c r="J331" s="24">
        <f>IF($B331="","",IF($J330="",$C$8,$J330)+IF($I331="",0,$I331)+IF($E331="",0,$E331)-IF($H331="",0,$H331))</f>
        <v/>
      </c>
      <c r="K331" s="25">
        <f>IF($M331&lt;&gt;"",IF(INDEX(CalcNoteA,$M331)="","—",INDEX(CalcNoteA,$M331)),IF($N331&lt;&gt;"",IF(INDEX(CalcNoteB,$N331)="","—",INDEX(CalcNoteB,$N331)),""))</f>
        <v/>
      </c>
      <c r="M331">
        <f>IFERROR(MATCH($C$5&amp;"|"&amp;RIGHT("000000"&amp;315,6),CalcRankKeyA,0),"")</f>
        <v/>
      </c>
      <c r="N331">
        <f>IFERROR(MATCH($C$5&amp;"|"&amp;RIGHT("000000"&amp;315,6),CalcRankKeyB,0),"")</f>
        <v/>
      </c>
    </row>
    <row r="332">
      <c r="A332" s="26" t="n">
        <v>316</v>
      </c>
      <c r="B332" s="27">
        <f>IF(AND($M332="",$N332=""),"",IF($M332&lt;&gt;"",INDEX(CalcDateA,$M332),INDEX(CalcDateB,$N332)))</f>
        <v/>
      </c>
      <c r="C332" s="27">
        <f>IF($M332&lt;&gt;"","خرید سبد",IF($N332&lt;&gt;"",IF(N(INDEX(CalcDepB,$N332))&gt;0,"دریافت بانکی","پرداخت بانکی"),""))</f>
        <v/>
      </c>
      <c r="D332" s="27">
        <f>IF($M332&lt;&gt;"",IF(INDEX(CalcDocA,$M332)="","—",INDEX(CalcDocA,$M332)),IF($N332&lt;&gt;"",INDEX(CalcBankB,$N332),""))</f>
        <v/>
      </c>
      <c r="E332" s="28">
        <f>IF($N332&lt;&gt;"",IF(INDEX(CalcDepB,$N332)=0,"",INDEX(CalcDepB,$N332)),"")</f>
        <v/>
      </c>
      <c r="F332" s="28">
        <f>IF($M332&lt;&gt;"",IF(INDEX(CalcQtyA,$M332)=0,"",INDEX(CalcQtyA,$M332)),"")</f>
        <v/>
      </c>
      <c r="G332" s="28">
        <f>IF($M332&lt;&gt;"",IF(INDEX(CalcPriceA,$M332)=0,"",INDEX(CalcPriceA,$M332)),"")</f>
        <v/>
      </c>
      <c r="H332" s="28">
        <f>IF($N332&lt;&gt;"",IF(INDEX(CalcWitB,$N332)=0,"",INDEX(CalcWitB,$N332)),"")</f>
        <v/>
      </c>
      <c r="I332" s="29">
        <f>IF($M332&lt;&gt;"",INDEX(CalcAmtA,$M332),"")</f>
        <v/>
      </c>
      <c r="J332" s="29">
        <f>IF($B332="","",IF($J331="",$C$8,$J331)+IF($I332="",0,$I332)+IF($E332="",0,$E332)-IF($H332="",0,$H332))</f>
        <v/>
      </c>
      <c r="K332" s="30">
        <f>IF($M332&lt;&gt;"",IF(INDEX(CalcNoteA,$M332)="","—",INDEX(CalcNoteA,$M332)),IF($N332&lt;&gt;"",IF(INDEX(CalcNoteB,$N332)="","—",INDEX(CalcNoteB,$N332)),""))</f>
        <v/>
      </c>
      <c r="M332">
        <f>IFERROR(MATCH($C$5&amp;"|"&amp;RIGHT("000000"&amp;316,6),CalcRankKeyA,0),"")</f>
        <v/>
      </c>
      <c r="N332">
        <f>IFERROR(MATCH($C$5&amp;"|"&amp;RIGHT("000000"&amp;316,6),CalcRankKeyB,0),"")</f>
        <v/>
      </c>
    </row>
    <row r="333">
      <c r="A333" s="21" t="n">
        <v>317</v>
      </c>
      <c r="B333" s="22">
        <f>IF(AND($M333="",$N333=""),"",IF($M333&lt;&gt;"",INDEX(CalcDateA,$M333),INDEX(CalcDateB,$N333)))</f>
        <v/>
      </c>
      <c r="C333" s="22">
        <f>IF($M333&lt;&gt;"","خرید سبد",IF($N333&lt;&gt;"",IF(N(INDEX(CalcDepB,$N333))&gt;0,"دریافت بانکی","پرداخت بانکی"),""))</f>
        <v/>
      </c>
      <c r="D333" s="22">
        <f>IF($M333&lt;&gt;"",IF(INDEX(CalcDocA,$M333)="","—",INDEX(CalcDocA,$M333)),IF($N333&lt;&gt;"",INDEX(CalcBankB,$N333),""))</f>
        <v/>
      </c>
      <c r="E333" s="23">
        <f>IF($N333&lt;&gt;"",IF(INDEX(CalcDepB,$N333)=0,"",INDEX(CalcDepB,$N333)),"")</f>
        <v/>
      </c>
      <c r="F333" s="23">
        <f>IF($M333&lt;&gt;"",IF(INDEX(CalcQtyA,$M333)=0,"",INDEX(CalcQtyA,$M333)),"")</f>
        <v/>
      </c>
      <c r="G333" s="23">
        <f>IF($M333&lt;&gt;"",IF(INDEX(CalcPriceA,$M333)=0,"",INDEX(CalcPriceA,$M333)),"")</f>
        <v/>
      </c>
      <c r="H333" s="23">
        <f>IF($N333&lt;&gt;"",IF(INDEX(CalcWitB,$N333)=0,"",INDEX(CalcWitB,$N333)),"")</f>
        <v/>
      </c>
      <c r="I333" s="24">
        <f>IF($M333&lt;&gt;"",INDEX(CalcAmtA,$M333),"")</f>
        <v/>
      </c>
      <c r="J333" s="24">
        <f>IF($B333="","",IF($J332="",$C$8,$J332)+IF($I333="",0,$I333)+IF($E333="",0,$E333)-IF($H333="",0,$H333))</f>
        <v/>
      </c>
      <c r="K333" s="25">
        <f>IF($M333&lt;&gt;"",IF(INDEX(CalcNoteA,$M333)="","—",INDEX(CalcNoteA,$M333)),IF($N333&lt;&gt;"",IF(INDEX(CalcNoteB,$N333)="","—",INDEX(CalcNoteB,$N333)),""))</f>
        <v/>
      </c>
      <c r="M333">
        <f>IFERROR(MATCH($C$5&amp;"|"&amp;RIGHT("000000"&amp;317,6),CalcRankKeyA,0),"")</f>
        <v/>
      </c>
      <c r="N333">
        <f>IFERROR(MATCH($C$5&amp;"|"&amp;RIGHT("000000"&amp;317,6),CalcRankKeyB,0),"")</f>
        <v/>
      </c>
    </row>
    <row r="334">
      <c r="A334" s="26" t="n">
        <v>318</v>
      </c>
      <c r="B334" s="27">
        <f>IF(AND($M334="",$N334=""),"",IF($M334&lt;&gt;"",INDEX(CalcDateA,$M334),INDEX(CalcDateB,$N334)))</f>
        <v/>
      </c>
      <c r="C334" s="27">
        <f>IF($M334&lt;&gt;"","خرید سبد",IF($N334&lt;&gt;"",IF(N(INDEX(CalcDepB,$N334))&gt;0,"دریافت بانکی","پرداخت بانکی"),""))</f>
        <v/>
      </c>
      <c r="D334" s="27">
        <f>IF($M334&lt;&gt;"",IF(INDEX(CalcDocA,$M334)="","—",INDEX(CalcDocA,$M334)),IF($N334&lt;&gt;"",INDEX(CalcBankB,$N334),""))</f>
        <v/>
      </c>
      <c r="E334" s="28">
        <f>IF($N334&lt;&gt;"",IF(INDEX(CalcDepB,$N334)=0,"",INDEX(CalcDepB,$N334)),"")</f>
        <v/>
      </c>
      <c r="F334" s="28">
        <f>IF($M334&lt;&gt;"",IF(INDEX(CalcQtyA,$M334)=0,"",INDEX(CalcQtyA,$M334)),"")</f>
        <v/>
      </c>
      <c r="G334" s="28">
        <f>IF($M334&lt;&gt;"",IF(INDEX(CalcPriceA,$M334)=0,"",INDEX(CalcPriceA,$M334)),"")</f>
        <v/>
      </c>
      <c r="H334" s="28">
        <f>IF($N334&lt;&gt;"",IF(INDEX(CalcWitB,$N334)=0,"",INDEX(CalcWitB,$N334)),"")</f>
        <v/>
      </c>
      <c r="I334" s="29">
        <f>IF($M334&lt;&gt;"",INDEX(CalcAmtA,$M334),"")</f>
        <v/>
      </c>
      <c r="J334" s="29">
        <f>IF($B334="","",IF($J333="",$C$8,$J333)+IF($I334="",0,$I334)+IF($E334="",0,$E334)-IF($H334="",0,$H334))</f>
        <v/>
      </c>
      <c r="K334" s="30">
        <f>IF($M334&lt;&gt;"",IF(INDEX(CalcNoteA,$M334)="","—",INDEX(CalcNoteA,$M334)),IF($N334&lt;&gt;"",IF(INDEX(CalcNoteB,$N334)="","—",INDEX(CalcNoteB,$N334)),""))</f>
        <v/>
      </c>
      <c r="M334">
        <f>IFERROR(MATCH($C$5&amp;"|"&amp;RIGHT("000000"&amp;318,6),CalcRankKeyA,0),"")</f>
        <v/>
      </c>
      <c r="N334">
        <f>IFERROR(MATCH($C$5&amp;"|"&amp;RIGHT("000000"&amp;318,6),CalcRankKeyB,0),"")</f>
        <v/>
      </c>
    </row>
    <row r="335">
      <c r="A335" s="21" t="n">
        <v>319</v>
      </c>
      <c r="B335" s="22">
        <f>IF(AND($M335="",$N335=""),"",IF($M335&lt;&gt;"",INDEX(CalcDateA,$M335),INDEX(CalcDateB,$N335)))</f>
        <v/>
      </c>
      <c r="C335" s="22">
        <f>IF($M335&lt;&gt;"","خرید سبد",IF($N335&lt;&gt;"",IF(N(INDEX(CalcDepB,$N335))&gt;0,"دریافت بانکی","پرداخت بانکی"),""))</f>
        <v/>
      </c>
      <c r="D335" s="22">
        <f>IF($M335&lt;&gt;"",IF(INDEX(CalcDocA,$M335)="","—",INDEX(CalcDocA,$M335)),IF($N335&lt;&gt;"",INDEX(CalcBankB,$N335),""))</f>
        <v/>
      </c>
      <c r="E335" s="23">
        <f>IF($N335&lt;&gt;"",IF(INDEX(CalcDepB,$N335)=0,"",INDEX(CalcDepB,$N335)),"")</f>
        <v/>
      </c>
      <c r="F335" s="23">
        <f>IF($M335&lt;&gt;"",IF(INDEX(CalcQtyA,$M335)=0,"",INDEX(CalcQtyA,$M335)),"")</f>
        <v/>
      </c>
      <c r="G335" s="23">
        <f>IF($M335&lt;&gt;"",IF(INDEX(CalcPriceA,$M335)=0,"",INDEX(CalcPriceA,$M335)),"")</f>
        <v/>
      </c>
      <c r="H335" s="23">
        <f>IF($N335&lt;&gt;"",IF(INDEX(CalcWitB,$N335)=0,"",INDEX(CalcWitB,$N335)),"")</f>
        <v/>
      </c>
      <c r="I335" s="24">
        <f>IF($M335&lt;&gt;"",INDEX(CalcAmtA,$M335),"")</f>
        <v/>
      </c>
      <c r="J335" s="24">
        <f>IF($B335="","",IF($J334="",$C$8,$J334)+IF($I335="",0,$I335)+IF($E335="",0,$E335)-IF($H335="",0,$H335))</f>
        <v/>
      </c>
      <c r="K335" s="25">
        <f>IF($M335&lt;&gt;"",IF(INDEX(CalcNoteA,$M335)="","—",INDEX(CalcNoteA,$M335)),IF($N335&lt;&gt;"",IF(INDEX(CalcNoteB,$N335)="","—",INDEX(CalcNoteB,$N335)),""))</f>
        <v/>
      </c>
      <c r="M335">
        <f>IFERROR(MATCH($C$5&amp;"|"&amp;RIGHT("000000"&amp;319,6),CalcRankKeyA,0),"")</f>
        <v/>
      </c>
      <c r="N335">
        <f>IFERROR(MATCH($C$5&amp;"|"&amp;RIGHT("000000"&amp;319,6),CalcRankKeyB,0),"")</f>
        <v/>
      </c>
    </row>
    <row r="336">
      <c r="A336" s="26" t="n">
        <v>320</v>
      </c>
      <c r="B336" s="27">
        <f>IF(AND($M336="",$N336=""),"",IF($M336&lt;&gt;"",INDEX(CalcDateA,$M336),INDEX(CalcDateB,$N336)))</f>
        <v/>
      </c>
      <c r="C336" s="27">
        <f>IF($M336&lt;&gt;"","خرید سبد",IF($N336&lt;&gt;"",IF(N(INDEX(CalcDepB,$N336))&gt;0,"دریافت بانکی","پرداخت بانکی"),""))</f>
        <v/>
      </c>
      <c r="D336" s="27">
        <f>IF($M336&lt;&gt;"",IF(INDEX(CalcDocA,$M336)="","—",INDEX(CalcDocA,$M336)),IF($N336&lt;&gt;"",INDEX(CalcBankB,$N336),""))</f>
        <v/>
      </c>
      <c r="E336" s="28">
        <f>IF($N336&lt;&gt;"",IF(INDEX(CalcDepB,$N336)=0,"",INDEX(CalcDepB,$N336)),"")</f>
        <v/>
      </c>
      <c r="F336" s="28">
        <f>IF($M336&lt;&gt;"",IF(INDEX(CalcQtyA,$M336)=0,"",INDEX(CalcQtyA,$M336)),"")</f>
        <v/>
      </c>
      <c r="G336" s="28">
        <f>IF($M336&lt;&gt;"",IF(INDEX(CalcPriceA,$M336)=0,"",INDEX(CalcPriceA,$M336)),"")</f>
        <v/>
      </c>
      <c r="H336" s="28">
        <f>IF($N336&lt;&gt;"",IF(INDEX(CalcWitB,$N336)=0,"",INDEX(CalcWitB,$N336)),"")</f>
        <v/>
      </c>
      <c r="I336" s="29">
        <f>IF($M336&lt;&gt;"",INDEX(CalcAmtA,$M336),"")</f>
        <v/>
      </c>
      <c r="J336" s="29">
        <f>IF($B336="","",IF($J335="",$C$8,$J335)+IF($I336="",0,$I336)+IF($E336="",0,$E336)-IF($H336="",0,$H336))</f>
        <v/>
      </c>
      <c r="K336" s="30">
        <f>IF($M336&lt;&gt;"",IF(INDEX(CalcNoteA,$M336)="","—",INDEX(CalcNoteA,$M336)),IF($N336&lt;&gt;"",IF(INDEX(CalcNoteB,$N336)="","—",INDEX(CalcNoteB,$N336)),""))</f>
        <v/>
      </c>
      <c r="M336">
        <f>IFERROR(MATCH($C$5&amp;"|"&amp;RIGHT("000000"&amp;320,6),CalcRankKeyA,0),"")</f>
        <v/>
      </c>
      <c r="N336">
        <f>IFERROR(MATCH($C$5&amp;"|"&amp;RIGHT("000000"&amp;320,6),CalcRankKeyB,0),"")</f>
        <v/>
      </c>
    </row>
    <row r="337">
      <c r="A337" s="21" t="n">
        <v>321</v>
      </c>
      <c r="B337" s="22">
        <f>IF(AND($M337="",$N337=""),"",IF($M337&lt;&gt;"",INDEX(CalcDateA,$M337),INDEX(CalcDateB,$N337)))</f>
        <v/>
      </c>
      <c r="C337" s="22">
        <f>IF($M337&lt;&gt;"","خرید سبد",IF($N337&lt;&gt;"",IF(N(INDEX(CalcDepB,$N337))&gt;0,"دریافت بانکی","پرداخت بانکی"),""))</f>
        <v/>
      </c>
      <c r="D337" s="22">
        <f>IF($M337&lt;&gt;"",IF(INDEX(CalcDocA,$M337)="","—",INDEX(CalcDocA,$M337)),IF($N337&lt;&gt;"",INDEX(CalcBankB,$N337),""))</f>
        <v/>
      </c>
      <c r="E337" s="23">
        <f>IF($N337&lt;&gt;"",IF(INDEX(CalcDepB,$N337)=0,"",INDEX(CalcDepB,$N337)),"")</f>
        <v/>
      </c>
      <c r="F337" s="23">
        <f>IF($M337&lt;&gt;"",IF(INDEX(CalcQtyA,$M337)=0,"",INDEX(CalcQtyA,$M337)),"")</f>
        <v/>
      </c>
      <c r="G337" s="23">
        <f>IF($M337&lt;&gt;"",IF(INDEX(CalcPriceA,$M337)=0,"",INDEX(CalcPriceA,$M337)),"")</f>
        <v/>
      </c>
      <c r="H337" s="23">
        <f>IF($N337&lt;&gt;"",IF(INDEX(CalcWitB,$N337)=0,"",INDEX(CalcWitB,$N337)),"")</f>
        <v/>
      </c>
      <c r="I337" s="24">
        <f>IF($M337&lt;&gt;"",INDEX(CalcAmtA,$M337),"")</f>
        <v/>
      </c>
      <c r="J337" s="24">
        <f>IF($B337="","",IF($J336="",$C$8,$J336)+IF($I337="",0,$I337)+IF($E337="",0,$E337)-IF($H337="",0,$H337))</f>
        <v/>
      </c>
      <c r="K337" s="25">
        <f>IF($M337&lt;&gt;"",IF(INDEX(CalcNoteA,$M337)="","—",INDEX(CalcNoteA,$M337)),IF($N337&lt;&gt;"",IF(INDEX(CalcNoteB,$N337)="","—",INDEX(CalcNoteB,$N337)),""))</f>
        <v/>
      </c>
      <c r="M337">
        <f>IFERROR(MATCH($C$5&amp;"|"&amp;RIGHT("000000"&amp;321,6),CalcRankKeyA,0),"")</f>
        <v/>
      </c>
      <c r="N337">
        <f>IFERROR(MATCH($C$5&amp;"|"&amp;RIGHT("000000"&amp;321,6),CalcRankKeyB,0),"")</f>
        <v/>
      </c>
    </row>
    <row r="338">
      <c r="A338" s="26" t="n">
        <v>322</v>
      </c>
      <c r="B338" s="27">
        <f>IF(AND($M338="",$N338=""),"",IF($M338&lt;&gt;"",INDEX(CalcDateA,$M338),INDEX(CalcDateB,$N338)))</f>
        <v/>
      </c>
      <c r="C338" s="27">
        <f>IF($M338&lt;&gt;"","خرید سبد",IF($N338&lt;&gt;"",IF(N(INDEX(CalcDepB,$N338))&gt;0,"دریافت بانکی","پرداخت بانکی"),""))</f>
        <v/>
      </c>
      <c r="D338" s="27">
        <f>IF($M338&lt;&gt;"",IF(INDEX(CalcDocA,$M338)="","—",INDEX(CalcDocA,$M338)),IF($N338&lt;&gt;"",INDEX(CalcBankB,$N338),""))</f>
        <v/>
      </c>
      <c r="E338" s="28">
        <f>IF($N338&lt;&gt;"",IF(INDEX(CalcDepB,$N338)=0,"",INDEX(CalcDepB,$N338)),"")</f>
        <v/>
      </c>
      <c r="F338" s="28">
        <f>IF($M338&lt;&gt;"",IF(INDEX(CalcQtyA,$M338)=0,"",INDEX(CalcQtyA,$M338)),"")</f>
        <v/>
      </c>
      <c r="G338" s="28">
        <f>IF($M338&lt;&gt;"",IF(INDEX(CalcPriceA,$M338)=0,"",INDEX(CalcPriceA,$M338)),"")</f>
        <v/>
      </c>
      <c r="H338" s="28">
        <f>IF($N338&lt;&gt;"",IF(INDEX(CalcWitB,$N338)=0,"",INDEX(CalcWitB,$N338)),"")</f>
        <v/>
      </c>
      <c r="I338" s="29">
        <f>IF($M338&lt;&gt;"",INDEX(CalcAmtA,$M338),"")</f>
        <v/>
      </c>
      <c r="J338" s="29">
        <f>IF($B338="","",IF($J337="",$C$8,$J337)+IF($I338="",0,$I338)+IF($E338="",0,$E338)-IF($H338="",0,$H338))</f>
        <v/>
      </c>
      <c r="K338" s="30">
        <f>IF($M338&lt;&gt;"",IF(INDEX(CalcNoteA,$M338)="","—",INDEX(CalcNoteA,$M338)),IF($N338&lt;&gt;"",IF(INDEX(CalcNoteB,$N338)="","—",INDEX(CalcNoteB,$N338)),""))</f>
        <v/>
      </c>
      <c r="M338">
        <f>IFERROR(MATCH($C$5&amp;"|"&amp;RIGHT("000000"&amp;322,6),CalcRankKeyA,0),"")</f>
        <v/>
      </c>
      <c r="N338">
        <f>IFERROR(MATCH($C$5&amp;"|"&amp;RIGHT("000000"&amp;322,6),CalcRankKeyB,0),"")</f>
        <v/>
      </c>
    </row>
    <row r="339">
      <c r="A339" s="21" t="n">
        <v>323</v>
      </c>
      <c r="B339" s="22">
        <f>IF(AND($M339="",$N339=""),"",IF($M339&lt;&gt;"",INDEX(CalcDateA,$M339),INDEX(CalcDateB,$N339)))</f>
        <v/>
      </c>
      <c r="C339" s="22">
        <f>IF($M339&lt;&gt;"","خرید سبد",IF($N339&lt;&gt;"",IF(N(INDEX(CalcDepB,$N339))&gt;0,"دریافت بانکی","پرداخت بانکی"),""))</f>
        <v/>
      </c>
      <c r="D339" s="22">
        <f>IF($M339&lt;&gt;"",IF(INDEX(CalcDocA,$M339)="","—",INDEX(CalcDocA,$M339)),IF($N339&lt;&gt;"",INDEX(CalcBankB,$N339),""))</f>
        <v/>
      </c>
      <c r="E339" s="23">
        <f>IF($N339&lt;&gt;"",IF(INDEX(CalcDepB,$N339)=0,"",INDEX(CalcDepB,$N339)),"")</f>
        <v/>
      </c>
      <c r="F339" s="23">
        <f>IF($M339&lt;&gt;"",IF(INDEX(CalcQtyA,$M339)=0,"",INDEX(CalcQtyA,$M339)),"")</f>
        <v/>
      </c>
      <c r="G339" s="23">
        <f>IF($M339&lt;&gt;"",IF(INDEX(CalcPriceA,$M339)=0,"",INDEX(CalcPriceA,$M339)),"")</f>
        <v/>
      </c>
      <c r="H339" s="23">
        <f>IF($N339&lt;&gt;"",IF(INDEX(CalcWitB,$N339)=0,"",INDEX(CalcWitB,$N339)),"")</f>
        <v/>
      </c>
      <c r="I339" s="24">
        <f>IF($M339&lt;&gt;"",INDEX(CalcAmtA,$M339),"")</f>
        <v/>
      </c>
      <c r="J339" s="24">
        <f>IF($B339="","",IF($J338="",$C$8,$J338)+IF($I339="",0,$I339)+IF($E339="",0,$E339)-IF($H339="",0,$H339))</f>
        <v/>
      </c>
      <c r="K339" s="25">
        <f>IF($M339&lt;&gt;"",IF(INDEX(CalcNoteA,$M339)="","—",INDEX(CalcNoteA,$M339)),IF($N339&lt;&gt;"",IF(INDEX(CalcNoteB,$N339)="","—",INDEX(CalcNoteB,$N339)),""))</f>
        <v/>
      </c>
      <c r="M339">
        <f>IFERROR(MATCH($C$5&amp;"|"&amp;RIGHT("000000"&amp;323,6),CalcRankKeyA,0),"")</f>
        <v/>
      </c>
      <c r="N339">
        <f>IFERROR(MATCH($C$5&amp;"|"&amp;RIGHT("000000"&amp;323,6),CalcRankKeyB,0),"")</f>
        <v/>
      </c>
    </row>
    <row r="340">
      <c r="A340" s="26" t="n">
        <v>324</v>
      </c>
      <c r="B340" s="27">
        <f>IF(AND($M340="",$N340=""),"",IF($M340&lt;&gt;"",INDEX(CalcDateA,$M340),INDEX(CalcDateB,$N340)))</f>
        <v/>
      </c>
      <c r="C340" s="27">
        <f>IF($M340&lt;&gt;"","خرید سبد",IF($N340&lt;&gt;"",IF(N(INDEX(CalcDepB,$N340))&gt;0,"دریافت بانکی","پرداخت بانکی"),""))</f>
        <v/>
      </c>
      <c r="D340" s="27">
        <f>IF($M340&lt;&gt;"",IF(INDEX(CalcDocA,$M340)="","—",INDEX(CalcDocA,$M340)),IF($N340&lt;&gt;"",INDEX(CalcBankB,$N340),""))</f>
        <v/>
      </c>
      <c r="E340" s="28">
        <f>IF($N340&lt;&gt;"",IF(INDEX(CalcDepB,$N340)=0,"",INDEX(CalcDepB,$N340)),"")</f>
        <v/>
      </c>
      <c r="F340" s="28">
        <f>IF($M340&lt;&gt;"",IF(INDEX(CalcQtyA,$M340)=0,"",INDEX(CalcQtyA,$M340)),"")</f>
        <v/>
      </c>
      <c r="G340" s="28">
        <f>IF($M340&lt;&gt;"",IF(INDEX(CalcPriceA,$M340)=0,"",INDEX(CalcPriceA,$M340)),"")</f>
        <v/>
      </c>
      <c r="H340" s="28">
        <f>IF($N340&lt;&gt;"",IF(INDEX(CalcWitB,$N340)=0,"",INDEX(CalcWitB,$N340)),"")</f>
        <v/>
      </c>
      <c r="I340" s="29">
        <f>IF($M340&lt;&gt;"",INDEX(CalcAmtA,$M340),"")</f>
        <v/>
      </c>
      <c r="J340" s="29">
        <f>IF($B340="","",IF($J339="",$C$8,$J339)+IF($I340="",0,$I340)+IF($E340="",0,$E340)-IF($H340="",0,$H340))</f>
        <v/>
      </c>
      <c r="K340" s="30">
        <f>IF($M340&lt;&gt;"",IF(INDEX(CalcNoteA,$M340)="","—",INDEX(CalcNoteA,$M340)),IF($N340&lt;&gt;"",IF(INDEX(CalcNoteB,$N340)="","—",INDEX(CalcNoteB,$N340)),""))</f>
        <v/>
      </c>
      <c r="M340">
        <f>IFERROR(MATCH($C$5&amp;"|"&amp;RIGHT("000000"&amp;324,6),CalcRankKeyA,0),"")</f>
        <v/>
      </c>
      <c r="N340">
        <f>IFERROR(MATCH($C$5&amp;"|"&amp;RIGHT("000000"&amp;324,6),CalcRankKeyB,0),"")</f>
        <v/>
      </c>
    </row>
    <row r="341">
      <c r="A341" s="21" t="n">
        <v>325</v>
      </c>
      <c r="B341" s="22">
        <f>IF(AND($M341="",$N341=""),"",IF($M341&lt;&gt;"",INDEX(CalcDateA,$M341),INDEX(CalcDateB,$N341)))</f>
        <v/>
      </c>
      <c r="C341" s="22">
        <f>IF($M341&lt;&gt;"","خرید سبد",IF($N341&lt;&gt;"",IF(N(INDEX(CalcDepB,$N341))&gt;0,"دریافت بانکی","پرداخت بانکی"),""))</f>
        <v/>
      </c>
      <c r="D341" s="22">
        <f>IF($M341&lt;&gt;"",IF(INDEX(CalcDocA,$M341)="","—",INDEX(CalcDocA,$M341)),IF($N341&lt;&gt;"",INDEX(CalcBankB,$N341),""))</f>
        <v/>
      </c>
      <c r="E341" s="23">
        <f>IF($N341&lt;&gt;"",IF(INDEX(CalcDepB,$N341)=0,"",INDEX(CalcDepB,$N341)),"")</f>
        <v/>
      </c>
      <c r="F341" s="23">
        <f>IF($M341&lt;&gt;"",IF(INDEX(CalcQtyA,$M341)=0,"",INDEX(CalcQtyA,$M341)),"")</f>
        <v/>
      </c>
      <c r="G341" s="23">
        <f>IF($M341&lt;&gt;"",IF(INDEX(CalcPriceA,$M341)=0,"",INDEX(CalcPriceA,$M341)),"")</f>
        <v/>
      </c>
      <c r="H341" s="23">
        <f>IF($N341&lt;&gt;"",IF(INDEX(CalcWitB,$N341)=0,"",INDEX(CalcWitB,$N341)),"")</f>
        <v/>
      </c>
      <c r="I341" s="24">
        <f>IF($M341&lt;&gt;"",INDEX(CalcAmtA,$M341),"")</f>
        <v/>
      </c>
      <c r="J341" s="24">
        <f>IF($B341="","",IF($J340="",$C$8,$J340)+IF($I341="",0,$I341)+IF($E341="",0,$E341)-IF($H341="",0,$H341))</f>
        <v/>
      </c>
      <c r="K341" s="25">
        <f>IF($M341&lt;&gt;"",IF(INDEX(CalcNoteA,$M341)="","—",INDEX(CalcNoteA,$M341)),IF($N341&lt;&gt;"",IF(INDEX(CalcNoteB,$N341)="","—",INDEX(CalcNoteB,$N341)),""))</f>
        <v/>
      </c>
      <c r="M341">
        <f>IFERROR(MATCH($C$5&amp;"|"&amp;RIGHT("000000"&amp;325,6),CalcRankKeyA,0),"")</f>
        <v/>
      </c>
      <c r="N341">
        <f>IFERROR(MATCH($C$5&amp;"|"&amp;RIGHT("000000"&amp;325,6),CalcRankKeyB,0),"")</f>
        <v/>
      </c>
    </row>
    <row r="342">
      <c r="A342" s="26" t="n">
        <v>326</v>
      </c>
      <c r="B342" s="27">
        <f>IF(AND($M342="",$N342=""),"",IF($M342&lt;&gt;"",INDEX(CalcDateA,$M342),INDEX(CalcDateB,$N342)))</f>
        <v/>
      </c>
      <c r="C342" s="27">
        <f>IF($M342&lt;&gt;"","خرید سبد",IF($N342&lt;&gt;"",IF(N(INDEX(CalcDepB,$N342))&gt;0,"دریافت بانکی","پرداخت بانکی"),""))</f>
        <v/>
      </c>
      <c r="D342" s="27">
        <f>IF($M342&lt;&gt;"",IF(INDEX(CalcDocA,$M342)="","—",INDEX(CalcDocA,$M342)),IF($N342&lt;&gt;"",INDEX(CalcBankB,$N342),""))</f>
        <v/>
      </c>
      <c r="E342" s="28">
        <f>IF($N342&lt;&gt;"",IF(INDEX(CalcDepB,$N342)=0,"",INDEX(CalcDepB,$N342)),"")</f>
        <v/>
      </c>
      <c r="F342" s="28">
        <f>IF($M342&lt;&gt;"",IF(INDEX(CalcQtyA,$M342)=0,"",INDEX(CalcQtyA,$M342)),"")</f>
        <v/>
      </c>
      <c r="G342" s="28">
        <f>IF($M342&lt;&gt;"",IF(INDEX(CalcPriceA,$M342)=0,"",INDEX(CalcPriceA,$M342)),"")</f>
        <v/>
      </c>
      <c r="H342" s="28">
        <f>IF($N342&lt;&gt;"",IF(INDEX(CalcWitB,$N342)=0,"",INDEX(CalcWitB,$N342)),"")</f>
        <v/>
      </c>
      <c r="I342" s="29">
        <f>IF($M342&lt;&gt;"",INDEX(CalcAmtA,$M342),"")</f>
        <v/>
      </c>
      <c r="J342" s="29">
        <f>IF($B342="","",IF($J341="",$C$8,$J341)+IF($I342="",0,$I342)+IF($E342="",0,$E342)-IF($H342="",0,$H342))</f>
        <v/>
      </c>
      <c r="K342" s="30">
        <f>IF($M342&lt;&gt;"",IF(INDEX(CalcNoteA,$M342)="","—",INDEX(CalcNoteA,$M342)),IF($N342&lt;&gt;"",IF(INDEX(CalcNoteB,$N342)="","—",INDEX(CalcNoteB,$N342)),""))</f>
        <v/>
      </c>
      <c r="M342">
        <f>IFERROR(MATCH($C$5&amp;"|"&amp;RIGHT("000000"&amp;326,6),CalcRankKeyA,0),"")</f>
        <v/>
      </c>
      <c r="N342">
        <f>IFERROR(MATCH($C$5&amp;"|"&amp;RIGHT("000000"&amp;326,6),CalcRankKeyB,0),"")</f>
        <v/>
      </c>
    </row>
    <row r="343">
      <c r="A343" s="21" t="n">
        <v>327</v>
      </c>
      <c r="B343" s="22">
        <f>IF(AND($M343="",$N343=""),"",IF($M343&lt;&gt;"",INDEX(CalcDateA,$M343),INDEX(CalcDateB,$N343)))</f>
        <v/>
      </c>
      <c r="C343" s="22">
        <f>IF($M343&lt;&gt;"","خرید سبد",IF($N343&lt;&gt;"",IF(N(INDEX(CalcDepB,$N343))&gt;0,"دریافت بانکی","پرداخت بانکی"),""))</f>
        <v/>
      </c>
      <c r="D343" s="22">
        <f>IF($M343&lt;&gt;"",IF(INDEX(CalcDocA,$M343)="","—",INDEX(CalcDocA,$M343)),IF($N343&lt;&gt;"",INDEX(CalcBankB,$N343),""))</f>
        <v/>
      </c>
      <c r="E343" s="23">
        <f>IF($N343&lt;&gt;"",IF(INDEX(CalcDepB,$N343)=0,"",INDEX(CalcDepB,$N343)),"")</f>
        <v/>
      </c>
      <c r="F343" s="23">
        <f>IF($M343&lt;&gt;"",IF(INDEX(CalcQtyA,$M343)=0,"",INDEX(CalcQtyA,$M343)),"")</f>
        <v/>
      </c>
      <c r="G343" s="23">
        <f>IF($M343&lt;&gt;"",IF(INDEX(CalcPriceA,$M343)=0,"",INDEX(CalcPriceA,$M343)),"")</f>
        <v/>
      </c>
      <c r="H343" s="23">
        <f>IF($N343&lt;&gt;"",IF(INDEX(CalcWitB,$N343)=0,"",INDEX(CalcWitB,$N343)),"")</f>
        <v/>
      </c>
      <c r="I343" s="24">
        <f>IF($M343&lt;&gt;"",INDEX(CalcAmtA,$M343),"")</f>
        <v/>
      </c>
      <c r="J343" s="24">
        <f>IF($B343="","",IF($J342="",$C$8,$J342)+IF($I343="",0,$I343)+IF($E343="",0,$E343)-IF($H343="",0,$H343))</f>
        <v/>
      </c>
      <c r="K343" s="25">
        <f>IF($M343&lt;&gt;"",IF(INDEX(CalcNoteA,$M343)="","—",INDEX(CalcNoteA,$M343)),IF($N343&lt;&gt;"",IF(INDEX(CalcNoteB,$N343)="","—",INDEX(CalcNoteB,$N343)),""))</f>
        <v/>
      </c>
      <c r="M343">
        <f>IFERROR(MATCH($C$5&amp;"|"&amp;RIGHT("000000"&amp;327,6),CalcRankKeyA,0),"")</f>
        <v/>
      </c>
      <c r="N343">
        <f>IFERROR(MATCH($C$5&amp;"|"&amp;RIGHT("000000"&amp;327,6),CalcRankKeyB,0),"")</f>
        <v/>
      </c>
    </row>
    <row r="344">
      <c r="A344" s="26" t="n">
        <v>328</v>
      </c>
      <c r="B344" s="27">
        <f>IF(AND($M344="",$N344=""),"",IF($M344&lt;&gt;"",INDEX(CalcDateA,$M344),INDEX(CalcDateB,$N344)))</f>
        <v/>
      </c>
      <c r="C344" s="27">
        <f>IF($M344&lt;&gt;"","خرید سبد",IF($N344&lt;&gt;"",IF(N(INDEX(CalcDepB,$N344))&gt;0,"دریافت بانکی","پرداخت بانکی"),""))</f>
        <v/>
      </c>
      <c r="D344" s="27">
        <f>IF($M344&lt;&gt;"",IF(INDEX(CalcDocA,$M344)="","—",INDEX(CalcDocA,$M344)),IF($N344&lt;&gt;"",INDEX(CalcBankB,$N344),""))</f>
        <v/>
      </c>
      <c r="E344" s="28">
        <f>IF($N344&lt;&gt;"",IF(INDEX(CalcDepB,$N344)=0,"",INDEX(CalcDepB,$N344)),"")</f>
        <v/>
      </c>
      <c r="F344" s="28">
        <f>IF($M344&lt;&gt;"",IF(INDEX(CalcQtyA,$M344)=0,"",INDEX(CalcQtyA,$M344)),"")</f>
        <v/>
      </c>
      <c r="G344" s="28">
        <f>IF($M344&lt;&gt;"",IF(INDEX(CalcPriceA,$M344)=0,"",INDEX(CalcPriceA,$M344)),"")</f>
        <v/>
      </c>
      <c r="H344" s="28">
        <f>IF($N344&lt;&gt;"",IF(INDEX(CalcWitB,$N344)=0,"",INDEX(CalcWitB,$N344)),"")</f>
        <v/>
      </c>
      <c r="I344" s="29">
        <f>IF($M344&lt;&gt;"",INDEX(CalcAmtA,$M344),"")</f>
        <v/>
      </c>
      <c r="J344" s="29">
        <f>IF($B344="","",IF($J343="",$C$8,$J343)+IF($I344="",0,$I344)+IF($E344="",0,$E344)-IF($H344="",0,$H344))</f>
        <v/>
      </c>
      <c r="K344" s="30">
        <f>IF($M344&lt;&gt;"",IF(INDEX(CalcNoteA,$M344)="","—",INDEX(CalcNoteA,$M344)),IF($N344&lt;&gt;"",IF(INDEX(CalcNoteB,$N344)="","—",INDEX(CalcNoteB,$N344)),""))</f>
        <v/>
      </c>
      <c r="M344">
        <f>IFERROR(MATCH($C$5&amp;"|"&amp;RIGHT("000000"&amp;328,6),CalcRankKeyA,0),"")</f>
        <v/>
      </c>
      <c r="N344">
        <f>IFERROR(MATCH($C$5&amp;"|"&amp;RIGHT("000000"&amp;328,6),CalcRankKeyB,0),"")</f>
        <v/>
      </c>
    </row>
    <row r="345">
      <c r="A345" s="21" t="n">
        <v>329</v>
      </c>
      <c r="B345" s="22">
        <f>IF(AND($M345="",$N345=""),"",IF($M345&lt;&gt;"",INDEX(CalcDateA,$M345),INDEX(CalcDateB,$N345)))</f>
        <v/>
      </c>
      <c r="C345" s="22">
        <f>IF($M345&lt;&gt;"","خرید سبد",IF($N345&lt;&gt;"",IF(N(INDEX(CalcDepB,$N345))&gt;0,"دریافت بانکی","پرداخت بانکی"),""))</f>
        <v/>
      </c>
      <c r="D345" s="22">
        <f>IF($M345&lt;&gt;"",IF(INDEX(CalcDocA,$M345)="","—",INDEX(CalcDocA,$M345)),IF($N345&lt;&gt;"",INDEX(CalcBankB,$N345),""))</f>
        <v/>
      </c>
      <c r="E345" s="23">
        <f>IF($N345&lt;&gt;"",IF(INDEX(CalcDepB,$N345)=0,"",INDEX(CalcDepB,$N345)),"")</f>
        <v/>
      </c>
      <c r="F345" s="23">
        <f>IF($M345&lt;&gt;"",IF(INDEX(CalcQtyA,$M345)=0,"",INDEX(CalcQtyA,$M345)),"")</f>
        <v/>
      </c>
      <c r="G345" s="23">
        <f>IF($M345&lt;&gt;"",IF(INDEX(CalcPriceA,$M345)=0,"",INDEX(CalcPriceA,$M345)),"")</f>
        <v/>
      </c>
      <c r="H345" s="23">
        <f>IF($N345&lt;&gt;"",IF(INDEX(CalcWitB,$N345)=0,"",INDEX(CalcWitB,$N345)),"")</f>
        <v/>
      </c>
      <c r="I345" s="24">
        <f>IF($M345&lt;&gt;"",INDEX(CalcAmtA,$M345),"")</f>
        <v/>
      </c>
      <c r="J345" s="24">
        <f>IF($B345="","",IF($J344="",$C$8,$J344)+IF($I345="",0,$I345)+IF($E345="",0,$E345)-IF($H345="",0,$H345))</f>
        <v/>
      </c>
      <c r="K345" s="25">
        <f>IF($M345&lt;&gt;"",IF(INDEX(CalcNoteA,$M345)="","—",INDEX(CalcNoteA,$M345)),IF($N345&lt;&gt;"",IF(INDEX(CalcNoteB,$N345)="","—",INDEX(CalcNoteB,$N345)),""))</f>
        <v/>
      </c>
      <c r="M345">
        <f>IFERROR(MATCH($C$5&amp;"|"&amp;RIGHT("000000"&amp;329,6),CalcRankKeyA,0),"")</f>
        <v/>
      </c>
      <c r="N345">
        <f>IFERROR(MATCH($C$5&amp;"|"&amp;RIGHT("000000"&amp;329,6),CalcRankKeyB,0),"")</f>
        <v/>
      </c>
    </row>
    <row r="346">
      <c r="A346" s="26" t="n">
        <v>330</v>
      </c>
      <c r="B346" s="27">
        <f>IF(AND($M346="",$N346=""),"",IF($M346&lt;&gt;"",INDEX(CalcDateA,$M346),INDEX(CalcDateB,$N346)))</f>
        <v/>
      </c>
      <c r="C346" s="27">
        <f>IF($M346&lt;&gt;"","خرید سبد",IF($N346&lt;&gt;"",IF(N(INDEX(CalcDepB,$N346))&gt;0,"دریافت بانکی","پرداخت بانکی"),""))</f>
        <v/>
      </c>
      <c r="D346" s="27">
        <f>IF($M346&lt;&gt;"",IF(INDEX(CalcDocA,$M346)="","—",INDEX(CalcDocA,$M346)),IF($N346&lt;&gt;"",INDEX(CalcBankB,$N346),""))</f>
        <v/>
      </c>
      <c r="E346" s="28">
        <f>IF($N346&lt;&gt;"",IF(INDEX(CalcDepB,$N346)=0,"",INDEX(CalcDepB,$N346)),"")</f>
        <v/>
      </c>
      <c r="F346" s="28">
        <f>IF($M346&lt;&gt;"",IF(INDEX(CalcQtyA,$M346)=0,"",INDEX(CalcQtyA,$M346)),"")</f>
        <v/>
      </c>
      <c r="G346" s="28">
        <f>IF($M346&lt;&gt;"",IF(INDEX(CalcPriceA,$M346)=0,"",INDEX(CalcPriceA,$M346)),"")</f>
        <v/>
      </c>
      <c r="H346" s="28">
        <f>IF($N346&lt;&gt;"",IF(INDEX(CalcWitB,$N346)=0,"",INDEX(CalcWitB,$N346)),"")</f>
        <v/>
      </c>
      <c r="I346" s="29">
        <f>IF($M346&lt;&gt;"",INDEX(CalcAmtA,$M346),"")</f>
        <v/>
      </c>
      <c r="J346" s="29">
        <f>IF($B346="","",IF($J345="",$C$8,$J345)+IF($I346="",0,$I346)+IF($E346="",0,$E346)-IF($H346="",0,$H346))</f>
        <v/>
      </c>
      <c r="K346" s="30">
        <f>IF($M346&lt;&gt;"",IF(INDEX(CalcNoteA,$M346)="","—",INDEX(CalcNoteA,$M346)),IF($N346&lt;&gt;"",IF(INDEX(CalcNoteB,$N346)="","—",INDEX(CalcNoteB,$N346)),""))</f>
        <v/>
      </c>
      <c r="M346">
        <f>IFERROR(MATCH($C$5&amp;"|"&amp;RIGHT("000000"&amp;330,6),CalcRankKeyA,0),"")</f>
        <v/>
      </c>
      <c r="N346">
        <f>IFERROR(MATCH($C$5&amp;"|"&amp;RIGHT("000000"&amp;330,6),CalcRankKeyB,0),"")</f>
        <v/>
      </c>
    </row>
    <row r="347">
      <c r="A347" s="21" t="n">
        <v>331</v>
      </c>
      <c r="B347" s="22">
        <f>IF(AND($M347="",$N347=""),"",IF($M347&lt;&gt;"",INDEX(CalcDateA,$M347),INDEX(CalcDateB,$N347)))</f>
        <v/>
      </c>
      <c r="C347" s="22">
        <f>IF($M347&lt;&gt;"","خرید سبد",IF($N347&lt;&gt;"",IF(N(INDEX(CalcDepB,$N347))&gt;0,"دریافت بانکی","پرداخت بانکی"),""))</f>
        <v/>
      </c>
      <c r="D347" s="22">
        <f>IF($M347&lt;&gt;"",IF(INDEX(CalcDocA,$M347)="","—",INDEX(CalcDocA,$M347)),IF($N347&lt;&gt;"",INDEX(CalcBankB,$N347),""))</f>
        <v/>
      </c>
      <c r="E347" s="23">
        <f>IF($N347&lt;&gt;"",IF(INDEX(CalcDepB,$N347)=0,"",INDEX(CalcDepB,$N347)),"")</f>
        <v/>
      </c>
      <c r="F347" s="23">
        <f>IF($M347&lt;&gt;"",IF(INDEX(CalcQtyA,$M347)=0,"",INDEX(CalcQtyA,$M347)),"")</f>
        <v/>
      </c>
      <c r="G347" s="23">
        <f>IF($M347&lt;&gt;"",IF(INDEX(CalcPriceA,$M347)=0,"",INDEX(CalcPriceA,$M347)),"")</f>
        <v/>
      </c>
      <c r="H347" s="23">
        <f>IF($N347&lt;&gt;"",IF(INDEX(CalcWitB,$N347)=0,"",INDEX(CalcWitB,$N347)),"")</f>
        <v/>
      </c>
      <c r="I347" s="24">
        <f>IF($M347&lt;&gt;"",INDEX(CalcAmtA,$M347),"")</f>
        <v/>
      </c>
      <c r="J347" s="24">
        <f>IF($B347="","",IF($J346="",$C$8,$J346)+IF($I347="",0,$I347)+IF($E347="",0,$E347)-IF($H347="",0,$H347))</f>
        <v/>
      </c>
      <c r="K347" s="25">
        <f>IF($M347&lt;&gt;"",IF(INDEX(CalcNoteA,$M347)="","—",INDEX(CalcNoteA,$M347)),IF($N347&lt;&gt;"",IF(INDEX(CalcNoteB,$N347)="","—",INDEX(CalcNoteB,$N347)),""))</f>
        <v/>
      </c>
      <c r="M347">
        <f>IFERROR(MATCH($C$5&amp;"|"&amp;RIGHT("000000"&amp;331,6),CalcRankKeyA,0),"")</f>
        <v/>
      </c>
      <c r="N347">
        <f>IFERROR(MATCH($C$5&amp;"|"&amp;RIGHT("000000"&amp;331,6),CalcRankKeyB,0),"")</f>
        <v/>
      </c>
    </row>
    <row r="348">
      <c r="A348" s="26" t="n">
        <v>332</v>
      </c>
      <c r="B348" s="27">
        <f>IF(AND($M348="",$N348=""),"",IF($M348&lt;&gt;"",INDEX(CalcDateA,$M348),INDEX(CalcDateB,$N348)))</f>
        <v/>
      </c>
      <c r="C348" s="27">
        <f>IF($M348&lt;&gt;"","خرید سبد",IF($N348&lt;&gt;"",IF(N(INDEX(CalcDepB,$N348))&gt;0,"دریافت بانکی","پرداخت بانکی"),""))</f>
        <v/>
      </c>
      <c r="D348" s="27">
        <f>IF($M348&lt;&gt;"",IF(INDEX(CalcDocA,$M348)="","—",INDEX(CalcDocA,$M348)),IF($N348&lt;&gt;"",INDEX(CalcBankB,$N348),""))</f>
        <v/>
      </c>
      <c r="E348" s="28">
        <f>IF($N348&lt;&gt;"",IF(INDEX(CalcDepB,$N348)=0,"",INDEX(CalcDepB,$N348)),"")</f>
        <v/>
      </c>
      <c r="F348" s="28">
        <f>IF($M348&lt;&gt;"",IF(INDEX(CalcQtyA,$M348)=0,"",INDEX(CalcQtyA,$M348)),"")</f>
        <v/>
      </c>
      <c r="G348" s="28">
        <f>IF($M348&lt;&gt;"",IF(INDEX(CalcPriceA,$M348)=0,"",INDEX(CalcPriceA,$M348)),"")</f>
        <v/>
      </c>
      <c r="H348" s="28">
        <f>IF($N348&lt;&gt;"",IF(INDEX(CalcWitB,$N348)=0,"",INDEX(CalcWitB,$N348)),"")</f>
        <v/>
      </c>
      <c r="I348" s="29">
        <f>IF($M348&lt;&gt;"",INDEX(CalcAmtA,$M348),"")</f>
        <v/>
      </c>
      <c r="J348" s="29">
        <f>IF($B348="","",IF($J347="",$C$8,$J347)+IF($I348="",0,$I348)+IF($E348="",0,$E348)-IF($H348="",0,$H348))</f>
        <v/>
      </c>
      <c r="K348" s="30">
        <f>IF($M348&lt;&gt;"",IF(INDEX(CalcNoteA,$M348)="","—",INDEX(CalcNoteA,$M348)),IF($N348&lt;&gt;"",IF(INDEX(CalcNoteB,$N348)="","—",INDEX(CalcNoteB,$N348)),""))</f>
        <v/>
      </c>
      <c r="M348">
        <f>IFERROR(MATCH($C$5&amp;"|"&amp;RIGHT("000000"&amp;332,6),CalcRankKeyA,0),"")</f>
        <v/>
      </c>
      <c r="N348">
        <f>IFERROR(MATCH($C$5&amp;"|"&amp;RIGHT("000000"&amp;332,6),CalcRankKeyB,0),"")</f>
        <v/>
      </c>
    </row>
    <row r="349">
      <c r="A349" s="21" t="n">
        <v>333</v>
      </c>
      <c r="B349" s="22">
        <f>IF(AND($M349="",$N349=""),"",IF($M349&lt;&gt;"",INDEX(CalcDateA,$M349),INDEX(CalcDateB,$N349)))</f>
        <v/>
      </c>
      <c r="C349" s="22">
        <f>IF($M349&lt;&gt;"","خرید سبد",IF($N349&lt;&gt;"",IF(N(INDEX(CalcDepB,$N349))&gt;0,"دریافت بانکی","پرداخت بانکی"),""))</f>
        <v/>
      </c>
      <c r="D349" s="22">
        <f>IF($M349&lt;&gt;"",IF(INDEX(CalcDocA,$M349)="","—",INDEX(CalcDocA,$M349)),IF($N349&lt;&gt;"",INDEX(CalcBankB,$N349),""))</f>
        <v/>
      </c>
      <c r="E349" s="23">
        <f>IF($N349&lt;&gt;"",IF(INDEX(CalcDepB,$N349)=0,"",INDEX(CalcDepB,$N349)),"")</f>
        <v/>
      </c>
      <c r="F349" s="23">
        <f>IF($M349&lt;&gt;"",IF(INDEX(CalcQtyA,$M349)=0,"",INDEX(CalcQtyA,$M349)),"")</f>
        <v/>
      </c>
      <c r="G349" s="23">
        <f>IF($M349&lt;&gt;"",IF(INDEX(CalcPriceA,$M349)=0,"",INDEX(CalcPriceA,$M349)),"")</f>
        <v/>
      </c>
      <c r="H349" s="23">
        <f>IF($N349&lt;&gt;"",IF(INDEX(CalcWitB,$N349)=0,"",INDEX(CalcWitB,$N349)),"")</f>
        <v/>
      </c>
      <c r="I349" s="24">
        <f>IF($M349&lt;&gt;"",INDEX(CalcAmtA,$M349),"")</f>
        <v/>
      </c>
      <c r="J349" s="24">
        <f>IF($B349="","",IF($J348="",$C$8,$J348)+IF($I349="",0,$I349)+IF($E349="",0,$E349)-IF($H349="",0,$H349))</f>
        <v/>
      </c>
      <c r="K349" s="25">
        <f>IF($M349&lt;&gt;"",IF(INDEX(CalcNoteA,$M349)="","—",INDEX(CalcNoteA,$M349)),IF($N349&lt;&gt;"",IF(INDEX(CalcNoteB,$N349)="","—",INDEX(CalcNoteB,$N349)),""))</f>
        <v/>
      </c>
      <c r="M349">
        <f>IFERROR(MATCH($C$5&amp;"|"&amp;RIGHT("000000"&amp;333,6),CalcRankKeyA,0),"")</f>
        <v/>
      </c>
      <c r="N349">
        <f>IFERROR(MATCH($C$5&amp;"|"&amp;RIGHT("000000"&amp;333,6),CalcRankKeyB,0),"")</f>
        <v/>
      </c>
    </row>
    <row r="350">
      <c r="A350" s="26" t="n">
        <v>334</v>
      </c>
      <c r="B350" s="27">
        <f>IF(AND($M350="",$N350=""),"",IF($M350&lt;&gt;"",INDEX(CalcDateA,$M350),INDEX(CalcDateB,$N350)))</f>
        <v/>
      </c>
      <c r="C350" s="27">
        <f>IF($M350&lt;&gt;"","خرید سبد",IF($N350&lt;&gt;"",IF(N(INDEX(CalcDepB,$N350))&gt;0,"دریافت بانکی","پرداخت بانکی"),""))</f>
        <v/>
      </c>
      <c r="D350" s="27">
        <f>IF($M350&lt;&gt;"",IF(INDEX(CalcDocA,$M350)="","—",INDEX(CalcDocA,$M350)),IF($N350&lt;&gt;"",INDEX(CalcBankB,$N350),""))</f>
        <v/>
      </c>
      <c r="E350" s="28">
        <f>IF($N350&lt;&gt;"",IF(INDEX(CalcDepB,$N350)=0,"",INDEX(CalcDepB,$N350)),"")</f>
        <v/>
      </c>
      <c r="F350" s="28">
        <f>IF($M350&lt;&gt;"",IF(INDEX(CalcQtyA,$M350)=0,"",INDEX(CalcQtyA,$M350)),"")</f>
        <v/>
      </c>
      <c r="G350" s="28">
        <f>IF($M350&lt;&gt;"",IF(INDEX(CalcPriceA,$M350)=0,"",INDEX(CalcPriceA,$M350)),"")</f>
        <v/>
      </c>
      <c r="H350" s="28">
        <f>IF($N350&lt;&gt;"",IF(INDEX(CalcWitB,$N350)=0,"",INDEX(CalcWitB,$N350)),"")</f>
        <v/>
      </c>
      <c r="I350" s="29">
        <f>IF($M350&lt;&gt;"",INDEX(CalcAmtA,$M350),"")</f>
        <v/>
      </c>
      <c r="J350" s="29">
        <f>IF($B350="","",IF($J349="",$C$8,$J349)+IF($I350="",0,$I350)+IF($E350="",0,$E350)-IF($H350="",0,$H350))</f>
        <v/>
      </c>
      <c r="K350" s="30">
        <f>IF($M350&lt;&gt;"",IF(INDEX(CalcNoteA,$M350)="","—",INDEX(CalcNoteA,$M350)),IF($N350&lt;&gt;"",IF(INDEX(CalcNoteB,$N350)="","—",INDEX(CalcNoteB,$N350)),""))</f>
        <v/>
      </c>
      <c r="M350">
        <f>IFERROR(MATCH($C$5&amp;"|"&amp;RIGHT("000000"&amp;334,6),CalcRankKeyA,0),"")</f>
        <v/>
      </c>
      <c r="N350">
        <f>IFERROR(MATCH($C$5&amp;"|"&amp;RIGHT("000000"&amp;334,6),CalcRankKeyB,0),"")</f>
        <v/>
      </c>
    </row>
    <row r="351">
      <c r="A351" s="21" t="n">
        <v>335</v>
      </c>
      <c r="B351" s="22">
        <f>IF(AND($M351="",$N351=""),"",IF($M351&lt;&gt;"",INDEX(CalcDateA,$M351),INDEX(CalcDateB,$N351)))</f>
        <v/>
      </c>
      <c r="C351" s="22">
        <f>IF($M351&lt;&gt;"","خرید سبد",IF($N351&lt;&gt;"",IF(N(INDEX(CalcDepB,$N351))&gt;0,"دریافت بانکی","پرداخت بانکی"),""))</f>
        <v/>
      </c>
      <c r="D351" s="22">
        <f>IF($M351&lt;&gt;"",IF(INDEX(CalcDocA,$M351)="","—",INDEX(CalcDocA,$M351)),IF($N351&lt;&gt;"",INDEX(CalcBankB,$N351),""))</f>
        <v/>
      </c>
      <c r="E351" s="23">
        <f>IF($N351&lt;&gt;"",IF(INDEX(CalcDepB,$N351)=0,"",INDEX(CalcDepB,$N351)),"")</f>
        <v/>
      </c>
      <c r="F351" s="23">
        <f>IF($M351&lt;&gt;"",IF(INDEX(CalcQtyA,$M351)=0,"",INDEX(CalcQtyA,$M351)),"")</f>
        <v/>
      </c>
      <c r="G351" s="23">
        <f>IF($M351&lt;&gt;"",IF(INDEX(CalcPriceA,$M351)=0,"",INDEX(CalcPriceA,$M351)),"")</f>
        <v/>
      </c>
      <c r="H351" s="23">
        <f>IF($N351&lt;&gt;"",IF(INDEX(CalcWitB,$N351)=0,"",INDEX(CalcWitB,$N351)),"")</f>
        <v/>
      </c>
      <c r="I351" s="24">
        <f>IF($M351&lt;&gt;"",INDEX(CalcAmtA,$M351),"")</f>
        <v/>
      </c>
      <c r="J351" s="24">
        <f>IF($B351="","",IF($J350="",$C$8,$J350)+IF($I351="",0,$I351)+IF($E351="",0,$E351)-IF($H351="",0,$H351))</f>
        <v/>
      </c>
      <c r="K351" s="25">
        <f>IF($M351&lt;&gt;"",IF(INDEX(CalcNoteA,$M351)="","—",INDEX(CalcNoteA,$M351)),IF($N351&lt;&gt;"",IF(INDEX(CalcNoteB,$N351)="","—",INDEX(CalcNoteB,$N351)),""))</f>
        <v/>
      </c>
      <c r="M351">
        <f>IFERROR(MATCH($C$5&amp;"|"&amp;RIGHT("000000"&amp;335,6),CalcRankKeyA,0),"")</f>
        <v/>
      </c>
      <c r="N351">
        <f>IFERROR(MATCH($C$5&amp;"|"&amp;RIGHT("000000"&amp;335,6),CalcRankKeyB,0),"")</f>
        <v/>
      </c>
    </row>
    <row r="352">
      <c r="A352" s="26" t="n">
        <v>336</v>
      </c>
      <c r="B352" s="27">
        <f>IF(AND($M352="",$N352=""),"",IF($M352&lt;&gt;"",INDEX(CalcDateA,$M352),INDEX(CalcDateB,$N352)))</f>
        <v/>
      </c>
      <c r="C352" s="27">
        <f>IF($M352&lt;&gt;"","خرید سبد",IF($N352&lt;&gt;"",IF(N(INDEX(CalcDepB,$N352))&gt;0,"دریافت بانکی","پرداخت بانکی"),""))</f>
        <v/>
      </c>
      <c r="D352" s="27">
        <f>IF($M352&lt;&gt;"",IF(INDEX(CalcDocA,$M352)="","—",INDEX(CalcDocA,$M352)),IF($N352&lt;&gt;"",INDEX(CalcBankB,$N352),""))</f>
        <v/>
      </c>
      <c r="E352" s="28">
        <f>IF($N352&lt;&gt;"",IF(INDEX(CalcDepB,$N352)=0,"",INDEX(CalcDepB,$N352)),"")</f>
        <v/>
      </c>
      <c r="F352" s="28">
        <f>IF($M352&lt;&gt;"",IF(INDEX(CalcQtyA,$M352)=0,"",INDEX(CalcQtyA,$M352)),"")</f>
        <v/>
      </c>
      <c r="G352" s="28">
        <f>IF($M352&lt;&gt;"",IF(INDEX(CalcPriceA,$M352)=0,"",INDEX(CalcPriceA,$M352)),"")</f>
        <v/>
      </c>
      <c r="H352" s="28">
        <f>IF($N352&lt;&gt;"",IF(INDEX(CalcWitB,$N352)=0,"",INDEX(CalcWitB,$N352)),"")</f>
        <v/>
      </c>
      <c r="I352" s="29">
        <f>IF($M352&lt;&gt;"",INDEX(CalcAmtA,$M352),"")</f>
        <v/>
      </c>
      <c r="J352" s="29">
        <f>IF($B352="","",IF($J351="",$C$8,$J351)+IF($I352="",0,$I352)+IF($E352="",0,$E352)-IF($H352="",0,$H352))</f>
        <v/>
      </c>
      <c r="K352" s="30">
        <f>IF($M352&lt;&gt;"",IF(INDEX(CalcNoteA,$M352)="","—",INDEX(CalcNoteA,$M352)),IF($N352&lt;&gt;"",IF(INDEX(CalcNoteB,$N352)="","—",INDEX(CalcNoteB,$N352)),""))</f>
        <v/>
      </c>
      <c r="M352">
        <f>IFERROR(MATCH($C$5&amp;"|"&amp;RIGHT("000000"&amp;336,6),CalcRankKeyA,0),"")</f>
        <v/>
      </c>
      <c r="N352">
        <f>IFERROR(MATCH($C$5&amp;"|"&amp;RIGHT("000000"&amp;336,6),CalcRankKeyB,0),"")</f>
        <v/>
      </c>
    </row>
    <row r="353">
      <c r="A353" s="21" t="n">
        <v>337</v>
      </c>
      <c r="B353" s="22">
        <f>IF(AND($M353="",$N353=""),"",IF($M353&lt;&gt;"",INDEX(CalcDateA,$M353),INDEX(CalcDateB,$N353)))</f>
        <v/>
      </c>
      <c r="C353" s="22">
        <f>IF($M353&lt;&gt;"","خرید سبد",IF($N353&lt;&gt;"",IF(N(INDEX(CalcDepB,$N353))&gt;0,"دریافت بانکی","پرداخت بانکی"),""))</f>
        <v/>
      </c>
      <c r="D353" s="22">
        <f>IF($M353&lt;&gt;"",IF(INDEX(CalcDocA,$M353)="","—",INDEX(CalcDocA,$M353)),IF($N353&lt;&gt;"",INDEX(CalcBankB,$N353),""))</f>
        <v/>
      </c>
      <c r="E353" s="23">
        <f>IF($N353&lt;&gt;"",IF(INDEX(CalcDepB,$N353)=0,"",INDEX(CalcDepB,$N353)),"")</f>
        <v/>
      </c>
      <c r="F353" s="23">
        <f>IF($M353&lt;&gt;"",IF(INDEX(CalcQtyA,$M353)=0,"",INDEX(CalcQtyA,$M353)),"")</f>
        <v/>
      </c>
      <c r="G353" s="23">
        <f>IF($M353&lt;&gt;"",IF(INDEX(CalcPriceA,$M353)=0,"",INDEX(CalcPriceA,$M353)),"")</f>
        <v/>
      </c>
      <c r="H353" s="23">
        <f>IF($N353&lt;&gt;"",IF(INDEX(CalcWitB,$N353)=0,"",INDEX(CalcWitB,$N353)),"")</f>
        <v/>
      </c>
      <c r="I353" s="24">
        <f>IF($M353&lt;&gt;"",INDEX(CalcAmtA,$M353),"")</f>
        <v/>
      </c>
      <c r="J353" s="24">
        <f>IF($B353="","",IF($J352="",$C$8,$J352)+IF($I353="",0,$I353)+IF($E353="",0,$E353)-IF($H353="",0,$H353))</f>
        <v/>
      </c>
      <c r="K353" s="25">
        <f>IF($M353&lt;&gt;"",IF(INDEX(CalcNoteA,$M353)="","—",INDEX(CalcNoteA,$M353)),IF($N353&lt;&gt;"",IF(INDEX(CalcNoteB,$N353)="","—",INDEX(CalcNoteB,$N353)),""))</f>
        <v/>
      </c>
      <c r="M353">
        <f>IFERROR(MATCH($C$5&amp;"|"&amp;RIGHT("000000"&amp;337,6),CalcRankKeyA,0),"")</f>
        <v/>
      </c>
      <c r="N353">
        <f>IFERROR(MATCH($C$5&amp;"|"&amp;RIGHT("000000"&amp;337,6),CalcRankKeyB,0),"")</f>
        <v/>
      </c>
    </row>
    <row r="354">
      <c r="A354" s="26" t="n">
        <v>338</v>
      </c>
      <c r="B354" s="27">
        <f>IF(AND($M354="",$N354=""),"",IF($M354&lt;&gt;"",INDEX(CalcDateA,$M354),INDEX(CalcDateB,$N354)))</f>
        <v/>
      </c>
      <c r="C354" s="27">
        <f>IF($M354&lt;&gt;"","خرید سبد",IF($N354&lt;&gt;"",IF(N(INDEX(CalcDepB,$N354))&gt;0,"دریافت بانکی","پرداخت بانکی"),""))</f>
        <v/>
      </c>
      <c r="D354" s="27">
        <f>IF($M354&lt;&gt;"",IF(INDEX(CalcDocA,$M354)="","—",INDEX(CalcDocA,$M354)),IF($N354&lt;&gt;"",INDEX(CalcBankB,$N354),""))</f>
        <v/>
      </c>
      <c r="E354" s="28">
        <f>IF($N354&lt;&gt;"",IF(INDEX(CalcDepB,$N354)=0,"",INDEX(CalcDepB,$N354)),"")</f>
        <v/>
      </c>
      <c r="F354" s="28">
        <f>IF($M354&lt;&gt;"",IF(INDEX(CalcQtyA,$M354)=0,"",INDEX(CalcQtyA,$M354)),"")</f>
        <v/>
      </c>
      <c r="G354" s="28">
        <f>IF($M354&lt;&gt;"",IF(INDEX(CalcPriceA,$M354)=0,"",INDEX(CalcPriceA,$M354)),"")</f>
        <v/>
      </c>
      <c r="H354" s="28">
        <f>IF($N354&lt;&gt;"",IF(INDEX(CalcWitB,$N354)=0,"",INDEX(CalcWitB,$N354)),"")</f>
        <v/>
      </c>
      <c r="I354" s="29">
        <f>IF($M354&lt;&gt;"",INDEX(CalcAmtA,$M354),"")</f>
        <v/>
      </c>
      <c r="J354" s="29">
        <f>IF($B354="","",IF($J353="",$C$8,$J353)+IF($I354="",0,$I354)+IF($E354="",0,$E354)-IF($H354="",0,$H354))</f>
        <v/>
      </c>
      <c r="K354" s="30">
        <f>IF($M354&lt;&gt;"",IF(INDEX(CalcNoteA,$M354)="","—",INDEX(CalcNoteA,$M354)),IF($N354&lt;&gt;"",IF(INDEX(CalcNoteB,$N354)="","—",INDEX(CalcNoteB,$N354)),""))</f>
        <v/>
      </c>
      <c r="M354">
        <f>IFERROR(MATCH($C$5&amp;"|"&amp;RIGHT("000000"&amp;338,6),CalcRankKeyA,0),"")</f>
        <v/>
      </c>
      <c r="N354">
        <f>IFERROR(MATCH($C$5&amp;"|"&amp;RIGHT("000000"&amp;338,6),CalcRankKeyB,0),"")</f>
        <v/>
      </c>
    </row>
    <row r="355">
      <c r="A355" s="21" t="n">
        <v>339</v>
      </c>
      <c r="B355" s="22">
        <f>IF(AND($M355="",$N355=""),"",IF($M355&lt;&gt;"",INDEX(CalcDateA,$M355),INDEX(CalcDateB,$N355)))</f>
        <v/>
      </c>
      <c r="C355" s="22">
        <f>IF($M355&lt;&gt;"","خرید سبد",IF($N355&lt;&gt;"",IF(N(INDEX(CalcDepB,$N355))&gt;0,"دریافت بانکی","پرداخت بانکی"),""))</f>
        <v/>
      </c>
      <c r="D355" s="22">
        <f>IF($M355&lt;&gt;"",IF(INDEX(CalcDocA,$M355)="","—",INDEX(CalcDocA,$M355)),IF($N355&lt;&gt;"",INDEX(CalcBankB,$N355),""))</f>
        <v/>
      </c>
      <c r="E355" s="23">
        <f>IF($N355&lt;&gt;"",IF(INDEX(CalcDepB,$N355)=0,"",INDEX(CalcDepB,$N355)),"")</f>
        <v/>
      </c>
      <c r="F355" s="23">
        <f>IF($M355&lt;&gt;"",IF(INDEX(CalcQtyA,$M355)=0,"",INDEX(CalcQtyA,$M355)),"")</f>
        <v/>
      </c>
      <c r="G355" s="23">
        <f>IF($M355&lt;&gt;"",IF(INDEX(CalcPriceA,$M355)=0,"",INDEX(CalcPriceA,$M355)),"")</f>
        <v/>
      </c>
      <c r="H355" s="23">
        <f>IF($N355&lt;&gt;"",IF(INDEX(CalcWitB,$N355)=0,"",INDEX(CalcWitB,$N355)),"")</f>
        <v/>
      </c>
      <c r="I355" s="24">
        <f>IF($M355&lt;&gt;"",INDEX(CalcAmtA,$M355),"")</f>
        <v/>
      </c>
      <c r="J355" s="24">
        <f>IF($B355="","",IF($J354="",$C$8,$J354)+IF($I355="",0,$I355)+IF($E355="",0,$E355)-IF($H355="",0,$H355))</f>
        <v/>
      </c>
      <c r="K355" s="25">
        <f>IF($M355&lt;&gt;"",IF(INDEX(CalcNoteA,$M355)="","—",INDEX(CalcNoteA,$M355)),IF($N355&lt;&gt;"",IF(INDEX(CalcNoteB,$N355)="","—",INDEX(CalcNoteB,$N355)),""))</f>
        <v/>
      </c>
      <c r="M355">
        <f>IFERROR(MATCH($C$5&amp;"|"&amp;RIGHT("000000"&amp;339,6),CalcRankKeyA,0),"")</f>
        <v/>
      </c>
      <c r="N355">
        <f>IFERROR(MATCH($C$5&amp;"|"&amp;RIGHT("000000"&amp;339,6),CalcRankKeyB,0),"")</f>
        <v/>
      </c>
    </row>
    <row r="356">
      <c r="A356" s="26" t="n">
        <v>340</v>
      </c>
      <c r="B356" s="27">
        <f>IF(AND($M356="",$N356=""),"",IF($M356&lt;&gt;"",INDEX(CalcDateA,$M356),INDEX(CalcDateB,$N356)))</f>
        <v/>
      </c>
      <c r="C356" s="27">
        <f>IF($M356&lt;&gt;"","خرید سبد",IF($N356&lt;&gt;"",IF(N(INDEX(CalcDepB,$N356))&gt;0,"دریافت بانکی","پرداخت بانکی"),""))</f>
        <v/>
      </c>
      <c r="D356" s="27">
        <f>IF($M356&lt;&gt;"",IF(INDEX(CalcDocA,$M356)="","—",INDEX(CalcDocA,$M356)),IF($N356&lt;&gt;"",INDEX(CalcBankB,$N356),""))</f>
        <v/>
      </c>
      <c r="E356" s="28">
        <f>IF($N356&lt;&gt;"",IF(INDEX(CalcDepB,$N356)=0,"",INDEX(CalcDepB,$N356)),"")</f>
        <v/>
      </c>
      <c r="F356" s="28">
        <f>IF($M356&lt;&gt;"",IF(INDEX(CalcQtyA,$M356)=0,"",INDEX(CalcQtyA,$M356)),"")</f>
        <v/>
      </c>
      <c r="G356" s="28">
        <f>IF($M356&lt;&gt;"",IF(INDEX(CalcPriceA,$M356)=0,"",INDEX(CalcPriceA,$M356)),"")</f>
        <v/>
      </c>
      <c r="H356" s="28">
        <f>IF($N356&lt;&gt;"",IF(INDEX(CalcWitB,$N356)=0,"",INDEX(CalcWitB,$N356)),"")</f>
        <v/>
      </c>
      <c r="I356" s="29">
        <f>IF($M356&lt;&gt;"",INDEX(CalcAmtA,$M356),"")</f>
        <v/>
      </c>
      <c r="J356" s="29">
        <f>IF($B356="","",IF($J355="",$C$8,$J355)+IF($I356="",0,$I356)+IF($E356="",0,$E356)-IF($H356="",0,$H356))</f>
        <v/>
      </c>
      <c r="K356" s="30">
        <f>IF($M356&lt;&gt;"",IF(INDEX(CalcNoteA,$M356)="","—",INDEX(CalcNoteA,$M356)),IF($N356&lt;&gt;"",IF(INDEX(CalcNoteB,$N356)="","—",INDEX(CalcNoteB,$N356)),""))</f>
        <v/>
      </c>
      <c r="M356">
        <f>IFERROR(MATCH($C$5&amp;"|"&amp;RIGHT("000000"&amp;340,6),CalcRankKeyA,0),"")</f>
        <v/>
      </c>
      <c r="N356">
        <f>IFERROR(MATCH($C$5&amp;"|"&amp;RIGHT("000000"&amp;340,6),CalcRankKeyB,0),"")</f>
        <v/>
      </c>
    </row>
    <row r="357">
      <c r="A357" s="21" t="n">
        <v>341</v>
      </c>
      <c r="B357" s="22">
        <f>IF(AND($M357="",$N357=""),"",IF($M357&lt;&gt;"",INDEX(CalcDateA,$M357),INDEX(CalcDateB,$N357)))</f>
        <v/>
      </c>
      <c r="C357" s="22">
        <f>IF($M357&lt;&gt;"","خرید سبد",IF($N357&lt;&gt;"",IF(N(INDEX(CalcDepB,$N357))&gt;0,"دریافت بانکی","پرداخت بانکی"),""))</f>
        <v/>
      </c>
      <c r="D357" s="22">
        <f>IF($M357&lt;&gt;"",IF(INDEX(CalcDocA,$M357)="","—",INDEX(CalcDocA,$M357)),IF($N357&lt;&gt;"",INDEX(CalcBankB,$N357),""))</f>
        <v/>
      </c>
      <c r="E357" s="23">
        <f>IF($N357&lt;&gt;"",IF(INDEX(CalcDepB,$N357)=0,"",INDEX(CalcDepB,$N357)),"")</f>
        <v/>
      </c>
      <c r="F357" s="23">
        <f>IF($M357&lt;&gt;"",IF(INDEX(CalcQtyA,$M357)=0,"",INDEX(CalcQtyA,$M357)),"")</f>
        <v/>
      </c>
      <c r="G357" s="23">
        <f>IF($M357&lt;&gt;"",IF(INDEX(CalcPriceA,$M357)=0,"",INDEX(CalcPriceA,$M357)),"")</f>
        <v/>
      </c>
      <c r="H357" s="23">
        <f>IF($N357&lt;&gt;"",IF(INDEX(CalcWitB,$N357)=0,"",INDEX(CalcWitB,$N357)),"")</f>
        <v/>
      </c>
      <c r="I357" s="24">
        <f>IF($M357&lt;&gt;"",INDEX(CalcAmtA,$M357),"")</f>
        <v/>
      </c>
      <c r="J357" s="24">
        <f>IF($B357="","",IF($J356="",$C$8,$J356)+IF($I357="",0,$I357)+IF($E357="",0,$E357)-IF($H357="",0,$H357))</f>
        <v/>
      </c>
      <c r="K357" s="25">
        <f>IF($M357&lt;&gt;"",IF(INDEX(CalcNoteA,$M357)="","—",INDEX(CalcNoteA,$M357)),IF($N357&lt;&gt;"",IF(INDEX(CalcNoteB,$N357)="","—",INDEX(CalcNoteB,$N357)),""))</f>
        <v/>
      </c>
      <c r="M357">
        <f>IFERROR(MATCH($C$5&amp;"|"&amp;RIGHT("000000"&amp;341,6),CalcRankKeyA,0),"")</f>
        <v/>
      </c>
      <c r="N357">
        <f>IFERROR(MATCH($C$5&amp;"|"&amp;RIGHT("000000"&amp;341,6),CalcRankKeyB,0),"")</f>
        <v/>
      </c>
    </row>
    <row r="358">
      <c r="A358" s="26" t="n">
        <v>342</v>
      </c>
      <c r="B358" s="27">
        <f>IF(AND($M358="",$N358=""),"",IF($M358&lt;&gt;"",INDEX(CalcDateA,$M358),INDEX(CalcDateB,$N358)))</f>
        <v/>
      </c>
      <c r="C358" s="27">
        <f>IF($M358&lt;&gt;"","خرید سبد",IF($N358&lt;&gt;"",IF(N(INDEX(CalcDepB,$N358))&gt;0,"دریافت بانکی","پرداخت بانکی"),""))</f>
        <v/>
      </c>
      <c r="D358" s="27">
        <f>IF($M358&lt;&gt;"",IF(INDEX(CalcDocA,$M358)="","—",INDEX(CalcDocA,$M358)),IF($N358&lt;&gt;"",INDEX(CalcBankB,$N358),""))</f>
        <v/>
      </c>
      <c r="E358" s="28">
        <f>IF($N358&lt;&gt;"",IF(INDEX(CalcDepB,$N358)=0,"",INDEX(CalcDepB,$N358)),"")</f>
        <v/>
      </c>
      <c r="F358" s="28">
        <f>IF($M358&lt;&gt;"",IF(INDEX(CalcQtyA,$M358)=0,"",INDEX(CalcQtyA,$M358)),"")</f>
        <v/>
      </c>
      <c r="G358" s="28">
        <f>IF($M358&lt;&gt;"",IF(INDEX(CalcPriceA,$M358)=0,"",INDEX(CalcPriceA,$M358)),"")</f>
        <v/>
      </c>
      <c r="H358" s="28">
        <f>IF($N358&lt;&gt;"",IF(INDEX(CalcWitB,$N358)=0,"",INDEX(CalcWitB,$N358)),"")</f>
        <v/>
      </c>
      <c r="I358" s="29">
        <f>IF($M358&lt;&gt;"",INDEX(CalcAmtA,$M358),"")</f>
        <v/>
      </c>
      <c r="J358" s="29">
        <f>IF($B358="","",IF($J357="",$C$8,$J357)+IF($I358="",0,$I358)+IF($E358="",0,$E358)-IF($H358="",0,$H358))</f>
        <v/>
      </c>
      <c r="K358" s="30">
        <f>IF($M358&lt;&gt;"",IF(INDEX(CalcNoteA,$M358)="","—",INDEX(CalcNoteA,$M358)),IF($N358&lt;&gt;"",IF(INDEX(CalcNoteB,$N358)="","—",INDEX(CalcNoteB,$N358)),""))</f>
        <v/>
      </c>
      <c r="M358">
        <f>IFERROR(MATCH($C$5&amp;"|"&amp;RIGHT("000000"&amp;342,6),CalcRankKeyA,0),"")</f>
        <v/>
      </c>
      <c r="N358">
        <f>IFERROR(MATCH($C$5&amp;"|"&amp;RIGHT("000000"&amp;342,6),CalcRankKeyB,0),"")</f>
        <v/>
      </c>
    </row>
    <row r="359">
      <c r="A359" s="21" t="n">
        <v>343</v>
      </c>
      <c r="B359" s="22">
        <f>IF(AND($M359="",$N359=""),"",IF($M359&lt;&gt;"",INDEX(CalcDateA,$M359),INDEX(CalcDateB,$N359)))</f>
        <v/>
      </c>
      <c r="C359" s="22">
        <f>IF($M359&lt;&gt;"","خرید سبد",IF($N359&lt;&gt;"",IF(N(INDEX(CalcDepB,$N359))&gt;0,"دریافت بانکی","پرداخت بانکی"),""))</f>
        <v/>
      </c>
      <c r="D359" s="22">
        <f>IF($M359&lt;&gt;"",IF(INDEX(CalcDocA,$M359)="","—",INDEX(CalcDocA,$M359)),IF($N359&lt;&gt;"",INDEX(CalcBankB,$N359),""))</f>
        <v/>
      </c>
      <c r="E359" s="23">
        <f>IF($N359&lt;&gt;"",IF(INDEX(CalcDepB,$N359)=0,"",INDEX(CalcDepB,$N359)),"")</f>
        <v/>
      </c>
      <c r="F359" s="23">
        <f>IF($M359&lt;&gt;"",IF(INDEX(CalcQtyA,$M359)=0,"",INDEX(CalcQtyA,$M359)),"")</f>
        <v/>
      </c>
      <c r="G359" s="23">
        <f>IF($M359&lt;&gt;"",IF(INDEX(CalcPriceA,$M359)=0,"",INDEX(CalcPriceA,$M359)),"")</f>
        <v/>
      </c>
      <c r="H359" s="23">
        <f>IF($N359&lt;&gt;"",IF(INDEX(CalcWitB,$N359)=0,"",INDEX(CalcWitB,$N359)),"")</f>
        <v/>
      </c>
      <c r="I359" s="24">
        <f>IF($M359&lt;&gt;"",INDEX(CalcAmtA,$M359),"")</f>
        <v/>
      </c>
      <c r="J359" s="24">
        <f>IF($B359="","",IF($J358="",$C$8,$J358)+IF($I359="",0,$I359)+IF($E359="",0,$E359)-IF($H359="",0,$H359))</f>
        <v/>
      </c>
      <c r="K359" s="25">
        <f>IF($M359&lt;&gt;"",IF(INDEX(CalcNoteA,$M359)="","—",INDEX(CalcNoteA,$M359)),IF($N359&lt;&gt;"",IF(INDEX(CalcNoteB,$N359)="","—",INDEX(CalcNoteB,$N359)),""))</f>
        <v/>
      </c>
      <c r="M359">
        <f>IFERROR(MATCH($C$5&amp;"|"&amp;RIGHT("000000"&amp;343,6),CalcRankKeyA,0),"")</f>
        <v/>
      </c>
      <c r="N359">
        <f>IFERROR(MATCH($C$5&amp;"|"&amp;RIGHT("000000"&amp;343,6),CalcRankKeyB,0),"")</f>
        <v/>
      </c>
    </row>
    <row r="360">
      <c r="A360" s="26" t="n">
        <v>344</v>
      </c>
      <c r="B360" s="27">
        <f>IF(AND($M360="",$N360=""),"",IF($M360&lt;&gt;"",INDEX(CalcDateA,$M360),INDEX(CalcDateB,$N360)))</f>
        <v/>
      </c>
      <c r="C360" s="27">
        <f>IF($M360&lt;&gt;"","خرید سبد",IF($N360&lt;&gt;"",IF(N(INDEX(CalcDepB,$N360))&gt;0,"دریافت بانکی","پرداخت بانکی"),""))</f>
        <v/>
      </c>
      <c r="D360" s="27">
        <f>IF($M360&lt;&gt;"",IF(INDEX(CalcDocA,$M360)="","—",INDEX(CalcDocA,$M360)),IF($N360&lt;&gt;"",INDEX(CalcBankB,$N360),""))</f>
        <v/>
      </c>
      <c r="E360" s="28">
        <f>IF($N360&lt;&gt;"",IF(INDEX(CalcDepB,$N360)=0,"",INDEX(CalcDepB,$N360)),"")</f>
        <v/>
      </c>
      <c r="F360" s="28">
        <f>IF($M360&lt;&gt;"",IF(INDEX(CalcQtyA,$M360)=0,"",INDEX(CalcQtyA,$M360)),"")</f>
        <v/>
      </c>
      <c r="G360" s="28">
        <f>IF($M360&lt;&gt;"",IF(INDEX(CalcPriceA,$M360)=0,"",INDEX(CalcPriceA,$M360)),"")</f>
        <v/>
      </c>
      <c r="H360" s="28">
        <f>IF($N360&lt;&gt;"",IF(INDEX(CalcWitB,$N360)=0,"",INDEX(CalcWitB,$N360)),"")</f>
        <v/>
      </c>
      <c r="I360" s="29">
        <f>IF($M360&lt;&gt;"",INDEX(CalcAmtA,$M360),"")</f>
        <v/>
      </c>
      <c r="J360" s="29">
        <f>IF($B360="","",IF($J359="",$C$8,$J359)+IF($I360="",0,$I360)+IF($E360="",0,$E360)-IF($H360="",0,$H360))</f>
        <v/>
      </c>
      <c r="K360" s="30">
        <f>IF($M360&lt;&gt;"",IF(INDEX(CalcNoteA,$M360)="","—",INDEX(CalcNoteA,$M360)),IF($N360&lt;&gt;"",IF(INDEX(CalcNoteB,$N360)="","—",INDEX(CalcNoteB,$N360)),""))</f>
        <v/>
      </c>
      <c r="M360">
        <f>IFERROR(MATCH($C$5&amp;"|"&amp;RIGHT("000000"&amp;344,6),CalcRankKeyA,0),"")</f>
        <v/>
      </c>
      <c r="N360">
        <f>IFERROR(MATCH($C$5&amp;"|"&amp;RIGHT("000000"&amp;344,6),CalcRankKeyB,0),"")</f>
        <v/>
      </c>
    </row>
    <row r="361">
      <c r="A361" s="21" t="n">
        <v>345</v>
      </c>
      <c r="B361" s="22">
        <f>IF(AND($M361="",$N361=""),"",IF($M361&lt;&gt;"",INDEX(CalcDateA,$M361),INDEX(CalcDateB,$N361)))</f>
        <v/>
      </c>
      <c r="C361" s="22">
        <f>IF($M361&lt;&gt;"","خرید سبد",IF($N361&lt;&gt;"",IF(N(INDEX(CalcDepB,$N361))&gt;0,"دریافت بانکی","پرداخت بانکی"),""))</f>
        <v/>
      </c>
      <c r="D361" s="22">
        <f>IF($M361&lt;&gt;"",IF(INDEX(CalcDocA,$M361)="","—",INDEX(CalcDocA,$M361)),IF($N361&lt;&gt;"",INDEX(CalcBankB,$N361),""))</f>
        <v/>
      </c>
      <c r="E361" s="23">
        <f>IF($N361&lt;&gt;"",IF(INDEX(CalcDepB,$N361)=0,"",INDEX(CalcDepB,$N361)),"")</f>
        <v/>
      </c>
      <c r="F361" s="23">
        <f>IF($M361&lt;&gt;"",IF(INDEX(CalcQtyA,$M361)=0,"",INDEX(CalcQtyA,$M361)),"")</f>
        <v/>
      </c>
      <c r="G361" s="23">
        <f>IF($M361&lt;&gt;"",IF(INDEX(CalcPriceA,$M361)=0,"",INDEX(CalcPriceA,$M361)),"")</f>
        <v/>
      </c>
      <c r="H361" s="23">
        <f>IF($N361&lt;&gt;"",IF(INDEX(CalcWitB,$N361)=0,"",INDEX(CalcWitB,$N361)),"")</f>
        <v/>
      </c>
      <c r="I361" s="24">
        <f>IF($M361&lt;&gt;"",INDEX(CalcAmtA,$M361),"")</f>
        <v/>
      </c>
      <c r="J361" s="24">
        <f>IF($B361="","",IF($J360="",$C$8,$J360)+IF($I361="",0,$I361)+IF($E361="",0,$E361)-IF($H361="",0,$H361))</f>
        <v/>
      </c>
      <c r="K361" s="25">
        <f>IF($M361&lt;&gt;"",IF(INDEX(CalcNoteA,$M361)="","—",INDEX(CalcNoteA,$M361)),IF($N361&lt;&gt;"",IF(INDEX(CalcNoteB,$N361)="","—",INDEX(CalcNoteB,$N361)),""))</f>
        <v/>
      </c>
      <c r="M361">
        <f>IFERROR(MATCH($C$5&amp;"|"&amp;RIGHT("000000"&amp;345,6),CalcRankKeyA,0),"")</f>
        <v/>
      </c>
      <c r="N361">
        <f>IFERROR(MATCH($C$5&amp;"|"&amp;RIGHT("000000"&amp;345,6),CalcRankKeyB,0),"")</f>
        <v/>
      </c>
    </row>
    <row r="362">
      <c r="A362" s="26" t="n">
        <v>346</v>
      </c>
      <c r="B362" s="27">
        <f>IF(AND($M362="",$N362=""),"",IF($M362&lt;&gt;"",INDEX(CalcDateA,$M362),INDEX(CalcDateB,$N362)))</f>
        <v/>
      </c>
      <c r="C362" s="27">
        <f>IF($M362&lt;&gt;"","خرید سبد",IF($N362&lt;&gt;"",IF(N(INDEX(CalcDepB,$N362))&gt;0,"دریافت بانکی","پرداخت بانکی"),""))</f>
        <v/>
      </c>
      <c r="D362" s="27">
        <f>IF($M362&lt;&gt;"",IF(INDEX(CalcDocA,$M362)="","—",INDEX(CalcDocA,$M362)),IF($N362&lt;&gt;"",INDEX(CalcBankB,$N362),""))</f>
        <v/>
      </c>
      <c r="E362" s="28">
        <f>IF($N362&lt;&gt;"",IF(INDEX(CalcDepB,$N362)=0,"",INDEX(CalcDepB,$N362)),"")</f>
        <v/>
      </c>
      <c r="F362" s="28">
        <f>IF($M362&lt;&gt;"",IF(INDEX(CalcQtyA,$M362)=0,"",INDEX(CalcQtyA,$M362)),"")</f>
        <v/>
      </c>
      <c r="G362" s="28">
        <f>IF($M362&lt;&gt;"",IF(INDEX(CalcPriceA,$M362)=0,"",INDEX(CalcPriceA,$M362)),"")</f>
        <v/>
      </c>
      <c r="H362" s="28">
        <f>IF($N362&lt;&gt;"",IF(INDEX(CalcWitB,$N362)=0,"",INDEX(CalcWitB,$N362)),"")</f>
        <v/>
      </c>
      <c r="I362" s="29">
        <f>IF($M362&lt;&gt;"",INDEX(CalcAmtA,$M362),"")</f>
        <v/>
      </c>
      <c r="J362" s="29">
        <f>IF($B362="","",IF($J361="",$C$8,$J361)+IF($I362="",0,$I362)+IF($E362="",0,$E362)-IF($H362="",0,$H362))</f>
        <v/>
      </c>
      <c r="K362" s="30">
        <f>IF($M362&lt;&gt;"",IF(INDEX(CalcNoteA,$M362)="","—",INDEX(CalcNoteA,$M362)),IF($N362&lt;&gt;"",IF(INDEX(CalcNoteB,$N362)="","—",INDEX(CalcNoteB,$N362)),""))</f>
        <v/>
      </c>
      <c r="M362">
        <f>IFERROR(MATCH($C$5&amp;"|"&amp;RIGHT("000000"&amp;346,6),CalcRankKeyA,0),"")</f>
        <v/>
      </c>
      <c r="N362">
        <f>IFERROR(MATCH($C$5&amp;"|"&amp;RIGHT("000000"&amp;346,6),CalcRankKeyB,0),"")</f>
        <v/>
      </c>
    </row>
    <row r="363">
      <c r="A363" s="21" t="n">
        <v>347</v>
      </c>
      <c r="B363" s="22">
        <f>IF(AND($M363="",$N363=""),"",IF($M363&lt;&gt;"",INDEX(CalcDateA,$M363),INDEX(CalcDateB,$N363)))</f>
        <v/>
      </c>
      <c r="C363" s="22">
        <f>IF($M363&lt;&gt;"","خرید سبد",IF($N363&lt;&gt;"",IF(N(INDEX(CalcDepB,$N363))&gt;0,"دریافت بانکی","پرداخت بانکی"),""))</f>
        <v/>
      </c>
      <c r="D363" s="22">
        <f>IF($M363&lt;&gt;"",IF(INDEX(CalcDocA,$M363)="","—",INDEX(CalcDocA,$M363)),IF($N363&lt;&gt;"",INDEX(CalcBankB,$N363),""))</f>
        <v/>
      </c>
      <c r="E363" s="23">
        <f>IF($N363&lt;&gt;"",IF(INDEX(CalcDepB,$N363)=0,"",INDEX(CalcDepB,$N363)),"")</f>
        <v/>
      </c>
      <c r="F363" s="23">
        <f>IF($M363&lt;&gt;"",IF(INDEX(CalcQtyA,$M363)=0,"",INDEX(CalcQtyA,$M363)),"")</f>
        <v/>
      </c>
      <c r="G363" s="23">
        <f>IF($M363&lt;&gt;"",IF(INDEX(CalcPriceA,$M363)=0,"",INDEX(CalcPriceA,$M363)),"")</f>
        <v/>
      </c>
      <c r="H363" s="23">
        <f>IF($N363&lt;&gt;"",IF(INDEX(CalcWitB,$N363)=0,"",INDEX(CalcWitB,$N363)),"")</f>
        <v/>
      </c>
      <c r="I363" s="24">
        <f>IF($M363&lt;&gt;"",INDEX(CalcAmtA,$M363),"")</f>
        <v/>
      </c>
      <c r="J363" s="24">
        <f>IF($B363="","",IF($J362="",$C$8,$J362)+IF($I363="",0,$I363)+IF($E363="",0,$E363)-IF($H363="",0,$H363))</f>
        <v/>
      </c>
      <c r="K363" s="25">
        <f>IF($M363&lt;&gt;"",IF(INDEX(CalcNoteA,$M363)="","—",INDEX(CalcNoteA,$M363)),IF($N363&lt;&gt;"",IF(INDEX(CalcNoteB,$N363)="","—",INDEX(CalcNoteB,$N363)),""))</f>
        <v/>
      </c>
      <c r="M363">
        <f>IFERROR(MATCH($C$5&amp;"|"&amp;RIGHT("000000"&amp;347,6),CalcRankKeyA,0),"")</f>
        <v/>
      </c>
      <c r="N363">
        <f>IFERROR(MATCH($C$5&amp;"|"&amp;RIGHT("000000"&amp;347,6),CalcRankKeyB,0),"")</f>
        <v/>
      </c>
    </row>
    <row r="364">
      <c r="A364" s="26" t="n">
        <v>348</v>
      </c>
      <c r="B364" s="27">
        <f>IF(AND($M364="",$N364=""),"",IF($M364&lt;&gt;"",INDEX(CalcDateA,$M364),INDEX(CalcDateB,$N364)))</f>
        <v/>
      </c>
      <c r="C364" s="27">
        <f>IF($M364&lt;&gt;"","خرید سبد",IF($N364&lt;&gt;"",IF(N(INDEX(CalcDepB,$N364))&gt;0,"دریافت بانکی","پرداخت بانکی"),""))</f>
        <v/>
      </c>
      <c r="D364" s="27">
        <f>IF($M364&lt;&gt;"",IF(INDEX(CalcDocA,$M364)="","—",INDEX(CalcDocA,$M364)),IF($N364&lt;&gt;"",INDEX(CalcBankB,$N364),""))</f>
        <v/>
      </c>
      <c r="E364" s="28">
        <f>IF($N364&lt;&gt;"",IF(INDEX(CalcDepB,$N364)=0,"",INDEX(CalcDepB,$N364)),"")</f>
        <v/>
      </c>
      <c r="F364" s="28">
        <f>IF($M364&lt;&gt;"",IF(INDEX(CalcQtyA,$M364)=0,"",INDEX(CalcQtyA,$M364)),"")</f>
        <v/>
      </c>
      <c r="G364" s="28">
        <f>IF($M364&lt;&gt;"",IF(INDEX(CalcPriceA,$M364)=0,"",INDEX(CalcPriceA,$M364)),"")</f>
        <v/>
      </c>
      <c r="H364" s="28">
        <f>IF($N364&lt;&gt;"",IF(INDEX(CalcWitB,$N364)=0,"",INDEX(CalcWitB,$N364)),"")</f>
        <v/>
      </c>
      <c r="I364" s="29">
        <f>IF($M364&lt;&gt;"",INDEX(CalcAmtA,$M364),"")</f>
        <v/>
      </c>
      <c r="J364" s="29">
        <f>IF($B364="","",IF($J363="",$C$8,$J363)+IF($I364="",0,$I364)+IF($E364="",0,$E364)-IF($H364="",0,$H364))</f>
        <v/>
      </c>
      <c r="K364" s="30">
        <f>IF($M364&lt;&gt;"",IF(INDEX(CalcNoteA,$M364)="","—",INDEX(CalcNoteA,$M364)),IF($N364&lt;&gt;"",IF(INDEX(CalcNoteB,$N364)="","—",INDEX(CalcNoteB,$N364)),""))</f>
        <v/>
      </c>
      <c r="M364">
        <f>IFERROR(MATCH($C$5&amp;"|"&amp;RIGHT("000000"&amp;348,6),CalcRankKeyA,0),"")</f>
        <v/>
      </c>
      <c r="N364">
        <f>IFERROR(MATCH($C$5&amp;"|"&amp;RIGHT("000000"&amp;348,6),CalcRankKeyB,0),"")</f>
        <v/>
      </c>
    </row>
    <row r="365">
      <c r="A365" s="21" t="n">
        <v>349</v>
      </c>
      <c r="B365" s="22">
        <f>IF(AND($M365="",$N365=""),"",IF($M365&lt;&gt;"",INDEX(CalcDateA,$M365),INDEX(CalcDateB,$N365)))</f>
        <v/>
      </c>
      <c r="C365" s="22">
        <f>IF($M365&lt;&gt;"","خرید سبد",IF($N365&lt;&gt;"",IF(N(INDEX(CalcDepB,$N365))&gt;0,"دریافت بانکی","پرداخت بانکی"),""))</f>
        <v/>
      </c>
      <c r="D365" s="22">
        <f>IF($M365&lt;&gt;"",IF(INDEX(CalcDocA,$M365)="","—",INDEX(CalcDocA,$M365)),IF($N365&lt;&gt;"",INDEX(CalcBankB,$N365),""))</f>
        <v/>
      </c>
      <c r="E365" s="23">
        <f>IF($N365&lt;&gt;"",IF(INDEX(CalcDepB,$N365)=0,"",INDEX(CalcDepB,$N365)),"")</f>
        <v/>
      </c>
      <c r="F365" s="23">
        <f>IF($M365&lt;&gt;"",IF(INDEX(CalcQtyA,$M365)=0,"",INDEX(CalcQtyA,$M365)),"")</f>
        <v/>
      </c>
      <c r="G365" s="23">
        <f>IF($M365&lt;&gt;"",IF(INDEX(CalcPriceA,$M365)=0,"",INDEX(CalcPriceA,$M365)),"")</f>
        <v/>
      </c>
      <c r="H365" s="23">
        <f>IF($N365&lt;&gt;"",IF(INDEX(CalcWitB,$N365)=0,"",INDEX(CalcWitB,$N365)),"")</f>
        <v/>
      </c>
      <c r="I365" s="24">
        <f>IF($M365&lt;&gt;"",INDEX(CalcAmtA,$M365),"")</f>
        <v/>
      </c>
      <c r="J365" s="24">
        <f>IF($B365="","",IF($J364="",$C$8,$J364)+IF($I365="",0,$I365)+IF($E365="",0,$E365)-IF($H365="",0,$H365))</f>
        <v/>
      </c>
      <c r="K365" s="25">
        <f>IF($M365&lt;&gt;"",IF(INDEX(CalcNoteA,$M365)="","—",INDEX(CalcNoteA,$M365)),IF($N365&lt;&gt;"",IF(INDEX(CalcNoteB,$N365)="","—",INDEX(CalcNoteB,$N365)),""))</f>
        <v/>
      </c>
      <c r="M365">
        <f>IFERROR(MATCH($C$5&amp;"|"&amp;RIGHT("000000"&amp;349,6),CalcRankKeyA,0),"")</f>
        <v/>
      </c>
      <c r="N365">
        <f>IFERROR(MATCH($C$5&amp;"|"&amp;RIGHT("000000"&amp;349,6),CalcRankKeyB,0),"")</f>
        <v/>
      </c>
    </row>
    <row r="366">
      <c r="A366" s="26" t="n">
        <v>350</v>
      </c>
      <c r="B366" s="27">
        <f>IF(AND($M366="",$N366=""),"",IF($M366&lt;&gt;"",INDEX(CalcDateA,$M366),INDEX(CalcDateB,$N366)))</f>
        <v/>
      </c>
      <c r="C366" s="27">
        <f>IF($M366&lt;&gt;"","خرید سبد",IF($N366&lt;&gt;"",IF(N(INDEX(CalcDepB,$N366))&gt;0,"دریافت بانکی","پرداخت بانکی"),""))</f>
        <v/>
      </c>
      <c r="D366" s="27">
        <f>IF($M366&lt;&gt;"",IF(INDEX(CalcDocA,$M366)="","—",INDEX(CalcDocA,$M366)),IF($N366&lt;&gt;"",INDEX(CalcBankB,$N366),""))</f>
        <v/>
      </c>
      <c r="E366" s="28">
        <f>IF($N366&lt;&gt;"",IF(INDEX(CalcDepB,$N366)=0,"",INDEX(CalcDepB,$N366)),"")</f>
        <v/>
      </c>
      <c r="F366" s="28">
        <f>IF($M366&lt;&gt;"",IF(INDEX(CalcQtyA,$M366)=0,"",INDEX(CalcQtyA,$M366)),"")</f>
        <v/>
      </c>
      <c r="G366" s="28">
        <f>IF($M366&lt;&gt;"",IF(INDEX(CalcPriceA,$M366)=0,"",INDEX(CalcPriceA,$M366)),"")</f>
        <v/>
      </c>
      <c r="H366" s="28">
        <f>IF($N366&lt;&gt;"",IF(INDEX(CalcWitB,$N366)=0,"",INDEX(CalcWitB,$N366)),"")</f>
        <v/>
      </c>
      <c r="I366" s="29">
        <f>IF($M366&lt;&gt;"",INDEX(CalcAmtA,$M366),"")</f>
        <v/>
      </c>
      <c r="J366" s="29">
        <f>IF($B366="","",IF($J365="",$C$8,$J365)+IF($I366="",0,$I366)+IF($E366="",0,$E366)-IF($H366="",0,$H366))</f>
        <v/>
      </c>
      <c r="K366" s="30">
        <f>IF($M366&lt;&gt;"",IF(INDEX(CalcNoteA,$M366)="","—",INDEX(CalcNoteA,$M366)),IF($N366&lt;&gt;"",IF(INDEX(CalcNoteB,$N366)="","—",INDEX(CalcNoteB,$N366)),""))</f>
        <v/>
      </c>
      <c r="M366">
        <f>IFERROR(MATCH($C$5&amp;"|"&amp;RIGHT("000000"&amp;350,6),CalcRankKeyA,0),"")</f>
        <v/>
      </c>
      <c r="N366">
        <f>IFERROR(MATCH($C$5&amp;"|"&amp;RIGHT("000000"&amp;350,6),CalcRankKeyB,0),"")</f>
        <v/>
      </c>
    </row>
    <row r="367">
      <c r="A367" s="21" t="n">
        <v>351</v>
      </c>
      <c r="B367" s="22">
        <f>IF(AND($M367="",$N367=""),"",IF($M367&lt;&gt;"",INDEX(CalcDateA,$M367),INDEX(CalcDateB,$N367)))</f>
        <v/>
      </c>
      <c r="C367" s="22">
        <f>IF($M367&lt;&gt;"","خرید سبد",IF($N367&lt;&gt;"",IF(N(INDEX(CalcDepB,$N367))&gt;0,"دریافت بانکی","پرداخت بانکی"),""))</f>
        <v/>
      </c>
      <c r="D367" s="22">
        <f>IF($M367&lt;&gt;"",IF(INDEX(CalcDocA,$M367)="","—",INDEX(CalcDocA,$M367)),IF($N367&lt;&gt;"",INDEX(CalcBankB,$N367),""))</f>
        <v/>
      </c>
      <c r="E367" s="23">
        <f>IF($N367&lt;&gt;"",IF(INDEX(CalcDepB,$N367)=0,"",INDEX(CalcDepB,$N367)),"")</f>
        <v/>
      </c>
      <c r="F367" s="23">
        <f>IF($M367&lt;&gt;"",IF(INDEX(CalcQtyA,$M367)=0,"",INDEX(CalcQtyA,$M367)),"")</f>
        <v/>
      </c>
      <c r="G367" s="23">
        <f>IF($M367&lt;&gt;"",IF(INDEX(CalcPriceA,$M367)=0,"",INDEX(CalcPriceA,$M367)),"")</f>
        <v/>
      </c>
      <c r="H367" s="23">
        <f>IF($N367&lt;&gt;"",IF(INDEX(CalcWitB,$N367)=0,"",INDEX(CalcWitB,$N367)),"")</f>
        <v/>
      </c>
      <c r="I367" s="24">
        <f>IF($M367&lt;&gt;"",INDEX(CalcAmtA,$M367),"")</f>
        <v/>
      </c>
      <c r="J367" s="24">
        <f>IF($B367="","",IF($J366="",$C$8,$J366)+IF($I367="",0,$I367)+IF($E367="",0,$E367)-IF($H367="",0,$H367))</f>
        <v/>
      </c>
      <c r="K367" s="25">
        <f>IF($M367&lt;&gt;"",IF(INDEX(CalcNoteA,$M367)="","—",INDEX(CalcNoteA,$M367)),IF($N367&lt;&gt;"",IF(INDEX(CalcNoteB,$N367)="","—",INDEX(CalcNoteB,$N367)),""))</f>
        <v/>
      </c>
      <c r="M367">
        <f>IFERROR(MATCH($C$5&amp;"|"&amp;RIGHT("000000"&amp;351,6),CalcRankKeyA,0),"")</f>
        <v/>
      </c>
      <c r="N367">
        <f>IFERROR(MATCH($C$5&amp;"|"&amp;RIGHT("000000"&amp;351,6),CalcRankKeyB,0),"")</f>
        <v/>
      </c>
    </row>
    <row r="368">
      <c r="A368" s="26" t="n">
        <v>352</v>
      </c>
      <c r="B368" s="27">
        <f>IF(AND($M368="",$N368=""),"",IF($M368&lt;&gt;"",INDEX(CalcDateA,$M368),INDEX(CalcDateB,$N368)))</f>
        <v/>
      </c>
      <c r="C368" s="27">
        <f>IF($M368&lt;&gt;"","خرید سبد",IF($N368&lt;&gt;"",IF(N(INDEX(CalcDepB,$N368))&gt;0,"دریافت بانکی","پرداخت بانکی"),""))</f>
        <v/>
      </c>
      <c r="D368" s="27">
        <f>IF($M368&lt;&gt;"",IF(INDEX(CalcDocA,$M368)="","—",INDEX(CalcDocA,$M368)),IF($N368&lt;&gt;"",INDEX(CalcBankB,$N368),""))</f>
        <v/>
      </c>
      <c r="E368" s="28">
        <f>IF($N368&lt;&gt;"",IF(INDEX(CalcDepB,$N368)=0,"",INDEX(CalcDepB,$N368)),"")</f>
        <v/>
      </c>
      <c r="F368" s="28">
        <f>IF($M368&lt;&gt;"",IF(INDEX(CalcQtyA,$M368)=0,"",INDEX(CalcQtyA,$M368)),"")</f>
        <v/>
      </c>
      <c r="G368" s="28">
        <f>IF($M368&lt;&gt;"",IF(INDEX(CalcPriceA,$M368)=0,"",INDEX(CalcPriceA,$M368)),"")</f>
        <v/>
      </c>
      <c r="H368" s="28">
        <f>IF($N368&lt;&gt;"",IF(INDEX(CalcWitB,$N368)=0,"",INDEX(CalcWitB,$N368)),"")</f>
        <v/>
      </c>
      <c r="I368" s="29">
        <f>IF($M368&lt;&gt;"",INDEX(CalcAmtA,$M368),"")</f>
        <v/>
      </c>
      <c r="J368" s="29">
        <f>IF($B368="","",IF($J367="",$C$8,$J367)+IF($I368="",0,$I368)+IF($E368="",0,$E368)-IF($H368="",0,$H368))</f>
        <v/>
      </c>
      <c r="K368" s="30">
        <f>IF($M368&lt;&gt;"",IF(INDEX(CalcNoteA,$M368)="","—",INDEX(CalcNoteA,$M368)),IF($N368&lt;&gt;"",IF(INDEX(CalcNoteB,$N368)="","—",INDEX(CalcNoteB,$N368)),""))</f>
        <v/>
      </c>
      <c r="M368">
        <f>IFERROR(MATCH($C$5&amp;"|"&amp;RIGHT("000000"&amp;352,6),CalcRankKeyA,0),"")</f>
        <v/>
      </c>
      <c r="N368">
        <f>IFERROR(MATCH($C$5&amp;"|"&amp;RIGHT("000000"&amp;352,6),CalcRankKeyB,0),"")</f>
        <v/>
      </c>
    </row>
    <row r="369">
      <c r="A369" s="21" t="n">
        <v>353</v>
      </c>
      <c r="B369" s="22">
        <f>IF(AND($M369="",$N369=""),"",IF($M369&lt;&gt;"",INDEX(CalcDateA,$M369),INDEX(CalcDateB,$N369)))</f>
        <v/>
      </c>
      <c r="C369" s="22">
        <f>IF($M369&lt;&gt;"","خرید سبد",IF($N369&lt;&gt;"",IF(N(INDEX(CalcDepB,$N369))&gt;0,"دریافت بانکی","پرداخت بانکی"),""))</f>
        <v/>
      </c>
      <c r="D369" s="22">
        <f>IF($M369&lt;&gt;"",IF(INDEX(CalcDocA,$M369)="","—",INDEX(CalcDocA,$M369)),IF($N369&lt;&gt;"",INDEX(CalcBankB,$N369),""))</f>
        <v/>
      </c>
      <c r="E369" s="23">
        <f>IF($N369&lt;&gt;"",IF(INDEX(CalcDepB,$N369)=0,"",INDEX(CalcDepB,$N369)),"")</f>
        <v/>
      </c>
      <c r="F369" s="23">
        <f>IF($M369&lt;&gt;"",IF(INDEX(CalcQtyA,$M369)=0,"",INDEX(CalcQtyA,$M369)),"")</f>
        <v/>
      </c>
      <c r="G369" s="23">
        <f>IF($M369&lt;&gt;"",IF(INDEX(CalcPriceA,$M369)=0,"",INDEX(CalcPriceA,$M369)),"")</f>
        <v/>
      </c>
      <c r="H369" s="23">
        <f>IF($N369&lt;&gt;"",IF(INDEX(CalcWitB,$N369)=0,"",INDEX(CalcWitB,$N369)),"")</f>
        <v/>
      </c>
      <c r="I369" s="24">
        <f>IF($M369&lt;&gt;"",INDEX(CalcAmtA,$M369),"")</f>
        <v/>
      </c>
      <c r="J369" s="24">
        <f>IF($B369="","",IF($J368="",$C$8,$J368)+IF($I369="",0,$I369)+IF($E369="",0,$E369)-IF($H369="",0,$H369))</f>
        <v/>
      </c>
      <c r="K369" s="25">
        <f>IF($M369&lt;&gt;"",IF(INDEX(CalcNoteA,$M369)="","—",INDEX(CalcNoteA,$M369)),IF($N369&lt;&gt;"",IF(INDEX(CalcNoteB,$N369)="","—",INDEX(CalcNoteB,$N369)),""))</f>
        <v/>
      </c>
      <c r="M369">
        <f>IFERROR(MATCH($C$5&amp;"|"&amp;RIGHT("000000"&amp;353,6),CalcRankKeyA,0),"")</f>
        <v/>
      </c>
      <c r="N369">
        <f>IFERROR(MATCH($C$5&amp;"|"&amp;RIGHT("000000"&amp;353,6),CalcRankKeyB,0),"")</f>
        <v/>
      </c>
    </row>
    <row r="370">
      <c r="A370" s="26" t="n">
        <v>354</v>
      </c>
      <c r="B370" s="27">
        <f>IF(AND($M370="",$N370=""),"",IF($M370&lt;&gt;"",INDEX(CalcDateA,$M370),INDEX(CalcDateB,$N370)))</f>
        <v/>
      </c>
      <c r="C370" s="27">
        <f>IF($M370&lt;&gt;"","خرید سبد",IF($N370&lt;&gt;"",IF(N(INDEX(CalcDepB,$N370))&gt;0,"دریافت بانکی","پرداخت بانکی"),""))</f>
        <v/>
      </c>
      <c r="D370" s="27">
        <f>IF($M370&lt;&gt;"",IF(INDEX(CalcDocA,$M370)="","—",INDEX(CalcDocA,$M370)),IF($N370&lt;&gt;"",INDEX(CalcBankB,$N370),""))</f>
        <v/>
      </c>
      <c r="E370" s="28">
        <f>IF($N370&lt;&gt;"",IF(INDEX(CalcDepB,$N370)=0,"",INDEX(CalcDepB,$N370)),"")</f>
        <v/>
      </c>
      <c r="F370" s="28">
        <f>IF($M370&lt;&gt;"",IF(INDEX(CalcQtyA,$M370)=0,"",INDEX(CalcQtyA,$M370)),"")</f>
        <v/>
      </c>
      <c r="G370" s="28">
        <f>IF($M370&lt;&gt;"",IF(INDEX(CalcPriceA,$M370)=0,"",INDEX(CalcPriceA,$M370)),"")</f>
        <v/>
      </c>
      <c r="H370" s="28">
        <f>IF($N370&lt;&gt;"",IF(INDEX(CalcWitB,$N370)=0,"",INDEX(CalcWitB,$N370)),"")</f>
        <v/>
      </c>
      <c r="I370" s="29">
        <f>IF($M370&lt;&gt;"",INDEX(CalcAmtA,$M370),"")</f>
        <v/>
      </c>
      <c r="J370" s="29">
        <f>IF($B370="","",IF($J369="",$C$8,$J369)+IF($I370="",0,$I370)+IF($E370="",0,$E370)-IF($H370="",0,$H370))</f>
        <v/>
      </c>
      <c r="K370" s="30">
        <f>IF($M370&lt;&gt;"",IF(INDEX(CalcNoteA,$M370)="","—",INDEX(CalcNoteA,$M370)),IF($N370&lt;&gt;"",IF(INDEX(CalcNoteB,$N370)="","—",INDEX(CalcNoteB,$N370)),""))</f>
        <v/>
      </c>
      <c r="M370">
        <f>IFERROR(MATCH($C$5&amp;"|"&amp;RIGHT("000000"&amp;354,6),CalcRankKeyA,0),"")</f>
        <v/>
      </c>
      <c r="N370">
        <f>IFERROR(MATCH($C$5&amp;"|"&amp;RIGHT("000000"&amp;354,6),CalcRankKeyB,0),"")</f>
        <v/>
      </c>
    </row>
    <row r="371">
      <c r="A371" s="21" t="n">
        <v>355</v>
      </c>
      <c r="B371" s="22">
        <f>IF(AND($M371="",$N371=""),"",IF($M371&lt;&gt;"",INDEX(CalcDateA,$M371),INDEX(CalcDateB,$N371)))</f>
        <v/>
      </c>
      <c r="C371" s="22">
        <f>IF($M371&lt;&gt;"","خرید سبد",IF($N371&lt;&gt;"",IF(N(INDEX(CalcDepB,$N371))&gt;0,"دریافت بانکی","پرداخت بانکی"),""))</f>
        <v/>
      </c>
      <c r="D371" s="22">
        <f>IF($M371&lt;&gt;"",IF(INDEX(CalcDocA,$M371)="","—",INDEX(CalcDocA,$M371)),IF($N371&lt;&gt;"",INDEX(CalcBankB,$N371),""))</f>
        <v/>
      </c>
      <c r="E371" s="23">
        <f>IF($N371&lt;&gt;"",IF(INDEX(CalcDepB,$N371)=0,"",INDEX(CalcDepB,$N371)),"")</f>
        <v/>
      </c>
      <c r="F371" s="23">
        <f>IF($M371&lt;&gt;"",IF(INDEX(CalcQtyA,$M371)=0,"",INDEX(CalcQtyA,$M371)),"")</f>
        <v/>
      </c>
      <c r="G371" s="23">
        <f>IF($M371&lt;&gt;"",IF(INDEX(CalcPriceA,$M371)=0,"",INDEX(CalcPriceA,$M371)),"")</f>
        <v/>
      </c>
      <c r="H371" s="23">
        <f>IF($N371&lt;&gt;"",IF(INDEX(CalcWitB,$N371)=0,"",INDEX(CalcWitB,$N371)),"")</f>
        <v/>
      </c>
      <c r="I371" s="24">
        <f>IF($M371&lt;&gt;"",INDEX(CalcAmtA,$M371),"")</f>
        <v/>
      </c>
      <c r="J371" s="24">
        <f>IF($B371="","",IF($J370="",$C$8,$J370)+IF($I371="",0,$I371)+IF($E371="",0,$E371)-IF($H371="",0,$H371))</f>
        <v/>
      </c>
      <c r="K371" s="25">
        <f>IF($M371&lt;&gt;"",IF(INDEX(CalcNoteA,$M371)="","—",INDEX(CalcNoteA,$M371)),IF($N371&lt;&gt;"",IF(INDEX(CalcNoteB,$N371)="","—",INDEX(CalcNoteB,$N371)),""))</f>
        <v/>
      </c>
      <c r="M371">
        <f>IFERROR(MATCH($C$5&amp;"|"&amp;RIGHT("000000"&amp;355,6),CalcRankKeyA,0),"")</f>
        <v/>
      </c>
      <c r="N371">
        <f>IFERROR(MATCH($C$5&amp;"|"&amp;RIGHT("000000"&amp;355,6),CalcRankKeyB,0),"")</f>
        <v/>
      </c>
    </row>
    <row r="372">
      <c r="A372" s="26" t="n">
        <v>356</v>
      </c>
      <c r="B372" s="27">
        <f>IF(AND($M372="",$N372=""),"",IF($M372&lt;&gt;"",INDEX(CalcDateA,$M372),INDEX(CalcDateB,$N372)))</f>
        <v/>
      </c>
      <c r="C372" s="27">
        <f>IF($M372&lt;&gt;"","خرید سبد",IF($N372&lt;&gt;"",IF(N(INDEX(CalcDepB,$N372))&gt;0,"دریافت بانکی","پرداخت بانکی"),""))</f>
        <v/>
      </c>
      <c r="D372" s="27">
        <f>IF($M372&lt;&gt;"",IF(INDEX(CalcDocA,$M372)="","—",INDEX(CalcDocA,$M372)),IF($N372&lt;&gt;"",INDEX(CalcBankB,$N372),""))</f>
        <v/>
      </c>
      <c r="E372" s="28">
        <f>IF($N372&lt;&gt;"",IF(INDEX(CalcDepB,$N372)=0,"",INDEX(CalcDepB,$N372)),"")</f>
        <v/>
      </c>
      <c r="F372" s="28">
        <f>IF($M372&lt;&gt;"",IF(INDEX(CalcQtyA,$M372)=0,"",INDEX(CalcQtyA,$M372)),"")</f>
        <v/>
      </c>
      <c r="G372" s="28">
        <f>IF($M372&lt;&gt;"",IF(INDEX(CalcPriceA,$M372)=0,"",INDEX(CalcPriceA,$M372)),"")</f>
        <v/>
      </c>
      <c r="H372" s="28">
        <f>IF($N372&lt;&gt;"",IF(INDEX(CalcWitB,$N372)=0,"",INDEX(CalcWitB,$N372)),"")</f>
        <v/>
      </c>
      <c r="I372" s="29">
        <f>IF($M372&lt;&gt;"",INDEX(CalcAmtA,$M372),"")</f>
        <v/>
      </c>
      <c r="J372" s="29">
        <f>IF($B372="","",IF($J371="",$C$8,$J371)+IF($I372="",0,$I372)+IF($E372="",0,$E372)-IF($H372="",0,$H372))</f>
        <v/>
      </c>
      <c r="K372" s="30">
        <f>IF($M372&lt;&gt;"",IF(INDEX(CalcNoteA,$M372)="","—",INDEX(CalcNoteA,$M372)),IF($N372&lt;&gt;"",IF(INDEX(CalcNoteB,$N372)="","—",INDEX(CalcNoteB,$N372)),""))</f>
        <v/>
      </c>
      <c r="M372">
        <f>IFERROR(MATCH($C$5&amp;"|"&amp;RIGHT("000000"&amp;356,6),CalcRankKeyA,0),"")</f>
        <v/>
      </c>
      <c r="N372">
        <f>IFERROR(MATCH($C$5&amp;"|"&amp;RIGHT("000000"&amp;356,6),CalcRankKeyB,0),"")</f>
        <v/>
      </c>
    </row>
    <row r="373">
      <c r="A373" s="21" t="n">
        <v>357</v>
      </c>
      <c r="B373" s="22">
        <f>IF(AND($M373="",$N373=""),"",IF($M373&lt;&gt;"",INDEX(CalcDateA,$M373),INDEX(CalcDateB,$N373)))</f>
        <v/>
      </c>
      <c r="C373" s="22">
        <f>IF($M373&lt;&gt;"","خرید سبد",IF($N373&lt;&gt;"",IF(N(INDEX(CalcDepB,$N373))&gt;0,"دریافت بانکی","پرداخت بانکی"),""))</f>
        <v/>
      </c>
      <c r="D373" s="22">
        <f>IF($M373&lt;&gt;"",IF(INDEX(CalcDocA,$M373)="","—",INDEX(CalcDocA,$M373)),IF($N373&lt;&gt;"",INDEX(CalcBankB,$N373),""))</f>
        <v/>
      </c>
      <c r="E373" s="23">
        <f>IF($N373&lt;&gt;"",IF(INDEX(CalcDepB,$N373)=0,"",INDEX(CalcDepB,$N373)),"")</f>
        <v/>
      </c>
      <c r="F373" s="23">
        <f>IF($M373&lt;&gt;"",IF(INDEX(CalcQtyA,$M373)=0,"",INDEX(CalcQtyA,$M373)),"")</f>
        <v/>
      </c>
      <c r="G373" s="23">
        <f>IF($M373&lt;&gt;"",IF(INDEX(CalcPriceA,$M373)=0,"",INDEX(CalcPriceA,$M373)),"")</f>
        <v/>
      </c>
      <c r="H373" s="23">
        <f>IF($N373&lt;&gt;"",IF(INDEX(CalcWitB,$N373)=0,"",INDEX(CalcWitB,$N373)),"")</f>
        <v/>
      </c>
      <c r="I373" s="24">
        <f>IF($M373&lt;&gt;"",INDEX(CalcAmtA,$M373),"")</f>
        <v/>
      </c>
      <c r="J373" s="24">
        <f>IF($B373="","",IF($J372="",$C$8,$J372)+IF($I373="",0,$I373)+IF($E373="",0,$E373)-IF($H373="",0,$H373))</f>
        <v/>
      </c>
      <c r="K373" s="25">
        <f>IF($M373&lt;&gt;"",IF(INDEX(CalcNoteA,$M373)="","—",INDEX(CalcNoteA,$M373)),IF($N373&lt;&gt;"",IF(INDEX(CalcNoteB,$N373)="","—",INDEX(CalcNoteB,$N373)),""))</f>
        <v/>
      </c>
      <c r="M373">
        <f>IFERROR(MATCH($C$5&amp;"|"&amp;RIGHT("000000"&amp;357,6),CalcRankKeyA,0),"")</f>
        <v/>
      </c>
      <c r="N373">
        <f>IFERROR(MATCH($C$5&amp;"|"&amp;RIGHT("000000"&amp;357,6),CalcRankKeyB,0),"")</f>
        <v/>
      </c>
    </row>
    <row r="374">
      <c r="A374" s="26" t="n">
        <v>358</v>
      </c>
      <c r="B374" s="27">
        <f>IF(AND($M374="",$N374=""),"",IF($M374&lt;&gt;"",INDEX(CalcDateA,$M374),INDEX(CalcDateB,$N374)))</f>
        <v/>
      </c>
      <c r="C374" s="27">
        <f>IF($M374&lt;&gt;"","خرید سبد",IF($N374&lt;&gt;"",IF(N(INDEX(CalcDepB,$N374))&gt;0,"دریافت بانکی","پرداخت بانکی"),""))</f>
        <v/>
      </c>
      <c r="D374" s="27">
        <f>IF($M374&lt;&gt;"",IF(INDEX(CalcDocA,$M374)="","—",INDEX(CalcDocA,$M374)),IF($N374&lt;&gt;"",INDEX(CalcBankB,$N374),""))</f>
        <v/>
      </c>
      <c r="E374" s="28">
        <f>IF($N374&lt;&gt;"",IF(INDEX(CalcDepB,$N374)=0,"",INDEX(CalcDepB,$N374)),"")</f>
        <v/>
      </c>
      <c r="F374" s="28">
        <f>IF($M374&lt;&gt;"",IF(INDEX(CalcQtyA,$M374)=0,"",INDEX(CalcQtyA,$M374)),"")</f>
        <v/>
      </c>
      <c r="G374" s="28">
        <f>IF($M374&lt;&gt;"",IF(INDEX(CalcPriceA,$M374)=0,"",INDEX(CalcPriceA,$M374)),"")</f>
        <v/>
      </c>
      <c r="H374" s="28">
        <f>IF($N374&lt;&gt;"",IF(INDEX(CalcWitB,$N374)=0,"",INDEX(CalcWitB,$N374)),"")</f>
        <v/>
      </c>
      <c r="I374" s="29">
        <f>IF($M374&lt;&gt;"",INDEX(CalcAmtA,$M374),"")</f>
        <v/>
      </c>
      <c r="J374" s="29">
        <f>IF($B374="","",IF($J373="",$C$8,$J373)+IF($I374="",0,$I374)+IF($E374="",0,$E374)-IF($H374="",0,$H374))</f>
        <v/>
      </c>
      <c r="K374" s="30">
        <f>IF($M374&lt;&gt;"",IF(INDEX(CalcNoteA,$M374)="","—",INDEX(CalcNoteA,$M374)),IF($N374&lt;&gt;"",IF(INDEX(CalcNoteB,$N374)="","—",INDEX(CalcNoteB,$N374)),""))</f>
        <v/>
      </c>
      <c r="M374">
        <f>IFERROR(MATCH($C$5&amp;"|"&amp;RIGHT("000000"&amp;358,6),CalcRankKeyA,0),"")</f>
        <v/>
      </c>
      <c r="N374">
        <f>IFERROR(MATCH($C$5&amp;"|"&amp;RIGHT("000000"&amp;358,6),CalcRankKeyB,0),"")</f>
        <v/>
      </c>
    </row>
    <row r="375">
      <c r="A375" s="21" t="n">
        <v>359</v>
      </c>
      <c r="B375" s="22">
        <f>IF(AND($M375="",$N375=""),"",IF($M375&lt;&gt;"",INDEX(CalcDateA,$M375),INDEX(CalcDateB,$N375)))</f>
        <v/>
      </c>
      <c r="C375" s="22">
        <f>IF($M375&lt;&gt;"","خرید سبد",IF($N375&lt;&gt;"",IF(N(INDEX(CalcDepB,$N375))&gt;0,"دریافت بانکی","پرداخت بانکی"),""))</f>
        <v/>
      </c>
      <c r="D375" s="22">
        <f>IF($M375&lt;&gt;"",IF(INDEX(CalcDocA,$M375)="","—",INDEX(CalcDocA,$M375)),IF($N375&lt;&gt;"",INDEX(CalcBankB,$N375),""))</f>
        <v/>
      </c>
      <c r="E375" s="23">
        <f>IF($N375&lt;&gt;"",IF(INDEX(CalcDepB,$N375)=0,"",INDEX(CalcDepB,$N375)),"")</f>
        <v/>
      </c>
      <c r="F375" s="23">
        <f>IF($M375&lt;&gt;"",IF(INDEX(CalcQtyA,$M375)=0,"",INDEX(CalcQtyA,$M375)),"")</f>
        <v/>
      </c>
      <c r="G375" s="23">
        <f>IF($M375&lt;&gt;"",IF(INDEX(CalcPriceA,$M375)=0,"",INDEX(CalcPriceA,$M375)),"")</f>
        <v/>
      </c>
      <c r="H375" s="23">
        <f>IF($N375&lt;&gt;"",IF(INDEX(CalcWitB,$N375)=0,"",INDEX(CalcWitB,$N375)),"")</f>
        <v/>
      </c>
      <c r="I375" s="24">
        <f>IF($M375&lt;&gt;"",INDEX(CalcAmtA,$M375),"")</f>
        <v/>
      </c>
      <c r="J375" s="24">
        <f>IF($B375="","",IF($J374="",$C$8,$J374)+IF($I375="",0,$I375)+IF($E375="",0,$E375)-IF($H375="",0,$H375))</f>
        <v/>
      </c>
      <c r="K375" s="25">
        <f>IF($M375&lt;&gt;"",IF(INDEX(CalcNoteA,$M375)="","—",INDEX(CalcNoteA,$M375)),IF($N375&lt;&gt;"",IF(INDEX(CalcNoteB,$N375)="","—",INDEX(CalcNoteB,$N375)),""))</f>
        <v/>
      </c>
      <c r="M375">
        <f>IFERROR(MATCH($C$5&amp;"|"&amp;RIGHT("000000"&amp;359,6),CalcRankKeyA,0),"")</f>
        <v/>
      </c>
      <c r="N375">
        <f>IFERROR(MATCH($C$5&amp;"|"&amp;RIGHT("000000"&amp;359,6),CalcRankKeyB,0),"")</f>
        <v/>
      </c>
    </row>
    <row r="376">
      <c r="A376" s="26" t="n">
        <v>360</v>
      </c>
      <c r="B376" s="27">
        <f>IF(AND($M376="",$N376=""),"",IF($M376&lt;&gt;"",INDEX(CalcDateA,$M376),INDEX(CalcDateB,$N376)))</f>
        <v/>
      </c>
      <c r="C376" s="27">
        <f>IF($M376&lt;&gt;"","خرید سبد",IF($N376&lt;&gt;"",IF(N(INDEX(CalcDepB,$N376))&gt;0,"دریافت بانکی","پرداخت بانکی"),""))</f>
        <v/>
      </c>
      <c r="D376" s="27">
        <f>IF($M376&lt;&gt;"",IF(INDEX(CalcDocA,$M376)="","—",INDEX(CalcDocA,$M376)),IF($N376&lt;&gt;"",INDEX(CalcBankB,$N376),""))</f>
        <v/>
      </c>
      <c r="E376" s="28">
        <f>IF($N376&lt;&gt;"",IF(INDEX(CalcDepB,$N376)=0,"",INDEX(CalcDepB,$N376)),"")</f>
        <v/>
      </c>
      <c r="F376" s="28">
        <f>IF($M376&lt;&gt;"",IF(INDEX(CalcQtyA,$M376)=0,"",INDEX(CalcQtyA,$M376)),"")</f>
        <v/>
      </c>
      <c r="G376" s="28">
        <f>IF($M376&lt;&gt;"",IF(INDEX(CalcPriceA,$M376)=0,"",INDEX(CalcPriceA,$M376)),"")</f>
        <v/>
      </c>
      <c r="H376" s="28">
        <f>IF($N376&lt;&gt;"",IF(INDEX(CalcWitB,$N376)=0,"",INDEX(CalcWitB,$N376)),"")</f>
        <v/>
      </c>
      <c r="I376" s="29">
        <f>IF($M376&lt;&gt;"",INDEX(CalcAmtA,$M376),"")</f>
        <v/>
      </c>
      <c r="J376" s="29">
        <f>IF($B376="","",IF($J375="",$C$8,$J375)+IF($I376="",0,$I376)+IF($E376="",0,$E376)-IF($H376="",0,$H376))</f>
        <v/>
      </c>
      <c r="K376" s="30">
        <f>IF($M376&lt;&gt;"",IF(INDEX(CalcNoteA,$M376)="","—",INDEX(CalcNoteA,$M376)),IF($N376&lt;&gt;"",IF(INDEX(CalcNoteB,$N376)="","—",INDEX(CalcNoteB,$N376)),""))</f>
        <v/>
      </c>
      <c r="M376">
        <f>IFERROR(MATCH($C$5&amp;"|"&amp;RIGHT("000000"&amp;360,6),CalcRankKeyA,0),"")</f>
        <v/>
      </c>
      <c r="N376">
        <f>IFERROR(MATCH($C$5&amp;"|"&amp;RIGHT("000000"&amp;360,6),CalcRankKeyB,0),"")</f>
        <v/>
      </c>
    </row>
    <row r="377">
      <c r="A377" s="21" t="n">
        <v>361</v>
      </c>
      <c r="B377" s="22">
        <f>IF(AND($M377="",$N377=""),"",IF($M377&lt;&gt;"",INDEX(CalcDateA,$M377),INDEX(CalcDateB,$N377)))</f>
        <v/>
      </c>
      <c r="C377" s="22">
        <f>IF($M377&lt;&gt;"","خرید سبد",IF($N377&lt;&gt;"",IF(N(INDEX(CalcDepB,$N377))&gt;0,"دریافت بانکی","پرداخت بانکی"),""))</f>
        <v/>
      </c>
      <c r="D377" s="22">
        <f>IF($M377&lt;&gt;"",IF(INDEX(CalcDocA,$M377)="","—",INDEX(CalcDocA,$M377)),IF($N377&lt;&gt;"",INDEX(CalcBankB,$N377),""))</f>
        <v/>
      </c>
      <c r="E377" s="23">
        <f>IF($N377&lt;&gt;"",IF(INDEX(CalcDepB,$N377)=0,"",INDEX(CalcDepB,$N377)),"")</f>
        <v/>
      </c>
      <c r="F377" s="23">
        <f>IF($M377&lt;&gt;"",IF(INDEX(CalcQtyA,$M377)=0,"",INDEX(CalcQtyA,$M377)),"")</f>
        <v/>
      </c>
      <c r="G377" s="23">
        <f>IF($M377&lt;&gt;"",IF(INDEX(CalcPriceA,$M377)=0,"",INDEX(CalcPriceA,$M377)),"")</f>
        <v/>
      </c>
      <c r="H377" s="23">
        <f>IF($N377&lt;&gt;"",IF(INDEX(CalcWitB,$N377)=0,"",INDEX(CalcWitB,$N377)),"")</f>
        <v/>
      </c>
      <c r="I377" s="24">
        <f>IF($M377&lt;&gt;"",INDEX(CalcAmtA,$M377),"")</f>
        <v/>
      </c>
      <c r="J377" s="24">
        <f>IF($B377="","",IF($J376="",$C$8,$J376)+IF($I377="",0,$I377)+IF($E377="",0,$E377)-IF($H377="",0,$H377))</f>
        <v/>
      </c>
      <c r="K377" s="25">
        <f>IF($M377&lt;&gt;"",IF(INDEX(CalcNoteA,$M377)="","—",INDEX(CalcNoteA,$M377)),IF($N377&lt;&gt;"",IF(INDEX(CalcNoteB,$N377)="","—",INDEX(CalcNoteB,$N377)),""))</f>
        <v/>
      </c>
      <c r="M377">
        <f>IFERROR(MATCH($C$5&amp;"|"&amp;RIGHT("000000"&amp;361,6),CalcRankKeyA,0),"")</f>
        <v/>
      </c>
      <c r="N377">
        <f>IFERROR(MATCH($C$5&amp;"|"&amp;RIGHT("000000"&amp;361,6),CalcRankKeyB,0),"")</f>
        <v/>
      </c>
    </row>
    <row r="378">
      <c r="A378" s="26" t="n">
        <v>362</v>
      </c>
      <c r="B378" s="27">
        <f>IF(AND($M378="",$N378=""),"",IF($M378&lt;&gt;"",INDEX(CalcDateA,$M378),INDEX(CalcDateB,$N378)))</f>
        <v/>
      </c>
      <c r="C378" s="27">
        <f>IF($M378&lt;&gt;"","خرید سبد",IF($N378&lt;&gt;"",IF(N(INDEX(CalcDepB,$N378))&gt;0,"دریافت بانکی","پرداخت بانکی"),""))</f>
        <v/>
      </c>
      <c r="D378" s="27">
        <f>IF($M378&lt;&gt;"",IF(INDEX(CalcDocA,$M378)="","—",INDEX(CalcDocA,$M378)),IF($N378&lt;&gt;"",INDEX(CalcBankB,$N378),""))</f>
        <v/>
      </c>
      <c r="E378" s="28">
        <f>IF($N378&lt;&gt;"",IF(INDEX(CalcDepB,$N378)=0,"",INDEX(CalcDepB,$N378)),"")</f>
        <v/>
      </c>
      <c r="F378" s="28">
        <f>IF($M378&lt;&gt;"",IF(INDEX(CalcQtyA,$M378)=0,"",INDEX(CalcQtyA,$M378)),"")</f>
        <v/>
      </c>
      <c r="G378" s="28">
        <f>IF($M378&lt;&gt;"",IF(INDEX(CalcPriceA,$M378)=0,"",INDEX(CalcPriceA,$M378)),"")</f>
        <v/>
      </c>
      <c r="H378" s="28">
        <f>IF($N378&lt;&gt;"",IF(INDEX(CalcWitB,$N378)=0,"",INDEX(CalcWitB,$N378)),"")</f>
        <v/>
      </c>
      <c r="I378" s="29">
        <f>IF($M378&lt;&gt;"",INDEX(CalcAmtA,$M378),"")</f>
        <v/>
      </c>
      <c r="J378" s="29">
        <f>IF($B378="","",IF($J377="",$C$8,$J377)+IF($I378="",0,$I378)+IF($E378="",0,$E378)-IF($H378="",0,$H378))</f>
        <v/>
      </c>
      <c r="K378" s="30">
        <f>IF($M378&lt;&gt;"",IF(INDEX(CalcNoteA,$M378)="","—",INDEX(CalcNoteA,$M378)),IF($N378&lt;&gt;"",IF(INDEX(CalcNoteB,$N378)="","—",INDEX(CalcNoteB,$N378)),""))</f>
        <v/>
      </c>
      <c r="M378">
        <f>IFERROR(MATCH($C$5&amp;"|"&amp;RIGHT("000000"&amp;362,6),CalcRankKeyA,0),"")</f>
        <v/>
      </c>
      <c r="N378">
        <f>IFERROR(MATCH($C$5&amp;"|"&amp;RIGHT("000000"&amp;362,6),CalcRankKeyB,0),"")</f>
        <v/>
      </c>
    </row>
    <row r="379">
      <c r="A379" s="21" t="n">
        <v>363</v>
      </c>
      <c r="B379" s="22">
        <f>IF(AND($M379="",$N379=""),"",IF($M379&lt;&gt;"",INDEX(CalcDateA,$M379),INDEX(CalcDateB,$N379)))</f>
        <v/>
      </c>
      <c r="C379" s="22">
        <f>IF($M379&lt;&gt;"","خرید سبد",IF($N379&lt;&gt;"",IF(N(INDEX(CalcDepB,$N379))&gt;0,"دریافت بانکی","پرداخت بانکی"),""))</f>
        <v/>
      </c>
      <c r="D379" s="22">
        <f>IF($M379&lt;&gt;"",IF(INDEX(CalcDocA,$M379)="","—",INDEX(CalcDocA,$M379)),IF($N379&lt;&gt;"",INDEX(CalcBankB,$N379),""))</f>
        <v/>
      </c>
      <c r="E379" s="23">
        <f>IF($N379&lt;&gt;"",IF(INDEX(CalcDepB,$N379)=0,"",INDEX(CalcDepB,$N379)),"")</f>
        <v/>
      </c>
      <c r="F379" s="23">
        <f>IF($M379&lt;&gt;"",IF(INDEX(CalcQtyA,$M379)=0,"",INDEX(CalcQtyA,$M379)),"")</f>
        <v/>
      </c>
      <c r="G379" s="23">
        <f>IF($M379&lt;&gt;"",IF(INDEX(CalcPriceA,$M379)=0,"",INDEX(CalcPriceA,$M379)),"")</f>
        <v/>
      </c>
      <c r="H379" s="23">
        <f>IF($N379&lt;&gt;"",IF(INDEX(CalcWitB,$N379)=0,"",INDEX(CalcWitB,$N379)),"")</f>
        <v/>
      </c>
      <c r="I379" s="24">
        <f>IF($M379&lt;&gt;"",INDEX(CalcAmtA,$M379),"")</f>
        <v/>
      </c>
      <c r="J379" s="24">
        <f>IF($B379="","",IF($J378="",$C$8,$J378)+IF($I379="",0,$I379)+IF($E379="",0,$E379)-IF($H379="",0,$H379))</f>
        <v/>
      </c>
      <c r="K379" s="25">
        <f>IF($M379&lt;&gt;"",IF(INDEX(CalcNoteA,$M379)="","—",INDEX(CalcNoteA,$M379)),IF($N379&lt;&gt;"",IF(INDEX(CalcNoteB,$N379)="","—",INDEX(CalcNoteB,$N379)),""))</f>
        <v/>
      </c>
      <c r="M379">
        <f>IFERROR(MATCH($C$5&amp;"|"&amp;RIGHT("000000"&amp;363,6),CalcRankKeyA,0),"")</f>
        <v/>
      </c>
      <c r="N379">
        <f>IFERROR(MATCH($C$5&amp;"|"&amp;RIGHT("000000"&amp;363,6),CalcRankKeyB,0),"")</f>
        <v/>
      </c>
    </row>
    <row r="380">
      <c r="A380" s="26" t="n">
        <v>364</v>
      </c>
      <c r="B380" s="27">
        <f>IF(AND($M380="",$N380=""),"",IF($M380&lt;&gt;"",INDEX(CalcDateA,$M380),INDEX(CalcDateB,$N380)))</f>
        <v/>
      </c>
      <c r="C380" s="27">
        <f>IF($M380&lt;&gt;"","خرید سبد",IF($N380&lt;&gt;"",IF(N(INDEX(CalcDepB,$N380))&gt;0,"دریافت بانکی","پرداخت بانکی"),""))</f>
        <v/>
      </c>
      <c r="D380" s="27">
        <f>IF($M380&lt;&gt;"",IF(INDEX(CalcDocA,$M380)="","—",INDEX(CalcDocA,$M380)),IF($N380&lt;&gt;"",INDEX(CalcBankB,$N380),""))</f>
        <v/>
      </c>
      <c r="E380" s="28">
        <f>IF($N380&lt;&gt;"",IF(INDEX(CalcDepB,$N380)=0,"",INDEX(CalcDepB,$N380)),"")</f>
        <v/>
      </c>
      <c r="F380" s="28">
        <f>IF($M380&lt;&gt;"",IF(INDEX(CalcQtyA,$M380)=0,"",INDEX(CalcQtyA,$M380)),"")</f>
        <v/>
      </c>
      <c r="G380" s="28">
        <f>IF($M380&lt;&gt;"",IF(INDEX(CalcPriceA,$M380)=0,"",INDEX(CalcPriceA,$M380)),"")</f>
        <v/>
      </c>
      <c r="H380" s="28">
        <f>IF($N380&lt;&gt;"",IF(INDEX(CalcWitB,$N380)=0,"",INDEX(CalcWitB,$N380)),"")</f>
        <v/>
      </c>
      <c r="I380" s="29">
        <f>IF($M380&lt;&gt;"",INDEX(CalcAmtA,$M380),"")</f>
        <v/>
      </c>
      <c r="J380" s="29">
        <f>IF($B380="","",IF($J379="",$C$8,$J379)+IF($I380="",0,$I380)+IF($E380="",0,$E380)-IF($H380="",0,$H380))</f>
        <v/>
      </c>
      <c r="K380" s="30">
        <f>IF($M380&lt;&gt;"",IF(INDEX(CalcNoteA,$M380)="","—",INDEX(CalcNoteA,$M380)),IF($N380&lt;&gt;"",IF(INDEX(CalcNoteB,$N380)="","—",INDEX(CalcNoteB,$N380)),""))</f>
        <v/>
      </c>
      <c r="M380">
        <f>IFERROR(MATCH($C$5&amp;"|"&amp;RIGHT("000000"&amp;364,6),CalcRankKeyA,0),"")</f>
        <v/>
      </c>
      <c r="N380">
        <f>IFERROR(MATCH($C$5&amp;"|"&amp;RIGHT("000000"&amp;364,6),CalcRankKeyB,0),"")</f>
        <v/>
      </c>
    </row>
    <row r="381">
      <c r="A381" s="21" t="n">
        <v>365</v>
      </c>
      <c r="B381" s="22">
        <f>IF(AND($M381="",$N381=""),"",IF($M381&lt;&gt;"",INDEX(CalcDateA,$M381),INDEX(CalcDateB,$N381)))</f>
        <v/>
      </c>
      <c r="C381" s="22">
        <f>IF($M381&lt;&gt;"","خرید سبد",IF($N381&lt;&gt;"",IF(N(INDEX(CalcDepB,$N381))&gt;0,"دریافت بانکی","پرداخت بانکی"),""))</f>
        <v/>
      </c>
      <c r="D381" s="22">
        <f>IF($M381&lt;&gt;"",IF(INDEX(CalcDocA,$M381)="","—",INDEX(CalcDocA,$M381)),IF($N381&lt;&gt;"",INDEX(CalcBankB,$N381),""))</f>
        <v/>
      </c>
      <c r="E381" s="23">
        <f>IF($N381&lt;&gt;"",IF(INDEX(CalcDepB,$N381)=0,"",INDEX(CalcDepB,$N381)),"")</f>
        <v/>
      </c>
      <c r="F381" s="23">
        <f>IF($M381&lt;&gt;"",IF(INDEX(CalcQtyA,$M381)=0,"",INDEX(CalcQtyA,$M381)),"")</f>
        <v/>
      </c>
      <c r="G381" s="23">
        <f>IF($M381&lt;&gt;"",IF(INDEX(CalcPriceA,$M381)=0,"",INDEX(CalcPriceA,$M381)),"")</f>
        <v/>
      </c>
      <c r="H381" s="23">
        <f>IF($N381&lt;&gt;"",IF(INDEX(CalcWitB,$N381)=0,"",INDEX(CalcWitB,$N381)),"")</f>
        <v/>
      </c>
      <c r="I381" s="24">
        <f>IF($M381&lt;&gt;"",INDEX(CalcAmtA,$M381),"")</f>
        <v/>
      </c>
      <c r="J381" s="24">
        <f>IF($B381="","",IF($J380="",$C$8,$J380)+IF($I381="",0,$I381)+IF($E381="",0,$E381)-IF($H381="",0,$H381))</f>
        <v/>
      </c>
      <c r="K381" s="25">
        <f>IF($M381&lt;&gt;"",IF(INDEX(CalcNoteA,$M381)="","—",INDEX(CalcNoteA,$M381)),IF($N381&lt;&gt;"",IF(INDEX(CalcNoteB,$N381)="","—",INDEX(CalcNoteB,$N381)),""))</f>
        <v/>
      </c>
      <c r="M381">
        <f>IFERROR(MATCH($C$5&amp;"|"&amp;RIGHT("000000"&amp;365,6),CalcRankKeyA,0),"")</f>
        <v/>
      </c>
      <c r="N381">
        <f>IFERROR(MATCH($C$5&amp;"|"&amp;RIGHT("000000"&amp;365,6),CalcRankKeyB,0),"")</f>
        <v/>
      </c>
    </row>
    <row r="382">
      <c r="A382" s="26" t="n">
        <v>366</v>
      </c>
      <c r="B382" s="27">
        <f>IF(AND($M382="",$N382=""),"",IF($M382&lt;&gt;"",INDEX(CalcDateA,$M382),INDEX(CalcDateB,$N382)))</f>
        <v/>
      </c>
      <c r="C382" s="27">
        <f>IF($M382&lt;&gt;"","خرید سبد",IF($N382&lt;&gt;"",IF(N(INDEX(CalcDepB,$N382))&gt;0,"دریافت بانکی","پرداخت بانکی"),""))</f>
        <v/>
      </c>
      <c r="D382" s="27">
        <f>IF($M382&lt;&gt;"",IF(INDEX(CalcDocA,$M382)="","—",INDEX(CalcDocA,$M382)),IF($N382&lt;&gt;"",INDEX(CalcBankB,$N382),""))</f>
        <v/>
      </c>
      <c r="E382" s="28">
        <f>IF($N382&lt;&gt;"",IF(INDEX(CalcDepB,$N382)=0,"",INDEX(CalcDepB,$N382)),"")</f>
        <v/>
      </c>
      <c r="F382" s="28">
        <f>IF($M382&lt;&gt;"",IF(INDEX(CalcQtyA,$M382)=0,"",INDEX(CalcQtyA,$M382)),"")</f>
        <v/>
      </c>
      <c r="G382" s="28">
        <f>IF($M382&lt;&gt;"",IF(INDEX(CalcPriceA,$M382)=0,"",INDEX(CalcPriceA,$M382)),"")</f>
        <v/>
      </c>
      <c r="H382" s="28">
        <f>IF($N382&lt;&gt;"",IF(INDEX(CalcWitB,$N382)=0,"",INDEX(CalcWitB,$N382)),"")</f>
        <v/>
      </c>
      <c r="I382" s="29">
        <f>IF($M382&lt;&gt;"",INDEX(CalcAmtA,$M382),"")</f>
        <v/>
      </c>
      <c r="J382" s="29">
        <f>IF($B382="","",IF($J381="",$C$8,$J381)+IF($I382="",0,$I382)+IF($E382="",0,$E382)-IF($H382="",0,$H382))</f>
        <v/>
      </c>
      <c r="K382" s="30">
        <f>IF($M382&lt;&gt;"",IF(INDEX(CalcNoteA,$M382)="","—",INDEX(CalcNoteA,$M382)),IF($N382&lt;&gt;"",IF(INDEX(CalcNoteB,$N382)="","—",INDEX(CalcNoteB,$N382)),""))</f>
        <v/>
      </c>
      <c r="M382">
        <f>IFERROR(MATCH($C$5&amp;"|"&amp;RIGHT("000000"&amp;366,6),CalcRankKeyA,0),"")</f>
        <v/>
      </c>
      <c r="N382">
        <f>IFERROR(MATCH($C$5&amp;"|"&amp;RIGHT("000000"&amp;366,6),CalcRankKeyB,0),"")</f>
        <v/>
      </c>
    </row>
    <row r="383">
      <c r="A383" s="21" t="n">
        <v>367</v>
      </c>
      <c r="B383" s="22">
        <f>IF(AND($M383="",$N383=""),"",IF($M383&lt;&gt;"",INDEX(CalcDateA,$M383),INDEX(CalcDateB,$N383)))</f>
        <v/>
      </c>
      <c r="C383" s="22">
        <f>IF($M383&lt;&gt;"","خرید سبد",IF($N383&lt;&gt;"",IF(N(INDEX(CalcDepB,$N383))&gt;0,"دریافت بانکی","پرداخت بانکی"),""))</f>
        <v/>
      </c>
      <c r="D383" s="22">
        <f>IF($M383&lt;&gt;"",IF(INDEX(CalcDocA,$M383)="","—",INDEX(CalcDocA,$M383)),IF($N383&lt;&gt;"",INDEX(CalcBankB,$N383),""))</f>
        <v/>
      </c>
      <c r="E383" s="23">
        <f>IF($N383&lt;&gt;"",IF(INDEX(CalcDepB,$N383)=0,"",INDEX(CalcDepB,$N383)),"")</f>
        <v/>
      </c>
      <c r="F383" s="23">
        <f>IF($M383&lt;&gt;"",IF(INDEX(CalcQtyA,$M383)=0,"",INDEX(CalcQtyA,$M383)),"")</f>
        <v/>
      </c>
      <c r="G383" s="23">
        <f>IF($M383&lt;&gt;"",IF(INDEX(CalcPriceA,$M383)=0,"",INDEX(CalcPriceA,$M383)),"")</f>
        <v/>
      </c>
      <c r="H383" s="23">
        <f>IF($N383&lt;&gt;"",IF(INDEX(CalcWitB,$N383)=0,"",INDEX(CalcWitB,$N383)),"")</f>
        <v/>
      </c>
      <c r="I383" s="24">
        <f>IF($M383&lt;&gt;"",INDEX(CalcAmtA,$M383),"")</f>
        <v/>
      </c>
      <c r="J383" s="24">
        <f>IF($B383="","",IF($J382="",$C$8,$J382)+IF($I383="",0,$I383)+IF($E383="",0,$E383)-IF($H383="",0,$H383))</f>
        <v/>
      </c>
      <c r="K383" s="25">
        <f>IF($M383&lt;&gt;"",IF(INDEX(CalcNoteA,$M383)="","—",INDEX(CalcNoteA,$M383)),IF($N383&lt;&gt;"",IF(INDEX(CalcNoteB,$N383)="","—",INDEX(CalcNoteB,$N383)),""))</f>
        <v/>
      </c>
      <c r="M383">
        <f>IFERROR(MATCH($C$5&amp;"|"&amp;RIGHT("000000"&amp;367,6),CalcRankKeyA,0),"")</f>
        <v/>
      </c>
      <c r="N383">
        <f>IFERROR(MATCH($C$5&amp;"|"&amp;RIGHT("000000"&amp;367,6),CalcRankKeyB,0),"")</f>
        <v/>
      </c>
    </row>
    <row r="384">
      <c r="A384" s="26" t="n">
        <v>368</v>
      </c>
      <c r="B384" s="27">
        <f>IF(AND($M384="",$N384=""),"",IF($M384&lt;&gt;"",INDEX(CalcDateA,$M384),INDEX(CalcDateB,$N384)))</f>
        <v/>
      </c>
      <c r="C384" s="27">
        <f>IF($M384&lt;&gt;"","خرید سبد",IF($N384&lt;&gt;"",IF(N(INDEX(CalcDepB,$N384))&gt;0,"دریافت بانکی","پرداخت بانکی"),""))</f>
        <v/>
      </c>
      <c r="D384" s="27">
        <f>IF($M384&lt;&gt;"",IF(INDEX(CalcDocA,$M384)="","—",INDEX(CalcDocA,$M384)),IF($N384&lt;&gt;"",INDEX(CalcBankB,$N384),""))</f>
        <v/>
      </c>
      <c r="E384" s="28">
        <f>IF($N384&lt;&gt;"",IF(INDEX(CalcDepB,$N384)=0,"",INDEX(CalcDepB,$N384)),"")</f>
        <v/>
      </c>
      <c r="F384" s="28">
        <f>IF($M384&lt;&gt;"",IF(INDEX(CalcQtyA,$M384)=0,"",INDEX(CalcQtyA,$M384)),"")</f>
        <v/>
      </c>
      <c r="G384" s="28">
        <f>IF($M384&lt;&gt;"",IF(INDEX(CalcPriceA,$M384)=0,"",INDEX(CalcPriceA,$M384)),"")</f>
        <v/>
      </c>
      <c r="H384" s="28">
        <f>IF($N384&lt;&gt;"",IF(INDEX(CalcWitB,$N384)=0,"",INDEX(CalcWitB,$N384)),"")</f>
        <v/>
      </c>
      <c r="I384" s="29">
        <f>IF($M384&lt;&gt;"",INDEX(CalcAmtA,$M384),"")</f>
        <v/>
      </c>
      <c r="J384" s="29">
        <f>IF($B384="","",IF($J383="",$C$8,$J383)+IF($I384="",0,$I384)+IF($E384="",0,$E384)-IF($H384="",0,$H384))</f>
        <v/>
      </c>
      <c r="K384" s="30">
        <f>IF($M384&lt;&gt;"",IF(INDEX(CalcNoteA,$M384)="","—",INDEX(CalcNoteA,$M384)),IF($N384&lt;&gt;"",IF(INDEX(CalcNoteB,$N384)="","—",INDEX(CalcNoteB,$N384)),""))</f>
        <v/>
      </c>
      <c r="M384">
        <f>IFERROR(MATCH($C$5&amp;"|"&amp;RIGHT("000000"&amp;368,6),CalcRankKeyA,0),"")</f>
        <v/>
      </c>
      <c r="N384">
        <f>IFERROR(MATCH($C$5&amp;"|"&amp;RIGHT("000000"&amp;368,6),CalcRankKeyB,0),"")</f>
        <v/>
      </c>
    </row>
    <row r="385">
      <c r="A385" s="21" t="n">
        <v>369</v>
      </c>
      <c r="B385" s="22">
        <f>IF(AND($M385="",$N385=""),"",IF($M385&lt;&gt;"",INDEX(CalcDateA,$M385),INDEX(CalcDateB,$N385)))</f>
        <v/>
      </c>
      <c r="C385" s="22">
        <f>IF($M385&lt;&gt;"","خرید سبد",IF($N385&lt;&gt;"",IF(N(INDEX(CalcDepB,$N385))&gt;0,"دریافت بانکی","پرداخت بانکی"),""))</f>
        <v/>
      </c>
      <c r="D385" s="22">
        <f>IF($M385&lt;&gt;"",IF(INDEX(CalcDocA,$M385)="","—",INDEX(CalcDocA,$M385)),IF($N385&lt;&gt;"",INDEX(CalcBankB,$N385),""))</f>
        <v/>
      </c>
      <c r="E385" s="23">
        <f>IF($N385&lt;&gt;"",IF(INDEX(CalcDepB,$N385)=0,"",INDEX(CalcDepB,$N385)),"")</f>
        <v/>
      </c>
      <c r="F385" s="23">
        <f>IF($M385&lt;&gt;"",IF(INDEX(CalcQtyA,$M385)=0,"",INDEX(CalcQtyA,$M385)),"")</f>
        <v/>
      </c>
      <c r="G385" s="23">
        <f>IF($M385&lt;&gt;"",IF(INDEX(CalcPriceA,$M385)=0,"",INDEX(CalcPriceA,$M385)),"")</f>
        <v/>
      </c>
      <c r="H385" s="23">
        <f>IF($N385&lt;&gt;"",IF(INDEX(CalcWitB,$N385)=0,"",INDEX(CalcWitB,$N385)),"")</f>
        <v/>
      </c>
      <c r="I385" s="24">
        <f>IF($M385&lt;&gt;"",INDEX(CalcAmtA,$M385),"")</f>
        <v/>
      </c>
      <c r="J385" s="24">
        <f>IF($B385="","",IF($J384="",$C$8,$J384)+IF($I385="",0,$I385)+IF($E385="",0,$E385)-IF($H385="",0,$H385))</f>
        <v/>
      </c>
      <c r="K385" s="25">
        <f>IF($M385&lt;&gt;"",IF(INDEX(CalcNoteA,$M385)="","—",INDEX(CalcNoteA,$M385)),IF($N385&lt;&gt;"",IF(INDEX(CalcNoteB,$N385)="","—",INDEX(CalcNoteB,$N385)),""))</f>
        <v/>
      </c>
      <c r="M385">
        <f>IFERROR(MATCH($C$5&amp;"|"&amp;RIGHT("000000"&amp;369,6),CalcRankKeyA,0),"")</f>
        <v/>
      </c>
      <c r="N385">
        <f>IFERROR(MATCH($C$5&amp;"|"&amp;RIGHT("000000"&amp;369,6),CalcRankKeyB,0),"")</f>
        <v/>
      </c>
    </row>
    <row r="386">
      <c r="A386" s="26" t="n">
        <v>370</v>
      </c>
      <c r="B386" s="27">
        <f>IF(AND($M386="",$N386=""),"",IF($M386&lt;&gt;"",INDEX(CalcDateA,$M386),INDEX(CalcDateB,$N386)))</f>
        <v/>
      </c>
      <c r="C386" s="27">
        <f>IF($M386&lt;&gt;"","خرید سبد",IF($N386&lt;&gt;"",IF(N(INDEX(CalcDepB,$N386))&gt;0,"دریافت بانکی","پرداخت بانکی"),""))</f>
        <v/>
      </c>
      <c r="D386" s="27">
        <f>IF($M386&lt;&gt;"",IF(INDEX(CalcDocA,$M386)="","—",INDEX(CalcDocA,$M386)),IF($N386&lt;&gt;"",INDEX(CalcBankB,$N386),""))</f>
        <v/>
      </c>
      <c r="E386" s="28">
        <f>IF($N386&lt;&gt;"",IF(INDEX(CalcDepB,$N386)=0,"",INDEX(CalcDepB,$N386)),"")</f>
        <v/>
      </c>
      <c r="F386" s="28">
        <f>IF($M386&lt;&gt;"",IF(INDEX(CalcQtyA,$M386)=0,"",INDEX(CalcQtyA,$M386)),"")</f>
        <v/>
      </c>
      <c r="G386" s="28">
        <f>IF($M386&lt;&gt;"",IF(INDEX(CalcPriceA,$M386)=0,"",INDEX(CalcPriceA,$M386)),"")</f>
        <v/>
      </c>
      <c r="H386" s="28">
        <f>IF($N386&lt;&gt;"",IF(INDEX(CalcWitB,$N386)=0,"",INDEX(CalcWitB,$N386)),"")</f>
        <v/>
      </c>
      <c r="I386" s="29">
        <f>IF($M386&lt;&gt;"",INDEX(CalcAmtA,$M386),"")</f>
        <v/>
      </c>
      <c r="J386" s="29">
        <f>IF($B386="","",IF($J385="",$C$8,$J385)+IF($I386="",0,$I386)+IF($E386="",0,$E386)-IF($H386="",0,$H386))</f>
        <v/>
      </c>
      <c r="K386" s="30">
        <f>IF($M386&lt;&gt;"",IF(INDEX(CalcNoteA,$M386)="","—",INDEX(CalcNoteA,$M386)),IF($N386&lt;&gt;"",IF(INDEX(CalcNoteB,$N386)="","—",INDEX(CalcNoteB,$N386)),""))</f>
        <v/>
      </c>
      <c r="M386">
        <f>IFERROR(MATCH($C$5&amp;"|"&amp;RIGHT("000000"&amp;370,6),CalcRankKeyA,0),"")</f>
        <v/>
      </c>
      <c r="N386">
        <f>IFERROR(MATCH($C$5&amp;"|"&amp;RIGHT("000000"&amp;370,6),CalcRankKeyB,0),"")</f>
        <v/>
      </c>
    </row>
    <row r="387">
      <c r="A387" s="21" t="n">
        <v>371</v>
      </c>
      <c r="B387" s="22">
        <f>IF(AND($M387="",$N387=""),"",IF($M387&lt;&gt;"",INDEX(CalcDateA,$M387),INDEX(CalcDateB,$N387)))</f>
        <v/>
      </c>
      <c r="C387" s="22">
        <f>IF($M387&lt;&gt;"","خرید سبد",IF($N387&lt;&gt;"",IF(N(INDEX(CalcDepB,$N387))&gt;0,"دریافت بانکی","پرداخت بانکی"),""))</f>
        <v/>
      </c>
      <c r="D387" s="22">
        <f>IF($M387&lt;&gt;"",IF(INDEX(CalcDocA,$M387)="","—",INDEX(CalcDocA,$M387)),IF($N387&lt;&gt;"",INDEX(CalcBankB,$N387),""))</f>
        <v/>
      </c>
      <c r="E387" s="23">
        <f>IF($N387&lt;&gt;"",IF(INDEX(CalcDepB,$N387)=0,"",INDEX(CalcDepB,$N387)),"")</f>
        <v/>
      </c>
      <c r="F387" s="23">
        <f>IF($M387&lt;&gt;"",IF(INDEX(CalcQtyA,$M387)=0,"",INDEX(CalcQtyA,$M387)),"")</f>
        <v/>
      </c>
      <c r="G387" s="23">
        <f>IF($M387&lt;&gt;"",IF(INDEX(CalcPriceA,$M387)=0,"",INDEX(CalcPriceA,$M387)),"")</f>
        <v/>
      </c>
      <c r="H387" s="23">
        <f>IF($N387&lt;&gt;"",IF(INDEX(CalcWitB,$N387)=0,"",INDEX(CalcWitB,$N387)),"")</f>
        <v/>
      </c>
      <c r="I387" s="24">
        <f>IF($M387&lt;&gt;"",INDEX(CalcAmtA,$M387),"")</f>
        <v/>
      </c>
      <c r="J387" s="24">
        <f>IF($B387="","",IF($J386="",$C$8,$J386)+IF($I387="",0,$I387)+IF($E387="",0,$E387)-IF($H387="",0,$H387))</f>
        <v/>
      </c>
      <c r="K387" s="25">
        <f>IF($M387&lt;&gt;"",IF(INDEX(CalcNoteA,$M387)="","—",INDEX(CalcNoteA,$M387)),IF($N387&lt;&gt;"",IF(INDEX(CalcNoteB,$N387)="","—",INDEX(CalcNoteB,$N387)),""))</f>
        <v/>
      </c>
      <c r="M387">
        <f>IFERROR(MATCH($C$5&amp;"|"&amp;RIGHT("000000"&amp;371,6),CalcRankKeyA,0),"")</f>
        <v/>
      </c>
      <c r="N387">
        <f>IFERROR(MATCH($C$5&amp;"|"&amp;RIGHT("000000"&amp;371,6),CalcRankKeyB,0),"")</f>
        <v/>
      </c>
    </row>
    <row r="388">
      <c r="A388" s="26" t="n">
        <v>372</v>
      </c>
      <c r="B388" s="27">
        <f>IF(AND($M388="",$N388=""),"",IF($M388&lt;&gt;"",INDEX(CalcDateA,$M388),INDEX(CalcDateB,$N388)))</f>
        <v/>
      </c>
      <c r="C388" s="27">
        <f>IF($M388&lt;&gt;"","خرید سبد",IF($N388&lt;&gt;"",IF(N(INDEX(CalcDepB,$N388))&gt;0,"دریافت بانکی","پرداخت بانکی"),""))</f>
        <v/>
      </c>
      <c r="D388" s="27">
        <f>IF($M388&lt;&gt;"",IF(INDEX(CalcDocA,$M388)="","—",INDEX(CalcDocA,$M388)),IF($N388&lt;&gt;"",INDEX(CalcBankB,$N388),""))</f>
        <v/>
      </c>
      <c r="E388" s="28">
        <f>IF($N388&lt;&gt;"",IF(INDEX(CalcDepB,$N388)=0,"",INDEX(CalcDepB,$N388)),"")</f>
        <v/>
      </c>
      <c r="F388" s="28">
        <f>IF($M388&lt;&gt;"",IF(INDEX(CalcQtyA,$M388)=0,"",INDEX(CalcQtyA,$M388)),"")</f>
        <v/>
      </c>
      <c r="G388" s="28">
        <f>IF($M388&lt;&gt;"",IF(INDEX(CalcPriceA,$M388)=0,"",INDEX(CalcPriceA,$M388)),"")</f>
        <v/>
      </c>
      <c r="H388" s="28">
        <f>IF($N388&lt;&gt;"",IF(INDEX(CalcWitB,$N388)=0,"",INDEX(CalcWitB,$N388)),"")</f>
        <v/>
      </c>
      <c r="I388" s="29">
        <f>IF($M388&lt;&gt;"",INDEX(CalcAmtA,$M388),"")</f>
        <v/>
      </c>
      <c r="J388" s="29">
        <f>IF($B388="","",IF($J387="",$C$8,$J387)+IF($I388="",0,$I388)+IF($E388="",0,$E388)-IF($H388="",0,$H388))</f>
        <v/>
      </c>
      <c r="K388" s="30">
        <f>IF($M388&lt;&gt;"",IF(INDEX(CalcNoteA,$M388)="","—",INDEX(CalcNoteA,$M388)),IF($N388&lt;&gt;"",IF(INDEX(CalcNoteB,$N388)="","—",INDEX(CalcNoteB,$N388)),""))</f>
        <v/>
      </c>
      <c r="M388">
        <f>IFERROR(MATCH($C$5&amp;"|"&amp;RIGHT("000000"&amp;372,6),CalcRankKeyA,0),"")</f>
        <v/>
      </c>
      <c r="N388">
        <f>IFERROR(MATCH($C$5&amp;"|"&amp;RIGHT("000000"&amp;372,6),CalcRankKeyB,0),"")</f>
        <v/>
      </c>
    </row>
    <row r="389">
      <c r="A389" s="21" t="n">
        <v>373</v>
      </c>
      <c r="B389" s="22">
        <f>IF(AND($M389="",$N389=""),"",IF($M389&lt;&gt;"",INDEX(CalcDateA,$M389),INDEX(CalcDateB,$N389)))</f>
        <v/>
      </c>
      <c r="C389" s="22">
        <f>IF($M389&lt;&gt;"","خرید سبد",IF($N389&lt;&gt;"",IF(N(INDEX(CalcDepB,$N389))&gt;0,"دریافت بانکی","پرداخت بانکی"),""))</f>
        <v/>
      </c>
      <c r="D389" s="22">
        <f>IF($M389&lt;&gt;"",IF(INDEX(CalcDocA,$M389)="","—",INDEX(CalcDocA,$M389)),IF($N389&lt;&gt;"",INDEX(CalcBankB,$N389),""))</f>
        <v/>
      </c>
      <c r="E389" s="23">
        <f>IF($N389&lt;&gt;"",IF(INDEX(CalcDepB,$N389)=0,"",INDEX(CalcDepB,$N389)),"")</f>
        <v/>
      </c>
      <c r="F389" s="23">
        <f>IF($M389&lt;&gt;"",IF(INDEX(CalcQtyA,$M389)=0,"",INDEX(CalcQtyA,$M389)),"")</f>
        <v/>
      </c>
      <c r="G389" s="23">
        <f>IF($M389&lt;&gt;"",IF(INDEX(CalcPriceA,$M389)=0,"",INDEX(CalcPriceA,$M389)),"")</f>
        <v/>
      </c>
      <c r="H389" s="23">
        <f>IF($N389&lt;&gt;"",IF(INDEX(CalcWitB,$N389)=0,"",INDEX(CalcWitB,$N389)),"")</f>
        <v/>
      </c>
      <c r="I389" s="24">
        <f>IF($M389&lt;&gt;"",INDEX(CalcAmtA,$M389),"")</f>
        <v/>
      </c>
      <c r="J389" s="24">
        <f>IF($B389="","",IF($J388="",$C$8,$J388)+IF($I389="",0,$I389)+IF($E389="",0,$E389)-IF($H389="",0,$H389))</f>
        <v/>
      </c>
      <c r="K389" s="25">
        <f>IF($M389&lt;&gt;"",IF(INDEX(CalcNoteA,$M389)="","—",INDEX(CalcNoteA,$M389)),IF($N389&lt;&gt;"",IF(INDEX(CalcNoteB,$N389)="","—",INDEX(CalcNoteB,$N389)),""))</f>
        <v/>
      </c>
      <c r="M389">
        <f>IFERROR(MATCH($C$5&amp;"|"&amp;RIGHT("000000"&amp;373,6),CalcRankKeyA,0),"")</f>
        <v/>
      </c>
      <c r="N389">
        <f>IFERROR(MATCH($C$5&amp;"|"&amp;RIGHT("000000"&amp;373,6),CalcRankKeyB,0),"")</f>
        <v/>
      </c>
    </row>
    <row r="390">
      <c r="A390" s="26" t="n">
        <v>374</v>
      </c>
      <c r="B390" s="27">
        <f>IF(AND($M390="",$N390=""),"",IF($M390&lt;&gt;"",INDEX(CalcDateA,$M390),INDEX(CalcDateB,$N390)))</f>
        <v/>
      </c>
      <c r="C390" s="27">
        <f>IF($M390&lt;&gt;"","خرید سبد",IF($N390&lt;&gt;"",IF(N(INDEX(CalcDepB,$N390))&gt;0,"دریافت بانکی","پرداخت بانکی"),""))</f>
        <v/>
      </c>
      <c r="D390" s="27">
        <f>IF($M390&lt;&gt;"",IF(INDEX(CalcDocA,$M390)="","—",INDEX(CalcDocA,$M390)),IF($N390&lt;&gt;"",INDEX(CalcBankB,$N390),""))</f>
        <v/>
      </c>
      <c r="E390" s="28">
        <f>IF($N390&lt;&gt;"",IF(INDEX(CalcDepB,$N390)=0,"",INDEX(CalcDepB,$N390)),"")</f>
        <v/>
      </c>
      <c r="F390" s="28">
        <f>IF($M390&lt;&gt;"",IF(INDEX(CalcQtyA,$M390)=0,"",INDEX(CalcQtyA,$M390)),"")</f>
        <v/>
      </c>
      <c r="G390" s="28">
        <f>IF($M390&lt;&gt;"",IF(INDEX(CalcPriceA,$M390)=0,"",INDEX(CalcPriceA,$M390)),"")</f>
        <v/>
      </c>
      <c r="H390" s="28">
        <f>IF($N390&lt;&gt;"",IF(INDEX(CalcWitB,$N390)=0,"",INDEX(CalcWitB,$N390)),"")</f>
        <v/>
      </c>
      <c r="I390" s="29">
        <f>IF($M390&lt;&gt;"",INDEX(CalcAmtA,$M390),"")</f>
        <v/>
      </c>
      <c r="J390" s="29">
        <f>IF($B390="","",IF($J389="",$C$8,$J389)+IF($I390="",0,$I390)+IF($E390="",0,$E390)-IF($H390="",0,$H390))</f>
        <v/>
      </c>
      <c r="K390" s="30">
        <f>IF($M390&lt;&gt;"",IF(INDEX(CalcNoteA,$M390)="","—",INDEX(CalcNoteA,$M390)),IF($N390&lt;&gt;"",IF(INDEX(CalcNoteB,$N390)="","—",INDEX(CalcNoteB,$N390)),""))</f>
        <v/>
      </c>
      <c r="M390">
        <f>IFERROR(MATCH($C$5&amp;"|"&amp;RIGHT("000000"&amp;374,6),CalcRankKeyA,0),"")</f>
        <v/>
      </c>
      <c r="N390">
        <f>IFERROR(MATCH($C$5&amp;"|"&amp;RIGHT("000000"&amp;374,6),CalcRankKeyB,0),"")</f>
        <v/>
      </c>
    </row>
    <row r="391">
      <c r="A391" s="21" t="n">
        <v>375</v>
      </c>
      <c r="B391" s="22">
        <f>IF(AND($M391="",$N391=""),"",IF($M391&lt;&gt;"",INDEX(CalcDateA,$M391),INDEX(CalcDateB,$N391)))</f>
        <v/>
      </c>
      <c r="C391" s="22">
        <f>IF($M391&lt;&gt;"","خرید سبد",IF($N391&lt;&gt;"",IF(N(INDEX(CalcDepB,$N391))&gt;0,"دریافت بانکی","پرداخت بانکی"),""))</f>
        <v/>
      </c>
      <c r="D391" s="22">
        <f>IF($M391&lt;&gt;"",IF(INDEX(CalcDocA,$M391)="","—",INDEX(CalcDocA,$M391)),IF($N391&lt;&gt;"",INDEX(CalcBankB,$N391),""))</f>
        <v/>
      </c>
      <c r="E391" s="23">
        <f>IF($N391&lt;&gt;"",IF(INDEX(CalcDepB,$N391)=0,"",INDEX(CalcDepB,$N391)),"")</f>
        <v/>
      </c>
      <c r="F391" s="23">
        <f>IF($M391&lt;&gt;"",IF(INDEX(CalcQtyA,$M391)=0,"",INDEX(CalcQtyA,$M391)),"")</f>
        <v/>
      </c>
      <c r="G391" s="23">
        <f>IF($M391&lt;&gt;"",IF(INDEX(CalcPriceA,$M391)=0,"",INDEX(CalcPriceA,$M391)),"")</f>
        <v/>
      </c>
      <c r="H391" s="23">
        <f>IF($N391&lt;&gt;"",IF(INDEX(CalcWitB,$N391)=0,"",INDEX(CalcWitB,$N391)),"")</f>
        <v/>
      </c>
      <c r="I391" s="24">
        <f>IF($M391&lt;&gt;"",INDEX(CalcAmtA,$M391),"")</f>
        <v/>
      </c>
      <c r="J391" s="24">
        <f>IF($B391="","",IF($J390="",$C$8,$J390)+IF($I391="",0,$I391)+IF($E391="",0,$E391)-IF($H391="",0,$H391))</f>
        <v/>
      </c>
      <c r="K391" s="25">
        <f>IF($M391&lt;&gt;"",IF(INDEX(CalcNoteA,$M391)="","—",INDEX(CalcNoteA,$M391)),IF($N391&lt;&gt;"",IF(INDEX(CalcNoteB,$N391)="","—",INDEX(CalcNoteB,$N391)),""))</f>
        <v/>
      </c>
      <c r="M391">
        <f>IFERROR(MATCH($C$5&amp;"|"&amp;RIGHT("000000"&amp;375,6),CalcRankKeyA,0),"")</f>
        <v/>
      </c>
      <c r="N391">
        <f>IFERROR(MATCH($C$5&amp;"|"&amp;RIGHT("000000"&amp;375,6),CalcRankKeyB,0),"")</f>
        <v/>
      </c>
    </row>
    <row r="392">
      <c r="A392" s="26" t="n">
        <v>376</v>
      </c>
      <c r="B392" s="27">
        <f>IF(AND($M392="",$N392=""),"",IF($M392&lt;&gt;"",INDEX(CalcDateA,$M392),INDEX(CalcDateB,$N392)))</f>
        <v/>
      </c>
      <c r="C392" s="27">
        <f>IF($M392&lt;&gt;"","خرید سبد",IF($N392&lt;&gt;"",IF(N(INDEX(CalcDepB,$N392))&gt;0,"دریافت بانکی","پرداخت بانکی"),""))</f>
        <v/>
      </c>
      <c r="D392" s="27">
        <f>IF($M392&lt;&gt;"",IF(INDEX(CalcDocA,$M392)="","—",INDEX(CalcDocA,$M392)),IF($N392&lt;&gt;"",INDEX(CalcBankB,$N392),""))</f>
        <v/>
      </c>
      <c r="E392" s="28">
        <f>IF($N392&lt;&gt;"",IF(INDEX(CalcDepB,$N392)=0,"",INDEX(CalcDepB,$N392)),"")</f>
        <v/>
      </c>
      <c r="F392" s="28">
        <f>IF($M392&lt;&gt;"",IF(INDEX(CalcQtyA,$M392)=0,"",INDEX(CalcQtyA,$M392)),"")</f>
        <v/>
      </c>
      <c r="G392" s="28">
        <f>IF($M392&lt;&gt;"",IF(INDEX(CalcPriceA,$M392)=0,"",INDEX(CalcPriceA,$M392)),"")</f>
        <v/>
      </c>
      <c r="H392" s="28">
        <f>IF($N392&lt;&gt;"",IF(INDEX(CalcWitB,$N392)=0,"",INDEX(CalcWitB,$N392)),"")</f>
        <v/>
      </c>
      <c r="I392" s="29">
        <f>IF($M392&lt;&gt;"",INDEX(CalcAmtA,$M392),"")</f>
        <v/>
      </c>
      <c r="J392" s="29">
        <f>IF($B392="","",IF($J391="",$C$8,$J391)+IF($I392="",0,$I392)+IF($E392="",0,$E392)-IF($H392="",0,$H392))</f>
        <v/>
      </c>
      <c r="K392" s="30">
        <f>IF($M392&lt;&gt;"",IF(INDEX(CalcNoteA,$M392)="","—",INDEX(CalcNoteA,$M392)),IF($N392&lt;&gt;"",IF(INDEX(CalcNoteB,$N392)="","—",INDEX(CalcNoteB,$N392)),""))</f>
        <v/>
      </c>
      <c r="M392">
        <f>IFERROR(MATCH($C$5&amp;"|"&amp;RIGHT("000000"&amp;376,6),CalcRankKeyA,0),"")</f>
        <v/>
      </c>
      <c r="N392">
        <f>IFERROR(MATCH($C$5&amp;"|"&amp;RIGHT("000000"&amp;376,6),CalcRankKeyB,0),"")</f>
        <v/>
      </c>
    </row>
    <row r="393">
      <c r="A393" s="21" t="n">
        <v>377</v>
      </c>
      <c r="B393" s="22">
        <f>IF(AND($M393="",$N393=""),"",IF($M393&lt;&gt;"",INDEX(CalcDateA,$M393),INDEX(CalcDateB,$N393)))</f>
        <v/>
      </c>
      <c r="C393" s="22">
        <f>IF($M393&lt;&gt;"","خرید سبد",IF($N393&lt;&gt;"",IF(N(INDEX(CalcDepB,$N393))&gt;0,"دریافت بانکی","پرداخت بانکی"),""))</f>
        <v/>
      </c>
      <c r="D393" s="22">
        <f>IF($M393&lt;&gt;"",IF(INDEX(CalcDocA,$M393)="","—",INDEX(CalcDocA,$M393)),IF($N393&lt;&gt;"",INDEX(CalcBankB,$N393),""))</f>
        <v/>
      </c>
      <c r="E393" s="23">
        <f>IF($N393&lt;&gt;"",IF(INDEX(CalcDepB,$N393)=0,"",INDEX(CalcDepB,$N393)),"")</f>
        <v/>
      </c>
      <c r="F393" s="23">
        <f>IF($M393&lt;&gt;"",IF(INDEX(CalcQtyA,$M393)=0,"",INDEX(CalcQtyA,$M393)),"")</f>
        <v/>
      </c>
      <c r="G393" s="23">
        <f>IF($M393&lt;&gt;"",IF(INDEX(CalcPriceA,$M393)=0,"",INDEX(CalcPriceA,$M393)),"")</f>
        <v/>
      </c>
      <c r="H393" s="23">
        <f>IF($N393&lt;&gt;"",IF(INDEX(CalcWitB,$N393)=0,"",INDEX(CalcWitB,$N393)),"")</f>
        <v/>
      </c>
      <c r="I393" s="24">
        <f>IF($M393&lt;&gt;"",INDEX(CalcAmtA,$M393),"")</f>
        <v/>
      </c>
      <c r="J393" s="24">
        <f>IF($B393="","",IF($J392="",$C$8,$J392)+IF($I393="",0,$I393)+IF($E393="",0,$E393)-IF($H393="",0,$H393))</f>
        <v/>
      </c>
      <c r="K393" s="25">
        <f>IF($M393&lt;&gt;"",IF(INDEX(CalcNoteA,$M393)="","—",INDEX(CalcNoteA,$M393)),IF($N393&lt;&gt;"",IF(INDEX(CalcNoteB,$N393)="","—",INDEX(CalcNoteB,$N393)),""))</f>
        <v/>
      </c>
      <c r="M393">
        <f>IFERROR(MATCH($C$5&amp;"|"&amp;RIGHT("000000"&amp;377,6),CalcRankKeyA,0),"")</f>
        <v/>
      </c>
      <c r="N393">
        <f>IFERROR(MATCH($C$5&amp;"|"&amp;RIGHT("000000"&amp;377,6),CalcRankKeyB,0),"")</f>
        <v/>
      </c>
    </row>
    <row r="394">
      <c r="A394" s="26" t="n">
        <v>378</v>
      </c>
      <c r="B394" s="27">
        <f>IF(AND($M394="",$N394=""),"",IF($M394&lt;&gt;"",INDEX(CalcDateA,$M394),INDEX(CalcDateB,$N394)))</f>
        <v/>
      </c>
      <c r="C394" s="27">
        <f>IF($M394&lt;&gt;"","خرید سبد",IF($N394&lt;&gt;"",IF(N(INDEX(CalcDepB,$N394))&gt;0,"دریافت بانکی","پرداخت بانکی"),""))</f>
        <v/>
      </c>
      <c r="D394" s="27">
        <f>IF($M394&lt;&gt;"",IF(INDEX(CalcDocA,$M394)="","—",INDEX(CalcDocA,$M394)),IF($N394&lt;&gt;"",INDEX(CalcBankB,$N394),""))</f>
        <v/>
      </c>
      <c r="E394" s="28">
        <f>IF($N394&lt;&gt;"",IF(INDEX(CalcDepB,$N394)=0,"",INDEX(CalcDepB,$N394)),"")</f>
        <v/>
      </c>
      <c r="F394" s="28">
        <f>IF($M394&lt;&gt;"",IF(INDEX(CalcQtyA,$M394)=0,"",INDEX(CalcQtyA,$M394)),"")</f>
        <v/>
      </c>
      <c r="G394" s="28">
        <f>IF($M394&lt;&gt;"",IF(INDEX(CalcPriceA,$M394)=0,"",INDEX(CalcPriceA,$M394)),"")</f>
        <v/>
      </c>
      <c r="H394" s="28">
        <f>IF($N394&lt;&gt;"",IF(INDEX(CalcWitB,$N394)=0,"",INDEX(CalcWitB,$N394)),"")</f>
        <v/>
      </c>
      <c r="I394" s="29">
        <f>IF($M394&lt;&gt;"",INDEX(CalcAmtA,$M394),"")</f>
        <v/>
      </c>
      <c r="J394" s="29">
        <f>IF($B394="","",IF($J393="",$C$8,$J393)+IF($I394="",0,$I394)+IF($E394="",0,$E394)-IF($H394="",0,$H394))</f>
        <v/>
      </c>
      <c r="K394" s="30">
        <f>IF($M394&lt;&gt;"",IF(INDEX(CalcNoteA,$M394)="","—",INDEX(CalcNoteA,$M394)),IF($N394&lt;&gt;"",IF(INDEX(CalcNoteB,$N394)="","—",INDEX(CalcNoteB,$N394)),""))</f>
        <v/>
      </c>
      <c r="M394">
        <f>IFERROR(MATCH($C$5&amp;"|"&amp;RIGHT("000000"&amp;378,6),CalcRankKeyA,0),"")</f>
        <v/>
      </c>
      <c r="N394">
        <f>IFERROR(MATCH($C$5&amp;"|"&amp;RIGHT("000000"&amp;378,6),CalcRankKeyB,0),"")</f>
        <v/>
      </c>
    </row>
    <row r="395">
      <c r="A395" s="21" t="n">
        <v>379</v>
      </c>
      <c r="B395" s="22">
        <f>IF(AND($M395="",$N395=""),"",IF($M395&lt;&gt;"",INDEX(CalcDateA,$M395),INDEX(CalcDateB,$N395)))</f>
        <v/>
      </c>
      <c r="C395" s="22">
        <f>IF($M395&lt;&gt;"","خرید سبد",IF($N395&lt;&gt;"",IF(N(INDEX(CalcDepB,$N395))&gt;0,"دریافت بانکی","پرداخت بانکی"),""))</f>
        <v/>
      </c>
      <c r="D395" s="22">
        <f>IF($M395&lt;&gt;"",IF(INDEX(CalcDocA,$M395)="","—",INDEX(CalcDocA,$M395)),IF($N395&lt;&gt;"",INDEX(CalcBankB,$N395),""))</f>
        <v/>
      </c>
      <c r="E395" s="23">
        <f>IF($N395&lt;&gt;"",IF(INDEX(CalcDepB,$N395)=0,"",INDEX(CalcDepB,$N395)),"")</f>
        <v/>
      </c>
      <c r="F395" s="23">
        <f>IF($M395&lt;&gt;"",IF(INDEX(CalcQtyA,$M395)=0,"",INDEX(CalcQtyA,$M395)),"")</f>
        <v/>
      </c>
      <c r="G395" s="23">
        <f>IF($M395&lt;&gt;"",IF(INDEX(CalcPriceA,$M395)=0,"",INDEX(CalcPriceA,$M395)),"")</f>
        <v/>
      </c>
      <c r="H395" s="23">
        <f>IF($N395&lt;&gt;"",IF(INDEX(CalcWitB,$N395)=0,"",INDEX(CalcWitB,$N395)),"")</f>
        <v/>
      </c>
      <c r="I395" s="24">
        <f>IF($M395&lt;&gt;"",INDEX(CalcAmtA,$M395),"")</f>
        <v/>
      </c>
      <c r="J395" s="24">
        <f>IF($B395="","",IF($J394="",$C$8,$J394)+IF($I395="",0,$I395)+IF($E395="",0,$E395)-IF($H395="",0,$H395))</f>
        <v/>
      </c>
      <c r="K395" s="25">
        <f>IF($M395&lt;&gt;"",IF(INDEX(CalcNoteA,$M395)="","—",INDEX(CalcNoteA,$M395)),IF($N395&lt;&gt;"",IF(INDEX(CalcNoteB,$N395)="","—",INDEX(CalcNoteB,$N395)),""))</f>
        <v/>
      </c>
      <c r="M395">
        <f>IFERROR(MATCH($C$5&amp;"|"&amp;RIGHT("000000"&amp;379,6),CalcRankKeyA,0),"")</f>
        <v/>
      </c>
      <c r="N395">
        <f>IFERROR(MATCH($C$5&amp;"|"&amp;RIGHT("000000"&amp;379,6),CalcRankKeyB,0),"")</f>
        <v/>
      </c>
    </row>
    <row r="396">
      <c r="A396" s="26" t="n">
        <v>380</v>
      </c>
      <c r="B396" s="27">
        <f>IF(AND($M396="",$N396=""),"",IF($M396&lt;&gt;"",INDEX(CalcDateA,$M396),INDEX(CalcDateB,$N396)))</f>
        <v/>
      </c>
      <c r="C396" s="27">
        <f>IF($M396&lt;&gt;"","خرید سبد",IF($N396&lt;&gt;"",IF(N(INDEX(CalcDepB,$N396))&gt;0,"دریافت بانکی","پرداخت بانکی"),""))</f>
        <v/>
      </c>
      <c r="D396" s="27">
        <f>IF($M396&lt;&gt;"",IF(INDEX(CalcDocA,$M396)="","—",INDEX(CalcDocA,$M396)),IF($N396&lt;&gt;"",INDEX(CalcBankB,$N396),""))</f>
        <v/>
      </c>
      <c r="E396" s="28">
        <f>IF($N396&lt;&gt;"",IF(INDEX(CalcDepB,$N396)=0,"",INDEX(CalcDepB,$N396)),"")</f>
        <v/>
      </c>
      <c r="F396" s="28">
        <f>IF($M396&lt;&gt;"",IF(INDEX(CalcQtyA,$M396)=0,"",INDEX(CalcQtyA,$M396)),"")</f>
        <v/>
      </c>
      <c r="G396" s="28">
        <f>IF($M396&lt;&gt;"",IF(INDEX(CalcPriceA,$M396)=0,"",INDEX(CalcPriceA,$M396)),"")</f>
        <v/>
      </c>
      <c r="H396" s="28">
        <f>IF($N396&lt;&gt;"",IF(INDEX(CalcWitB,$N396)=0,"",INDEX(CalcWitB,$N396)),"")</f>
        <v/>
      </c>
      <c r="I396" s="29">
        <f>IF($M396&lt;&gt;"",INDEX(CalcAmtA,$M396),"")</f>
        <v/>
      </c>
      <c r="J396" s="29">
        <f>IF($B396="","",IF($J395="",$C$8,$J395)+IF($I396="",0,$I396)+IF($E396="",0,$E396)-IF($H396="",0,$H396))</f>
        <v/>
      </c>
      <c r="K396" s="30">
        <f>IF($M396&lt;&gt;"",IF(INDEX(CalcNoteA,$M396)="","—",INDEX(CalcNoteA,$M396)),IF($N396&lt;&gt;"",IF(INDEX(CalcNoteB,$N396)="","—",INDEX(CalcNoteB,$N396)),""))</f>
        <v/>
      </c>
      <c r="M396">
        <f>IFERROR(MATCH($C$5&amp;"|"&amp;RIGHT("000000"&amp;380,6),CalcRankKeyA,0),"")</f>
        <v/>
      </c>
      <c r="N396">
        <f>IFERROR(MATCH($C$5&amp;"|"&amp;RIGHT("000000"&amp;380,6),CalcRankKeyB,0),"")</f>
        <v/>
      </c>
    </row>
    <row r="397">
      <c r="A397" s="21" t="n">
        <v>381</v>
      </c>
      <c r="B397" s="22">
        <f>IF(AND($M397="",$N397=""),"",IF($M397&lt;&gt;"",INDEX(CalcDateA,$M397),INDEX(CalcDateB,$N397)))</f>
        <v/>
      </c>
      <c r="C397" s="22">
        <f>IF($M397&lt;&gt;"","خرید سبد",IF($N397&lt;&gt;"",IF(N(INDEX(CalcDepB,$N397))&gt;0,"دریافت بانکی","پرداخت بانکی"),""))</f>
        <v/>
      </c>
      <c r="D397" s="22">
        <f>IF($M397&lt;&gt;"",IF(INDEX(CalcDocA,$M397)="","—",INDEX(CalcDocA,$M397)),IF($N397&lt;&gt;"",INDEX(CalcBankB,$N397),""))</f>
        <v/>
      </c>
      <c r="E397" s="23">
        <f>IF($N397&lt;&gt;"",IF(INDEX(CalcDepB,$N397)=0,"",INDEX(CalcDepB,$N397)),"")</f>
        <v/>
      </c>
      <c r="F397" s="23">
        <f>IF($M397&lt;&gt;"",IF(INDEX(CalcQtyA,$M397)=0,"",INDEX(CalcQtyA,$M397)),"")</f>
        <v/>
      </c>
      <c r="G397" s="23">
        <f>IF($M397&lt;&gt;"",IF(INDEX(CalcPriceA,$M397)=0,"",INDEX(CalcPriceA,$M397)),"")</f>
        <v/>
      </c>
      <c r="H397" s="23">
        <f>IF($N397&lt;&gt;"",IF(INDEX(CalcWitB,$N397)=0,"",INDEX(CalcWitB,$N397)),"")</f>
        <v/>
      </c>
      <c r="I397" s="24">
        <f>IF($M397&lt;&gt;"",INDEX(CalcAmtA,$M397),"")</f>
        <v/>
      </c>
      <c r="J397" s="24">
        <f>IF($B397="","",IF($J396="",$C$8,$J396)+IF($I397="",0,$I397)+IF($E397="",0,$E397)-IF($H397="",0,$H397))</f>
        <v/>
      </c>
      <c r="K397" s="25">
        <f>IF($M397&lt;&gt;"",IF(INDEX(CalcNoteA,$M397)="","—",INDEX(CalcNoteA,$M397)),IF($N397&lt;&gt;"",IF(INDEX(CalcNoteB,$N397)="","—",INDEX(CalcNoteB,$N397)),""))</f>
        <v/>
      </c>
      <c r="M397">
        <f>IFERROR(MATCH($C$5&amp;"|"&amp;RIGHT("000000"&amp;381,6),CalcRankKeyA,0),"")</f>
        <v/>
      </c>
      <c r="N397">
        <f>IFERROR(MATCH($C$5&amp;"|"&amp;RIGHT("000000"&amp;381,6),CalcRankKeyB,0),"")</f>
        <v/>
      </c>
    </row>
    <row r="398">
      <c r="A398" s="26" t="n">
        <v>382</v>
      </c>
      <c r="B398" s="27">
        <f>IF(AND($M398="",$N398=""),"",IF($M398&lt;&gt;"",INDEX(CalcDateA,$M398),INDEX(CalcDateB,$N398)))</f>
        <v/>
      </c>
      <c r="C398" s="27">
        <f>IF($M398&lt;&gt;"","خرید سبد",IF($N398&lt;&gt;"",IF(N(INDEX(CalcDepB,$N398))&gt;0,"دریافت بانکی","پرداخت بانکی"),""))</f>
        <v/>
      </c>
      <c r="D398" s="27">
        <f>IF($M398&lt;&gt;"",IF(INDEX(CalcDocA,$M398)="","—",INDEX(CalcDocA,$M398)),IF($N398&lt;&gt;"",INDEX(CalcBankB,$N398),""))</f>
        <v/>
      </c>
      <c r="E398" s="28">
        <f>IF($N398&lt;&gt;"",IF(INDEX(CalcDepB,$N398)=0,"",INDEX(CalcDepB,$N398)),"")</f>
        <v/>
      </c>
      <c r="F398" s="28">
        <f>IF($M398&lt;&gt;"",IF(INDEX(CalcQtyA,$M398)=0,"",INDEX(CalcQtyA,$M398)),"")</f>
        <v/>
      </c>
      <c r="G398" s="28">
        <f>IF($M398&lt;&gt;"",IF(INDEX(CalcPriceA,$M398)=0,"",INDEX(CalcPriceA,$M398)),"")</f>
        <v/>
      </c>
      <c r="H398" s="28">
        <f>IF($N398&lt;&gt;"",IF(INDEX(CalcWitB,$N398)=0,"",INDEX(CalcWitB,$N398)),"")</f>
        <v/>
      </c>
      <c r="I398" s="29">
        <f>IF($M398&lt;&gt;"",INDEX(CalcAmtA,$M398),"")</f>
        <v/>
      </c>
      <c r="J398" s="29">
        <f>IF($B398="","",IF($J397="",$C$8,$J397)+IF($I398="",0,$I398)+IF($E398="",0,$E398)-IF($H398="",0,$H398))</f>
        <v/>
      </c>
      <c r="K398" s="30">
        <f>IF($M398&lt;&gt;"",IF(INDEX(CalcNoteA,$M398)="","—",INDEX(CalcNoteA,$M398)),IF($N398&lt;&gt;"",IF(INDEX(CalcNoteB,$N398)="","—",INDEX(CalcNoteB,$N398)),""))</f>
        <v/>
      </c>
      <c r="M398">
        <f>IFERROR(MATCH($C$5&amp;"|"&amp;RIGHT("000000"&amp;382,6),CalcRankKeyA,0),"")</f>
        <v/>
      </c>
      <c r="N398">
        <f>IFERROR(MATCH($C$5&amp;"|"&amp;RIGHT("000000"&amp;382,6),CalcRankKeyB,0),"")</f>
        <v/>
      </c>
    </row>
    <row r="399">
      <c r="A399" s="21" t="n">
        <v>383</v>
      </c>
      <c r="B399" s="22">
        <f>IF(AND($M399="",$N399=""),"",IF($M399&lt;&gt;"",INDEX(CalcDateA,$M399),INDEX(CalcDateB,$N399)))</f>
        <v/>
      </c>
      <c r="C399" s="22">
        <f>IF($M399&lt;&gt;"","خرید سبد",IF($N399&lt;&gt;"",IF(N(INDEX(CalcDepB,$N399))&gt;0,"دریافت بانکی","پرداخت بانکی"),""))</f>
        <v/>
      </c>
      <c r="D399" s="22">
        <f>IF($M399&lt;&gt;"",IF(INDEX(CalcDocA,$M399)="","—",INDEX(CalcDocA,$M399)),IF($N399&lt;&gt;"",INDEX(CalcBankB,$N399),""))</f>
        <v/>
      </c>
      <c r="E399" s="23">
        <f>IF($N399&lt;&gt;"",IF(INDEX(CalcDepB,$N399)=0,"",INDEX(CalcDepB,$N399)),"")</f>
        <v/>
      </c>
      <c r="F399" s="23">
        <f>IF($M399&lt;&gt;"",IF(INDEX(CalcQtyA,$M399)=0,"",INDEX(CalcQtyA,$M399)),"")</f>
        <v/>
      </c>
      <c r="G399" s="23">
        <f>IF($M399&lt;&gt;"",IF(INDEX(CalcPriceA,$M399)=0,"",INDEX(CalcPriceA,$M399)),"")</f>
        <v/>
      </c>
      <c r="H399" s="23">
        <f>IF($N399&lt;&gt;"",IF(INDEX(CalcWitB,$N399)=0,"",INDEX(CalcWitB,$N399)),"")</f>
        <v/>
      </c>
      <c r="I399" s="24">
        <f>IF($M399&lt;&gt;"",INDEX(CalcAmtA,$M399),"")</f>
        <v/>
      </c>
      <c r="J399" s="24">
        <f>IF($B399="","",IF($J398="",$C$8,$J398)+IF($I399="",0,$I399)+IF($E399="",0,$E399)-IF($H399="",0,$H399))</f>
        <v/>
      </c>
      <c r="K399" s="25">
        <f>IF($M399&lt;&gt;"",IF(INDEX(CalcNoteA,$M399)="","—",INDEX(CalcNoteA,$M399)),IF($N399&lt;&gt;"",IF(INDEX(CalcNoteB,$N399)="","—",INDEX(CalcNoteB,$N399)),""))</f>
        <v/>
      </c>
      <c r="M399">
        <f>IFERROR(MATCH($C$5&amp;"|"&amp;RIGHT("000000"&amp;383,6),CalcRankKeyA,0),"")</f>
        <v/>
      </c>
      <c r="N399">
        <f>IFERROR(MATCH($C$5&amp;"|"&amp;RIGHT("000000"&amp;383,6),CalcRankKeyB,0),"")</f>
        <v/>
      </c>
    </row>
    <row r="400">
      <c r="A400" s="26" t="n">
        <v>384</v>
      </c>
      <c r="B400" s="27">
        <f>IF(AND($M400="",$N400=""),"",IF($M400&lt;&gt;"",INDEX(CalcDateA,$M400),INDEX(CalcDateB,$N400)))</f>
        <v/>
      </c>
      <c r="C400" s="27">
        <f>IF($M400&lt;&gt;"","خرید سبد",IF($N400&lt;&gt;"",IF(N(INDEX(CalcDepB,$N400))&gt;0,"دریافت بانکی","پرداخت بانکی"),""))</f>
        <v/>
      </c>
      <c r="D400" s="27">
        <f>IF($M400&lt;&gt;"",IF(INDEX(CalcDocA,$M400)="","—",INDEX(CalcDocA,$M400)),IF($N400&lt;&gt;"",INDEX(CalcBankB,$N400),""))</f>
        <v/>
      </c>
      <c r="E400" s="28">
        <f>IF($N400&lt;&gt;"",IF(INDEX(CalcDepB,$N400)=0,"",INDEX(CalcDepB,$N400)),"")</f>
        <v/>
      </c>
      <c r="F400" s="28">
        <f>IF($M400&lt;&gt;"",IF(INDEX(CalcQtyA,$M400)=0,"",INDEX(CalcQtyA,$M400)),"")</f>
        <v/>
      </c>
      <c r="G400" s="28">
        <f>IF($M400&lt;&gt;"",IF(INDEX(CalcPriceA,$M400)=0,"",INDEX(CalcPriceA,$M400)),"")</f>
        <v/>
      </c>
      <c r="H400" s="28">
        <f>IF($N400&lt;&gt;"",IF(INDEX(CalcWitB,$N400)=0,"",INDEX(CalcWitB,$N400)),"")</f>
        <v/>
      </c>
      <c r="I400" s="29">
        <f>IF($M400&lt;&gt;"",INDEX(CalcAmtA,$M400),"")</f>
        <v/>
      </c>
      <c r="J400" s="29">
        <f>IF($B400="","",IF($J399="",$C$8,$J399)+IF($I400="",0,$I400)+IF($E400="",0,$E400)-IF($H400="",0,$H400))</f>
        <v/>
      </c>
      <c r="K400" s="30">
        <f>IF($M400&lt;&gt;"",IF(INDEX(CalcNoteA,$M400)="","—",INDEX(CalcNoteA,$M400)),IF($N400&lt;&gt;"",IF(INDEX(CalcNoteB,$N400)="","—",INDEX(CalcNoteB,$N400)),""))</f>
        <v/>
      </c>
      <c r="M400">
        <f>IFERROR(MATCH($C$5&amp;"|"&amp;RIGHT("000000"&amp;384,6),CalcRankKeyA,0),"")</f>
        <v/>
      </c>
      <c r="N400">
        <f>IFERROR(MATCH($C$5&amp;"|"&amp;RIGHT("000000"&amp;384,6),CalcRankKeyB,0),"")</f>
        <v/>
      </c>
    </row>
    <row r="401">
      <c r="A401" s="21" t="n">
        <v>385</v>
      </c>
      <c r="B401" s="22">
        <f>IF(AND($M401="",$N401=""),"",IF($M401&lt;&gt;"",INDEX(CalcDateA,$M401),INDEX(CalcDateB,$N401)))</f>
        <v/>
      </c>
      <c r="C401" s="22">
        <f>IF($M401&lt;&gt;"","خرید سبد",IF($N401&lt;&gt;"",IF(N(INDEX(CalcDepB,$N401))&gt;0,"دریافت بانکی","پرداخت بانکی"),""))</f>
        <v/>
      </c>
      <c r="D401" s="22">
        <f>IF($M401&lt;&gt;"",IF(INDEX(CalcDocA,$M401)="","—",INDEX(CalcDocA,$M401)),IF($N401&lt;&gt;"",INDEX(CalcBankB,$N401),""))</f>
        <v/>
      </c>
      <c r="E401" s="23">
        <f>IF($N401&lt;&gt;"",IF(INDEX(CalcDepB,$N401)=0,"",INDEX(CalcDepB,$N401)),"")</f>
        <v/>
      </c>
      <c r="F401" s="23">
        <f>IF($M401&lt;&gt;"",IF(INDEX(CalcQtyA,$M401)=0,"",INDEX(CalcQtyA,$M401)),"")</f>
        <v/>
      </c>
      <c r="G401" s="23">
        <f>IF($M401&lt;&gt;"",IF(INDEX(CalcPriceA,$M401)=0,"",INDEX(CalcPriceA,$M401)),"")</f>
        <v/>
      </c>
      <c r="H401" s="23">
        <f>IF($N401&lt;&gt;"",IF(INDEX(CalcWitB,$N401)=0,"",INDEX(CalcWitB,$N401)),"")</f>
        <v/>
      </c>
      <c r="I401" s="24">
        <f>IF($M401&lt;&gt;"",INDEX(CalcAmtA,$M401),"")</f>
        <v/>
      </c>
      <c r="J401" s="24">
        <f>IF($B401="","",IF($J400="",$C$8,$J400)+IF($I401="",0,$I401)+IF($E401="",0,$E401)-IF($H401="",0,$H401))</f>
        <v/>
      </c>
      <c r="K401" s="25">
        <f>IF($M401&lt;&gt;"",IF(INDEX(CalcNoteA,$M401)="","—",INDEX(CalcNoteA,$M401)),IF($N401&lt;&gt;"",IF(INDEX(CalcNoteB,$N401)="","—",INDEX(CalcNoteB,$N401)),""))</f>
        <v/>
      </c>
      <c r="M401">
        <f>IFERROR(MATCH($C$5&amp;"|"&amp;RIGHT("000000"&amp;385,6),CalcRankKeyA,0),"")</f>
        <v/>
      </c>
      <c r="N401">
        <f>IFERROR(MATCH($C$5&amp;"|"&amp;RIGHT("000000"&amp;385,6),CalcRankKeyB,0),"")</f>
        <v/>
      </c>
    </row>
    <row r="402">
      <c r="A402" s="26" t="n">
        <v>386</v>
      </c>
      <c r="B402" s="27">
        <f>IF(AND($M402="",$N402=""),"",IF($M402&lt;&gt;"",INDEX(CalcDateA,$M402),INDEX(CalcDateB,$N402)))</f>
        <v/>
      </c>
      <c r="C402" s="27">
        <f>IF($M402&lt;&gt;"","خرید سبد",IF($N402&lt;&gt;"",IF(N(INDEX(CalcDepB,$N402))&gt;0,"دریافت بانکی","پرداخت بانکی"),""))</f>
        <v/>
      </c>
      <c r="D402" s="27">
        <f>IF($M402&lt;&gt;"",IF(INDEX(CalcDocA,$M402)="","—",INDEX(CalcDocA,$M402)),IF($N402&lt;&gt;"",INDEX(CalcBankB,$N402),""))</f>
        <v/>
      </c>
      <c r="E402" s="28">
        <f>IF($N402&lt;&gt;"",IF(INDEX(CalcDepB,$N402)=0,"",INDEX(CalcDepB,$N402)),"")</f>
        <v/>
      </c>
      <c r="F402" s="28">
        <f>IF($M402&lt;&gt;"",IF(INDEX(CalcQtyA,$M402)=0,"",INDEX(CalcQtyA,$M402)),"")</f>
        <v/>
      </c>
      <c r="G402" s="28">
        <f>IF($M402&lt;&gt;"",IF(INDEX(CalcPriceA,$M402)=0,"",INDEX(CalcPriceA,$M402)),"")</f>
        <v/>
      </c>
      <c r="H402" s="28">
        <f>IF($N402&lt;&gt;"",IF(INDEX(CalcWitB,$N402)=0,"",INDEX(CalcWitB,$N402)),"")</f>
        <v/>
      </c>
      <c r="I402" s="29">
        <f>IF($M402&lt;&gt;"",INDEX(CalcAmtA,$M402),"")</f>
        <v/>
      </c>
      <c r="J402" s="29">
        <f>IF($B402="","",IF($J401="",$C$8,$J401)+IF($I402="",0,$I402)+IF($E402="",0,$E402)-IF($H402="",0,$H402))</f>
        <v/>
      </c>
      <c r="K402" s="30">
        <f>IF($M402&lt;&gt;"",IF(INDEX(CalcNoteA,$M402)="","—",INDEX(CalcNoteA,$M402)),IF($N402&lt;&gt;"",IF(INDEX(CalcNoteB,$N402)="","—",INDEX(CalcNoteB,$N402)),""))</f>
        <v/>
      </c>
      <c r="M402">
        <f>IFERROR(MATCH($C$5&amp;"|"&amp;RIGHT("000000"&amp;386,6),CalcRankKeyA,0),"")</f>
        <v/>
      </c>
      <c r="N402">
        <f>IFERROR(MATCH($C$5&amp;"|"&amp;RIGHT("000000"&amp;386,6),CalcRankKeyB,0),"")</f>
        <v/>
      </c>
    </row>
    <row r="403">
      <c r="A403" s="21" t="n">
        <v>387</v>
      </c>
      <c r="B403" s="22">
        <f>IF(AND($M403="",$N403=""),"",IF($M403&lt;&gt;"",INDEX(CalcDateA,$M403),INDEX(CalcDateB,$N403)))</f>
        <v/>
      </c>
      <c r="C403" s="22">
        <f>IF($M403&lt;&gt;"","خرید سبد",IF($N403&lt;&gt;"",IF(N(INDEX(CalcDepB,$N403))&gt;0,"دریافت بانکی","پرداخت بانکی"),""))</f>
        <v/>
      </c>
      <c r="D403" s="22">
        <f>IF($M403&lt;&gt;"",IF(INDEX(CalcDocA,$M403)="","—",INDEX(CalcDocA,$M403)),IF($N403&lt;&gt;"",INDEX(CalcBankB,$N403),""))</f>
        <v/>
      </c>
      <c r="E403" s="23">
        <f>IF($N403&lt;&gt;"",IF(INDEX(CalcDepB,$N403)=0,"",INDEX(CalcDepB,$N403)),"")</f>
        <v/>
      </c>
      <c r="F403" s="23">
        <f>IF($M403&lt;&gt;"",IF(INDEX(CalcQtyA,$M403)=0,"",INDEX(CalcQtyA,$M403)),"")</f>
        <v/>
      </c>
      <c r="G403" s="23">
        <f>IF($M403&lt;&gt;"",IF(INDEX(CalcPriceA,$M403)=0,"",INDEX(CalcPriceA,$M403)),"")</f>
        <v/>
      </c>
      <c r="H403" s="23">
        <f>IF($N403&lt;&gt;"",IF(INDEX(CalcWitB,$N403)=0,"",INDEX(CalcWitB,$N403)),"")</f>
        <v/>
      </c>
      <c r="I403" s="24">
        <f>IF($M403&lt;&gt;"",INDEX(CalcAmtA,$M403),"")</f>
        <v/>
      </c>
      <c r="J403" s="24">
        <f>IF($B403="","",IF($J402="",$C$8,$J402)+IF($I403="",0,$I403)+IF($E403="",0,$E403)-IF($H403="",0,$H403))</f>
        <v/>
      </c>
      <c r="K403" s="25">
        <f>IF($M403&lt;&gt;"",IF(INDEX(CalcNoteA,$M403)="","—",INDEX(CalcNoteA,$M403)),IF($N403&lt;&gt;"",IF(INDEX(CalcNoteB,$N403)="","—",INDEX(CalcNoteB,$N403)),""))</f>
        <v/>
      </c>
      <c r="M403">
        <f>IFERROR(MATCH($C$5&amp;"|"&amp;RIGHT("000000"&amp;387,6),CalcRankKeyA,0),"")</f>
        <v/>
      </c>
      <c r="N403">
        <f>IFERROR(MATCH($C$5&amp;"|"&amp;RIGHT("000000"&amp;387,6),CalcRankKeyB,0),"")</f>
        <v/>
      </c>
    </row>
    <row r="404">
      <c r="A404" s="26" t="n">
        <v>388</v>
      </c>
      <c r="B404" s="27">
        <f>IF(AND($M404="",$N404=""),"",IF($M404&lt;&gt;"",INDEX(CalcDateA,$M404),INDEX(CalcDateB,$N404)))</f>
        <v/>
      </c>
      <c r="C404" s="27">
        <f>IF($M404&lt;&gt;"","خرید سبد",IF($N404&lt;&gt;"",IF(N(INDEX(CalcDepB,$N404))&gt;0,"دریافت بانکی","پرداخت بانکی"),""))</f>
        <v/>
      </c>
      <c r="D404" s="27">
        <f>IF($M404&lt;&gt;"",IF(INDEX(CalcDocA,$M404)="","—",INDEX(CalcDocA,$M404)),IF($N404&lt;&gt;"",INDEX(CalcBankB,$N404),""))</f>
        <v/>
      </c>
      <c r="E404" s="28">
        <f>IF($N404&lt;&gt;"",IF(INDEX(CalcDepB,$N404)=0,"",INDEX(CalcDepB,$N404)),"")</f>
        <v/>
      </c>
      <c r="F404" s="28">
        <f>IF($M404&lt;&gt;"",IF(INDEX(CalcQtyA,$M404)=0,"",INDEX(CalcQtyA,$M404)),"")</f>
        <v/>
      </c>
      <c r="G404" s="28">
        <f>IF($M404&lt;&gt;"",IF(INDEX(CalcPriceA,$M404)=0,"",INDEX(CalcPriceA,$M404)),"")</f>
        <v/>
      </c>
      <c r="H404" s="28">
        <f>IF($N404&lt;&gt;"",IF(INDEX(CalcWitB,$N404)=0,"",INDEX(CalcWitB,$N404)),"")</f>
        <v/>
      </c>
      <c r="I404" s="29">
        <f>IF($M404&lt;&gt;"",INDEX(CalcAmtA,$M404),"")</f>
        <v/>
      </c>
      <c r="J404" s="29">
        <f>IF($B404="","",IF($J403="",$C$8,$J403)+IF($I404="",0,$I404)+IF($E404="",0,$E404)-IF($H404="",0,$H404))</f>
        <v/>
      </c>
      <c r="K404" s="30">
        <f>IF($M404&lt;&gt;"",IF(INDEX(CalcNoteA,$M404)="","—",INDEX(CalcNoteA,$M404)),IF($N404&lt;&gt;"",IF(INDEX(CalcNoteB,$N404)="","—",INDEX(CalcNoteB,$N404)),""))</f>
        <v/>
      </c>
      <c r="M404">
        <f>IFERROR(MATCH($C$5&amp;"|"&amp;RIGHT("000000"&amp;388,6),CalcRankKeyA,0),"")</f>
        <v/>
      </c>
      <c r="N404">
        <f>IFERROR(MATCH($C$5&amp;"|"&amp;RIGHT("000000"&amp;388,6),CalcRankKeyB,0),"")</f>
        <v/>
      </c>
    </row>
    <row r="405">
      <c r="A405" s="21" t="n">
        <v>389</v>
      </c>
      <c r="B405" s="22">
        <f>IF(AND($M405="",$N405=""),"",IF($M405&lt;&gt;"",INDEX(CalcDateA,$M405),INDEX(CalcDateB,$N405)))</f>
        <v/>
      </c>
      <c r="C405" s="22">
        <f>IF($M405&lt;&gt;"","خرید سبد",IF($N405&lt;&gt;"",IF(N(INDEX(CalcDepB,$N405))&gt;0,"دریافت بانکی","پرداخت بانکی"),""))</f>
        <v/>
      </c>
      <c r="D405" s="22">
        <f>IF($M405&lt;&gt;"",IF(INDEX(CalcDocA,$M405)="","—",INDEX(CalcDocA,$M405)),IF($N405&lt;&gt;"",INDEX(CalcBankB,$N405),""))</f>
        <v/>
      </c>
      <c r="E405" s="23">
        <f>IF($N405&lt;&gt;"",IF(INDEX(CalcDepB,$N405)=0,"",INDEX(CalcDepB,$N405)),"")</f>
        <v/>
      </c>
      <c r="F405" s="23">
        <f>IF($M405&lt;&gt;"",IF(INDEX(CalcQtyA,$M405)=0,"",INDEX(CalcQtyA,$M405)),"")</f>
        <v/>
      </c>
      <c r="G405" s="23">
        <f>IF($M405&lt;&gt;"",IF(INDEX(CalcPriceA,$M405)=0,"",INDEX(CalcPriceA,$M405)),"")</f>
        <v/>
      </c>
      <c r="H405" s="23">
        <f>IF($N405&lt;&gt;"",IF(INDEX(CalcWitB,$N405)=0,"",INDEX(CalcWitB,$N405)),"")</f>
        <v/>
      </c>
      <c r="I405" s="24">
        <f>IF($M405&lt;&gt;"",INDEX(CalcAmtA,$M405),"")</f>
        <v/>
      </c>
      <c r="J405" s="24">
        <f>IF($B405="","",IF($J404="",$C$8,$J404)+IF($I405="",0,$I405)+IF($E405="",0,$E405)-IF($H405="",0,$H405))</f>
        <v/>
      </c>
      <c r="K405" s="25">
        <f>IF($M405&lt;&gt;"",IF(INDEX(CalcNoteA,$M405)="","—",INDEX(CalcNoteA,$M405)),IF($N405&lt;&gt;"",IF(INDEX(CalcNoteB,$N405)="","—",INDEX(CalcNoteB,$N405)),""))</f>
        <v/>
      </c>
      <c r="M405">
        <f>IFERROR(MATCH($C$5&amp;"|"&amp;RIGHT("000000"&amp;389,6),CalcRankKeyA,0),"")</f>
        <v/>
      </c>
      <c r="N405">
        <f>IFERROR(MATCH($C$5&amp;"|"&amp;RIGHT("000000"&amp;389,6),CalcRankKeyB,0),"")</f>
        <v/>
      </c>
    </row>
    <row r="406">
      <c r="A406" s="26" t="n">
        <v>390</v>
      </c>
      <c r="B406" s="27">
        <f>IF(AND($M406="",$N406=""),"",IF($M406&lt;&gt;"",INDEX(CalcDateA,$M406),INDEX(CalcDateB,$N406)))</f>
        <v/>
      </c>
      <c r="C406" s="27">
        <f>IF($M406&lt;&gt;"","خرید سبد",IF($N406&lt;&gt;"",IF(N(INDEX(CalcDepB,$N406))&gt;0,"دریافت بانکی","پرداخت بانکی"),""))</f>
        <v/>
      </c>
      <c r="D406" s="27">
        <f>IF($M406&lt;&gt;"",IF(INDEX(CalcDocA,$M406)="","—",INDEX(CalcDocA,$M406)),IF($N406&lt;&gt;"",INDEX(CalcBankB,$N406),""))</f>
        <v/>
      </c>
      <c r="E406" s="28">
        <f>IF($N406&lt;&gt;"",IF(INDEX(CalcDepB,$N406)=0,"",INDEX(CalcDepB,$N406)),"")</f>
        <v/>
      </c>
      <c r="F406" s="28">
        <f>IF($M406&lt;&gt;"",IF(INDEX(CalcQtyA,$M406)=0,"",INDEX(CalcQtyA,$M406)),"")</f>
        <v/>
      </c>
      <c r="G406" s="28">
        <f>IF($M406&lt;&gt;"",IF(INDEX(CalcPriceA,$M406)=0,"",INDEX(CalcPriceA,$M406)),"")</f>
        <v/>
      </c>
      <c r="H406" s="28">
        <f>IF($N406&lt;&gt;"",IF(INDEX(CalcWitB,$N406)=0,"",INDEX(CalcWitB,$N406)),"")</f>
        <v/>
      </c>
      <c r="I406" s="29">
        <f>IF($M406&lt;&gt;"",INDEX(CalcAmtA,$M406),"")</f>
        <v/>
      </c>
      <c r="J406" s="29">
        <f>IF($B406="","",IF($J405="",$C$8,$J405)+IF($I406="",0,$I406)+IF($E406="",0,$E406)-IF($H406="",0,$H406))</f>
        <v/>
      </c>
      <c r="K406" s="30">
        <f>IF($M406&lt;&gt;"",IF(INDEX(CalcNoteA,$M406)="","—",INDEX(CalcNoteA,$M406)),IF($N406&lt;&gt;"",IF(INDEX(CalcNoteB,$N406)="","—",INDEX(CalcNoteB,$N406)),""))</f>
        <v/>
      </c>
      <c r="M406">
        <f>IFERROR(MATCH($C$5&amp;"|"&amp;RIGHT("000000"&amp;390,6),CalcRankKeyA,0),"")</f>
        <v/>
      </c>
      <c r="N406">
        <f>IFERROR(MATCH($C$5&amp;"|"&amp;RIGHT("000000"&amp;390,6),CalcRankKeyB,0),"")</f>
        <v/>
      </c>
    </row>
    <row r="407">
      <c r="A407" s="21" t="n">
        <v>391</v>
      </c>
      <c r="B407" s="22">
        <f>IF(AND($M407="",$N407=""),"",IF($M407&lt;&gt;"",INDEX(CalcDateA,$M407),INDEX(CalcDateB,$N407)))</f>
        <v/>
      </c>
      <c r="C407" s="22">
        <f>IF($M407&lt;&gt;"","خرید سبد",IF($N407&lt;&gt;"",IF(N(INDEX(CalcDepB,$N407))&gt;0,"دریافت بانکی","پرداخت بانکی"),""))</f>
        <v/>
      </c>
      <c r="D407" s="22">
        <f>IF($M407&lt;&gt;"",IF(INDEX(CalcDocA,$M407)="","—",INDEX(CalcDocA,$M407)),IF($N407&lt;&gt;"",INDEX(CalcBankB,$N407),""))</f>
        <v/>
      </c>
      <c r="E407" s="23">
        <f>IF($N407&lt;&gt;"",IF(INDEX(CalcDepB,$N407)=0,"",INDEX(CalcDepB,$N407)),"")</f>
        <v/>
      </c>
      <c r="F407" s="23">
        <f>IF($M407&lt;&gt;"",IF(INDEX(CalcQtyA,$M407)=0,"",INDEX(CalcQtyA,$M407)),"")</f>
        <v/>
      </c>
      <c r="G407" s="23">
        <f>IF($M407&lt;&gt;"",IF(INDEX(CalcPriceA,$M407)=0,"",INDEX(CalcPriceA,$M407)),"")</f>
        <v/>
      </c>
      <c r="H407" s="23">
        <f>IF($N407&lt;&gt;"",IF(INDEX(CalcWitB,$N407)=0,"",INDEX(CalcWitB,$N407)),"")</f>
        <v/>
      </c>
      <c r="I407" s="24">
        <f>IF($M407&lt;&gt;"",INDEX(CalcAmtA,$M407),"")</f>
        <v/>
      </c>
      <c r="J407" s="24">
        <f>IF($B407="","",IF($J406="",$C$8,$J406)+IF($I407="",0,$I407)+IF($E407="",0,$E407)-IF($H407="",0,$H407))</f>
        <v/>
      </c>
      <c r="K407" s="25">
        <f>IF($M407&lt;&gt;"",IF(INDEX(CalcNoteA,$M407)="","—",INDEX(CalcNoteA,$M407)),IF($N407&lt;&gt;"",IF(INDEX(CalcNoteB,$N407)="","—",INDEX(CalcNoteB,$N407)),""))</f>
        <v/>
      </c>
      <c r="M407">
        <f>IFERROR(MATCH($C$5&amp;"|"&amp;RIGHT("000000"&amp;391,6),CalcRankKeyA,0),"")</f>
        <v/>
      </c>
      <c r="N407">
        <f>IFERROR(MATCH($C$5&amp;"|"&amp;RIGHT("000000"&amp;391,6),CalcRankKeyB,0),"")</f>
        <v/>
      </c>
    </row>
    <row r="408">
      <c r="A408" s="26" t="n">
        <v>392</v>
      </c>
      <c r="B408" s="27">
        <f>IF(AND($M408="",$N408=""),"",IF($M408&lt;&gt;"",INDEX(CalcDateA,$M408),INDEX(CalcDateB,$N408)))</f>
        <v/>
      </c>
      <c r="C408" s="27">
        <f>IF($M408&lt;&gt;"","خرید سبد",IF($N408&lt;&gt;"",IF(N(INDEX(CalcDepB,$N408))&gt;0,"دریافت بانکی","پرداخت بانکی"),""))</f>
        <v/>
      </c>
      <c r="D408" s="27">
        <f>IF($M408&lt;&gt;"",IF(INDEX(CalcDocA,$M408)="","—",INDEX(CalcDocA,$M408)),IF($N408&lt;&gt;"",INDEX(CalcBankB,$N408),""))</f>
        <v/>
      </c>
      <c r="E408" s="28">
        <f>IF($N408&lt;&gt;"",IF(INDEX(CalcDepB,$N408)=0,"",INDEX(CalcDepB,$N408)),"")</f>
        <v/>
      </c>
      <c r="F408" s="28">
        <f>IF($M408&lt;&gt;"",IF(INDEX(CalcQtyA,$M408)=0,"",INDEX(CalcQtyA,$M408)),"")</f>
        <v/>
      </c>
      <c r="G408" s="28">
        <f>IF($M408&lt;&gt;"",IF(INDEX(CalcPriceA,$M408)=0,"",INDEX(CalcPriceA,$M408)),"")</f>
        <v/>
      </c>
      <c r="H408" s="28">
        <f>IF($N408&lt;&gt;"",IF(INDEX(CalcWitB,$N408)=0,"",INDEX(CalcWitB,$N408)),"")</f>
        <v/>
      </c>
      <c r="I408" s="29">
        <f>IF($M408&lt;&gt;"",INDEX(CalcAmtA,$M408),"")</f>
        <v/>
      </c>
      <c r="J408" s="29">
        <f>IF($B408="","",IF($J407="",$C$8,$J407)+IF($I408="",0,$I408)+IF($E408="",0,$E408)-IF($H408="",0,$H408))</f>
        <v/>
      </c>
      <c r="K408" s="30">
        <f>IF($M408&lt;&gt;"",IF(INDEX(CalcNoteA,$M408)="","—",INDEX(CalcNoteA,$M408)),IF($N408&lt;&gt;"",IF(INDEX(CalcNoteB,$N408)="","—",INDEX(CalcNoteB,$N408)),""))</f>
        <v/>
      </c>
      <c r="M408">
        <f>IFERROR(MATCH($C$5&amp;"|"&amp;RIGHT("000000"&amp;392,6),CalcRankKeyA,0),"")</f>
        <v/>
      </c>
      <c r="N408">
        <f>IFERROR(MATCH($C$5&amp;"|"&amp;RIGHT("000000"&amp;392,6),CalcRankKeyB,0),"")</f>
        <v/>
      </c>
    </row>
    <row r="409">
      <c r="A409" s="21" t="n">
        <v>393</v>
      </c>
      <c r="B409" s="22">
        <f>IF(AND($M409="",$N409=""),"",IF($M409&lt;&gt;"",INDEX(CalcDateA,$M409),INDEX(CalcDateB,$N409)))</f>
        <v/>
      </c>
      <c r="C409" s="22">
        <f>IF($M409&lt;&gt;"","خرید سبد",IF($N409&lt;&gt;"",IF(N(INDEX(CalcDepB,$N409))&gt;0,"دریافت بانکی","پرداخت بانکی"),""))</f>
        <v/>
      </c>
      <c r="D409" s="22">
        <f>IF($M409&lt;&gt;"",IF(INDEX(CalcDocA,$M409)="","—",INDEX(CalcDocA,$M409)),IF($N409&lt;&gt;"",INDEX(CalcBankB,$N409),""))</f>
        <v/>
      </c>
      <c r="E409" s="23">
        <f>IF($N409&lt;&gt;"",IF(INDEX(CalcDepB,$N409)=0,"",INDEX(CalcDepB,$N409)),"")</f>
        <v/>
      </c>
      <c r="F409" s="23">
        <f>IF($M409&lt;&gt;"",IF(INDEX(CalcQtyA,$M409)=0,"",INDEX(CalcQtyA,$M409)),"")</f>
        <v/>
      </c>
      <c r="G409" s="23">
        <f>IF($M409&lt;&gt;"",IF(INDEX(CalcPriceA,$M409)=0,"",INDEX(CalcPriceA,$M409)),"")</f>
        <v/>
      </c>
      <c r="H409" s="23">
        <f>IF($N409&lt;&gt;"",IF(INDEX(CalcWitB,$N409)=0,"",INDEX(CalcWitB,$N409)),"")</f>
        <v/>
      </c>
      <c r="I409" s="24">
        <f>IF($M409&lt;&gt;"",INDEX(CalcAmtA,$M409),"")</f>
        <v/>
      </c>
      <c r="J409" s="24">
        <f>IF($B409="","",IF($J408="",$C$8,$J408)+IF($I409="",0,$I409)+IF($E409="",0,$E409)-IF($H409="",0,$H409))</f>
        <v/>
      </c>
      <c r="K409" s="25">
        <f>IF($M409&lt;&gt;"",IF(INDEX(CalcNoteA,$M409)="","—",INDEX(CalcNoteA,$M409)),IF($N409&lt;&gt;"",IF(INDEX(CalcNoteB,$N409)="","—",INDEX(CalcNoteB,$N409)),""))</f>
        <v/>
      </c>
      <c r="M409">
        <f>IFERROR(MATCH($C$5&amp;"|"&amp;RIGHT("000000"&amp;393,6),CalcRankKeyA,0),"")</f>
        <v/>
      </c>
      <c r="N409">
        <f>IFERROR(MATCH($C$5&amp;"|"&amp;RIGHT("000000"&amp;393,6),CalcRankKeyB,0),"")</f>
        <v/>
      </c>
    </row>
    <row r="410">
      <c r="A410" s="26" t="n">
        <v>394</v>
      </c>
      <c r="B410" s="27">
        <f>IF(AND($M410="",$N410=""),"",IF($M410&lt;&gt;"",INDEX(CalcDateA,$M410),INDEX(CalcDateB,$N410)))</f>
        <v/>
      </c>
      <c r="C410" s="27">
        <f>IF($M410&lt;&gt;"","خرید سبد",IF($N410&lt;&gt;"",IF(N(INDEX(CalcDepB,$N410))&gt;0,"دریافت بانکی","پرداخت بانکی"),""))</f>
        <v/>
      </c>
      <c r="D410" s="27">
        <f>IF($M410&lt;&gt;"",IF(INDEX(CalcDocA,$M410)="","—",INDEX(CalcDocA,$M410)),IF($N410&lt;&gt;"",INDEX(CalcBankB,$N410),""))</f>
        <v/>
      </c>
      <c r="E410" s="28">
        <f>IF($N410&lt;&gt;"",IF(INDEX(CalcDepB,$N410)=0,"",INDEX(CalcDepB,$N410)),"")</f>
        <v/>
      </c>
      <c r="F410" s="28">
        <f>IF($M410&lt;&gt;"",IF(INDEX(CalcQtyA,$M410)=0,"",INDEX(CalcQtyA,$M410)),"")</f>
        <v/>
      </c>
      <c r="G410" s="28">
        <f>IF($M410&lt;&gt;"",IF(INDEX(CalcPriceA,$M410)=0,"",INDEX(CalcPriceA,$M410)),"")</f>
        <v/>
      </c>
      <c r="H410" s="28">
        <f>IF($N410&lt;&gt;"",IF(INDEX(CalcWitB,$N410)=0,"",INDEX(CalcWitB,$N410)),"")</f>
        <v/>
      </c>
      <c r="I410" s="29">
        <f>IF($M410&lt;&gt;"",INDEX(CalcAmtA,$M410),"")</f>
        <v/>
      </c>
      <c r="J410" s="29">
        <f>IF($B410="","",IF($J409="",$C$8,$J409)+IF($I410="",0,$I410)+IF($E410="",0,$E410)-IF($H410="",0,$H410))</f>
        <v/>
      </c>
      <c r="K410" s="30">
        <f>IF($M410&lt;&gt;"",IF(INDEX(CalcNoteA,$M410)="","—",INDEX(CalcNoteA,$M410)),IF($N410&lt;&gt;"",IF(INDEX(CalcNoteB,$N410)="","—",INDEX(CalcNoteB,$N410)),""))</f>
        <v/>
      </c>
      <c r="M410">
        <f>IFERROR(MATCH($C$5&amp;"|"&amp;RIGHT("000000"&amp;394,6),CalcRankKeyA,0),"")</f>
        <v/>
      </c>
      <c r="N410">
        <f>IFERROR(MATCH($C$5&amp;"|"&amp;RIGHT("000000"&amp;394,6),CalcRankKeyB,0),"")</f>
        <v/>
      </c>
    </row>
    <row r="411">
      <c r="A411" s="21" t="n">
        <v>395</v>
      </c>
      <c r="B411" s="22">
        <f>IF(AND($M411="",$N411=""),"",IF($M411&lt;&gt;"",INDEX(CalcDateA,$M411),INDEX(CalcDateB,$N411)))</f>
        <v/>
      </c>
      <c r="C411" s="22">
        <f>IF($M411&lt;&gt;"","خرید سبد",IF($N411&lt;&gt;"",IF(N(INDEX(CalcDepB,$N411))&gt;0,"دریافت بانکی","پرداخت بانکی"),""))</f>
        <v/>
      </c>
      <c r="D411" s="22">
        <f>IF($M411&lt;&gt;"",IF(INDEX(CalcDocA,$M411)="","—",INDEX(CalcDocA,$M411)),IF($N411&lt;&gt;"",INDEX(CalcBankB,$N411),""))</f>
        <v/>
      </c>
      <c r="E411" s="23">
        <f>IF($N411&lt;&gt;"",IF(INDEX(CalcDepB,$N411)=0,"",INDEX(CalcDepB,$N411)),"")</f>
        <v/>
      </c>
      <c r="F411" s="23">
        <f>IF($M411&lt;&gt;"",IF(INDEX(CalcQtyA,$M411)=0,"",INDEX(CalcQtyA,$M411)),"")</f>
        <v/>
      </c>
      <c r="G411" s="23">
        <f>IF($M411&lt;&gt;"",IF(INDEX(CalcPriceA,$M411)=0,"",INDEX(CalcPriceA,$M411)),"")</f>
        <v/>
      </c>
      <c r="H411" s="23">
        <f>IF($N411&lt;&gt;"",IF(INDEX(CalcWitB,$N411)=0,"",INDEX(CalcWitB,$N411)),"")</f>
        <v/>
      </c>
      <c r="I411" s="24">
        <f>IF($M411&lt;&gt;"",INDEX(CalcAmtA,$M411),"")</f>
        <v/>
      </c>
      <c r="J411" s="24">
        <f>IF($B411="","",IF($J410="",$C$8,$J410)+IF($I411="",0,$I411)+IF($E411="",0,$E411)-IF($H411="",0,$H411))</f>
        <v/>
      </c>
      <c r="K411" s="25">
        <f>IF($M411&lt;&gt;"",IF(INDEX(CalcNoteA,$M411)="","—",INDEX(CalcNoteA,$M411)),IF($N411&lt;&gt;"",IF(INDEX(CalcNoteB,$N411)="","—",INDEX(CalcNoteB,$N411)),""))</f>
        <v/>
      </c>
      <c r="M411">
        <f>IFERROR(MATCH($C$5&amp;"|"&amp;RIGHT("000000"&amp;395,6),CalcRankKeyA,0),"")</f>
        <v/>
      </c>
      <c r="N411">
        <f>IFERROR(MATCH($C$5&amp;"|"&amp;RIGHT("000000"&amp;395,6),CalcRankKeyB,0),"")</f>
        <v/>
      </c>
    </row>
    <row r="412">
      <c r="A412" s="26" t="n">
        <v>396</v>
      </c>
      <c r="B412" s="27">
        <f>IF(AND($M412="",$N412=""),"",IF($M412&lt;&gt;"",INDEX(CalcDateA,$M412),INDEX(CalcDateB,$N412)))</f>
        <v/>
      </c>
      <c r="C412" s="27">
        <f>IF($M412&lt;&gt;"","خرید سبد",IF($N412&lt;&gt;"",IF(N(INDEX(CalcDepB,$N412))&gt;0,"دریافت بانکی","پرداخت بانکی"),""))</f>
        <v/>
      </c>
      <c r="D412" s="27">
        <f>IF($M412&lt;&gt;"",IF(INDEX(CalcDocA,$M412)="","—",INDEX(CalcDocA,$M412)),IF($N412&lt;&gt;"",INDEX(CalcBankB,$N412),""))</f>
        <v/>
      </c>
      <c r="E412" s="28">
        <f>IF($N412&lt;&gt;"",IF(INDEX(CalcDepB,$N412)=0,"",INDEX(CalcDepB,$N412)),"")</f>
        <v/>
      </c>
      <c r="F412" s="28">
        <f>IF($M412&lt;&gt;"",IF(INDEX(CalcQtyA,$M412)=0,"",INDEX(CalcQtyA,$M412)),"")</f>
        <v/>
      </c>
      <c r="G412" s="28">
        <f>IF($M412&lt;&gt;"",IF(INDEX(CalcPriceA,$M412)=0,"",INDEX(CalcPriceA,$M412)),"")</f>
        <v/>
      </c>
      <c r="H412" s="28">
        <f>IF($N412&lt;&gt;"",IF(INDEX(CalcWitB,$N412)=0,"",INDEX(CalcWitB,$N412)),"")</f>
        <v/>
      </c>
      <c r="I412" s="29">
        <f>IF($M412&lt;&gt;"",INDEX(CalcAmtA,$M412),"")</f>
        <v/>
      </c>
      <c r="J412" s="29">
        <f>IF($B412="","",IF($J411="",$C$8,$J411)+IF($I412="",0,$I412)+IF($E412="",0,$E412)-IF($H412="",0,$H412))</f>
        <v/>
      </c>
      <c r="K412" s="30">
        <f>IF($M412&lt;&gt;"",IF(INDEX(CalcNoteA,$M412)="","—",INDEX(CalcNoteA,$M412)),IF($N412&lt;&gt;"",IF(INDEX(CalcNoteB,$N412)="","—",INDEX(CalcNoteB,$N412)),""))</f>
        <v/>
      </c>
      <c r="M412">
        <f>IFERROR(MATCH($C$5&amp;"|"&amp;RIGHT("000000"&amp;396,6),CalcRankKeyA,0),"")</f>
        <v/>
      </c>
      <c r="N412">
        <f>IFERROR(MATCH($C$5&amp;"|"&amp;RIGHT("000000"&amp;396,6),CalcRankKeyB,0),"")</f>
        <v/>
      </c>
    </row>
    <row r="413">
      <c r="A413" s="21" t="n">
        <v>397</v>
      </c>
      <c r="B413" s="22">
        <f>IF(AND($M413="",$N413=""),"",IF($M413&lt;&gt;"",INDEX(CalcDateA,$M413),INDEX(CalcDateB,$N413)))</f>
        <v/>
      </c>
      <c r="C413" s="22">
        <f>IF($M413&lt;&gt;"","خرید سبد",IF($N413&lt;&gt;"",IF(N(INDEX(CalcDepB,$N413))&gt;0,"دریافت بانکی","پرداخت بانکی"),""))</f>
        <v/>
      </c>
      <c r="D413" s="22">
        <f>IF($M413&lt;&gt;"",IF(INDEX(CalcDocA,$M413)="","—",INDEX(CalcDocA,$M413)),IF($N413&lt;&gt;"",INDEX(CalcBankB,$N413),""))</f>
        <v/>
      </c>
      <c r="E413" s="23">
        <f>IF($N413&lt;&gt;"",IF(INDEX(CalcDepB,$N413)=0,"",INDEX(CalcDepB,$N413)),"")</f>
        <v/>
      </c>
      <c r="F413" s="23">
        <f>IF($M413&lt;&gt;"",IF(INDEX(CalcQtyA,$M413)=0,"",INDEX(CalcQtyA,$M413)),"")</f>
        <v/>
      </c>
      <c r="G413" s="23">
        <f>IF($M413&lt;&gt;"",IF(INDEX(CalcPriceA,$M413)=0,"",INDEX(CalcPriceA,$M413)),"")</f>
        <v/>
      </c>
      <c r="H413" s="23">
        <f>IF($N413&lt;&gt;"",IF(INDEX(CalcWitB,$N413)=0,"",INDEX(CalcWitB,$N413)),"")</f>
        <v/>
      </c>
      <c r="I413" s="24">
        <f>IF($M413&lt;&gt;"",INDEX(CalcAmtA,$M413),"")</f>
        <v/>
      </c>
      <c r="J413" s="24">
        <f>IF($B413="","",IF($J412="",$C$8,$J412)+IF($I413="",0,$I413)+IF($E413="",0,$E413)-IF($H413="",0,$H413))</f>
        <v/>
      </c>
      <c r="K413" s="25">
        <f>IF($M413&lt;&gt;"",IF(INDEX(CalcNoteA,$M413)="","—",INDEX(CalcNoteA,$M413)),IF($N413&lt;&gt;"",IF(INDEX(CalcNoteB,$N413)="","—",INDEX(CalcNoteB,$N413)),""))</f>
        <v/>
      </c>
      <c r="M413">
        <f>IFERROR(MATCH($C$5&amp;"|"&amp;RIGHT("000000"&amp;397,6),CalcRankKeyA,0),"")</f>
        <v/>
      </c>
      <c r="N413">
        <f>IFERROR(MATCH($C$5&amp;"|"&amp;RIGHT("000000"&amp;397,6),CalcRankKeyB,0),"")</f>
        <v/>
      </c>
    </row>
    <row r="414">
      <c r="A414" s="26" t="n">
        <v>398</v>
      </c>
      <c r="B414" s="27">
        <f>IF(AND($M414="",$N414=""),"",IF($M414&lt;&gt;"",INDEX(CalcDateA,$M414),INDEX(CalcDateB,$N414)))</f>
        <v/>
      </c>
      <c r="C414" s="27">
        <f>IF($M414&lt;&gt;"","خرید سبد",IF($N414&lt;&gt;"",IF(N(INDEX(CalcDepB,$N414))&gt;0,"دریافت بانکی","پرداخت بانکی"),""))</f>
        <v/>
      </c>
      <c r="D414" s="27">
        <f>IF($M414&lt;&gt;"",IF(INDEX(CalcDocA,$M414)="","—",INDEX(CalcDocA,$M414)),IF($N414&lt;&gt;"",INDEX(CalcBankB,$N414),""))</f>
        <v/>
      </c>
      <c r="E414" s="28">
        <f>IF($N414&lt;&gt;"",IF(INDEX(CalcDepB,$N414)=0,"",INDEX(CalcDepB,$N414)),"")</f>
        <v/>
      </c>
      <c r="F414" s="28">
        <f>IF($M414&lt;&gt;"",IF(INDEX(CalcQtyA,$M414)=0,"",INDEX(CalcQtyA,$M414)),"")</f>
        <v/>
      </c>
      <c r="G414" s="28">
        <f>IF($M414&lt;&gt;"",IF(INDEX(CalcPriceA,$M414)=0,"",INDEX(CalcPriceA,$M414)),"")</f>
        <v/>
      </c>
      <c r="H414" s="28">
        <f>IF($N414&lt;&gt;"",IF(INDEX(CalcWitB,$N414)=0,"",INDEX(CalcWitB,$N414)),"")</f>
        <v/>
      </c>
      <c r="I414" s="29">
        <f>IF($M414&lt;&gt;"",INDEX(CalcAmtA,$M414),"")</f>
        <v/>
      </c>
      <c r="J414" s="29">
        <f>IF($B414="","",IF($J413="",$C$8,$J413)+IF($I414="",0,$I414)+IF($E414="",0,$E414)-IF($H414="",0,$H414))</f>
        <v/>
      </c>
      <c r="K414" s="30">
        <f>IF($M414&lt;&gt;"",IF(INDEX(CalcNoteA,$M414)="","—",INDEX(CalcNoteA,$M414)),IF($N414&lt;&gt;"",IF(INDEX(CalcNoteB,$N414)="","—",INDEX(CalcNoteB,$N414)),""))</f>
        <v/>
      </c>
      <c r="M414">
        <f>IFERROR(MATCH($C$5&amp;"|"&amp;RIGHT("000000"&amp;398,6),CalcRankKeyA,0),"")</f>
        <v/>
      </c>
      <c r="N414">
        <f>IFERROR(MATCH($C$5&amp;"|"&amp;RIGHT("000000"&amp;398,6),CalcRankKeyB,0),"")</f>
        <v/>
      </c>
    </row>
    <row r="415">
      <c r="A415" s="21" t="n">
        <v>399</v>
      </c>
      <c r="B415" s="22">
        <f>IF(AND($M415="",$N415=""),"",IF($M415&lt;&gt;"",INDEX(CalcDateA,$M415),INDEX(CalcDateB,$N415)))</f>
        <v/>
      </c>
      <c r="C415" s="22">
        <f>IF($M415&lt;&gt;"","خرید سبد",IF($N415&lt;&gt;"",IF(N(INDEX(CalcDepB,$N415))&gt;0,"دریافت بانکی","پرداخت بانکی"),""))</f>
        <v/>
      </c>
      <c r="D415" s="22">
        <f>IF($M415&lt;&gt;"",IF(INDEX(CalcDocA,$M415)="","—",INDEX(CalcDocA,$M415)),IF($N415&lt;&gt;"",INDEX(CalcBankB,$N415),""))</f>
        <v/>
      </c>
      <c r="E415" s="23">
        <f>IF($N415&lt;&gt;"",IF(INDEX(CalcDepB,$N415)=0,"",INDEX(CalcDepB,$N415)),"")</f>
        <v/>
      </c>
      <c r="F415" s="23">
        <f>IF($M415&lt;&gt;"",IF(INDEX(CalcQtyA,$M415)=0,"",INDEX(CalcQtyA,$M415)),"")</f>
        <v/>
      </c>
      <c r="G415" s="23">
        <f>IF($M415&lt;&gt;"",IF(INDEX(CalcPriceA,$M415)=0,"",INDEX(CalcPriceA,$M415)),"")</f>
        <v/>
      </c>
      <c r="H415" s="23">
        <f>IF($N415&lt;&gt;"",IF(INDEX(CalcWitB,$N415)=0,"",INDEX(CalcWitB,$N415)),"")</f>
        <v/>
      </c>
      <c r="I415" s="24">
        <f>IF($M415&lt;&gt;"",INDEX(CalcAmtA,$M415),"")</f>
        <v/>
      </c>
      <c r="J415" s="24">
        <f>IF($B415="","",IF($J414="",$C$8,$J414)+IF($I415="",0,$I415)+IF($E415="",0,$E415)-IF($H415="",0,$H415))</f>
        <v/>
      </c>
      <c r="K415" s="25">
        <f>IF($M415&lt;&gt;"",IF(INDEX(CalcNoteA,$M415)="","—",INDEX(CalcNoteA,$M415)),IF($N415&lt;&gt;"",IF(INDEX(CalcNoteB,$N415)="","—",INDEX(CalcNoteB,$N415)),""))</f>
        <v/>
      </c>
      <c r="M415">
        <f>IFERROR(MATCH($C$5&amp;"|"&amp;RIGHT("000000"&amp;399,6),CalcRankKeyA,0),"")</f>
        <v/>
      </c>
      <c r="N415">
        <f>IFERROR(MATCH($C$5&amp;"|"&amp;RIGHT("000000"&amp;399,6),CalcRankKeyB,0),"")</f>
        <v/>
      </c>
    </row>
    <row r="416">
      <c r="A416" s="26" t="n">
        <v>400</v>
      </c>
      <c r="B416" s="27">
        <f>IF(AND($M416="",$N416=""),"",IF($M416&lt;&gt;"",INDEX(CalcDateA,$M416),INDEX(CalcDateB,$N416)))</f>
        <v/>
      </c>
      <c r="C416" s="27">
        <f>IF($M416&lt;&gt;"","خرید سبد",IF($N416&lt;&gt;"",IF(N(INDEX(CalcDepB,$N416))&gt;0,"دریافت بانکی","پرداخت بانکی"),""))</f>
        <v/>
      </c>
      <c r="D416" s="27">
        <f>IF($M416&lt;&gt;"",IF(INDEX(CalcDocA,$M416)="","—",INDEX(CalcDocA,$M416)),IF($N416&lt;&gt;"",INDEX(CalcBankB,$N416),""))</f>
        <v/>
      </c>
      <c r="E416" s="28">
        <f>IF($N416&lt;&gt;"",IF(INDEX(CalcDepB,$N416)=0,"",INDEX(CalcDepB,$N416)),"")</f>
        <v/>
      </c>
      <c r="F416" s="28">
        <f>IF($M416&lt;&gt;"",IF(INDEX(CalcQtyA,$M416)=0,"",INDEX(CalcQtyA,$M416)),"")</f>
        <v/>
      </c>
      <c r="G416" s="28">
        <f>IF($M416&lt;&gt;"",IF(INDEX(CalcPriceA,$M416)=0,"",INDEX(CalcPriceA,$M416)),"")</f>
        <v/>
      </c>
      <c r="H416" s="28">
        <f>IF($N416&lt;&gt;"",IF(INDEX(CalcWitB,$N416)=0,"",INDEX(CalcWitB,$N416)),"")</f>
        <v/>
      </c>
      <c r="I416" s="29">
        <f>IF($M416&lt;&gt;"",INDEX(CalcAmtA,$M416),"")</f>
        <v/>
      </c>
      <c r="J416" s="29">
        <f>IF($B416="","",IF($J415="",$C$8,$J415)+IF($I416="",0,$I416)+IF($E416="",0,$E416)-IF($H416="",0,$H416))</f>
        <v/>
      </c>
      <c r="K416" s="30">
        <f>IF($M416&lt;&gt;"",IF(INDEX(CalcNoteA,$M416)="","—",INDEX(CalcNoteA,$M416)),IF($N416&lt;&gt;"",IF(INDEX(CalcNoteB,$N416)="","—",INDEX(CalcNoteB,$N416)),""))</f>
        <v/>
      </c>
      <c r="M416">
        <f>IFERROR(MATCH($C$5&amp;"|"&amp;RIGHT("000000"&amp;400,6),CalcRankKeyA,0),"")</f>
        <v/>
      </c>
      <c r="N416">
        <f>IFERROR(MATCH($C$5&amp;"|"&amp;RIGHT("000000"&amp;400,6),CalcRankKeyB,0),"")</f>
        <v/>
      </c>
    </row>
    <row r="417">
      <c r="A417" s="21" t="n">
        <v>401</v>
      </c>
      <c r="B417" s="22">
        <f>IF(AND($M417="",$N417=""),"",IF($M417&lt;&gt;"",INDEX(CalcDateA,$M417),INDEX(CalcDateB,$N417)))</f>
        <v/>
      </c>
      <c r="C417" s="22">
        <f>IF($M417&lt;&gt;"","خرید سبد",IF($N417&lt;&gt;"",IF(N(INDEX(CalcDepB,$N417))&gt;0,"دریافت بانکی","پرداخت بانکی"),""))</f>
        <v/>
      </c>
      <c r="D417" s="22">
        <f>IF($M417&lt;&gt;"",IF(INDEX(CalcDocA,$M417)="","—",INDEX(CalcDocA,$M417)),IF($N417&lt;&gt;"",INDEX(CalcBankB,$N417),""))</f>
        <v/>
      </c>
      <c r="E417" s="23">
        <f>IF($N417&lt;&gt;"",IF(INDEX(CalcDepB,$N417)=0,"",INDEX(CalcDepB,$N417)),"")</f>
        <v/>
      </c>
      <c r="F417" s="23">
        <f>IF($M417&lt;&gt;"",IF(INDEX(CalcQtyA,$M417)=0,"",INDEX(CalcQtyA,$M417)),"")</f>
        <v/>
      </c>
      <c r="G417" s="23">
        <f>IF($M417&lt;&gt;"",IF(INDEX(CalcPriceA,$M417)=0,"",INDEX(CalcPriceA,$M417)),"")</f>
        <v/>
      </c>
      <c r="H417" s="23">
        <f>IF($N417&lt;&gt;"",IF(INDEX(CalcWitB,$N417)=0,"",INDEX(CalcWitB,$N417)),"")</f>
        <v/>
      </c>
      <c r="I417" s="24">
        <f>IF($M417&lt;&gt;"",INDEX(CalcAmtA,$M417),"")</f>
        <v/>
      </c>
      <c r="J417" s="24">
        <f>IF($B417="","",IF($J416="",$C$8,$J416)+IF($I417="",0,$I417)+IF($E417="",0,$E417)-IF($H417="",0,$H417))</f>
        <v/>
      </c>
      <c r="K417" s="25">
        <f>IF($M417&lt;&gt;"",IF(INDEX(CalcNoteA,$M417)="","—",INDEX(CalcNoteA,$M417)),IF($N417&lt;&gt;"",IF(INDEX(CalcNoteB,$N417)="","—",INDEX(CalcNoteB,$N417)),""))</f>
        <v/>
      </c>
      <c r="M417">
        <f>IFERROR(MATCH($C$5&amp;"|"&amp;RIGHT("000000"&amp;401,6),CalcRankKeyA,0),"")</f>
        <v/>
      </c>
      <c r="N417">
        <f>IFERROR(MATCH($C$5&amp;"|"&amp;RIGHT("000000"&amp;401,6),CalcRankKeyB,0),"")</f>
        <v/>
      </c>
    </row>
    <row r="418">
      <c r="A418" s="26" t="n">
        <v>402</v>
      </c>
      <c r="B418" s="27">
        <f>IF(AND($M418="",$N418=""),"",IF($M418&lt;&gt;"",INDEX(CalcDateA,$M418),INDEX(CalcDateB,$N418)))</f>
        <v/>
      </c>
      <c r="C418" s="27">
        <f>IF($M418&lt;&gt;"","خرید سبد",IF($N418&lt;&gt;"",IF(N(INDEX(CalcDepB,$N418))&gt;0,"دریافت بانکی","پرداخت بانکی"),""))</f>
        <v/>
      </c>
      <c r="D418" s="27">
        <f>IF($M418&lt;&gt;"",IF(INDEX(CalcDocA,$M418)="","—",INDEX(CalcDocA,$M418)),IF($N418&lt;&gt;"",INDEX(CalcBankB,$N418),""))</f>
        <v/>
      </c>
      <c r="E418" s="28">
        <f>IF($N418&lt;&gt;"",IF(INDEX(CalcDepB,$N418)=0,"",INDEX(CalcDepB,$N418)),"")</f>
        <v/>
      </c>
      <c r="F418" s="28">
        <f>IF($M418&lt;&gt;"",IF(INDEX(CalcQtyA,$M418)=0,"",INDEX(CalcQtyA,$M418)),"")</f>
        <v/>
      </c>
      <c r="G418" s="28">
        <f>IF($M418&lt;&gt;"",IF(INDEX(CalcPriceA,$M418)=0,"",INDEX(CalcPriceA,$M418)),"")</f>
        <v/>
      </c>
      <c r="H418" s="28">
        <f>IF($N418&lt;&gt;"",IF(INDEX(CalcWitB,$N418)=0,"",INDEX(CalcWitB,$N418)),"")</f>
        <v/>
      </c>
      <c r="I418" s="29">
        <f>IF($M418&lt;&gt;"",INDEX(CalcAmtA,$M418),"")</f>
        <v/>
      </c>
      <c r="J418" s="29">
        <f>IF($B418="","",IF($J417="",$C$8,$J417)+IF($I418="",0,$I418)+IF($E418="",0,$E418)-IF($H418="",0,$H418))</f>
        <v/>
      </c>
      <c r="K418" s="30">
        <f>IF($M418&lt;&gt;"",IF(INDEX(CalcNoteA,$M418)="","—",INDEX(CalcNoteA,$M418)),IF($N418&lt;&gt;"",IF(INDEX(CalcNoteB,$N418)="","—",INDEX(CalcNoteB,$N418)),""))</f>
        <v/>
      </c>
      <c r="M418">
        <f>IFERROR(MATCH($C$5&amp;"|"&amp;RIGHT("000000"&amp;402,6),CalcRankKeyA,0),"")</f>
        <v/>
      </c>
      <c r="N418">
        <f>IFERROR(MATCH($C$5&amp;"|"&amp;RIGHT("000000"&amp;402,6),CalcRankKeyB,0),"")</f>
        <v/>
      </c>
    </row>
    <row r="419">
      <c r="A419" s="21" t="n">
        <v>403</v>
      </c>
      <c r="B419" s="22">
        <f>IF(AND($M419="",$N419=""),"",IF($M419&lt;&gt;"",INDEX(CalcDateA,$M419),INDEX(CalcDateB,$N419)))</f>
        <v/>
      </c>
      <c r="C419" s="22">
        <f>IF($M419&lt;&gt;"","خرید سبد",IF($N419&lt;&gt;"",IF(N(INDEX(CalcDepB,$N419))&gt;0,"دریافت بانکی","پرداخت بانکی"),""))</f>
        <v/>
      </c>
      <c r="D419" s="22">
        <f>IF($M419&lt;&gt;"",IF(INDEX(CalcDocA,$M419)="","—",INDEX(CalcDocA,$M419)),IF($N419&lt;&gt;"",INDEX(CalcBankB,$N419),""))</f>
        <v/>
      </c>
      <c r="E419" s="23">
        <f>IF($N419&lt;&gt;"",IF(INDEX(CalcDepB,$N419)=0,"",INDEX(CalcDepB,$N419)),"")</f>
        <v/>
      </c>
      <c r="F419" s="23">
        <f>IF($M419&lt;&gt;"",IF(INDEX(CalcQtyA,$M419)=0,"",INDEX(CalcQtyA,$M419)),"")</f>
        <v/>
      </c>
      <c r="G419" s="23">
        <f>IF($M419&lt;&gt;"",IF(INDEX(CalcPriceA,$M419)=0,"",INDEX(CalcPriceA,$M419)),"")</f>
        <v/>
      </c>
      <c r="H419" s="23">
        <f>IF($N419&lt;&gt;"",IF(INDEX(CalcWitB,$N419)=0,"",INDEX(CalcWitB,$N419)),"")</f>
        <v/>
      </c>
      <c r="I419" s="24">
        <f>IF($M419&lt;&gt;"",INDEX(CalcAmtA,$M419),"")</f>
        <v/>
      </c>
      <c r="J419" s="24">
        <f>IF($B419="","",IF($J418="",$C$8,$J418)+IF($I419="",0,$I419)+IF($E419="",0,$E419)-IF($H419="",0,$H419))</f>
        <v/>
      </c>
      <c r="K419" s="25">
        <f>IF($M419&lt;&gt;"",IF(INDEX(CalcNoteA,$M419)="","—",INDEX(CalcNoteA,$M419)),IF($N419&lt;&gt;"",IF(INDEX(CalcNoteB,$N419)="","—",INDEX(CalcNoteB,$N419)),""))</f>
        <v/>
      </c>
      <c r="M419">
        <f>IFERROR(MATCH($C$5&amp;"|"&amp;RIGHT("000000"&amp;403,6),CalcRankKeyA,0),"")</f>
        <v/>
      </c>
      <c r="N419">
        <f>IFERROR(MATCH($C$5&amp;"|"&amp;RIGHT("000000"&amp;403,6),CalcRankKeyB,0),"")</f>
        <v/>
      </c>
    </row>
    <row r="420">
      <c r="A420" s="26" t="n">
        <v>404</v>
      </c>
      <c r="B420" s="27">
        <f>IF(AND($M420="",$N420=""),"",IF($M420&lt;&gt;"",INDEX(CalcDateA,$M420),INDEX(CalcDateB,$N420)))</f>
        <v/>
      </c>
      <c r="C420" s="27">
        <f>IF($M420&lt;&gt;"","خرید سبد",IF($N420&lt;&gt;"",IF(N(INDEX(CalcDepB,$N420))&gt;0,"دریافت بانکی","پرداخت بانکی"),""))</f>
        <v/>
      </c>
      <c r="D420" s="27">
        <f>IF($M420&lt;&gt;"",IF(INDEX(CalcDocA,$M420)="","—",INDEX(CalcDocA,$M420)),IF($N420&lt;&gt;"",INDEX(CalcBankB,$N420),""))</f>
        <v/>
      </c>
      <c r="E420" s="28">
        <f>IF($N420&lt;&gt;"",IF(INDEX(CalcDepB,$N420)=0,"",INDEX(CalcDepB,$N420)),"")</f>
        <v/>
      </c>
      <c r="F420" s="28">
        <f>IF($M420&lt;&gt;"",IF(INDEX(CalcQtyA,$M420)=0,"",INDEX(CalcQtyA,$M420)),"")</f>
        <v/>
      </c>
      <c r="G420" s="28">
        <f>IF($M420&lt;&gt;"",IF(INDEX(CalcPriceA,$M420)=0,"",INDEX(CalcPriceA,$M420)),"")</f>
        <v/>
      </c>
      <c r="H420" s="28">
        <f>IF($N420&lt;&gt;"",IF(INDEX(CalcWitB,$N420)=0,"",INDEX(CalcWitB,$N420)),"")</f>
        <v/>
      </c>
      <c r="I420" s="29">
        <f>IF($M420&lt;&gt;"",INDEX(CalcAmtA,$M420),"")</f>
        <v/>
      </c>
      <c r="J420" s="29">
        <f>IF($B420="","",IF($J419="",$C$8,$J419)+IF($I420="",0,$I420)+IF($E420="",0,$E420)-IF($H420="",0,$H420))</f>
        <v/>
      </c>
      <c r="K420" s="30">
        <f>IF($M420&lt;&gt;"",IF(INDEX(CalcNoteA,$M420)="","—",INDEX(CalcNoteA,$M420)),IF($N420&lt;&gt;"",IF(INDEX(CalcNoteB,$N420)="","—",INDEX(CalcNoteB,$N420)),""))</f>
        <v/>
      </c>
      <c r="M420">
        <f>IFERROR(MATCH($C$5&amp;"|"&amp;RIGHT("000000"&amp;404,6),CalcRankKeyA,0),"")</f>
        <v/>
      </c>
      <c r="N420">
        <f>IFERROR(MATCH($C$5&amp;"|"&amp;RIGHT("000000"&amp;404,6),CalcRankKeyB,0),"")</f>
        <v/>
      </c>
    </row>
    <row r="421">
      <c r="A421" s="21" t="n">
        <v>405</v>
      </c>
      <c r="B421" s="22">
        <f>IF(AND($M421="",$N421=""),"",IF($M421&lt;&gt;"",INDEX(CalcDateA,$M421),INDEX(CalcDateB,$N421)))</f>
        <v/>
      </c>
      <c r="C421" s="22">
        <f>IF($M421&lt;&gt;"","خرید سبد",IF($N421&lt;&gt;"",IF(N(INDEX(CalcDepB,$N421))&gt;0,"دریافت بانکی","پرداخت بانکی"),""))</f>
        <v/>
      </c>
      <c r="D421" s="22">
        <f>IF($M421&lt;&gt;"",IF(INDEX(CalcDocA,$M421)="","—",INDEX(CalcDocA,$M421)),IF($N421&lt;&gt;"",INDEX(CalcBankB,$N421),""))</f>
        <v/>
      </c>
      <c r="E421" s="23">
        <f>IF($N421&lt;&gt;"",IF(INDEX(CalcDepB,$N421)=0,"",INDEX(CalcDepB,$N421)),"")</f>
        <v/>
      </c>
      <c r="F421" s="23">
        <f>IF($M421&lt;&gt;"",IF(INDEX(CalcQtyA,$M421)=0,"",INDEX(CalcQtyA,$M421)),"")</f>
        <v/>
      </c>
      <c r="G421" s="23">
        <f>IF($M421&lt;&gt;"",IF(INDEX(CalcPriceA,$M421)=0,"",INDEX(CalcPriceA,$M421)),"")</f>
        <v/>
      </c>
      <c r="H421" s="23">
        <f>IF($N421&lt;&gt;"",IF(INDEX(CalcWitB,$N421)=0,"",INDEX(CalcWitB,$N421)),"")</f>
        <v/>
      </c>
      <c r="I421" s="24">
        <f>IF($M421&lt;&gt;"",INDEX(CalcAmtA,$M421),"")</f>
        <v/>
      </c>
      <c r="J421" s="24">
        <f>IF($B421="","",IF($J420="",$C$8,$J420)+IF($I421="",0,$I421)+IF($E421="",0,$E421)-IF($H421="",0,$H421))</f>
        <v/>
      </c>
      <c r="K421" s="25">
        <f>IF($M421&lt;&gt;"",IF(INDEX(CalcNoteA,$M421)="","—",INDEX(CalcNoteA,$M421)),IF($N421&lt;&gt;"",IF(INDEX(CalcNoteB,$N421)="","—",INDEX(CalcNoteB,$N421)),""))</f>
        <v/>
      </c>
      <c r="M421">
        <f>IFERROR(MATCH($C$5&amp;"|"&amp;RIGHT("000000"&amp;405,6),CalcRankKeyA,0),"")</f>
        <v/>
      </c>
      <c r="N421">
        <f>IFERROR(MATCH($C$5&amp;"|"&amp;RIGHT("000000"&amp;405,6),CalcRankKeyB,0),"")</f>
        <v/>
      </c>
    </row>
    <row r="422">
      <c r="A422" s="26" t="n">
        <v>406</v>
      </c>
      <c r="B422" s="27">
        <f>IF(AND($M422="",$N422=""),"",IF($M422&lt;&gt;"",INDEX(CalcDateA,$M422),INDEX(CalcDateB,$N422)))</f>
        <v/>
      </c>
      <c r="C422" s="27">
        <f>IF($M422&lt;&gt;"","خرید سبد",IF($N422&lt;&gt;"",IF(N(INDEX(CalcDepB,$N422))&gt;0,"دریافت بانکی","پرداخت بانکی"),""))</f>
        <v/>
      </c>
      <c r="D422" s="27">
        <f>IF($M422&lt;&gt;"",IF(INDEX(CalcDocA,$M422)="","—",INDEX(CalcDocA,$M422)),IF($N422&lt;&gt;"",INDEX(CalcBankB,$N422),""))</f>
        <v/>
      </c>
      <c r="E422" s="28">
        <f>IF($N422&lt;&gt;"",IF(INDEX(CalcDepB,$N422)=0,"",INDEX(CalcDepB,$N422)),"")</f>
        <v/>
      </c>
      <c r="F422" s="28">
        <f>IF($M422&lt;&gt;"",IF(INDEX(CalcQtyA,$M422)=0,"",INDEX(CalcQtyA,$M422)),"")</f>
        <v/>
      </c>
      <c r="G422" s="28">
        <f>IF($M422&lt;&gt;"",IF(INDEX(CalcPriceA,$M422)=0,"",INDEX(CalcPriceA,$M422)),"")</f>
        <v/>
      </c>
      <c r="H422" s="28">
        <f>IF($N422&lt;&gt;"",IF(INDEX(CalcWitB,$N422)=0,"",INDEX(CalcWitB,$N422)),"")</f>
        <v/>
      </c>
      <c r="I422" s="29">
        <f>IF($M422&lt;&gt;"",INDEX(CalcAmtA,$M422),"")</f>
        <v/>
      </c>
      <c r="J422" s="29">
        <f>IF($B422="","",IF($J421="",$C$8,$J421)+IF($I422="",0,$I422)+IF($E422="",0,$E422)-IF($H422="",0,$H422))</f>
        <v/>
      </c>
      <c r="K422" s="30">
        <f>IF($M422&lt;&gt;"",IF(INDEX(CalcNoteA,$M422)="","—",INDEX(CalcNoteA,$M422)),IF($N422&lt;&gt;"",IF(INDEX(CalcNoteB,$N422)="","—",INDEX(CalcNoteB,$N422)),""))</f>
        <v/>
      </c>
      <c r="M422">
        <f>IFERROR(MATCH($C$5&amp;"|"&amp;RIGHT("000000"&amp;406,6),CalcRankKeyA,0),"")</f>
        <v/>
      </c>
      <c r="N422">
        <f>IFERROR(MATCH($C$5&amp;"|"&amp;RIGHT("000000"&amp;406,6),CalcRankKeyB,0),"")</f>
        <v/>
      </c>
    </row>
    <row r="423">
      <c r="A423" s="21" t="n">
        <v>407</v>
      </c>
      <c r="B423" s="22">
        <f>IF(AND($M423="",$N423=""),"",IF($M423&lt;&gt;"",INDEX(CalcDateA,$M423),INDEX(CalcDateB,$N423)))</f>
        <v/>
      </c>
      <c r="C423" s="22">
        <f>IF($M423&lt;&gt;"","خرید سبد",IF($N423&lt;&gt;"",IF(N(INDEX(CalcDepB,$N423))&gt;0,"دریافت بانکی","پرداخت بانکی"),""))</f>
        <v/>
      </c>
      <c r="D423" s="22">
        <f>IF($M423&lt;&gt;"",IF(INDEX(CalcDocA,$M423)="","—",INDEX(CalcDocA,$M423)),IF($N423&lt;&gt;"",INDEX(CalcBankB,$N423),""))</f>
        <v/>
      </c>
      <c r="E423" s="23">
        <f>IF($N423&lt;&gt;"",IF(INDEX(CalcDepB,$N423)=0,"",INDEX(CalcDepB,$N423)),"")</f>
        <v/>
      </c>
      <c r="F423" s="23">
        <f>IF($M423&lt;&gt;"",IF(INDEX(CalcQtyA,$M423)=0,"",INDEX(CalcQtyA,$M423)),"")</f>
        <v/>
      </c>
      <c r="G423" s="23">
        <f>IF($M423&lt;&gt;"",IF(INDEX(CalcPriceA,$M423)=0,"",INDEX(CalcPriceA,$M423)),"")</f>
        <v/>
      </c>
      <c r="H423" s="23">
        <f>IF($N423&lt;&gt;"",IF(INDEX(CalcWitB,$N423)=0,"",INDEX(CalcWitB,$N423)),"")</f>
        <v/>
      </c>
      <c r="I423" s="24">
        <f>IF($M423&lt;&gt;"",INDEX(CalcAmtA,$M423),"")</f>
        <v/>
      </c>
      <c r="J423" s="24">
        <f>IF($B423="","",IF($J422="",$C$8,$J422)+IF($I423="",0,$I423)+IF($E423="",0,$E423)-IF($H423="",0,$H423))</f>
        <v/>
      </c>
      <c r="K423" s="25">
        <f>IF($M423&lt;&gt;"",IF(INDEX(CalcNoteA,$M423)="","—",INDEX(CalcNoteA,$M423)),IF($N423&lt;&gt;"",IF(INDEX(CalcNoteB,$N423)="","—",INDEX(CalcNoteB,$N423)),""))</f>
        <v/>
      </c>
      <c r="M423">
        <f>IFERROR(MATCH($C$5&amp;"|"&amp;RIGHT("000000"&amp;407,6),CalcRankKeyA,0),"")</f>
        <v/>
      </c>
      <c r="N423">
        <f>IFERROR(MATCH($C$5&amp;"|"&amp;RIGHT("000000"&amp;407,6),CalcRankKeyB,0),"")</f>
        <v/>
      </c>
    </row>
    <row r="424">
      <c r="A424" s="26" t="n">
        <v>408</v>
      </c>
      <c r="B424" s="27">
        <f>IF(AND($M424="",$N424=""),"",IF($M424&lt;&gt;"",INDEX(CalcDateA,$M424),INDEX(CalcDateB,$N424)))</f>
        <v/>
      </c>
      <c r="C424" s="27">
        <f>IF($M424&lt;&gt;"","خرید سبد",IF($N424&lt;&gt;"",IF(N(INDEX(CalcDepB,$N424))&gt;0,"دریافت بانکی","پرداخت بانکی"),""))</f>
        <v/>
      </c>
      <c r="D424" s="27">
        <f>IF($M424&lt;&gt;"",IF(INDEX(CalcDocA,$M424)="","—",INDEX(CalcDocA,$M424)),IF($N424&lt;&gt;"",INDEX(CalcBankB,$N424),""))</f>
        <v/>
      </c>
      <c r="E424" s="28">
        <f>IF($N424&lt;&gt;"",IF(INDEX(CalcDepB,$N424)=0,"",INDEX(CalcDepB,$N424)),"")</f>
        <v/>
      </c>
      <c r="F424" s="28">
        <f>IF($M424&lt;&gt;"",IF(INDEX(CalcQtyA,$M424)=0,"",INDEX(CalcQtyA,$M424)),"")</f>
        <v/>
      </c>
      <c r="G424" s="28">
        <f>IF($M424&lt;&gt;"",IF(INDEX(CalcPriceA,$M424)=0,"",INDEX(CalcPriceA,$M424)),"")</f>
        <v/>
      </c>
      <c r="H424" s="28">
        <f>IF($N424&lt;&gt;"",IF(INDEX(CalcWitB,$N424)=0,"",INDEX(CalcWitB,$N424)),"")</f>
        <v/>
      </c>
      <c r="I424" s="29">
        <f>IF($M424&lt;&gt;"",INDEX(CalcAmtA,$M424),"")</f>
        <v/>
      </c>
      <c r="J424" s="29">
        <f>IF($B424="","",IF($J423="",$C$8,$J423)+IF($I424="",0,$I424)+IF($E424="",0,$E424)-IF($H424="",0,$H424))</f>
        <v/>
      </c>
      <c r="K424" s="30">
        <f>IF($M424&lt;&gt;"",IF(INDEX(CalcNoteA,$M424)="","—",INDEX(CalcNoteA,$M424)),IF($N424&lt;&gt;"",IF(INDEX(CalcNoteB,$N424)="","—",INDEX(CalcNoteB,$N424)),""))</f>
        <v/>
      </c>
      <c r="M424">
        <f>IFERROR(MATCH($C$5&amp;"|"&amp;RIGHT("000000"&amp;408,6),CalcRankKeyA,0),"")</f>
        <v/>
      </c>
      <c r="N424">
        <f>IFERROR(MATCH($C$5&amp;"|"&amp;RIGHT("000000"&amp;408,6),CalcRankKeyB,0),"")</f>
        <v/>
      </c>
    </row>
    <row r="425">
      <c r="A425" s="21" t="n">
        <v>409</v>
      </c>
      <c r="B425" s="22">
        <f>IF(AND($M425="",$N425=""),"",IF($M425&lt;&gt;"",INDEX(CalcDateA,$M425),INDEX(CalcDateB,$N425)))</f>
        <v/>
      </c>
      <c r="C425" s="22">
        <f>IF($M425&lt;&gt;"","خرید سبد",IF($N425&lt;&gt;"",IF(N(INDEX(CalcDepB,$N425))&gt;0,"دریافت بانکی","پرداخت بانکی"),""))</f>
        <v/>
      </c>
      <c r="D425" s="22">
        <f>IF($M425&lt;&gt;"",IF(INDEX(CalcDocA,$M425)="","—",INDEX(CalcDocA,$M425)),IF($N425&lt;&gt;"",INDEX(CalcBankB,$N425),""))</f>
        <v/>
      </c>
      <c r="E425" s="23">
        <f>IF($N425&lt;&gt;"",IF(INDEX(CalcDepB,$N425)=0,"",INDEX(CalcDepB,$N425)),"")</f>
        <v/>
      </c>
      <c r="F425" s="23">
        <f>IF($M425&lt;&gt;"",IF(INDEX(CalcQtyA,$M425)=0,"",INDEX(CalcQtyA,$M425)),"")</f>
        <v/>
      </c>
      <c r="G425" s="23">
        <f>IF($M425&lt;&gt;"",IF(INDEX(CalcPriceA,$M425)=0,"",INDEX(CalcPriceA,$M425)),"")</f>
        <v/>
      </c>
      <c r="H425" s="23">
        <f>IF($N425&lt;&gt;"",IF(INDEX(CalcWitB,$N425)=0,"",INDEX(CalcWitB,$N425)),"")</f>
        <v/>
      </c>
      <c r="I425" s="24">
        <f>IF($M425&lt;&gt;"",INDEX(CalcAmtA,$M425),"")</f>
        <v/>
      </c>
      <c r="J425" s="24">
        <f>IF($B425="","",IF($J424="",$C$8,$J424)+IF($I425="",0,$I425)+IF($E425="",0,$E425)-IF($H425="",0,$H425))</f>
        <v/>
      </c>
      <c r="K425" s="25">
        <f>IF($M425&lt;&gt;"",IF(INDEX(CalcNoteA,$M425)="","—",INDEX(CalcNoteA,$M425)),IF($N425&lt;&gt;"",IF(INDEX(CalcNoteB,$N425)="","—",INDEX(CalcNoteB,$N425)),""))</f>
        <v/>
      </c>
      <c r="M425">
        <f>IFERROR(MATCH($C$5&amp;"|"&amp;RIGHT("000000"&amp;409,6),CalcRankKeyA,0),"")</f>
        <v/>
      </c>
      <c r="N425">
        <f>IFERROR(MATCH($C$5&amp;"|"&amp;RIGHT("000000"&amp;409,6),CalcRankKeyB,0),"")</f>
        <v/>
      </c>
    </row>
    <row r="426">
      <c r="A426" s="26" t="n">
        <v>410</v>
      </c>
      <c r="B426" s="27">
        <f>IF(AND($M426="",$N426=""),"",IF($M426&lt;&gt;"",INDEX(CalcDateA,$M426),INDEX(CalcDateB,$N426)))</f>
        <v/>
      </c>
      <c r="C426" s="27">
        <f>IF($M426&lt;&gt;"","خرید سبد",IF($N426&lt;&gt;"",IF(N(INDEX(CalcDepB,$N426))&gt;0,"دریافت بانکی","پرداخت بانکی"),""))</f>
        <v/>
      </c>
      <c r="D426" s="27">
        <f>IF($M426&lt;&gt;"",IF(INDEX(CalcDocA,$M426)="","—",INDEX(CalcDocA,$M426)),IF($N426&lt;&gt;"",INDEX(CalcBankB,$N426),""))</f>
        <v/>
      </c>
      <c r="E426" s="28">
        <f>IF($N426&lt;&gt;"",IF(INDEX(CalcDepB,$N426)=0,"",INDEX(CalcDepB,$N426)),"")</f>
        <v/>
      </c>
      <c r="F426" s="28">
        <f>IF($M426&lt;&gt;"",IF(INDEX(CalcQtyA,$M426)=0,"",INDEX(CalcQtyA,$M426)),"")</f>
        <v/>
      </c>
      <c r="G426" s="28">
        <f>IF($M426&lt;&gt;"",IF(INDEX(CalcPriceA,$M426)=0,"",INDEX(CalcPriceA,$M426)),"")</f>
        <v/>
      </c>
      <c r="H426" s="28">
        <f>IF($N426&lt;&gt;"",IF(INDEX(CalcWitB,$N426)=0,"",INDEX(CalcWitB,$N426)),"")</f>
        <v/>
      </c>
      <c r="I426" s="29">
        <f>IF($M426&lt;&gt;"",INDEX(CalcAmtA,$M426),"")</f>
        <v/>
      </c>
      <c r="J426" s="29">
        <f>IF($B426="","",IF($J425="",$C$8,$J425)+IF($I426="",0,$I426)+IF($E426="",0,$E426)-IF($H426="",0,$H426))</f>
        <v/>
      </c>
      <c r="K426" s="30">
        <f>IF($M426&lt;&gt;"",IF(INDEX(CalcNoteA,$M426)="","—",INDEX(CalcNoteA,$M426)),IF($N426&lt;&gt;"",IF(INDEX(CalcNoteB,$N426)="","—",INDEX(CalcNoteB,$N426)),""))</f>
        <v/>
      </c>
      <c r="M426">
        <f>IFERROR(MATCH($C$5&amp;"|"&amp;RIGHT("000000"&amp;410,6),CalcRankKeyA,0),"")</f>
        <v/>
      </c>
      <c r="N426">
        <f>IFERROR(MATCH($C$5&amp;"|"&amp;RIGHT("000000"&amp;410,6),CalcRankKeyB,0),"")</f>
        <v/>
      </c>
    </row>
    <row r="427">
      <c r="A427" s="21" t="n">
        <v>411</v>
      </c>
      <c r="B427" s="22">
        <f>IF(AND($M427="",$N427=""),"",IF($M427&lt;&gt;"",INDEX(CalcDateA,$M427),INDEX(CalcDateB,$N427)))</f>
        <v/>
      </c>
      <c r="C427" s="22">
        <f>IF($M427&lt;&gt;"","خرید سبد",IF($N427&lt;&gt;"",IF(N(INDEX(CalcDepB,$N427))&gt;0,"دریافت بانکی","پرداخت بانکی"),""))</f>
        <v/>
      </c>
      <c r="D427" s="22">
        <f>IF($M427&lt;&gt;"",IF(INDEX(CalcDocA,$M427)="","—",INDEX(CalcDocA,$M427)),IF($N427&lt;&gt;"",INDEX(CalcBankB,$N427),""))</f>
        <v/>
      </c>
      <c r="E427" s="23">
        <f>IF($N427&lt;&gt;"",IF(INDEX(CalcDepB,$N427)=0,"",INDEX(CalcDepB,$N427)),"")</f>
        <v/>
      </c>
      <c r="F427" s="23">
        <f>IF($M427&lt;&gt;"",IF(INDEX(CalcQtyA,$M427)=0,"",INDEX(CalcQtyA,$M427)),"")</f>
        <v/>
      </c>
      <c r="G427" s="23">
        <f>IF($M427&lt;&gt;"",IF(INDEX(CalcPriceA,$M427)=0,"",INDEX(CalcPriceA,$M427)),"")</f>
        <v/>
      </c>
      <c r="H427" s="23">
        <f>IF($N427&lt;&gt;"",IF(INDEX(CalcWitB,$N427)=0,"",INDEX(CalcWitB,$N427)),"")</f>
        <v/>
      </c>
      <c r="I427" s="24">
        <f>IF($M427&lt;&gt;"",INDEX(CalcAmtA,$M427),"")</f>
        <v/>
      </c>
      <c r="J427" s="24">
        <f>IF($B427="","",IF($J426="",$C$8,$J426)+IF($I427="",0,$I427)+IF($E427="",0,$E427)-IF($H427="",0,$H427))</f>
        <v/>
      </c>
      <c r="K427" s="25">
        <f>IF($M427&lt;&gt;"",IF(INDEX(CalcNoteA,$M427)="","—",INDEX(CalcNoteA,$M427)),IF($N427&lt;&gt;"",IF(INDEX(CalcNoteB,$N427)="","—",INDEX(CalcNoteB,$N427)),""))</f>
        <v/>
      </c>
      <c r="M427">
        <f>IFERROR(MATCH($C$5&amp;"|"&amp;RIGHT("000000"&amp;411,6),CalcRankKeyA,0),"")</f>
        <v/>
      </c>
      <c r="N427">
        <f>IFERROR(MATCH($C$5&amp;"|"&amp;RIGHT("000000"&amp;411,6),CalcRankKeyB,0),"")</f>
        <v/>
      </c>
    </row>
    <row r="428">
      <c r="A428" s="26" t="n">
        <v>412</v>
      </c>
      <c r="B428" s="27">
        <f>IF(AND($M428="",$N428=""),"",IF($M428&lt;&gt;"",INDEX(CalcDateA,$M428),INDEX(CalcDateB,$N428)))</f>
        <v/>
      </c>
      <c r="C428" s="27">
        <f>IF($M428&lt;&gt;"","خرید سبد",IF($N428&lt;&gt;"",IF(N(INDEX(CalcDepB,$N428))&gt;0,"دریافت بانکی","پرداخت بانکی"),""))</f>
        <v/>
      </c>
      <c r="D428" s="27">
        <f>IF($M428&lt;&gt;"",IF(INDEX(CalcDocA,$M428)="","—",INDEX(CalcDocA,$M428)),IF($N428&lt;&gt;"",INDEX(CalcBankB,$N428),""))</f>
        <v/>
      </c>
      <c r="E428" s="28">
        <f>IF($N428&lt;&gt;"",IF(INDEX(CalcDepB,$N428)=0,"",INDEX(CalcDepB,$N428)),"")</f>
        <v/>
      </c>
      <c r="F428" s="28">
        <f>IF($M428&lt;&gt;"",IF(INDEX(CalcQtyA,$M428)=0,"",INDEX(CalcQtyA,$M428)),"")</f>
        <v/>
      </c>
      <c r="G428" s="28">
        <f>IF($M428&lt;&gt;"",IF(INDEX(CalcPriceA,$M428)=0,"",INDEX(CalcPriceA,$M428)),"")</f>
        <v/>
      </c>
      <c r="H428" s="28">
        <f>IF($N428&lt;&gt;"",IF(INDEX(CalcWitB,$N428)=0,"",INDEX(CalcWitB,$N428)),"")</f>
        <v/>
      </c>
      <c r="I428" s="29">
        <f>IF($M428&lt;&gt;"",INDEX(CalcAmtA,$M428),"")</f>
        <v/>
      </c>
      <c r="J428" s="29">
        <f>IF($B428="","",IF($J427="",$C$8,$J427)+IF($I428="",0,$I428)+IF($E428="",0,$E428)-IF($H428="",0,$H428))</f>
        <v/>
      </c>
      <c r="K428" s="30">
        <f>IF($M428&lt;&gt;"",IF(INDEX(CalcNoteA,$M428)="","—",INDEX(CalcNoteA,$M428)),IF($N428&lt;&gt;"",IF(INDEX(CalcNoteB,$N428)="","—",INDEX(CalcNoteB,$N428)),""))</f>
        <v/>
      </c>
      <c r="M428">
        <f>IFERROR(MATCH($C$5&amp;"|"&amp;RIGHT("000000"&amp;412,6),CalcRankKeyA,0),"")</f>
        <v/>
      </c>
      <c r="N428">
        <f>IFERROR(MATCH($C$5&amp;"|"&amp;RIGHT("000000"&amp;412,6),CalcRankKeyB,0),"")</f>
        <v/>
      </c>
    </row>
    <row r="429">
      <c r="A429" s="21" t="n">
        <v>413</v>
      </c>
      <c r="B429" s="22">
        <f>IF(AND($M429="",$N429=""),"",IF($M429&lt;&gt;"",INDEX(CalcDateA,$M429),INDEX(CalcDateB,$N429)))</f>
        <v/>
      </c>
      <c r="C429" s="22">
        <f>IF($M429&lt;&gt;"","خرید سبد",IF($N429&lt;&gt;"",IF(N(INDEX(CalcDepB,$N429))&gt;0,"دریافت بانکی","پرداخت بانکی"),""))</f>
        <v/>
      </c>
      <c r="D429" s="22">
        <f>IF($M429&lt;&gt;"",IF(INDEX(CalcDocA,$M429)="","—",INDEX(CalcDocA,$M429)),IF($N429&lt;&gt;"",INDEX(CalcBankB,$N429),""))</f>
        <v/>
      </c>
      <c r="E429" s="23">
        <f>IF($N429&lt;&gt;"",IF(INDEX(CalcDepB,$N429)=0,"",INDEX(CalcDepB,$N429)),"")</f>
        <v/>
      </c>
      <c r="F429" s="23">
        <f>IF($M429&lt;&gt;"",IF(INDEX(CalcQtyA,$M429)=0,"",INDEX(CalcQtyA,$M429)),"")</f>
        <v/>
      </c>
      <c r="G429" s="23">
        <f>IF($M429&lt;&gt;"",IF(INDEX(CalcPriceA,$M429)=0,"",INDEX(CalcPriceA,$M429)),"")</f>
        <v/>
      </c>
      <c r="H429" s="23">
        <f>IF($N429&lt;&gt;"",IF(INDEX(CalcWitB,$N429)=0,"",INDEX(CalcWitB,$N429)),"")</f>
        <v/>
      </c>
      <c r="I429" s="24">
        <f>IF($M429&lt;&gt;"",INDEX(CalcAmtA,$M429),"")</f>
        <v/>
      </c>
      <c r="J429" s="24">
        <f>IF($B429="","",IF($J428="",$C$8,$J428)+IF($I429="",0,$I429)+IF($E429="",0,$E429)-IF($H429="",0,$H429))</f>
        <v/>
      </c>
      <c r="K429" s="25">
        <f>IF($M429&lt;&gt;"",IF(INDEX(CalcNoteA,$M429)="","—",INDEX(CalcNoteA,$M429)),IF($N429&lt;&gt;"",IF(INDEX(CalcNoteB,$N429)="","—",INDEX(CalcNoteB,$N429)),""))</f>
        <v/>
      </c>
      <c r="M429">
        <f>IFERROR(MATCH($C$5&amp;"|"&amp;RIGHT("000000"&amp;413,6),CalcRankKeyA,0),"")</f>
        <v/>
      </c>
      <c r="N429">
        <f>IFERROR(MATCH($C$5&amp;"|"&amp;RIGHT("000000"&amp;413,6),CalcRankKeyB,0),"")</f>
        <v/>
      </c>
    </row>
    <row r="430">
      <c r="A430" s="26" t="n">
        <v>414</v>
      </c>
      <c r="B430" s="27">
        <f>IF(AND($M430="",$N430=""),"",IF($M430&lt;&gt;"",INDEX(CalcDateA,$M430),INDEX(CalcDateB,$N430)))</f>
        <v/>
      </c>
      <c r="C430" s="27">
        <f>IF($M430&lt;&gt;"","خرید سبد",IF($N430&lt;&gt;"",IF(N(INDEX(CalcDepB,$N430))&gt;0,"دریافت بانکی","پرداخت بانکی"),""))</f>
        <v/>
      </c>
      <c r="D430" s="27">
        <f>IF($M430&lt;&gt;"",IF(INDEX(CalcDocA,$M430)="","—",INDEX(CalcDocA,$M430)),IF($N430&lt;&gt;"",INDEX(CalcBankB,$N430),""))</f>
        <v/>
      </c>
      <c r="E430" s="28">
        <f>IF($N430&lt;&gt;"",IF(INDEX(CalcDepB,$N430)=0,"",INDEX(CalcDepB,$N430)),"")</f>
        <v/>
      </c>
      <c r="F430" s="28">
        <f>IF($M430&lt;&gt;"",IF(INDEX(CalcQtyA,$M430)=0,"",INDEX(CalcQtyA,$M430)),"")</f>
        <v/>
      </c>
      <c r="G430" s="28">
        <f>IF($M430&lt;&gt;"",IF(INDEX(CalcPriceA,$M430)=0,"",INDEX(CalcPriceA,$M430)),"")</f>
        <v/>
      </c>
      <c r="H430" s="28">
        <f>IF($N430&lt;&gt;"",IF(INDEX(CalcWitB,$N430)=0,"",INDEX(CalcWitB,$N430)),"")</f>
        <v/>
      </c>
      <c r="I430" s="29">
        <f>IF($M430&lt;&gt;"",INDEX(CalcAmtA,$M430),"")</f>
        <v/>
      </c>
      <c r="J430" s="29">
        <f>IF($B430="","",IF($J429="",$C$8,$J429)+IF($I430="",0,$I430)+IF($E430="",0,$E430)-IF($H430="",0,$H430))</f>
        <v/>
      </c>
      <c r="K430" s="30">
        <f>IF($M430&lt;&gt;"",IF(INDEX(CalcNoteA,$M430)="","—",INDEX(CalcNoteA,$M430)),IF($N430&lt;&gt;"",IF(INDEX(CalcNoteB,$N430)="","—",INDEX(CalcNoteB,$N430)),""))</f>
        <v/>
      </c>
      <c r="M430">
        <f>IFERROR(MATCH($C$5&amp;"|"&amp;RIGHT("000000"&amp;414,6),CalcRankKeyA,0),"")</f>
        <v/>
      </c>
      <c r="N430">
        <f>IFERROR(MATCH($C$5&amp;"|"&amp;RIGHT("000000"&amp;414,6),CalcRankKeyB,0),"")</f>
        <v/>
      </c>
    </row>
    <row r="431">
      <c r="A431" s="21" t="n">
        <v>415</v>
      </c>
      <c r="B431" s="22">
        <f>IF(AND($M431="",$N431=""),"",IF($M431&lt;&gt;"",INDEX(CalcDateA,$M431),INDEX(CalcDateB,$N431)))</f>
        <v/>
      </c>
      <c r="C431" s="22">
        <f>IF($M431&lt;&gt;"","خرید سبد",IF($N431&lt;&gt;"",IF(N(INDEX(CalcDepB,$N431))&gt;0,"دریافت بانکی","پرداخت بانکی"),""))</f>
        <v/>
      </c>
      <c r="D431" s="22">
        <f>IF($M431&lt;&gt;"",IF(INDEX(CalcDocA,$M431)="","—",INDEX(CalcDocA,$M431)),IF($N431&lt;&gt;"",INDEX(CalcBankB,$N431),""))</f>
        <v/>
      </c>
      <c r="E431" s="23">
        <f>IF($N431&lt;&gt;"",IF(INDEX(CalcDepB,$N431)=0,"",INDEX(CalcDepB,$N431)),"")</f>
        <v/>
      </c>
      <c r="F431" s="23">
        <f>IF($M431&lt;&gt;"",IF(INDEX(CalcQtyA,$M431)=0,"",INDEX(CalcQtyA,$M431)),"")</f>
        <v/>
      </c>
      <c r="G431" s="23">
        <f>IF($M431&lt;&gt;"",IF(INDEX(CalcPriceA,$M431)=0,"",INDEX(CalcPriceA,$M431)),"")</f>
        <v/>
      </c>
      <c r="H431" s="23">
        <f>IF($N431&lt;&gt;"",IF(INDEX(CalcWitB,$N431)=0,"",INDEX(CalcWitB,$N431)),"")</f>
        <v/>
      </c>
      <c r="I431" s="24">
        <f>IF($M431&lt;&gt;"",INDEX(CalcAmtA,$M431),"")</f>
        <v/>
      </c>
      <c r="J431" s="24">
        <f>IF($B431="","",IF($J430="",$C$8,$J430)+IF($I431="",0,$I431)+IF($E431="",0,$E431)-IF($H431="",0,$H431))</f>
        <v/>
      </c>
      <c r="K431" s="25">
        <f>IF($M431&lt;&gt;"",IF(INDEX(CalcNoteA,$M431)="","—",INDEX(CalcNoteA,$M431)),IF($N431&lt;&gt;"",IF(INDEX(CalcNoteB,$N431)="","—",INDEX(CalcNoteB,$N431)),""))</f>
        <v/>
      </c>
      <c r="M431">
        <f>IFERROR(MATCH($C$5&amp;"|"&amp;RIGHT("000000"&amp;415,6),CalcRankKeyA,0),"")</f>
        <v/>
      </c>
      <c r="N431">
        <f>IFERROR(MATCH($C$5&amp;"|"&amp;RIGHT("000000"&amp;415,6),CalcRankKeyB,0),"")</f>
        <v/>
      </c>
    </row>
    <row r="432">
      <c r="A432" s="26" t="n">
        <v>416</v>
      </c>
      <c r="B432" s="27">
        <f>IF(AND($M432="",$N432=""),"",IF($M432&lt;&gt;"",INDEX(CalcDateA,$M432),INDEX(CalcDateB,$N432)))</f>
        <v/>
      </c>
      <c r="C432" s="27">
        <f>IF($M432&lt;&gt;"","خرید سبد",IF($N432&lt;&gt;"",IF(N(INDEX(CalcDepB,$N432))&gt;0,"دریافت بانکی","پرداخت بانکی"),""))</f>
        <v/>
      </c>
      <c r="D432" s="27">
        <f>IF($M432&lt;&gt;"",IF(INDEX(CalcDocA,$M432)="","—",INDEX(CalcDocA,$M432)),IF($N432&lt;&gt;"",INDEX(CalcBankB,$N432),""))</f>
        <v/>
      </c>
      <c r="E432" s="28">
        <f>IF($N432&lt;&gt;"",IF(INDEX(CalcDepB,$N432)=0,"",INDEX(CalcDepB,$N432)),"")</f>
        <v/>
      </c>
      <c r="F432" s="28">
        <f>IF($M432&lt;&gt;"",IF(INDEX(CalcQtyA,$M432)=0,"",INDEX(CalcQtyA,$M432)),"")</f>
        <v/>
      </c>
      <c r="G432" s="28">
        <f>IF($M432&lt;&gt;"",IF(INDEX(CalcPriceA,$M432)=0,"",INDEX(CalcPriceA,$M432)),"")</f>
        <v/>
      </c>
      <c r="H432" s="28">
        <f>IF($N432&lt;&gt;"",IF(INDEX(CalcWitB,$N432)=0,"",INDEX(CalcWitB,$N432)),"")</f>
        <v/>
      </c>
      <c r="I432" s="29">
        <f>IF($M432&lt;&gt;"",INDEX(CalcAmtA,$M432),"")</f>
        <v/>
      </c>
      <c r="J432" s="29">
        <f>IF($B432="","",IF($J431="",$C$8,$J431)+IF($I432="",0,$I432)+IF($E432="",0,$E432)-IF($H432="",0,$H432))</f>
        <v/>
      </c>
      <c r="K432" s="30">
        <f>IF($M432&lt;&gt;"",IF(INDEX(CalcNoteA,$M432)="","—",INDEX(CalcNoteA,$M432)),IF($N432&lt;&gt;"",IF(INDEX(CalcNoteB,$N432)="","—",INDEX(CalcNoteB,$N432)),""))</f>
        <v/>
      </c>
      <c r="M432">
        <f>IFERROR(MATCH($C$5&amp;"|"&amp;RIGHT("000000"&amp;416,6),CalcRankKeyA,0),"")</f>
        <v/>
      </c>
      <c r="N432">
        <f>IFERROR(MATCH($C$5&amp;"|"&amp;RIGHT("000000"&amp;416,6),CalcRankKeyB,0),"")</f>
        <v/>
      </c>
    </row>
    <row r="433">
      <c r="A433" s="21" t="n">
        <v>417</v>
      </c>
      <c r="B433" s="22">
        <f>IF(AND($M433="",$N433=""),"",IF($M433&lt;&gt;"",INDEX(CalcDateA,$M433),INDEX(CalcDateB,$N433)))</f>
        <v/>
      </c>
      <c r="C433" s="22">
        <f>IF($M433&lt;&gt;"","خرید سبد",IF($N433&lt;&gt;"",IF(N(INDEX(CalcDepB,$N433))&gt;0,"دریافت بانکی","پرداخت بانکی"),""))</f>
        <v/>
      </c>
      <c r="D433" s="22">
        <f>IF($M433&lt;&gt;"",IF(INDEX(CalcDocA,$M433)="","—",INDEX(CalcDocA,$M433)),IF($N433&lt;&gt;"",INDEX(CalcBankB,$N433),""))</f>
        <v/>
      </c>
      <c r="E433" s="23">
        <f>IF($N433&lt;&gt;"",IF(INDEX(CalcDepB,$N433)=0,"",INDEX(CalcDepB,$N433)),"")</f>
        <v/>
      </c>
      <c r="F433" s="23">
        <f>IF($M433&lt;&gt;"",IF(INDEX(CalcQtyA,$M433)=0,"",INDEX(CalcQtyA,$M433)),"")</f>
        <v/>
      </c>
      <c r="G433" s="23">
        <f>IF($M433&lt;&gt;"",IF(INDEX(CalcPriceA,$M433)=0,"",INDEX(CalcPriceA,$M433)),"")</f>
        <v/>
      </c>
      <c r="H433" s="23">
        <f>IF($N433&lt;&gt;"",IF(INDEX(CalcWitB,$N433)=0,"",INDEX(CalcWitB,$N433)),"")</f>
        <v/>
      </c>
      <c r="I433" s="24">
        <f>IF($M433&lt;&gt;"",INDEX(CalcAmtA,$M433),"")</f>
        <v/>
      </c>
      <c r="J433" s="24">
        <f>IF($B433="","",IF($J432="",$C$8,$J432)+IF($I433="",0,$I433)+IF($E433="",0,$E433)-IF($H433="",0,$H433))</f>
        <v/>
      </c>
      <c r="K433" s="25">
        <f>IF($M433&lt;&gt;"",IF(INDEX(CalcNoteA,$M433)="","—",INDEX(CalcNoteA,$M433)),IF($N433&lt;&gt;"",IF(INDEX(CalcNoteB,$N433)="","—",INDEX(CalcNoteB,$N433)),""))</f>
        <v/>
      </c>
      <c r="M433">
        <f>IFERROR(MATCH($C$5&amp;"|"&amp;RIGHT("000000"&amp;417,6),CalcRankKeyA,0),"")</f>
        <v/>
      </c>
      <c r="N433">
        <f>IFERROR(MATCH($C$5&amp;"|"&amp;RIGHT("000000"&amp;417,6),CalcRankKeyB,0),"")</f>
        <v/>
      </c>
    </row>
    <row r="434">
      <c r="A434" s="26" t="n">
        <v>418</v>
      </c>
      <c r="B434" s="27">
        <f>IF(AND($M434="",$N434=""),"",IF($M434&lt;&gt;"",INDEX(CalcDateA,$M434),INDEX(CalcDateB,$N434)))</f>
        <v/>
      </c>
      <c r="C434" s="27">
        <f>IF($M434&lt;&gt;"","خرید سبد",IF($N434&lt;&gt;"",IF(N(INDEX(CalcDepB,$N434))&gt;0,"دریافت بانکی","پرداخت بانکی"),""))</f>
        <v/>
      </c>
      <c r="D434" s="27">
        <f>IF($M434&lt;&gt;"",IF(INDEX(CalcDocA,$M434)="","—",INDEX(CalcDocA,$M434)),IF($N434&lt;&gt;"",INDEX(CalcBankB,$N434),""))</f>
        <v/>
      </c>
      <c r="E434" s="28">
        <f>IF($N434&lt;&gt;"",IF(INDEX(CalcDepB,$N434)=0,"",INDEX(CalcDepB,$N434)),"")</f>
        <v/>
      </c>
      <c r="F434" s="28">
        <f>IF($M434&lt;&gt;"",IF(INDEX(CalcQtyA,$M434)=0,"",INDEX(CalcQtyA,$M434)),"")</f>
        <v/>
      </c>
      <c r="G434" s="28">
        <f>IF($M434&lt;&gt;"",IF(INDEX(CalcPriceA,$M434)=0,"",INDEX(CalcPriceA,$M434)),"")</f>
        <v/>
      </c>
      <c r="H434" s="28">
        <f>IF($N434&lt;&gt;"",IF(INDEX(CalcWitB,$N434)=0,"",INDEX(CalcWitB,$N434)),"")</f>
        <v/>
      </c>
      <c r="I434" s="29">
        <f>IF($M434&lt;&gt;"",INDEX(CalcAmtA,$M434),"")</f>
        <v/>
      </c>
      <c r="J434" s="29">
        <f>IF($B434="","",IF($J433="",$C$8,$J433)+IF($I434="",0,$I434)+IF($E434="",0,$E434)-IF($H434="",0,$H434))</f>
        <v/>
      </c>
      <c r="K434" s="30">
        <f>IF($M434&lt;&gt;"",IF(INDEX(CalcNoteA,$M434)="","—",INDEX(CalcNoteA,$M434)),IF($N434&lt;&gt;"",IF(INDEX(CalcNoteB,$N434)="","—",INDEX(CalcNoteB,$N434)),""))</f>
        <v/>
      </c>
      <c r="M434">
        <f>IFERROR(MATCH($C$5&amp;"|"&amp;RIGHT("000000"&amp;418,6),CalcRankKeyA,0),"")</f>
        <v/>
      </c>
      <c r="N434">
        <f>IFERROR(MATCH($C$5&amp;"|"&amp;RIGHT("000000"&amp;418,6),CalcRankKeyB,0),"")</f>
        <v/>
      </c>
    </row>
    <row r="435">
      <c r="A435" s="21" t="n">
        <v>419</v>
      </c>
      <c r="B435" s="22">
        <f>IF(AND($M435="",$N435=""),"",IF($M435&lt;&gt;"",INDEX(CalcDateA,$M435),INDEX(CalcDateB,$N435)))</f>
        <v/>
      </c>
      <c r="C435" s="22">
        <f>IF($M435&lt;&gt;"","خرید سبد",IF($N435&lt;&gt;"",IF(N(INDEX(CalcDepB,$N435))&gt;0,"دریافت بانکی","پرداخت بانکی"),""))</f>
        <v/>
      </c>
      <c r="D435" s="22">
        <f>IF($M435&lt;&gt;"",IF(INDEX(CalcDocA,$M435)="","—",INDEX(CalcDocA,$M435)),IF($N435&lt;&gt;"",INDEX(CalcBankB,$N435),""))</f>
        <v/>
      </c>
      <c r="E435" s="23">
        <f>IF($N435&lt;&gt;"",IF(INDEX(CalcDepB,$N435)=0,"",INDEX(CalcDepB,$N435)),"")</f>
        <v/>
      </c>
      <c r="F435" s="23">
        <f>IF($M435&lt;&gt;"",IF(INDEX(CalcQtyA,$M435)=0,"",INDEX(CalcQtyA,$M435)),"")</f>
        <v/>
      </c>
      <c r="G435" s="23">
        <f>IF($M435&lt;&gt;"",IF(INDEX(CalcPriceA,$M435)=0,"",INDEX(CalcPriceA,$M435)),"")</f>
        <v/>
      </c>
      <c r="H435" s="23">
        <f>IF($N435&lt;&gt;"",IF(INDEX(CalcWitB,$N435)=0,"",INDEX(CalcWitB,$N435)),"")</f>
        <v/>
      </c>
      <c r="I435" s="24">
        <f>IF($M435&lt;&gt;"",INDEX(CalcAmtA,$M435),"")</f>
        <v/>
      </c>
      <c r="J435" s="24">
        <f>IF($B435="","",IF($J434="",$C$8,$J434)+IF($I435="",0,$I435)+IF($E435="",0,$E435)-IF($H435="",0,$H435))</f>
        <v/>
      </c>
      <c r="K435" s="25">
        <f>IF($M435&lt;&gt;"",IF(INDEX(CalcNoteA,$M435)="","—",INDEX(CalcNoteA,$M435)),IF($N435&lt;&gt;"",IF(INDEX(CalcNoteB,$N435)="","—",INDEX(CalcNoteB,$N435)),""))</f>
        <v/>
      </c>
      <c r="M435">
        <f>IFERROR(MATCH($C$5&amp;"|"&amp;RIGHT("000000"&amp;419,6),CalcRankKeyA,0),"")</f>
        <v/>
      </c>
      <c r="N435">
        <f>IFERROR(MATCH($C$5&amp;"|"&amp;RIGHT("000000"&amp;419,6),CalcRankKeyB,0),"")</f>
        <v/>
      </c>
    </row>
    <row r="436">
      <c r="A436" s="26" t="n">
        <v>420</v>
      </c>
      <c r="B436" s="27">
        <f>IF(AND($M436="",$N436=""),"",IF($M436&lt;&gt;"",INDEX(CalcDateA,$M436),INDEX(CalcDateB,$N436)))</f>
        <v/>
      </c>
      <c r="C436" s="27">
        <f>IF($M436&lt;&gt;"","خرید سبد",IF($N436&lt;&gt;"",IF(N(INDEX(CalcDepB,$N436))&gt;0,"دریافت بانکی","پرداخت بانکی"),""))</f>
        <v/>
      </c>
      <c r="D436" s="27">
        <f>IF($M436&lt;&gt;"",IF(INDEX(CalcDocA,$M436)="","—",INDEX(CalcDocA,$M436)),IF($N436&lt;&gt;"",INDEX(CalcBankB,$N436),""))</f>
        <v/>
      </c>
      <c r="E436" s="28">
        <f>IF($N436&lt;&gt;"",IF(INDEX(CalcDepB,$N436)=0,"",INDEX(CalcDepB,$N436)),"")</f>
        <v/>
      </c>
      <c r="F436" s="28">
        <f>IF($M436&lt;&gt;"",IF(INDEX(CalcQtyA,$M436)=0,"",INDEX(CalcQtyA,$M436)),"")</f>
        <v/>
      </c>
      <c r="G436" s="28">
        <f>IF($M436&lt;&gt;"",IF(INDEX(CalcPriceA,$M436)=0,"",INDEX(CalcPriceA,$M436)),"")</f>
        <v/>
      </c>
      <c r="H436" s="28">
        <f>IF($N436&lt;&gt;"",IF(INDEX(CalcWitB,$N436)=0,"",INDEX(CalcWitB,$N436)),"")</f>
        <v/>
      </c>
      <c r="I436" s="29">
        <f>IF($M436&lt;&gt;"",INDEX(CalcAmtA,$M436),"")</f>
        <v/>
      </c>
      <c r="J436" s="29">
        <f>IF($B436="","",IF($J435="",$C$8,$J435)+IF($I436="",0,$I436)+IF($E436="",0,$E436)-IF($H436="",0,$H436))</f>
        <v/>
      </c>
      <c r="K436" s="30">
        <f>IF($M436&lt;&gt;"",IF(INDEX(CalcNoteA,$M436)="","—",INDEX(CalcNoteA,$M436)),IF($N436&lt;&gt;"",IF(INDEX(CalcNoteB,$N436)="","—",INDEX(CalcNoteB,$N436)),""))</f>
        <v/>
      </c>
      <c r="M436">
        <f>IFERROR(MATCH($C$5&amp;"|"&amp;RIGHT("000000"&amp;420,6),CalcRankKeyA,0),"")</f>
        <v/>
      </c>
      <c r="N436">
        <f>IFERROR(MATCH($C$5&amp;"|"&amp;RIGHT("000000"&amp;420,6),CalcRankKeyB,0),"")</f>
        <v/>
      </c>
    </row>
    <row r="437">
      <c r="A437" s="21" t="n">
        <v>421</v>
      </c>
      <c r="B437" s="22">
        <f>IF(AND($M437="",$N437=""),"",IF($M437&lt;&gt;"",INDEX(CalcDateA,$M437),INDEX(CalcDateB,$N437)))</f>
        <v/>
      </c>
      <c r="C437" s="22">
        <f>IF($M437&lt;&gt;"","خرید سبد",IF($N437&lt;&gt;"",IF(N(INDEX(CalcDepB,$N437))&gt;0,"دریافت بانکی","پرداخت بانکی"),""))</f>
        <v/>
      </c>
      <c r="D437" s="22">
        <f>IF($M437&lt;&gt;"",IF(INDEX(CalcDocA,$M437)="","—",INDEX(CalcDocA,$M437)),IF($N437&lt;&gt;"",INDEX(CalcBankB,$N437),""))</f>
        <v/>
      </c>
      <c r="E437" s="23">
        <f>IF($N437&lt;&gt;"",IF(INDEX(CalcDepB,$N437)=0,"",INDEX(CalcDepB,$N437)),"")</f>
        <v/>
      </c>
      <c r="F437" s="23">
        <f>IF($M437&lt;&gt;"",IF(INDEX(CalcQtyA,$M437)=0,"",INDEX(CalcQtyA,$M437)),"")</f>
        <v/>
      </c>
      <c r="G437" s="23">
        <f>IF($M437&lt;&gt;"",IF(INDEX(CalcPriceA,$M437)=0,"",INDEX(CalcPriceA,$M437)),"")</f>
        <v/>
      </c>
      <c r="H437" s="23">
        <f>IF($N437&lt;&gt;"",IF(INDEX(CalcWitB,$N437)=0,"",INDEX(CalcWitB,$N437)),"")</f>
        <v/>
      </c>
      <c r="I437" s="24">
        <f>IF($M437&lt;&gt;"",INDEX(CalcAmtA,$M437),"")</f>
        <v/>
      </c>
      <c r="J437" s="24">
        <f>IF($B437="","",IF($J436="",$C$8,$J436)+IF($I437="",0,$I437)+IF($E437="",0,$E437)-IF($H437="",0,$H437))</f>
        <v/>
      </c>
      <c r="K437" s="25">
        <f>IF($M437&lt;&gt;"",IF(INDEX(CalcNoteA,$M437)="","—",INDEX(CalcNoteA,$M437)),IF($N437&lt;&gt;"",IF(INDEX(CalcNoteB,$N437)="","—",INDEX(CalcNoteB,$N437)),""))</f>
        <v/>
      </c>
      <c r="M437">
        <f>IFERROR(MATCH($C$5&amp;"|"&amp;RIGHT("000000"&amp;421,6),CalcRankKeyA,0),"")</f>
        <v/>
      </c>
      <c r="N437">
        <f>IFERROR(MATCH($C$5&amp;"|"&amp;RIGHT("000000"&amp;421,6),CalcRankKeyB,0),"")</f>
        <v/>
      </c>
    </row>
    <row r="438">
      <c r="A438" s="26" t="n">
        <v>422</v>
      </c>
      <c r="B438" s="27">
        <f>IF(AND($M438="",$N438=""),"",IF($M438&lt;&gt;"",INDEX(CalcDateA,$M438),INDEX(CalcDateB,$N438)))</f>
        <v/>
      </c>
      <c r="C438" s="27">
        <f>IF($M438&lt;&gt;"","خرید سبد",IF($N438&lt;&gt;"",IF(N(INDEX(CalcDepB,$N438))&gt;0,"دریافت بانکی","پرداخت بانکی"),""))</f>
        <v/>
      </c>
      <c r="D438" s="27">
        <f>IF($M438&lt;&gt;"",IF(INDEX(CalcDocA,$M438)="","—",INDEX(CalcDocA,$M438)),IF($N438&lt;&gt;"",INDEX(CalcBankB,$N438),""))</f>
        <v/>
      </c>
      <c r="E438" s="28">
        <f>IF($N438&lt;&gt;"",IF(INDEX(CalcDepB,$N438)=0,"",INDEX(CalcDepB,$N438)),"")</f>
        <v/>
      </c>
      <c r="F438" s="28">
        <f>IF($M438&lt;&gt;"",IF(INDEX(CalcQtyA,$M438)=0,"",INDEX(CalcQtyA,$M438)),"")</f>
        <v/>
      </c>
      <c r="G438" s="28">
        <f>IF($M438&lt;&gt;"",IF(INDEX(CalcPriceA,$M438)=0,"",INDEX(CalcPriceA,$M438)),"")</f>
        <v/>
      </c>
      <c r="H438" s="28">
        <f>IF($N438&lt;&gt;"",IF(INDEX(CalcWitB,$N438)=0,"",INDEX(CalcWitB,$N438)),"")</f>
        <v/>
      </c>
      <c r="I438" s="29">
        <f>IF($M438&lt;&gt;"",INDEX(CalcAmtA,$M438),"")</f>
        <v/>
      </c>
      <c r="J438" s="29">
        <f>IF($B438="","",IF($J437="",$C$8,$J437)+IF($I438="",0,$I438)+IF($E438="",0,$E438)-IF($H438="",0,$H438))</f>
        <v/>
      </c>
      <c r="K438" s="30">
        <f>IF($M438&lt;&gt;"",IF(INDEX(CalcNoteA,$M438)="","—",INDEX(CalcNoteA,$M438)),IF($N438&lt;&gt;"",IF(INDEX(CalcNoteB,$N438)="","—",INDEX(CalcNoteB,$N438)),""))</f>
        <v/>
      </c>
      <c r="M438">
        <f>IFERROR(MATCH($C$5&amp;"|"&amp;RIGHT("000000"&amp;422,6),CalcRankKeyA,0),"")</f>
        <v/>
      </c>
      <c r="N438">
        <f>IFERROR(MATCH($C$5&amp;"|"&amp;RIGHT("000000"&amp;422,6),CalcRankKeyB,0),"")</f>
        <v/>
      </c>
    </row>
    <row r="439">
      <c r="A439" s="21" t="n">
        <v>423</v>
      </c>
      <c r="B439" s="22">
        <f>IF(AND($M439="",$N439=""),"",IF($M439&lt;&gt;"",INDEX(CalcDateA,$M439),INDEX(CalcDateB,$N439)))</f>
        <v/>
      </c>
      <c r="C439" s="22">
        <f>IF($M439&lt;&gt;"","خرید سبد",IF($N439&lt;&gt;"",IF(N(INDEX(CalcDepB,$N439))&gt;0,"دریافت بانکی","پرداخت بانکی"),""))</f>
        <v/>
      </c>
      <c r="D439" s="22">
        <f>IF($M439&lt;&gt;"",IF(INDEX(CalcDocA,$M439)="","—",INDEX(CalcDocA,$M439)),IF($N439&lt;&gt;"",INDEX(CalcBankB,$N439),""))</f>
        <v/>
      </c>
      <c r="E439" s="23">
        <f>IF($N439&lt;&gt;"",IF(INDEX(CalcDepB,$N439)=0,"",INDEX(CalcDepB,$N439)),"")</f>
        <v/>
      </c>
      <c r="F439" s="23">
        <f>IF($M439&lt;&gt;"",IF(INDEX(CalcQtyA,$M439)=0,"",INDEX(CalcQtyA,$M439)),"")</f>
        <v/>
      </c>
      <c r="G439" s="23">
        <f>IF($M439&lt;&gt;"",IF(INDEX(CalcPriceA,$M439)=0,"",INDEX(CalcPriceA,$M439)),"")</f>
        <v/>
      </c>
      <c r="H439" s="23">
        <f>IF($N439&lt;&gt;"",IF(INDEX(CalcWitB,$N439)=0,"",INDEX(CalcWitB,$N439)),"")</f>
        <v/>
      </c>
      <c r="I439" s="24">
        <f>IF($M439&lt;&gt;"",INDEX(CalcAmtA,$M439),"")</f>
        <v/>
      </c>
      <c r="J439" s="24">
        <f>IF($B439="","",IF($J438="",$C$8,$J438)+IF($I439="",0,$I439)+IF($E439="",0,$E439)-IF($H439="",0,$H439))</f>
        <v/>
      </c>
      <c r="K439" s="25">
        <f>IF($M439&lt;&gt;"",IF(INDEX(CalcNoteA,$M439)="","—",INDEX(CalcNoteA,$M439)),IF($N439&lt;&gt;"",IF(INDEX(CalcNoteB,$N439)="","—",INDEX(CalcNoteB,$N439)),""))</f>
        <v/>
      </c>
      <c r="M439">
        <f>IFERROR(MATCH($C$5&amp;"|"&amp;RIGHT("000000"&amp;423,6),CalcRankKeyA,0),"")</f>
        <v/>
      </c>
      <c r="N439">
        <f>IFERROR(MATCH($C$5&amp;"|"&amp;RIGHT("000000"&amp;423,6),CalcRankKeyB,0),"")</f>
        <v/>
      </c>
    </row>
    <row r="440">
      <c r="A440" s="26" t="n">
        <v>424</v>
      </c>
      <c r="B440" s="27">
        <f>IF(AND($M440="",$N440=""),"",IF($M440&lt;&gt;"",INDEX(CalcDateA,$M440),INDEX(CalcDateB,$N440)))</f>
        <v/>
      </c>
      <c r="C440" s="27">
        <f>IF($M440&lt;&gt;"","خرید سبد",IF($N440&lt;&gt;"",IF(N(INDEX(CalcDepB,$N440))&gt;0,"دریافت بانکی","پرداخت بانکی"),""))</f>
        <v/>
      </c>
      <c r="D440" s="27">
        <f>IF($M440&lt;&gt;"",IF(INDEX(CalcDocA,$M440)="","—",INDEX(CalcDocA,$M440)),IF($N440&lt;&gt;"",INDEX(CalcBankB,$N440),""))</f>
        <v/>
      </c>
      <c r="E440" s="28">
        <f>IF($N440&lt;&gt;"",IF(INDEX(CalcDepB,$N440)=0,"",INDEX(CalcDepB,$N440)),"")</f>
        <v/>
      </c>
      <c r="F440" s="28">
        <f>IF($M440&lt;&gt;"",IF(INDEX(CalcQtyA,$M440)=0,"",INDEX(CalcQtyA,$M440)),"")</f>
        <v/>
      </c>
      <c r="G440" s="28">
        <f>IF($M440&lt;&gt;"",IF(INDEX(CalcPriceA,$M440)=0,"",INDEX(CalcPriceA,$M440)),"")</f>
        <v/>
      </c>
      <c r="H440" s="28">
        <f>IF($N440&lt;&gt;"",IF(INDEX(CalcWitB,$N440)=0,"",INDEX(CalcWitB,$N440)),"")</f>
        <v/>
      </c>
      <c r="I440" s="29">
        <f>IF($M440&lt;&gt;"",INDEX(CalcAmtA,$M440),"")</f>
        <v/>
      </c>
      <c r="J440" s="29">
        <f>IF($B440="","",IF($J439="",$C$8,$J439)+IF($I440="",0,$I440)+IF($E440="",0,$E440)-IF($H440="",0,$H440))</f>
        <v/>
      </c>
      <c r="K440" s="30">
        <f>IF($M440&lt;&gt;"",IF(INDEX(CalcNoteA,$M440)="","—",INDEX(CalcNoteA,$M440)),IF($N440&lt;&gt;"",IF(INDEX(CalcNoteB,$N440)="","—",INDEX(CalcNoteB,$N440)),""))</f>
        <v/>
      </c>
      <c r="M440">
        <f>IFERROR(MATCH($C$5&amp;"|"&amp;RIGHT("000000"&amp;424,6),CalcRankKeyA,0),"")</f>
        <v/>
      </c>
      <c r="N440">
        <f>IFERROR(MATCH($C$5&amp;"|"&amp;RIGHT("000000"&amp;424,6),CalcRankKeyB,0),"")</f>
        <v/>
      </c>
    </row>
    <row r="441">
      <c r="A441" s="21" t="n">
        <v>425</v>
      </c>
      <c r="B441" s="22">
        <f>IF(AND($M441="",$N441=""),"",IF($M441&lt;&gt;"",INDEX(CalcDateA,$M441),INDEX(CalcDateB,$N441)))</f>
        <v/>
      </c>
      <c r="C441" s="22">
        <f>IF($M441&lt;&gt;"","خرید سبد",IF($N441&lt;&gt;"",IF(N(INDEX(CalcDepB,$N441))&gt;0,"دریافت بانکی","پرداخت بانکی"),""))</f>
        <v/>
      </c>
      <c r="D441" s="22">
        <f>IF($M441&lt;&gt;"",IF(INDEX(CalcDocA,$M441)="","—",INDEX(CalcDocA,$M441)),IF($N441&lt;&gt;"",INDEX(CalcBankB,$N441),""))</f>
        <v/>
      </c>
      <c r="E441" s="23">
        <f>IF($N441&lt;&gt;"",IF(INDEX(CalcDepB,$N441)=0,"",INDEX(CalcDepB,$N441)),"")</f>
        <v/>
      </c>
      <c r="F441" s="23">
        <f>IF($M441&lt;&gt;"",IF(INDEX(CalcQtyA,$M441)=0,"",INDEX(CalcQtyA,$M441)),"")</f>
        <v/>
      </c>
      <c r="G441" s="23">
        <f>IF($M441&lt;&gt;"",IF(INDEX(CalcPriceA,$M441)=0,"",INDEX(CalcPriceA,$M441)),"")</f>
        <v/>
      </c>
      <c r="H441" s="23">
        <f>IF($N441&lt;&gt;"",IF(INDEX(CalcWitB,$N441)=0,"",INDEX(CalcWitB,$N441)),"")</f>
        <v/>
      </c>
      <c r="I441" s="24">
        <f>IF($M441&lt;&gt;"",INDEX(CalcAmtA,$M441),"")</f>
        <v/>
      </c>
      <c r="J441" s="24">
        <f>IF($B441="","",IF($J440="",$C$8,$J440)+IF($I441="",0,$I441)+IF($E441="",0,$E441)-IF($H441="",0,$H441))</f>
        <v/>
      </c>
      <c r="K441" s="25">
        <f>IF($M441&lt;&gt;"",IF(INDEX(CalcNoteA,$M441)="","—",INDEX(CalcNoteA,$M441)),IF($N441&lt;&gt;"",IF(INDEX(CalcNoteB,$N441)="","—",INDEX(CalcNoteB,$N441)),""))</f>
        <v/>
      </c>
      <c r="M441">
        <f>IFERROR(MATCH($C$5&amp;"|"&amp;RIGHT("000000"&amp;425,6),CalcRankKeyA,0),"")</f>
        <v/>
      </c>
      <c r="N441">
        <f>IFERROR(MATCH($C$5&amp;"|"&amp;RIGHT("000000"&amp;425,6),CalcRankKeyB,0),"")</f>
        <v/>
      </c>
    </row>
    <row r="442">
      <c r="A442" s="26" t="n">
        <v>426</v>
      </c>
      <c r="B442" s="27">
        <f>IF(AND($M442="",$N442=""),"",IF($M442&lt;&gt;"",INDEX(CalcDateA,$M442),INDEX(CalcDateB,$N442)))</f>
        <v/>
      </c>
      <c r="C442" s="27">
        <f>IF($M442&lt;&gt;"","خرید سبد",IF($N442&lt;&gt;"",IF(N(INDEX(CalcDepB,$N442))&gt;0,"دریافت بانکی","پرداخت بانکی"),""))</f>
        <v/>
      </c>
      <c r="D442" s="27">
        <f>IF($M442&lt;&gt;"",IF(INDEX(CalcDocA,$M442)="","—",INDEX(CalcDocA,$M442)),IF($N442&lt;&gt;"",INDEX(CalcBankB,$N442),""))</f>
        <v/>
      </c>
      <c r="E442" s="28">
        <f>IF($N442&lt;&gt;"",IF(INDEX(CalcDepB,$N442)=0,"",INDEX(CalcDepB,$N442)),"")</f>
        <v/>
      </c>
      <c r="F442" s="28">
        <f>IF($M442&lt;&gt;"",IF(INDEX(CalcQtyA,$M442)=0,"",INDEX(CalcQtyA,$M442)),"")</f>
        <v/>
      </c>
      <c r="G442" s="28">
        <f>IF($M442&lt;&gt;"",IF(INDEX(CalcPriceA,$M442)=0,"",INDEX(CalcPriceA,$M442)),"")</f>
        <v/>
      </c>
      <c r="H442" s="28">
        <f>IF($N442&lt;&gt;"",IF(INDEX(CalcWitB,$N442)=0,"",INDEX(CalcWitB,$N442)),"")</f>
        <v/>
      </c>
      <c r="I442" s="29">
        <f>IF($M442&lt;&gt;"",INDEX(CalcAmtA,$M442),"")</f>
        <v/>
      </c>
      <c r="J442" s="29">
        <f>IF($B442="","",IF($J441="",$C$8,$J441)+IF($I442="",0,$I442)+IF($E442="",0,$E442)-IF($H442="",0,$H442))</f>
        <v/>
      </c>
      <c r="K442" s="30">
        <f>IF($M442&lt;&gt;"",IF(INDEX(CalcNoteA,$M442)="","—",INDEX(CalcNoteA,$M442)),IF($N442&lt;&gt;"",IF(INDEX(CalcNoteB,$N442)="","—",INDEX(CalcNoteB,$N442)),""))</f>
        <v/>
      </c>
      <c r="M442">
        <f>IFERROR(MATCH($C$5&amp;"|"&amp;RIGHT("000000"&amp;426,6),CalcRankKeyA,0),"")</f>
        <v/>
      </c>
      <c r="N442">
        <f>IFERROR(MATCH($C$5&amp;"|"&amp;RIGHT("000000"&amp;426,6),CalcRankKeyB,0),"")</f>
        <v/>
      </c>
    </row>
    <row r="443">
      <c r="A443" s="21" t="n">
        <v>427</v>
      </c>
      <c r="B443" s="22">
        <f>IF(AND($M443="",$N443=""),"",IF($M443&lt;&gt;"",INDEX(CalcDateA,$M443),INDEX(CalcDateB,$N443)))</f>
        <v/>
      </c>
      <c r="C443" s="22">
        <f>IF($M443&lt;&gt;"","خرید سبد",IF($N443&lt;&gt;"",IF(N(INDEX(CalcDepB,$N443))&gt;0,"دریافت بانکی","پرداخت بانکی"),""))</f>
        <v/>
      </c>
      <c r="D443" s="22">
        <f>IF($M443&lt;&gt;"",IF(INDEX(CalcDocA,$M443)="","—",INDEX(CalcDocA,$M443)),IF($N443&lt;&gt;"",INDEX(CalcBankB,$N443),""))</f>
        <v/>
      </c>
      <c r="E443" s="23">
        <f>IF($N443&lt;&gt;"",IF(INDEX(CalcDepB,$N443)=0,"",INDEX(CalcDepB,$N443)),"")</f>
        <v/>
      </c>
      <c r="F443" s="23">
        <f>IF($M443&lt;&gt;"",IF(INDEX(CalcQtyA,$M443)=0,"",INDEX(CalcQtyA,$M443)),"")</f>
        <v/>
      </c>
      <c r="G443" s="23">
        <f>IF($M443&lt;&gt;"",IF(INDEX(CalcPriceA,$M443)=0,"",INDEX(CalcPriceA,$M443)),"")</f>
        <v/>
      </c>
      <c r="H443" s="23">
        <f>IF($N443&lt;&gt;"",IF(INDEX(CalcWitB,$N443)=0,"",INDEX(CalcWitB,$N443)),"")</f>
        <v/>
      </c>
      <c r="I443" s="24">
        <f>IF($M443&lt;&gt;"",INDEX(CalcAmtA,$M443),"")</f>
        <v/>
      </c>
      <c r="J443" s="24">
        <f>IF($B443="","",IF($J442="",$C$8,$J442)+IF($I443="",0,$I443)+IF($E443="",0,$E443)-IF($H443="",0,$H443))</f>
        <v/>
      </c>
      <c r="K443" s="25">
        <f>IF($M443&lt;&gt;"",IF(INDEX(CalcNoteA,$M443)="","—",INDEX(CalcNoteA,$M443)),IF($N443&lt;&gt;"",IF(INDEX(CalcNoteB,$N443)="","—",INDEX(CalcNoteB,$N443)),""))</f>
        <v/>
      </c>
      <c r="M443">
        <f>IFERROR(MATCH($C$5&amp;"|"&amp;RIGHT("000000"&amp;427,6),CalcRankKeyA,0),"")</f>
        <v/>
      </c>
      <c r="N443">
        <f>IFERROR(MATCH($C$5&amp;"|"&amp;RIGHT("000000"&amp;427,6),CalcRankKeyB,0),"")</f>
        <v/>
      </c>
    </row>
    <row r="444">
      <c r="A444" s="26" t="n">
        <v>428</v>
      </c>
      <c r="B444" s="27">
        <f>IF(AND($M444="",$N444=""),"",IF($M444&lt;&gt;"",INDEX(CalcDateA,$M444),INDEX(CalcDateB,$N444)))</f>
        <v/>
      </c>
      <c r="C444" s="27">
        <f>IF($M444&lt;&gt;"","خرید سبد",IF($N444&lt;&gt;"",IF(N(INDEX(CalcDepB,$N444))&gt;0,"دریافت بانکی","پرداخت بانکی"),""))</f>
        <v/>
      </c>
      <c r="D444" s="27">
        <f>IF($M444&lt;&gt;"",IF(INDEX(CalcDocA,$M444)="","—",INDEX(CalcDocA,$M444)),IF($N444&lt;&gt;"",INDEX(CalcBankB,$N444),""))</f>
        <v/>
      </c>
      <c r="E444" s="28">
        <f>IF($N444&lt;&gt;"",IF(INDEX(CalcDepB,$N444)=0,"",INDEX(CalcDepB,$N444)),"")</f>
        <v/>
      </c>
      <c r="F444" s="28">
        <f>IF($M444&lt;&gt;"",IF(INDEX(CalcQtyA,$M444)=0,"",INDEX(CalcQtyA,$M444)),"")</f>
        <v/>
      </c>
      <c r="G444" s="28">
        <f>IF($M444&lt;&gt;"",IF(INDEX(CalcPriceA,$M444)=0,"",INDEX(CalcPriceA,$M444)),"")</f>
        <v/>
      </c>
      <c r="H444" s="28">
        <f>IF($N444&lt;&gt;"",IF(INDEX(CalcWitB,$N444)=0,"",INDEX(CalcWitB,$N444)),"")</f>
        <v/>
      </c>
      <c r="I444" s="29">
        <f>IF($M444&lt;&gt;"",INDEX(CalcAmtA,$M444),"")</f>
        <v/>
      </c>
      <c r="J444" s="29">
        <f>IF($B444="","",IF($J443="",$C$8,$J443)+IF($I444="",0,$I444)+IF($E444="",0,$E444)-IF($H444="",0,$H444))</f>
        <v/>
      </c>
      <c r="K444" s="30">
        <f>IF($M444&lt;&gt;"",IF(INDEX(CalcNoteA,$M444)="","—",INDEX(CalcNoteA,$M444)),IF($N444&lt;&gt;"",IF(INDEX(CalcNoteB,$N444)="","—",INDEX(CalcNoteB,$N444)),""))</f>
        <v/>
      </c>
      <c r="M444">
        <f>IFERROR(MATCH($C$5&amp;"|"&amp;RIGHT("000000"&amp;428,6),CalcRankKeyA,0),"")</f>
        <v/>
      </c>
      <c r="N444">
        <f>IFERROR(MATCH($C$5&amp;"|"&amp;RIGHT("000000"&amp;428,6),CalcRankKeyB,0),"")</f>
        <v/>
      </c>
    </row>
    <row r="445">
      <c r="A445" s="21" t="n">
        <v>429</v>
      </c>
      <c r="B445" s="22">
        <f>IF(AND($M445="",$N445=""),"",IF($M445&lt;&gt;"",INDEX(CalcDateA,$M445),INDEX(CalcDateB,$N445)))</f>
        <v/>
      </c>
      <c r="C445" s="22">
        <f>IF($M445&lt;&gt;"","خرید سبد",IF($N445&lt;&gt;"",IF(N(INDEX(CalcDepB,$N445))&gt;0,"دریافت بانکی","پرداخت بانکی"),""))</f>
        <v/>
      </c>
      <c r="D445" s="22">
        <f>IF($M445&lt;&gt;"",IF(INDEX(CalcDocA,$M445)="","—",INDEX(CalcDocA,$M445)),IF($N445&lt;&gt;"",INDEX(CalcBankB,$N445),""))</f>
        <v/>
      </c>
      <c r="E445" s="23">
        <f>IF($N445&lt;&gt;"",IF(INDEX(CalcDepB,$N445)=0,"",INDEX(CalcDepB,$N445)),"")</f>
        <v/>
      </c>
      <c r="F445" s="23">
        <f>IF($M445&lt;&gt;"",IF(INDEX(CalcQtyA,$M445)=0,"",INDEX(CalcQtyA,$M445)),"")</f>
        <v/>
      </c>
      <c r="G445" s="23">
        <f>IF($M445&lt;&gt;"",IF(INDEX(CalcPriceA,$M445)=0,"",INDEX(CalcPriceA,$M445)),"")</f>
        <v/>
      </c>
      <c r="H445" s="23">
        <f>IF($N445&lt;&gt;"",IF(INDEX(CalcWitB,$N445)=0,"",INDEX(CalcWitB,$N445)),"")</f>
        <v/>
      </c>
      <c r="I445" s="24">
        <f>IF($M445&lt;&gt;"",INDEX(CalcAmtA,$M445),"")</f>
        <v/>
      </c>
      <c r="J445" s="24">
        <f>IF($B445="","",IF($J444="",$C$8,$J444)+IF($I445="",0,$I445)+IF($E445="",0,$E445)-IF($H445="",0,$H445))</f>
        <v/>
      </c>
      <c r="K445" s="25">
        <f>IF($M445&lt;&gt;"",IF(INDEX(CalcNoteA,$M445)="","—",INDEX(CalcNoteA,$M445)),IF($N445&lt;&gt;"",IF(INDEX(CalcNoteB,$N445)="","—",INDEX(CalcNoteB,$N445)),""))</f>
        <v/>
      </c>
      <c r="M445">
        <f>IFERROR(MATCH($C$5&amp;"|"&amp;RIGHT("000000"&amp;429,6),CalcRankKeyA,0),"")</f>
        <v/>
      </c>
      <c r="N445">
        <f>IFERROR(MATCH($C$5&amp;"|"&amp;RIGHT("000000"&amp;429,6),CalcRankKeyB,0),"")</f>
        <v/>
      </c>
    </row>
    <row r="446">
      <c r="A446" s="26" t="n">
        <v>430</v>
      </c>
      <c r="B446" s="27">
        <f>IF(AND($M446="",$N446=""),"",IF($M446&lt;&gt;"",INDEX(CalcDateA,$M446),INDEX(CalcDateB,$N446)))</f>
        <v/>
      </c>
      <c r="C446" s="27">
        <f>IF($M446&lt;&gt;"","خرید سبد",IF($N446&lt;&gt;"",IF(N(INDEX(CalcDepB,$N446))&gt;0,"دریافت بانکی","پرداخت بانکی"),""))</f>
        <v/>
      </c>
      <c r="D446" s="27">
        <f>IF($M446&lt;&gt;"",IF(INDEX(CalcDocA,$M446)="","—",INDEX(CalcDocA,$M446)),IF($N446&lt;&gt;"",INDEX(CalcBankB,$N446),""))</f>
        <v/>
      </c>
      <c r="E446" s="28">
        <f>IF($N446&lt;&gt;"",IF(INDEX(CalcDepB,$N446)=0,"",INDEX(CalcDepB,$N446)),"")</f>
        <v/>
      </c>
      <c r="F446" s="28">
        <f>IF($M446&lt;&gt;"",IF(INDEX(CalcQtyA,$M446)=0,"",INDEX(CalcQtyA,$M446)),"")</f>
        <v/>
      </c>
      <c r="G446" s="28">
        <f>IF($M446&lt;&gt;"",IF(INDEX(CalcPriceA,$M446)=0,"",INDEX(CalcPriceA,$M446)),"")</f>
        <v/>
      </c>
      <c r="H446" s="28">
        <f>IF($N446&lt;&gt;"",IF(INDEX(CalcWitB,$N446)=0,"",INDEX(CalcWitB,$N446)),"")</f>
        <v/>
      </c>
      <c r="I446" s="29">
        <f>IF($M446&lt;&gt;"",INDEX(CalcAmtA,$M446),"")</f>
        <v/>
      </c>
      <c r="J446" s="29">
        <f>IF($B446="","",IF($J445="",$C$8,$J445)+IF($I446="",0,$I446)+IF($E446="",0,$E446)-IF($H446="",0,$H446))</f>
        <v/>
      </c>
      <c r="K446" s="30">
        <f>IF($M446&lt;&gt;"",IF(INDEX(CalcNoteA,$M446)="","—",INDEX(CalcNoteA,$M446)),IF($N446&lt;&gt;"",IF(INDEX(CalcNoteB,$N446)="","—",INDEX(CalcNoteB,$N446)),""))</f>
        <v/>
      </c>
      <c r="M446">
        <f>IFERROR(MATCH($C$5&amp;"|"&amp;RIGHT("000000"&amp;430,6),CalcRankKeyA,0),"")</f>
        <v/>
      </c>
      <c r="N446">
        <f>IFERROR(MATCH($C$5&amp;"|"&amp;RIGHT("000000"&amp;430,6),CalcRankKeyB,0),"")</f>
        <v/>
      </c>
    </row>
    <row r="447">
      <c r="A447" s="21" t="n">
        <v>431</v>
      </c>
      <c r="B447" s="22">
        <f>IF(AND($M447="",$N447=""),"",IF($M447&lt;&gt;"",INDEX(CalcDateA,$M447),INDEX(CalcDateB,$N447)))</f>
        <v/>
      </c>
      <c r="C447" s="22">
        <f>IF($M447&lt;&gt;"","خرید سبد",IF($N447&lt;&gt;"",IF(N(INDEX(CalcDepB,$N447))&gt;0,"دریافت بانکی","پرداخت بانکی"),""))</f>
        <v/>
      </c>
      <c r="D447" s="22">
        <f>IF($M447&lt;&gt;"",IF(INDEX(CalcDocA,$M447)="","—",INDEX(CalcDocA,$M447)),IF($N447&lt;&gt;"",INDEX(CalcBankB,$N447),""))</f>
        <v/>
      </c>
      <c r="E447" s="23">
        <f>IF($N447&lt;&gt;"",IF(INDEX(CalcDepB,$N447)=0,"",INDEX(CalcDepB,$N447)),"")</f>
        <v/>
      </c>
      <c r="F447" s="23">
        <f>IF($M447&lt;&gt;"",IF(INDEX(CalcQtyA,$M447)=0,"",INDEX(CalcQtyA,$M447)),"")</f>
        <v/>
      </c>
      <c r="G447" s="23">
        <f>IF($M447&lt;&gt;"",IF(INDEX(CalcPriceA,$M447)=0,"",INDEX(CalcPriceA,$M447)),"")</f>
        <v/>
      </c>
      <c r="H447" s="23">
        <f>IF($N447&lt;&gt;"",IF(INDEX(CalcWitB,$N447)=0,"",INDEX(CalcWitB,$N447)),"")</f>
        <v/>
      </c>
      <c r="I447" s="24">
        <f>IF($M447&lt;&gt;"",INDEX(CalcAmtA,$M447),"")</f>
        <v/>
      </c>
      <c r="J447" s="24">
        <f>IF($B447="","",IF($J446="",$C$8,$J446)+IF($I447="",0,$I447)+IF($E447="",0,$E447)-IF($H447="",0,$H447))</f>
        <v/>
      </c>
      <c r="K447" s="25">
        <f>IF($M447&lt;&gt;"",IF(INDEX(CalcNoteA,$M447)="","—",INDEX(CalcNoteA,$M447)),IF($N447&lt;&gt;"",IF(INDEX(CalcNoteB,$N447)="","—",INDEX(CalcNoteB,$N447)),""))</f>
        <v/>
      </c>
      <c r="M447">
        <f>IFERROR(MATCH($C$5&amp;"|"&amp;RIGHT("000000"&amp;431,6),CalcRankKeyA,0),"")</f>
        <v/>
      </c>
      <c r="N447">
        <f>IFERROR(MATCH($C$5&amp;"|"&amp;RIGHT("000000"&amp;431,6),CalcRankKeyB,0),"")</f>
        <v/>
      </c>
    </row>
    <row r="448">
      <c r="A448" s="26" t="n">
        <v>432</v>
      </c>
      <c r="B448" s="27">
        <f>IF(AND($M448="",$N448=""),"",IF($M448&lt;&gt;"",INDEX(CalcDateA,$M448),INDEX(CalcDateB,$N448)))</f>
        <v/>
      </c>
      <c r="C448" s="27">
        <f>IF($M448&lt;&gt;"","خرید سبد",IF($N448&lt;&gt;"",IF(N(INDEX(CalcDepB,$N448))&gt;0,"دریافت بانکی","پرداخت بانکی"),""))</f>
        <v/>
      </c>
      <c r="D448" s="27">
        <f>IF($M448&lt;&gt;"",IF(INDEX(CalcDocA,$M448)="","—",INDEX(CalcDocA,$M448)),IF($N448&lt;&gt;"",INDEX(CalcBankB,$N448),""))</f>
        <v/>
      </c>
      <c r="E448" s="28">
        <f>IF($N448&lt;&gt;"",IF(INDEX(CalcDepB,$N448)=0,"",INDEX(CalcDepB,$N448)),"")</f>
        <v/>
      </c>
      <c r="F448" s="28">
        <f>IF($M448&lt;&gt;"",IF(INDEX(CalcQtyA,$M448)=0,"",INDEX(CalcQtyA,$M448)),"")</f>
        <v/>
      </c>
      <c r="G448" s="28">
        <f>IF($M448&lt;&gt;"",IF(INDEX(CalcPriceA,$M448)=0,"",INDEX(CalcPriceA,$M448)),"")</f>
        <v/>
      </c>
      <c r="H448" s="28">
        <f>IF($N448&lt;&gt;"",IF(INDEX(CalcWitB,$N448)=0,"",INDEX(CalcWitB,$N448)),"")</f>
        <v/>
      </c>
      <c r="I448" s="29">
        <f>IF($M448&lt;&gt;"",INDEX(CalcAmtA,$M448),"")</f>
        <v/>
      </c>
      <c r="J448" s="29">
        <f>IF($B448="","",IF($J447="",$C$8,$J447)+IF($I448="",0,$I448)+IF($E448="",0,$E448)-IF($H448="",0,$H448))</f>
        <v/>
      </c>
      <c r="K448" s="30">
        <f>IF($M448&lt;&gt;"",IF(INDEX(CalcNoteA,$M448)="","—",INDEX(CalcNoteA,$M448)),IF($N448&lt;&gt;"",IF(INDEX(CalcNoteB,$N448)="","—",INDEX(CalcNoteB,$N448)),""))</f>
        <v/>
      </c>
      <c r="M448">
        <f>IFERROR(MATCH($C$5&amp;"|"&amp;RIGHT("000000"&amp;432,6),CalcRankKeyA,0),"")</f>
        <v/>
      </c>
      <c r="N448">
        <f>IFERROR(MATCH($C$5&amp;"|"&amp;RIGHT("000000"&amp;432,6),CalcRankKeyB,0),"")</f>
        <v/>
      </c>
    </row>
    <row r="449">
      <c r="A449" s="21" t="n">
        <v>433</v>
      </c>
      <c r="B449" s="22">
        <f>IF(AND($M449="",$N449=""),"",IF($M449&lt;&gt;"",INDEX(CalcDateA,$M449),INDEX(CalcDateB,$N449)))</f>
        <v/>
      </c>
      <c r="C449" s="22">
        <f>IF($M449&lt;&gt;"","خرید سبد",IF($N449&lt;&gt;"",IF(N(INDEX(CalcDepB,$N449))&gt;0,"دریافت بانکی","پرداخت بانکی"),""))</f>
        <v/>
      </c>
      <c r="D449" s="22">
        <f>IF($M449&lt;&gt;"",IF(INDEX(CalcDocA,$M449)="","—",INDEX(CalcDocA,$M449)),IF($N449&lt;&gt;"",INDEX(CalcBankB,$N449),""))</f>
        <v/>
      </c>
      <c r="E449" s="23">
        <f>IF($N449&lt;&gt;"",IF(INDEX(CalcDepB,$N449)=0,"",INDEX(CalcDepB,$N449)),"")</f>
        <v/>
      </c>
      <c r="F449" s="23">
        <f>IF($M449&lt;&gt;"",IF(INDEX(CalcQtyA,$M449)=0,"",INDEX(CalcQtyA,$M449)),"")</f>
        <v/>
      </c>
      <c r="G449" s="23">
        <f>IF($M449&lt;&gt;"",IF(INDEX(CalcPriceA,$M449)=0,"",INDEX(CalcPriceA,$M449)),"")</f>
        <v/>
      </c>
      <c r="H449" s="23">
        <f>IF($N449&lt;&gt;"",IF(INDEX(CalcWitB,$N449)=0,"",INDEX(CalcWitB,$N449)),"")</f>
        <v/>
      </c>
      <c r="I449" s="24">
        <f>IF($M449&lt;&gt;"",INDEX(CalcAmtA,$M449),"")</f>
        <v/>
      </c>
      <c r="J449" s="24">
        <f>IF($B449="","",IF($J448="",$C$8,$J448)+IF($I449="",0,$I449)+IF($E449="",0,$E449)-IF($H449="",0,$H449))</f>
        <v/>
      </c>
      <c r="K449" s="25">
        <f>IF($M449&lt;&gt;"",IF(INDEX(CalcNoteA,$M449)="","—",INDEX(CalcNoteA,$M449)),IF($N449&lt;&gt;"",IF(INDEX(CalcNoteB,$N449)="","—",INDEX(CalcNoteB,$N449)),""))</f>
        <v/>
      </c>
      <c r="M449">
        <f>IFERROR(MATCH($C$5&amp;"|"&amp;RIGHT("000000"&amp;433,6),CalcRankKeyA,0),"")</f>
        <v/>
      </c>
      <c r="N449">
        <f>IFERROR(MATCH($C$5&amp;"|"&amp;RIGHT("000000"&amp;433,6),CalcRankKeyB,0),"")</f>
        <v/>
      </c>
    </row>
    <row r="450">
      <c r="A450" s="26" t="n">
        <v>434</v>
      </c>
      <c r="B450" s="27">
        <f>IF(AND($M450="",$N450=""),"",IF($M450&lt;&gt;"",INDEX(CalcDateA,$M450),INDEX(CalcDateB,$N450)))</f>
        <v/>
      </c>
      <c r="C450" s="27">
        <f>IF($M450&lt;&gt;"","خرید سبد",IF($N450&lt;&gt;"",IF(N(INDEX(CalcDepB,$N450))&gt;0,"دریافت بانکی","پرداخت بانکی"),""))</f>
        <v/>
      </c>
      <c r="D450" s="27">
        <f>IF($M450&lt;&gt;"",IF(INDEX(CalcDocA,$M450)="","—",INDEX(CalcDocA,$M450)),IF($N450&lt;&gt;"",INDEX(CalcBankB,$N450),""))</f>
        <v/>
      </c>
      <c r="E450" s="28">
        <f>IF($N450&lt;&gt;"",IF(INDEX(CalcDepB,$N450)=0,"",INDEX(CalcDepB,$N450)),"")</f>
        <v/>
      </c>
      <c r="F450" s="28">
        <f>IF($M450&lt;&gt;"",IF(INDEX(CalcQtyA,$M450)=0,"",INDEX(CalcQtyA,$M450)),"")</f>
        <v/>
      </c>
      <c r="G450" s="28">
        <f>IF($M450&lt;&gt;"",IF(INDEX(CalcPriceA,$M450)=0,"",INDEX(CalcPriceA,$M450)),"")</f>
        <v/>
      </c>
      <c r="H450" s="28">
        <f>IF($N450&lt;&gt;"",IF(INDEX(CalcWitB,$N450)=0,"",INDEX(CalcWitB,$N450)),"")</f>
        <v/>
      </c>
      <c r="I450" s="29">
        <f>IF($M450&lt;&gt;"",INDEX(CalcAmtA,$M450),"")</f>
        <v/>
      </c>
      <c r="J450" s="29">
        <f>IF($B450="","",IF($J449="",$C$8,$J449)+IF($I450="",0,$I450)+IF($E450="",0,$E450)-IF($H450="",0,$H450))</f>
        <v/>
      </c>
      <c r="K450" s="30">
        <f>IF($M450&lt;&gt;"",IF(INDEX(CalcNoteA,$M450)="","—",INDEX(CalcNoteA,$M450)),IF($N450&lt;&gt;"",IF(INDEX(CalcNoteB,$N450)="","—",INDEX(CalcNoteB,$N450)),""))</f>
        <v/>
      </c>
      <c r="M450">
        <f>IFERROR(MATCH($C$5&amp;"|"&amp;RIGHT("000000"&amp;434,6),CalcRankKeyA,0),"")</f>
        <v/>
      </c>
      <c r="N450">
        <f>IFERROR(MATCH($C$5&amp;"|"&amp;RIGHT("000000"&amp;434,6),CalcRankKeyB,0),"")</f>
        <v/>
      </c>
    </row>
    <row r="451">
      <c r="A451" s="21" t="n">
        <v>435</v>
      </c>
      <c r="B451" s="22">
        <f>IF(AND($M451="",$N451=""),"",IF($M451&lt;&gt;"",INDEX(CalcDateA,$M451),INDEX(CalcDateB,$N451)))</f>
        <v/>
      </c>
      <c r="C451" s="22">
        <f>IF($M451&lt;&gt;"","خرید سبد",IF($N451&lt;&gt;"",IF(N(INDEX(CalcDepB,$N451))&gt;0,"دریافت بانکی","پرداخت بانکی"),""))</f>
        <v/>
      </c>
      <c r="D451" s="22">
        <f>IF($M451&lt;&gt;"",IF(INDEX(CalcDocA,$M451)="","—",INDEX(CalcDocA,$M451)),IF($N451&lt;&gt;"",INDEX(CalcBankB,$N451),""))</f>
        <v/>
      </c>
      <c r="E451" s="23">
        <f>IF($N451&lt;&gt;"",IF(INDEX(CalcDepB,$N451)=0,"",INDEX(CalcDepB,$N451)),"")</f>
        <v/>
      </c>
      <c r="F451" s="23">
        <f>IF($M451&lt;&gt;"",IF(INDEX(CalcQtyA,$M451)=0,"",INDEX(CalcQtyA,$M451)),"")</f>
        <v/>
      </c>
      <c r="G451" s="23">
        <f>IF($M451&lt;&gt;"",IF(INDEX(CalcPriceA,$M451)=0,"",INDEX(CalcPriceA,$M451)),"")</f>
        <v/>
      </c>
      <c r="H451" s="23">
        <f>IF($N451&lt;&gt;"",IF(INDEX(CalcWitB,$N451)=0,"",INDEX(CalcWitB,$N451)),"")</f>
        <v/>
      </c>
      <c r="I451" s="24">
        <f>IF($M451&lt;&gt;"",INDEX(CalcAmtA,$M451),"")</f>
        <v/>
      </c>
      <c r="J451" s="24">
        <f>IF($B451="","",IF($J450="",$C$8,$J450)+IF($I451="",0,$I451)+IF($E451="",0,$E451)-IF($H451="",0,$H451))</f>
        <v/>
      </c>
      <c r="K451" s="25">
        <f>IF($M451&lt;&gt;"",IF(INDEX(CalcNoteA,$M451)="","—",INDEX(CalcNoteA,$M451)),IF($N451&lt;&gt;"",IF(INDEX(CalcNoteB,$N451)="","—",INDEX(CalcNoteB,$N451)),""))</f>
        <v/>
      </c>
      <c r="M451">
        <f>IFERROR(MATCH($C$5&amp;"|"&amp;RIGHT("000000"&amp;435,6),CalcRankKeyA,0),"")</f>
        <v/>
      </c>
      <c r="N451">
        <f>IFERROR(MATCH($C$5&amp;"|"&amp;RIGHT("000000"&amp;435,6),CalcRankKeyB,0),"")</f>
        <v/>
      </c>
    </row>
    <row r="452">
      <c r="A452" s="26" t="n">
        <v>436</v>
      </c>
      <c r="B452" s="27">
        <f>IF(AND($M452="",$N452=""),"",IF($M452&lt;&gt;"",INDEX(CalcDateA,$M452),INDEX(CalcDateB,$N452)))</f>
        <v/>
      </c>
      <c r="C452" s="27">
        <f>IF($M452&lt;&gt;"","خرید سبد",IF($N452&lt;&gt;"",IF(N(INDEX(CalcDepB,$N452))&gt;0,"دریافت بانکی","پرداخت بانکی"),""))</f>
        <v/>
      </c>
      <c r="D452" s="27">
        <f>IF($M452&lt;&gt;"",IF(INDEX(CalcDocA,$M452)="","—",INDEX(CalcDocA,$M452)),IF($N452&lt;&gt;"",INDEX(CalcBankB,$N452),""))</f>
        <v/>
      </c>
      <c r="E452" s="28">
        <f>IF($N452&lt;&gt;"",IF(INDEX(CalcDepB,$N452)=0,"",INDEX(CalcDepB,$N452)),"")</f>
        <v/>
      </c>
      <c r="F452" s="28">
        <f>IF($M452&lt;&gt;"",IF(INDEX(CalcQtyA,$M452)=0,"",INDEX(CalcQtyA,$M452)),"")</f>
        <v/>
      </c>
      <c r="G452" s="28">
        <f>IF($M452&lt;&gt;"",IF(INDEX(CalcPriceA,$M452)=0,"",INDEX(CalcPriceA,$M452)),"")</f>
        <v/>
      </c>
      <c r="H452" s="28">
        <f>IF($N452&lt;&gt;"",IF(INDEX(CalcWitB,$N452)=0,"",INDEX(CalcWitB,$N452)),"")</f>
        <v/>
      </c>
      <c r="I452" s="29">
        <f>IF($M452&lt;&gt;"",INDEX(CalcAmtA,$M452),"")</f>
        <v/>
      </c>
      <c r="J452" s="29">
        <f>IF($B452="","",IF($J451="",$C$8,$J451)+IF($I452="",0,$I452)+IF($E452="",0,$E452)-IF($H452="",0,$H452))</f>
        <v/>
      </c>
      <c r="K452" s="30">
        <f>IF($M452&lt;&gt;"",IF(INDEX(CalcNoteA,$M452)="","—",INDEX(CalcNoteA,$M452)),IF($N452&lt;&gt;"",IF(INDEX(CalcNoteB,$N452)="","—",INDEX(CalcNoteB,$N452)),""))</f>
        <v/>
      </c>
      <c r="M452">
        <f>IFERROR(MATCH($C$5&amp;"|"&amp;RIGHT("000000"&amp;436,6),CalcRankKeyA,0),"")</f>
        <v/>
      </c>
      <c r="N452">
        <f>IFERROR(MATCH($C$5&amp;"|"&amp;RIGHT("000000"&amp;436,6),CalcRankKeyB,0),"")</f>
        <v/>
      </c>
    </row>
    <row r="453">
      <c r="A453" s="21" t="n">
        <v>437</v>
      </c>
      <c r="B453" s="22">
        <f>IF(AND($M453="",$N453=""),"",IF($M453&lt;&gt;"",INDEX(CalcDateA,$M453),INDEX(CalcDateB,$N453)))</f>
        <v/>
      </c>
      <c r="C453" s="22">
        <f>IF($M453&lt;&gt;"","خرید سبد",IF($N453&lt;&gt;"",IF(N(INDEX(CalcDepB,$N453))&gt;0,"دریافت بانکی","پرداخت بانکی"),""))</f>
        <v/>
      </c>
      <c r="D453" s="22">
        <f>IF($M453&lt;&gt;"",IF(INDEX(CalcDocA,$M453)="","—",INDEX(CalcDocA,$M453)),IF($N453&lt;&gt;"",INDEX(CalcBankB,$N453),""))</f>
        <v/>
      </c>
      <c r="E453" s="23">
        <f>IF($N453&lt;&gt;"",IF(INDEX(CalcDepB,$N453)=0,"",INDEX(CalcDepB,$N453)),"")</f>
        <v/>
      </c>
      <c r="F453" s="23">
        <f>IF($M453&lt;&gt;"",IF(INDEX(CalcQtyA,$M453)=0,"",INDEX(CalcQtyA,$M453)),"")</f>
        <v/>
      </c>
      <c r="G453" s="23">
        <f>IF($M453&lt;&gt;"",IF(INDEX(CalcPriceA,$M453)=0,"",INDEX(CalcPriceA,$M453)),"")</f>
        <v/>
      </c>
      <c r="H453" s="23">
        <f>IF($N453&lt;&gt;"",IF(INDEX(CalcWitB,$N453)=0,"",INDEX(CalcWitB,$N453)),"")</f>
        <v/>
      </c>
      <c r="I453" s="24">
        <f>IF($M453&lt;&gt;"",INDEX(CalcAmtA,$M453),"")</f>
        <v/>
      </c>
      <c r="J453" s="24">
        <f>IF($B453="","",IF($J452="",$C$8,$J452)+IF($I453="",0,$I453)+IF($E453="",0,$E453)-IF($H453="",0,$H453))</f>
        <v/>
      </c>
      <c r="K453" s="25">
        <f>IF($M453&lt;&gt;"",IF(INDEX(CalcNoteA,$M453)="","—",INDEX(CalcNoteA,$M453)),IF($N453&lt;&gt;"",IF(INDEX(CalcNoteB,$N453)="","—",INDEX(CalcNoteB,$N453)),""))</f>
        <v/>
      </c>
      <c r="M453">
        <f>IFERROR(MATCH($C$5&amp;"|"&amp;RIGHT("000000"&amp;437,6),CalcRankKeyA,0),"")</f>
        <v/>
      </c>
      <c r="N453">
        <f>IFERROR(MATCH($C$5&amp;"|"&amp;RIGHT("000000"&amp;437,6),CalcRankKeyB,0),"")</f>
        <v/>
      </c>
    </row>
    <row r="454">
      <c r="A454" s="26" t="n">
        <v>438</v>
      </c>
      <c r="B454" s="27">
        <f>IF(AND($M454="",$N454=""),"",IF($M454&lt;&gt;"",INDEX(CalcDateA,$M454),INDEX(CalcDateB,$N454)))</f>
        <v/>
      </c>
      <c r="C454" s="27">
        <f>IF($M454&lt;&gt;"","خرید سبد",IF($N454&lt;&gt;"",IF(N(INDEX(CalcDepB,$N454))&gt;0,"دریافت بانکی","پرداخت بانکی"),""))</f>
        <v/>
      </c>
      <c r="D454" s="27">
        <f>IF($M454&lt;&gt;"",IF(INDEX(CalcDocA,$M454)="","—",INDEX(CalcDocA,$M454)),IF($N454&lt;&gt;"",INDEX(CalcBankB,$N454),""))</f>
        <v/>
      </c>
      <c r="E454" s="28">
        <f>IF($N454&lt;&gt;"",IF(INDEX(CalcDepB,$N454)=0,"",INDEX(CalcDepB,$N454)),"")</f>
        <v/>
      </c>
      <c r="F454" s="28">
        <f>IF($M454&lt;&gt;"",IF(INDEX(CalcQtyA,$M454)=0,"",INDEX(CalcQtyA,$M454)),"")</f>
        <v/>
      </c>
      <c r="G454" s="28">
        <f>IF($M454&lt;&gt;"",IF(INDEX(CalcPriceA,$M454)=0,"",INDEX(CalcPriceA,$M454)),"")</f>
        <v/>
      </c>
      <c r="H454" s="28">
        <f>IF($N454&lt;&gt;"",IF(INDEX(CalcWitB,$N454)=0,"",INDEX(CalcWitB,$N454)),"")</f>
        <v/>
      </c>
      <c r="I454" s="29">
        <f>IF($M454&lt;&gt;"",INDEX(CalcAmtA,$M454),"")</f>
        <v/>
      </c>
      <c r="J454" s="29">
        <f>IF($B454="","",IF($J453="",$C$8,$J453)+IF($I454="",0,$I454)+IF($E454="",0,$E454)-IF($H454="",0,$H454))</f>
        <v/>
      </c>
      <c r="K454" s="30">
        <f>IF($M454&lt;&gt;"",IF(INDEX(CalcNoteA,$M454)="","—",INDEX(CalcNoteA,$M454)),IF($N454&lt;&gt;"",IF(INDEX(CalcNoteB,$N454)="","—",INDEX(CalcNoteB,$N454)),""))</f>
        <v/>
      </c>
      <c r="M454">
        <f>IFERROR(MATCH($C$5&amp;"|"&amp;RIGHT("000000"&amp;438,6),CalcRankKeyA,0),"")</f>
        <v/>
      </c>
      <c r="N454">
        <f>IFERROR(MATCH($C$5&amp;"|"&amp;RIGHT("000000"&amp;438,6),CalcRankKeyB,0),"")</f>
        <v/>
      </c>
    </row>
    <row r="455">
      <c r="A455" s="21" t="n">
        <v>439</v>
      </c>
      <c r="B455" s="22">
        <f>IF(AND($M455="",$N455=""),"",IF($M455&lt;&gt;"",INDEX(CalcDateA,$M455),INDEX(CalcDateB,$N455)))</f>
        <v/>
      </c>
      <c r="C455" s="22">
        <f>IF($M455&lt;&gt;"","خرید سبد",IF($N455&lt;&gt;"",IF(N(INDEX(CalcDepB,$N455))&gt;0,"دریافت بانکی","پرداخت بانکی"),""))</f>
        <v/>
      </c>
      <c r="D455" s="22">
        <f>IF($M455&lt;&gt;"",IF(INDEX(CalcDocA,$M455)="","—",INDEX(CalcDocA,$M455)),IF($N455&lt;&gt;"",INDEX(CalcBankB,$N455),""))</f>
        <v/>
      </c>
      <c r="E455" s="23">
        <f>IF($N455&lt;&gt;"",IF(INDEX(CalcDepB,$N455)=0,"",INDEX(CalcDepB,$N455)),"")</f>
        <v/>
      </c>
      <c r="F455" s="23">
        <f>IF($M455&lt;&gt;"",IF(INDEX(CalcQtyA,$M455)=0,"",INDEX(CalcQtyA,$M455)),"")</f>
        <v/>
      </c>
      <c r="G455" s="23">
        <f>IF($M455&lt;&gt;"",IF(INDEX(CalcPriceA,$M455)=0,"",INDEX(CalcPriceA,$M455)),"")</f>
        <v/>
      </c>
      <c r="H455" s="23">
        <f>IF($N455&lt;&gt;"",IF(INDEX(CalcWitB,$N455)=0,"",INDEX(CalcWitB,$N455)),"")</f>
        <v/>
      </c>
      <c r="I455" s="24">
        <f>IF($M455&lt;&gt;"",INDEX(CalcAmtA,$M455),"")</f>
        <v/>
      </c>
      <c r="J455" s="24">
        <f>IF($B455="","",IF($J454="",$C$8,$J454)+IF($I455="",0,$I455)+IF($E455="",0,$E455)-IF($H455="",0,$H455))</f>
        <v/>
      </c>
      <c r="K455" s="25">
        <f>IF($M455&lt;&gt;"",IF(INDEX(CalcNoteA,$M455)="","—",INDEX(CalcNoteA,$M455)),IF($N455&lt;&gt;"",IF(INDEX(CalcNoteB,$N455)="","—",INDEX(CalcNoteB,$N455)),""))</f>
        <v/>
      </c>
      <c r="M455">
        <f>IFERROR(MATCH($C$5&amp;"|"&amp;RIGHT("000000"&amp;439,6),CalcRankKeyA,0),"")</f>
        <v/>
      </c>
      <c r="N455">
        <f>IFERROR(MATCH($C$5&amp;"|"&amp;RIGHT("000000"&amp;439,6),CalcRankKeyB,0),"")</f>
        <v/>
      </c>
    </row>
    <row r="456">
      <c r="A456" s="26" t="n">
        <v>440</v>
      </c>
      <c r="B456" s="27">
        <f>IF(AND($M456="",$N456=""),"",IF($M456&lt;&gt;"",INDEX(CalcDateA,$M456),INDEX(CalcDateB,$N456)))</f>
        <v/>
      </c>
      <c r="C456" s="27">
        <f>IF($M456&lt;&gt;"","خرید سبد",IF($N456&lt;&gt;"",IF(N(INDEX(CalcDepB,$N456))&gt;0,"دریافت بانکی","پرداخت بانکی"),""))</f>
        <v/>
      </c>
      <c r="D456" s="27">
        <f>IF($M456&lt;&gt;"",IF(INDEX(CalcDocA,$M456)="","—",INDEX(CalcDocA,$M456)),IF($N456&lt;&gt;"",INDEX(CalcBankB,$N456),""))</f>
        <v/>
      </c>
      <c r="E456" s="28">
        <f>IF($N456&lt;&gt;"",IF(INDEX(CalcDepB,$N456)=0,"",INDEX(CalcDepB,$N456)),"")</f>
        <v/>
      </c>
      <c r="F456" s="28">
        <f>IF($M456&lt;&gt;"",IF(INDEX(CalcQtyA,$M456)=0,"",INDEX(CalcQtyA,$M456)),"")</f>
        <v/>
      </c>
      <c r="G456" s="28">
        <f>IF($M456&lt;&gt;"",IF(INDEX(CalcPriceA,$M456)=0,"",INDEX(CalcPriceA,$M456)),"")</f>
        <v/>
      </c>
      <c r="H456" s="28">
        <f>IF($N456&lt;&gt;"",IF(INDEX(CalcWitB,$N456)=0,"",INDEX(CalcWitB,$N456)),"")</f>
        <v/>
      </c>
      <c r="I456" s="29">
        <f>IF($M456&lt;&gt;"",INDEX(CalcAmtA,$M456),"")</f>
        <v/>
      </c>
      <c r="J456" s="29">
        <f>IF($B456="","",IF($J455="",$C$8,$J455)+IF($I456="",0,$I456)+IF($E456="",0,$E456)-IF($H456="",0,$H456))</f>
        <v/>
      </c>
      <c r="K456" s="30">
        <f>IF($M456&lt;&gt;"",IF(INDEX(CalcNoteA,$M456)="","—",INDEX(CalcNoteA,$M456)),IF($N456&lt;&gt;"",IF(INDEX(CalcNoteB,$N456)="","—",INDEX(CalcNoteB,$N456)),""))</f>
        <v/>
      </c>
      <c r="M456">
        <f>IFERROR(MATCH($C$5&amp;"|"&amp;RIGHT("000000"&amp;440,6),CalcRankKeyA,0),"")</f>
        <v/>
      </c>
      <c r="N456">
        <f>IFERROR(MATCH($C$5&amp;"|"&amp;RIGHT("000000"&amp;440,6),CalcRankKeyB,0),"")</f>
        <v/>
      </c>
    </row>
    <row r="457">
      <c r="A457" s="21" t="n">
        <v>441</v>
      </c>
      <c r="B457" s="22">
        <f>IF(AND($M457="",$N457=""),"",IF($M457&lt;&gt;"",INDEX(CalcDateA,$M457),INDEX(CalcDateB,$N457)))</f>
        <v/>
      </c>
      <c r="C457" s="22">
        <f>IF($M457&lt;&gt;"","خرید سبد",IF($N457&lt;&gt;"",IF(N(INDEX(CalcDepB,$N457))&gt;0,"دریافت بانکی","پرداخت بانکی"),""))</f>
        <v/>
      </c>
      <c r="D457" s="22">
        <f>IF($M457&lt;&gt;"",IF(INDEX(CalcDocA,$M457)="","—",INDEX(CalcDocA,$M457)),IF($N457&lt;&gt;"",INDEX(CalcBankB,$N457),""))</f>
        <v/>
      </c>
      <c r="E457" s="23">
        <f>IF($N457&lt;&gt;"",IF(INDEX(CalcDepB,$N457)=0,"",INDEX(CalcDepB,$N457)),"")</f>
        <v/>
      </c>
      <c r="F457" s="23">
        <f>IF($M457&lt;&gt;"",IF(INDEX(CalcQtyA,$M457)=0,"",INDEX(CalcQtyA,$M457)),"")</f>
        <v/>
      </c>
      <c r="G457" s="23">
        <f>IF($M457&lt;&gt;"",IF(INDEX(CalcPriceA,$M457)=0,"",INDEX(CalcPriceA,$M457)),"")</f>
        <v/>
      </c>
      <c r="H457" s="23">
        <f>IF($N457&lt;&gt;"",IF(INDEX(CalcWitB,$N457)=0,"",INDEX(CalcWitB,$N457)),"")</f>
        <v/>
      </c>
      <c r="I457" s="24">
        <f>IF($M457&lt;&gt;"",INDEX(CalcAmtA,$M457),"")</f>
        <v/>
      </c>
      <c r="J457" s="24">
        <f>IF($B457="","",IF($J456="",$C$8,$J456)+IF($I457="",0,$I457)+IF($E457="",0,$E457)-IF($H457="",0,$H457))</f>
        <v/>
      </c>
      <c r="K457" s="25">
        <f>IF($M457&lt;&gt;"",IF(INDEX(CalcNoteA,$M457)="","—",INDEX(CalcNoteA,$M457)),IF($N457&lt;&gt;"",IF(INDEX(CalcNoteB,$N457)="","—",INDEX(CalcNoteB,$N457)),""))</f>
        <v/>
      </c>
      <c r="M457">
        <f>IFERROR(MATCH($C$5&amp;"|"&amp;RIGHT("000000"&amp;441,6),CalcRankKeyA,0),"")</f>
        <v/>
      </c>
      <c r="N457">
        <f>IFERROR(MATCH($C$5&amp;"|"&amp;RIGHT("000000"&amp;441,6),CalcRankKeyB,0),"")</f>
        <v/>
      </c>
    </row>
    <row r="458">
      <c r="A458" s="26" t="n">
        <v>442</v>
      </c>
      <c r="B458" s="27">
        <f>IF(AND($M458="",$N458=""),"",IF($M458&lt;&gt;"",INDEX(CalcDateA,$M458),INDEX(CalcDateB,$N458)))</f>
        <v/>
      </c>
      <c r="C458" s="27">
        <f>IF($M458&lt;&gt;"","خرید سبد",IF($N458&lt;&gt;"",IF(N(INDEX(CalcDepB,$N458))&gt;0,"دریافت بانکی","پرداخت بانکی"),""))</f>
        <v/>
      </c>
      <c r="D458" s="27">
        <f>IF($M458&lt;&gt;"",IF(INDEX(CalcDocA,$M458)="","—",INDEX(CalcDocA,$M458)),IF($N458&lt;&gt;"",INDEX(CalcBankB,$N458),""))</f>
        <v/>
      </c>
      <c r="E458" s="28">
        <f>IF($N458&lt;&gt;"",IF(INDEX(CalcDepB,$N458)=0,"",INDEX(CalcDepB,$N458)),"")</f>
        <v/>
      </c>
      <c r="F458" s="28">
        <f>IF($M458&lt;&gt;"",IF(INDEX(CalcQtyA,$M458)=0,"",INDEX(CalcQtyA,$M458)),"")</f>
        <v/>
      </c>
      <c r="G458" s="28">
        <f>IF($M458&lt;&gt;"",IF(INDEX(CalcPriceA,$M458)=0,"",INDEX(CalcPriceA,$M458)),"")</f>
        <v/>
      </c>
      <c r="H458" s="28">
        <f>IF($N458&lt;&gt;"",IF(INDEX(CalcWitB,$N458)=0,"",INDEX(CalcWitB,$N458)),"")</f>
        <v/>
      </c>
      <c r="I458" s="29">
        <f>IF($M458&lt;&gt;"",INDEX(CalcAmtA,$M458),"")</f>
        <v/>
      </c>
      <c r="J458" s="29">
        <f>IF($B458="","",IF($J457="",$C$8,$J457)+IF($I458="",0,$I458)+IF($E458="",0,$E458)-IF($H458="",0,$H458))</f>
        <v/>
      </c>
      <c r="K458" s="30">
        <f>IF($M458&lt;&gt;"",IF(INDEX(CalcNoteA,$M458)="","—",INDEX(CalcNoteA,$M458)),IF($N458&lt;&gt;"",IF(INDEX(CalcNoteB,$N458)="","—",INDEX(CalcNoteB,$N458)),""))</f>
        <v/>
      </c>
      <c r="M458">
        <f>IFERROR(MATCH($C$5&amp;"|"&amp;RIGHT("000000"&amp;442,6),CalcRankKeyA,0),"")</f>
        <v/>
      </c>
      <c r="N458">
        <f>IFERROR(MATCH($C$5&amp;"|"&amp;RIGHT("000000"&amp;442,6),CalcRankKeyB,0),"")</f>
        <v/>
      </c>
    </row>
    <row r="459">
      <c r="A459" s="21" t="n">
        <v>443</v>
      </c>
      <c r="B459" s="22">
        <f>IF(AND($M459="",$N459=""),"",IF($M459&lt;&gt;"",INDEX(CalcDateA,$M459),INDEX(CalcDateB,$N459)))</f>
        <v/>
      </c>
      <c r="C459" s="22">
        <f>IF($M459&lt;&gt;"","خرید سبد",IF($N459&lt;&gt;"",IF(N(INDEX(CalcDepB,$N459))&gt;0,"دریافت بانکی","پرداخت بانکی"),""))</f>
        <v/>
      </c>
      <c r="D459" s="22">
        <f>IF($M459&lt;&gt;"",IF(INDEX(CalcDocA,$M459)="","—",INDEX(CalcDocA,$M459)),IF($N459&lt;&gt;"",INDEX(CalcBankB,$N459),""))</f>
        <v/>
      </c>
      <c r="E459" s="23">
        <f>IF($N459&lt;&gt;"",IF(INDEX(CalcDepB,$N459)=0,"",INDEX(CalcDepB,$N459)),"")</f>
        <v/>
      </c>
      <c r="F459" s="23">
        <f>IF($M459&lt;&gt;"",IF(INDEX(CalcQtyA,$M459)=0,"",INDEX(CalcQtyA,$M459)),"")</f>
        <v/>
      </c>
      <c r="G459" s="23">
        <f>IF($M459&lt;&gt;"",IF(INDEX(CalcPriceA,$M459)=0,"",INDEX(CalcPriceA,$M459)),"")</f>
        <v/>
      </c>
      <c r="H459" s="23">
        <f>IF($N459&lt;&gt;"",IF(INDEX(CalcWitB,$N459)=0,"",INDEX(CalcWitB,$N459)),"")</f>
        <v/>
      </c>
      <c r="I459" s="24">
        <f>IF($M459&lt;&gt;"",INDEX(CalcAmtA,$M459),"")</f>
        <v/>
      </c>
      <c r="J459" s="24">
        <f>IF($B459="","",IF($J458="",$C$8,$J458)+IF($I459="",0,$I459)+IF($E459="",0,$E459)-IF($H459="",0,$H459))</f>
        <v/>
      </c>
      <c r="K459" s="25">
        <f>IF($M459&lt;&gt;"",IF(INDEX(CalcNoteA,$M459)="","—",INDEX(CalcNoteA,$M459)),IF($N459&lt;&gt;"",IF(INDEX(CalcNoteB,$N459)="","—",INDEX(CalcNoteB,$N459)),""))</f>
        <v/>
      </c>
      <c r="M459">
        <f>IFERROR(MATCH($C$5&amp;"|"&amp;RIGHT("000000"&amp;443,6),CalcRankKeyA,0),"")</f>
        <v/>
      </c>
      <c r="N459">
        <f>IFERROR(MATCH($C$5&amp;"|"&amp;RIGHT("000000"&amp;443,6),CalcRankKeyB,0),"")</f>
        <v/>
      </c>
    </row>
    <row r="460">
      <c r="A460" s="26" t="n">
        <v>444</v>
      </c>
      <c r="B460" s="27">
        <f>IF(AND($M460="",$N460=""),"",IF($M460&lt;&gt;"",INDEX(CalcDateA,$M460),INDEX(CalcDateB,$N460)))</f>
        <v/>
      </c>
      <c r="C460" s="27">
        <f>IF($M460&lt;&gt;"","خرید سبد",IF($N460&lt;&gt;"",IF(N(INDEX(CalcDepB,$N460))&gt;0,"دریافت بانکی","پرداخت بانکی"),""))</f>
        <v/>
      </c>
      <c r="D460" s="27">
        <f>IF($M460&lt;&gt;"",IF(INDEX(CalcDocA,$M460)="","—",INDEX(CalcDocA,$M460)),IF($N460&lt;&gt;"",INDEX(CalcBankB,$N460),""))</f>
        <v/>
      </c>
      <c r="E460" s="28">
        <f>IF($N460&lt;&gt;"",IF(INDEX(CalcDepB,$N460)=0,"",INDEX(CalcDepB,$N460)),"")</f>
        <v/>
      </c>
      <c r="F460" s="28">
        <f>IF($M460&lt;&gt;"",IF(INDEX(CalcQtyA,$M460)=0,"",INDEX(CalcQtyA,$M460)),"")</f>
        <v/>
      </c>
      <c r="G460" s="28">
        <f>IF($M460&lt;&gt;"",IF(INDEX(CalcPriceA,$M460)=0,"",INDEX(CalcPriceA,$M460)),"")</f>
        <v/>
      </c>
      <c r="H460" s="28">
        <f>IF($N460&lt;&gt;"",IF(INDEX(CalcWitB,$N460)=0,"",INDEX(CalcWitB,$N460)),"")</f>
        <v/>
      </c>
      <c r="I460" s="29">
        <f>IF($M460&lt;&gt;"",INDEX(CalcAmtA,$M460),"")</f>
        <v/>
      </c>
      <c r="J460" s="29">
        <f>IF($B460="","",IF($J459="",$C$8,$J459)+IF($I460="",0,$I460)+IF($E460="",0,$E460)-IF($H460="",0,$H460))</f>
        <v/>
      </c>
      <c r="K460" s="30">
        <f>IF($M460&lt;&gt;"",IF(INDEX(CalcNoteA,$M460)="","—",INDEX(CalcNoteA,$M460)),IF($N460&lt;&gt;"",IF(INDEX(CalcNoteB,$N460)="","—",INDEX(CalcNoteB,$N460)),""))</f>
        <v/>
      </c>
      <c r="M460">
        <f>IFERROR(MATCH($C$5&amp;"|"&amp;RIGHT("000000"&amp;444,6),CalcRankKeyA,0),"")</f>
        <v/>
      </c>
      <c r="N460">
        <f>IFERROR(MATCH($C$5&amp;"|"&amp;RIGHT("000000"&amp;444,6),CalcRankKeyB,0),"")</f>
        <v/>
      </c>
    </row>
    <row r="461">
      <c r="A461" s="21" t="n">
        <v>445</v>
      </c>
      <c r="B461" s="22">
        <f>IF(AND($M461="",$N461=""),"",IF($M461&lt;&gt;"",INDEX(CalcDateA,$M461),INDEX(CalcDateB,$N461)))</f>
        <v/>
      </c>
      <c r="C461" s="22">
        <f>IF($M461&lt;&gt;"","خرید سبد",IF($N461&lt;&gt;"",IF(N(INDEX(CalcDepB,$N461))&gt;0,"دریافت بانکی","پرداخت بانکی"),""))</f>
        <v/>
      </c>
      <c r="D461" s="22">
        <f>IF($M461&lt;&gt;"",IF(INDEX(CalcDocA,$M461)="","—",INDEX(CalcDocA,$M461)),IF($N461&lt;&gt;"",INDEX(CalcBankB,$N461),""))</f>
        <v/>
      </c>
      <c r="E461" s="23">
        <f>IF($N461&lt;&gt;"",IF(INDEX(CalcDepB,$N461)=0,"",INDEX(CalcDepB,$N461)),"")</f>
        <v/>
      </c>
      <c r="F461" s="23">
        <f>IF($M461&lt;&gt;"",IF(INDEX(CalcQtyA,$M461)=0,"",INDEX(CalcQtyA,$M461)),"")</f>
        <v/>
      </c>
      <c r="G461" s="23">
        <f>IF($M461&lt;&gt;"",IF(INDEX(CalcPriceA,$M461)=0,"",INDEX(CalcPriceA,$M461)),"")</f>
        <v/>
      </c>
      <c r="H461" s="23">
        <f>IF($N461&lt;&gt;"",IF(INDEX(CalcWitB,$N461)=0,"",INDEX(CalcWitB,$N461)),"")</f>
        <v/>
      </c>
      <c r="I461" s="24">
        <f>IF($M461&lt;&gt;"",INDEX(CalcAmtA,$M461),"")</f>
        <v/>
      </c>
      <c r="J461" s="24">
        <f>IF($B461="","",IF($J460="",$C$8,$J460)+IF($I461="",0,$I461)+IF($E461="",0,$E461)-IF($H461="",0,$H461))</f>
        <v/>
      </c>
      <c r="K461" s="25">
        <f>IF($M461&lt;&gt;"",IF(INDEX(CalcNoteA,$M461)="","—",INDEX(CalcNoteA,$M461)),IF($N461&lt;&gt;"",IF(INDEX(CalcNoteB,$N461)="","—",INDEX(CalcNoteB,$N461)),""))</f>
        <v/>
      </c>
      <c r="M461">
        <f>IFERROR(MATCH($C$5&amp;"|"&amp;RIGHT("000000"&amp;445,6),CalcRankKeyA,0),"")</f>
        <v/>
      </c>
      <c r="N461">
        <f>IFERROR(MATCH($C$5&amp;"|"&amp;RIGHT("000000"&amp;445,6),CalcRankKeyB,0),"")</f>
        <v/>
      </c>
    </row>
    <row r="462">
      <c r="A462" s="26" t="n">
        <v>446</v>
      </c>
      <c r="B462" s="27">
        <f>IF(AND($M462="",$N462=""),"",IF($M462&lt;&gt;"",INDEX(CalcDateA,$M462),INDEX(CalcDateB,$N462)))</f>
        <v/>
      </c>
      <c r="C462" s="27">
        <f>IF($M462&lt;&gt;"","خرید سبد",IF($N462&lt;&gt;"",IF(N(INDEX(CalcDepB,$N462))&gt;0,"دریافت بانکی","پرداخت بانکی"),""))</f>
        <v/>
      </c>
      <c r="D462" s="27">
        <f>IF($M462&lt;&gt;"",IF(INDEX(CalcDocA,$M462)="","—",INDEX(CalcDocA,$M462)),IF($N462&lt;&gt;"",INDEX(CalcBankB,$N462),""))</f>
        <v/>
      </c>
      <c r="E462" s="28">
        <f>IF($N462&lt;&gt;"",IF(INDEX(CalcDepB,$N462)=0,"",INDEX(CalcDepB,$N462)),"")</f>
        <v/>
      </c>
      <c r="F462" s="28">
        <f>IF($M462&lt;&gt;"",IF(INDEX(CalcQtyA,$M462)=0,"",INDEX(CalcQtyA,$M462)),"")</f>
        <v/>
      </c>
      <c r="G462" s="28">
        <f>IF($M462&lt;&gt;"",IF(INDEX(CalcPriceA,$M462)=0,"",INDEX(CalcPriceA,$M462)),"")</f>
        <v/>
      </c>
      <c r="H462" s="28">
        <f>IF($N462&lt;&gt;"",IF(INDEX(CalcWitB,$N462)=0,"",INDEX(CalcWitB,$N462)),"")</f>
        <v/>
      </c>
      <c r="I462" s="29">
        <f>IF($M462&lt;&gt;"",INDEX(CalcAmtA,$M462),"")</f>
        <v/>
      </c>
      <c r="J462" s="29">
        <f>IF($B462="","",IF($J461="",$C$8,$J461)+IF($I462="",0,$I462)+IF($E462="",0,$E462)-IF($H462="",0,$H462))</f>
        <v/>
      </c>
      <c r="K462" s="30">
        <f>IF($M462&lt;&gt;"",IF(INDEX(CalcNoteA,$M462)="","—",INDEX(CalcNoteA,$M462)),IF($N462&lt;&gt;"",IF(INDEX(CalcNoteB,$N462)="","—",INDEX(CalcNoteB,$N462)),""))</f>
        <v/>
      </c>
      <c r="M462">
        <f>IFERROR(MATCH($C$5&amp;"|"&amp;RIGHT("000000"&amp;446,6),CalcRankKeyA,0),"")</f>
        <v/>
      </c>
      <c r="N462">
        <f>IFERROR(MATCH($C$5&amp;"|"&amp;RIGHT("000000"&amp;446,6),CalcRankKeyB,0),"")</f>
        <v/>
      </c>
    </row>
    <row r="463">
      <c r="A463" s="21" t="n">
        <v>447</v>
      </c>
      <c r="B463" s="22">
        <f>IF(AND($M463="",$N463=""),"",IF($M463&lt;&gt;"",INDEX(CalcDateA,$M463),INDEX(CalcDateB,$N463)))</f>
        <v/>
      </c>
      <c r="C463" s="22">
        <f>IF($M463&lt;&gt;"","خرید سبد",IF($N463&lt;&gt;"",IF(N(INDEX(CalcDepB,$N463))&gt;0,"دریافت بانکی","پرداخت بانکی"),""))</f>
        <v/>
      </c>
      <c r="D463" s="22">
        <f>IF($M463&lt;&gt;"",IF(INDEX(CalcDocA,$M463)="","—",INDEX(CalcDocA,$M463)),IF($N463&lt;&gt;"",INDEX(CalcBankB,$N463),""))</f>
        <v/>
      </c>
      <c r="E463" s="23">
        <f>IF($N463&lt;&gt;"",IF(INDEX(CalcDepB,$N463)=0,"",INDEX(CalcDepB,$N463)),"")</f>
        <v/>
      </c>
      <c r="F463" s="23">
        <f>IF($M463&lt;&gt;"",IF(INDEX(CalcQtyA,$M463)=0,"",INDEX(CalcQtyA,$M463)),"")</f>
        <v/>
      </c>
      <c r="G463" s="23">
        <f>IF($M463&lt;&gt;"",IF(INDEX(CalcPriceA,$M463)=0,"",INDEX(CalcPriceA,$M463)),"")</f>
        <v/>
      </c>
      <c r="H463" s="23">
        <f>IF($N463&lt;&gt;"",IF(INDEX(CalcWitB,$N463)=0,"",INDEX(CalcWitB,$N463)),"")</f>
        <v/>
      </c>
      <c r="I463" s="24">
        <f>IF($M463&lt;&gt;"",INDEX(CalcAmtA,$M463),"")</f>
        <v/>
      </c>
      <c r="J463" s="24">
        <f>IF($B463="","",IF($J462="",$C$8,$J462)+IF($I463="",0,$I463)+IF($E463="",0,$E463)-IF($H463="",0,$H463))</f>
        <v/>
      </c>
      <c r="K463" s="25">
        <f>IF($M463&lt;&gt;"",IF(INDEX(CalcNoteA,$M463)="","—",INDEX(CalcNoteA,$M463)),IF($N463&lt;&gt;"",IF(INDEX(CalcNoteB,$N463)="","—",INDEX(CalcNoteB,$N463)),""))</f>
        <v/>
      </c>
      <c r="M463">
        <f>IFERROR(MATCH($C$5&amp;"|"&amp;RIGHT("000000"&amp;447,6),CalcRankKeyA,0),"")</f>
        <v/>
      </c>
      <c r="N463">
        <f>IFERROR(MATCH($C$5&amp;"|"&amp;RIGHT("000000"&amp;447,6),CalcRankKeyB,0),"")</f>
        <v/>
      </c>
    </row>
    <row r="464">
      <c r="A464" s="26" t="n">
        <v>448</v>
      </c>
      <c r="B464" s="27">
        <f>IF(AND($M464="",$N464=""),"",IF($M464&lt;&gt;"",INDEX(CalcDateA,$M464),INDEX(CalcDateB,$N464)))</f>
        <v/>
      </c>
      <c r="C464" s="27">
        <f>IF($M464&lt;&gt;"","خرید سبد",IF($N464&lt;&gt;"",IF(N(INDEX(CalcDepB,$N464))&gt;0,"دریافت بانکی","پرداخت بانکی"),""))</f>
        <v/>
      </c>
      <c r="D464" s="27">
        <f>IF($M464&lt;&gt;"",IF(INDEX(CalcDocA,$M464)="","—",INDEX(CalcDocA,$M464)),IF($N464&lt;&gt;"",INDEX(CalcBankB,$N464),""))</f>
        <v/>
      </c>
      <c r="E464" s="28">
        <f>IF($N464&lt;&gt;"",IF(INDEX(CalcDepB,$N464)=0,"",INDEX(CalcDepB,$N464)),"")</f>
        <v/>
      </c>
      <c r="F464" s="28">
        <f>IF($M464&lt;&gt;"",IF(INDEX(CalcQtyA,$M464)=0,"",INDEX(CalcQtyA,$M464)),"")</f>
        <v/>
      </c>
      <c r="G464" s="28">
        <f>IF($M464&lt;&gt;"",IF(INDEX(CalcPriceA,$M464)=0,"",INDEX(CalcPriceA,$M464)),"")</f>
        <v/>
      </c>
      <c r="H464" s="28">
        <f>IF($N464&lt;&gt;"",IF(INDEX(CalcWitB,$N464)=0,"",INDEX(CalcWitB,$N464)),"")</f>
        <v/>
      </c>
      <c r="I464" s="29">
        <f>IF($M464&lt;&gt;"",INDEX(CalcAmtA,$M464),"")</f>
        <v/>
      </c>
      <c r="J464" s="29">
        <f>IF($B464="","",IF($J463="",$C$8,$J463)+IF($I464="",0,$I464)+IF($E464="",0,$E464)-IF($H464="",0,$H464))</f>
        <v/>
      </c>
      <c r="K464" s="30">
        <f>IF($M464&lt;&gt;"",IF(INDEX(CalcNoteA,$M464)="","—",INDEX(CalcNoteA,$M464)),IF($N464&lt;&gt;"",IF(INDEX(CalcNoteB,$N464)="","—",INDEX(CalcNoteB,$N464)),""))</f>
        <v/>
      </c>
      <c r="M464">
        <f>IFERROR(MATCH($C$5&amp;"|"&amp;RIGHT("000000"&amp;448,6),CalcRankKeyA,0),"")</f>
        <v/>
      </c>
      <c r="N464">
        <f>IFERROR(MATCH($C$5&amp;"|"&amp;RIGHT("000000"&amp;448,6),CalcRankKeyB,0),"")</f>
        <v/>
      </c>
    </row>
    <row r="465">
      <c r="A465" s="21" t="n">
        <v>449</v>
      </c>
      <c r="B465" s="22">
        <f>IF(AND($M465="",$N465=""),"",IF($M465&lt;&gt;"",INDEX(CalcDateA,$M465),INDEX(CalcDateB,$N465)))</f>
        <v/>
      </c>
      <c r="C465" s="22">
        <f>IF($M465&lt;&gt;"","خرید سبد",IF($N465&lt;&gt;"",IF(N(INDEX(CalcDepB,$N465))&gt;0,"دریافت بانکی","پرداخت بانکی"),""))</f>
        <v/>
      </c>
      <c r="D465" s="22">
        <f>IF($M465&lt;&gt;"",IF(INDEX(CalcDocA,$M465)="","—",INDEX(CalcDocA,$M465)),IF($N465&lt;&gt;"",INDEX(CalcBankB,$N465),""))</f>
        <v/>
      </c>
      <c r="E465" s="23">
        <f>IF($N465&lt;&gt;"",IF(INDEX(CalcDepB,$N465)=0,"",INDEX(CalcDepB,$N465)),"")</f>
        <v/>
      </c>
      <c r="F465" s="23">
        <f>IF($M465&lt;&gt;"",IF(INDEX(CalcQtyA,$M465)=0,"",INDEX(CalcQtyA,$M465)),"")</f>
        <v/>
      </c>
      <c r="G465" s="23">
        <f>IF($M465&lt;&gt;"",IF(INDEX(CalcPriceA,$M465)=0,"",INDEX(CalcPriceA,$M465)),"")</f>
        <v/>
      </c>
      <c r="H465" s="23">
        <f>IF($N465&lt;&gt;"",IF(INDEX(CalcWitB,$N465)=0,"",INDEX(CalcWitB,$N465)),"")</f>
        <v/>
      </c>
      <c r="I465" s="24">
        <f>IF($M465&lt;&gt;"",INDEX(CalcAmtA,$M465),"")</f>
        <v/>
      </c>
      <c r="J465" s="24">
        <f>IF($B465="","",IF($J464="",$C$8,$J464)+IF($I465="",0,$I465)+IF($E465="",0,$E465)-IF($H465="",0,$H465))</f>
        <v/>
      </c>
      <c r="K465" s="25">
        <f>IF($M465&lt;&gt;"",IF(INDEX(CalcNoteA,$M465)="","—",INDEX(CalcNoteA,$M465)),IF($N465&lt;&gt;"",IF(INDEX(CalcNoteB,$N465)="","—",INDEX(CalcNoteB,$N465)),""))</f>
        <v/>
      </c>
      <c r="M465">
        <f>IFERROR(MATCH($C$5&amp;"|"&amp;RIGHT("000000"&amp;449,6),CalcRankKeyA,0),"")</f>
        <v/>
      </c>
      <c r="N465">
        <f>IFERROR(MATCH($C$5&amp;"|"&amp;RIGHT("000000"&amp;449,6),CalcRankKeyB,0),"")</f>
        <v/>
      </c>
    </row>
    <row r="466">
      <c r="A466" s="26" t="n">
        <v>450</v>
      </c>
      <c r="B466" s="27">
        <f>IF(AND($M466="",$N466=""),"",IF($M466&lt;&gt;"",INDEX(CalcDateA,$M466),INDEX(CalcDateB,$N466)))</f>
        <v/>
      </c>
      <c r="C466" s="27">
        <f>IF($M466&lt;&gt;"","خرید سبد",IF($N466&lt;&gt;"",IF(N(INDEX(CalcDepB,$N466))&gt;0,"دریافت بانکی","پرداخت بانکی"),""))</f>
        <v/>
      </c>
      <c r="D466" s="27">
        <f>IF($M466&lt;&gt;"",IF(INDEX(CalcDocA,$M466)="","—",INDEX(CalcDocA,$M466)),IF($N466&lt;&gt;"",INDEX(CalcBankB,$N466),""))</f>
        <v/>
      </c>
      <c r="E466" s="28">
        <f>IF($N466&lt;&gt;"",IF(INDEX(CalcDepB,$N466)=0,"",INDEX(CalcDepB,$N466)),"")</f>
        <v/>
      </c>
      <c r="F466" s="28">
        <f>IF($M466&lt;&gt;"",IF(INDEX(CalcQtyA,$M466)=0,"",INDEX(CalcQtyA,$M466)),"")</f>
        <v/>
      </c>
      <c r="G466" s="28">
        <f>IF($M466&lt;&gt;"",IF(INDEX(CalcPriceA,$M466)=0,"",INDEX(CalcPriceA,$M466)),"")</f>
        <v/>
      </c>
      <c r="H466" s="28">
        <f>IF($N466&lt;&gt;"",IF(INDEX(CalcWitB,$N466)=0,"",INDEX(CalcWitB,$N466)),"")</f>
        <v/>
      </c>
      <c r="I466" s="29">
        <f>IF($M466&lt;&gt;"",INDEX(CalcAmtA,$M466),"")</f>
        <v/>
      </c>
      <c r="J466" s="29">
        <f>IF($B466="","",IF($J465="",$C$8,$J465)+IF($I466="",0,$I466)+IF($E466="",0,$E466)-IF($H466="",0,$H466))</f>
        <v/>
      </c>
      <c r="K466" s="30">
        <f>IF($M466&lt;&gt;"",IF(INDEX(CalcNoteA,$M466)="","—",INDEX(CalcNoteA,$M466)),IF($N466&lt;&gt;"",IF(INDEX(CalcNoteB,$N466)="","—",INDEX(CalcNoteB,$N466)),""))</f>
        <v/>
      </c>
      <c r="M466">
        <f>IFERROR(MATCH($C$5&amp;"|"&amp;RIGHT("000000"&amp;450,6),CalcRankKeyA,0),"")</f>
        <v/>
      </c>
      <c r="N466">
        <f>IFERROR(MATCH($C$5&amp;"|"&amp;RIGHT("000000"&amp;450,6),CalcRankKeyB,0),"")</f>
        <v/>
      </c>
    </row>
    <row r="467">
      <c r="A467" s="21" t="n">
        <v>451</v>
      </c>
      <c r="B467" s="22">
        <f>IF(AND($M467="",$N467=""),"",IF($M467&lt;&gt;"",INDEX(CalcDateA,$M467),INDEX(CalcDateB,$N467)))</f>
        <v/>
      </c>
      <c r="C467" s="22">
        <f>IF($M467&lt;&gt;"","خرید سبد",IF($N467&lt;&gt;"",IF(N(INDEX(CalcDepB,$N467))&gt;0,"دریافت بانکی","پرداخت بانکی"),""))</f>
        <v/>
      </c>
      <c r="D467" s="22">
        <f>IF($M467&lt;&gt;"",IF(INDEX(CalcDocA,$M467)="","—",INDEX(CalcDocA,$M467)),IF($N467&lt;&gt;"",INDEX(CalcBankB,$N467),""))</f>
        <v/>
      </c>
      <c r="E467" s="23">
        <f>IF($N467&lt;&gt;"",IF(INDEX(CalcDepB,$N467)=0,"",INDEX(CalcDepB,$N467)),"")</f>
        <v/>
      </c>
      <c r="F467" s="23">
        <f>IF($M467&lt;&gt;"",IF(INDEX(CalcQtyA,$M467)=0,"",INDEX(CalcQtyA,$M467)),"")</f>
        <v/>
      </c>
      <c r="G467" s="23">
        <f>IF($M467&lt;&gt;"",IF(INDEX(CalcPriceA,$M467)=0,"",INDEX(CalcPriceA,$M467)),"")</f>
        <v/>
      </c>
      <c r="H467" s="23">
        <f>IF($N467&lt;&gt;"",IF(INDEX(CalcWitB,$N467)=0,"",INDEX(CalcWitB,$N467)),"")</f>
        <v/>
      </c>
      <c r="I467" s="24">
        <f>IF($M467&lt;&gt;"",INDEX(CalcAmtA,$M467),"")</f>
        <v/>
      </c>
      <c r="J467" s="24">
        <f>IF($B467="","",IF($J466="",$C$8,$J466)+IF($I467="",0,$I467)+IF($E467="",0,$E467)-IF($H467="",0,$H467))</f>
        <v/>
      </c>
      <c r="K467" s="25">
        <f>IF($M467&lt;&gt;"",IF(INDEX(CalcNoteA,$M467)="","—",INDEX(CalcNoteA,$M467)),IF($N467&lt;&gt;"",IF(INDEX(CalcNoteB,$N467)="","—",INDEX(CalcNoteB,$N467)),""))</f>
        <v/>
      </c>
      <c r="M467">
        <f>IFERROR(MATCH($C$5&amp;"|"&amp;RIGHT("000000"&amp;451,6),CalcRankKeyA,0),"")</f>
        <v/>
      </c>
      <c r="N467">
        <f>IFERROR(MATCH($C$5&amp;"|"&amp;RIGHT("000000"&amp;451,6),CalcRankKeyB,0),"")</f>
        <v/>
      </c>
    </row>
    <row r="468">
      <c r="A468" s="26" t="n">
        <v>452</v>
      </c>
      <c r="B468" s="27">
        <f>IF(AND($M468="",$N468=""),"",IF($M468&lt;&gt;"",INDEX(CalcDateA,$M468),INDEX(CalcDateB,$N468)))</f>
        <v/>
      </c>
      <c r="C468" s="27">
        <f>IF($M468&lt;&gt;"","خرید سبد",IF($N468&lt;&gt;"",IF(N(INDEX(CalcDepB,$N468))&gt;0,"دریافت بانکی","پرداخت بانکی"),""))</f>
        <v/>
      </c>
      <c r="D468" s="27">
        <f>IF($M468&lt;&gt;"",IF(INDEX(CalcDocA,$M468)="","—",INDEX(CalcDocA,$M468)),IF($N468&lt;&gt;"",INDEX(CalcBankB,$N468),""))</f>
        <v/>
      </c>
      <c r="E468" s="28">
        <f>IF($N468&lt;&gt;"",IF(INDEX(CalcDepB,$N468)=0,"",INDEX(CalcDepB,$N468)),"")</f>
        <v/>
      </c>
      <c r="F468" s="28">
        <f>IF($M468&lt;&gt;"",IF(INDEX(CalcQtyA,$M468)=0,"",INDEX(CalcQtyA,$M468)),"")</f>
        <v/>
      </c>
      <c r="G468" s="28">
        <f>IF($M468&lt;&gt;"",IF(INDEX(CalcPriceA,$M468)=0,"",INDEX(CalcPriceA,$M468)),"")</f>
        <v/>
      </c>
      <c r="H468" s="28">
        <f>IF($N468&lt;&gt;"",IF(INDEX(CalcWitB,$N468)=0,"",INDEX(CalcWitB,$N468)),"")</f>
        <v/>
      </c>
      <c r="I468" s="29">
        <f>IF($M468&lt;&gt;"",INDEX(CalcAmtA,$M468),"")</f>
        <v/>
      </c>
      <c r="J468" s="29">
        <f>IF($B468="","",IF($J467="",$C$8,$J467)+IF($I468="",0,$I468)+IF($E468="",0,$E468)-IF($H468="",0,$H468))</f>
        <v/>
      </c>
      <c r="K468" s="30">
        <f>IF($M468&lt;&gt;"",IF(INDEX(CalcNoteA,$M468)="","—",INDEX(CalcNoteA,$M468)),IF($N468&lt;&gt;"",IF(INDEX(CalcNoteB,$N468)="","—",INDEX(CalcNoteB,$N468)),""))</f>
        <v/>
      </c>
      <c r="M468">
        <f>IFERROR(MATCH($C$5&amp;"|"&amp;RIGHT("000000"&amp;452,6),CalcRankKeyA,0),"")</f>
        <v/>
      </c>
      <c r="N468">
        <f>IFERROR(MATCH($C$5&amp;"|"&amp;RIGHT("000000"&amp;452,6),CalcRankKeyB,0),"")</f>
        <v/>
      </c>
    </row>
    <row r="469">
      <c r="A469" s="21" t="n">
        <v>453</v>
      </c>
      <c r="B469" s="22">
        <f>IF(AND($M469="",$N469=""),"",IF($M469&lt;&gt;"",INDEX(CalcDateA,$M469),INDEX(CalcDateB,$N469)))</f>
        <v/>
      </c>
      <c r="C469" s="22">
        <f>IF($M469&lt;&gt;"","خرید سبد",IF($N469&lt;&gt;"",IF(N(INDEX(CalcDepB,$N469))&gt;0,"دریافت بانکی","پرداخت بانکی"),""))</f>
        <v/>
      </c>
      <c r="D469" s="22">
        <f>IF($M469&lt;&gt;"",IF(INDEX(CalcDocA,$M469)="","—",INDEX(CalcDocA,$M469)),IF($N469&lt;&gt;"",INDEX(CalcBankB,$N469),""))</f>
        <v/>
      </c>
      <c r="E469" s="23">
        <f>IF($N469&lt;&gt;"",IF(INDEX(CalcDepB,$N469)=0,"",INDEX(CalcDepB,$N469)),"")</f>
        <v/>
      </c>
      <c r="F469" s="23">
        <f>IF($M469&lt;&gt;"",IF(INDEX(CalcQtyA,$M469)=0,"",INDEX(CalcQtyA,$M469)),"")</f>
        <v/>
      </c>
      <c r="G469" s="23">
        <f>IF($M469&lt;&gt;"",IF(INDEX(CalcPriceA,$M469)=0,"",INDEX(CalcPriceA,$M469)),"")</f>
        <v/>
      </c>
      <c r="H469" s="23">
        <f>IF($N469&lt;&gt;"",IF(INDEX(CalcWitB,$N469)=0,"",INDEX(CalcWitB,$N469)),"")</f>
        <v/>
      </c>
      <c r="I469" s="24">
        <f>IF($M469&lt;&gt;"",INDEX(CalcAmtA,$M469),"")</f>
        <v/>
      </c>
      <c r="J469" s="24">
        <f>IF($B469="","",IF($J468="",$C$8,$J468)+IF($I469="",0,$I469)+IF($E469="",0,$E469)-IF($H469="",0,$H469))</f>
        <v/>
      </c>
      <c r="K469" s="25">
        <f>IF($M469&lt;&gt;"",IF(INDEX(CalcNoteA,$M469)="","—",INDEX(CalcNoteA,$M469)),IF($N469&lt;&gt;"",IF(INDEX(CalcNoteB,$N469)="","—",INDEX(CalcNoteB,$N469)),""))</f>
        <v/>
      </c>
      <c r="M469">
        <f>IFERROR(MATCH($C$5&amp;"|"&amp;RIGHT("000000"&amp;453,6),CalcRankKeyA,0),"")</f>
        <v/>
      </c>
      <c r="N469">
        <f>IFERROR(MATCH($C$5&amp;"|"&amp;RIGHT("000000"&amp;453,6),CalcRankKeyB,0),"")</f>
        <v/>
      </c>
    </row>
    <row r="470">
      <c r="A470" s="26" t="n">
        <v>454</v>
      </c>
      <c r="B470" s="27">
        <f>IF(AND($M470="",$N470=""),"",IF($M470&lt;&gt;"",INDEX(CalcDateA,$M470),INDEX(CalcDateB,$N470)))</f>
        <v/>
      </c>
      <c r="C470" s="27">
        <f>IF($M470&lt;&gt;"","خرید سبد",IF($N470&lt;&gt;"",IF(N(INDEX(CalcDepB,$N470))&gt;0,"دریافت بانکی","پرداخت بانکی"),""))</f>
        <v/>
      </c>
      <c r="D470" s="27">
        <f>IF($M470&lt;&gt;"",IF(INDEX(CalcDocA,$M470)="","—",INDEX(CalcDocA,$M470)),IF($N470&lt;&gt;"",INDEX(CalcBankB,$N470),""))</f>
        <v/>
      </c>
      <c r="E470" s="28">
        <f>IF($N470&lt;&gt;"",IF(INDEX(CalcDepB,$N470)=0,"",INDEX(CalcDepB,$N470)),"")</f>
        <v/>
      </c>
      <c r="F470" s="28">
        <f>IF($M470&lt;&gt;"",IF(INDEX(CalcQtyA,$M470)=0,"",INDEX(CalcQtyA,$M470)),"")</f>
        <v/>
      </c>
      <c r="G470" s="28">
        <f>IF($M470&lt;&gt;"",IF(INDEX(CalcPriceA,$M470)=0,"",INDEX(CalcPriceA,$M470)),"")</f>
        <v/>
      </c>
      <c r="H470" s="28">
        <f>IF($N470&lt;&gt;"",IF(INDEX(CalcWitB,$N470)=0,"",INDEX(CalcWitB,$N470)),"")</f>
        <v/>
      </c>
      <c r="I470" s="29">
        <f>IF($M470&lt;&gt;"",INDEX(CalcAmtA,$M470),"")</f>
        <v/>
      </c>
      <c r="J470" s="29">
        <f>IF($B470="","",IF($J469="",$C$8,$J469)+IF($I470="",0,$I470)+IF($E470="",0,$E470)-IF($H470="",0,$H470))</f>
        <v/>
      </c>
      <c r="K470" s="30">
        <f>IF($M470&lt;&gt;"",IF(INDEX(CalcNoteA,$M470)="","—",INDEX(CalcNoteA,$M470)),IF($N470&lt;&gt;"",IF(INDEX(CalcNoteB,$N470)="","—",INDEX(CalcNoteB,$N470)),""))</f>
        <v/>
      </c>
      <c r="M470">
        <f>IFERROR(MATCH($C$5&amp;"|"&amp;RIGHT("000000"&amp;454,6),CalcRankKeyA,0),"")</f>
        <v/>
      </c>
      <c r="N470">
        <f>IFERROR(MATCH($C$5&amp;"|"&amp;RIGHT("000000"&amp;454,6),CalcRankKeyB,0),"")</f>
        <v/>
      </c>
    </row>
    <row r="471">
      <c r="A471" s="21" t="n">
        <v>455</v>
      </c>
      <c r="B471" s="22">
        <f>IF(AND($M471="",$N471=""),"",IF($M471&lt;&gt;"",INDEX(CalcDateA,$M471),INDEX(CalcDateB,$N471)))</f>
        <v/>
      </c>
      <c r="C471" s="22">
        <f>IF($M471&lt;&gt;"","خرید سبد",IF($N471&lt;&gt;"",IF(N(INDEX(CalcDepB,$N471))&gt;0,"دریافت بانکی","پرداخت بانکی"),""))</f>
        <v/>
      </c>
      <c r="D471" s="22">
        <f>IF($M471&lt;&gt;"",IF(INDEX(CalcDocA,$M471)="","—",INDEX(CalcDocA,$M471)),IF($N471&lt;&gt;"",INDEX(CalcBankB,$N471),""))</f>
        <v/>
      </c>
      <c r="E471" s="23">
        <f>IF($N471&lt;&gt;"",IF(INDEX(CalcDepB,$N471)=0,"",INDEX(CalcDepB,$N471)),"")</f>
        <v/>
      </c>
      <c r="F471" s="23">
        <f>IF($M471&lt;&gt;"",IF(INDEX(CalcQtyA,$M471)=0,"",INDEX(CalcQtyA,$M471)),"")</f>
        <v/>
      </c>
      <c r="G471" s="23">
        <f>IF($M471&lt;&gt;"",IF(INDEX(CalcPriceA,$M471)=0,"",INDEX(CalcPriceA,$M471)),"")</f>
        <v/>
      </c>
      <c r="H471" s="23">
        <f>IF($N471&lt;&gt;"",IF(INDEX(CalcWitB,$N471)=0,"",INDEX(CalcWitB,$N471)),"")</f>
        <v/>
      </c>
      <c r="I471" s="24">
        <f>IF($M471&lt;&gt;"",INDEX(CalcAmtA,$M471),"")</f>
        <v/>
      </c>
      <c r="J471" s="24">
        <f>IF($B471="","",IF($J470="",$C$8,$J470)+IF($I471="",0,$I471)+IF($E471="",0,$E471)-IF($H471="",0,$H471))</f>
        <v/>
      </c>
      <c r="K471" s="25">
        <f>IF($M471&lt;&gt;"",IF(INDEX(CalcNoteA,$M471)="","—",INDEX(CalcNoteA,$M471)),IF($N471&lt;&gt;"",IF(INDEX(CalcNoteB,$N471)="","—",INDEX(CalcNoteB,$N471)),""))</f>
        <v/>
      </c>
      <c r="M471">
        <f>IFERROR(MATCH($C$5&amp;"|"&amp;RIGHT("000000"&amp;455,6),CalcRankKeyA,0),"")</f>
        <v/>
      </c>
      <c r="N471">
        <f>IFERROR(MATCH($C$5&amp;"|"&amp;RIGHT("000000"&amp;455,6),CalcRankKeyB,0),"")</f>
        <v/>
      </c>
    </row>
    <row r="472">
      <c r="A472" s="26" t="n">
        <v>456</v>
      </c>
      <c r="B472" s="27">
        <f>IF(AND($M472="",$N472=""),"",IF($M472&lt;&gt;"",INDEX(CalcDateA,$M472),INDEX(CalcDateB,$N472)))</f>
        <v/>
      </c>
      <c r="C472" s="27">
        <f>IF($M472&lt;&gt;"","خرید سبد",IF($N472&lt;&gt;"",IF(N(INDEX(CalcDepB,$N472))&gt;0,"دریافت بانکی","پرداخت بانکی"),""))</f>
        <v/>
      </c>
      <c r="D472" s="27">
        <f>IF($M472&lt;&gt;"",IF(INDEX(CalcDocA,$M472)="","—",INDEX(CalcDocA,$M472)),IF($N472&lt;&gt;"",INDEX(CalcBankB,$N472),""))</f>
        <v/>
      </c>
      <c r="E472" s="28">
        <f>IF($N472&lt;&gt;"",IF(INDEX(CalcDepB,$N472)=0,"",INDEX(CalcDepB,$N472)),"")</f>
        <v/>
      </c>
      <c r="F472" s="28">
        <f>IF($M472&lt;&gt;"",IF(INDEX(CalcQtyA,$M472)=0,"",INDEX(CalcQtyA,$M472)),"")</f>
        <v/>
      </c>
      <c r="G472" s="28">
        <f>IF($M472&lt;&gt;"",IF(INDEX(CalcPriceA,$M472)=0,"",INDEX(CalcPriceA,$M472)),"")</f>
        <v/>
      </c>
      <c r="H472" s="28">
        <f>IF($N472&lt;&gt;"",IF(INDEX(CalcWitB,$N472)=0,"",INDEX(CalcWitB,$N472)),"")</f>
        <v/>
      </c>
      <c r="I472" s="29">
        <f>IF($M472&lt;&gt;"",INDEX(CalcAmtA,$M472),"")</f>
        <v/>
      </c>
      <c r="J472" s="29">
        <f>IF($B472="","",IF($J471="",$C$8,$J471)+IF($I472="",0,$I472)+IF($E472="",0,$E472)-IF($H472="",0,$H472))</f>
        <v/>
      </c>
      <c r="K472" s="30">
        <f>IF($M472&lt;&gt;"",IF(INDEX(CalcNoteA,$M472)="","—",INDEX(CalcNoteA,$M472)),IF($N472&lt;&gt;"",IF(INDEX(CalcNoteB,$N472)="","—",INDEX(CalcNoteB,$N472)),""))</f>
        <v/>
      </c>
      <c r="M472">
        <f>IFERROR(MATCH($C$5&amp;"|"&amp;RIGHT("000000"&amp;456,6),CalcRankKeyA,0),"")</f>
        <v/>
      </c>
      <c r="N472">
        <f>IFERROR(MATCH($C$5&amp;"|"&amp;RIGHT("000000"&amp;456,6),CalcRankKeyB,0),"")</f>
        <v/>
      </c>
    </row>
    <row r="473">
      <c r="A473" s="21" t="n">
        <v>457</v>
      </c>
      <c r="B473" s="22">
        <f>IF(AND($M473="",$N473=""),"",IF($M473&lt;&gt;"",INDEX(CalcDateA,$M473),INDEX(CalcDateB,$N473)))</f>
        <v/>
      </c>
      <c r="C473" s="22">
        <f>IF($M473&lt;&gt;"","خرید سبد",IF($N473&lt;&gt;"",IF(N(INDEX(CalcDepB,$N473))&gt;0,"دریافت بانکی","پرداخت بانکی"),""))</f>
        <v/>
      </c>
      <c r="D473" s="22">
        <f>IF($M473&lt;&gt;"",IF(INDEX(CalcDocA,$M473)="","—",INDEX(CalcDocA,$M473)),IF($N473&lt;&gt;"",INDEX(CalcBankB,$N473),""))</f>
        <v/>
      </c>
      <c r="E473" s="23">
        <f>IF($N473&lt;&gt;"",IF(INDEX(CalcDepB,$N473)=0,"",INDEX(CalcDepB,$N473)),"")</f>
        <v/>
      </c>
      <c r="F473" s="23">
        <f>IF($M473&lt;&gt;"",IF(INDEX(CalcQtyA,$M473)=0,"",INDEX(CalcQtyA,$M473)),"")</f>
        <v/>
      </c>
      <c r="G473" s="23">
        <f>IF($M473&lt;&gt;"",IF(INDEX(CalcPriceA,$M473)=0,"",INDEX(CalcPriceA,$M473)),"")</f>
        <v/>
      </c>
      <c r="H473" s="23">
        <f>IF($N473&lt;&gt;"",IF(INDEX(CalcWitB,$N473)=0,"",INDEX(CalcWitB,$N473)),"")</f>
        <v/>
      </c>
      <c r="I473" s="24">
        <f>IF($M473&lt;&gt;"",INDEX(CalcAmtA,$M473),"")</f>
        <v/>
      </c>
      <c r="J473" s="24">
        <f>IF($B473="","",IF($J472="",$C$8,$J472)+IF($I473="",0,$I473)+IF($E473="",0,$E473)-IF($H473="",0,$H473))</f>
        <v/>
      </c>
      <c r="K473" s="25">
        <f>IF($M473&lt;&gt;"",IF(INDEX(CalcNoteA,$M473)="","—",INDEX(CalcNoteA,$M473)),IF($N473&lt;&gt;"",IF(INDEX(CalcNoteB,$N473)="","—",INDEX(CalcNoteB,$N473)),""))</f>
        <v/>
      </c>
      <c r="M473">
        <f>IFERROR(MATCH($C$5&amp;"|"&amp;RIGHT("000000"&amp;457,6),CalcRankKeyA,0),"")</f>
        <v/>
      </c>
      <c r="N473">
        <f>IFERROR(MATCH($C$5&amp;"|"&amp;RIGHT("000000"&amp;457,6),CalcRankKeyB,0),"")</f>
        <v/>
      </c>
    </row>
    <row r="474">
      <c r="A474" s="26" t="n">
        <v>458</v>
      </c>
      <c r="B474" s="27">
        <f>IF(AND($M474="",$N474=""),"",IF($M474&lt;&gt;"",INDEX(CalcDateA,$M474),INDEX(CalcDateB,$N474)))</f>
        <v/>
      </c>
      <c r="C474" s="27">
        <f>IF($M474&lt;&gt;"","خرید سبد",IF($N474&lt;&gt;"",IF(N(INDEX(CalcDepB,$N474))&gt;0,"دریافت بانکی","پرداخت بانکی"),""))</f>
        <v/>
      </c>
      <c r="D474" s="27">
        <f>IF($M474&lt;&gt;"",IF(INDEX(CalcDocA,$M474)="","—",INDEX(CalcDocA,$M474)),IF($N474&lt;&gt;"",INDEX(CalcBankB,$N474),""))</f>
        <v/>
      </c>
      <c r="E474" s="28">
        <f>IF($N474&lt;&gt;"",IF(INDEX(CalcDepB,$N474)=0,"",INDEX(CalcDepB,$N474)),"")</f>
        <v/>
      </c>
      <c r="F474" s="28">
        <f>IF($M474&lt;&gt;"",IF(INDEX(CalcQtyA,$M474)=0,"",INDEX(CalcQtyA,$M474)),"")</f>
        <v/>
      </c>
      <c r="G474" s="28">
        <f>IF($M474&lt;&gt;"",IF(INDEX(CalcPriceA,$M474)=0,"",INDEX(CalcPriceA,$M474)),"")</f>
        <v/>
      </c>
      <c r="H474" s="28">
        <f>IF($N474&lt;&gt;"",IF(INDEX(CalcWitB,$N474)=0,"",INDEX(CalcWitB,$N474)),"")</f>
        <v/>
      </c>
      <c r="I474" s="29">
        <f>IF($M474&lt;&gt;"",INDEX(CalcAmtA,$M474),"")</f>
        <v/>
      </c>
      <c r="J474" s="29">
        <f>IF($B474="","",IF($J473="",$C$8,$J473)+IF($I474="",0,$I474)+IF($E474="",0,$E474)-IF($H474="",0,$H474))</f>
        <v/>
      </c>
      <c r="K474" s="30">
        <f>IF($M474&lt;&gt;"",IF(INDEX(CalcNoteA,$M474)="","—",INDEX(CalcNoteA,$M474)),IF($N474&lt;&gt;"",IF(INDEX(CalcNoteB,$N474)="","—",INDEX(CalcNoteB,$N474)),""))</f>
        <v/>
      </c>
      <c r="M474">
        <f>IFERROR(MATCH($C$5&amp;"|"&amp;RIGHT("000000"&amp;458,6),CalcRankKeyA,0),"")</f>
        <v/>
      </c>
      <c r="N474">
        <f>IFERROR(MATCH($C$5&amp;"|"&amp;RIGHT("000000"&amp;458,6),CalcRankKeyB,0),"")</f>
        <v/>
      </c>
    </row>
    <row r="475">
      <c r="A475" s="21" t="n">
        <v>459</v>
      </c>
      <c r="B475" s="22">
        <f>IF(AND($M475="",$N475=""),"",IF($M475&lt;&gt;"",INDEX(CalcDateA,$M475),INDEX(CalcDateB,$N475)))</f>
        <v/>
      </c>
      <c r="C475" s="22">
        <f>IF($M475&lt;&gt;"","خرید سبد",IF($N475&lt;&gt;"",IF(N(INDEX(CalcDepB,$N475))&gt;0,"دریافت بانکی","پرداخت بانکی"),""))</f>
        <v/>
      </c>
      <c r="D475" s="22">
        <f>IF($M475&lt;&gt;"",IF(INDEX(CalcDocA,$M475)="","—",INDEX(CalcDocA,$M475)),IF($N475&lt;&gt;"",INDEX(CalcBankB,$N475),""))</f>
        <v/>
      </c>
      <c r="E475" s="23">
        <f>IF($N475&lt;&gt;"",IF(INDEX(CalcDepB,$N475)=0,"",INDEX(CalcDepB,$N475)),"")</f>
        <v/>
      </c>
      <c r="F475" s="23">
        <f>IF($M475&lt;&gt;"",IF(INDEX(CalcQtyA,$M475)=0,"",INDEX(CalcQtyA,$M475)),"")</f>
        <v/>
      </c>
      <c r="G475" s="23">
        <f>IF($M475&lt;&gt;"",IF(INDEX(CalcPriceA,$M475)=0,"",INDEX(CalcPriceA,$M475)),"")</f>
        <v/>
      </c>
      <c r="H475" s="23">
        <f>IF($N475&lt;&gt;"",IF(INDEX(CalcWitB,$N475)=0,"",INDEX(CalcWitB,$N475)),"")</f>
        <v/>
      </c>
      <c r="I475" s="24">
        <f>IF($M475&lt;&gt;"",INDEX(CalcAmtA,$M475),"")</f>
        <v/>
      </c>
      <c r="J475" s="24">
        <f>IF($B475="","",IF($J474="",$C$8,$J474)+IF($I475="",0,$I475)+IF($E475="",0,$E475)-IF($H475="",0,$H475))</f>
        <v/>
      </c>
      <c r="K475" s="25">
        <f>IF($M475&lt;&gt;"",IF(INDEX(CalcNoteA,$M475)="","—",INDEX(CalcNoteA,$M475)),IF($N475&lt;&gt;"",IF(INDEX(CalcNoteB,$N475)="","—",INDEX(CalcNoteB,$N475)),""))</f>
        <v/>
      </c>
      <c r="M475">
        <f>IFERROR(MATCH($C$5&amp;"|"&amp;RIGHT("000000"&amp;459,6),CalcRankKeyA,0),"")</f>
        <v/>
      </c>
      <c r="N475">
        <f>IFERROR(MATCH($C$5&amp;"|"&amp;RIGHT("000000"&amp;459,6),CalcRankKeyB,0),"")</f>
        <v/>
      </c>
    </row>
    <row r="476">
      <c r="A476" s="26" t="n">
        <v>460</v>
      </c>
      <c r="B476" s="27">
        <f>IF(AND($M476="",$N476=""),"",IF($M476&lt;&gt;"",INDEX(CalcDateA,$M476),INDEX(CalcDateB,$N476)))</f>
        <v/>
      </c>
      <c r="C476" s="27">
        <f>IF($M476&lt;&gt;"","خرید سبد",IF($N476&lt;&gt;"",IF(N(INDEX(CalcDepB,$N476))&gt;0,"دریافت بانکی","پرداخت بانکی"),""))</f>
        <v/>
      </c>
      <c r="D476" s="27">
        <f>IF($M476&lt;&gt;"",IF(INDEX(CalcDocA,$M476)="","—",INDEX(CalcDocA,$M476)),IF($N476&lt;&gt;"",INDEX(CalcBankB,$N476),""))</f>
        <v/>
      </c>
      <c r="E476" s="28">
        <f>IF($N476&lt;&gt;"",IF(INDEX(CalcDepB,$N476)=0,"",INDEX(CalcDepB,$N476)),"")</f>
        <v/>
      </c>
      <c r="F476" s="28">
        <f>IF($M476&lt;&gt;"",IF(INDEX(CalcQtyA,$M476)=0,"",INDEX(CalcQtyA,$M476)),"")</f>
        <v/>
      </c>
      <c r="G476" s="28">
        <f>IF($M476&lt;&gt;"",IF(INDEX(CalcPriceA,$M476)=0,"",INDEX(CalcPriceA,$M476)),"")</f>
        <v/>
      </c>
      <c r="H476" s="28">
        <f>IF($N476&lt;&gt;"",IF(INDEX(CalcWitB,$N476)=0,"",INDEX(CalcWitB,$N476)),"")</f>
        <v/>
      </c>
      <c r="I476" s="29">
        <f>IF($M476&lt;&gt;"",INDEX(CalcAmtA,$M476),"")</f>
        <v/>
      </c>
      <c r="J476" s="29">
        <f>IF($B476="","",IF($J475="",$C$8,$J475)+IF($I476="",0,$I476)+IF($E476="",0,$E476)-IF($H476="",0,$H476))</f>
        <v/>
      </c>
      <c r="K476" s="30">
        <f>IF($M476&lt;&gt;"",IF(INDEX(CalcNoteA,$M476)="","—",INDEX(CalcNoteA,$M476)),IF($N476&lt;&gt;"",IF(INDEX(CalcNoteB,$N476)="","—",INDEX(CalcNoteB,$N476)),""))</f>
        <v/>
      </c>
      <c r="M476">
        <f>IFERROR(MATCH($C$5&amp;"|"&amp;RIGHT("000000"&amp;460,6),CalcRankKeyA,0),"")</f>
        <v/>
      </c>
      <c r="N476">
        <f>IFERROR(MATCH($C$5&amp;"|"&amp;RIGHT("000000"&amp;460,6),CalcRankKeyB,0),"")</f>
        <v/>
      </c>
    </row>
    <row r="477">
      <c r="A477" s="21" t="n">
        <v>461</v>
      </c>
      <c r="B477" s="22">
        <f>IF(AND($M477="",$N477=""),"",IF($M477&lt;&gt;"",INDEX(CalcDateA,$M477),INDEX(CalcDateB,$N477)))</f>
        <v/>
      </c>
      <c r="C477" s="22">
        <f>IF($M477&lt;&gt;"","خرید سبد",IF($N477&lt;&gt;"",IF(N(INDEX(CalcDepB,$N477))&gt;0,"دریافت بانکی","پرداخت بانکی"),""))</f>
        <v/>
      </c>
      <c r="D477" s="22">
        <f>IF($M477&lt;&gt;"",IF(INDEX(CalcDocA,$M477)="","—",INDEX(CalcDocA,$M477)),IF($N477&lt;&gt;"",INDEX(CalcBankB,$N477),""))</f>
        <v/>
      </c>
      <c r="E477" s="23">
        <f>IF($N477&lt;&gt;"",IF(INDEX(CalcDepB,$N477)=0,"",INDEX(CalcDepB,$N477)),"")</f>
        <v/>
      </c>
      <c r="F477" s="23">
        <f>IF($M477&lt;&gt;"",IF(INDEX(CalcQtyA,$M477)=0,"",INDEX(CalcQtyA,$M477)),"")</f>
        <v/>
      </c>
      <c r="G477" s="23">
        <f>IF($M477&lt;&gt;"",IF(INDEX(CalcPriceA,$M477)=0,"",INDEX(CalcPriceA,$M477)),"")</f>
        <v/>
      </c>
      <c r="H477" s="23">
        <f>IF($N477&lt;&gt;"",IF(INDEX(CalcWitB,$N477)=0,"",INDEX(CalcWitB,$N477)),"")</f>
        <v/>
      </c>
      <c r="I477" s="24">
        <f>IF($M477&lt;&gt;"",INDEX(CalcAmtA,$M477),"")</f>
        <v/>
      </c>
      <c r="J477" s="24">
        <f>IF($B477="","",IF($J476="",$C$8,$J476)+IF($I477="",0,$I477)+IF($E477="",0,$E477)-IF($H477="",0,$H477))</f>
        <v/>
      </c>
      <c r="K477" s="25">
        <f>IF($M477&lt;&gt;"",IF(INDEX(CalcNoteA,$M477)="","—",INDEX(CalcNoteA,$M477)),IF($N477&lt;&gt;"",IF(INDEX(CalcNoteB,$N477)="","—",INDEX(CalcNoteB,$N477)),""))</f>
        <v/>
      </c>
      <c r="M477">
        <f>IFERROR(MATCH($C$5&amp;"|"&amp;RIGHT("000000"&amp;461,6),CalcRankKeyA,0),"")</f>
        <v/>
      </c>
      <c r="N477">
        <f>IFERROR(MATCH($C$5&amp;"|"&amp;RIGHT("000000"&amp;461,6),CalcRankKeyB,0),"")</f>
        <v/>
      </c>
    </row>
    <row r="478">
      <c r="A478" s="26" t="n">
        <v>462</v>
      </c>
      <c r="B478" s="27">
        <f>IF(AND($M478="",$N478=""),"",IF($M478&lt;&gt;"",INDEX(CalcDateA,$M478),INDEX(CalcDateB,$N478)))</f>
        <v/>
      </c>
      <c r="C478" s="27">
        <f>IF($M478&lt;&gt;"","خرید سبد",IF($N478&lt;&gt;"",IF(N(INDEX(CalcDepB,$N478))&gt;0,"دریافت بانکی","پرداخت بانکی"),""))</f>
        <v/>
      </c>
      <c r="D478" s="27">
        <f>IF($M478&lt;&gt;"",IF(INDEX(CalcDocA,$M478)="","—",INDEX(CalcDocA,$M478)),IF($N478&lt;&gt;"",INDEX(CalcBankB,$N478),""))</f>
        <v/>
      </c>
      <c r="E478" s="28">
        <f>IF($N478&lt;&gt;"",IF(INDEX(CalcDepB,$N478)=0,"",INDEX(CalcDepB,$N478)),"")</f>
        <v/>
      </c>
      <c r="F478" s="28">
        <f>IF($M478&lt;&gt;"",IF(INDEX(CalcQtyA,$M478)=0,"",INDEX(CalcQtyA,$M478)),"")</f>
        <v/>
      </c>
      <c r="G478" s="28">
        <f>IF($M478&lt;&gt;"",IF(INDEX(CalcPriceA,$M478)=0,"",INDEX(CalcPriceA,$M478)),"")</f>
        <v/>
      </c>
      <c r="H478" s="28">
        <f>IF($N478&lt;&gt;"",IF(INDEX(CalcWitB,$N478)=0,"",INDEX(CalcWitB,$N478)),"")</f>
        <v/>
      </c>
      <c r="I478" s="29">
        <f>IF($M478&lt;&gt;"",INDEX(CalcAmtA,$M478),"")</f>
        <v/>
      </c>
      <c r="J478" s="29">
        <f>IF($B478="","",IF($J477="",$C$8,$J477)+IF($I478="",0,$I478)+IF($E478="",0,$E478)-IF($H478="",0,$H478))</f>
        <v/>
      </c>
      <c r="K478" s="30">
        <f>IF($M478&lt;&gt;"",IF(INDEX(CalcNoteA,$M478)="","—",INDEX(CalcNoteA,$M478)),IF($N478&lt;&gt;"",IF(INDEX(CalcNoteB,$N478)="","—",INDEX(CalcNoteB,$N478)),""))</f>
        <v/>
      </c>
      <c r="M478">
        <f>IFERROR(MATCH($C$5&amp;"|"&amp;RIGHT("000000"&amp;462,6),CalcRankKeyA,0),"")</f>
        <v/>
      </c>
      <c r="N478">
        <f>IFERROR(MATCH($C$5&amp;"|"&amp;RIGHT("000000"&amp;462,6),CalcRankKeyB,0),"")</f>
        <v/>
      </c>
    </row>
    <row r="479">
      <c r="A479" s="21" t="n">
        <v>463</v>
      </c>
      <c r="B479" s="22">
        <f>IF(AND($M479="",$N479=""),"",IF($M479&lt;&gt;"",INDEX(CalcDateA,$M479),INDEX(CalcDateB,$N479)))</f>
        <v/>
      </c>
      <c r="C479" s="22">
        <f>IF($M479&lt;&gt;"","خرید سبد",IF($N479&lt;&gt;"",IF(N(INDEX(CalcDepB,$N479))&gt;0,"دریافت بانکی","پرداخت بانکی"),""))</f>
        <v/>
      </c>
      <c r="D479" s="22">
        <f>IF($M479&lt;&gt;"",IF(INDEX(CalcDocA,$M479)="","—",INDEX(CalcDocA,$M479)),IF($N479&lt;&gt;"",INDEX(CalcBankB,$N479),""))</f>
        <v/>
      </c>
      <c r="E479" s="23">
        <f>IF($N479&lt;&gt;"",IF(INDEX(CalcDepB,$N479)=0,"",INDEX(CalcDepB,$N479)),"")</f>
        <v/>
      </c>
      <c r="F479" s="23">
        <f>IF($M479&lt;&gt;"",IF(INDEX(CalcQtyA,$M479)=0,"",INDEX(CalcQtyA,$M479)),"")</f>
        <v/>
      </c>
      <c r="G479" s="23">
        <f>IF($M479&lt;&gt;"",IF(INDEX(CalcPriceA,$M479)=0,"",INDEX(CalcPriceA,$M479)),"")</f>
        <v/>
      </c>
      <c r="H479" s="23">
        <f>IF($N479&lt;&gt;"",IF(INDEX(CalcWitB,$N479)=0,"",INDEX(CalcWitB,$N479)),"")</f>
        <v/>
      </c>
      <c r="I479" s="24">
        <f>IF($M479&lt;&gt;"",INDEX(CalcAmtA,$M479),"")</f>
        <v/>
      </c>
      <c r="J479" s="24">
        <f>IF($B479="","",IF($J478="",$C$8,$J478)+IF($I479="",0,$I479)+IF($E479="",0,$E479)-IF($H479="",0,$H479))</f>
        <v/>
      </c>
      <c r="K479" s="25">
        <f>IF($M479&lt;&gt;"",IF(INDEX(CalcNoteA,$M479)="","—",INDEX(CalcNoteA,$M479)),IF($N479&lt;&gt;"",IF(INDEX(CalcNoteB,$N479)="","—",INDEX(CalcNoteB,$N479)),""))</f>
        <v/>
      </c>
      <c r="M479">
        <f>IFERROR(MATCH($C$5&amp;"|"&amp;RIGHT("000000"&amp;463,6),CalcRankKeyA,0),"")</f>
        <v/>
      </c>
      <c r="N479">
        <f>IFERROR(MATCH($C$5&amp;"|"&amp;RIGHT("000000"&amp;463,6),CalcRankKeyB,0),"")</f>
        <v/>
      </c>
    </row>
    <row r="480">
      <c r="A480" s="26" t="n">
        <v>464</v>
      </c>
      <c r="B480" s="27">
        <f>IF(AND($M480="",$N480=""),"",IF($M480&lt;&gt;"",INDEX(CalcDateA,$M480),INDEX(CalcDateB,$N480)))</f>
        <v/>
      </c>
      <c r="C480" s="27">
        <f>IF($M480&lt;&gt;"","خرید سبد",IF($N480&lt;&gt;"",IF(N(INDEX(CalcDepB,$N480))&gt;0,"دریافت بانکی","پرداخت بانکی"),""))</f>
        <v/>
      </c>
      <c r="D480" s="27">
        <f>IF($M480&lt;&gt;"",IF(INDEX(CalcDocA,$M480)="","—",INDEX(CalcDocA,$M480)),IF($N480&lt;&gt;"",INDEX(CalcBankB,$N480),""))</f>
        <v/>
      </c>
      <c r="E480" s="28">
        <f>IF($N480&lt;&gt;"",IF(INDEX(CalcDepB,$N480)=0,"",INDEX(CalcDepB,$N480)),"")</f>
        <v/>
      </c>
      <c r="F480" s="28">
        <f>IF($M480&lt;&gt;"",IF(INDEX(CalcQtyA,$M480)=0,"",INDEX(CalcQtyA,$M480)),"")</f>
        <v/>
      </c>
      <c r="G480" s="28">
        <f>IF($M480&lt;&gt;"",IF(INDEX(CalcPriceA,$M480)=0,"",INDEX(CalcPriceA,$M480)),"")</f>
        <v/>
      </c>
      <c r="H480" s="28">
        <f>IF($N480&lt;&gt;"",IF(INDEX(CalcWitB,$N480)=0,"",INDEX(CalcWitB,$N480)),"")</f>
        <v/>
      </c>
      <c r="I480" s="29">
        <f>IF($M480&lt;&gt;"",INDEX(CalcAmtA,$M480),"")</f>
        <v/>
      </c>
      <c r="J480" s="29">
        <f>IF($B480="","",IF($J479="",$C$8,$J479)+IF($I480="",0,$I480)+IF($E480="",0,$E480)-IF($H480="",0,$H480))</f>
        <v/>
      </c>
      <c r="K480" s="30">
        <f>IF($M480&lt;&gt;"",IF(INDEX(CalcNoteA,$M480)="","—",INDEX(CalcNoteA,$M480)),IF($N480&lt;&gt;"",IF(INDEX(CalcNoteB,$N480)="","—",INDEX(CalcNoteB,$N480)),""))</f>
        <v/>
      </c>
      <c r="M480">
        <f>IFERROR(MATCH($C$5&amp;"|"&amp;RIGHT("000000"&amp;464,6),CalcRankKeyA,0),"")</f>
        <v/>
      </c>
      <c r="N480">
        <f>IFERROR(MATCH($C$5&amp;"|"&amp;RIGHT("000000"&amp;464,6),CalcRankKeyB,0),"")</f>
        <v/>
      </c>
    </row>
    <row r="481">
      <c r="A481" s="21" t="n">
        <v>465</v>
      </c>
      <c r="B481" s="22">
        <f>IF(AND($M481="",$N481=""),"",IF($M481&lt;&gt;"",INDEX(CalcDateA,$M481),INDEX(CalcDateB,$N481)))</f>
        <v/>
      </c>
      <c r="C481" s="22">
        <f>IF($M481&lt;&gt;"","خرید سبد",IF($N481&lt;&gt;"",IF(N(INDEX(CalcDepB,$N481))&gt;0,"دریافت بانکی","پرداخت بانکی"),""))</f>
        <v/>
      </c>
      <c r="D481" s="22">
        <f>IF($M481&lt;&gt;"",IF(INDEX(CalcDocA,$M481)="","—",INDEX(CalcDocA,$M481)),IF($N481&lt;&gt;"",INDEX(CalcBankB,$N481),""))</f>
        <v/>
      </c>
      <c r="E481" s="23">
        <f>IF($N481&lt;&gt;"",IF(INDEX(CalcDepB,$N481)=0,"",INDEX(CalcDepB,$N481)),"")</f>
        <v/>
      </c>
      <c r="F481" s="23">
        <f>IF($M481&lt;&gt;"",IF(INDEX(CalcQtyA,$M481)=0,"",INDEX(CalcQtyA,$M481)),"")</f>
        <v/>
      </c>
      <c r="G481" s="23">
        <f>IF($M481&lt;&gt;"",IF(INDEX(CalcPriceA,$M481)=0,"",INDEX(CalcPriceA,$M481)),"")</f>
        <v/>
      </c>
      <c r="H481" s="23">
        <f>IF($N481&lt;&gt;"",IF(INDEX(CalcWitB,$N481)=0,"",INDEX(CalcWitB,$N481)),"")</f>
        <v/>
      </c>
      <c r="I481" s="24">
        <f>IF($M481&lt;&gt;"",INDEX(CalcAmtA,$M481),"")</f>
        <v/>
      </c>
      <c r="J481" s="24">
        <f>IF($B481="","",IF($J480="",$C$8,$J480)+IF($I481="",0,$I481)+IF($E481="",0,$E481)-IF($H481="",0,$H481))</f>
        <v/>
      </c>
      <c r="K481" s="25">
        <f>IF($M481&lt;&gt;"",IF(INDEX(CalcNoteA,$M481)="","—",INDEX(CalcNoteA,$M481)),IF($N481&lt;&gt;"",IF(INDEX(CalcNoteB,$N481)="","—",INDEX(CalcNoteB,$N481)),""))</f>
        <v/>
      </c>
      <c r="M481">
        <f>IFERROR(MATCH($C$5&amp;"|"&amp;RIGHT("000000"&amp;465,6),CalcRankKeyA,0),"")</f>
        <v/>
      </c>
      <c r="N481">
        <f>IFERROR(MATCH($C$5&amp;"|"&amp;RIGHT("000000"&amp;465,6),CalcRankKeyB,0),"")</f>
        <v/>
      </c>
    </row>
    <row r="482">
      <c r="A482" s="26" t="n">
        <v>466</v>
      </c>
      <c r="B482" s="27">
        <f>IF(AND($M482="",$N482=""),"",IF($M482&lt;&gt;"",INDEX(CalcDateA,$M482),INDEX(CalcDateB,$N482)))</f>
        <v/>
      </c>
      <c r="C482" s="27">
        <f>IF($M482&lt;&gt;"","خرید سبد",IF($N482&lt;&gt;"",IF(N(INDEX(CalcDepB,$N482))&gt;0,"دریافت بانکی","پرداخت بانکی"),""))</f>
        <v/>
      </c>
      <c r="D482" s="27">
        <f>IF($M482&lt;&gt;"",IF(INDEX(CalcDocA,$M482)="","—",INDEX(CalcDocA,$M482)),IF($N482&lt;&gt;"",INDEX(CalcBankB,$N482),""))</f>
        <v/>
      </c>
      <c r="E482" s="28">
        <f>IF($N482&lt;&gt;"",IF(INDEX(CalcDepB,$N482)=0,"",INDEX(CalcDepB,$N482)),"")</f>
        <v/>
      </c>
      <c r="F482" s="28">
        <f>IF($M482&lt;&gt;"",IF(INDEX(CalcQtyA,$M482)=0,"",INDEX(CalcQtyA,$M482)),"")</f>
        <v/>
      </c>
      <c r="G482" s="28">
        <f>IF($M482&lt;&gt;"",IF(INDEX(CalcPriceA,$M482)=0,"",INDEX(CalcPriceA,$M482)),"")</f>
        <v/>
      </c>
      <c r="H482" s="28">
        <f>IF($N482&lt;&gt;"",IF(INDEX(CalcWitB,$N482)=0,"",INDEX(CalcWitB,$N482)),"")</f>
        <v/>
      </c>
      <c r="I482" s="29">
        <f>IF($M482&lt;&gt;"",INDEX(CalcAmtA,$M482),"")</f>
        <v/>
      </c>
      <c r="J482" s="29">
        <f>IF($B482="","",IF($J481="",$C$8,$J481)+IF($I482="",0,$I482)+IF($E482="",0,$E482)-IF($H482="",0,$H482))</f>
        <v/>
      </c>
      <c r="K482" s="30">
        <f>IF($M482&lt;&gt;"",IF(INDEX(CalcNoteA,$M482)="","—",INDEX(CalcNoteA,$M482)),IF($N482&lt;&gt;"",IF(INDEX(CalcNoteB,$N482)="","—",INDEX(CalcNoteB,$N482)),""))</f>
        <v/>
      </c>
      <c r="M482">
        <f>IFERROR(MATCH($C$5&amp;"|"&amp;RIGHT("000000"&amp;466,6),CalcRankKeyA,0),"")</f>
        <v/>
      </c>
      <c r="N482">
        <f>IFERROR(MATCH($C$5&amp;"|"&amp;RIGHT("000000"&amp;466,6),CalcRankKeyB,0),"")</f>
        <v/>
      </c>
    </row>
    <row r="483">
      <c r="A483" s="21" t="n">
        <v>467</v>
      </c>
      <c r="B483" s="22">
        <f>IF(AND($M483="",$N483=""),"",IF($M483&lt;&gt;"",INDEX(CalcDateA,$M483),INDEX(CalcDateB,$N483)))</f>
        <v/>
      </c>
      <c r="C483" s="22">
        <f>IF($M483&lt;&gt;"","خرید سبد",IF($N483&lt;&gt;"",IF(N(INDEX(CalcDepB,$N483))&gt;0,"دریافت بانکی","پرداخت بانکی"),""))</f>
        <v/>
      </c>
      <c r="D483" s="22">
        <f>IF($M483&lt;&gt;"",IF(INDEX(CalcDocA,$M483)="","—",INDEX(CalcDocA,$M483)),IF($N483&lt;&gt;"",INDEX(CalcBankB,$N483),""))</f>
        <v/>
      </c>
      <c r="E483" s="23">
        <f>IF($N483&lt;&gt;"",IF(INDEX(CalcDepB,$N483)=0,"",INDEX(CalcDepB,$N483)),"")</f>
        <v/>
      </c>
      <c r="F483" s="23">
        <f>IF($M483&lt;&gt;"",IF(INDEX(CalcQtyA,$M483)=0,"",INDEX(CalcQtyA,$M483)),"")</f>
        <v/>
      </c>
      <c r="G483" s="23">
        <f>IF($M483&lt;&gt;"",IF(INDEX(CalcPriceA,$M483)=0,"",INDEX(CalcPriceA,$M483)),"")</f>
        <v/>
      </c>
      <c r="H483" s="23">
        <f>IF($N483&lt;&gt;"",IF(INDEX(CalcWitB,$N483)=0,"",INDEX(CalcWitB,$N483)),"")</f>
        <v/>
      </c>
      <c r="I483" s="24">
        <f>IF($M483&lt;&gt;"",INDEX(CalcAmtA,$M483),"")</f>
        <v/>
      </c>
      <c r="J483" s="24">
        <f>IF($B483="","",IF($J482="",$C$8,$J482)+IF($I483="",0,$I483)+IF($E483="",0,$E483)-IF($H483="",0,$H483))</f>
        <v/>
      </c>
      <c r="K483" s="25">
        <f>IF($M483&lt;&gt;"",IF(INDEX(CalcNoteA,$M483)="","—",INDEX(CalcNoteA,$M483)),IF($N483&lt;&gt;"",IF(INDEX(CalcNoteB,$N483)="","—",INDEX(CalcNoteB,$N483)),""))</f>
        <v/>
      </c>
      <c r="M483">
        <f>IFERROR(MATCH($C$5&amp;"|"&amp;RIGHT("000000"&amp;467,6),CalcRankKeyA,0),"")</f>
        <v/>
      </c>
      <c r="N483">
        <f>IFERROR(MATCH($C$5&amp;"|"&amp;RIGHT("000000"&amp;467,6),CalcRankKeyB,0),"")</f>
        <v/>
      </c>
    </row>
    <row r="484">
      <c r="A484" s="26" t="n">
        <v>468</v>
      </c>
      <c r="B484" s="27">
        <f>IF(AND($M484="",$N484=""),"",IF($M484&lt;&gt;"",INDEX(CalcDateA,$M484),INDEX(CalcDateB,$N484)))</f>
        <v/>
      </c>
      <c r="C484" s="27">
        <f>IF($M484&lt;&gt;"","خرید سبد",IF($N484&lt;&gt;"",IF(N(INDEX(CalcDepB,$N484))&gt;0,"دریافت بانکی","پرداخت بانکی"),""))</f>
        <v/>
      </c>
      <c r="D484" s="27">
        <f>IF($M484&lt;&gt;"",IF(INDEX(CalcDocA,$M484)="","—",INDEX(CalcDocA,$M484)),IF($N484&lt;&gt;"",INDEX(CalcBankB,$N484),""))</f>
        <v/>
      </c>
      <c r="E484" s="28">
        <f>IF($N484&lt;&gt;"",IF(INDEX(CalcDepB,$N484)=0,"",INDEX(CalcDepB,$N484)),"")</f>
        <v/>
      </c>
      <c r="F484" s="28">
        <f>IF($M484&lt;&gt;"",IF(INDEX(CalcQtyA,$M484)=0,"",INDEX(CalcQtyA,$M484)),"")</f>
        <v/>
      </c>
      <c r="G484" s="28">
        <f>IF($M484&lt;&gt;"",IF(INDEX(CalcPriceA,$M484)=0,"",INDEX(CalcPriceA,$M484)),"")</f>
        <v/>
      </c>
      <c r="H484" s="28">
        <f>IF($N484&lt;&gt;"",IF(INDEX(CalcWitB,$N484)=0,"",INDEX(CalcWitB,$N484)),"")</f>
        <v/>
      </c>
      <c r="I484" s="29">
        <f>IF($M484&lt;&gt;"",INDEX(CalcAmtA,$M484),"")</f>
        <v/>
      </c>
      <c r="J484" s="29">
        <f>IF($B484="","",IF($J483="",$C$8,$J483)+IF($I484="",0,$I484)+IF($E484="",0,$E484)-IF($H484="",0,$H484))</f>
        <v/>
      </c>
      <c r="K484" s="30">
        <f>IF($M484&lt;&gt;"",IF(INDEX(CalcNoteA,$M484)="","—",INDEX(CalcNoteA,$M484)),IF($N484&lt;&gt;"",IF(INDEX(CalcNoteB,$N484)="","—",INDEX(CalcNoteB,$N484)),""))</f>
        <v/>
      </c>
      <c r="M484">
        <f>IFERROR(MATCH($C$5&amp;"|"&amp;RIGHT("000000"&amp;468,6),CalcRankKeyA,0),"")</f>
        <v/>
      </c>
      <c r="N484">
        <f>IFERROR(MATCH($C$5&amp;"|"&amp;RIGHT("000000"&amp;468,6),CalcRankKeyB,0),"")</f>
        <v/>
      </c>
    </row>
    <row r="485">
      <c r="A485" s="21" t="n">
        <v>469</v>
      </c>
      <c r="B485" s="22">
        <f>IF(AND($M485="",$N485=""),"",IF($M485&lt;&gt;"",INDEX(CalcDateA,$M485),INDEX(CalcDateB,$N485)))</f>
        <v/>
      </c>
      <c r="C485" s="22">
        <f>IF($M485&lt;&gt;"","خرید سبد",IF($N485&lt;&gt;"",IF(N(INDEX(CalcDepB,$N485))&gt;0,"دریافت بانکی","پرداخت بانکی"),""))</f>
        <v/>
      </c>
      <c r="D485" s="22">
        <f>IF($M485&lt;&gt;"",IF(INDEX(CalcDocA,$M485)="","—",INDEX(CalcDocA,$M485)),IF($N485&lt;&gt;"",INDEX(CalcBankB,$N485),""))</f>
        <v/>
      </c>
      <c r="E485" s="23">
        <f>IF($N485&lt;&gt;"",IF(INDEX(CalcDepB,$N485)=0,"",INDEX(CalcDepB,$N485)),"")</f>
        <v/>
      </c>
      <c r="F485" s="23">
        <f>IF($M485&lt;&gt;"",IF(INDEX(CalcQtyA,$M485)=0,"",INDEX(CalcQtyA,$M485)),"")</f>
        <v/>
      </c>
      <c r="G485" s="23">
        <f>IF($M485&lt;&gt;"",IF(INDEX(CalcPriceA,$M485)=0,"",INDEX(CalcPriceA,$M485)),"")</f>
        <v/>
      </c>
      <c r="H485" s="23">
        <f>IF($N485&lt;&gt;"",IF(INDEX(CalcWitB,$N485)=0,"",INDEX(CalcWitB,$N485)),"")</f>
        <v/>
      </c>
      <c r="I485" s="24">
        <f>IF($M485&lt;&gt;"",INDEX(CalcAmtA,$M485),"")</f>
        <v/>
      </c>
      <c r="J485" s="24">
        <f>IF($B485="","",IF($J484="",$C$8,$J484)+IF($I485="",0,$I485)+IF($E485="",0,$E485)-IF($H485="",0,$H485))</f>
        <v/>
      </c>
      <c r="K485" s="25">
        <f>IF($M485&lt;&gt;"",IF(INDEX(CalcNoteA,$M485)="","—",INDEX(CalcNoteA,$M485)),IF($N485&lt;&gt;"",IF(INDEX(CalcNoteB,$N485)="","—",INDEX(CalcNoteB,$N485)),""))</f>
        <v/>
      </c>
      <c r="M485">
        <f>IFERROR(MATCH($C$5&amp;"|"&amp;RIGHT("000000"&amp;469,6),CalcRankKeyA,0),"")</f>
        <v/>
      </c>
      <c r="N485">
        <f>IFERROR(MATCH($C$5&amp;"|"&amp;RIGHT("000000"&amp;469,6),CalcRankKeyB,0),"")</f>
        <v/>
      </c>
    </row>
    <row r="486">
      <c r="A486" s="26" t="n">
        <v>470</v>
      </c>
      <c r="B486" s="27">
        <f>IF(AND($M486="",$N486=""),"",IF($M486&lt;&gt;"",INDEX(CalcDateA,$M486),INDEX(CalcDateB,$N486)))</f>
        <v/>
      </c>
      <c r="C486" s="27">
        <f>IF($M486&lt;&gt;"","خرید سبد",IF($N486&lt;&gt;"",IF(N(INDEX(CalcDepB,$N486))&gt;0,"دریافت بانکی","پرداخت بانکی"),""))</f>
        <v/>
      </c>
      <c r="D486" s="27">
        <f>IF($M486&lt;&gt;"",IF(INDEX(CalcDocA,$M486)="","—",INDEX(CalcDocA,$M486)),IF($N486&lt;&gt;"",INDEX(CalcBankB,$N486),""))</f>
        <v/>
      </c>
      <c r="E486" s="28">
        <f>IF($N486&lt;&gt;"",IF(INDEX(CalcDepB,$N486)=0,"",INDEX(CalcDepB,$N486)),"")</f>
        <v/>
      </c>
      <c r="F486" s="28">
        <f>IF($M486&lt;&gt;"",IF(INDEX(CalcQtyA,$M486)=0,"",INDEX(CalcQtyA,$M486)),"")</f>
        <v/>
      </c>
      <c r="G486" s="28">
        <f>IF($M486&lt;&gt;"",IF(INDEX(CalcPriceA,$M486)=0,"",INDEX(CalcPriceA,$M486)),"")</f>
        <v/>
      </c>
      <c r="H486" s="28">
        <f>IF($N486&lt;&gt;"",IF(INDEX(CalcWitB,$N486)=0,"",INDEX(CalcWitB,$N486)),"")</f>
        <v/>
      </c>
      <c r="I486" s="29">
        <f>IF($M486&lt;&gt;"",INDEX(CalcAmtA,$M486),"")</f>
        <v/>
      </c>
      <c r="J486" s="29">
        <f>IF($B486="","",IF($J485="",$C$8,$J485)+IF($I486="",0,$I486)+IF($E486="",0,$E486)-IF($H486="",0,$H486))</f>
        <v/>
      </c>
      <c r="K486" s="30">
        <f>IF($M486&lt;&gt;"",IF(INDEX(CalcNoteA,$M486)="","—",INDEX(CalcNoteA,$M486)),IF($N486&lt;&gt;"",IF(INDEX(CalcNoteB,$N486)="","—",INDEX(CalcNoteB,$N486)),""))</f>
        <v/>
      </c>
      <c r="M486">
        <f>IFERROR(MATCH($C$5&amp;"|"&amp;RIGHT("000000"&amp;470,6),CalcRankKeyA,0),"")</f>
        <v/>
      </c>
      <c r="N486">
        <f>IFERROR(MATCH($C$5&amp;"|"&amp;RIGHT("000000"&amp;470,6),CalcRankKeyB,0),"")</f>
        <v/>
      </c>
    </row>
    <row r="487">
      <c r="A487" s="21" t="n">
        <v>471</v>
      </c>
      <c r="B487" s="22">
        <f>IF(AND($M487="",$N487=""),"",IF($M487&lt;&gt;"",INDEX(CalcDateA,$M487),INDEX(CalcDateB,$N487)))</f>
        <v/>
      </c>
      <c r="C487" s="22">
        <f>IF($M487&lt;&gt;"","خرید سبد",IF($N487&lt;&gt;"",IF(N(INDEX(CalcDepB,$N487))&gt;0,"دریافت بانکی","پرداخت بانکی"),""))</f>
        <v/>
      </c>
      <c r="D487" s="22">
        <f>IF($M487&lt;&gt;"",IF(INDEX(CalcDocA,$M487)="","—",INDEX(CalcDocA,$M487)),IF($N487&lt;&gt;"",INDEX(CalcBankB,$N487),""))</f>
        <v/>
      </c>
      <c r="E487" s="23">
        <f>IF($N487&lt;&gt;"",IF(INDEX(CalcDepB,$N487)=0,"",INDEX(CalcDepB,$N487)),"")</f>
        <v/>
      </c>
      <c r="F487" s="23">
        <f>IF($M487&lt;&gt;"",IF(INDEX(CalcQtyA,$M487)=0,"",INDEX(CalcQtyA,$M487)),"")</f>
        <v/>
      </c>
      <c r="G487" s="23">
        <f>IF($M487&lt;&gt;"",IF(INDEX(CalcPriceA,$M487)=0,"",INDEX(CalcPriceA,$M487)),"")</f>
        <v/>
      </c>
      <c r="H487" s="23">
        <f>IF($N487&lt;&gt;"",IF(INDEX(CalcWitB,$N487)=0,"",INDEX(CalcWitB,$N487)),"")</f>
        <v/>
      </c>
      <c r="I487" s="24">
        <f>IF($M487&lt;&gt;"",INDEX(CalcAmtA,$M487),"")</f>
        <v/>
      </c>
      <c r="J487" s="24">
        <f>IF($B487="","",IF($J486="",$C$8,$J486)+IF($I487="",0,$I487)+IF($E487="",0,$E487)-IF($H487="",0,$H487))</f>
        <v/>
      </c>
      <c r="K487" s="25">
        <f>IF($M487&lt;&gt;"",IF(INDEX(CalcNoteA,$M487)="","—",INDEX(CalcNoteA,$M487)),IF($N487&lt;&gt;"",IF(INDEX(CalcNoteB,$N487)="","—",INDEX(CalcNoteB,$N487)),""))</f>
        <v/>
      </c>
      <c r="M487">
        <f>IFERROR(MATCH($C$5&amp;"|"&amp;RIGHT("000000"&amp;471,6),CalcRankKeyA,0),"")</f>
        <v/>
      </c>
      <c r="N487">
        <f>IFERROR(MATCH($C$5&amp;"|"&amp;RIGHT("000000"&amp;471,6),CalcRankKeyB,0),"")</f>
        <v/>
      </c>
    </row>
    <row r="488">
      <c r="A488" s="26" t="n">
        <v>472</v>
      </c>
      <c r="B488" s="27">
        <f>IF(AND($M488="",$N488=""),"",IF($M488&lt;&gt;"",INDEX(CalcDateA,$M488),INDEX(CalcDateB,$N488)))</f>
        <v/>
      </c>
      <c r="C488" s="27">
        <f>IF($M488&lt;&gt;"","خرید سبد",IF($N488&lt;&gt;"",IF(N(INDEX(CalcDepB,$N488))&gt;0,"دریافت بانکی","پرداخت بانکی"),""))</f>
        <v/>
      </c>
      <c r="D488" s="27">
        <f>IF($M488&lt;&gt;"",IF(INDEX(CalcDocA,$M488)="","—",INDEX(CalcDocA,$M488)),IF($N488&lt;&gt;"",INDEX(CalcBankB,$N488),""))</f>
        <v/>
      </c>
      <c r="E488" s="28">
        <f>IF($N488&lt;&gt;"",IF(INDEX(CalcDepB,$N488)=0,"",INDEX(CalcDepB,$N488)),"")</f>
        <v/>
      </c>
      <c r="F488" s="28">
        <f>IF($M488&lt;&gt;"",IF(INDEX(CalcQtyA,$M488)=0,"",INDEX(CalcQtyA,$M488)),"")</f>
        <v/>
      </c>
      <c r="G488" s="28">
        <f>IF($M488&lt;&gt;"",IF(INDEX(CalcPriceA,$M488)=0,"",INDEX(CalcPriceA,$M488)),"")</f>
        <v/>
      </c>
      <c r="H488" s="28">
        <f>IF($N488&lt;&gt;"",IF(INDEX(CalcWitB,$N488)=0,"",INDEX(CalcWitB,$N488)),"")</f>
        <v/>
      </c>
      <c r="I488" s="29">
        <f>IF($M488&lt;&gt;"",INDEX(CalcAmtA,$M488),"")</f>
        <v/>
      </c>
      <c r="J488" s="29">
        <f>IF($B488="","",IF($J487="",$C$8,$J487)+IF($I488="",0,$I488)+IF($E488="",0,$E488)-IF($H488="",0,$H488))</f>
        <v/>
      </c>
      <c r="K488" s="30">
        <f>IF($M488&lt;&gt;"",IF(INDEX(CalcNoteA,$M488)="","—",INDEX(CalcNoteA,$M488)),IF($N488&lt;&gt;"",IF(INDEX(CalcNoteB,$N488)="","—",INDEX(CalcNoteB,$N488)),""))</f>
        <v/>
      </c>
      <c r="M488">
        <f>IFERROR(MATCH($C$5&amp;"|"&amp;RIGHT("000000"&amp;472,6),CalcRankKeyA,0),"")</f>
        <v/>
      </c>
      <c r="N488">
        <f>IFERROR(MATCH($C$5&amp;"|"&amp;RIGHT("000000"&amp;472,6),CalcRankKeyB,0),"")</f>
        <v/>
      </c>
    </row>
    <row r="489">
      <c r="A489" s="21" t="n">
        <v>473</v>
      </c>
      <c r="B489" s="22">
        <f>IF(AND($M489="",$N489=""),"",IF($M489&lt;&gt;"",INDEX(CalcDateA,$M489),INDEX(CalcDateB,$N489)))</f>
        <v/>
      </c>
      <c r="C489" s="22">
        <f>IF($M489&lt;&gt;"","خرید سبد",IF($N489&lt;&gt;"",IF(N(INDEX(CalcDepB,$N489))&gt;0,"دریافت بانکی","پرداخت بانکی"),""))</f>
        <v/>
      </c>
      <c r="D489" s="22">
        <f>IF($M489&lt;&gt;"",IF(INDEX(CalcDocA,$M489)="","—",INDEX(CalcDocA,$M489)),IF($N489&lt;&gt;"",INDEX(CalcBankB,$N489),""))</f>
        <v/>
      </c>
      <c r="E489" s="23">
        <f>IF($N489&lt;&gt;"",IF(INDEX(CalcDepB,$N489)=0,"",INDEX(CalcDepB,$N489)),"")</f>
        <v/>
      </c>
      <c r="F489" s="23">
        <f>IF($M489&lt;&gt;"",IF(INDEX(CalcQtyA,$M489)=0,"",INDEX(CalcQtyA,$M489)),"")</f>
        <v/>
      </c>
      <c r="G489" s="23">
        <f>IF($M489&lt;&gt;"",IF(INDEX(CalcPriceA,$M489)=0,"",INDEX(CalcPriceA,$M489)),"")</f>
        <v/>
      </c>
      <c r="H489" s="23">
        <f>IF($N489&lt;&gt;"",IF(INDEX(CalcWitB,$N489)=0,"",INDEX(CalcWitB,$N489)),"")</f>
        <v/>
      </c>
      <c r="I489" s="24">
        <f>IF($M489&lt;&gt;"",INDEX(CalcAmtA,$M489),"")</f>
        <v/>
      </c>
      <c r="J489" s="24">
        <f>IF($B489="","",IF($J488="",$C$8,$J488)+IF($I489="",0,$I489)+IF($E489="",0,$E489)-IF($H489="",0,$H489))</f>
        <v/>
      </c>
      <c r="K489" s="25">
        <f>IF($M489&lt;&gt;"",IF(INDEX(CalcNoteA,$M489)="","—",INDEX(CalcNoteA,$M489)),IF($N489&lt;&gt;"",IF(INDEX(CalcNoteB,$N489)="","—",INDEX(CalcNoteB,$N489)),""))</f>
        <v/>
      </c>
      <c r="M489">
        <f>IFERROR(MATCH($C$5&amp;"|"&amp;RIGHT("000000"&amp;473,6),CalcRankKeyA,0),"")</f>
        <v/>
      </c>
      <c r="N489">
        <f>IFERROR(MATCH($C$5&amp;"|"&amp;RIGHT("000000"&amp;473,6),CalcRankKeyB,0),"")</f>
        <v/>
      </c>
    </row>
    <row r="490">
      <c r="A490" s="26" t="n">
        <v>474</v>
      </c>
      <c r="B490" s="27">
        <f>IF(AND($M490="",$N490=""),"",IF($M490&lt;&gt;"",INDEX(CalcDateA,$M490),INDEX(CalcDateB,$N490)))</f>
        <v/>
      </c>
      <c r="C490" s="27">
        <f>IF($M490&lt;&gt;"","خرید سبد",IF($N490&lt;&gt;"",IF(N(INDEX(CalcDepB,$N490))&gt;0,"دریافت بانکی","پرداخت بانکی"),""))</f>
        <v/>
      </c>
      <c r="D490" s="27">
        <f>IF($M490&lt;&gt;"",IF(INDEX(CalcDocA,$M490)="","—",INDEX(CalcDocA,$M490)),IF($N490&lt;&gt;"",INDEX(CalcBankB,$N490),""))</f>
        <v/>
      </c>
      <c r="E490" s="28">
        <f>IF($N490&lt;&gt;"",IF(INDEX(CalcDepB,$N490)=0,"",INDEX(CalcDepB,$N490)),"")</f>
        <v/>
      </c>
      <c r="F490" s="28">
        <f>IF($M490&lt;&gt;"",IF(INDEX(CalcQtyA,$M490)=0,"",INDEX(CalcQtyA,$M490)),"")</f>
        <v/>
      </c>
      <c r="G490" s="28">
        <f>IF($M490&lt;&gt;"",IF(INDEX(CalcPriceA,$M490)=0,"",INDEX(CalcPriceA,$M490)),"")</f>
        <v/>
      </c>
      <c r="H490" s="28">
        <f>IF($N490&lt;&gt;"",IF(INDEX(CalcWitB,$N490)=0,"",INDEX(CalcWitB,$N490)),"")</f>
        <v/>
      </c>
      <c r="I490" s="29">
        <f>IF($M490&lt;&gt;"",INDEX(CalcAmtA,$M490),"")</f>
        <v/>
      </c>
      <c r="J490" s="29">
        <f>IF($B490="","",IF($J489="",$C$8,$J489)+IF($I490="",0,$I490)+IF($E490="",0,$E490)-IF($H490="",0,$H490))</f>
        <v/>
      </c>
      <c r="K490" s="30">
        <f>IF($M490&lt;&gt;"",IF(INDEX(CalcNoteA,$M490)="","—",INDEX(CalcNoteA,$M490)),IF($N490&lt;&gt;"",IF(INDEX(CalcNoteB,$N490)="","—",INDEX(CalcNoteB,$N490)),""))</f>
        <v/>
      </c>
      <c r="M490">
        <f>IFERROR(MATCH($C$5&amp;"|"&amp;RIGHT("000000"&amp;474,6),CalcRankKeyA,0),"")</f>
        <v/>
      </c>
      <c r="N490">
        <f>IFERROR(MATCH($C$5&amp;"|"&amp;RIGHT("000000"&amp;474,6),CalcRankKeyB,0),"")</f>
        <v/>
      </c>
    </row>
    <row r="491">
      <c r="A491" s="21" t="n">
        <v>475</v>
      </c>
      <c r="B491" s="22">
        <f>IF(AND($M491="",$N491=""),"",IF($M491&lt;&gt;"",INDEX(CalcDateA,$M491),INDEX(CalcDateB,$N491)))</f>
        <v/>
      </c>
      <c r="C491" s="22">
        <f>IF($M491&lt;&gt;"","خرید سبد",IF($N491&lt;&gt;"",IF(N(INDEX(CalcDepB,$N491))&gt;0,"دریافت بانکی","پرداخت بانکی"),""))</f>
        <v/>
      </c>
      <c r="D491" s="22">
        <f>IF($M491&lt;&gt;"",IF(INDEX(CalcDocA,$M491)="","—",INDEX(CalcDocA,$M491)),IF($N491&lt;&gt;"",INDEX(CalcBankB,$N491),""))</f>
        <v/>
      </c>
      <c r="E491" s="23">
        <f>IF($N491&lt;&gt;"",IF(INDEX(CalcDepB,$N491)=0,"",INDEX(CalcDepB,$N491)),"")</f>
        <v/>
      </c>
      <c r="F491" s="23">
        <f>IF($M491&lt;&gt;"",IF(INDEX(CalcQtyA,$M491)=0,"",INDEX(CalcQtyA,$M491)),"")</f>
        <v/>
      </c>
      <c r="G491" s="23">
        <f>IF($M491&lt;&gt;"",IF(INDEX(CalcPriceA,$M491)=0,"",INDEX(CalcPriceA,$M491)),"")</f>
        <v/>
      </c>
      <c r="H491" s="23">
        <f>IF($N491&lt;&gt;"",IF(INDEX(CalcWitB,$N491)=0,"",INDEX(CalcWitB,$N491)),"")</f>
        <v/>
      </c>
      <c r="I491" s="24">
        <f>IF($M491&lt;&gt;"",INDEX(CalcAmtA,$M491),"")</f>
        <v/>
      </c>
      <c r="J491" s="24">
        <f>IF($B491="","",IF($J490="",$C$8,$J490)+IF($I491="",0,$I491)+IF($E491="",0,$E491)-IF($H491="",0,$H491))</f>
        <v/>
      </c>
      <c r="K491" s="25">
        <f>IF($M491&lt;&gt;"",IF(INDEX(CalcNoteA,$M491)="","—",INDEX(CalcNoteA,$M491)),IF($N491&lt;&gt;"",IF(INDEX(CalcNoteB,$N491)="","—",INDEX(CalcNoteB,$N491)),""))</f>
        <v/>
      </c>
      <c r="M491">
        <f>IFERROR(MATCH($C$5&amp;"|"&amp;RIGHT("000000"&amp;475,6),CalcRankKeyA,0),"")</f>
        <v/>
      </c>
      <c r="N491">
        <f>IFERROR(MATCH($C$5&amp;"|"&amp;RIGHT("000000"&amp;475,6),CalcRankKeyB,0),"")</f>
        <v/>
      </c>
    </row>
    <row r="492">
      <c r="A492" s="26" t="n">
        <v>476</v>
      </c>
      <c r="B492" s="27">
        <f>IF(AND($M492="",$N492=""),"",IF($M492&lt;&gt;"",INDEX(CalcDateA,$M492),INDEX(CalcDateB,$N492)))</f>
        <v/>
      </c>
      <c r="C492" s="27">
        <f>IF($M492&lt;&gt;"","خرید سبد",IF($N492&lt;&gt;"",IF(N(INDEX(CalcDepB,$N492))&gt;0,"دریافت بانکی","پرداخت بانکی"),""))</f>
        <v/>
      </c>
      <c r="D492" s="27">
        <f>IF($M492&lt;&gt;"",IF(INDEX(CalcDocA,$M492)="","—",INDEX(CalcDocA,$M492)),IF($N492&lt;&gt;"",INDEX(CalcBankB,$N492),""))</f>
        <v/>
      </c>
      <c r="E492" s="28">
        <f>IF($N492&lt;&gt;"",IF(INDEX(CalcDepB,$N492)=0,"",INDEX(CalcDepB,$N492)),"")</f>
        <v/>
      </c>
      <c r="F492" s="28">
        <f>IF($M492&lt;&gt;"",IF(INDEX(CalcQtyA,$M492)=0,"",INDEX(CalcQtyA,$M492)),"")</f>
        <v/>
      </c>
      <c r="G492" s="28">
        <f>IF($M492&lt;&gt;"",IF(INDEX(CalcPriceA,$M492)=0,"",INDEX(CalcPriceA,$M492)),"")</f>
        <v/>
      </c>
      <c r="H492" s="28">
        <f>IF($N492&lt;&gt;"",IF(INDEX(CalcWitB,$N492)=0,"",INDEX(CalcWitB,$N492)),"")</f>
        <v/>
      </c>
      <c r="I492" s="29">
        <f>IF($M492&lt;&gt;"",INDEX(CalcAmtA,$M492),"")</f>
        <v/>
      </c>
      <c r="J492" s="29">
        <f>IF($B492="","",IF($J491="",$C$8,$J491)+IF($I492="",0,$I492)+IF($E492="",0,$E492)-IF($H492="",0,$H492))</f>
        <v/>
      </c>
      <c r="K492" s="30">
        <f>IF($M492&lt;&gt;"",IF(INDEX(CalcNoteA,$M492)="","—",INDEX(CalcNoteA,$M492)),IF($N492&lt;&gt;"",IF(INDEX(CalcNoteB,$N492)="","—",INDEX(CalcNoteB,$N492)),""))</f>
        <v/>
      </c>
      <c r="M492">
        <f>IFERROR(MATCH($C$5&amp;"|"&amp;RIGHT("000000"&amp;476,6),CalcRankKeyA,0),"")</f>
        <v/>
      </c>
      <c r="N492">
        <f>IFERROR(MATCH($C$5&amp;"|"&amp;RIGHT("000000"&amp;476,6),CalcRankKeyB,0),"")</f>
        <v/>
      </c>
    </row>
    <row r="493">
      <c r="A493" s="21" t="n">
        <v>477</v>
      </c>
      <c r="B493" s="22">
        <f>IF(AND($M493="",$N493=""),"",IF($M493&lt;&gt;"",INDEX(CalcDateA,$M493),INDEX(CalcDateB,$N493)))</f>
        <v/>
      </c>
      <c r="C493" s="22">
        <f>IF($M493&lt;&gt;"","خرید سبد",IF($N493&lt;&gt;"",IF(N(INDEX(CalcDepB,$N493))&gt;0,"دریافت بانکی","پرداخت بانکی"),""))</f>
        <v/>
      </c>
      <c r="D493" s="22">
        <f>IF($M493&lt;&gt;"",IF(INDEX(CalcDocA,$M493)="","—",INDEX(CalcDocA,$M493)),IF($N493&lt;&gt;"",INDEX(CalcBankB,$N493),""))</f>
        <v/>
      </c>
      <c r="E493" s="23">
        <f>IF($N493&lt;&gt;"",IF(INDEX(CalcDepB,$N493)=0,"",INDEX(CalcDepB,$N493)),"")</f>
        <v/>
      </c>
      <c r="F493" s="23">
        <f>IF($M493&lt;&gt;"",IF(INDEX(CalcQtyA,$M493)=0,"",INDEX(CalcQtyA,$M493)),"")</f>
        <v/>
      </c>
      <c r="G493" s="23">
        <f>IF($M493&lt;&gt;"",IF(INDEX(CalcPriceA,$M493)=0,"",INDEX(CalcPriceA,$M493)),"")</f>
        <v/>
      </c>
      <c r="H493" s="23">
        <f>IF($N493&lt;&gt;"",IF(INDEX(CalcWitB,$N493)=0,"",INDEX(CalcWitB,$N493)),"")</f>
        <v/>
      </c>
      <c r="I493" s="24">
        <f>IF($M493&lt;&gt;"",INDEX(CalcAmtA,$M493),"")</f>
        <v/>
      </c>
      <c r="J493" s="24">
        <f>IF($B493="","",IF($J492="",$C$8,$J492)+IF($I493="",0,$I493)+IF($E493="",0,$E493)-IF($H493="",0,$H493))</f>
        <v/>
      </c>
      <c r="K493" s="25">
        <f>IF($M493&lt;&gt;"",IF(INDEX(CalcNoteA,$M493)="","—",INDEX(CalcNoteA,$M493)),IF($N493&lt;&gt;"",IF(INDEX(CalcNoteB,$N493)="","—",INDEX(CalcNoteB,$N493)),""))</f>
        <v/>
      </c>
      <c r="M493">
        <f>IFERROR(MATCH($C$5&amp;"|"&amp;RIGHT("000000"&amp;477,6),CalcRankKeyA,0),"")</f>
        <v/>
      </c>
      <c r="N493">
        <f>IFERROR(MATCH($C$5&amp;"|"&amp;RIGHT("000000"&amp;477,6),CalcRankKeyB,0),"")</f>
        <v/>
      </c>
    </row>
    <row r="494">
      <c r="A494" s="26" t="n">
        <v>478</v>
      </c>
      <c r="B494" s="27">
        <f>IF(AND($M494="",$N494=""),"",IF($M494&lt;&gt;"",INDEX(CalcDateA,$M494),INDEX(CalcDateB,$N494)))</f>
        <v/>
      </c>
      <c r="C494" s="27">
        <f>IF($M494&lt;&gt;"","خرید سبد",IF($N494&lt;&gt;"",IF(N(INDEX(CalcDepB,$N494))&gt;0,"دریافت بانکی","پرداخت بانکی"),""))</f>
        <v/>
      </c>
      <c r="D494" s="27">
        <f>IF($M494&lt;&gt;"",IF(INDEX(CalcDocA,$M494)="","—",INDEX(CalcDocA,$M494)),IF($N494&lt;&gt;"",INDEX(CalcBankB,$N494),""))</f>
        <v/>
      </c>
      <c r="E494" s="28">
        <f>IF($N494&lt;&gt;"",IF(INDEX(CalcDepB,$N494)=0,"",INDEX(CalcDepB,$N494)),"")</f>
        <v/>
      </c>
      <c r="F494" s="28">
        <f>IF($M494&lt;&gt;"",IF(INDEX(CalcQtyA,$M494)=0,"",INDEX(CalcQtyA,$M494)),"")</f>
        <v/>
      </c>
      <c r="G494" s="28">
        <f>IF($M494&lt;&gt;"",IF(INDEX(CalcPriceA,$M494)=0,"",INDEX(CalcPriceA,$M494)),"")</f>
        <v/>
      </c>
      <c r="H494" s="28">
        <f>IF($N494&lt;&gt;"",IF(INDEX(CalcWitB,$N494)=0,"",INDEX(CalcWitB,$N494)),"")</f>
        <v/>
      </c>
      <c r="I494" s="29">
        <f>IF($M494&lt;&gt;"",INDEX(CalcAmtA,$M494),"")</f>
        <v/>
      </c>
      <c r="J494" s="29">
        <f>IF($B494="","",IF($J493="",$C$8,$J493)+IF($I494="",0,$I494)+IF($E494="",0,$E494)-IF($H494="",0,$H494))</f>
        <v/>
      </c>
      <c r="K494" s="30">
        <f>IF($M494&lt;&gt;"",IF(INDEX(CalcNoteA,$M494)="","—",INDEX(CalcNoteA,$M494)),IF($N494&lt;&gt;"",IF(INDEX(CalcNoteB,$N494)="","—",INDEX(CalcNoteB,$N494)),""))</f>
        <v/>
      </c>
      <c r="M494">
        <f>IFERROR(MATCH($C$5&amp;"|"&amp;RIGHT("000000"&amp;478,6),CalcRankKeyA,0),"")</f>
        <v/>
      </c>
      <c r="N494">
        <f>IFERROR(MATCH($C$5&amp;"|"&amp;RIGHT("000000"&amp;478,6),CalcRankKeyB,0),"")</f>
        <v/>
      </c>
    </row>
    <row r="495">
      <c r="A495" s="21" t="n">
        <v>479</v>
      </c>
      <c r="B495" s="22">
        <f>IF(AND($M495="",$N495=""),"",IF($M495&lt;&gt;"",INDEX(CalcDateA,$M495),INDEX(CalcDateB,$N495)))</f>
        <v/>
      </c>
      <c r="C495" s="22">
        <f>IF($M495&lt;&gt;"","خرید سبد",IF($N495&lt;&gt;"",IF(N(INDEX(CalcDepB,$N495))&gt;0,"دریافت بانکی","پرداخت بانکی"),""))</f>
        <v/>
      </c>
      <c r="D495" s="22">
        <f>IF($M495&lt;&gt;"",IF(INDEX(CalcDocA,$M495)="","—",INDEX(CalcDocA,$M495)),IF($N495&lt;&gt;"",INDEX(CalcBankB,$N495),""))</f>
        <v/>
      </c>
      <c r="E495" s="23">
        <f>IF($N495&lt;&gt;"",IF(INDEX(CalcDepB,$N495)=0,"",INDEX(CalcDepB,$N495)),"")</f>
        <v/>
      </c>
      <c r="F495" s="23">
        <f>IF($M495&lt;&gt;"",IF(INDEX(CalcQtyA,$M495)=0,"",INDEX(CalcQtyA,$M495)),"")</f>
        <v/>
      </c>
      <c r="G495" s="23">
        <f>IF($M495&lt;&gt;"",IF(INDEX(CalcPriceA,$M495)=0,"",INDEX(CalcPriceA,$M495)),"")</f>
        <v/>
      </c>
      <c r="H495" s="23">
        <f>IF($N495&lt;&gt;"",IF(INDEX(CalcWitB,$N495)=0,"",INDEX(CalcWitB,$N495)),"")</f>
        <v/>
      </c>
      <c r="I495" s="24">
        <f>IF($M495&lt;&gt;"",INDEX(CalcAmtA,$M495),"")</f>
        <v/>
      </c>
      <c r="J495" s="24">
        <f>IF($B495="","",IF($J494="",$C$8,$J494)+IF($I495="",0,$I495)+IF($E495="",0,$E495)-IF($H495="",0,$H495))</f>
        <v/>
      </c>
      <c r="K495" s="25">
        <f>IF($M495&lt;&gt;"",IF(INDEX(CalcNoteA,$M495)="","—",INDEX(CalcNoteA,$M495)),IF($N495&lt;&gt;"",IF(INDEX(CalcNoteB,$N495)="","—",INDEX(CalcNoteB,$N495)),""))</f>
        <v/>
      </c>
      <c r="M495">
        <f>IFERROR(MATCH($C$5&amp;"|"&amp;RIGHT("000000"&amp;479,6),CalcRankKeyA,0),"")</f>
        <v/>
      </c>
      <c r="N495">
        <f>IFERROR(MATCH($C$5&amp;"|"&amp;RIGHT("000000"&amp;479,6),CalcRankKeyB,0),"")</f>
        <v/>
      </c>
    </row>
    <row r="496">
      <c r="A496" s="26" t="n">
        <v>480</v>
      </c>
      <c r="B496" s="27">
        <f>IF(AND($M496="",$N496=""),"",IF($M496&lt;&gt;"",INDEX(CalcDateA,$M496),INDEX(CalcDateB,$N496)))</f>
        <v/>
      </c>
      <c r="C496" s="27">
        <f>IF($M496&lt;&gt;"","خرید سبد",IF($N496&lt;&gt;"",IF(N(INDEX(CalcDepB,$N496))&gt;0,"دریافت بانکی","پرداخت بانکی"),""))</f>
        <v/>
      </c>
      <c r="D496" s="27">
        <f>IF($M496&lt;&gt;"",IF(INDEX(CalcDocA,$M496)="","—",INDEX(CalcDocA,$M496)),IF($N496&lt;&gt;"",INDEX(CalcBankB,$N496),""))</f>
        <v/>
      </c>
      <c r="E496" s="28">
        <f>IF($N496&lt;&gt;"",IF(INDEX(CalcDepB,$N496)=0,"",INDEX(CalcDepB,$N496)),"")</f>
        <v/>
      </c>
      <c r="F496" s="28">
        <f>IF($M496&lt;&gt;"",IF(INDEX(CalcQtyA,$M496)=0,"",INDEX(CalcQtyA,$M496)),"")</f>
        <v/>
      </c>
      <c r="G496" s="28">
        <f>IF($M496&lt;&gt;"",IF(INDEX(CalcPriceA,$M496)=0,"",INDEX(CalcPriceA,$M496)),"")</f>
        <v/>
      </c>
      <c r="H496" s="28">
        <f>IF($N496&lt;&gt;"",IF(INDEX(CalcWitB,$N496)=0,"",INDEX(CalcWitB,$N496)),"")</f>
        <v/>
      </c>
      <c r="I496" s="29">
        <f>IF($M496&lt;&gt;"",INDEX(CalcAmtA,$M496),"")</f>
        <v/>
      </c>
      <c r="J496" s="29">
        <f>IF($B496="","",IF($J495="",$C$8,$J495)+IF($I496="",0,$I496)+IF($E496="",0,$E496)-IF($H496="",0,$H496))</f>
        <v/>
      </c>
      <c r="K496" s="30">
        <f>IF($M496&lt;&gt;"",IF(INDEX(CalcNoteA,$M496)="","—",INDEX(CalcNoteA,$M496)),IF($N496&lt;&gt;"",IF(INDEX(CalcNoteB,$N496)="","—",INDEX(CalcNoteB,$N496)),""))</f>
        <v/>
      </c>
      <c r="M496">
        <f>IFERROR(MATCH($C$5&amp;"|"&amp;RIGHT("000000"&amp;480,6),CalcRankKeyA,0),"")</f>
        <v/>
      </c>
      <c r="N496">
        <f>IFERROR(MATCH($C$5&amp;"|"&amp;RIGHT("000000"&amp;480,6),CalcRankKeyB,0),"")</f>
        <v/>
      </c>
    </row>
    <row r="497">
      <c r="A497" s="21" t="n">
        <v>481</v>
      </c>
      <c r="B497" s="22">
        <f>IF(AND($M497="",$N497=""),"",IF($M497&lt;&gt;"",INDEX(CalcDateA,$M497),INDEX(CalcDateB,$N497)))</f>
        <v/>
      </c>
      <c r="C497" s="22">
        <f>IF($M497&lt;&gt;"","خرید سبد",IF($N497&lt;&gt;"",IF(N(INDEX(CalcDepB,$N497))&gt;0,"دریافت بانکی","پرداخت بانکی"),""))</f>
        <v/>
      </c>
      <c r="D497" s="22">
        <f>IF($M497&lt;&gt;"",IF(INDEX(CalcDocA,$M497)="","—",INDEX(CalcDocA,$M497)),IF($N497&lt;&gt;"",INDEX(CalcBankB,$N497),""))</f>
        <v/>
      </c>
      <c r="E497" s="23">
        <f>IF($N497&lt;&gt;"",IF(INDEX(CalcDepB,$N497)=0,"",INDEX(CalcDepB,$N497)),"")</f>
        <v/>
      </c>
      <c r="F497" s="23">
        <f>IF($M497&lt;&gt;"",IF(INDEX(CalcQtyA,$M497)=0,"",INDEX(CalcQtyA,$M497)),"")</f>
        <v/>
      </c>
      <c r="G497" s="23">
        <f>IF($M497&lt;&gt;"",IF(INDEX(CalcPriceA,$M497)=0,"",INDEX(CalcPriceA,$M497)),"")</f>
        <v/>
      </c>
      <c r="H497" s="23">
        <f>IF($N497&lt;&gt;"",IF(INDEX(CalcWitB,$N497)=0,"",INDEX(CalcWitB,$N497)),"")</f>
        <v/>
      </c>
      <c r="I497" s="24">
        <f>IF($M497&lt;&gt;"",INDEX(CalcAmtA,$M497),"")</f>
        <v/>
      </c>
      <c r="J497" s="24">
        <f>IF($B497="","",IF($J496="",$C$8,$J496)+IF($I497="",0,$I497)+IF($E497="",0,$E497)-IF($H497="",0,$H497))</f>
        <v/>
      </c>
      <c r="K497" s="25">
        <f>IF($M497&lt;&gt;"",IF(INDEX(CalcNoteA,$M497)="","—",INDEX(CalcNoteA,$M497)),IF($N497&lt;&gt;"",IF(INDEX(CalcNoteB,$N497)="","—",INDEX(CalcNoteB,$N497)),""))</f>
        <v/>
      </c>
      <c r="M497">
        <f>IFERROR(MATCH($C$5&amp;"|"&amp;RIGHT("000000"&amp;481,6),CalcRankKeyA,0),"")</f>
        <v/>
      </c>
      <c r="N497">
        <f>IFERROR(MATCH($C$5&amp;"|"&amp;RIGHT("000000"&amp;481,6),CalcRankKeyB,0),"")</f>
        <v/>
      </c>
    </row>
    <row r="498">
      <c r="A498" s="26" t="n">
        <v>482</v>
      </c>
      <c r="B498" s="27">
        <f>IF(AND($M498="",$N498=""),"",IF($M498&lt;&gt;"",INDEX(CalcDateA,$M498),INDEX(CalcDateB,$N498)))</f>
        <v/>
      </c>
      <c r="C498" s="27">
        <f>IF($M498&lt;&gt;"","خرید سبد",IF($N498&lt;&gt;"",IF(N(INDEX(CalcDepB,$N498))&gt;0,"دریافت بانکی","پرداخت بانکی"),""))</f>
        <v/>
      </c>
      <c r="D498" s="27">
        <f>IF($M498&lt;&gt;"",IF(INDEX(CalcDocA,$M498)="","—",INDEX(CalcDocA,$M498)),IF($N498&lt;&gt;"",INDEX(CalcBankB,$N498),""))</f>
        <v/>
      </c>
      <c r="E498" s="28">
        <f>IF($N498&lt;&gt;"",IF(INDEX(CalcDepB,$N498)=0,"",INDEX(CalcDepB,$N498)),"")</f>
        <v/>
      </c>
      <c r="F498" s="28">
        <f>IF($M498&lt;&gt;"",IF(INDEX(CalcQtyA,$M498)=0,"",INDEX(CalcQtyA,$M498)),"")</f>
        <v/>
      </c>
      <c r="G498" s="28">
        <f>IF($M498&lt;&gt;"",IF(INDEX(CalcPriceA,$M498)=0,"",INDEX(CalcPriceA,$M498)),"")</f>
        <v/>
      </c>
      <c r="H498" s="28">
        <f>IF($N498&lt;&gt;"",IF(INDEX(CalcWitB,$N498)=0,"",INDEX(CalcWitB,$N498)),"")</f>
        <v/>
      </c>
      <c r="I498" s="29">
        <f>IF($M498&lt;&gt;"",INDEX(CalcAmtA,$M498),"")</f>
        <v/>
      </c>
      <c r="J498" s="29">
        <f>IF($B498="","",IF($J497="",$C$8,$J497)+IF($I498="",0,$I498)+IF($E498="",0,$E498)-IF($H498="",0,$H498))</f>
        <v/>
      </c>
      <c r="K498" s="30">
        <f>IF($M498&lt;&gt;"",IF(INDEX(CalcNoteA,$M498)="","—",INDEX(CalcNoteA,$M498)),IF($N498&lt;&gt;"",IF(INDEX(CalcNoteB,$N498)="","—",INDEX(CalcNoteB,$N498)),""))</f>
        <v/>
      </c>
      <c r="M498">
        <f>IFERROR(MATCH($C$5&amp;"|"&amp;RIGHT("000000"&amp;482,6),CalcRankKeyA,0),"")</f>
        <v/>
      </c>
      <c r="N498">
        <f>IFERROR(MATCH($C$5&amp;"|"&amp;RIGHT("000000"&amp;482,6),CalcRankKeyB,0),"")</f>
        <v/>
      </c>
    </row>
    <row r="499">
      <c r="A499" s="21" t="n">
        <v>483</v>
      </c>
      <c r="B499" s="22">
        <f>IF(AND($M499="",$N499=""),"",IF($M499&lt;&gt;"",INDEX(CalcDateA,$M499),INDEX(CalcDateB,$N499)))</f>
        <v/>
      </c>
      <c r="C499" s="22">
        <f>IF($M499&lt;&gt;"","خرید سبد",IF($N499&lt;&gt;"",IF(N(INDEX(CalcDepB,$N499))&gt;0,"دریافت بانکی","پرداخت بانکی"),""))</f>
        <v/>
      </c>
      <c r="D499" s="22">
        <f>IF($M499&lt;&gt;"",IF(INDEX(CalcDocA,$M499)="","—",INDEX(CalcDocA,$M499)),IF($N499&lt;&gt;"",INDEX(CalcBankB,$N499),""))</f>
        <v/>
      </c>
      <c r="E499" s="23">
        <f>IF($N499&lt;&gt;"",IF(INDEX(CalcDepB,$N499)=0,"",INDEX(CalcDepB,$N499)),"")</f>
        <v/>
      </c>
      <c r="F499" s="23">
        <f>IF($M499&lt;&gt;"",IF(INDEX(CalcQtyA,$M499)=0,"",INDEX(CalcQtyA,$M499)),"")</f>
        <v/>
      </c>
      <c r="G499" s="23">
        <f>IF($M499&lt;&gt;"",IF(INDEX(CalcPriceA,$M499)=0,"",INDEX(CalcPriceA,$M499)),"")</f>
        <v/>
      </c>
      <c r="H499" s="23">
        <f>IF($N499&lt;&gt;"",IF(INDEX(CalcWitB,$N499)=0,"",INDEX(CalcWitB,$N499)),"")</f>
        <v/>
      </c>
      <c r="I499" s="24">
        <f>IF($M499&lt;&gt;"",INDEX(CalcAmtA,$M499),"")</f>
        <v/>
      </c>
      <c r="J499" s="24">
        <f>IF($B499="","",IF($J498="",$C$8,$J498)+IF($I499="",0,$I499)+IF($E499="",0,$E499)-IF($H499="",0,$H499))</f>
        <v/>
      </c>
      <c r="K499" s="25">
        <f>IF($M499&lt;&gt;"",IF(INDEX(CalcNoteA,$M499)="","—",INDEX(CalcNoteA,$M499)),IF($N499&lt;&gt;"",IF(INDEX(CalcNoteB,$N499)="","—",INDEX(CalcNoteB,$N499)),""))</f>
        <v/>
      </c>
      <c r="M499">
        <f>IFERROR(MATCH($C$5&amp;"|"&amp;RIGHT("000000"&amp;483,6),CalcRankKeyA,0),"")</f>
        <v/>
      </c>
      <c r="N499">
        <f>IFERROR(MATCH($C$5&amp;"|"&amp;RIGHT("000000"&amp;483,6),CalcRankKeyB,0),"")</f>
        <v/>
      </c>
    </row>
    <row r="500">
      <c r="A500" s="26" t="n">
        <v>484</v>
      </c>
      <c r="B500" s="27">
        <f>IF(AND($M500="",$N500=""),"",IF($M500&lt;&gt;"",INDEX(CalcDateA,$M500),INDEX(CalcDateB,$N500)))</f>
        <v/>
      </c>
      <c r="C500" s="27">
        <f>IF($M500&lt;&gt;"","خرید سبد",IF($N500&lt;&gt;"",IF(N(INDEX(CalcDepB,$N500))&gt;0,"دریافت بانکی","پرداخت بانکی"),""))</f>
        <v/>
      </c>
      <c r="D500" s="27">
        <f>IF($M500&lt;&gt;"",IF(INDEX(CalcDocA,$M500)="","—",INDEX(CalcDocA,$M500)),IF($N500&lt;&gt;"",INDEX(CalcBankB,$N500),""))</f>
        <v/>
      </c>
      <c r="E500" s="28">
        <f>IF($N500&lt;&gt;"",IF(INDEX(CalcDepB,$N500)=0,"",INDEX(CalcDepB,$N500)),"")</f>
        <v/>
      </c>
      <c r="F500" s="28">
        <f>IF($M500&lt;&gt;"",IF(INDEX(CalcQtyA,$M500)=0,"",INDEX(CalcQtyA,$M500)),"")</f>
        <v/>
      </c>
      <c r="G500" s="28">
        <f>IF($M500&lt;&gt;"",IF(INDEX(CalcPriceA,$M500)=0,"",INDEX(CalcPriceA,$M500)),"")</f>
        <v/>
      </c>
      <c r="H500" s="28">
        <f>IF($N500&lt;&gt;"",IF(INDEX(CalcWitB,$N500)=0,"",INDEX(CalcWitB,$N500)),"")</f>
        <v/>
      </c>
      <c r="I500" s="29">
        <f>IF($M500&lt;&gt;"",INDEX(CalcAmtA,$M500),"")</f>
        <v/>
      </c>
      <c r="J500" s="29">
        <f>IF($B500="","",IF($J499="",$C$8,$J499)+IF($I500="",0,$I500)+IF($E500="",0,$E500)-IF($H500="",0,$H500))</f>
        <v/>
      </c>
      <c r="K500" s="30">
        <f>IF($M500&lt;&gt;"",IF(INDEX(CalcNoteA,$M500)="","—",INDEX(CalcNoteA,$M500)),IF($N500&lt;&gt;"",IF(INDEX(CalcNoteB,$N500)="","—",INDEX(CalcNoteB,$N500)),""))</f>
        <v/>
      </c>
      <c r="M500">
        <f>IFERROR(MATCH($C$5&amp;"|"&amp;RIGHT("000000"&amp;484,6),CalcRankKeyA,0),"")</f>
        <v/>
      </c>
      <c r="N500">
        <f>IFERROR(MATCH($C$5&amp;"|"&amp;RIGHT("000000"&amp;484,6),CalcRankKeyB,0),"")</f>
        <v/>
      </c>
    </row>
    <row r="501">
      <c r="A501" s="21" t="n">
        <v>485</v>
      </c>
      <c r="B501" s="22">
        <f>IF(AND($M501="",$N501=""),"",IF($M501&lt;&gt;"",INDEX(CalcDateA,$M501),INDEX(CalcDateB,$N501)))</f>
        <v/>
      </c>
      <c r="C501" s="22">
        <f>IF($M501&lt;&gt;"","خرید سبد",IF($N501&lt;&gt;"",IF(N(INDEX(CalcDepB,$N501))&gt;0,"دریافت بانکی","پرداخت بانکی"),""))</f>
        <v/>
      </c>
      <c r="D501" s="22">
        <f>IF($M501&lt;&gt;"",IF(INDEX(CalcDocA,$M501)="","—",INDEX(CalcDocA,$M501)),IF($N501&lt;&gt;"",INDEX(CalcBankB,$N501),""))</f>
        <v/>
      </c>
      <c r="E501" s="23">
        <f>IF($N501&lt;&gt;"",IF(INDEX(CalcDepB,$N501)=0,"",INDEX(CalcDepB,$N501)),"")</f>
        <v/>
      </c>
      <c r="F501" s="23">
        <f>IF($M501&lt;&gt;"",IF(INDEX(CalcQtyA,$M501)=0,"",INDEX(CalcQtyA,$M501)),"")</f>
        <v/>
      </c>
      <c r="G501" s="23">
        <f>IF($M501&lt;&gt;"",IF(INDEX(CalcPriceA,$M501)=0,"",INDEX(CalcPriceA,$M501)),"")</f>
        <v/>
      </c>
      <c r="H501" s="23">
        <f>IF($N501&lt;&gt;"",IF(INDEX(CalcWitB,$N501)=0,"",INDEX(CalcWitB,$N501)),"")</f>
        <v/>
      </c>
      <c r="I501" s="24">
        <f>IF($M501&lt;&gt;"",INDEX(CalcAmtA,$M501),"")</f>
        <v/>
      </c>
      <c r="J501" s="24">
        <f>IF($B501="","",IF($J500="",$C$8,$J500)+IF($I501="",0,$I501)+IF($E501="",0,$E501)-IF($H501="",0,$H501))</f>
        <v/>
      </c>
      <c r="K501" s="25">
        <f>IF($M501&lt;&gt;"",IF(INDEX(CalcNoteA,$M501)="","—",INDEX(CalcNoteA,$M501)),IF($N501&lt;&gt;"",IF(INDEX(CalcNoteB,$N501)="","—",INDEX(CalcNoteB,$N501)),""))</f>
        <v/>
      </c>
      <c r="M501">
        <f>IFERROR(MATCH($C$5&amp;"|"&amp;RIGHT("000000"&amp;485,6),CalcRankKeyA,0),"")</f>
        <v/>
      </c>
      <c r="N501">
        <f>IFERROR(MATCH($C$5&amp;"|"&amp;RIGHT("000000"&amp;485,6),CalcRankKeyB,0),"")</f>
        <v/>
      </c>
    </row>
    <row r="502">
      <c r="A502" s="26" t="n">
        <v>486</v>
      </c>
      <c r="B502" s="27">
        <f>IF(AND($M502="",$N502=""),"",IF($M502&lt;&gt;"",INDEX(CalcDateA,$M502),INDEX(CalcDateB,$N502)))</f>
        <v/>
      </c>
      <c r="C502" s="27">
        <f>IF($M502&lt;&gt;"","خرید سبد",IF($N502&lt;&gt;"",IF(N(INDEX(CalcDepB,$N502))&gt;0,"دریافت بانکی","پرداخت بانکی"),""))</f>
        <v/>
      </c>
      <c r="D502" s="27">
        <f>IF($M502&lt;&gt;"",IF(INDEX(CalcDocA,$M502)="","—",INDEX(CalcDocA,$M502)),IF($N502&lt;&gt;"",INDEX(CalcBankB,$N502),""))</f>
        <v/>
      </c>
      <c r="E502" s="28">
        <f>IF($N502&lt;&gt;"",IF(INDEX(CalcDepB,$N502)=0,"",INDEX(CalcDepB,$N502)),"")</f>
        <v/>
      </c>
      <c r="F502" s="28">
        <f>IF($M502&lt;&gt;"",IF(INDEX(CalcQtyA,$M502)=0,"",INDEX(CalcQtyA,$M502)),"")</f>
        <v/>
      </c>
      <c r="G502" s="28">
        <f>IF($M502&lt;&gt;"",IF(INDEX(CalcPriceA,$M502)=0,"",INDEX(CalcPriceA,$M502)),"")</f>
        <v/>
      </c>
      <c r="H502" s="28">
        <f>IF($N502&lt;&gt;"",IF(INDEX(CalcWitB,$N502)=0,"",INDEX(CalcWitB,$N502)),"")</f>
        <v/>
      </c>
      <c r="I502" s="29">
        <f>IF($M502&lt;&gt;"",INDEX(CalcAmtA,$M502),"")</f>
        <v/>
      </c>
      <c r="J502" s="29">
        <f>IF($B502="","",IF($J501="",$C$8,$J501)+IF($I502="",0,$I502)+IF($E502="",0,$E502)-IF($H502="",0,$H502))</f>
        <v/>
      </c>
      <c r="K502" s="30">
        <f>IF($M502&lt;&gt;"",IF(INDEX(CalcNoteA,$M502)="","—",INDEX(CalcNoteA,$M502)),IF($N502&lt;&gt;"",IF(INDEX(CalcNoteB,$N502)="","—",INDEX(CalcNoteB,$N502)),""))</f>
        <v/>
      </c>
      <c r="M502">
        <f>IFERROR(MATCH($C$5&amp;"|"&amp;RIGHT("000000"&amp;486,6),CalcRankKeyA,0),"")</f>
        <v/>
      </c>
      <c r="N502">
        <f>IFERROR(MATCH($C$5&amp;"|"&amp;RIGHT("000000"&amp;486,6),CalcRankKeyB,0),"")</f>
        <v/>
      </c>
    </row>
    <row r="503">
      <c r="A503" s="21" t="n">
        <v>487</v>
      </c>
      <c r="B503" s="22">
        <f>IF(AND($M503="",$N503=""),"",IF($M503&lt;&gt;"",INDEX(CalcDateA,$M503),INDEX(CalcDateB,$N503)))</f>
        <v/>
      </c>
      <c r="C503" s="22">
        <f>IF($M503&lt;&gt;"","خرید سبد",IF($N503&lt;&gt;"",IF(N(INDEX(CalcDepB,$N503))&gt;0,"دریافت بانکی","پرداخت بانکی"),""))</f>
        <v/>
      </c>
      <c r="D503" s="22">
        <f>IF($M503&lt;&gt;"",IF(INDEX(CalcDocA,$M503)="","—",INDEX(CalcDocA,$M503)),IF($N503&lt;&gt;"",INDEX(CalcBankB,$N503),""))</f>
        <v/>
      </c>
      <c r="E503" s="23">
        <f>IF($N503&lt;&gt;"",IF(INDEX(CalcDepB,$N503)=0,"",INDEX(CalcDepB,$N503)),"")</f>
        <v/>
      </c>
      <c r="F503" s="23">
        <f>IF($M503&lt;&gt;"",IF(INDEX(CalcQtyA,$M503)=0,"",INDEX(CalcQtyA,$M503)),"")</f>
        <v/>
      </c>
      <c r="G503" s="23">
        <f>IF($M503&lt;&gt;"",IF(INDEX(CalcPriceA,$M503)=0,"",INDEX(CalcPriceA,$M503)),"")</f>
        <v/>
      </c>
      <c r="H503" s="23">
        <f>IF($N503&lt;&gt;"",IF(INDEX(CalcWitB,$N503)=0,"",INDEX(CalcWitB,$N503)),"")</f>
        <v/>
      </c>
      <c r="I503" s="24">
        <f>IF($M503&lt;&gt;"",INDEX(CalcAmtA,$M503),"")</f>
        <v/>
      </c>
      <c r="J503" s="24">
        <f>IF($B503="","",IF($J502="",$C$8,$J502)+IF($I503="",0,$I503)+IF($E503="",0,$E503)-IF($H503="",0,$H503))</f>
        <v/>
      </c>
      <c r="K503" s="25">
        <f>IF($M503&lt;&gt;"",IF(INDEX(CalcNoteA,$M503)="","—",INDEX(CalcNoteA,$M503)),IF($N503&lt;&gt;"",IF(INDEX(CalcNoteB,$N503)="","—",INDEX(CalcNoteB,$N503)),""))</f>
        <v/>
      </c>
      <c r="M503">
        <f>IFERROR(MATCH($C$5&amp;"|"&amp;RIGHT("000000"&amp;487,6),CalcRankKeyA,0),"")</f>
        <v/>
      </c>
      <c r="N503">
        <f>IFERROR(MATCH($C$5&amp;"|"&amp;RIGHT("000000"&amp;487,6),CalcRankKeyB,0),"")</f>
        <v/>
      </c>
    </row>
    <row r="504">
      <c r="A504" s="26" t="n">
        <v>488</v>
      </c>
      <c r="B504" s="27">
        <f>IF(AND($M504="",$N504=""),"",IF($M504&lt;&gt;"",INDEX(CalcDateA,$M504),INDEX(CalcDateB,$N504)))</f>
        <v/>
      </c>
      <c r="C504" s="27">
        <f>IF($M504&lt;&gt;"","خرید سبد",IF($N504&lt;&gt;"",IF(N(INDEX(CalcDepB,$N504))&gt;0,"دریافت بانکی","پرداخت بانکی"),""))</f>
        <v/>
      </c>
      <c r="D504" s="27">
        <f>IF($M504&lt;&gt;"",IF(INDEX(CalcDocA,$M504)="","—",INDEX(CalcDocA,$M504)),IF($N504&lt;&gt;"",INDEX(CalcBankB,$N504),""))</f>
        <v/>
      </c>
      <c r="E504" s="28">
        <f>IF($N504&lt;&gt;"",IF(INDEX(CalcDepB,$N504)=0,"",INDEX(CalcDepB,$N504)),"")</f>
        <v/>
      </c>
      <c r="F504" s="28">
        <f>IF($M504&lt;&gt;"",IF(INDEX(CalcQtyA,$M504)=0,"",INDEX(CalcQtyA,$M504)),"")</f>
        <v/>
      </c>
      <c r="G504" s="28">
        <f>IF($M504&lt;&gt;"",IF(INDEX(CalcPriceA,$M504)=0,"",INDEX(CalcPriceA,$M504)),"")</f>
        <v/>
      </c>
      <c r="H504" s="28">
        <f>IF($N504&lt;&gt;"",IF(INDEX(CalcWitB,$N504)=0,"",INDEX(CalcWitB,$N504)),"")</f>
        <v/>
      </c>
      <c r="I504" s="29">
        <f>IF($M504&lt;&gt;"",INDEX(CalcAmtA,$M504),"")</f>
        <v/>
      </c>
      <c r="J504" s="29">
        <f>IF($B504="","",IF($J503="",$C$8,$J503)+IF($I504="",0,$I504)+IF($E504="",0,$E504)-IF($H504="",0,$H504))</f>
        <v/>
      </c>
      <c r="K504" s="30">
        <f>IF($M504&lt;&gt;"",IF(INDEX(CalcNoteA,$M504)="","—",INDEX(CalcNoteA,$M504)),IF($N504&lt;&gt;"",IF(INDEX(CalcNoteB,$N504)="","—",INDEX(CalcNoteB,$N504)),""))</f>
        <v/>
      </c>
      <c r="M504">
        <f>IFERROR(MATCH($C$5&amp;"|"&amp;RIGHT("000000"&amp;488,6),CalcRankKeyA,0),"")</f>
        <v/>
      </c>
      <c r="N504">
        <f>IFERROR(MATCH($C$5&amp;"|"&amp;RIGHT("000000"&amp;488,6),CalcRankKeyB,0),"")</f>
        <v/>
      </c>
    </row>
    <row r="505">
      <c r="A505" s="21" t="n">
        <v>489</v>
      </c>
      <c r="B505" s="22">
        <f>IF(AND($M505="",$N505=""),"",IF($M505&lt;&gt;"",INDEX(CalcDateA,$M505),INDEX(CalcDateB,$N505)))</f>
        <v/>
      </c>
      <c r="C505" s="22">
        <f>IF($M505&lt;&gt;"","خرید سبد",IF($N505&lt;&gt;"",IF(N(INDEX(CalcDepB,$N505))&gt;0,"دریافت بانکی","پرداخت بانکی"),""))</f>
        <v/>
      </c>
      <c r="D505" s="22">
        <f>IF($M505&lt;&gt;"",IF(INDEX(CalcDocA,$M505)="","—",INDEX(CalcDocA,$M505)),IF($N505&lt;&gt;"",INDEX(CalcBankB,$N505),""))</f>
        <v/>
      </c>
      <c r="E505" s="23">
        <f>IF($N505&lt;&gt;"",IF(INDEX(CalcDepB,$N505)=0,"",INDEX(CalcDepB,$N505)),"")</f>
        <v/>
      </c>
      <c r="F505" s="23">
        <f>IF($M505&lt;&gt;"",IF(INDEX(CalcQtyA,$M505)=0,"",INDEX(CalcQtyA,$M505)),"")</f>
        <v/>
      </c>
      <c r="G505" s="23">
        <f>IF($M505&lt;&gt;"",IF(INDEX(CalcPriceA,$M505)=0,"",INDEX(CalcPriceA,$M505)),"")</f>
        <v/>
      </c>
      <c r="H505" s="23">
        <f>IF($N505&lt;&gt;"",IF(INDEX(CalcWitB,$N505)=0,"",INDEX(CalcWitB,$N505)),"")</f>
        <v/>
      </c>
      <c r="I505" s="24">
        <f>IF($M505&lt;&gt;"",INDEX(CalcAmtA,$M505),"")</f>
        <v/>
      </c>
      <c r="J505" s="24">
        <f>IF($B505="","",IF($J504="",$C$8,$J504)+IF($I505="",0,$I505)+IF($E505="",0,$E505)-IF($H505="",0,$H505))</f>
        <v/>
      </c>
      <c r="K505" s="25">
        <f>IF($M505&lt;&gt;"",IF(INDEX(CalcNoteA,$M505)="","—",INDEX(CalcNoteA,$M505)),IF($N505&lt;&gt;"",IF(INDEX(CalcNoteB,$N505)="","—",INDEX(CalcNoteB,$N505)),""))</f>
        <v/>
      </c>
      <c r="M505">
        <f>IFERROR(MATCH($C$5&amp;"|"&amp;RIGHT("000000"&amp;489,6),CalcRankKeyA,0),"")</f>
        <v/>
      </c>
      <c r="N505">
        <f>IFERROR(MATCH($C$5&amp;"|"&amp;RIGHT("000000"&amp;489,6),CalcRankKeyB,0),"")</f>
        <v/>
      </c>
    </row>
    <row r="506">
      <c r="A506" s="26" t="n">
        <v>490</v>
      </c>
      <c r="B506" s="27">
        <f>IF(AND($M506="",$N506=""),"",IF($M506&lt;&gt;"",INDEX(CalcDateA,$M506),INDEX(CalcDateB,$N506)))</f>
        <v/>
      </c>
      <c r="C506" s="27">
        <f>IF($M506&lt;&gt;"","خرید سبد",IF($N506&lt;&gt;"",IF(N(INDEX(CalcDepB,$N506))&gt;0,"دریافت بانکی","پرداخت بانکی"),""))</f>
        <v/>
      </c>
      <c r="D506" s="27">
        <f>IF($M506&lt;&gt;"",IF(INDEX(CalcDocA,$M506)="","—",INDEX(CalcDocA,$M506)),IF($N506&lt;&gt;"",INDEX(CalcBankB,$N506),""))</f>
        <v/>
      </c>
      <c r="E506" s="28">
        <f>IF($N506&lt;&gt;"",IF(INDEX(CalcDepB,$N506)=0,"",INDEX(CalcDepB,$N506)),"")</f>
        <v/>
      </c>
      <c r="F506" s="28">
        <f>IF($M506&lt;&gt;"",IF(INDEX(CalcQtyA,$M506)=0,"",INDEX(CalcQtyA,$M506)),"")</f>
        <v/>
      </c>
      <c r="G506" s="28">
        <f>IF($M506&lt;&gt;"",IF(INDEX(CalcPriceA,$M506)=0,"",INDEX(CalcPriceA,$M506)),"")</f>
        <v/>
      </c>
      <c r="H506" s="28">
        <f>IF($N506&lt;&gt;"",IF(INDEX(CalcWitB,$N506)=0,"",INDEX(CalcWitB,$N506)),"")</f>
        <v/>
      </c>
      <c r="I506" s="29">
        <f>IF($M506&lt;&gt;"",INDEX(CalcAmtA,$M506),"")</f>
        <v/>
      </c>
      <c r="J506" s="29">
        <f>IF($B506="","",IF($J505="",$C$8,$J505)+IF($I506="",0,$I506)+IF($E506="",0,$E506)-IF($H506="",0,$H506))</f>
        <v/>
      </c>
      <c r="K506" s="30">
        <f>IF($M506&lt;&gt;"",IF(INDEX(CalcNoteA,$M506)="","—",INDEX(CalcNoteA,$M506)),IF($N506&lt;&gt;"",IF(INDEX(CalcNoteB,$N506)="","—",INDEX(CalcNoteB,$N506)),""))</f>
        <v/>
      </c>
      <c r="M506">
        <f>IFERROR(MATCH($C$5&amp;"|"&amp;RIGHT("000000"&amp;490,6),CalcRankKeyA,0),"")</f>
        <v/>
      </c>
      <c r="N506">
        <f>IFERROR(MATCH($C$5&amp;"|"&amp;RIGHT("000000"&amp;490,6),CalcRankKeyB,0),"")</f>
        <v/>
      </c>
    </row>
    <row r="507">
      <c r="A507" s="21" t="n">
        <v>491</v>
      </c>
      <c r="B507" s="22">
        <f>IF(AND($M507="",$N507=""),"",IF($M507&lt;&gt;"",INDEX(CalcDateA,$M507),INDEX(CalcDateB,$N507)))</f>
        <v/>
      </c>
      <c r="C507" s="22">
        <f>IF($M507&lt;&gt;"","خرید سبد",IF($N507&lt;&gt;"",IF(N(INDEX(CalcDepB,$N507))&gt;0,"دریافت بانکی","پرداخت بانکی"),""))</f>
        <v/>
      </c>
      <c r="D507" s="22">
        <f>IF($M507&lt;&gt;"",IF(INDEX(CalcDocA,$M507)="","—",INDEX(CalcDocA,$M507)),IF($N507&lt;&gt;"",INDEX(CalcBankB,$N507),""))</f>
        <v/>
      </c>
      <c r="E507" s="23">
        <f>IF($N507&lt;&gt;"",IF(INDEX(CalcDepB,$N507)=0,"",INDEX(CalcDepB,$N507)),"")</f>
        <v/>
      </c>
      <c r="F507" s="23">
        <f>IF($M507&lt;&gt;"",IF(INDEX(CalcQtyA,$M507)=0,"",INDEX(CalcQtyA,$M507)),"")</f>
        <v/>
      </c>
      <c r="G507" s="23">
        <f>IF($M507&lt;&gt;"",IF(INDEX(CalcPriceA,$M507)=0,"",INDEX(CalcPriceA,$M507)),"")</f>
        <v/>
      </c>
      <c r="H507" s="23">
        <f>IF($N507&lt;&gt;"",IF(INDEX(CalcWitB,$N507)=0,"",INDEX(CalcWitB,$N507)),"")</f>
        <v/>
      </c>
      <c r="I507" s="24">
        <f>IF($M507&lt;&gt;"",INDEX(CalcAmtA,$M507),"")</f>
        <v/>
      </c>
      <c r="J507" s="24">
        <f>IF($B507="","",IF($J506="",$C$8,$J506)+IF($I507="",0,$I507)+IF($E507="",0,$E507)-IF($H507="",0,$H507))</f>
        <v/>
      </c>
      <c r="K507" s="25">
        <f>IF($M507&lt;&gt;"",IF(INDEX(CalcNoteA,$M507)="","—",INDEX(CalcNoteA,$M507)),IF($N507&lt;&gt;"",IF(INDEX(CalcNoteB,$N507)="","—",INDEX(CalcNoteB,$N507)),""))</f>
        <v/>
      </c>
      <c r="M507">
        <f>IFERROR(MATCH($C$5&amp;"|"&amp;RIGHT("000000"&amp;491,6),CalcRankKeyA,0),"")</f>
        <v/>
      </c>
      <c r="N507">
        <f>IFERROR(MATCH($C$5&amp;"|"&amp;RIGHT("000000"&amp;491,6),CalcRankKeyB,0),"")</f>
        <v/>
      </c>
    </row>
    <row r="508">
      <c r="A508" s="26" t="n">
        <v>492</v>
      </c>
      <c r="B508" s="27">
        <f>IF(AND($M508="",$N508=""),"",IF($M508&lt;&gt;"",INDEX(CalcDateA,$M508),INDEX(CalcDateB,$N508)))</f>
        <v/>
      </c>
      <c r="C508" s="27">
        <f>IF($M508&lt;&gt;"","خرید سبد",IF($N508&lt;&gt;"",IF(N(INDEX(CalcDepB,$N508))&gt;0,"دریافت بانکی","پرداخت بانکی"),""))</f>
        <v/>
      </c>
      <c r="D508" s="27">
        <f>IF($M508&lt;&gt;"",IF(INDEX(CalcDocA,$M508)="","—",INDEX(CalcDocA,$M508)),IF($N508&lt;&gt;"",INDEX(CalcBankB,$N508),""))</f>
        <v/>
      </c>
      <c r="E508" s="28">
        <f>IF($N508&lt;&gt;"",IF(INDEX(CalcDepB,$N508)=0,"",INDEX(CalcDepB,$N508)),"")</f>
        <v/>
      </c>
      <c r="F508" s="28">
        <f>IF($M508&lt;&gt;"",IF(INDEX(CalcQtyA,$M508)=0,"",INDEX(CalcQtyA,$M508)),"")</f>
        <v/>
      </c>
      <c r="G508" s="28">
        <f>IF($M508&lt;&gt;"",IF(INDEX(CalcPriceA,$M508)=0,"",INDEX(CalcPriceA,$M508)),"")</f>
        <v/>
      </c>
      <c r="H508" s="28">
        <f>IF($N508&lt;&gt;"",IF(INDEX(CalcWitB,$N508)=0,"",INDEX(CalcWitB,$N508)),"")</f>
        <v/>
      </c>
      <c r="I508" s="29">
        <f>IF($M508&lt;&gt;"",INDEX(CalcAmtA,$M508),"")</f>
        <v/>
      </c>
      <c r="J508" s="29">
        <f>IF($B508="","",IF($J507="",$C$8,$J507)+IF($I508="",0,$I508)+IF($E508="",0,$E508)-IF($H508="",0,$H508))</f>
        <v/>
      </c>
      <c r="K508" s="30">
        <f>IF($M508&lt;&gt;"",IF(INDEX(CalcNoteA,$M508)="","—",INDEX(CalcNoteA,$M508)),IF($N508&lt;&gt;"",IF(INDEX(CalcNoteB,$N508)="","—",INDEX(CalcNoteB,$N508)),""))</f>
        <v/>
      </c>
      <c r="M508">
        <f>IFERROR(MATCH($C$5&amp;"|"&amp;RIGHT("000000"&amp;492,6),CalcRankKeyA,0),"")</f>
        <v/>
      </c>
      <c r="N508">
        <f>IFERROR(MATCH($C$5&amp;"|"&amp;RIGHT("000000"&amp;492,6),CalcRankKeyB,0),"")</f>
        <v/>
      </c>
    </row>
    <row r="509">
      <c r="A509" s="21" t="n">
        <v>493</v>
      </c>
      <c r="B509" s="22">
        <f>IF(AND($M509="",$N509=""),"",IF($M509&lt;&gt;"",INDEX(CalcDateA,$M509),INDEX(CalcDateB,$N509)))</f>
        <v/>
      </c>
      <c r="C509" s="22">
        <f>IF($M509&lt;&gt;"","خرید سبد",IF($N509&lt;&gt;"",IF(N(INDEX(CalcDepB,$N509))&gt;0,"دریافت بانکی","پرداخت بانکی"),""))</f>
        <v/>
      </c>
      <c r="D509" s="22">
        <f>IF($M509&lt;&gt;"",IF(INDEX(CalcDocA,$M509)="","—",INDEX(CalcDocA,$M509)),IF($N509&lt;&gt;"",INDEX(CalcBankB,$N509),""))</f>
        <v/>
      </c>
      <c r="E509" s="23">
        <f>IF($N509&lt;&gt;"",IF(INDEX(CalcDepB,$N509)=0,"",INDEX(CalcDepB,$N509)),"")</f>
        <v/>
      </c>
      <c r="F509" s="23">
        <f>IF($M509&lt;&gt;"",IF(INDEX(CalcQtyA,$M509)=0,"",INDEX(CalcQtyA,$M509)),"")</f>
        <v/>
      </c>
      <c r="G509" s="23">
        <f>IF($M509&lt;&gt;"",IF(INDEX(CalcPriceA,$M509)=0,"",INDEX(CalcPriceA,$M509)),"")</f>
        <v/>
      </c>
      <c r="H509" s="23">
        <f>IF($N509&lt;&gt;"",IF(INDEX(CalcWitB,$N509)=0,"",INDEX(CalcWitB,$N509)),"")</f>
        <v/>
      </c>
      <c r="I509" s="24">
        <f>IF($M509&lt;&gt;"",INDEX(CalcAmtA,$M509),"")</f>
        <v/>
      </c>
      <c r="J509" s="24">
        <f>IF($B509="","",IF($J508="",$C$8,$J508)+IF($I509="",0,$I509)+IF($E509="",0,$E509)-IF($H509="",0,$H509))</f>
        <v/>
      </c>
      <c r="K509" s="25">
        <f>IF($M509&lt;&gt;"",IF(INDEX(CalcNoteA,$M509)="","—",INDEX(CalcNoteA,$M509)),IF($N509&lt;&gt;"",IF(INDEX(CalcNoteB,$N509)="","—",INDEX(CalcNoteB,$N509)),""))</f>
        <v/>
      </c>
      <c r="M509">
        <f>IFERROR(MATCH($C$5&amp;"|"&amp;RIGHT("000000"&amp;493,6),CalcRankKeyA,0),"")</f>
        <v/>
      </c>
      <c r="N509">
        <f>IFERROR(MATCH($C$5&amp;"|"&amp;RIGHT("000000"&amp;493,6),CalcRankKeyB,0),"")</f>
        <v/>
      </c>
    </row>
    <row r="510">
      <c r="A510" s="26" t="n">
        <v>494</v>
      </c>
      <c r="B510" s="27">
        <f>IF(AND($M510="",$N510=""),"",IF($M510&lt;&gt;"",INDEX(CalcDateA,$M510),INDEX(CalcDateB,$N510)))</f>
        <v/>
      </c>
      <c r="C510" s="27">
        <f>IF($M510&lt;&gt;"","خرید سبد",IF($N510&lt;&gt;"",IF(N(INDEX(CalcDepB,$N510))&gt;0,"دریافت بانکی","پرداخت بانکی"),""))</f>
        <v/>
      </c>
      <c r="D510" s="27">
        <f>IF($M510&lt;&gt;"",IF(INDEX(CalcDocA,$M510)="","—",INDEX(CalcDocA,$M510)),IF($N510&lt;&gt;"",INDEX(CalcBankB,$N510),""))</f>
        <v/>
      </c>
      <c r="E510" s="28">
        <f>IF($N510&lt;&gt;"",IF(INDEX(CalcDepB,$N510)=0,"",INDEX(CalcDepB,$N510)),"")</f>
        <v/>
      </c>
      <c r="F510" s="28">
        <f>IF($M510&lt;&gt;"",IF(INDEX(CalcQtyA,$M510)=0,"",INDEX(CalcQtyA,$M510)),"")</f>
        <v/>
      </c>
      <c r="G510" s="28">
        <f>IF($M510&lt;&gt;"",IF(INDEX(CalcPriceA,$M510)=0,"",INDEX(CalcPriceA,$M510)),"")</f>
        <v/>
      </c>
      <c r="H510" s="28">
        <f>IF($N510&lt;&gt;"",IF(INDEX(CalcWitB,$N510)=0,"",INDEX(CalcWitB,$N510)),"")</f>
        <v/>
      </c>
      <c r="I510" s="29">
        <f>IF($M510&lt;&gt;"",INDEX(CalcAmtA,$M510),"")</f>
        <v/>
      </c>
      <c r="J510" s="29">
        <f>IF($B510="","",IF($J509="",$C$8,$J509)+IF($I510="",0,$I510)+IF($E510="",0,$E510)-IF($H510="",0,$H510))</f>
        <v/>
      </c>
      <c r="K510" s="30">
        <f>IF($M510&lt;&gt;"",IF(INDEX(CalcNoteA,$M510)="","—",INDEX(CalcNoteA,$M510)),IF($N510&lt;&gt;"",IF(INDEX(CalcNoteB,$N510)="","—",INDEX(CalcNoteB,$N510)),""))</f>
        <v/>
      </c>
      <c r="M510">
        <f>IFERROR(MATCH($C$5&amp;"|"&amp;RIGHT("000000"&amp;494,6),CalcRankKeyA,0),"")</f>
        <v/>
      </c>
      <c r="N510">
        <f>IFERROR(MATCH($C$5&amp;"|"&amp;RIGHT("000000"&amp;494,6),CalcRankKeyB,0),"")</f>
        <v/>
      </c>
    </row>
    <row r="511">
      <c r="A511" s="21" t="n">
        <v>495</v>
      </c>
      <c r="B511" s="22">
        <f>IF(AND($M511="",$N511=""),"",IF($M511&lt;&gt;"",INDEX(CalcDateA,$M511),INDEX(CalcDateB,$N511)))</f>
        <v/>
      </c>
      <c r="C511" s="22">
        <f>IF($M511&lt;&gt;"","خرید سبد",IF($N511&lt;&gt;"",IF(N(INDEX(CalcDepB,$N511))&gt;0,"دریافت بانکی","پرداخت بانکی"),""))</f>
        <v/>
      </c>
      <c r="D511" s="22">
        <f>IF($M511&lt;&gt;"",IF(INDEX(CalcDocA,$M511)="","—",INDEX(CalcDocA,$M511)),IF($N511&lt;&gt;"",INDEX(CalcBankB,$N511),""))</f>
        <v/>
      </c>
      <c r="E511" s="23">
        <f>IF($N511&lt;&gt;"",IF(INDEX(CalcDepB,$N511)=0,"",INDEX(CalcDepB,$N511)),"")</f>
        <v/>
      </c>
      <c r="F511" s="23">
        <f>IF($M511&lt;&gt;"",IF(INDEX(CalcQtyA,$M511)=0,"",INDEX(CalcQtyA,$M511)),"")</f>
        <v/>
      </c>
      <c r="G511" s="23">
        <f>IF($M511&lt;&gt;"",IF(INDEX(CalcPriceA,$M511)=0,"",INDEX(CalcPriceA,$M511)),"")</f>
        <v/>
      </c>
      <c r="H511" s="23">
        <f>IF($N511&lt;&gt;"",IF(INDEX(CalcWitB,$N511)=0,"",INDEX(CalcWitB,$N511)),"")</f>
        <v/>
      </c>
      <c r="I511" s="24">
        <f>IF($M511&lt;&gt;"",INDEX(CalcAmtA,$M511),"")</f>
        <v/>
      </c>
      <c r="J511" s="24">
        <f>IF($B511="","",IF($J510="",$C$8,$J510)+IF($I511="",0,$I511)+IF($E511="",0,$E511)-IF($H511="",0,$H511))</f>
        <v/>
      </c>
      <c r="K511" s="25">
        <f>IF($M511&lt;&gt;"",IF(INDEX(CalcNoteA,$M511)="","—",INDEX(CalcNoteA,$M511)),IF($N511&lt;&gt;"",IF(INDEX(CalcNoteB,$N511)="","—",INDEX(CalcNoteB,$N511)),""))</f>
        <v/>
      </c>
      <c r="M511">
        <f>IFERROR(MATCH($C$5&amp;"|"&amp;RIGHT("000000"&amp;495,6),CalcRankKeyA,0),"")</f>
        <v/>
      </c>
      <c r="N511">
        <f>IFERROR(MATCH($C$5&amp;"|"&amp;RIGHT("000000"&amp;495,6),CalcRankKeyB,0),"")</f>
        <v/>
      </c>
    </row>
    <row r="512">
      <c r="A512" s="26" t="n">
        <v>496</v>
      </c>
      <c r="B512" s="27">
        <f>IF(AND($M512="",$N512=""),"",IF($M512&lt;&gt;"",INDEX(CalcDateA,$M512),INDEX(CalcDateB,$N512)))</f>
        <v/>
      </c>
      <c r="C512" s="27">
        <f>IF($M512&lt;&gt;"","خرید سبد",IF($N512&lt;&gt;"",IF(N(INDEX(CalcDepB,$N512))&gt;0,"دریافت بانکی","پرداخت بانکی"),""))</f>
        <v/>
      </c>
      <c r="D512" s="27">
        <f>IF($M512&lt;&gt;"",IF(INDEX(CalcDocA,$M512)="","—",INDEX(CalcDocA,$M512)),IF($N512&lt;&gt;"",INDEX(CalcBankB,$N512),""))</f>
        <v/>
      </c>
      <c r="E512" s="28">
        <f>IF($N512&lt;&gt;"",IF(INDEX(CalcDepB,$N512)=0,"",INDEX(CalcDepB,$N512)),"")</f>
        <v/>
      </c>
      <c r="F512" s="28">
        <f>IF($M512&lt;&gt;"",IF(INDEX(CalcQtyA,$M512)=0,"",INDEX(CalcQtyA,$M512)),"")</f>
        <v/>
      </c>
      <c r="G512" s="28">
        <f>IF($M512&lt;&gt;"",IF(INDEX(CalcPriceA,$M512)=0,"",INDEX(CalcPriceA,$M512)),"")</f>
        <v/>
      </c>
      <c r="H512" s="28">
        <f>IF($N512&lt;&gt;"",IF(INDEX(CalcWitB,$N512)=0,"",INDEX(CalcWitB,$N512)),"")</f>
        <v/>
      </c>
      <c r="I512" s="29">
        <f>IF($M512&lt;&gt;"",INDEX(CalcAmtA,$M512),"")</f>
        <v/>
      </c>
      <c r="J512" s="29">
        <f>IF($B512="","",IF($J511="",$C$8,$J511)+IF($I512="",0,$I512)+IF($E512="",0,$E512)-IF($H512="",0,$H512))</f>
        <v/>
      </c>
      <c r="K512" s="30">
        <f>IF($M512&lt;&gt;"",IF(INDEX(CalcNoteA,$M512)="","—",INDEX(CalcNoteA,$M512)),IF($N512&lt;&gt;"",IF(INDEX(CalcNoteB,$N512)="","—",INDEX(CalcNoteB,$N512)),""))</f>
        <v/>
      </c>
      <c r="M512">
        <f>IFERROR(MATCH($C$5&amp;"|"&amp;RIGHT("000000"&amp;496,6),CalcRankKeyA,0),"")</f>
        <v/>
      </c>
      <c r="N512">
        <f>IFERROR(MATCH($C$5&amp;"|"&amp;RIGHT("000000"&amp;496,6),CalcRankKeyB,0),"")</f>
        <v/>
      </c>
    </row>
    <row r="513">
      <c r="A513" s="21" t="n">
        <v>497</v>
      </c>
      <c r="B513" s="22">
        <f>IF(AND($M513="",$N513=""),"",IF($M513&lt;&gt;"",INDEX(CalcDateA,$M513),INDEX(CalcDateB,$N513)))</f>
        <v/>
      </c>
      <c r="C513" s="22">
        <f>IF($M513&lt;&gt;"","خرید سبد",IF($N513&lt;&gt;"",IF(N(INDEX(CalcDepB,$N513))&gt;0,"دریافت بانکی","پرداخت بانکی"),""))</f>
        <v/>
      </c>
      <c r="D513" s="22">
        <f>IF($M513&lt;&gt;"",IF(INDEX(CalcDocA,$M513)="","—",INDEX(CalcDocA,$M513)),IF($N513&lt;&gt;"",INDEX(CalcBankB,$N513),""))</f>
        <v/>
      </c>
      <c r="E513" s="23">
        <f>IF($N513&lt;&gt;"",IF(INDEX(CalcDepB,$N513)=0,"",INDEX(CalcDepB,$N513)),"")</f>
        <v/>
      </c>
      <c r="F513" s="23">
        <f>IF($M513&lt;&gt;"",IF(INDEX(CalcQtyA,$M513)=0,"",INDEX(CalcQtyA,$M513)),"")</f>
        <v/>
      </c>
      <c r="G513" s="23">
        <f>IF($M513&lt;&gt;"",IF(INDEX(CalcPriceA,$M513)=0,"",INDEX(CalcPriceA,$M513)),"")</f>
        <v/>
      </c>
      <c r="H513" s="23">
        <f>IF($N513&lt;&gt;"",IF(INDEX(CalcWitB,$N513)=0,"",INDEX(CalcWitB,$N513)),"")</f>
        <v/>
      </c>
      <c r="I513" s="24">
        <f>IF($M513&lt;&gt;"",INDEX(CalcAmtA,$M513),"")</f>
        <v/>
      </c>
      <c r="J513" s="24">
        <f>IF($B513="","",IF($J512="",$C$8,$J512)+IF($I513="",0,$I513)+IF($E513="",0,$E513)-IF($H513="",0,$H513))</f>
        <v/>
      </c>
      <c r="K513" s="25">
        <f>IF($M513&lt;&gt;"",IF(INDEX(CalcNoteA,$M513)="","—",INDEX(CalcNoteA,$M513)),IF($N513&lt;&gt;"",IF(INDEX(CalcNoteB,$N513)="","—",INDEX(CalcNoteB,$N513)),""))</f>
        <v/>
      </c>
      <c r="M513">
        <f>IFERROR(MATCH($C$5&amp;"|"&amp;RIGHT("000000"&amp;497,6),CalcRankKeyA,0),"")</f>
        <v/>
      </c>
      <c r="N513">
        <f>IFERROR(MATCH($C$5&amp;"|"&amp;RIGHT("000000"&amp;497,6),CalcRankKeyB,0),"")</f>
        <v/>
      </c>
    </row>
    <row r="514">
      <c r="A514" s="26" t="n">
        <v>498</v>
      </c>
      <c r="B514" s="27">
        <f>IF(AND($M514="",$N514=""),"",IF($M514&lt;&gt;"",INDEX(CalcDateA,$M514),INDEX(CalcDateB,$N514)))</f>
        <v/>
      </c>
      <c r="C514" s="27">
        <f>IF($M514&lt;&gt;"","خرید سبد",IF($N514&lt;&gt;"",IF(N(INDEX(CalcDepB,$N514))&gt;0,"دریافت بانکی","پرداخت بانکی"),""))</f>
        <v/>
      </c>
      <c r="D514" s="27">
        <f>IF($M514&lt;&gt;"",IF(INDEX(CalcDocA,$M514)="","—",INDEX(CalcDocA,$M514)),IF($N514&lt;&gt;"",INDEX(CalcBankB,$N514),""))</f>
        <v/>
      </c>
      <c r="E514" s="28">
        <f>IF($N514&lt;&gt;"",IF(INDEX(CalcDepB,$N514)=0,"",INDEX(CalcDepB,$N514)),"")</f>
        <v/>
      </c>
      <c r="F514" s="28">
        <f>IF($M514&lt;&gt;"",IF(INDEX(CalcQtyA,$M514)=0,"",INDEX(CalcQtyA,$M514)),"")</f>
        <v/>
      </c>
      <c r="G514" s="28">
        <f>IF($M514&lt;&gt;"",IF(INDEX(CalcPriceA,$M514)=0,"",INDEX(CalcPriceA,$M514)),"")</f>
        <v/>
      </c>
      <c r="H514" s="28">
        <f>IF($N514&lt;&gt;"",IF(INDEX(CalcWitB,$N514)=0,"",INDEX(CalcWitB,$N514)),"")</f>
        <v/>
      </c>
      <c r="I514" s="29">
        <f>IF($M514&lt;&gt;"",INDEX(CalcAmtA,$M514),"")</f>
        <v/>
      </c>
      <c r="J514" s="29">
        <f>IF($B514="","",IF($J513="",$C$8,$J513)+IF($I514="",0,$I514)+IF($E514="",0,$E514)-IF($H514="",0,$H514))</f>
        <v/>
      </c>
      <c r="K514" s="30">
        <f>IF($M514&lt;&gt;"",IF(INDEX(CalcNoteA,$M514)="","—",INDEX(CalcNoteA,$M514)),IF($N514&lt;&gt;"",IF(INDEX(CalcNoteB,$N514)="","—",INDEX(CalcNoteB,$N514)),""))</f>
        <v/>
      </c>
      <c r="M514">
        <f>IFERROR(MATCH($C$5&amp;"|"&amp;RIGHT("000000"&amp;498,6),CalcRankKeyA,0),"")</f>
        <v/>
      </c>
      <c r="N514">
        <f>IFERROR(MATCH($C$5&amp;"|"&amp;RIGHT("000000"&amp;498,6),CalcRankKeyB,0),"")</f>
        <v/>
      </c>
    </row>
    <row r="515">
      <c r="A515" s="21" t="n">
        <v>499</v>
      </c>
      <c r="B515" s="22">
        <f>IF(AND($M515="",$N515=""),"",IF($M515&lt;&gt;"",INDEX(CalcDateA,$M515),INDEX(CalcDateB,$N515)))</f>
        <v/>
      </c>
      <c r="C515" s="22">
        <f>IF($M515&lt;&gt;"","خرید سبد",IF($N515&lt;&gt;"",IF(N(INDEX(CalcDepB,$N515))&gt;0,"دریافت بانکی","پرداخت بانکی"),""))</f>
        <v/>
      </c>
      <c r="D515" s="22">
        <f>IF($M515&lt;&gt;"",IF(INDEX(CalcDocA,$M515)="","—",INDEX(CalcDocA,$M515)),IF($N515&lt;&gt;"",INDEX(CalcBankB,$N515),""))</f>
        <v/>
      </c>
      <c r="E515" s="23">
        <f>IF($N515&lt;&gt;"",IF(INDEX(CalcDepB,$N515)=0,"",INDEX(CalcDepB,$N515)),"")</f>
        <v/>
      </c>
      <c r="F515" s="23">
        <f>IF($M515&lt;&gt;"",IF(INDEX(CalcQtyA,$M515)=0,"",INDEX(CalcQtyA,$M515)),"")</f>
        <v/>
      </c>
      <c r="G515" s="23">
        <f>IF($M515&lt;&gt;"",IF(INDEX(CalcPriceA,$M515)=0,"",INDEX(CalcPriceA,$M515)),"")</f>
        <v/>
      </c>
      <c r="H515" s="23">
        <f>IF($N515&lt;&gt;"",IF(INDEX(CalcWitB,$N515)=0,"",INDEX(CalcWitB,$N515)),"")</f>
        <v/>
      </c>
      <c r="I515" s="24">
        <f>IF($M515&lt;&gt;"",INDEX(CalcAmtA,$M515),"")</f>
        <v/>
      </c>
      <c r="J515" s="24">
        <f>IF($B515="","",IF($J514="",$C$8,$J514)+IF($I515="",0,$I515)+IF($E515="",0,$E515)-IF($H515="",0,$H515))</f>
        <v/>
      </c>
      <c r="K515" s="25">
        <f>IF($M515&lt;&gt;"",IF(INDEX(CalcNoteA,$M515)="","—",INDEX(CalcNoteA,$M515)),IF($N515&lt;&gt;"",IF(INDEX(CalcNoteB,$N515)="","—",INDEX(CalcNoteB,$N515)),""))</f>
        <v/>
      </c>
      <c r="M515">
        <f>IFERROR(MATCH($C$5&amp;"|"&amp;RIGHT("000000"&amp;499,6),CalcRankKeyA,0),"")</f>
        <v/>
      </c>
      <c r="N515">
        <f>IFERROR(MATCH($C$5&amp;"|"&amp;RIGHT("000000"&amp;499,6),CalcRankKeyB,0),"")</f>
        <v/>
      </c>
    </row>
    <row r="516">
      <c r="A516" s="26" t="n">
        <v>500</v>
      </c>
      <c r="B516" s="27">
        <f>IF(AND($M516="",$N516=""),"",IF($M516&lt;&gt;"",INDEX(CalcDateA,$M516),INDEX(CalcDateB,$N516)))</f>
        <v/>
      </c>
      <c r="C516" s="27">
        <f>IF($M516&lt;&gt;"","خرید سبد",IF($N516&lt;&gt;"",IF(N(INDEX(CalcDepB,$N516))&gt;0,"دریافت بانکی","پرداخت بانکی"),""))</f>
        <v/>
      </c>
      <c r="D516" s="27">
        <f>IF($M516&lt;&gt;"",IF(INDEX(CalcDocA,$M516)="","—",INDEX(CalcDocA,$M516)),IF($N516&lt;&gt;"",INDEX(CalcBankB,$N516),""))</f>
        <v/>
      </c>
      <c r="E516" s="28">
        <f>IF($N516&lt;&gt;"",IF(INDEX(CalcDepB,$N516)=0,"",INDEX(CalcDepB,$N516)),"")</f>
        <v/>
      </c>
      <c r="F516" s="28">
        <f>IF($M516&lt;&gt;"",IF(INDEX(CalcQtyA,$M516)=0,"",INDEX(CalcQtyA,$M516)),"")</f>
        <v/>
      </c>
      <c r="G516" s="28">
        <f>IF($M516&lt;&gt;"",IF(INDEX(CalcPriceA,$M516)=0,"",INDEX(CalcPriceA,$M516)),"")</f>
        <v/>
      </c>
      <c r="H516" s="28">
        <f>IF($N516&lt;&gt;"",IF(INDEX(CalcWitB,$N516)=0,"",INDEX(CalcWitB,$N516)),"")</f>
        <v/>
      </c>
      <c r="I516" s="29">
        <f>IF($M516&lt;&gt;"",INDEX(CalcAmtA,$M516),"")</f>
        <v/>
      </c>
      <c r="J516" s="29">
        <f>IF($B516="","",IF($J515="",$C$8,$J515)+IF($I516="",0,$I516)+IF($E516="",0,$E516)-IF($H516="",0,$H516))</f>
        <v/>
      </c>
      <c r="K516" s="30">
        <f>IF($M516&lt;&gt;"",IF(INDEX(CalcNoteA,$M516)="","—",INDEX(CalcNoteA,$M516)),IF($N516&lt;&gt;"",IF(INDEX(CalcNoteB,$N516)="","—",INDEX(CalcNoteB,$N516)),""))</f>
        <v/>
      </c>
      <c r="M516">
        <f>IFERROR(MATCH($C$5&amp;"|"&amp;RIGHT("000000"&amp;500,6),CalcRankKeyA,0),"")</f>
        <v/>
      </c>
      <c r="N516">
        <f>IFERROR(MATCH($C$5&amp;"|"&amp;RIGHT("000000"&amp;500,6),CalcRankKeyB,0),"")</f>
        <v/>
      </c>
    </row>
    <row r="517">
      <c r="A517" s="21" t="n">
        <v>501</v>
      </c>
      <c r="B517" s="22">
        <f>IF(AND($M517="",$N517=""),"",IF($M517&lt;&gt;"",INDEX(CalcDateA,$M517),INDEX(CalcDateB,$N517)))</f>
        <v/>
      </c>
      <c r="C517" s="22">
        <f>IF($M517&lt;&gt;"","خرید سبد",IF($N517&lt;&gt;"",IF(N(INDEX(CalcDepB,$N517))&gt;0,"دریافت بانکی","پرداخت بانکی"),""))</f>
        <v/>
      </c>
      <c r="D517" s="22">
        <f>IF($M517&lt;&gt;"",IF(INDEX(CalcDocA,$M517)="","—",INDEX(CalcDocA,$M517)),IF($N517&lt;&gt;"",INDEX(CalcBankB,$N517),""))</f>
        <v/>
      </c>
      <c r="E517" s="23">
        <f>IF($N517&lt;&gt;"",IF(INDEX(CalcDepB,$N517)=0,"",INDEX(CalcDepB,$N517)),"")</f>
        <v/>
      </c>
      <c r="F517" s="23">
        <f>IF($M517&lt;&gt;"",IF(INDEX(CalcQtyA,$M517)=0,"",INDEX(CalcQtyA,$M517)),"")</f>
        <v/>
      </c>
      <c r="G517" s="23">
        <f>IF($M517&lt;&gt;"",IF(INDEX(CalcPriceA,$M517)=0,"",INDEX(CalcPriceA,$M517)),"")</f>
        <v/>
      </c>
      <c r="H517" s="23">
        <f>IF($N517&lt;&gt;"",IF(INDEX(CalcWitB,$N517)=0,"",INDEX(CalcWitB,$N517)),"")</f>
        <v/>
      </c>
      <c r="I517" s="24">
        <f>IF($M517&lt;&gt;"",INDEX(CalcAmtA,$M517),"")</f>
        <v/>
      </c>
      <c r="J517" s="24">
        <f>IF($B517="","",IF($J516="",$C$8,$J516)+IF($I517="",0,$I517)+IF($E517="",0,$E517)-IF($H517="",0,$H517))</f>
        <v/>
      </c>
      <c r="K517" s="25">
        <f>IF($M517&lt;&gt;"",IF(INDEX(CalcNoteA,$M517)="","—",INDEX(CalcNoteA,$M517)),IF($N517&lt;&gt;"",IF(INDEX(CalcNoteB,$N517)="","—",INDEX(CalcNoteB,$N517)),""))</f>
        <v/>
      </c>
      <c r="M517">
        <f>IFERROR(MATCH($C$5&amp;"|"&amp;RIGHT("000000"&amp;501,6),CalcRankKeyA,0),"")</f>
        <v/>
      </c>
      <c r="N517">
        <f>IFERROR(MATCH($C$5&amp;"|"&amp;RIGHT("000000"&amp;501,6),CalcRankKeyB,0),"")</f>
        <v/>
      </c>
    </row>
    <row r="518">
      <c r="A518" s="26" t="n">
        <v>502</v>
      </c>
      <c r="B518" s="27">
        <f>IF(AND($M518="",$N518=""),"",IF($M518&lt;&gt;"",INDEX(CalcDateA,$M518),INDEX(CalcDateB,$N518)))</f>
        <v/>
      </c>
      <c r="C518" s="27">
        <f>IF($M518&lt;&gt;"","خرید سبد",IF($N518&lt;&gt;"",IF(N(INDEX(CalcDepB,$N518))&gt;0,"دریافت بانکی","پرداخت بانکی"),""))</f>
        <v/>
      </c>
      <c r="D518" s="27">
        <f>IF($M518&lt;&gt;"",IF(INDEX(CalcDocA,$M518)="","—",INDEX(CalcDocA,$M518)),IF($N518&lt;&gt;"",INDEX(CalcBankB,$N518),""))</f>
        <v/>
      </c>
      <c r="E518" s="28">
        <f>IF($N518&lt;&gt;"",IF(INDEX(CalcDepB,$N518)=0,"",INDEX(CalcDepB,$N518)),"")</f>
        <v/>
      </c>
      <c r="F518" s="28">
        <f>IF($M518&lt;&gt;"",IF(INDEX(CalcQtyA,$M518)=0,"",INDEX(CalcQtyA,$M518)),"")</f>
        <v/>
      </c>
      <c r="G518" s="28">
        <f>IF($M518&lt;&gt;"",IF(INDEX(CalcPriceA,$M518)=0,"",INDEX(CalcPriceA,$M518)),"")</f>
        <v/>
      </c>
      <c r="H518" s="28">
        <f>IF($N518&lt;&gt;"",IF(INDEX(CalcWitB,$N518)=0,"",INDEX(CalcWitB,$N518)),"")</f>
        <v/>
      </c>
      <c r="I518" s="29">
        <f>IF($M518&lt;&gt;"",INDEX(CalcAmtA,$M518),"")</f>
        <v/>
      </c>
      <c r="J518" s="29">
        <f>IF($B518="","",IF($J517="",$C$8,$J517)+IF($I518="",0,$I518)+IF($E518="",0,$E518)-IF($H518="",0,$H518))</f>
        <v/>
      </c>
      <c r="K518" s="30">
        <f>IF($M518&lt;&gt;"",IF(INDEX(CalcNoteA,$M518)="","—",INDEX(CalcNoteA,$M518)),IF($N518&lt;&gt;"",IF(INDEX(CalcNoteB,$N518)="","—",INDEX(CalcNoteB,$N518)),""))</f>
        <v/>
      </c>
      <c r="M518">
        <f>IFERROR(MATCH($C$5&amp;"|"&amp;RIGHT("000000"&amp;502,6),CalcRankKeyA,0),"")</f>
        <v/>
      </c>
      <c r="N518">
        <f>IFERROR(MATCH($C$5&amp;"|"&amp;RIGHT("000000"&amp;502,6),CalcRankKeyB,0),"")</f>
        <v/>
      </c>
    </row>
    <row r="519">
      <c r="A519" s="21" t="n">
        <v>503</v>
      </c>
      <c r="B519" s="22">
        <f>IF(AND($M519="",$N519=""),"",IF($M519&lt;&gt;"",INDEX(CalcDateA,$M519),INDEX(CalcDateB,$N519)))</f>
        <v/>
      </c>
      <c r="C519" s="22">
        <f>IF($M519&lt;&gt;"","خرید سبد",IF($N519&lt;&gt;"",IF(N(INDEX(CalcDepB,$N519))&gt;0,"دریافت بانکی","پرداخت بانکی"),""))</f>
        <v/>
      </c>
      <c r="D519" s="22">
        <f>IF($M519&lt;&gt;"",IF(INDEX(CalcDocA,$M519)="","—",INDEX(CalcDocA,$M519)),IF($N519&lt;&gt;"",INDEX(CalcBankB,$N519),""))</f>
        <v/>
      </c>
      <c r="E519" s="23">
        <f>IF($N519&lt;&gt;"",IF(INDEX(CalcDepB,$N519)=0,"",INDEX(CalcDepB,$N519)),"")</f>
        <v/>
      </c>
      <c r="F519" s="23">
        <f>IF($M519&lt;&gt;"",IF(INDEX(CalcQtyA,$M519)=0,"",INDEX(CalcQtyA,$M519)),"")</f>
        <v/>
      </c>
      <c r="G519" s="23">
        <f>IF($M519&lt;&gt;"",IF(INDEX(CalcPriceA,$M519)=0,"",INDEX(CalcPriceA,$M519)),"")</f>
        <v/>
      </c>
      <c r="H519" s="23">
        <f>IF($N519&lt;&gt;"",IF(INDEX(CalcWitB,$N519)=0,"",INDEX(CalcWitB,$N519)),"")</f>
        <v/>
      </c>
      <c r="I519" s="24">
        <f>IF($M519&lt;&gt;"",INDEX(CalcAmtA,$M519),"")</f>
        <v/>
      </c>
      <c r="J519" s="24">
        <f>IF($B519="","",IF($J518="",$C$8,$J518)+IF($I519="",0,$I519)+IF($E519="",0,$E519)-IF($H519="",0,$H519))</f>
        <v/>
      </c>
      <c r="K519" s="25">
        <f>IF($M519&lt;&gt;"",IF(INDEX(CalcNoteA,$M519)="","—",INDEX(CalcNoteA,$M519)),IF($N519&lt;&gt;"",IF(INDEX(CalcNoteB,$N519)="","—",INDEX(CalcNoteB,$N519)),""))</f>
        <v/>
      </c>
      <c r="M519">
        <f>IFERROR(MATCH($C$5&amp;"|"&amp;RIGHT("000000"&amp;503,6),CalcRankKeyA,0),"")</f>
        <v/>
      </c>
      <c r="N519">
        <f>IFERROR(MATCH($C$5&amp;"|"&amp;RIGHT("000000"&amp;503,6),CalcRankKeyB,0),"")</f>
        <v/>
      </c>
    </row>
    <row r="520">
      <c r="A520" s="26" t="n">
        <v>504</v>
      </c>
      <c r="B520" s="27">
        <f>IF(AND($M520="",$N520=""),"",IF($M520&lt;&gt;"",INDEX(CalcDateA,$M520),INDEX(CalcDateB,$N520)))</f>
        <v/>
      </c>
      <c r="C520" s="27">
        <f>IF($M520&lt;&gt;"","خرید سبد",IF($N520&lt;&gt;"",IF(N(INDEX(CalcDepB,$N520))&gt;0,"دریافت بانکی","پرداخت بانکی"),""))</f>
        <v/>
      </c>
      <c r="D520" s="27">
        <f>IF($M520&lt;&gt;"",IF(INDEX(CalcDocA,$M520)="","—",INDEX(CalcDocA,$M520)),IF($N520&lt;&gt;"",INDEX(CalcBankB,$N520),""))</f>
        <v/>
      </c>
      <c r="E520" s="28">
        <f>IF($N520&lt;&gt;"",IF(INDEX(CalcDepB,$N520)=0,"",INDEX(CalcDepB,$N520)),"")</f>
        <v/>
      </c>
      <c r="F520" s="28">
        <f>IF($M520&lt;&gt;"",IF(INDEX(CalcQtyA,$M520)=0,"",INDEX(CalcQtyA,$M520)),"")</f>
        <v/>
      </c>
      <c r="G520" s="28">
        <f>IF($M520&lt;&gt;"",IF(INDEX(CalcPriceA,$M520)=0,"",INDEX(CalcPriceA,$M520)),"")</f>
        <v/>
      </c>
      <c r="H520" s="28">
        <f>IF($N520&lt;&gt;"",IF(INDEX(CalcWitB,$N520)=0,"",INDEX(CalcWitB,$N520)),"")</f>
        <v/>
      </c>
      <c r="I520" s="29">
        <f>IF($M520&lt;&gt;"",INDEX(CalcAmtA,$M520),"")</f>
        <v/>
      </c>
      <c r="J520" s="29">
        <f>IF($B520="","",IF($J519="",$C$8,$J519)+IF($I520="",0,$I520)+IF($E520="",0,$E520)-IF($H520="",0,$H520))</f>
        <v/>
      </c>
      <c r="K520" s="30">
        <f>IF($M520&lt;&gt;"",IF(INDEX(CalcNoteA,$M520)="","—",INDEX(CalcNoteA,$M520)),IF($N520&lt;&gt;"",IF(INDEX(CalcNoteB,$N520)="","—",INDEX(CalcNoteB,$N520)),""))</f>
        <v/>
      </c>
      <c r="M520">
        <f>IFERROR(MATCH($C$5&amp;"|"&amp;RIGHT("000000"&amp;504,6),CalcRankKeyA,0),"")</f>
        <v/>
      </c>
      <c r="N520">
        <f>IFERROR(MATCH($C$5&amp;"|"&amp;RIGHT("000000"&amp;504,6),CalcRankKeyB,0),"")</f>
        <v/>
      </c>
    </row>
    <row r="521">
      <c r="A521" s="21" t="n">
        <v>505</v>
      </c>
      <c r="B521" s="22">
        <f>IF(AND($M521="",$N521=""),"",IF($M521&lt;&gt;"",INDEX(CalcDateA,$M521),INDEX(CalcDateB,$N521)))</f>
        <v/>
      </c>
      <c r="C521" s="22">
        <f>IF($M521&lt;&gt;"","خرید سبد",IF($N521&lt;&gt;"",IF(N(INDEX(CalcDepB,$N521))&gt;0,"دریافت بانکی","پرداخت بانکی"),""))</f>
        <v/>
      </c>
      <c r="D521" s="22">
        <f>IF($M521&lt;&gt;"",IF(INDEX(CalcDocA,$M521)="","—",INDEX(CalcDocA,$M521)),IF($N521&lt;&gt;"",INDEX(CalcBankB,$N521),""))</f>
        <v/>
      </c>
      <c r="E521" s="23">
        <f>IF($N521&lt;&gt;"",IF(INDEX(CalcDepB,$N521)=0,"",INDEX(CalcDepB,$N521)),"")</f>
        <v/>
      </c>
      <c r="F521" s="23">
        <f>IF($M521&lt;&gt;"",IF(INDEX(CalcQtyA,$M521)=0,"",INDEX(CalcQtyA,$M521)),"")</f>
        <v/>
      </c>
      <c r="G521" s="23">
        <f>IF($M521&lt;&gt;"",IF(INDEX(CalcPriceA,$M521)=0,"",INDEX(CalcPriceA,$M521)),"")</f>
        <v/>
      </c>
      <c r="H521" s="23">
        <f>IF($N521&lt;&gt;"",IF(INDEX(CalcWitB,$N521)=0,"",INDEX(CalcWitB,$N521)),"")</f>
        <v/>
      </c>
      <c r="I521" s="24">
        <f>IF($M521&lt;&gt;"",INDEX(CalcAmtA,$M521),"")</f>
        <v/>
      </c>
      <c r="J521" s="24">
        <f>IF($B521="","",IF($J520="",$C$8,$J520)+IF($I521="",0,$I521)+IF($E521="",0,$E521)-IF($H521="",0,$H521))</f>
        <v/>
      </c>
      <c r="K521" s="25">
        <f>IF($M521&lt;&gt;"",IF(INDEX(CalcNoteA,$M521)="","—",INDEX(CalcNoteA,$M521)),IF($N521&lt;&gt;"",IF(INDEX(CalcNoteB,$N521)="","—",INDEX(CalcNoteB,$N521)),""))</f>
        <v/>
      </c>
      <c r="M521">
        <f>IFERROR(MATCH($C$5&amp;"|"&amp;RIGHT("000000"&amp;505,6),CalcRankKeyA,0),"")</f>
        <v/>
      </c>
      <c r="N521">
        <f>IFERROR(MATCH($C$5&amp;"|"&amp;RIGHT("000000"&amp;505,6),CalcRankKeyB,0),"")</f>
        <v/>
      </c>
    </row>
    <row r="522">
      <c r="A522" s="26" t="n">
        <v>506</v>
      </c>
      <c r="B522" s="27">
        <f>IF(AND($M522="",$N522=""),"",IF($M522&lt;&gt;"",INDEX(CalcDateA,$M522),INDEX(CalcDateB,$N522)))</f>
        <v/>
      </c>
      <c r="C522" s="27">
        <f>IF($M522&lt;&gt;"","خرید سبد",IF($N522&lt;&gt;"",IF(N(INDEX(CalcDepB,$N522))&gt;0,"دریافت بانکی","پرداخت بانکی"),""))</f>
        <v/>
      </c>
      <c r="D522" s="27">
        <f>IF($M522&lt;&gt;"",IF(INDEX(CalcDocA,$M522)="","—",INDEX(CalcDocA,$M522)),IF($N522&lt;&gt;"",INDEX(CalcBankB,$N522),""))</f>
        <v/>
      </c>
      <c r="E522" s="28">
        <f>IF($N522&lt;&gt;"",IF(INDEX(CalcDepB,$N522)=0,"",INDEX(CalcDepB,$N522)),"")</f>
        <v/>
      </c>
      <c r="F522" s="28">
        <f>IF($M522&lt;&gt;"",IF(INDEX(CalcQtyA,$M522)=0,"",INDEX(CalcQtyA,$M522)),"")</f>
        <v/>
      </c>
      <c r="G522" s="28">
        <f>IF($M522&lt;&gt;"",IF(INDEX(CalcPriceA,$M522)=0,"",INDEX(CalcPriceA,$M522)),"")</f>
        <v/>
      </c>
      <c r="H522" s="28">
        <f>IF($N522&lt;&gt;"",IF(INDEX(CalcWitB,$N522)=0,"",INDEX(CalcWitB,$N522)),"")</f>
        <v/>
      </c>
      <c r="I522" s="29">
        <f>IF($M522&lt;&gt;"",INDEX(CalcAmtA,$M522),"")</f>
        <v/>
      </c>
      <c r="J522" s="29">
        <f>IF($B522="","",IF($J521="",$C$8,$J521)+IF($I522="",0,$I522)+IF($E522="",0,$E522)-IF($H522="",0,$H522))</f>
        <v/>
      </c>
      <c r="K522" s="30">
        <f>IF($M522&lt;&gt;"",IF(INDEX(CalcNoteA,$M522)="","—",INDEX(CalcNoteA,$M522)),IF($N522&lt;&gt;"",IF(INDEX(CalcNoteB,$N522)="","—",INDEX(CalcNoteB,$N522)),""))</f>
        <v/>
      </c>
      <c r="M522">
        <f>IFERROR(MATCH($C$5&amp;"|"&amp;RIGHT("000000"&amp;506,6),CalcRankKeyA,0),"")</f>
        <v/>
      </c>
      <c r="N522">
        <f>IFERROR(MATCH($C$5&amp;"|"&amp;RIGHT("000000"&amp;506,6),CalcRankKeyB,0),"")</f>
        <v/>
      </c>
    </row>
    <row r="523">
      <c r="A523" s="21" t="n">
        <v>507</v>
      </c>
      <c r="B523" s="22">
        <f>IF(AND($M523="",$N523=""),"",IF($M523&lt;&gt;"",INDEX(CalcDateA,$M523),INDEX(CalcDateB,$N523)))</f>
        <v/>
      </c>
      <c r="C523" s="22">
        <f>IF($M523&lt;&gt;"","خرید سبد",IF($N523&lt;&gt;"",IF(N(INDEX(CalcDepB,$N523))&gt;0,"دریافت بانکی","پرداخت بانکی"),""))</f>
        <v/>
      </c>
      <c r="D523" s="22">
        <f>IF($M523&lt;&gt;"",IF(INDEX(CalcDocA,$M523)="","—",INDEX(CalcDocA,$M523)),IF($N523&lt;&gt;"",INDEX(CalcBankB,$N523),""))</f>
        <v/>
      </c>
      <c r="E523" s="23">
        <f>IF($N523&lt;&gt;"",IF(INDEX(CalcDepB,$N523)=0,"",INDEX(CalcDepB,$N523)),"")</f>
        <v/>
      </c>
      <c r="F523" s="23">
        <f>IF($M523&lt;&gt;"",IF(INDEX(CalcQtyA,$M523)=0,"",INDEX(CalcQtyA,$M523)),"")</f>
        <v/>
      </c>
      <c r="G523" s="23">
        <f>IF($M523&lt;&gt;"",IF(INDEX(CalcPriceA,$M523)=0,"",INDEX(CalcPriceA,$M523)),"")</f>
        <v/>
      </c>
      <c r="H523" s="23">
        <f>IF($N523&lt;&gt;"",IF(INDEX(CalcWitB,$N523)=0,"",INDEX(CalcWitB,$N523)),"")</f>
        <v/>
      </c>
      <c r="I523" s="24">
        <f>IF($M523&lt;&gt;"",INDEX(CalcAmtA,$M523),"")</f>
        <v/>
      </c>
      <c r="J523" s="24">
        <f>IF($B523="","",IF($J522="",$C$8,$J522)+IF($I523="",0,$I523)+IF($E523="",0,$E523)-IF($H523="",0,$H523))</f>
        <v/>
      </c>
      <c r="K523" s="25">
        <f>IF($M523&lt;&gt;"",IF(INDEX(CalcNoteA,$M523)="","—",INDEX(CalcNoteA,$M523)),IF($N523&lt;&gt;"",IF(INDEX(CalcNoteB,$N523)="","—",INDEX(CalcNoteB,$N523)),""))</f>
        <v/>
      </c>
      <c r="M523">
        <f>IFERROR(MATCH($C$5&amp;"|"&amp;RIGHT("000000"&amp;507,6),CalcRankKeyA,0),"")</f>
        <v/>
      </c>
      <c r="N523">
        <f>IFERROR(MATCH($C$5&amp;"|"&amp;RIGHT("000000"&amp;507,6),CalcRankKeyB,0),"")</f>
        <v/>
      </c>
    </row>
    <row r="524">
      <c r="A524" s="26" t="n">
        <v>508</v>
      </c>
      <c r="B524" s="27">
        <f>IF(AND($M524="",$N524=""),"",IF($M524&lt;&gt;"",INDEX(CalcDateA,$M524),INDEX(CalcDateB,$N524)))</f>
        <v/>
      </c>
      <c r="C524" s="27">
        <f>IF($M524&lt;&gt;"","خرید سبد",IF($N524&lt;&gt;"",IF(N(INDEX(CalcDepB,$N524))&gt;0,"دریافت بانکی","پرداخت بانکی"),""))</f>
        <v/>
      </c>
      <c r="D524" s="27">
        <f>IF($M524&lt;&gt;"",IF(INDEX(CalcDocA,$M524)="","—",INDEX(CalcDocA,$M524)),IF($N524&lt;&gt;"",INDEX(CalcBankB,$N524),""))</f>
        <v/>
      </c>
      <c r="E524" s="28">
        <f>IF($N524&lt;&gt;"",IF(INDEX(CalcDepB,$N524)=0,"",INDEX(CalcDepB,$N524)),"")</f>
        <v/>
      </c>
      <c r="F524" s="28">
        <f>IF($M524&lt;&gt;"",IF(INDEX(CalcQtyA,$M524)=0,"",INDEX(CalcQtyA,$M524)),"")</f>
        <v/>
      </c>
      <c r="G524" s="28">
        <f>IF($M524&lt;&gt;"",IF(INDEX(CalcPriceA,$M524)=0,"",INDEX(CalcPriceA,$M524)),"")</f>
        <v/>
      </c>
      <c r="H524" s="28">
        <f>IF($N524&lt;&gt;"",IF(INDEX(CalcWitB,$N524)=0,"",INDEX(CalcWitB,$N524)),"")</f>
        <v/>
      </c>
      <c r="I524" s="29">
        <f>IF($M524&lt;&gt;"",INDEX(CalcAmtA,$M524),"")</f>
        <v/>
      </c>
      <c r="J524" s="29">
        <f>IF($B524="","",IF($J523="",$C$8,$J523)+IF($I524="",0,$I524)+IF($E524="",0,$E524)-IF($H524="",0,$H524))</f>
        <v/>
      </c>
      <c r="K524" s="30">
        <f>IF($M524&lt;&gt;"",IF(INDEX(CalcNoteA,$M524)="","—",INDEX(CalcNoteA,$M524)),IF($N524&lt;&gt;"",IF(INDEX(CalcNoteB,$N524)="","—",INDEX(CalcNoteB,$N524)),""))</f>
        <v/>
      </c>
      <c r="M524">
        <f>IFERROR(MATCH($C$5&amp;"|"&amp;RIGHT("000000"&amp;508,6),CalcRankKeyA,0),"")</f>
        <v/>
      </c>
      <c r="N524">
        <f>IFERROR(MATCH($C$5&amp;"|"&amp;RIGHT("000000"&amp;508,6),CalcRankKeyB,0),"")</f>
        <v/>
      </c>
    </row>
    <row r="525">
      <c r="A525" s="21" t="n">
        <v>509</v>
      </c>
      <c r="B525" s="22">
        <f>IF(AND($M525="",$N525=""),"",IF($M525&lt;&gt;"",INDEX(CalcDateA,$M525),INDEX(CalcDateB,$N525)))</f>
        <v/>
      </c>
      <c r="C525" s="22">
        <f>IF($M525&lt;&gt;"","خرید سبد",IF($N525&lt;&gt;"",IF(N(INDEX(CalcDepB,$N525))&gt;0,"دریافت بانکی","پرداخت بانکی"),""))</f>
        <v/>
      </c>
      <c r="D525" s="22">
        <f>IF($M525&lt;&gt;"",IF(INDEX(CalcDocA,$M525)="","—",INDEX(CalcDocA,$M525)),IF($N525&lt;&gt;"",INDEX(CalcBankB,$N525),""))</f>
        <v/>
      </c>
      <c r="E525" s="23">
        <f>IF($N525&lt;&gt;"",IF(INDEX(CalcDepB,$N525)=0,"",INDEX(CalcDepB,$N525)),"")</f>
        <v/>
      </c>
      <c r="F525" s="23">
        <f>IF($M525&lt;&gt;"",IF(INDEX(CalcQtyA,$M525)=0,"",INDEX(CalcQtyA,$M525)),"")</f>
        <v/>
      </c>
      <c r="G525" s="23">
        <f>IF($M525&lt;&gt;"",IF(INDEX(CalcPriceA,$M525)=0,"",INDEX(CalcPriceA,$M525)),"")</f>
        <v/>
      </c>
      <c r="H525" s="23">
        <f>IF($N525&lt;&gt;"",IF(INDEX(CalcWitB,$N525)=0,"",INDEX(CalcWitB,$N525)),"")</f>
        <v/>
      </c>
      <c r="I525" s="24">
        <f>IF($M525&lt;&gt;"",INDEX(CalcAmtA,$M525),"")</f>
        <v/>
      </c>
      <c r="J525" s="24">
        <f>IF($B525="","",IF($J524="",$C$8,$J524)+IF($I525="",0,$I525)+IF($E525="",0,$E525)-IF($H525="",0,$H525))</f>
        <v/>
      </c>
      <c r="K525" s="25">
        <f>IF($M525&lt;&gt;"",IF(INDEX(CalcNoteA,$M525)="","—",INDEX(CalcNoteA,$M525)),IF($N525&lt;&gt;"",IF(INDEX(CalcNoteB,$N525)="","—",INDEX(CalcNoteB,$N525)),""))</f>
        <v/>
      </c>
      <c r="M525">
        <f>IFERROR(MATCH($C$5&amp;"|"&amp;RIGHT("000000"&amp;509,6),CalcRankKeyA,0),"")</f>
        <v/>
      </c>
      <c r="N525">
        <f>IFERROR(MATCH($C$5&amp;"|"&amp;RIGHT("000000"&amp;509,6),CalcRankKeyB,0),"")</f>
        <v/>
      </c>
    </row>
    <row r="526">
      <c r="A526" s="26" t="n">
        <v>510</v>
      </c>
      <c r="B526" s="27">
        <f>IF(AND($M526="",$N526=""),"",IF($M526&lt;&gt;"",INDEX(CalcDateA,$M526),INDEX(CalcDateB,$N526)))</f>
        <v/>
      </c>
      <c r="C526" s="27">
        <f>IF($M526&lt;&gt;"","خرید سبد",IF($N526&lt;&gt;"",IF(N(INDEX(CalcDepB,$N526))&gt;0,"دریافت بانکی","پرداخت بانکی"),""))</f>
        <v/>
      </c>
      <c r="D526" s="27">
        <f>IF($M526&lt;&gt;"",IF(INDEX(CalcDocA,$M526)="","—",INDEX(CalcDocA,$M526)),IF($N526&lt;&gt;"",INDEX(CalcBankB,$N526),""))</f>
        <v/>
      </c>
      <c r="E526" s="28">
        <f>IF($N526&lt;&gt;"",IF(INDEX(CalcDepB,$N526)=0,"",INDEX(CalcDepB,$N526)),"")</f>
        <v/>
      </c>
      <c r="F526" s="28">
        <f>IF($M526&lt;&gt;"",IF(INDEX(CalcQtyA,$M526)=0,"",INDEX(CalcQtyA,$M526)),"")</f>
        <v/>
      </c>
      <c r="G526" s="28">
        <f>IF($M526&lt;&gt;"",IF(INDEX(CalcPriceA,$M526)=0,"",INDEX(CalcPriceA,$M526)),"")</f>
        <v/>
      </c>
      <c r="H526" s="28">
        <f>IF($N526&lt;&gt;"",IF(INDEX(CalcWitB,$N526)=0,"",INDEX(CalcWitB,$N526)),"")</f>
        <v/>
      </c>
      <c r="I526" s="29">
        <f>IF($M526&lt;&gt;"",INDEX(CalcAmtA,$M526),"")</f>
        <v/>
      </c>
      <c r="J526" s="29">
        <f>IF($B526="","",IF($J525="",$C$8,$J525)+IF($I526="",0,$I526)+IF($E526="",0,$E526)-IF($H526="",0,$H526))</f>
        <v/>
      </c>
      <c r="K526" s="30">
        <f>IF($M526&lt;&gt;"",IF(INDEX(CalcNoteA,$M526)="","—",INDEX(CalcNoteA,$M526)),IF($N526&lt;&gt;"",IF(INDEX(CalcNoteB,$N526)="","—",INDEX(CalcNoteB,$N526)),""))</f>
        <v/>
      </c>
      <c r="M526">
        <f>IFERROR(MATCH($C$5&amp;"|"&amp;RIGHT("000000"&amp;510,6),CalcRankKeyA,0),"")</f>
        <v/>
      </c>
      <c r="N526">
        <f>IFERROR(MATCH($C$5&amp;"|"&amp;RIGHT("000000"&amp;510,6),CalcRankKeyB,0),"")</f>
        <v/>
      </c>
    </row>
    <row r="527">
      <c r="A527" s="21" t="n">
        <v>511</v>
      </c>
      <c r="B527" s="22">
        <f>IF(AND($M527="",$N527=""),"",IF($M527&lt;&gt;"",INDEX(CalcDateA,$M527),INDEX(CalcDateB,$N527)))</f>
        <v/>
      </c>
      <c r="C527" s="22">
        <f>IF($M527&lt;&gt;"","خرید سبد",IF($N527&lt;&gt;"",IF(N(INDEX(CalcDepB,$N527))&gt;0,"دریافت بانکی","پرداخت بانکی"),""))</f>
        <v/>
      </c>
      <c r="D527" s="22">
        <f>IF($M527&lt;&gt;"",IF(INDEX(CalcDocA,$M527)="","—",INDEX(CalcDocA,$M527)),IF($N527&lt;&gt;"",INDEX(CalcBankB,$N527),""))</f>
        <v/>
      </c>
      <c r="E527" s="23">
        <f>IF($N527&lt;&gt;"",IF(INDEX(CalcDepB,$N527)=0,"",INDEX(CalcDepB,$N527)),"")</f>
        <v/>
      </c>
      <c r="F527" s="23">
        <f>IF($M527&lt;&gt;"",IF(INDEX(CalcQtyA,$M527)=0,"",INDEX(CalcQtyA,$M527)),"")</f>
        <v/>
      </c>
      <c r="G527" s="23">
        <f>IF($M527&lt;&gt;"",IF(INDEX(CalcPriceA,$M527)=0,"",INDEX(CalcPriceA,$M527)),"")</f>
        <v/>
      </c>
      <c r="H527" s="23">
        <f>IF($N527&lt;&gt;"",IF(INDEX(CalcWitB,$N527)=0,"",INDEX(CalcWitB,$N527)),"")</f>
        <v/>
      </c>
      <c r="I527" s="24">
        <f>IF($M527&lt;&gt;"",INDEX(CalcAmtA,$M527),"")</f>
        <v/>
      </c>
      <c r="J527" s="24">
        <f>IF($B527="","",IF($J526="",$C$8,$J526)+IF($I527="",0,$I527)+IF($E527="",0,$E527)-IF($H527="",0,$H527))</f>
        <v/>
      </c>
      <c r="K527" s="25">
        <f>IF($M527&lt;&gt;"",IF(INDEX(CalcNoteA,$M527)="","—",INDEX(CalcNoteA,$M527)),IF($N527&lt;&gt;"",IF(INDEX(CalcNoteB,$N527)="","—",INDEX(CalcNoteB,$N527)),""))</f>
        <v/>
      </c>
      <c r="M527">
        <f>IFERROR(MATCH($C$5&amp;"|"&amp;RIGHT("000000"&amp;511,6),CalcRankKeyA,0),"")</f>
        <v/>
      </c>
      <c r="N527">
        <f>IFERROR(MATCH($C$5&amp;"|"&amp;RIGHT("000000"&amp;511,6),CalcRankKeyB,0),"")</f>
        <v/>
      </c>
    </row>
    <row r="528">
      <c r="A528" s="26" t="n">
        <v>512</v>
      </c>
      <c r="B528" s="27">
        <f>IF(AND($M528="",$N528=""),"",IF($M528&lt;&gt;"",INDEX(CalcDateA,$M528),INDEX(CalcDateB,$N528)))</f>
        <v/>
      </c>
      <c r="C528" s="27">
        <f>IF($M528&lt;&gt;"","خرید سبد",IF($N528&lt;&gt;"",IF(N(INDEX(CalcDepB,$N528))&gt;0,"دریافت بانکی","پرداخت بانکی"),""))</f>
        <v/>
      </c>
      <c r="D528" s="27">
        <f>IF($M528&lt;&gt;"",IF(INDEX(CalcDocA,$M528)="","—",INDEX(CalcDocA,$M528)),IF($N528&lt;&gt;"",INDEX(CalcBankB,$N528),""))</f>
        <v/>
      </c>
      <c r="E528" s="28">
        <f>IF($N528&lt;&gt;"",IF(INDEX(CalcDepB,$N528)=0,"",INDEX(CalcDepB,$N528)),"")</f>
        <v/>
      </c>
      <c r="F528" s="28">
        <f>IF($M528&lt;&gt;"",IF(INDEX(CalcQtyA,$M528)=0,"",INDEX(CalcQtyA,$M528)),"")</f>
        <v/>
      </c>
      <c r="G528" s="28">
        <f>IF($M528&lt;&gt;"",IF(INDEX(CalcPriceA,$M528)=0,"",INDEX(CalcPriceA,$M528)),"")</f>
        <v/>
      </c>
      <c r="H528" s="28">
        <f>IF($N528&lt;&gt;"",IF(INDEX(CalcWitB,$N528)=0,"",INDEX(CalcWitB,$N528)),"")</f>
        <v/>
      </c>
      <c r="I528" s="29">
        <f>IF($M528&lt;&gt;"",INDEX(CalcAmtA,$M528),"")</f>
        <v/>
      </c>
      <c r="J528" s="29">
        <f>IF($B528="","",IF($J527="",$C$8,$J527)+IF($I528="",0,$I528)+IF($E528="",0,$E528)-IF($H528="",0,$H528))</f>
        <v/>
      </c>
      <c r="K528" s="30">
        <f>IF($M528&lt;&gt;"",IF(INDEX(CalcNoteA,$M528)="","—",INDEX(CalcNoteA,$M528)),IF($N528&lt;&gt;"",IF(INDEX(CalcNoteB,$N528)="","—",INDEX(CalcNoteB,$N528)),""))</f>
        <v/>
      </c>
      <c r="M528">
        <f>IFERROR(MATCH($C$5&amp;"|"&amp;RIGHT("000000"&amp;512,6),CalcRankKeyA,0),"")</f>
        <v/>
      </c>
      <c r="N528">
        <f>IFERROR(MATCH($C$5&amp;"|"&amp;RIGHT("000000"&amp;512,6),CalcRankKeyB,0),"")</f>
        <v/>
      </c>
    </row>
    <row r="529">
      <c r="A529" s="21" t="n">
        <v>513</v>
      </c>
      <c r="B529" s="22">
        <f>IF(AND($M529="",$N529=""),"",IF($M529&lt;&gt;"",INDEX(CalcDateA,$M529),INDEX(CalcDateB,$N529)))</f>
        <v/>
      </c>
      <c r="C529" s="22">
        <f>IF($M529&lt;&gt;"","خرید سبد",IF($N529&lt;&gt;"",IF(N(INDEX(CalcDepB,$N529))&gt;0,"دریافت بانکی","پرداخت بانکی"),""))</f>
        <v/>
      </c>
      <c r="D529" s="22">
        <f>IF($M529&lt;&gt;"",IF(INDEX(CalcDocA,$M529)="","—",INDEX(CalcDocA,$M529)),IF($N529&lt;&gt;"",INDEX(CalcBankB,$N529),""))</f>
        <v/>
      </c>
      <c r="E529" s="23">
        <f>IF($N529&lt;&gt;"",IF(INDEX(CalcDepB,$N529)=0,"",INDEX(CalcDepB,$N529)),"")</f>
        <v/>
      </c>
      <c r="F529" s="23">
        <f>IF($M529&lt;&gt;"",IF(INDEX(CalcQtyA,$M529)=0,"",INDEX(CalcQtyA,$M529)),"")</f>
        <v/>
      </c>
      <c r="G529" s="23">
        <f>IF($M529&lt;&gt;"",IF(INDEX(CalcPriceA,$M529)=0,"",INDEX(CalcPriceA,$M529)),"")</f>
        <v/>
      </c>
      <c r="H529" s="23">
        <f>IF($N529&lt;&gt;"",IF(INDEX(CalcWitB,$N529)=0,"",INDEX(CalcWitB,$N529)),"")</f>
        <v/>
      </c>
      <c r="I529" s="24">
        <f>IF($M529&lt;&gt;"",INDEX(CalcAmtA,$M529),"")</f>
        <v/>
      </c>
      <c r="J529" s="24">
        <f>IF($B529="","",IF($J528="",$C$8,$J528)+IF($I529="",0,$I529)+IF($E529="",0,$E529)-IF($H529="",0,$H529))</f>
        <v/>
      </c>
      <c r="K529" s="25">
        <f>IF($M529&lt;&gt;"",IF(INDEX(CalcNoteA,$M529)="","—",INDEX(CalcNoteA,$M529)),IF($N529&lt;&gt;"",IF(INDEX(CalcNoteB,$N529)="","—",INDEX(CalcNoteB,$N529)),""))</f>
        <v/>
      </c>
      <c r="M529">
        <f>IFERROR(MATCH($C$5&amp;"|"&amp;RIGHT("000000"&amp;513,6),CalcRankKeyA,0),"")</f>
        <v/>
      </c>
      <c r="N529">
        <f>IFERROR(MATCH($C$5&amp;"|"&amp;RIGHT("000000"&amp;513,6),CalcRankKeyB,0),"")</f>
        <v/>
      </c>
    </row>
    <row r="530">
      <c r="A530" s="26" t="n">
        <v>514</v>
      </c>
      <c r="B530" s="27">
        <f>IF(AND($M530="",$N530=""),"",IF($M530&lt;&gt;"",INDEX(CalcDateA,$M530),INDEX(CalcDateB,$N530)))</f>
        <v/>
      </c>
      <c r="C530" s="27">
        <f>IF($M530&lt;&gt;"","خرید سبد",IF($N530&lt;&gt;"",IF(N(INDEX(CalcDepB,$N530))&gt;0,"دریافت بانکی","پرداخت بانکی"),""))</f>
        <v/>
      </c>
      <c r="D530" s="27">
        <f>IF($M530&lt;&gt;"",IF(INDEX(CalcDocA,$M530)="","—",INDEX(CalcDocA,$M530)),IF($N530&lt;&gt;"",INDEX(CalcBankB,$N530),""))</f>
        <v/>
      </c>
      <c r="E530" s="28">
        <f>IF($N530&lt;&gt;"",IF(INDEX(CalcDepB,$N530)=0,"",INDEX(CalcDepB,$N530)),"")</f>
        <v/>
      </c>
      <c r="F530" s="28">
        <f>IF($M530&lt;&gt;"",IF(INDEX(CalcQtyA,$M530)=0,"",INDEX(CalcQtyA,$M530)),"")</f>
        <v/>
      </c>
      <c r="G530" s="28">
        <f>IF($M530&lt;&gt;"",IF(INDEX(CalcPriceA,$M530)=0,"",INDEX(CalcPriceA,$M530)),"")</f>
        <v/>
      </c>
      <c r="H530" s="28">
        <f>IF($N530&lt;&gt;"",IF(INDEX(CalcWitB,$N530)=0,"",INDEX(CalcWitB,$N530)),"")</f>
        <v/>
      </c>
      <c r="I530" s="29">
        <f>IF($M530&lt;&gt;"",INDEX(CalcAmtA,$M530),"")</f>
        <v/>
      </c>
      <c r="J530" s="29">
        <f>IF($B530="","",IF($J529="",$C$8,$J529)+IF($I530="",0,$I530)+IF($E530="",0,$E530)-IF($H530="",0,$H530))</f>
        <v/>
      </c>
      <c r="K530" s="30">
        <f>IF($M530&lt;&gt;"",IF(INDEX(CalcNoteA,$M530)="","—",INDEX(CalcNoteA,$M530)),IF($N530&lt;&gt;"",IF(INDEX(CalcNoteB,$N530)="","—",INDEX(CalcNoteB,$N530)),""))</f>
        <v/>
      </c>
      <c r="M530">
        <f>IFERROR(MATCH($C$5&amp;"|"&amp;RIGHT("000000"&amp;514,6),CalcRankKeyA,0),"")</f>
        <v/>
      </c>
      <c r="N530">
        <f>IFERROR(MATCH($C$5&amp;"|"&amp;RIGHT("000000"&amp;514,6),CalcRankKeyB,0),"")</f>
        <v/>
      </c>
    </row>
    <row r="531">
      <c r="A531" s="21" t="n">
        <v>515</v>
      </c>
      <c r="B531" s="22">
        <f>IF(AND($M531="",$N531=""),"",IF($M531&lt;&gt;"",INDEX(CalcDateA,$M531),INDEX(CalcDateB,$N531)))</f>
        <v/>
      </c>
      <c r="C531" s="22">
        <f>IF($M531&lt;&gt;"","خرید سبد",IF($N531&lt;&gt;"",IF(N(INDEX(CalcDepB,$N531))&gt;0,"دریافت بانکی","پرداخت بانکی"),""))</f>
        <v/>
      </c>
      <c r="D531" s="22">
        <f>IF($M531&lt;&gt;"",IF(INDEX(CalcDocA,$M531)="","—",INDEX(CalcDocA,$M531)),IF($N531&lt;&gt;"",INDEX(CalcBankB,$N531),""))</f>
        <v/>
      </c>
      <c r="E531" s="23">
        <f>IF($N531&lt;&gt;"",IF(INDEX(CalcDepB,$N531)=0,"",INDEX(CalcDepB,$N531)),"")</f>
        <v/>
      </c>
      <c r="F531" s="23">
        <f>IF($M531&lt;&gt;"",IF(INDEX(CalcQtyA,$M531)=0,"",INDEX(CalcQtyA,$M531)),"")</f>
        <v/>
      </c>
      <c r="G531" s="23">
        <f>IF($M531&lt;&gt;"",IF(INDEX(CalcPriceA,$M531)=0,"",INDEX(CalcPriceA,$M531)),"")</f>
        <v/>
      </c>
      <c r="H531" s="23">
        <f>IF($N531&lt;&gt;"",IF(INDEX(CalcWitB,$N531)=0,"",INDEX(CalcWitB,$N531)),"")</f>
        <v/>
      </c>
      <c r="I531" s="24">
        <f>IF($M531&lt;&gt;"",INDEX(CalcAmtA,$M531),"")</f>
        <v/>
      </c>
      <c r="J531" s="24">
        <f>IF($B531="","",IF($J530="",$C$8,$J530)+IF($I531="",0,$I531)+IF($E531="",0,$E531)-IF($H531="",0,$H531))</f>
        <v/>
      </c>
      <c r="K531" s="25">
        <f>IF($M531&lt;&gt;"",IF(INDEX(CalcNoteA,$M531)="","—",INDEX(CalcNoteA,$M531)),IF($N531&lt;&gt;"",IF(INDEX(CalcNoteB,$N531)="","—",INDEX(CalcNoteB,$N531)),""))</f>
        <v/>
      </c>
      <c r="M531">
        <f>IFERROR(MATCH($C$5&amp;"|"&amp;RIGHT("000000"&amp;515,6),CalcRankKeyA,0),"")</f>
        <v/>
      </c>
      <c r="N531">
        <f>IFERROR(MATCH($C$5&amp;"|"&amp;RIGHT("000000"&amp;515,6),CalcRankKeyB,0),"")</f>
        <v/>
      </c>
    </row>
    <row r="532">
      <c r="A532" s="26" t="n">
        <v>516</v>
      </c>
      <c r="B532" s="27">
        <f>IF(AND($M532="",$N532=""),"",IF($M532&lt;&gt;"",INDEX(CalcDateA,$M532),INDEX(CalcDateB,$N532)))</f>
        <v/>
      </c>
      <c r="C532" s="27">
        <f>IF($M532&lt;&gt;"","خرید سبد",IF($N532&lt;&gt;"",IF(N(INDEX(CalcDepB,$N532))&gt;0,"دریافت بانکی","پرداخت بانکی"),""))</f>
        <v/>
      </c>
      <c r="D532" s="27">
        <f>IF($M532&lt;&gt;"",IF(INDEX(CalcDocA,$M532)="","—",INDEX(CalcDocA,$M532)),IF($N532&lt;&gt;"",INDEX(CalcBankB,$N532),""))</f>
        <v/>
      </c>
      <c r="E532" s="28">
        <f>IF($N532&lt;&gt;"",IF(INDEX(CalcDepB,$N532)=0,"",INDEX(CalcDepB,$N532)),"")</f>
        <v/>
      </c>
      <c r="F532" s="28">
        <f>IF($M532&lt;&gt;"",IF(INDEX(CalcQtyA,$M532)=0,"",INDEX(CalcQtyA,$M532)),"")</f>
        <v/>
      </c>
      <c r="G532" s="28">
        <f>IF($M532&lt;&gt;"",IF(INDEX(CalcPriceA,$M532)=0,"",INDEX(CalcPriceA,$M532)),"")</f>
        <v/>
      </c>
      <c r="H532" s="28">
        <f>IF($N532&lt;&gt;"",IF(INDEX(CalcWitB,$N532)=0,"",INDEX(CalcWitB,$N532)),"")</f>
        <v/>
      </c>
      <c r="I532" s="29">
        <f>IF($M532&lt;&gt;"",INDEX(CalcAmtA,$M532),"")</f>
        <v/>
      </c>
      <c r="J532" s="29">
        <f>IF($B532="","",IF($J531="",$C$8,$J531)+IF($I532="",0,$I532)+IF($E532="",0,$E532)-IF($H532="",0,$H532))</f>
        <v/>
      </c>
      <c r="K532" s="30">
        <f>IF($M532&lt;&gt;"",IF(INDEX(CalcNoteA,$M532)="","—",INDEX(CalcNoteA,$M532)),IF($N532&lt;&gt;"",IF(INDEX(CalcNoteB,$N532)="","—",INDEX(CalcNoteB,$N532)),""))</f>
        <v/>
      </c>
      <c r="M532">
        <f>IFERROR(MATCH($C$5&amp;"|"&amp;RIGHT("000000"&amp;516,6),CalcRankKeyA,0),"")</f>
        <v/>
      </c>
      <c r="N532">
        <f>IFERROR(MATCH($C$5&amp;"|"&amp;RIGHT("000000"&amp;516,6),CalcRankKeyB,0),"")</f>
        <v/>
      </c>
    </row>
    <row r="533">
      <c r="A533" s="21" t="n">
        <v>517</v>
      </c>
      <c r="B533" s="22">
        <f>IF(AND($M533="",$N533=""),"",IF($M533&lt;&gt;"",INDEX(CalcDateA,$M533),INDEX(CalcDateB,$N533)))</f>
        <v/>
      </c>
      <c r="C533" s="22">
        <f>IF($M533&lt;&gt;"","خرید سبد",IF($N533&lt;&gt;"",IF(N(INDEX(CalcDepB,$N533))&gt;0,"دریافت بانکی","پرداخت بانکی"),""))</f>
        <v/>
      </c>
      <c r="D533" s="22">
        <f>IF($M533&lt;&gt;"",IF(INDEX(CalcDocA,$M533)="","—",INDEX(CalcDocA,$M533)),IF($N533&lt;&gt;"",INDEX(CalcBankB,$N533),""))</f>
        <v/>
      </c>
      <c r="E533" s="23">
        <f>IF($N533&lt;&gt;"",IF(INDEX(CalcDepB,$N533)=0,"",INDEX(CalcDepB,$N533)),"")</f>
        <v/>
      </c>
      <c r="F533" s="23">
        <f>IF($M533&lt;&gt;"",IF(INDEX(CalcQtyA,$M533)=0,"",INDEX(CalcQtyA,$M533)),"")</f>
        <v/>
      </c>
      <c r="G533" s="23">
        <f>IF($M533&lt;&gt;"",IF(INDEX(CalcPriceA,$M533)=0,"",INDEX(CalcPriceA,$M533)),"")</f>
        <v/>
      </c>
      <c r="H533" s="23">
        <f>IF($N533&lt;&gt;"",IF(INDEX(CalcWitB,$N533)=0,"",INDEX(CalcWitB,$N533)),"")</f>
        <v/>
      </c>
      <c r="I533" s="24">
        <f>IF($M533&lt;&gt;"",INDEX(CalcAmtA,$M533),"")</f>
        <v/>
      </c>
      <c r="J533" s="24">
        <f>IF($B533="","",IF($J532="",$C$8,$J532)+IF($I533="",0,$I533)+IF($E533="",0,$E533)-IF($H533="",0,$H533))</f>
        <v/>
      </c>
      <c r="K533" s="25">
        <f>IF($M533&lt;&gt;"",IF(INDEX(CalcNoteA,$M533)="","—",INDEX(CalcNoteA,$M533)),IF($N533&lt;&gt;"",IF(INDEX(CalcNoteB,$N533)="","—",INDEX(CalcNoteB,$N533)),""))</f>
        <v/>
      </c>
      <c r="M533">
        <f>IFERROR(MATCH($C$5&amp;"|"&amp;RIGHT("000000"&amp;517,6),CalcRankKeyA,0),"")</f>
        <v/>
      </c>
      <c r="N533">
        <f>IFERROR(MATCH($C$5&amp;"|"&amp;RIGHT("000000"&amp;517,6),CalcRankKeyB,0),"")</f>
        <v/>
      </c>
    </row>
    <row r="534">
      <c r="A534" s="26" t="n">
        <v>518</v>
      </c>
      <c r="B534" s="27">
        <f>IF(AND($M534="",$N534=""),"",IF($M534&lt;&gt;"",INDEX(CalcDateA,$M534),INDEX(CalcDateB,$N534)))</f>
        <v/>
      </c>
      <c r="C534" s="27">
        <f>IF($M534&lt;&gt;"","خرید سبد",IF($N534&lt;&gt;"",IF(N(INDEX(CalcDepB,$N534))&gt;0,"دریافت بانکی","پرداخت بانکی"),""))</f>
        <v/>
      </c>
      <c r="D534" s="27">
        <f>IF($M534&lt;&gt;"",IF(INDEX(CalcDocA,$M534)="","—",INDEX(CalcDocA,$M534)),IF($N534&lt;&gt;"",INDEX(CalcBankB,$N534),""))</f>
        <v/>
      </c>
      <c r="E534" s="28">
        <f>IF($N534&lt;&gt;"",IF(INDEX(CalcDepB,$N534)=0,"",INDEX(CalcDepB,$N534)),"")</f>
        <v/>
      </c>
      <c r="F534" s="28">
        <f>IF($M534&lt;&gt;"",IF(INDEX(CalcQtyA,$M534)=0,"",INDEX(CalcQtyA,$M534)),"")</f>
        <v/>
      </c>
      <c r="G534" s="28">
        <f>IF($M534&lt;&gt;"",IF(INDEX(CalcPriceA,$M534)=0,"",INDEX(CalcPriceA,$M534)),"")</f>
        <v/>
      </c>
      <c r="H534" s="28">
        <f>IF($N534&lt;&gt;"",IF(INDEX(CalcWitB,$N534)=0,"",INDEX(CalcWitB,$N534)),"")</f>
        <v/>
      </c>
      <c r="I534" s="29">
        <f>IF($M534&lt;&gt;"",INDEX(CalcAmtA,$M534),"")</f>
        <v/>
      </c>
      <c r="J534" s="29">
        <f>IF($B534="","",IF($J533="",$C$8,$J533)+IF($I534="",0,$I534)+IF($E534="",0,$E534)-IF($H534="",0,$H534))</f>
        <v/>
      </c>
      <c r="K534" s="30">
        <f>IF($M534&lt;&gt;"",IF(INDEX(CalcNoteA,$M534)="","—",INDEX(CalcNoteA,$M534)),IF($N534&lt;&gt;"",IF(INDEX(CalcNoteB,$N534)="","—",INDEX(CalcNoteB,$N534)),""))</f>
        <v/>
      </c>
      <c r="M534">
        <f>IFERROR(MATCH($C$5&amp;"|"&amp;RIGHT("000000"&amp;518,6),CalcRankKeyA,0),"")</f>
        <v/>
      </c>
      <c r="N534">
        <f>IFERROR(MATCH($C$5&amp;"|"&amp;RIGHT("000000"&amp;518,6),CalcRankKeyB,0),"")</f>
        <v/>
      </c>
    </row>
    <row r="535">
      <c r="A535" s="21" t="n">
        <v>519</v>
      </c>
      <c r="B535" s="22">
        <f>IF(AND($M535="",$N535=""),"",IF($M535&lt;&gt;"",INDEX(CalcDateA,$M535),INDEX(CalcDateB,$N535)))</f>
        <v/>
      </c>
      <c r="C535" s="22">
        <f>IF($M535&lt;&gt;"","خرید سبد",IF($N535&lt;&gt;"",IF(N(INDEX(CalcDepB,$N535))&gt;0,"دریافت بانکی","پرداخت بانکی"),""))</f>
        <v/>
      </c>
      <c r="D535" s="22">
        <f>IF($M535&lt;&gt;"",IF(INDEX(CalcDocA,$M535)="","—",INDEX(CalcDocA,$M535)),IF($N535&lt;&gt;"",INDEX(CalcBankB,$N535),""))</f>
        <v/>
      </c>
      <c r="E535" s="23">
        <f>IF($N535&lt;&gt;"",IF(INDEX(CalcDepB,$N535)=0,"",INDEX(CalcDepB,$N535)),"")</f>
        <v/>
      </c>
      <c r="F535" s="23">
        <f>IF($M535&lt;&gt;"",IF(INDEX(CalcQtyA,$M535)=0,"",INDEX(CalcQtyA,$M535)),"")</f>
        <v/>
      </c>
      <c r="G535" s="23">
        <f>IF($M535&lt;&gt;"",IF(INDEX(CalcPriceA,$M535)=0,"",INDEX(CalcPriceA,$M535)),"")</f>
        <v/>
      </c>
      <c r="H535" s="23">
        <f>IF($N535&lt;&gt;"",IF(INDEX(CalcWitB,$N535)=0,"",INDEX(CalcWitB,$N535)),"")</f>
        <v/>
      </c>
      <c r="I535" s="24">
        <f>IF($M535&lt;&gt;"",INDEX(CalcAmtA,$M535),"")</f>
        <v/>
      </c>
      <c r="J535" s="24">
        <f>IF($B535="","",IF($J534="",$C$8,$J534)+IF($I535="",0,$I535)+IF($E535="",0,$E535)-IF($H535="",0,$H535))</f>
        <v/>
      </c>
      <c r="K535" s="25">
        <f>IF($M535&lt;&gt;"",IF(INDEX(CalcNoteA,$M535)="","—",INDEX(CalcNoteA,$M535)),IF($N535&lt;&gt;"",IF(INDEX(CalcNoteB,$N535)="","—",INDEX(CalcNoteB,$N535)),""))</f>
        <v/>
      </c>
      <c r="M535">
        <f>IFERROR(MATCH($C$5&amp;"|"&amp;RIGHT("000000"&amp;519,6),CalcRankKeyA,0),"")</f>
        <v/>
      </c>
      <c r="N535">
        <f>IFERROR(MATCH($C$5&amp;"|"&amp;RIGHT("000000"&amp;519,6),CalcRankKeyB,0),"")</f>
        <v/>
      </c>
    </row>
    <row r="536">
      <c r="A536" s="26" t="n">
        <v>520</v>
      </c>
      <c r="B536" s="27">
        <f>IF(AND($M536="",$N536=""),"",IF($M536&lt;&gt;"",INDEX(CalcDateA,$M536),INDEX(CalcDateB,$N536)))</f>
        <v/>
      </c>
      <c r="C536" s="27">
        <f>IF($M536&lt;&gt;"","خرید سبد",IF($N536&lt;&gt;"",IF(N(INDEX(CalcDepB,$N536))&gt;0,"دریافت بانکی","پرداخت بانکی"),""))</f>
        <v/>
      </c>
      <c r="D536" s="27">
        <f>IF($M536&lt;&gt;"",IF(INDEX(CalcDocA,$M536)="","—",INDEX(CalcDocA,$M536)),IF($N536&lt;&gt;"",INDEX(CalcBankB,$N536),""))</f>
        <v/>
      </c>
      <c r="E536" s="28">
        <f>IF($N536&lt;&gt;"",IF(INDEX(CalcDepB,$N536)=0,"",INDEX(CalcDepB,$N536)),"")</f>
        <v/>
      </c>
      <c r="F536" s="28">
        <f>IF($M536&lt;&gt;"",IF(INDEX(CalcQtyA,$M536)=0,"",INDEX(CalcQtyA,$M536)),"")</f>
        <v/>
      </c>
      <c r="G536" s="28">
        <f>IF($M536&lt;&gt;"",IF(INDEX(CalcPriceA,$M536)=0,"",INDEX(CalcPriceA,$M536)),"")</f>
        <v/>
      </c>
      <c r="H536" s="28">
        <f>IF($N536&lt;&gt;"",IF(INDEX(CalcWitB,$N536)=0,"",INDEX(CalcWitB,$N536)),"")</f>
        <v/>
      </c>
      <c r="I536" s="29">
        <f>IF($M536&lt;&gt;"",INDEX(CalcAmtA,$M536),"")</f>
        <v/>
      </c>
      <c r="J536" s="29">
        <f>IF($B536="","",IF($J535="",$C$8,$J535)+IF($I536="",0,$I536)+IF($E536="",0,$E536)-IF($H536="",0,$H536))</f>
        <v/>
      </c>
      <c r="K536" s="30">
        <f>IF($M536&lt;&gt;"",IF(INDEX(CalcNoteA,$M536)="","—",INDEX(CalcNoteA,$M536)),IF($N536&lt;&gt;"",IF(INDEX(CalcNoteB,$N536)="","—",INDEX(CalcNoteB,$N536)),""))</f>
        <v/>
      </c>
      <c r="M536">
        <f>IFERROR(MATCH($C$5&amp;"|"&amp;RIGHT("000000"&amp;520,6),CalcRankKeyA,0),"")</f>
        <v/>
      </c>
      <c r="N536">
        <f>IFERROR(MATCH($C$5&amp;"|"&amp;RIGHT("000000"&amp;520,6),CalcRankKeyB,0),"")</f>
        <v/>
      </c>
    </row>
    <row r="537">
      <c r="A537" s="21" t="n">
        <v>521</v>
      </c>
      <c r="B537" s="22">
        <f>IF(AND($M537="",$N537=""),"",IF($M537&lt;&gt;"",INDEX(CalcDateA,$M537),INDEX(CalcDateB,$N537)))</f>
        <v/>
      </c>
      <c r="C537" s="22">
        <f>IF($M537&lt;&gt;"","خرید سبد",IF($N537&lt;&gt;"",IF(N(INDEX(CalcDepB,$N537))&gt;0,"دریافت بانکی","پرداخت بانکی"),""))</f>
        <v/>
      </c>
      <c r="D537" s="22">
        <f>IF($M537&lt;&gt;"",IF(INDEX(CalcDocA,$M537)="","—",INDEX(CalcDocA,$M537)),IF($N537&lt;&gt;"",INDEX(CalcBankB,$N537),""))</f>
        <v/>
      </c>
      <c r="E537" s="23">
        <f>IF($N537&lt;&gt;"",IF(INDEX(CalcDepB,$N537)=0,"",INDEX(CalcDepB,$N537)),"")</f>
        <v/>
      </c>
      <c r="F537" s="23">
        <f>IF($M537&lt;&gt;"",IF(INDEX(CalcQtyA,$M537)=0,"",INDEX(CalcQtyA,$M537)),"")</f>
        <v/>
      </c>
      <c r="G537" s="23">
        <f>IF($M537&lt;&gt;"",IF(INDEX(CalcPriceA,$M537)=0,"",INDEX(CalcPriceA,$M537)),"")</f>
        <v/>
      </c>
      <c r="H537" s="23">
        <f>IF($N537&lt;&gt;"",IF(INDEX(CalcWitB,$N537)=0,"",INDEX(CalcWitB,$N537)),"")</f>
        <v/>
      </c>
      <c r="I537" s="24">
        <f>IF($M537&lt;&gt;"",INDEX(CalcAmtA,$M537),"")</f>
        <v/>
      </c>
      <c r="J537" s="24">
        <f>IF($B537="","",IF($J536="",$C$8,$J536)+IF($I537="",0,$I537)+IF($E537="",0,$E537)-IF($H537="",0,$H537))</f>
        <v/>
      </c>
      <c r="K537" s="25">
        <f>IF($M537&lt;&gt;"",IF(INDEX(CalcNoteA,$M537)="","—",INDEX(CalcNoteA,$M537)),IF($N537&lt;&gt;"",IF(INDEX(CalcNoteB,$N537)="","—",INDEX(CalcNoteB,$N537)),""))</f>
        <v/>
      </c>
      <c r="M537">
        <f>IFERROR(MATCH($C$5&amp;"|"&amp;RIGHT("000000"&amp;521,6),CalcRankKeyA,0),"")</f>
        <v/>
      </c>
      <c r="N537">
        <f>IFERROR(MATCH($C$5&amp;"|"&amp;RIGHT("000000"&amp;521,6),CalcRankKeyB,0),"")</f>
        <v/>
      </c>
    </row>
    <row r="538">
      <c r="A538" s="26" t="n">
        <v>522</v>
      </c>
      <c r="B538" s="27">
        <f>IF(AND($M538="",$N538=""),"",IF($M538&lt;&gt;"",INDEX(CalcDateA,$M538),INDEX(CalcDateB,$N538)))</f>
        <v/>
      </c>
      <c r="C538" s="27">
        <f>IF($M538&lt;&gt;"","خرید سبد",IF($N538&lt;&gt;"",IF(N(INDEX(CalcDepB,$N538))&gt;0,"دریافت بانکی","پرداخت بانکی"),""))</f>
        <v/>
      </c>
      <c r="D538" s="27">
        <f>IF($M538&lt;&gt;"",IF(INDEX(CalcDocA,$M538)="","—",INDEX(CalcDocA,$M538)),IF($N538&lt;&gt;"",INDEX(CalcBankB,$N538),""))</f>
        <v/>
      </c>
      <c r="E538" s="28">
        <f>IF($N538&lt;&gt;"",IF(INDEX(CalcDepB,$N538)=0,"",INDEX(CalcDepB,$N538)),"")</f>
        <v/>
      </c>
      <c r="F538" s="28">
        <f>IF($M538&lt;&gt;"",IF(INDEX(CalcQtyA,$M538)=0,"",INDEX(CalcQtyA,$M538)),"")</f>
        <v/>
      </c>
      <c r="G538" s="28">
        <f>IF($M538&lt;&gt;"",IF(INDEX(CalcPriceA,$M538)=0,"",INDEX(CalcPriceA,$M538)),"")</f>
        <v/>
      </c>
      <c r="H538" s="28">
        <f>IF($N538&lt;&gt;"",IF(INDEX(CalcWitB,$N538)=0,"",INDEX(CalcWitB,$N538)),"")</f>
        <v/>
      </c>
      <c r="I538" s="29">
        <f>IF($M538&lt;&gt;"",INDEX(CalcAmtA,$M538),"")</f>
        <v/>
      </c>
      <c r="J538" s="29">
        <f>IF($B538="","",IF($J537="",$C$8,$J537)+IF($I538="",0,$I538)+IF($E538="",0,$E538)-IF($H538="",0,$H538))</f>
        <v/>
      </c>
      <c r="K538" s="30">
        <f>IF($M538&lt;&gt;"",IF(INDEX(CalcNoteA,$M538)="","—",INDEX(CalcNoteA,$M538)),IF($N538&lt;&gt;"",IF(INDEX(CalcNoteB,$N538)="","—",INDEX(CalcNoteB,$N538)),""))</f>
        <v/>
      </c>
      <c r="M538">
        <f>IFERROR(MATCH($C$5&amp;"|"&amp;RIGHT("000000"&amp;522,6),CalcRankKeyA,0),"")</f>
        <v/>
      </c>
      <c r="N538">
        <f>IFERROR(MATCH($C$5&amp;"|"&amp;RIGHT("000000"&amp;522,6),CalcRankKeyB,0),"")</f>
        <v/>
      </c>
    </row>
    <row r="539">
      <c r="A539" s="21" t="n">
        <v>523</v>
      </c>
      <c r="B539" s="22">
        <f>IF(AND($M539="",$N539=""),"",IF($M539&lt;&gt;"",INDEX(CalcDateA,$M539),INDEX(CalcDateB,$N539)))</f>
        <v/>
      </c>
      <c r="C539" s="22">
        <f>IF($M539&lt;&gt;"","خرید سبد",IF($N539&lt;&gt;"",IF(N(INDEX(CalcDepB,$N539))&gt;0,"دریافت بانکی","پرداخت بانکی"),""))</f>
        <v/>
      </c>
      <c r="D539" s="22">
        <f>IF($M539&lt;&gt;"",IF(INDEX(CalcDocA,$M539)="","—",INDEX(CalcDocA,$M539)),IF($N539&lt;&gt;"",INDEX(CalcBankB,$N539),""))</f>
        <v/>
      </c>
      <c r="E539" s="23">
        <f>IF($N539&lt;&gt;"",IF(INDEX(CalcDepB,$N539)=0,"",INDEX(CalcDepB,$N539)),"")</f>
        <v/>
      </c>
      <c r="F539" s="23">
        <f>IF($M539&lt;&gt;"",IF(INDEX(CalcQtyA,$M539)=0,"",INDEX(CalcQtyA,$M539)),"")</f>
        <v/>
      </c>
      <c r="G539" s="23">
        <f>IF($M539&lt;&gt;"",IF(INDEX(CalcPriceA,$M539)=0,"",INDEX(CalcPriceA,$M539)),"")</f>
        <v/>
      </c>
      <c r="H539" s="23">
        <f>IF($N539&lt;&gt;"",IF(INDEX(CalcWitB,$N539)=0,"",INDEX(CalcWitB,$N539)),"")</f>
        <v/>
      </c>
      <c r="I539" s="24">
        <f>IF($M539&lt;&gt;"",INDEX(CalcAmtA,$M539),"")</f>
        <v/>
      </c>
      <c r="J539" s="24">
        <f>IF($B539="","",IF($J538="",$C$8,$J538)+IF($I539="",0,$I539)+IF($E539="",0,$E539)-IF($H539="",0,$H539))</f>
        <v/>
      </c>
      <c r="K539" s="25">
        <f>IF($M539&lt;&gt;"",IF(INDEX(CalcNoteA,$M539)="","—",INDEX(CalcNoteA,$M539)),IF($N539&lt;&gt;"",IF(INDEX(CalcNoteB,$N539)="","—",INDEX(CalcNoteB,$N539)),""))</f>
        <v/>
      </c>
      <c r="M539">
        <f>IFERROR(MATCH($C$5&amp;"|"&amp;RIGHT("000000"&amp;523,6),CalcRankKeyA,0),"")</f>
        <v/>
      </c>
      <c r="N539">
        <f>IFERROR(MATCH($C$5&amp;"|"&amp;RIGHT("000000"&amp;523,6),CalcRankKeyB,0),"")</f>
        <v/>
      </c>
    </row>
    <row r="540">
      <c r="A540" s="26" t="n">
        <v>524</v>
      </c>
      <c r="B540" s="27">
        <f>IF(AND($M540="",$N540=""),"",IF($M540&lt;&gt;"",INDEX(CalcDateA,$M540),INDEX(CalcDateB,$N540)))</f>
        <v/>
      </c>
      <c r="C540" s="27">
        <f>IF($M540&lt;&gt;"","خرید سبد",IF($N540&lt;&gt;"",IF(N(INDEX(CalcDepB,$N540))&gt;0,"دریافت بانکی","پرداخت بانکی"),""))</f>
        <v/>
      </c>
      <c r="D540" s="27">
        <f>IF($M540&lt;&gt;"",IF(INDEX(CalcDocA,$M540)="","—",INDEX(CalcDocA,$M540)),IF($N540&lt;&gt;"",INDEX(CalcBankB,$N540),""))</f>
        <v/>
      </c>
      <c r="E540" s="28">
        <f>IF($N540&lt;&gt;"",IF(INDEX(CalcDepB,$N540)=0,"",INDEX(CalcDepB,$N540)),"")</f>
        <v/>
      </c>
      <c r="F540" s="28">
        <f>IF($M540&lt;&gt;"",IF(INDEX(CalcQtyA,$M540)=0,"",INDEX(CalcQtyA,$M540)),"")</f>
        <v/>
      </c>
      <c r="G540" s="28">
        <f>IF($M540&lt;&gt;"",IF(INDEX(CalcPriceA,$M540)=0,"",INDEX(CalcPriceA,$M540)),"")</f>
        <v/>
      </c>
      <c r="H540" s="28">
        <f>IF($N540&lt;&gt;"",IF(INDEX(CalcWitB,$N540)=0,"",INDEX(CalcWitB,$N540)),"")</f>
        <v/>
      </c>
      <c r="I540" s="29">
        <f>IF($M540&lt;&gt;"",INDEX(CalcAmtA,$M540),"")</f>
        <v/>
      </c>
      <c r="J540" s="29">
        <f>IF($B540="","",IF($J539="",$C$8,$J539)+IF($I540="",0,$I540)+IF($E540="",0,$E540)-IF($H540="",0,$H540))</f>
        <v/>
      </c>
      <c r="K540" s="30">
        <f>IF($M540&lt;&gt;"",IF(INDEX(CalcNoteA,$M540)="","—",INDEX(CalcNoteA,$M540)),IF($N540&lt;&gt;"",IF(INDEX(CalcNoteB,$N540)="","—",INDEX(CalcNoteB,$N540)),""))</f>
        <v/>
      </c>
      <c r="M540">
        <f>IFERROR(MATCH($C$5&amp;"|"&amp;RIGHT("000000"&amp;524,6),CalcRankKeyA,0),"")</f>
        <v/>
      </c>
      <c r="N540">
        <f>IFERROR(MATCH($C$5&amp;"|"&amp;RIGHT("000000"&amp;524,6),CalcRankKeyB,0),"")</f>
        <v/>
      </c>
    </row>
    <row r="541">
      <c r="A541" s="21" t="n">
        <v>525</v>
      </c>
      <c r="B541" s="22">
        <f>IF(AND($M541="",$N541=""),"",IF($M541&lt;&gt;"",INDEX(CalcDateA,$M541),INDEX(CalcDateB,$N541)))</f>
        <v/>
      </c>
      <c r="C541" s="22">
        <f>IF($M541&lt;&gt;"","خرید سبد",IF($N541&lt;&gt;"",IF(N(INDEX(CalcDepB,$N541))&gt;0,"دریافت بانکی","پرداخت بانکی"),""))</f>
        <v/>
      </c>
      <c r="D541" s="22">
        <f>IF($M541&lt;&gt;"",IF(INDEX(CalcDocA,$M541)="","—",INDEX(CalcDocA,$M541)),IF($N541&lt;&gt;"",INDEX(CalcBankB,$N541),""))</f>
        <v/>
      </c>
      <c r="E541" s="23">
        <f>IF($N541&lt;&gt;"",IF(INDEX(CalcDepB,$N541)=0,"",INDEX(CalcDepB,$N541)),"")</f>
        <v/>
      </c>
      <c r="F541" s="23">
        <f>IF($M541&lt;&gt;"",IF(INDEX(CalcQtyA,$M541)=0,"",INDEX(CalcQtyA,$M541)),"")</f>
        <v/>
      </c>
      <c r="G541" s="23">
        <f>IF($M541&lt;&gt;"",IF(INDEX(CalcPriceA,$M541)=0,"",INDEX(CalcPriceA,$M541)),"")</f>
        <v/>
      </c>
      <c r="H541" s="23">
        <f>IF($N541&lt;&gt;"",IF(INDEX(CalcWitB,$N541)=0,"",INDEX(CalcWitB,$N541)),"")</f>
        <v/>
      </c>
      <c r="I541" s="24">
        <f>IF($M541&lt;&gt;"",INDEX(CalcAmtA,$M541),"")</f>
        <v/>
      </c>
      <c r="J541" s="24">
        <f>IF($B541="","",IF($J540="",$C$8,$J540)+IF($I541="",0,$I541)+IF($E541="",0,$E541)-IF($H541="",0,$H541))</f>
        <v/>
      </c>
      <c r="K541" s="25">
        <f>IF($M541&lt;&gt;"",IF(INDEX(CalcNoteA,$M541)="","—",INDEX(CalcNoteA,$M541)),IF($N541&lt;&gt;"",IF(INDEX(CalcNoteB,$N541)="","—",INDEX(CalcNoteB,$N541)),""))</f>
        <v/>
      </c>
      <c r="M541">
        <f>IFERROR(MATCH($C$5&amp;"|"&amp;RIGHT("000000"&amp;525,6),CalcRankKeyA,0),"")</f>
        <v/>
      </c>
      <c r="N541">
        <f>IFERROR(MATCH($C$5&amp;"|"&amp;RIGHT("000000"&amp;525,6),CalcRankKeyB,0),"")</f>
        <v/>
      </c>
    </row>
    <row r="542">
      <c r="A542" s="26" t="n">
        <v>526</v>
      </c>
      <c r="B542" s="27">
        <f>IF(AND($M542="",$N542=""),"",IF($M542&lt;&gt;"",INDEX(CalcDateA,$M542),INDEX(CalcDateB,$N542)))</f>
        <v/>
      </c>
      <c r="C542" s="27">
        <f>IF($M542&lt;&gt;"","خرید سبد",IF($N542&lt;&gt;"",IF(N(INDEX(CalcDepB,$N542))&gt;0,"دریافت بانکی","پرداخت بانکی"),""))</f>
        <v/>
      </c>
      <c r="D542" s="27">
        <f>IF($M542&lt;&gt;"",IF(INDEX(CalcDocA,$M542)="","—",INDEX(CalcDocA,$M542)),IF($N542&lt;&gt;"",INDEX(CalcBankB,$N542),""))</f>
        <v/>
      </c>
      <c r="E542" s="28">
        <f>IF($N542&lt;&gt;"",IF(INDEX(CalcDepB,$N542)=0,"",INDEX(CalcDepB,$N542)),"")</f>
        <v/>
      </c>
      <c r="F542" s="28">
        <f>IF($M542&lt;&gt;"",IF(INDEX(CalcQtyA,$M542)=0,"",INDEX(CalcQtyA,$M542)),"")</f>
        <v/>
      </c>
      <c r="G542" s="28">
        <f>IF($M542&lt;&gt;"",IF(INDEX(CalcPriceA,$M542)=0,"",INDEX(CalcPriceA,$M542)),"")</f>
        <v/>
      </c>
      <c r="H542" s="28">
        <f>IF($N542&lt;&gt;"",IF(INDEX(CalcWitB,$N542)=0,"",INDEX(CalcWitB,$N542)),"")</f>
        <v/>
      </c>
      <c r="I542" s="29">
        <f>IF($M542&lt;&gt;"",INDEX(CalcAmtA,$M542),"")</f>
        <v/>
      </c>
      <c r="J542" s="29">
        <f>IF($B542="","",IF($J541="",$C$8,$J541)+IF($I542="",0,$I542)+IF($E542="",0,$E542)-IF($H542="",0,$H542))</f>
        <v/>
      </c>
      <c r="K542" s="30">
        <f>IF($M542&lt;&gt;"",IF(INDEX(CalcNoteA,$M542)="","—",INDEX(CalcNoteA,$M542)),IF($N542&lt;&gt;"",IF(INDEX(CalcNoteB,$N542)="","—",INDEX(CalcNoteB,$N542)),""))</f>
        <v/>
      </c>
      <c r="M542">
        <f>IFERROR(MATCH($C$5&amp;"|"&amp;RIGHT("000000"&amp;526,6),CalcRankKeyA,0),"")</f>
        <v/>
      </c>
      <c r="N542">
        <f>IFERROR(MATCH($C$5&amp;"|"&amp;RIGHT("000000"&amp;526,6),CalcRankKeyB,0),"")</f>
        <v/>
      </c>
    </row>
    <row r="543">
      <c r="A543" s="21" t="n">
        <v>527</v>
      </c>
      <c r="B543" s="22">
        <f>IF(AND($M543="",$N543=""),"",IF($M543&lt;&gt;"",INDEX(CalcDateA,$M543),INDEX(CalcDateB,$N543)))</f>
        <v/>
      </c>
      <c r="C543" s="22">
        <f>IF($M543&lt;&gt;"","خرید سبد",IF($N543&lt;&gt;"",IF(N(INDEX(CalcDepB,$N543))&gt;0,"دریافت بانکی","پرداخت بانکی"),""))</f>
        <v/>
      </c>
      <c r="D543" s="22">
        <f>IF($M543&lt;&gt;"",IF(INDEX(CalcDocA,$M543)="","—",INDEX(CalcDocA,$M543)),IF($N543&lt;&gt;"",INDEX(CalcBankB,$N543),""))</f>
        <v/>
      </c>
      <c r="E543" s="23">
        <f>IF($N543&lt;&gt;"",IF(INDEX(CalcDepB,$N543)=0,"",INDEX(CalcDepB,$N543)),"")</f>
        <v/>
      </c>
      <c r="F543" s="23">
        <f>IF($M543&lt;&gt;"",IF(INDEX(CalcQtyA,$M543)=0,"",INDEX(CalcQtyA,$M543)),"")</f>
        <v/>
      </c>
      <c r="G543" s="23">
        <f>IF($M543&lt;&gt;"",IF(INDEX(CalcPriceA,$M543)=0,"",INDEX(CalcPriceA,$M543)),"")</f>
        <v/>
      </c>
      <c r="H543" s="23">
        <f>IF($N543&lt;&gt;"",IF(INDEX(CalcWitB,$N543)=0,"",INDEX(CalcWitB,$N543)),"")</f>
        <v/>
      </c>
      <c r="I543" s="24">
        <f>IF($M543&lt;&gt;"",INDEX(CalcAmtA,$M543),"")</f>
        <v/>
      </c>
      <c r="J543" s="24">
        <f>IF($B543="","",IF($J542="",$C$8,$J542)+IF($I543="",0,$I543)+IF($E543="",0,$E543)-IF($H543="",0,$H543))</f>
        <v/>
      </c>
      <c r="K543" s="25">
        <f>IF($M543&lt;&gt;"",IF(INDEX(CalcNoteA,$M543)="","—",INDEX(CalcNoteA,$M543)),IF($N543&lt;&gt;"",IF(INDEX(CalcNoteB,$N543)="","—",INDEX(CalcNoteB,$N543)),""))</f>
        <v/>
      </c>
      <c r="M543">
        <f>IFERROR(MATCH($C$5&amp;"|"&amp;RIGHT("000000"&amp;527,6),CalcRankKeyA,0),"")</f>
        <v/>
      </c>
      <c r="N543">
        <f>IFERROR(MATCH($C$5&amp;"|"&amp;RIGHT("000000"&amp;527,6),CalcRankKeyB,0),"")</f>
        <v/>
      </c>
    </row>
    <row r="544">
      <c r="A544" s="26" t="n">
        <v>528</v>
      </c>
      <c r="B544" s="27">
        <f>IF(AND($M544="",$N544=""),"",IF($M544&lt;&gt;"",INDEX(CalcDateA,$M544),INDEX(CalcDateB,$N544)))</f>
        <v/>
      </c>
      <c r="C544" s="27">
        <f>IF($M544&lt;&gt;"","خرید سبد",IF($N544&lt;&gt;"",IF(N(INDEX(CalcDepB,$N544))&gt;0,"دریافت بانکی","پرداخت بانکی"),""))</f>
        <v/>
      </c>
      <c r="D544" s="27">
        <f>IF($M544&lt;&gt;"",IF(INDEX(CalcDocA,$M544)="","—",INDEX(CalcDocA,$M544)),IF($N544&lt;&gt;"",INDEX(CalcBankB,$N544),""))</f>
        <v/>
      </c>
      <c r="E544" s="28">
        <f>IF($N544&lt;&gt;"",IF(INDEX(CalcDepB,$N544)=0,"",INDEX(CalcDepB,$N544)),"")</f>
        <v/>
      </c>
      <c r="F544" s="28">
        <f>IF($M544&lt;&gt;"",IF(INDEX(CalcQtyA,$M544)=0,"",INDEX(CalcQtyA,$M544)),"")</f>
        <v/>
      </c>
      <c r="G544" s="28">
        <f>IF($M544&lt;&gt;"",IF(INDEX(CalcPriceA,$M544)=0,"",INDEX(CalcPriceA,$M544)),"")</f>
        <v/>
      </c>
      <c r="H544" s="28">
        <f>IF($N544&lt;&gt;"",IF(INDEX(CalcWitB,$N544)=0,"",INDEX(CalcWitB,$N544)),"")</f>
        <v/>
      </c>
      <c r="I544" s="29">
        <f>IF($M544&lt;&gt;"",INDEX(CalcAmtA,$M544),"")</f>
        <v/>
      </c>
      <c r="J544" s="29">
        <f>IF($B544="","",IF($J543="",$C$8,$J543)+IF($I544="",0,$I544)+IF($E544="",0,$E544)-IF($H544="",0,$H544))</f>
        <v/>
      </c>
      <c r="K544" s="30">
        <f>IF($M544&lt;&gt;"",IF(INDEX(CalcNoteA,$M544)="","—",INDEX(CalcNoteA,$M544)),IF($N544&lt;&gt;"",IF(INDEX(CalcNoteB,$N544)="","—",INDEX(CalcNoteB,$N544)),""))</f>
        <v/>
      </c>
      <c r="M544">
        <f>IFERROR(MATCH($C$5&amp;"|"&amp;RIGHT("000000"&amp;528,6),CalcRankKeyA,0),"")</f>
        <v/>
      </c>
      <c r="N544">
        <f>IFERROR(MATCH($C$5&amp;"|"&amp;RIGHT("000000"&amp;528,6),CalcRankKeyB,0),"")</f>
        <v/>
      </c>
    </row>
    <row r="545">
      <c r="A545" s="21" t="n">
        <v>529</v>
      </c>
      <c r="B545" s="22">
        <f>IF(AND($M545="",$N545=""),"",IF($M545&lt;&gt;"",INDEX(CalcDateA,$M545),INDEX(CalcDateB,$N545)))</f>
        <v/>
      </c>
      <c r="C545" s="22">
        <f>IF($M545&lt;&gt;"","خرید سبد",IF($N545&lt;&gt;"",IF(N(INDEX(CalcDepB,$N545))&gt;0,"دریافت بانکی","پرداخت بانکی"),""))</f>
        <v/>
      </c>
      <c r="D545" s="22">
        <f>IF($M545&lt;&gt;"",IF(INDEX(CalcDocA,$M545)="","—",INDEX(CalcDocA,$M545)),IF($N545&lt;&gt;"",INDEX(CalcBankB,$N545),""))</f>
        <v/>
      </c>
      <c r="E545" s="23">
        <f>IF($N545&lt;&gt;"",IF(INDEX(CalcDepB,$N545)=0,"",INDEX(CalcDepB,$N545)),"")</f>
        <v/>
      </c>
      <c r="F545" s="23">
        <f>IF($M545&lt;&gt;"",IF(INDEX(CalcQtyA,$M545)=0,"",INDEX(CalcQtyA,$M545)),"")</f>
        <v/>
      </c>
      <c r="G545" s="23">
        <f>IF($M545&lt;&gt;"",IF(INDEX(CalcPriceA,$M545)=0,"",INDEX(CalcPriceA,$M545)),"")</f>
        <v/>
      </c>
      <c r="H545" s="23">
        <f>IF($N545&lt;&gt;"",IF(INDEX(CalcWitB,$N545)=0,"",INDEX(CalcWitB,$N545)),"")</f>
        <v/>
      </c>
      <c r="I545" s="24">
        <f>IF($M545&lt;&gt;"",INDEX(CalcAmtA,$M545),"")</f>
        <v/>
      </c>
      <c r="J545" s="24">
        <f>IF($B545="","",IF($J544="",$C$8,$J544)+IF($I545="",0,$I545)+IF($E545="",0,$E545)-IF($H545="",0,$H545))</f>
        <v/>
      </c>
      <c r="K545" s="25">
        <f>IF($M545&lt;&gt;"",IF(INDEX(CalcNoteA,$M545)="","—",INDEX(CalcNoteA,$M545)),IF($N545&lt;&gt;"",IF(INDEX(CalcNoteB,$N545)="","—",INDEX(CalcNoteB,$N545)),""))</f>
        <v/>
      </c>
      <c r="M545">
        <f>IFERROR(MATCH($C$5&amp;"|"&amp;RIGHT("000000"&amp;529,6),CalcRankKeyA,0),"")</f>
        <v/>
      </c>
      <c r="N545">
        <f>IFERROR(MATCH($C$5&amp;"|"&amp;RIGHT("000000"&amp;529,6),CalcRankKeyB,0),"")</f>
        <v/>
      </c>
    </row>
    <row r="546">
      <c r="A546" s="26" t="n">
        <v>530</v>
      </c>
      <c r="B546" s="27">
        <f>IF(AND($M546="",$N546=""),"",IF($M546&lt;&gt;"",INDEX(CalcDateA,$M546),INDEX(CalcDateB,$N546)))</f>
        <v/>
      </c>
      <c r="C546" s="27">
        <f>IF($M546&lt;&gt;"","خرید سبد",IF($N546&lt;&gt;"",IF(N(INDEX(CalcDepB,$N546))&gt;0,"دریافت بانکی","پرداخت بانکی"),""))</f>
        <v/>
      </c>
      <c r="D546" s="27">
        <f>IF($M546&lt;&gt;"",IF(INDEX(CalcDocA,$M546)="","—",INDEX(CalcDocA,$M546)),IF($N546&lt;&gt;"",INDEX(CalcBankB,$N546),""))</f>
        <v/>
      </c>
      <c r="E546" s="28">
        <f>IF($N546&lt;&gt;"",IF(INDEX(CalcDepB,$N546)=0,"",INDEX(CalcDepB,$N546)),"")</f>
        <v/>
      </c>
      <c r="F546" s="28">
        <f>IF($M546&lt;&gt;"",IF(INDEX(CalcQtyA,$M546)=0,"",INDEX(CalcQtyA,$M546)),"")</f>
        <v/>
      </c>
      <c r="G546" s="28">
        <f>IF($M546&lt;&gt;"",IF(INDEX(CalcPriceA,$M546)=0,"",INDEX(CalcPriceA,$M546)),"")</f>
        <v/>
      </c>
      <c r="H546" s="28">
        <f>IF($N546&lt;&gt;"",IF(INDEX(CalcWitB,$N546)=0,"",INDEX(CalcWitB,$N546)),"")</f>
        <v/>
      </c>
      <c r="I546" s="29">
        <f>IF($M546&lt;&gt;"",INDEX(CalcAmtA,$M546),"")</f>
        <v/>
      </c>
      <c r="J546" s="29">
        <f>IF($B546="","",IF($J545="",$C$8,$J545)+IF($I546="",0,$I546)+IF($E546="",0,$E546)-IF($H546="",0,$H546))</f>
        <v/>
      </c>
      <c r="K546" s="30">
        <f>IF($M546&lt;&gt;"",IF(INDEX(CalcNoteA,$M546)="","—",INDEX(CalcNoteA,$M546)),IF($N546&lt;&gt;"",IF(INDEX(CalcNoteB,$N546)="","—",INDEX(CalcNoteB,$N546)),""))</f>
        <v/>
      </c>
      <c r="M546">
        <f>IFERROR(MATCH($C$5&amp;"|"&amp;RIGHT("000000"&amp;530,6),CalcRankKeyA,0),"")</f>
        <v/>
      </c>
      <c r="N546">
        <f>IFERROR(MATCH($C$5&amp;"|"&amp;RIGHT("000000"&amp;530,6),CalcRankKeyB,0),"")</f>
        <v/>
      </c>
    </row>
    <row r="547">
      <c r="A547" s="21" t="n">
        <v>531</v>
      </c>
      <c r="B547" s="22">
        <f>IF(AND($M547="",$N547=""),"",IF($M547&lt;&gt;"",INDEX(CalcDateA,$M547),INDEX(CalcDateB,$N547)))</f>
        <v/>
      </c>
      <c r="C547" s="22">
        <f>IF($M547&lt;&gt;"","خرید سبد",IF($N547&lt;&gt;"",IF(N(INDEX(CalcDepB,$N547))&gt;0,"دریافت بانکی","پرداخت بانکی"),""))</f>
        <v/>
      </c>
      <c r="D547" s="22">
        <f>IF($M547&lt;&gt;"",IF(INDEX(CalcDocA,$M547)="","—",INDEX(CalcDocA,$M547)),IF($N547&lt;&gt;"",INDEX(CalcBankB,$N547),""))</f>
        <v/>
      </c>
      <c r="E547" s="23">
        <f>IF($N547&lt;&gt;"",IF(INDEX(CalcDepB,$N547)=0,"",INDEX(CalcDepB,$N547)),"")</f>
        <v/>
      </c>
      <c r="F547" s="23">
        <f>IF($M547&lt;&gt;"",IF(INDEX(CalcQtyA,$M547)=0,"",INDEX(CalcQtyA,$M547)),"")</f>
        <v/>
      </c>
      <c r="G547" s="23">
        <f>IF($M547&lt;&gt;"",IF(INDEX(CalcPriceA,$M547)=0,"",INDEX(CalcPriceA,$M547)),"")</f>
        <v/>
      </c>
      <c r="H547" s="23">
        <f>IF($N547&lt;&gt;"",IF(INDEX(CalcWitB,$N547)=0,"",INDEX(CalcWitB,$N547)),"")</f>
        <v/>
      </c>
      <c r="I547" s="24">
        <f>IF($M547&lt;&gt;"",INDEX(CalcAmtA,$M547),"")</f>
        <v/>
      </c>
      <c r="J547" s="24">
        <f>IF($B547="","",IF($J546="",$C$8,$J546)+IF($I547="",0,$I547)+IF($E547="",0,$E547)-IF($H547="",0,$H547))</f>
        <v/>
      </c>
      <c r="K547" s="25">
        <f>IF($M547&lt;&gt;"",IF(INDEX(CalcNoteA,$M547)="","—",INDEX(CalcNoteA,$M547)),IF($N547&lt;&gt;"",IF(INDEX(CalcNoteB,$N547)="","—",INDEX(CalcNoteB,$N547)),""))</f>
        <v/>
      </c>
      <c r="M547">
        <f>IFERROR(MATCH($C$5&amp;"|"&amp;RIGHT("000000"&amp;531,6),CalcRankKeyA,0),"")</f>
        <v/>
      </c>
      <c r="N547">
        <f>IFERROR(MATCH($C$5&amp;"|"&amp;RIGHT("000000"&amp;531,6),CalcRankKeyB,0),"")</f>
        <v/>
      </c>
    </row>
    <row r="548">
      <c r="A548" s="26" t="n">
        <v>532</v>
      </c>
      <c r="B548" s="27">
        <f>IF(AND($M548="",$N548=""),"",IF($M548&lt;&gt;"",INDEX(CalcDateA,$M548),INDEX(CalcDateB,$N548)))</f>
        <v/>
      </c>
      <c r="C548" s="27">
        <f>IF($M548&lt;&gt;"","خرید سبد",IF($N548&lt;&gt;"",IF(N(INDEX(CalcDepB,$N548))&gt;0,"دریافت بانکی","پرداخت بانکی"),""))</f>
        <v/>
      </c>
      <c r="D548" s="27">
        <f>IF($M548&lt;&gt;"",IF(INDEX(CalcDocA,$M548)="","—",INDEX(CalcDocA,$M548)),IF($N548&lt;&gt;"",INDEX(CalcBankB,$N548),""))</f>
        <v/>
      </c>
      <c r="E548" s="28">
        <f>IF($N548&lt;&gt;"",IF(INDEX(CalcDepB,$N548)=0,"",INDEX(CalcDepB,$N548)),"")</f>
        <v/>
      </c>
      <c r="F548" s="28">
        <f>IF($M548&lt;&gt;"",IF(INDEX(CalcQtyA,$M548)=0,"",INDEX(CalcQtyA,$M548)),"")</f>
        <v/>
      </c>
      <c r="G548" s="28">
        <f>IF($M548&lt;&gt;"",IF(INDEX(CalcPriceA,$M548)=0,"",INDEX(CalcPriceA,$M548)),"")</f>
        <v/>
      </c>
      <c r="H548" s="28">
        <f>IF($N548&lt;&gt;"",IF(INDEX(CalcWitB,$N548)=0,"",INDEX(CalcWitB,$N548)),"")</f>
        <v/>
      </c>
      <c r="I548" s="29">
        <f>IF($M548&lt;&gt;"",INDEX(CalcAmtA,$M548),"")</f>
        <v/>
      </c>
      <c r="J548" s="29">
        <f>IF($B548="","",IF($J547="",$C$8,$J547)+IF($I548="",0,$I548)+IF($E548="",0,$E548)-IF($H548="",0,$H548))</f>
        <v/>
      </c>
      <c r="K548" s="30">
        <f>IF($M548&lt;&gt;"",IF(INDEX(CalcNoteA,$M548)="","—",INDEX(CalcNoteA,$M548)),IF($N548&lt;&gt;"",IF(INDEX(CalcNoteB,$N548)="","—",INDEX(CalcNoteB,$N548)),""))</f>
        <v/>
      </c>
      <c r="M548">
        <f>IFERROR(MATCH($C$5&amp;"|"&amp;RIGHT("000000"&amp;532,6),CalcRankKeyA,0),"")</f>
        <v/>
      </c>
      <c r="N548">
        <f>IFERROR(MATCH($C$5&amp;"|"&amp;RIGHT("000000"&amp;532,6),CalcRankKeyB,0),"")</f>
        <v/>
      </c>
    </row>
    <row r="549">
      <c r="A549" s="21" t="n">
        <v>533</v>
      </c>
      <c r="B549" s="22">
        <f>IF(AND($M549="",$N549=""),"",IF($M549&lt;&gt;"",INDEX(CalcDateA,$M549),INDEX(CalcDateB,$N549)))</f>
        <v/>
      </c>
      <c r="C549" s="22">
        <f>IF($M549&lt;&gt;"","خرید سبد",IF($N549&lt;&gt;"",IF(N(INDEX(CalcDepB,$N549))&gt;0,"دریافت بانکی","پرداخت بانکی"),""))</f>
        <v/>
      </c>
      <c r="D549" s="22">
        <f>IF($M549&lt;&gt;"",IF(INDEX(CalcDocA,$M549)="","—",INDEX(CalcDocA,$M549)),IF($N549&lt;&gt;"",INDEX(CalcBankB,$N549),""))</f>
        <v/>
      </c>
      <c r="E549" s="23">
        <f>IF($N549&lt;&gt;"",IF(INDEX(CalcDepB,$N549)=0,"",INDEX(CalcDepB,$N549)),"")</f>
        <v/>
      </c>
      <c r="F549" s="23">
        <f>IF($M549&lt;&gt;"",IF(INDEX(CalcQtyA,$M549)=0,"",INDEX(CalcQtyA,$M549)),"")</f>
        <v/>
      </c>
      <c r="G549" s="23">
        <f>IF($M549&lt;&gt;"",IF(INDEX(CalcPriceA,$M549)=0,"",INDEX(CalcPriceA,$M549)),"")</f>
        <v/>
      </c>
      <c r="H549" s="23">
        <f>IF($N549&lt;&gt;"",IF(INDEX(CalcWitB,$N549)=0,"",INDEX(CalcWitB,$N549)),"")</f>
        <v/>
      </c>
      <c r="I549" s="24">
        <f>IF($M549&lt;&gt;"",INDEX(CalcAmtA,$M549),"")</f>
        <v/>
      </c>
      <c r="J549" s="24">
        <f>IF($B549="","",IF($J548="",$C$8,$J548)+IF($I549="",0,$I549)+IF($E549="",0,$E549)-IF($H549="",0,$H549))</f>
        <v/>
      </c>
      <c r="K549" s="25">
        <f>IF($M549&lt;&gt;"",IF(INDEX(CalcNoteA,$M549)="","—",INDEX(CalcNoteA,$M549)),IF($N549&lt;&gt;"",IF(INDEX(CalcNoteB,$N549)="","—",INDEX(CalcNoteB,$N549)),""))</f>
        <v/>
      </c>
      <c r="M549">
        <f>IFERROR(MATCH($C$5&amp;"|"&amp;RIGHT("000000"&amp;533,6),CalcRankKeyA,0),"")</f>
        <v/>
      </c>
      <c r="N549">
        <f>IFERROR(MATCH($C$5&amp;"|"&amp;RIGHT("000000"&amp;533,6),CalcRankKeyB,0),"")</f>
        <v/>
      </c>
    </row>
    <row r="550">
      <c r="A550" s="26" t="n">
        <v>534</v>
      </c>
      <c r="B550" s="27">
        <f>IF(AND($M550="",$N550=""),"",IF($M550&lt;&gt;"",INDEX(CalcDateA,$M550),INDEX(CalcDateB,$N550)))</f>
        <v/>
      </c>
      <c r="C550" s="27">
        <f>IF($M550&lt;&gt;"","خرید سبد",IF($N550&lt;&gt;"",IF(N(INDEX(CalcDepB,$N550))&gt;0,"دریافت بانکی","پرداخت بانکی"),""))</f>
        <v/>
      </c>
      <c r="D550" s="27">
        <f>IF($M550&lt;&gt;"",IF(INDEX(CalcDocA,$M550)="","—",INDEX(CalcDocA,$M550)),IF($N550&lt;&gt;"",INDEX(CalcBankB,$N550),""))</f>
        <v/>
      </c>
      <c r="E550" s="28">
        <f>IF($N550&lt;&gt;"",IF(INDEX(CalcDepB,$N550)=0,"",INDEX(CalcDepB,$N550)),"")</f>
        <v/>
      </c>
      <c r="F550" s="28">
        <f>IF($M550&lt;&gt;"",IF(INDEX(CalcQtyA,$M550)=0,"",INDEX(CalcQtyA,$M550)),"")</f>
        <v/>
      </c>
      <c r="G550" s="28">
        <f>IF($M550&lt;&gt;"",IF(INDEX(CalcPriceA,$M550)=0,"",INDEX(CalcPriceA,$M550)),"")</f>
        <v/>
      </c>
      <c r="H550" s="28">
        <f>IF($N550&lt;&gt;"",IF(INDEX(CalcWitB,$N550)=0,"",INDEX(CalcWitB,$N550)),"")</f>
        <v/>
      </c>
      <c r="I550" s="29">
        <f>IF($M550&lt;&gt;"",INDEX(CalcAmtA,$M550),"")</f>
        <v/>
      </c>
      <c r="J550" s="29">
        <f>IF($B550="","",IF($J549="",$C$8,$J549)+IF($I550="",0,$I550)+IF($E550="",0,$E550)-IF($H550="",0,$H550))</f>
        <v/>
      </c>
      <c r="K550" s="30">
        <f>IF($M550&lt;&gt;"",IF(INDEX(CalcNoteA,$M550)="","—",INDEX(CalcNoteA,$M550)),IF($N550&lt;&gt;"",IF(INDEX(CalcNoteB,$N550)="","—",INDEX(CalcNoteB,$N550)),""))</f>
        <v/>
      </c>
      <c r="M550">
        <f>IFERROR(MATCH($C$5&amp;"|"&amp;RIGHT("000000"&amp;534,6),CalcRankKeyA,0),"")</f>
        <v/>
      </c>
      <c r="N550">
        <f>IFERROR(MATCH($C$5&amp;"|"&amp;RIGHT("000000"&amp;534,6),CalcRankKeyB,0),"")</f>
        <v/>
      </c>
    </row>
    <row r="551">
      <c r="A551" s="21" t="n">
        <v>535</v>
      </c>
      <c r="B551" s="22">
        <f>IF(AND($M551="",$N551=""),"",IF($M551&lt;&gt;"",INDEX(CalcDateA,$M551),INDEX(CalcDateB,$N551)))</f>
        <v/>
      </c>
      <c r="C551" s="22">
        <f>IF($M551&lt;&gt;"","خرید سبد",IF($N551&lt;&gt;"",IF(N(INDEX(CalcDepB,$N551))&gt;0,"دریافت بانکی","پرداخت بانکی"),""))</f>
        <v/>
      </c>
      <c r="D551" s="22">
        <f>IF($M551&lt;&gt;"",IF(INDEX(CalcDocA,$M551)="","—",INDEX(CalcDocA,$M551)),IF($N551&lt;&gt;"",INDEX(CalcBankB,$N551),""))</f>
        <v/>
      </c>
      <c r="E551" s="23">
        <f>IF($N551&lt;&gt;"",IF(INDEX(CalcDepB,$N551)=0,"",INDEX(CalcDepB,$N551)),"")</f>
        <v/>
      </c>
      <c r="F551" s="23">
        <f>IF($M551&lt;&gt;"",IF(INDEX(CalcQtyA,$M551)=0,"",INDEX(CalcQtyA,$M551)),"")</f>
        <v/>
      </c>
      <c r="G551" s="23">
        <f>IF($M551&lt;&gt;"",IF(INDEX(CalcPriceA,$M551)=0,"",INDEX(CalcPriceA,$M551)),"")</f>
        <v/>
      </c>
      <c r="H551" s="23">
        <f>IF($N551&lt;&gt;"",IF(INDEX(CalcWitB,$N551)=0,"",INDEX(CalcWitB,$N551)),"")</f>
        <v/>
      </c>
      <c r="I551" s="24">
        <f>IF($M551&lt;&gt;"",INDEX(CalcAmtA,$M551),"")</f>
        <v/>
      </c>
      <c r="J551" s="24">
        <f>IF($B551="","",IF($J550="",$C$8,$J550)+IF($I551="",0,$I551)+IF($E551="",0,$E551)-IF($H551="",0,$H551))</f>
        <v/>
      </c>
      <c r="K551" s="25">
        <f>IF($M551&lt;&gt;"",IF(INDEX(CalcNoteA,$M551)="","—",INDEX(CalcNoteA,$M551)),IF($N551&lt;&gt;"",IF(INDEX(CalcNoteB,$N551)="","—",INDEX(CalcNoteB,$N551)),""))</f>
        <v/>
      </c>
      <c r="M551">
        <f>IFERROR(MATCH($C$5&amp;"|"&amp;RIGHT("000000"&amp;535,6),CalcRankKeyA,0),"")</f>
        <v/>
      </c>
      <c r="N551">
        <f>IFERROR(MATCH($C$5&amp;"|"&amp;RIGHT("000000"&amp;535,6),CalcRankKeyB,0),"")</f>
        <v/>
      </c>
    </row>
    <row r="552">
      <c r="A552" s="26" t="n">
        <v>536</v>
      </c>
      <c r="B552" s="27">
        <f>IF(AND($M552="",$N552=""),"",IF($M552&lt;&gt;"",INDEX(CalcDateA,$M552),INDEX(CalcDateB,$N552)))</f>
        <v/>
      </c>
      <c r="C552" s="27">
        <f>IF($M552&lt;&gt;"","خرید سبد",IF($N552&lt;&gt;"",IF(N(INDEX(CalcDepB,$N552))&gt;0,"دریافت بانکی","پرداخت بانکی"),""))</f>
        <v/>
      </c>
      <c r="D552" s="27">
        <f>IF($M552&lt;&gt;"",IF(INDEX(CalcDocA,$M552)="","—",INDEX(CalcDocA,$M552)),IF($N552&lt;&gt;"",INDEX(CalcBankB,$N552),""))</f>
        <v/>
      </c>
      <c r="E552" s="28">
        <f>IF($N552&lt;&gt;"",IF(INDEX(CalcDepB,$N552)=0,"",INDEX(CalcDepB,$N552)),"")</f>
        <v/>
      </c>
      <c r="F552" s="28">
        <f>IF($M552&lt;&gt;"",IF(INDEX(CalcQtyA,$M552)=0,"",INDEX(CalcQtyA,$M552)),"")</f>
        <v/>
      </c>
      <c r="G552" s="28">
        <f>IF($M552&lt;&gt;"",IF(INDEX(CalcPriceA,$M552)=0,"",INDEX(CalcPriceA,$M552)),"")</f>
        <v/>
      </c>
      <c r="H552" s="28">
        <f>IF($N552&lt;&gt;"",IF(INDEX(CalcWitB,$N552)=0,"",INDEX(CalcWitB,$N552)),"")</f>
        <v/>
      </c>
      <c r="I552" s="29">
        <f>IF($M552&lt;&gt;"",INDEX(CalcAmtA,$M552),"")</f>
        <v/>
      </c>
      <c r="J552" s="29">
        <f>IF($B552="","",IF($J551="",$C$8,$J551)+IF($I552="",0,$I552)+IF($E552="",0,$E552)-IF($H552="",0,$H552))</f>
        <v/>
      </c>
      <c r="K552" s="30">
        <f>IF($M552&lt;&gt;"",IF(INDEX(CalcNoteA,$M552)="","—",INDEX(CalcNoteA,$M552)),IF($N552&lt;&gt;"",IF(INDEX(CalcNoteB,$N552)="","—",INDEX(CalcNoteB,$N552)),""))</f>
        <v/>
      </c>
      <c r="M552">
        <f>IFERROR(MATCH($C$5&amp;"|"&amp;RIGHT("000000"&amp;536,6),CalcRankKeyA,0),"")</f>
        <v/>
      </c>
      <c r="N552">
        <f>IFERROR(MATCH($C$5&amp;"|"&amp;RIGHT("000000"&amp;536,6),CalcRankKeyB,0),"")</f>
        <v/>
      </c>
    </row>
    <row r="553">
      <c r="A553" s="21" t="n">
        <v>537</v>
      </c>
      <c r="B553" s="22">
        <f>IF(AND($M553="",$N553=""),"",IF($M553&lt;&gt;"",INDEX(CalcDateA,$M553),INDEX(CalcDateB,$N553)))</f>
        <v/>
      </c>
      <c r="C553" s="22">
        <f>IF($M553&lt;&gt;"","خرید سبد",IF($N553&lt;&gt;"",IF(N(INDEX(CalcDepB,$N553))&gt;0,"دریافت بانکی","پرداخت بانکی"),""))</f>
        <v/>
      </c>
      <c r="D553" s="22">
        <f>IF($M553&lt;&gt;"",IF(INDEX(CalcDocA,$M553)="","—",INDEX(CalcDocA,$M553)),IF($N553&lt;&gt;"",INDEX(CalcBankB,$N553),""))</f>
        <v/>
      </c>
      <c r="E553" s="23">
        <f>IF($N553&lt;&gt;"",IF(INDEX(CalcDepB,$N553)=0,"",INDEX(CalcDepB,$N553)),"")</f>
        <v/>
      </c>
      <c r="F553" s="23">
        <f>IF($M553&lt;&gt;"",IF(INDEX(CalcQtyA,$M553)=0,"",INDEX(CalcQtyA,$M553)),"")</f>
        <v/>
      </c>
      <c r="G553" s="23">
        <f>IF($M553&lt;&gt;"",IF(INDEX(CalcPriceA,$M553)=0,"",INDEX(CalcPriceA,$M553)),"")</f>
        <v/>
      </c>
      <c r="H553" s="23">
        <f>IF($N553&lt;&gt;"",IF(INDEX(CalcWitB,$N553)=0,"",INDEX(CalcWitB,$N553)),"")</f>
        <v/>
      </c>
      <c r="I553" s="24">
        <f>IF($M553&lt;&gt;"",INDEX(CalcAmtA,$M553),"")</f>
        <v/>
      </c>
      <c r="J553" s="24">
        <f>IF($B553="","",IF($J552="",$C$8,$J552)+IF($I553="",0,$I553)+IF($E553="",0,$E553)-IF($H553="",0,$H553))</f>
        <v/>
      </c>
      <c r="K553" s="25">
        <f>IF($M553&lt;&gt;"",IF(INDEX(CalcNoteA,$M553)="","—",INDEX(CalcNoteA,$M553)),IF($N553&lt;&gt;"",IF(INDEX(CalcNoteB,$N553)="","—",INDEX(CalcNoteB,$N553)),""))</f>
        <v/>
      </c>
      <c r="M553">
        <f>IFERROR(MATCH($C$5&amp;"|"&amp;RIGHT("000000"&amp;537,6),CalcRankKeyA,0),"")</f>
        <v/>
      </c>
      <c r="N553">
        <f>IFERROR(MATCH($C$5&amp;"|"&amp;RIGHT("000000"&amp;537,6),CalcRankKeyB,0),"")</f>
        <v/>
      </c>
    </row>
    <row r="554">
      <c r="A554" s="26" t="n">
        <v>538</v>
      </c>
      <c r="B554" s="27">
        <f>IF(AND($M554="",$N554=""),"",IF($M554&lt;&gt;"",INDEX(CalcDateA,$M554),INDEX(CalcDateB,$N554)))</f>
        <v/>
      </c>
      <c r="C554" s="27">
        <f>IF($M554&lt;&gt;"","خرید سبد",IF($N554&lt;&gt;"",IF(N(INDEX(CalcDepB,$N554))&gt;0,"دریافت بانکی","پرداخت بانکی"),""))</f>
        <v/>
      </c>
      <c r="D554" s="27">
        <f>IF($M554&lt;&gt;"",IF(INDEX(CalcDocA,$M554)="","—",INDEX(CalcDocA,$M554)),IF($N554&lt;&gt;"",INDEX(CalcBankB,$N554),""))</f>
        <v/>
      </c>
      <c r="E554" s="28">
        <f>IF($N554&lt;&gt;"",IF(INDEX(CalcDepB,$N554)=0,"",INDEX(CalcDepB,$N554)),"")</f>
        <v/>
      </c>
      <c r="F554" s="28">
        <f>IF($M554&lt;&gt;"",IF(INDEX(CalcQtyA,$M554)=0,"",INDEX(CalcQtyA,$M554)),"")</f>
        <v/>
      </c>
      <c r="G554" s="28">
        <f>IF($M554&lt;&gt;"",IF(INDEX(CalcPriceA,$M554)=0,"",INDEX(CalcPriceA,$M554)),"")</f>
        <v/>
      </c>
      <c r="H554" s="28">
        <f>IF($N554&lt;&gt;"",IF(INDEX(CalcWitB,$N554)=0,"",INDEX(CalcWitB,$N554)),"")</f>
        <v/>
      </c>
      <c r="I554" s="29">
        <f>IF($M554&lt;&gt;"",INDEX(CalcAmtA,$M554),"")</f>
        <v/>
      </c>
      <c r="J554" s="29">
        <f>IF($B554="","",IF($J553="",$C$8,$J553)+IF($I554="",0,$I554)+IF($E554="",0,$E554)-IF($H554="",0,$H554))</f>
        <v/>
      </c>
      <c r="K554" s="30">
        <f>IF($M554&lt;&gt;"",IF(INDEX(CalcNoteA,$M554)="","—",INDEX(CalcNoteA,$M554)),IF($N554&lt;&gt;"",IF(INDEX(CalcNoteB,$N554)="","—",INDEX(CalcNoteB,$N554)),""))</f>
        <v/>
      </c>
      <c r="M554">
        <f>IFERROR(MATCH($C$5&amp;"|"&amp;RIGHT("000000"&amp;538,6),CalcRankKeyA,0),"")</f>
        <v/>
      </c>
      <c r="N554">
        <f>IFERROR(MATCH($C$5&amp;"|"&amp;RIGHT("000000"&amp;538,6),CalcRankKeyB,0),"")</f>
        <v/>
      </c>
    </row>
    <row r="555">
      <c r="A555" s="21" t="n">
        <v>539</v>
      </c>
      <c r="B555" s="22">
        <f>IF(AND($M555="",$N555=""),"",IF($M555&lt;&gt;"",INDEX(CalcDateA,$M555),INDEX(CalcDateB,$N555)))</f>
        <v/>
      </c>
      <c r="C555" s="22">
        <f>IF($M555&lt;&gt;"","خرید سبد",IF($N555&lt;&gt;"",IF(N(INDEX(CalcDepB,$N555))&gt;0,"دریافت بانکی","پرداخت بانکی"),""))</f>
        <v/>
      </c>
      <c r="D555" s="22">
        <f>IF($M555&lt;&gt;"",IF(INDEX(CalcDocA,$M555)="","—",INDEX(CalcDocA,$M555)),IF($N555&lt;&gt;"",INDEX(CalcBankB,$N555),""))</f>
        <v/>
      </c>
      <c r="E555" s="23">
        <f>IF($N555&lt;&gt;"",IF(INDEX(CalcDepB,$N555)=0,"",INDEX(CalcDepB,$N555)),"")</f>
        <v/>
      </c>
      <c r="F555" s="23">
        <f>IF($M555&lt;&gt;"",IF(INDEX(CalcQtyA,$M555)=0,"",INDEX(CalcQtyA,$M555)),"")</f>
        <v/>
      </c>
      <c r="G555" s="23">
        <f>IF($M555&lt;&gt;"",IF(INDEX(CalcPriceA,$M555)=0,"",INDEX(CalcPriceA,$M555)),"")</f>
        <v/>
      </c>
      <c r="H555" s="23">
        <f>IF($N555&lt;&gt;"",IF(INDEX(CalcWitB,$N555)=0,"",INDEX(CalcWitB,$N555)),"")</f>
        <v/>
      </c>
      <c r="I555" s="24">
        <f>IF($M555&lt;&gt;"",INDEX(CalcAmtA,$M555),"")</f>
        <v/>
      </c>
      <c r="J555" s="24">
        <f>IF($B555="","",IF($J554="",$C$8,$J554)+IF($I555="",0,$I555)+IF($E555="",0,$E555)-IF($H555="",0,$H555))</f>
        <v/>
      </c>
      <c r="K555" s="25">
        <f>IF($M555&lt;&gt;"",IF(INDEX(CalcNoteA,$M555)="","—",INDEX(CalcNoteA,$M555)),IF($N555&lt;&gt;"",IF(INDEX(CalcNoteB,$N555)="","—",INDEX(CalcNoteB,$N555)),""))</f>
        <v/>
      </c>
      <c r="M555">
        <f>IFERROR(MATCH($C$5&amp;"|"&amp;RIGHT("000000"&amp;539,6),CalcRankKeyA,0),"")</f>
        <v/>
      </c>
      <c r="N555">
        <f>IFERROR(MATCH($C$5&amp;"|"&amp;RIGHT("000000"&amp;539,6),CalcRankKeyB,0),"")</f>
        <v/>
      </c>
    </row>
    <row r="556">
      <c r="A556" s="26" t="n">
        <v>540</v>
      </c>
      <c r="B556" s="27">
        <f>IF(AND($M556="",$N556=""),"",IF($M556&lt;&gt;"",INDEX(CalcDateA,$M556),INDEX(CalcDateB,$N556)))</f>
        <v/>
      </c>
      <c r="C556" s="27">
        <f>IF($M556&lt;&gt;"","خرید سبد",IF($N556&lt;&gt;"",IF(N(INDEX(CalcDepB,$N556))&gt;0,"دریافت بانکی","پرداخت بانکی"),""))</f>
        <v/>
      </c>
      <c r="D556" s="27">
        <f>IF($M556&lt;&gt;"",IF(INDEX(CalcDocA,$M556)="","—",INDEX(CalcDocA,$M556)),IF($N556&lt;&gt;"",INDEX(CalcBankB,$N556),""))</f>
        <v/>
      </c>
      <c r="E556" s="28">
        <f>IF($N556&lt;&gt;"",IF(INDEX(CalcDepB,$N556)=0,"",INDEX(CalcDepB,$N556)),"")</f>
        <v/>
      </c>
      <c r="F556" s="28">
        <f>IF($M556&lt;&gt;"",IF(INDEX(CalcQtyA,$M556)=0,"",INDEX(CalcQtyA,$M556)),"")</f>
        <v/>
      </c>
      <c r="G556" s="28">
        <f>IF($M556&lt;&gt;"",IF(INDEX(CalcPriceA,$M556)=0,"",INDEX(CalcPriceA,$M556)),"")</f>
        <v/>
      </c>
      <c r="H556" s="28">
        <f>IF($N556&lt;&gt;"",IF(INDEX(CalcWitB,$N556)=0,"",INDEX(CalcWitB,$N556)),"")</f>
        <v/>
      </c>
      <c r="I556" s="29">
        <f>IF($M556&lt;&gt;"",INDEX(CalcAmtA,$M556),"")</f>
        <v/>
      </c>
      <c r="J556" s="29">
        <f>IF($B556="","",IF($J555="",$C$8,$J555)+IF($I556="",0,$I556)+IF($E556="",0,$E556)-IF($H556="",0,$H556))</f>
        <v/>
      </c>
      <c r="K556" s="30">
        <f>IF($M556&lt;&gt;"",IF(INDEX(CalcNoteA,$M556)="","—",INDEX(CalcNoteA,$M556)),IF($N556&lt;&gt;"",IF(INDEX(CalcNoteB,$N556)="","—",INDEX(CalcNoteB,$N556)),""))</f>
        <v/>
      </c>
      <c r="M556">
        <f>IFERROR(MATCH($C$5&amp;"|"&amp;RIGHT("000000"&amp;540,6),CalcRankKeyA,0),"")</f>
        <v/>
      </c>
      <c r="N556">
        <f>IFERROR(MATCH($C$5&amp;"|"&amp;RIGHT("000000"&amp;540,6),CalcRankKeyB,0),"")</f>
        <v/>
      </c>
    </row>
    <row r="557">
      <c r="A557" s="21" t="n">
        <v>541</v>
      </c>
      <c r="B557" s="22">
        <f>IF(AND($M557="",$N557=""),"",IF($M557&lt;&gt;"",INDEX(CalcDateA,$M557),INDEX(CalcDateB,$N557)))</f>
        <v/>
      </c>
      <c r="C557" s="22">
        <f>IF($M557&lt;&gt;"","خرید سبد",IF($N557&lt;&gt;"",IF(N(INDEX(CalcDepB,$N557))&gt;0,"دریافت بانکی","پرداخت بانکی"),""))</f>
        <v/>
      </c>
      <c r="D557" s="22">
        <f>IF($M557&lt;&gt;"",IF(INDEX(CalcDocA,$M557)="","—",INDEX(CalcDocA,$M557)),IF($N557&lt;&gt;"",INDEX(CalcBankB,$N557),""))</f>
        <v/>
      </c>
      <c r="E557" s="23">
        <f>IF($N557&lt;&gt;"",IF(INDEX(CalcDepB,$N557)=0,"",INDEX(CalcDepB,$N557)),"")</f>
        <v/>
      </c>
      <c r="F557" s="23">
        <f>IF($M557&lt;&gt;"",IF(INDEX(CalcQtyA,$M557)=0,"",INDEX(CalcQtyA,$M557)),"")</f>
        <v/>
      </c>
      <c r="G557" s="23">
        <f>IF($M557&lt;&gt;"",IF(INDEX(CalcPriceA,$M557)=0,"",INDEX(CalcPriceA,$M557)),"")</f>
        <v/>
      </c>
      <c r="H557" s="23">
        <f>IF($N557&lt;&gt;"",IF(INDEX(CalcWitB,$N557)=0,"",INDEX(CalcWitB,$N557)),"")</f>
        <v/>
      </c>
      <c r="I557" s="24">
        <f>IF($M557&lt;&gt;"",INDEX(CalcAmtA,$M557),"")</f>
        <v/>
      </c>
      <c r="J557" s="24">
        <f>IF($B557="","",IF($J556="",$C$8,$J556)+IF($I557="",0,$I557)+IF($E557="",0,$E557)-IF($H557="",0,$H557))</f>
        <v/>
      </c>
      <c r="K557" s="25">
        <f>IF($M557&lt;&gt;"",IF(INDEX(CalcNoteA,$M557)="","—",INDEX(CalcNoteA,$M557)),IF($N557&lt;&gt;"",IF(INDEX(CalcNoteB,$N557)="","—",INDEX(CalcNoteB,$N557)),""))</f>
        <v/>
      </c>
      <c r="M557">
        <f>IFERROR(MATCH($C$5&amp;"|"&amp;RIGHT("000000"&amp;541,6),CalcRankKeyA,0),"")</f>
        <v/>
      </c>
      <c r="N557">
        <f>IFERROR(MATCH($C$5&amp;"|"&amp;RIGHT("000000"&amp;541,6),CalcRankKeyB,0),"")</f>
        <v/>
      </c>
    </row>
    <row r="558">
      <c r="A558" s="26" t="n">
        <v>542</v>
      </c>
      <c r="B558" s="27">
        <f>IF(AND($M558="",$N558=""),"",IF($M558&lt;&gt;"",INDEX(CalcDateA,$M558),INDEX(CalcDateB,$N558)))</f>
        <v/>
      </c>
      <c r="C558" s="27">
        <f>IF($M558&lt;&gt;"","خرید سبد",IF($N558&lt;&gt;"",IF(N(INDEX(CalcDepB,$N558))&gt;0,"دریافت بانکی","پرداخت بانکی"),""))</f>
        <v/>
      </c>
      <c r="D558" s="27">
        <f>IF($M558&lt;&gt;"",IF(INDEX(CalcDocA,$M558)="","—",INDEX(CalcDocA,$M558)),IF($N558&lt;&gt;"",INDEX(CalcBankB,$N558),""))</f>
        <v/>
      </c>
      <c r="E558" s="28">
        <f>IF($N558&lt;&gt;"",IF(INDEX(CalcDepB,$N558)=0,"",INDEX(CalcDepB,$N558)),"")</f>
        <v/>
      </c>
      <c r="F558" s="28">
        <f>IF($M558&lt;&gt;"",IF(INDEX(CalcQtyA,$M558)=0,"",INDEX(CalcQtyA,$M558)),"")</f>
        <v/>
      </c>
      <c r="G558" s="28">
        <f>IF($M558&lt;&gt;"",IF(INDEX(CalcPriceA,$M558)=0,"",INDEX(CalcPriceA,$M558)),"")</f>
        <v/>
      </c>
      <c r="H558" s="28">
        <f>IF($N558&lt;&gt;"",IF(INDEX(CalcWitB,$N558)=0,"",INDEX(CalcWitB,$N558)),"")</f>
        <v/>
      </c>
      <c r="I558" s="29">
        <f>IF($M558&lt;&gt;"",INDEX(CalcAmtA,$M558),"")</f>
        <v/>
      </c>
      <c r="J558" s="29">
        <f>IF($B558="","",IF($J557="",$C$8,$J557)+IF($I558="",0,$I558)+IF($E558="",0,$E558)-IF($H558="",0,$H558))</f>
        <v/>
      </c>
      <c r="K558" s="30">
        <f>IF($M558&lt;&gt;"",IF(INDEX(CalcNoteA,$M558)="","—",INDEX(CalcNoteA,$M558)),IF($N558&lt;&gt;"",IF(INDEX(CalcNoteB,$N558)="","—",INDEX(CalcNoteB,$N558)),""))</f>
        <v/>
      </c>
      <c r="M558">
        <f>IFERROR(MATCH($C$5&amp;"|"&amp;RIGHT("000000"&amp;542,6),CalcRankKeyA,0),"")</f>
        <v/>
      </c>
      <c r="N558">
        <f>IFERROR(MATCH($C$5&amp;"|"&amp;RIGHT("000000"&amp;542,6),CalcRankKeyB,0),"")</f>
        <v/>
      </c>
    </row>
    <row r="559">
      <c r="A559" s="21" t="n">
        <v>543</v>
      </c>
      <c r="B559" s="22">
        <f>IF(AND($M559="",$N559=""),"",IF($M559&lt;&gt;"",INDEX(CalcDateA,$M559),INDEX(CalcDateB,$N559)))</f>
        <v/>
      </c>
      <c r="C559" s="22">
        <f>IF($M559&lt;&gt;"","خرید سبد",IF($N559&lt;&gt;"",IF(N(INDEX(CalcDepB,$N559))&gt;0,"دریافت بانکی","پرداخت بانکی"),""))</f>
        <v/>
      </c>
      <c r="D559" s="22">
        <f>IF($M559&lt;&gt;"",IF(INDEX(CalcDocA,$M559)="","—",INDEX(CalcDocA,$M559)),IF($N559&lt;&gt;"",INDEX(CalcBankB,$N559),""))</f>
        <v/>
      </c>
      <c r="E559" s="23">
        <f>IF($N559&lt;&gt;"",IF(INDEX(CalcDepB,$N559)=0,"",INDEX(CalcDepB,$N559)),"")</f>
        <v/>
      </c>
      <c r="F559" s="23">
        <f>IF($M559&lt;&gt;"",IF(INDEX(CalcQtyA,$M559)=0,"",INDEX(CalcQtyA,$M559)),"")</f>
        <v/>
      </c>
      <c r="G559" s="23">
        <f>IF($M559&lt;&gt;"",IF(INDEX(CalcPriceA,$M559)=0,"",INDEX(CalcPriceA,$M559)),"")</f>
        <v/>
      </c>
      <c r="H559" s="23">
        <f>IF($N559&lt;&gt;"",IF(INDEX(CalcWitB,$N559)=0,"",INDEX(CalcWitB,$N559)),"")</f>
        <v/>
      </c>
      <c r="I559" s="24">
        <f>IF($M559&lt;&gt;"",INDEX(CalcAmtA,$M559),"")</f>
        <v/>
      </c>
      <c r="J559" s="24">
        <f>IF($B559="","",IF($J558="",$C$8,$J558)+IF($I559="",0,$I559)+IF($E559="",0,$E559)-IF($H559="",0,$H559))</f>
        <v/>
      </c>
      <c r="K559" s="25">
        <f>IF($M559&lt;&gt;"",IF(INDEX(CalcNoteA,$M559)="","—",INDEX(CalcNoteA,$M559)),IF($N559&lt;&gt;"",IF(INDEX(CalcNoteB,$N559)="","—",INDEX(CalcNoteB,$N559)),""))</f>
        <v/>
      </c>
      <c r="M559">
        <f>IFERROR(MATCH($C$5&amp;"|"&amp;RIGHT("000000"&amp;543,6),CalcRankKeyA,0),"")</f>
        <v/>
      </c>
      <c r="N559">
        <f>IFERROR(MATCH($C$5&amp;"|"&amp;RIGHT("000000"&amp;543,6),CalcRankKeyB,0),"")</f>
        <v/>
      </c>
    </row>
    <row r="560">
      <c r="A560" s="26" t="n">
        <v>544</v>
      </c>
      <c r="B560" s="27">
        <f>IF(AND($M560="",$N560=""),"",IF($M560&lt;&gt;"",INDEX(CalcDateA,$M560),INDEX(CalcDateB,$N560)))</f>
        <v/>
      </c>
      <c r="C560" s="27">
        <f>IF($M560&lt;&gt;"","خرید سبد",IF($N560&lt;&gt;"",IF(N(INDEX(CalcDepB,$N560))&gt;0,"دریافت بانکی","پرداخت بانکی"),""))</f>
        <v/>
      </c>
      <c r="D560" s="27">
        <f>IF($M560&lt;&gt;"",IF(INDEX(CalcDocA,$M560)="","—",INDEX(CalcDocA,$M560)),IF($N560&lt;&gt;"",INDEX(CalcBankB,$N560),""))</f>
        <v/>
      </c>
      <c r="E560" s="28">
        <f>IF($N560&lt;&gt;"",IF(INDEX(CalcDepB,$N560)=0,"",INDEX(CalcDepB,$N560)),"")</f>
        <v/>
      </c>
      <c r="F560" s="28">
        <f>IF($M560&lt;&gt;"",IF(INDEX(CalcQtyA,$M560)=0,"",INDEX(CalcQtyA,$M560)),"")</f>
        <v/>
      </c>
      <c r="G560" s="28">
        <f>IF($M560&lt;&gt;"",IF(INDEX(CalcPriceA,$M560)=0,"",INDEX(CalcPriceA,$M560)),"")</f>
        <v/>
      </c>
      <c r="H560" s="28">
        <f>IF($N560&lt;&gt;"",IF(INDEX(CalcWitB,$N560)=0,"",INDEX(CalcWitB,$N560)),"")</f>
        <v/>
      </c>
      <c r="I560" s="29">
        <f>IF($M560&lt;&gt;"",INDEX(CalcAmtA,$M560),"")</f>
        <v/>
      </c>
      <c r="J560" s="29">
        <f>IF($B560="","",IF($J559="",$C$8,$J559)+IF($I560="",0,$I560)+IF($E560="",0,$E560)-IF($H560="",0,$H560))</f>
        <v/>
      </c>
      <c r="K560" s="30">
        <f>IF($M560&lt;&gt;"",IF(INDEX(CalcNoteA,$M560)="","—",INDEX(CalcNoteA,$M560)),IF($N560&lt;&gt;"",IF(INDEX(CalcNoteB,$N560)="","—",INDEX(CalcNoteB,$N560)),""))</f>
        <v/>
      </c>
      <c r="M560">
        <f>IFERROR(MATCH($C$5&amp;"|"&amp;RIGHT("000000"&amp;544,6),CalcRankKeyA,0),"")</f>
        <v/>
      </c>
      <c r="N560">
        <f>IFERROR(MATCH($C$5&amp;"|"&amp;RIGHT("000000"&amp;544,6),CalcRankKeyB,0),"")</f>
        <v/>
      </c>
    </row>
    <row r="561">
      <c r="A561" s="21" t="n">
        <v>545</v>
      </c>
      <c r="B561" s="22">
        <f>IF(AND($M561="",$N561=""),"",IF($M561&lt;&gt;"",INDEX(CalcDateA,$M561),INDEX(CalcDateB,$N561)))</f>
        <v/>
      </c>
      <c r="C561" s="22">
        <f>IF($M561&lt;&gt;"","خرید سبد",IF($N561&lt;&gt;"",IF(N(INDEX(CalcDepB,$N561))&gt;0,"دریافت بانکی","پرداخت بانکی"),""))</f>
        <v/>
      </c>
      <c r="D561" s="22">
        <f>IF($M561&lt;&gt;"",IF(INDEX(CalcDocA,$M561)="","—",INDEX(CalcDocA,$M561)),IF($N561&lt;&gt;"",INDEX(CalcBankB,$N561),""))</f>
        <v/>
      </c>
      <c r="E561" s="23">
        <f>IF($N561&lt;&gt;"",IF(INDEX(CalcDepB,$N561)=0,"",INDEX(CalcDepB,$N561)),"")</f>
        <v/>
      </c>
      <c r="F561" s="23">
        <f>IF($M561&lt;&gt;"",IF(INDEX(CalcQtyA,$M561)=0,"",INDEX(CalcQtyA,$M561)),"")</f>
        <v/>
      </c>
      <c r="G561" s="23">
        <f>IF($M561&lt;&gt;"",IF(INDEX(CalcPriceA,$M561)=0,"",INDEX(CalcPriceA,$M561)),"")</f>
        <v/>
      </c>
      <c r="H561" s="23">
        <f>IF($N561&lt;&gt;"",IF(INDEX(CalcWitB,$N561)=0,"",INDEX(CalcWitB,$N561)),"")</f>
        <v/>
      </c>
      <c r="I561" s="24">
        <f>IF($M561&lt;&gt;"",INDEX(CalcAmtA,$M561),"")</f>
        <v/>
      </c>
      <c r="J561" s="24">
        <f>IF($B561="","",IF($J560="",$C$8,$J560)+IF($I561="",0,$I561)+IF($E561="",0,$E561)-IF($H561="",0,$H561))</f>
        <v/>
      </c>
      <c r="K561" s="25">
        <f>IF($M561&lt;&gt;"",IF(INDEX(CalcNoteA,$M561)="","—",INDEX(CalcNoteA,$M561)),IF($N561&lt;&gt;"",IF(INDEX(CalcNoteB,$N561)="","—",INDEX(CalcNoteB,$N561)),""))</f>
        <v/>
      </c>
      <c r="M561">
        <f>IFERROR(MATCH($C$5&amp;"|"&amp;RIGHT("000000"&amp;545,6),CalcRankKeyA,0),"")</f>
        <v/>
      </c>
      <c r="N561">
        <f>IFERROR(MATCH($C$5&amp;"|"&amp;RIGHT("000000"&amp;545,6),CalcRankKeyB,0),"")</f>
        <v/>
      </c>
    </row>
    <row r="562">
      <c r="A562" s="26" t="n">
        <v>546</v>
      </c>
      <c r="B562" s="27">
        <f>IF(AND($M562="",$N562=""),"",IF($M562&lt;&gt;"",INDEX(CalcDateA,$M562),INDEX(CalcDateB,$N562)))</f>
        <v/>
      </c>
      <c r="C562" s="27">
        <f>IF($M562&lt;&gt;"","خرید سبد",IF($N562&lt;&gt;"",IF(N(INDEX(CalcDepB,$N562))&gt;0,"دریافت بانکی","پرداخت بانکی"),""))</f>
        <v/>
      </c>
      <c r="D562" s="27">
        <f>IF($M562&lt;&gt;"",IF(INDEX(CalcDocA,$M562)="","—",INDEX(CalcDocA,$M562)),IF($N562&lt;&gt;"",INDEX(CalcBankB,$N562),""))</f>
        <v/>
      </c>
      <c r="E562" s="28">
        <f>IF($N562&lt;&gt;"",IF(INDEX(CalcDepB,$N562)=0,"",INDEX(CalcDepB,$N562)),"")</f>
        <v/>
      </c>
      <c r="F562" s="28">
        <f>IF($M562&lt;&gt;"",IF(INDEX(CalcQtyA,$M562)=0,"",INDEX(CalcQtyA,$M562)),"")</f>
        <v/>
      </c>
      <c r="G562" s="28">
        <f>IF($M562&lt;&gt;"",IF(INDEX(CalcPriceA,$M562)=0,"",INDEX(CalcPriceA,$M562)),"")</f>
        <v/>
      </c>
      <c r="H562" s="28">
        <f>IF($N562&lt;&gt;"",IF(INDEX(CalcWitB,$N562)=0,"",INDEX(CalcWitB,$N562)),"")</f>
        <v/>
      </c>
      <c r="I562" s="29">
        <f>IF($M562&lt;&gt;"",INDEX(CalcAmtA,$M562),"")</f>
        <v/>
      </c>
      <c r="J562" s="29">
        <f>IF($B562="","",IF($J561="",$C$8,$J561)+IF($I562="",0,$I562)+IF($E562="",0,$E562)-IF($H562="",0,$H562))</f>
        <v/>
      </c>
      <c r="K562" s="30">
        <f>IF($M562&lt;&gt;"",IF(INDEX(CalcNoteA,$M562)="","—",INDEX(CalcNoteA,$M562)),IF($N562&lt;&gt;"",IF(INDEX(CalcNoteB,$N562)="","—",INDEX(CalcNoteB,$N562)),""))</f>
        <v/>
      </c>
      <c r="M562">
        <f>IFERROR(MATCH($C$5&amp;"|"&amp;RIGHT("000000"&amp;546,6),CalcRankKeyA,0),"")</f>
        <v/>
      </c>
      <c r="N562">
        <f>IFERROR(MATCH($C$5&amp;"|"&amp;RIGHT("000000"&amp;546,6),CalcRankKeyB,0),"")</f>
        <v/>
      </c>
    </row>
    <row r="563">
      <c r="A563" s="21" t="n">
        <v>547</v>
      </c>
      <c r="B563" s="22">
        <f>IF(AND($M563="",$N563=""),"",IF($M563&lt;&gt;"",INDEX(CalcDateA,$M563),INDEX(CalcDateB,$N563)))</f>
        <v/>
      </c>
      <c r="C563" s="22">
        <f>IF($M563&lt;&gt;"","خرید سبد",IF($N563&lt;&gt;"",IF(N(INDEX(CalcDepB,$N563))&gt;0,"دریافت بانکی","پرداخت بانکی"),""))</f>
        <v/>
      </c>
      <c r="D563" s="22">
        <f>IF($M563&lt;&gt;"",IF(INDEX(CalcDocA,$M563)="","—",INDEX(CalcDocA,$M563)),IF($N563&lt;&gt;"",INDEX(CalcBankB,$N563),""))</f>
        <v/>
      </c>
      <c r="E563" s="23">
        <f>IF($N563&lt;&gt;"",IF(INDEX(CalcDepB,$N563)=0,"",INDEX(CalcDepB,$N563)),"")</f>
        <v/>
      </c>
      <c r="F563" s="23">
        <f>IF($M563&lt;&gt;"",IF(INDEX(CalcQtyA,$M563)=0,"",INDEX(CalcQtyA,$M563)),"")</f>
        <v/>
      </c>
      <c r="G563" s="23">
        <f>IF($M563&lt;&gt;"",IF(INDEX(CalcPriceA,$M563)=0,"",INDEX(CalcPriceA,$M563)),"")</f>
        <v/>
      </c>
      <c r="H563" s="23">
        <f>IF($N563&lt;&gt;"",IF(INDEX(CalcWitB,$N563)=0,"",INDEX(CalcWitB,$N563)),"")</f>
        <v/>
      </c>
      <c r="I563" s="24">
        <f>IF($M563&lt;&gt;"",INDEX(CalcAmtA,$M563),"")</f>
        <v/>
      </c>
      <c r="J563" s="24">
        <f>IF($B563="","",IF($J562="",$C$8,$J562)+IF($I563="",0,$I563)+IF($E563="",0,$E563)-IF($H563="",0,$H563))</f>
        <v/>
      </c>
      <c r="K563" s="25">
        <f>IF($M563&lt;&gt;"",IF(INDEX(CalcNoteA,$M563)="","—",INDEX(CalcNoteA,$M563)),IF($N563&lt;&gt;"",IF(INDEX(CalcNoteB,$N563)="","—",INDEX(CalcNoteB,$N563)),""))</f>
        <v/>
      </c>
      <c r="M563">
        <f>IFERROR(MATCH($C$5&amp;"|"&amp;RIGHT("000000"&amp;547,6),CalcRankKeyA,0),"")</f>
        <v/>
      </c>
      <c r="N563">
        <f>IFERROR(MATCH($C$5&amp;"|"&amp;RIGHT("000000"&amp;547,6),CalcRankKeyB,0),"")</f>
        <v/>
      </c>
    </row>
    <row r="564">
      <c r="A564" s="26" t="n">
        <v>548</v>
      </c>
      <c r="B564" s="27">
        <f>IF(AND($M564="",$N564=""),"",IF($M564&lt;&gt;"",INDEX(CalcDateA,$M564),INDEX(CalcDateB,$N564)))</f>
        <v/>
      </c>
      <c r="C564" s="27">
        <f>IF($M564&lt;&gt;"","خرید سبد",IF($N564&lt;&gt;"",IF(N(INDEX(CalcDepB,$N564))&gt;0,"دریافت بانکی","پرداخت بانکی"),""))</f>
        <v/>
      </c>
      <c r="D564" s="27">
        <f>IF($M564&lt;&gt;"",IF(INDEX(CalcDocA,$M564)="","—",INDEX(CalcDocA,$M564)),IF($N564&lt;&gt;"",INDEX(CalcBankB,$N564),""))</f>
        <v/>
      </c>
      <c r="E564" s="28">
        <f>IF($N564&lt;&gt;"",IF(INDEX(CalcDepB,$N564)=0,"",INDEX(CalcDepB,$N564)),"")</f>
        <v/>
      </c>
      <c r="F564" s="28">
        <f>IF($M564&lt;&gt;"",IF(INDEX(CalcQtyA,$M564)=0,"",INDEX(CalcQtyA,$M564)),"")</f>
        <v/>
      </c>
      <c r="G564" s="28">
        <f>IF($M564&lt;&gt;"",IF(INDEX(CalcPriceA,$M564)=0,"",INDEX(CalcPriceA,$M564)),"")</f>
        <v/>
      </c>
      <c r="H564" s="28">
        <f>IF($N564&lt;&gt;"",IF(INDEX(CalcWitB,$N564)=0,"",INDEX(CalcWitB,$N564)),"")</f>
        <v/>
      </c>
      <c r="I564" s="29">
        <f>IF($M564&lt;&gt;"",INDEX(CalcAmtA,$M564),"")</f>
        <v/>
      </c>
      <c r="J564" s="29">
        <f>IF($B564="","",IF($J563="",$C$8,$J563)+IF($I564="",0,$I564)+IF($E564="",0,$E564)-IF($H564="",0,$H564))</f>
        <v/>
      </c>
      <c r="K564" s="30">
        <f>IF($M564&lt;&gt;"",IF(INDEX(CalcNoteA,$M564)="","—",INDEX(CalcNoteA,$M564)),IF($N564&lt;&gt;"",IF(INDEX(CalcNoteB,$N564)="","—",INDEX(CalcNoteB,$N564)),""))</f>
        <v/>
      </c>
      <c r="M564">
        <f>IFERROR(MATCH($C$5&amp;"|"&amp;RIGHT("000000"&amp;548,6),CalcRankKeyA,0),"")</f>
        <v/>
      </c>
      <c r="N564">
        <f>IFERROR(MATCH($C$5&amp;"|"&amp;RIGHT("000000"&amp;548,6),CalcRankKeyB,0),"")</f>
        <v/>
      </c>
    </row>
    <row r="565">
      <c r="A565" s="21" t="n">
        <v>549</v>
      </c>
      <c r="B565" s="22">
        <f>IF(AND($M565="",$N565=""),"",IF($M565&lt;&gt;"",INDEX(CalcDateA,$M565),INDEX(CalcDateB,$N565)))</f>
        <v/>
      </c>
      <c r="C565" s="22">
        <f>IF($M565&lt;&gt;"","خرید سبد",IF($N565&lt;&gt;"",IF(N(INDEX(CalcDepB,$N565))&gt;0,"دریافت بانکی","پرداخت بانکی"),""))</f>
        <v/>
      </c>
      <c r="D565" s="22">
        <f>IF($M565&lt;&gt;"",IF(INDEX(CalcDocA,$M565)="","—",INDEX(CalcDocA,$M565)),IF($N565&lt;&gt;"",INDEX(CalcBankB,$N565),""))</f>
        <v/>
      </c>
      <c r="E565" s="23">
        <f>IF($N565&lt;&gt;"",IF(INDEX(CalcDepB,$N565)=0,"",INDEX(CalcDepB,$N565)),"")</f>
        <v/>
      </c>
      <c r="F565" s="23">
        <f>IF($M565&lt;&gt;"",IF(INDEX(CalcQtyA,$M565)=0,"",INDEX(CalcQtyA,$M565)),"")</f>
        <v/>
      </c>
      <c r="G565" s="23">
        <f>IF($M565&lt;&gt;"",IF(INDEX(CalcPriceA,$M565)=0,"",INDEX(CalcPriceA,$M565)),"")</f>
        <v/>
      </c>
      <c r="H565" s="23">
        <f>IF($N565&lt;&gt;"",IF(INDEX(CalcWitB,$N565)=0,"",INDEX(CalcWitB,$N565)),"")</f>
        <v/>
      </c>
      <c r="I565" s="24">
        <f>IF($M565&lt;&gt;"",INDEX(CalcAmtA,$M565),"")</f>
        <v/>
      </c>
      <c r="J565" s="24">
        <f>IF($B565="","",IF($J564="",$C$8,$J564)+IF($I565="",0,$I565)+IF($E565="",0,$E565)-IF($H565="",0,$H565))</f>
        <v/>
      </c>
      <c r="K565" s="25">
        <f>IF($M565&lt;&gt;"",IF(INDEX(CalcNoteA,$M565)="","—",INDEX(CalcNoteA,$M565)),IF($N565&lt;&gt;"",IF(INDEX(CalcNoteB,$N565)="","—",INDEX(CalcNoteB,$N565)),""))</f>
        <v/>
      </c>
      <c r="M565">
        <f>IFERROR(MATCH($C$5&amp;"|"&amp;RIGHT("000000"&amp;549,6),CalcRankKeyA,0),"")</f>
        <v/>
      </c>
      <c r="N565">
        <f>IFERROR(MATCH($C$5&amp;"|"&amp;RIGHT("000000"&amp;549,6),CalcRankKeyB,0),"")</f>
        <v/>
      </c>
    </row>
    <row r="566">
      <c r="A566" s="26" t="n">
        <v>550</v>
      </c>
      <c r="B566" s="27">
        <f>IF(AND($M566="",$N566=""),"",IF($M566&lt;&gt;"",INDEX(CalcDateA,$M566),INDEX(CalcDateB,$N566)))</f>
        <v/>
      </c>
      <c r="C566" s="27">
        <f>IF($M566&lt;&gt;"","خرید سبد",IF($N566&lt;&gt;"",IF(N(INDEX(CalcDepB,$N566))&gt;0,"دریافت بانکی","پرداخت بانکی"),""))</f>
        <v/>
      </c>
      <c r="D566" s="27">
        <f>IF($M566&lt;&gt;"",IF(INDEX(CalcDocA,$M566)="","—",INDEX(CalcDocA,$M566)),IF($N566&lt;&gt;"",INDEX(CalcBankB,$N566),""))</f>
        <v/>
      </c>
      <c r="E566" s="28">
        <f>IF($N566&lt;&gt;"",IF(INDEX(CalcDepB,$N566)=0,"",INDEX(CalcDepB,$N566)),"")</f>
        <v/>
      </c>
      <c r="F566" s="28">
        <f>IF($M566&lt;&gt;"",IF(INDEX(CalcQtyA,$M566)=0,"",INDEX(CalcQtyA,$M566)),"")</f>
        <v/>
      </c>
      <c r="G566" s="28">
        <f>IF($M566&lt;&gt;"",IF(INDEX(CalcPriceA,$M566)=0,"",INDEX(CalcPriceA,$M566)),"")</f>
        <v/>
      </c>
      <c r="H566" s="28">
        <f>IF($N566&lt;&gt;"",IF(INDEX(CalcWitB,$N566)=0,"",INDEX(CalcWitB,$N566)),"")</f>
        <v/>
      </c>
      <c r="I566" s="29">
        <f>IF($M566&lt;&gt;"",INDEX(CalcAmtA,$M566),"")</f>
        <v/>
      </c>
      <c r="J566" s="29">
        <f>IF($B566="","",IF($J565="",$C$8,$J565)+IF($I566="",0,$I566)+IF($E566="",0,$E566)-IF($H566="",0,$H566))</f>
        <v/>
      </c>
      <c r="K566" s="30">
        <f>IF($M566&lt;&gt;"",IF(INDEX(CalcNoteA,$M566)="","—",INDEX(CalcNoteA,$M566)),IF($N566&lt;&gt;"",IF(INDEX(CalcNoteB,$N566)="","—",INDEX(CalcNoteB,$N566)),""))</f>
        <v/>
      </c>
      <c r="M566">
        <f>IFERROR(MATCH($C$5&amp;"|"&amp;RIGHT("000000"&amp;550,6),CalcRankKeyA,0),"")</f>
        <v/>
      </c>
      <c r="N566">
        <f>IFERROR(MATCH($C$5&amp;"|"&amp;RIGHT("000000"&amp;550,6),CalcRankKeyB,0),"")</f>
        <v/>
      </c>
    </row>
    <row r="567">
      <c r="A567" s="21" t="n">
        <v>551</v>
      </c>
      <c r="B567" s="22">
        <f>IF(AND($M567="",$N567=""),"",IF($M567&lt;&gt;"",INDEX(CalcDateA,$M567),INDEX(CalcDateB,$N567)))</f>
        <v/>
      </c>
      <c r="C567" s="22">
        <f>IF($M567&lt;&gt;"","خرید سبد",IF($N567&lt;&gt;"",IF(N(INDEX(CalcDepB,$N567))&gt;0,"دریافت بانکی","پرداخت بانکی"),""))</f>
        <v/>
      </c>
      <c r="D567" s="22">
        <f>IF($M567&lt;&gt;"",IF(INDEX(CalcDocA,$M567)="","—",INDEX(CalcDocA,$M567)),IF($N567&lt;&gt;"",INDEX(CalcBankB,$N567),""))</f>
        <v/>
      </c>
      <c r="E567" s="23">
        <f>IF($N567&lt;&gt;"",IF(INDEX(CalcDepB,$N567)=0,"",INDEX(CalcDepB,$N567)),"")</f>
        <v/>
      </c>
      <c r="F567" s="23">
        <f>IF($M567&lt;&gt;"",IF(INDEX(CalcQtyA,$M567)=0,"",INDEX(CalcQtyA,$M567)),"")</f>
        <v/>
      </c>
      <c r="G567" s="23">
        <f>IF($M567&lt;&gt;"",IF(INDEX(CalcPriceA,$M567)=0,"",INDEX(CalcPriceA,$M567)),"")</f>
        <v/>
      </c>
      <c r="H567" s="23">
        <f>IF($N567&lt;&gt;"",IF(INDEX(CalcWitB,$N567)=0,"",INDEX(CalcWitB,$N567)),"")</f>
        <v/>
      </c>
      <c r="I567" s="24">
        <f>IF($M567&lt;&gt;"",INDEX(CalcAmtA,$M567),"")</f>
        <v/>
      </c>
      <c r="J567" s="24">
        <f>IF($B567="","",IF($J566="",$C$8,$J566)+IF($I567="",0,$I567)+IF($E567="",0,$E567)-IF($H567="",0,$H567))</f>
        <v/>
      </c>
      <c r="K567" s="25">
        <f>IF($M567&lt;&gt;"",IF(INDEX(CalcNoteA,$M567)="","—",INDEX(CalcNoteA,$M567)),IF($N567&lt;&gt;"",IF(INDEX(CalcNoteB,$N567)="","—",INDEX(CalcNoteB,$N567)),""))</f>
        <v/>
      </c>
      <c r="M567">
        <f>IFERROR(MATCH($C$5&amp;"|"&amp;RIGHT("000000"&amp;551,6),CalcRankKeyA,0),"")</f>
        <v/>
      </c>
      <c r="N567">
        <f>IFERROR(MATCH($C$5&amp;"|"&amp;RIGHT("000000"&amp;551,6),CalcRankKeyB,0),"")</f>
        <v/>
      </c>
    </row>
    <row r="568">
      <c r="A568" s="26" t="n">
        <v>552</v>
      </c>
      <c r="B568" s="27">
        <f>IF(AND($M568="",$N568=""),"",IF($M568&lt;&gt;"",INDEX(CalcDateA,$M568),INDEX(CalcDateB,$N568)))</f>
        <v/>
      </c>
      <c r="C568" s="27">
        <f>IF($M568&lt;&gt;"","خرید سبد",IF($N568&lt;&gt;"",IF(N(INDEX(CalcDepB,$N568))&gt;0,"دریافت بانکی","پرداخت بانکی"),""))</f>
        <v/>
      </c>
      <c r="D568" s="27">
        <f>IF($M568&lt;&gt;"",IF(INDEX(CalcDocA,$M568)="","—",INDEX(CalcDocA,$M568)),IF($N568&lt;&gt;"",INDEX(CalcBankB,$N568),""))</f>
        <v/>
      </c>
      <c r="E568" s="28">
        <f>IF($N568&lt;&gt;"",IF(INDEX(CalcDepB,$N568)=0,"",INDEX(CalcDepB,$N568)),"")</f>
        <v/>
      </c>
      <c r="F568" s="28">
        <f>IF($M568&lt;&gt;"",IF(INDEX(CalcQtyA,$M568)=0,"",INDEX(CalcQtyA,$M568)),"")</f>
        <v/>
      </c>
      <c r="G568" s="28">
        <f>IF($M568&lt;&gt;"",IF(INDEX(CalcPriceA,$M568)=0,"",INDEX(CalcPriceA,$M568)),"")</f>
        <v/>
      </c>
      <c r="H568" s="28">
        <f>IF($N568&lt;&gt;"",IF(INDEX(CalcWitB,$N568)=0,"",INDEX(CalcWitB,$N568)),"")</f>
        <v/>
      </c>
      <c r="I568" s="29">
        <f>IF($M568&lt;&gt;"",INDEX(CalcAmtA,$M568),"")</f>
        <v/>
      </c>
      <c r="J568" s="29">
        <f>IF($B568="","",IF($J567="",$C$8,$J567)+IF($I568="",0,$I568)+IF($E568="",0,$E568)-IF($H568="",0,$H568))</f>
        <v/>
      </c>
      <c r="K568" s="30">
        <f>IF($M568&lt;&gt;"",IF(INDEX(CalcNoteA,$M568)="","—",INDEX(CalcNoteA,$M568)),IF($N568&lt;&gt;"",IF(INDEX(CalcNoteB,$N568)="","—",INDEX(CalcNoteB,$N568)),""))</f>
        <v/>
      </c>
      <c r="M568">
        <f>IFERROR(MATCH($C$5&amp;"|"&amp;RIGHT("000000"&amp;552,6),CalcRankKeyA,0),"")</f>
        <v/>
      </c>
      <c r="N568">
        <f>IFERROR(MATCH($C$5&amp;"|"&amp;RIGHT("000000"&amp;552,6),CalcRankKeyB,0),"")</f>
        <v/>
      </c>
    </row>
    <row r="569">
      <c r="A569" s="21" t="n">
        <v>553</v>
      </c>
      <c r="B569" s="22">
        <f>IF(AND($M569="",$N569=""),"",IF($M569&lt;&gt;"",INDEX(CalcDateA,$M569),INDEX(CalcDateB,$N569)))</f>
        <v/>
      </c>
      <c r="C569" s="22">
        <f>IF($M569&lt;&gt;"","خرید سبد",IF($N569&lt;&gt;"",IF(N(INDEX(CalcDepB,$N569))&gt;0,"دریافت بانکی","پرداخت بانکی"),""))</f>
        <v/>
      </c>
      <c r="D569" s="22">
        <f>IF($M569&lt;&gt;"",IF(INDEX(CalcDocA,$M569)="","—",INDEX(CalcDocA,$M569)),IF($N569&lt;&gt;"",INDEX(CalcBankB,$N569),""))</f>
        <v/>
      </c>
      <c r="E569" s="23">
        <f>IF($N569&lt;&gt;"",IF(INDEX(CalcDepB,$N569)=0,"",INDEX(CalcDepB,$N569)),"")</f>
        <v/>
      </c>
      <c r="F569" s="23">
        <f>IF($M569&lt;&gt;"",IF(INDEX(CalcQtyA,$M569)=0,"",INDEX(CalcQtyA,$M569)),"")</f>
        <v/>
      </c>
      <c r="G569" s="23">
        <f>IF($M569&lt;&gt;"",IF(INDEX(CalcPriceA,$M569)=0,"",INDEX(CalcPriceA,$M569)),"")</f>
        <v/>
      </c>
      <c r="H569" s="23">
        <f>IF($N569&lt;&gt;"",IF(INDEX(CalcWitB,$N569)=0,"",INDEX(CalcWitB,$N569)),"")</f>
        <v/>
      </c>
      <c r="I569" s="24">
        <f>IF($M569&lt;&gt;"",INDEX(CalcAmtA,$M569),"")</f>
        <v/>
      </c>
      <c r="J569" s="24">
        <f>IF($B569="","",IF($J568="",$C$8,$J568)+IF($I569="",0,$I569)+IF($E569="",0,$E569)-IF($H569="",0,$H569))</f>
        <v/>
      </c>
      <c r="K569" s="25">
        <f>IF($M569&lt;&gt;"",IF(INDEX(CalcNoteA,$M569)="","—",INDEX(CalcNoteA,$M569)),IF($N569&lt;&gt;"",IF(INDEX(CalcNoteB,$N569)="","—",INDEX(CalcNoteB,$N569)),""))</f>
        <v/>
      </c>
      <c r="M569">
        <f>IFERROR(MATCH($C$5&amp;"|"&amp;RIGHT("000000"&amp;553,6),CalcRankKeyA,0),"")</f>
        <v/>
      </c>
      <c r="N569">
        <f>IFERROR(MATCH($C$5&amp;"|"&amp;RIGHT("000000"&amp;553,6),CalcRankKeyB,0),"")</f>
        <v/>
      </c>
    </row>
    <row r="570">
      <c r="A570" s="26" t="n">
        <v>554</v>
      </c>
      <c r="B570" s="27">
        <f>IF(AND($M570="",$N570=""),"",IF($M570&lt;&gt;"",INDEX(CalcDateA,$M570),INDEX(CalcDateB,$N570)))</f>
        <v/>
      </c>
      <c r="C570" s="27">
        <f>IF($M570&lt;&gt;"","خرید سبد",IF($N570&lt;&gt;"",IF(N(INDEX(CalcDepB,$N570))&gt;0,"دریافت بانکی","پرداخت بانکی"),""))</f>
        <v/>
      </c>
      <c r="D570" s="27">
        <f>IF($M570&lt;&gt;"",IF(INDEX(CalcDocA,$M570)="","—",INDEX(CalcDocA,$M570)),IF($N570&lt;&gt;"",INDEX(CalcBankB,$N570),""))</f>
        <v/>
      </c>
      <c r="E570" s="28">
        <f>IF($N570&lt;&gt;"",IF(INDEX(CalcDepB,$N570)=0,"",INDEX(CalcDepB,$N570)),"")</f>
        <v/>
      </c>
      <c r="F570" s="28">
        <f>IF($M570&lt;&gt;"",IF(INDEX(CalcQtyA,$M570)=0,"",INDEX(CalcQtyA,$M570)),"")</f>
        <v/>
      </c>
      <c r="G570" s="28">
        <f>IF($M570&lt;&gt;"",IF(INDEX(CalcPriceA,$M570)=0,"",INDEX(CalcPriceA,$M570)),"")</f>
        <v/>
      </c>
      <c r="H570" s="28">
        <f>IF($N570&lt;&gt;"",IF(INDEX(CalcWitB,$N570)=0,"",INDEX(CalcWitB,$N570)),"")</f>
        <v/>
      </c>
      <c r="I570" s="29">
        <f>IF($M570&lt;&gt;"",INDEX(CalcAmtA,$M570),"")</f>
        <v/>
      </c>
      <c r="J570" s="29">
        <f>IF($B570="","",IF($J569="",$C$8,$J569)+IF($I570="",0,$I570)+IF($E570="",0,$E570)-IF($H570="",0,$H570))</f>
        <v/>
      </c>
      <c r="K570" s="30">
        <f>IF($M570&lt;&gt;"",IF(INDEX(CalcNoteA,$M570)="","—",INDEX(CalcNoteA,$M570)),IF($N570&lt;&gt;"",IF(INDEX(CalcNoteB,$N570)="","—",INDEX(CalcNoteB,$N570)),""))</f>
        <v/>
      </c>
      <c r="M570">
        <f>IFERROR(MATCH($C$5&amp;"|"&amp;RIGHT("000000"&amp;554,6),CalcRankKeyA,0),"")</f>
        <v/>
      </c>
      <c r="N570">
        <f>IFERROR(MATCH($C$5&amp;"|"&amp;RIGHT("000000"&amp;554,6),CalcRankKeyB,0),"")</f>
        <v/>
      </c>
    </row>
    <row r="571">
      <c r="A571" s="21" t="n">
        <v>555</v>
      </c>
      <c r="B571" s="22">
        <f>IF(AND($M571="",$N571=""),"",IF($M571&lt;&gt;"",INDEX(CalcDateA,$M571),INDEX(CalcDateB,$N571)))</f>
        <v/>
      </c>
      <c r="C571" s="22">
        <f>IF($M571&lt;&gt;"","خرید سبد",IF($N571&lt;&gt;"",IF(N(INDEX(CalcDepB,$N571))&gt;0,"دریافت بانکی","پرداخت بانکی"),""))</f>
        <v/>
      </c>
      <c r="D571" s="22">
        <f>IF($M571&lt;&gt;"",IF(INDEX(CalcDocA,$M571)="","—",INDEX(CalcDocA,$M571)),IF($N571&lt;&gt;"",INDEX(CalcBankB,$N571),""))</f>
        <v/>
      </c>
      <c r="E571" s="23">
        <f>IF($N571&lt;&gt;"",IF(INDEX(CalcDepB,$N571)=0,"",INDEX(CalcDepB,$N571)),"")</f>
        <v/>
      </c>
      <c r="F571" s="23">
        <f>IF($M571&lt;&gt;"",IF(INDEX(CalcQtyA,$M571)=0,"",INDEX(CalcQtyA,$M571)),"")</f>
        <v/>
      </c>
      <c r="G571" s="23">
        <f>IF($M571&lt;&gt;"",IF(INDEX(CalcPriceA,$M571)=0,"",INDEX(CalcPriceA,$M571)),"")</f>
        <v/>
      </c>
      <c r="H571" s="23">
        <f>IF($N571&lt;&gt;"",IF(INDEX(CalcWitB,$N571)=0,"",INDEX(CalcWitB,$N571)),"")</f>
        <v/>
      </c>
      <c r="I571" s="24">
        <f>IF($M571&lt;&gt;"",INDEX(CalcAmtA,$M571),"")</f>
        <v/>
      </c>
      <c r="J571" s="24">
        <f>IF($B571="","",IF($J570="",$C$8,$J570)+IF($I571="",0,$I571)+IF($E571="",0,$E571)-IF($H571="",0,$H571))</f>
        <v/>
      </c>
      <c r="K571" s="25">
        <f>IF($M571&lt;&gt;"",IF(INDEX(CalcNoteA,$M571)="","—",INDEX(CalcNoteA,$M571)),IF($N571&lt;&gt;"",IF(INDEX(CalcNoteB,$N571)="","—",INDEX(CalcNoteB,$N571)),""))</f>
        <v/>
      </c>
      <c r="M571">
        <f>IFERROR(MATCH($C$5&amp;"|"&amp;RIGHT("000000"&amp;555,6),CalcRankKeyA,0),"")</f>
        <v/>
      </c>
      <c r="N571">
        <f>IFERROR(MATCH($C$5&amp;"|"&amp;RIGHT("000000"&amp;555,6),CalcRankKeyB,0),"")</f>
        <v/>
      </c>
    </row>
    <row r="572">
      <c r="A572" s="26" t="n">
        <v>556</v>
      </c>
      <c r="B572" s="27">
        <f>IF(AND($M572="",$N572=""),"",IF($M572&lt;&gt;"",INDEX(CalcDateA,$M572),INDEX(CalcDateB,$N572)))</f>
        <v/>
      </c>
      <c r="C572" s="27">
        <f>IF($M572&lt;&gt;"","خرید سبد",IF($N572&lt;&gt;"",IF(N(INDEX(CalcDepB,$N572))&gt;0,"دریافت بانکی","پرداخت بانکی"),""))</f>
        <v/>
      </c>
      <c r="D572" s="27">
        <f>IF($M572&lt;&gt;"",IF(INDEX(CalcDocA,$M572)="","—",INDEX(CalcDocA,$M572)),IF($N572&lt;&gt;"",INDEX(CalcBankB,$N572),""))</f>
        <v/>
      </c>
      <c r="E572" s="28">
        <f>IF($N572&lt;&gt;"",IF(INDEX(CalcDepB,$N572)=0,"",INDEX(CalcDepB,$N572)),"")</f>
        <v/>
      </c>
      <c r="F572" s="28">
        <f>IF($M572&lt;&gt;"",IF(INDEX(CalcQtyA,$M572)=0,"",INDEX(CalcQtyA,$M572)),"")</f>
        <v/>
      </c>
      <c r="G572" s="28">
        <f>IF($M572&lt;&gt;"",IF(INDEX(CalcPriceA,$M572)=0,"",INDEX(CalcPriceA,$M572)),"")</f>
        <v/>
      </c>
      <c r="H572" s="28">
        <f>IF($N572&lt;&gt;"",IF(INDEX(CalcWitB,$N572)=0,"",INDEX(CalcWitB,$N572)),"")</f>
        <v/>
      </c>
      <c r="I572" s="29">
        <f>IF($M572&lt;&gt;"",INDEX(CalcAmtA,$M572),"")</f>
        <v/>
      </c>
      <c r="J572" s="29">
        <f>IF($B572="","",IF($J571="",$C$8,$J571)+IF($I572="",0,$I572)+IF($E572="",0,$E572)-IF($H572="",0,$H572))</f>
        <v/>
      </c>
      <c r="K572" s="30">
        <f>IF($M572&lt;&gt;"",IF(INDEX(CalcNoteA,$M572)="","—",INDEX(CalcNoteA,$M572)),IF($N572&lt;&gt;"",IF(INDEX(CalcNoteB,$N572)="","—",INDEX(CalcNoteB,$N572)),""))</f>
        <v/>
      </c>
      <c r="M572">
        <f>IFERROR(MATCH($C$5&amp;"|"&amp;RIGHT("000000"&amp;556,6),CalcRankKeyA,0),"")</f>
        <v/>
      </c>
      <c r="N572">
        <f>IFERROR(MATCH($C$5&amp;"|"&amp;RIGHT("000000"&amp;556,6),CalcRankKeyB,0),"")</f>
        <v/>
      </c>
    </row>
    <row r="573">
      <c r="A573" s="21" t="n">
        <v>557</v>
      </c>
      <c r="B573" s="22">
        <f>IF(AND($M573="",$N573=""),"",IF($M573&lt;&gt;"",INDEX(CalcDateA,$M573),INDEX(CalcDateB,$N573)))</f>
        <v/>
      </c>
      <c r="C573" s="22">
        <f>IF($M573&lt;&gt;"","خرید سبد",IF($N573&lt;&gt;"",IF(N(INDEX(CalcDepB,$N573))&gt;0,"دریافت بانکی","پرداخت بانکی"),""))</f>
        <v/>
      </c>
      <c r="D573" s="22">
        <f>IF($M573&lt;&gt;"",IF(INDEX(CalcDocA,$M573)="","—",INDEX(CalcDocA,$M573)),IF($N573&lt;&gt;"",INDEX(CalcBankB,$N573),""))</f>
        <v/>
      </c>
      <c r="E573" s="23">
        <f>IF($N573&lt;&gt;"",IF(INDEX(CalcDepB,$N573)=0,"",INDEX(CalcDepB,$N573)),"")</f>
        <v/>
      </c>
      <c r="F573" s="23">
        <f>IF($M573&lt;&gt;"",IF(INDEX(CalcQtyA,$M573)=0,"",INDEX(CalcQtyA,$M573)),"")</f>
        <v/>
      </c>
      <c r="G573" s="23">
        <f>IF($M573&lt;&gt;"",IF(INDEX(CalcPriceA,$M573)=0,"",INDEX(CalcPriceA,$M573)),"")</f>
        <v/>
      </c>
      <c r="H573" s="23">
        <f>IF($N573&lt;&gt;"",IF(INDEX(CalcWitB,$N573)=0,"",INDEX(CalcWitB,$N573)),"")</f>
        <v/>
      </c>
      <c r="I573" s="24">
        <f>IF($M573&lt;&gt;"",INDEX(CalcAmtA,$M573),"")</f>
        <v/>
      </c>
      <c r="J573" s="24">
        <f>IF($B573="","",IF($J572="",$C$8,$J572)+IF($I573="",0,$I573)+IF($E573="",0,$E573)-IF($H573="",0,$H573))</f>
        <v/>
      </c>
      <c r="K573" s="25">
        <f>IF($M573&lt;&gt;"",IF(INDEX(CalcNoteA,$M573)="","—",INDEX(CalcNoteA,$M573)),IF($N573&lt;&gt;"",IF(INDEX(CalcNoteB,$N573)="","—",INDEX(CalcNoteB,$N573)),""))</f>
        <v/>
      </c>
      <c r="M573">
        <f>IFERROR(MATCH($C$5&amp;"|"&amp;RIGHT("000000"&amp;557,6),CalcRankKeyA,0),"")</f>
        <v/>
      </c>
      <c r="N573">
        <f>IFERROR(MATCH($C$5&amp;"|"&amp;RIGHT("000000"&amp;557,6),CalcRankKeyB,0),"")</f>
        <v/>
      </c>
    </row>
    <row r="574">
      <c r="A574" s="26" t="n">
        <v>558</v>
      </c>
      <c r="B574" s="27">
        <f>IF(AND($M574="",$N574=""),"",IF($M574&lt;&gt;"",INDEX(CalcDateA,$M574),INDEX(CalcDateB,$N574)))</f>
        <v/>
      </c>
      <c r="C574" s="27">
        <f>IF($M574&lt;&gt;"","خرید سبد",IF($N574&lt;&gt;"",IF(N(INDEX(CalcDepB,$N574))&gt;0,"دریافت بانکی","پرداخت بانکی"),""))</f>
        <v/>
      </c>
      <c r="D574" s="27">
        <f>IF($M574&lt;&gt;"",IF(INDEX(CalcDocA,$M574)="","—",INDEX(CalcDocA,$M574)),IF($N574&lt;&gt;"",INDEX(CalcBankB,$N574),""))</f>
        <v/>
      </c>
      <c r="E574" s="28">
        <f>IF($N574&lt;&gt;"",IF(INDEX(CalcDepB,$N574)=0,"",INDEX(CalcDepB,$N574)),"")</f>
        <v/>
      </c>
      <c r="F574" s="28">
        <f>IF($M574&lt;&gt;"",IF(INDEX(CalcQtyA,$M574)=0,"",INDEX(CalcQtyA,$M574)),"")</f>
        <v/>
      </c>
      <c r="G574" s="28">
        <f>IF($M574&lt;&gt;"",IF(INDEX(CalcPriceA,$M574)=0,"",INDEX(CalcPriceA,$M574)),"")</f>
        <v/>
      </c>
      <c r="H574" s="28">
        <f>IF($N574&lt;&gt;"",IF(INDEX(CalcWitB,$N574)=0,"",INDEX(CalcWitB,$N574)),"")</f>
        <v/>
      </c>
      <c r="I574" s="29">
        <f>IF($M574&lt;&gt;"",INDEX(CalcAmtA,$M574),"")</f>
        <v/>
      </c>
      <c r="J574" s="29">
        <f>IF($B574="","",IF($J573="",$C$8,$J573)+IF($I574="",0,$I574)+IF($E574="",0,$E574)-IF($H574="",0,$H574))</f>
        <v/>
      </c>
      <c r="K574" s="30">
        <f>IF($M574&lt;&gt;"",IF(INDEX(CalcNoteA,$M574)="","—",INDEX(CalcNoteA,$M574)),IF($N574&lt;&gt;"",IF(INDEX(CalcNoteB,$N574)="","—",INDEX(CalcNoteB,$N574)),""))</f>
        <v/>
      </c>
      <c r="M574">
        <f>IFERROR(MATCH($C$5&amp;"|"&amp;RIGHT("000000"&amp;558,6),CalcRankKeyA,0),"")</f>
        <v/>
      </c>
      <c r="N574">
        <f>IFERROR(MATCH($C$5&amp;"|"&amp;RIGHT("000000"&amp;558,6),CalcRankKeyB,0),"")</f>
        <v/>
      </c>
    </row>
    <row r="575">
      <c r="A575" s="21" t="n">
        <v>559</v>
      </c>
      <c r="B575" s="22">
        <f>IF(AND($M575="",$N575=""),"",IF($M575&lt;&gt;"",INDEX(CalcDateA,$M575),INDEX(CalcDateB,$N575)))</f>
        <v/>
      </c>
      <c r="C575" s="22">
        <f>IF($M575&lt;&gt;"","خرید سبد",IF($N575&lt;&gt;"",IF(N(INDEX(CalcDepB,$N575))&gt;0,"دریافت بانکی","پرداخت بانکی"),""))</f>
        <v/>
      </c>
      <c r="D575" s="22">
        <f>IF($M575&lt;&gt;"",IF(INDEX(CalcDocA,$M575)="","—",INDEX(CalcDocA,$M575)),IF($N575&lt;&gt;"",INDEX(CalcBankB,$N575),""))</f>
        <v/>
      </c>
      <c r="E575" s="23">
        <f>IF($N575&lt;&gt;"",IF(INDEX(CalcDepB,$N575)=0,"",INDEX(CalcDepB,$N575)),"")</f>
        <v/>
      </c>
      <c r="F575" s="23">
        <f>IF($M575&lt;&gt;"",IF(INDEX(CalcQtyA,$M575)=0,"",INDEX(CalcQtyA,$M575)),"")</f>
        <v/>
      </c>
      <c r="G575" s="23">
        <f>IF($M575&lt;&gt;"",IF(INDEX(CalcPriceA,$M575)=0,"",INDEX(CalcPriceA,$M575)),"")</f>
        <v/>
      </c>
      <c r="H575" s="23">
        <f>IF($N575&lt;&gt;"",IF(INDEX(CalcWitB,$N575)=0,"",INDEX(CalcWitB,$N575)),"")</f>
        <v/>
      </c>
      <c r="I575" s="24">
        <f>IF($M575&lt;&gt;"",INDEX(CalcAmtA,$M575),"")</f>
        <v/>
      </c>
      <c r="J575" s="24">
        <f>IF($B575="","",IF($J574="",$C$8,$J574)+IF($I575="",0,$I575)+IF($E575="",0,$E575)-IF($H575="",0,$H575))</f>
        <v/>
      </c>
      <c r="K575" s="25">
        <f>IF($M575&lt;&gt;"",IF(INDEX(CalcNoteA,$M575)="","—",INDEX(CalcNoteA,$M575)),IF($N575&lt;&gt;"",IF(INDEX(CalcNoteB,$N575)="","—",INDEX(CalcNoteB,$N575)),""))</f>
        <v/>
      </c>
      <c r="M575">
        <f>IFERROR(MATCH($C$5&amp;"|"&amp;RIGHT("000000"&amp;559,6),CalcRankKeyA,0),"")</f>
        <v/>
      </c>
      <c r="N575">
        <f>IFERROR(MATCH($C$5&amp;"|"&amp;RIGHT("000000"&amp;559,6),CalcRankKeyB,0),"")</f>
        <v/>
      </c>
    </row>
    <row r="576">
      <c r="A576" s="26" t="n">
        <v>560</v>
      </c>
      <c r="B576" s="27">
        <f>IF(AND($M576="",$N576=""),"",IF($M576&lt;&gt;"",INDEX(CalcDateA,$M576),INDEX(CalcDateB,$N576)))</f>
        <v/>
      </c>
      <c r="C576" s="27">
        <f>IF($M576&lt;&gt;"","خرید سبد",IF($N576&lt;&gt;"",IF(N(INDEX(CalcDepB,$N576))&gt;0,"دریافت بانکی","پرداخت بانکی"),""))</f>
        <v/>
      </c>
      <c r="D576" s="27">
        <f>IF($M576&lt;&gt;"",IF(INDEX(CalcDocA,$M576)="","—",INDEX(CalcDocA,$M576)),IF($N576&lt;&gt;"",INDEX(CalcBankB,$N576),""))</f>
        <v/>
      </c>
      <c r="E576" s="28">
        <f>IF($N576&lt;&gt;"",IF(INDEX(CalcDepB,$N576)=0,"",INDEX(CalcDepB,$N576)),"")</f>
        <v/>
      </c>
      <c r="F576" s="28">
        <f>IF($M576&lt;&gt;"",IF(INDEX(CalcQtyA,$M576)=0,"",INDEX(CalcQtyA,$M576)),"")</f>
        <v/>
      </c>
      <c r="G576" s="28">
        <f>IF($M576&lt;&gt;"",IF(INDEX(CalcPriceA,$M576)=0,"",INDEX(CalcPriceA,$M576)),"")</f>
        <v/>
      </c>
      <c r="H576" s="28">
        <f>IF($N576&lt;&gt;"",IF(INDEX(CalcWitB,$N576)=0,"",INDEX(CalcWitB,$N576)),"")</f>
        <v/>
      </c>
      <c r="I576" s="29">
        <f>IF($M576&lt;&gt;"",INDEX(CalcAmtA,$M576),"")</f>
        <v/>
      </c>
      <c r="J576" s="29">
        <f>IF($B576="","",IF($J575="",$C$8,$J575)+IF($I576="",0,$I576)+IF($E576="",0,$E576)-IF($H576="",0,$H576))</f>
        <v/>
      </c>
      <c r="K576" s="30">
        <f>IF($M576&lt;&gt;"",IF(INDEX(CalcNoteA,$M576)="","—",INDEX(CalcNoteA,$M576)),IF($N576&lt;&gt;"",IF(INDEX(CalcNoteB,$N576)="","—",INDEX(CalcNoteB,$N576)),""))</f>
        <v/>
      </c>
      <c r="M576">
        <f>IFERROR(MATCH($C$5&amp;"|"&amp;RIGHT("000000"&amp;560,6),CalcRankKeyA,0),"")</f>
        <v/>
      </c>
      <c r="N576">
        <f>IFERROR(MATCH($C$5&amp;"|"&amp;RIGHT("000000"&amp;560,6),CalcRankKeyB,0),"")</f>
        <v/>
      </c>
    </row>
    <row r="577">
      <c r="A577" s="21" t="n">
        <v>561</v>
      </c>
      <c r="B577" s="22">
        <f>IF(AND($M577="",$N577=""),"",IF($M577&lt;&gt;"",INDEX(CalcDateA,$M577),INDEX(CalcDateB,$N577)))</f>
        <v/>
      </c>
      <c r="C577" s="22">
        <f>IF($M577&lt;&gt;"","خرید سبد",IF($N577&lt;&gt;"",IF(N(INDEX(CalcDepB,$N577))&gt;0,"دریافت بانکی","پرداخت بانکی"),""))</f>
        <v/>
      </c>
      <c r="D577" s="22">
        <f>IF($M577&lt;&gt;"",IF(INDEX(CalcDocA,$M577)="","—",INDEX(CalcDocA,$M577)),IF($N577&lt;&gt;"",INDEX(CalcBankB,$N577),""))</f>
        <v/>
      </c>
      <c r="E577" s="23">
        <f>IF($N577&lt;&gt;"",IF(INDEX(CalcDepB,$N577)=0,"",INDEX(CalcDepB,$N577)),"")</f>
        <v/>
      </c>
      <c r="F577" s="23">
        <f>IF($M577&lt;&gt;"",IF(INDEX(CalcQtyA,$M577)=0,"",INDEX(CalcQtyA,$M577)),"")</f>
        <v/>
      </c>
      <c r="G577" s="23">
        <f>IF($M577&lt;&gt;"",IF(INDEX(CalcPriceA,$M577)=0,"",INDEX(CalcPriceA,$M577)),"")</f>
        <v/>
      </c>
      <c r="H577" s="23">
        <f>IF($N577&lt;&gt;"",IF(INDEX(CalcWitB,$N577)=0,"",INDEX(CalcWitB,$N577)),"")</f>
        <v/>
      </c>
      <c r="I577" s="24">
        <f>IF($M577&lt;&gt;"",INDEX(CalcAmtA,$M577),"")</f>
        <v/>
      </c>
      <c r="J577" s="24">
        <f>IF($B577="","",IF($J576="",$C$8,$J576)+IF($I577="",0,$I577)+IF($E577="",0,$E577)-IF($H577="",0,$H577))</f>
        <v/>
      </c>
      <c r="K577" s="25">
        <f>IF($M577&lt;&gt;"",IF(INDEX(CalcNoteA,$M577)="","—",INDEX(CalcNoteA,$M577)),IF($N577&lt;&gt;"",IF(INDEX(CalcNoteB,$N577)="","—",INDEX(CalcNoteB,$N577)),""))</f>
        <v/>
      </c>
      <c r="M577">
        <f>IFERROR(MATCH($C$5&amp;"|"&amp;RIGHT("000000"&amp;561,6),CalcRankKeyA,0),"")</f>
        <v/>
      </c>
      <c r="N577">
        <f>IFERROR(MATCH($C$5&amp;"|"&amp;RIGHT("000000"&amp;561,6),CalcRankKeyB,0),"")</f>
        <v/>
      </c>
    </row>
    <row r="578">
      <c r="A578" s="26" t="n">
        <v>562</v>
      </c>
      <c r="B578" s="27">
        <f>IF(AND($M578="",$N578=""),"",IF($M578&lt;&gt;"",INDEX(CalcDateA,$M578),INDEX(CalcDateB,$N578)))</f>
        <v/>
      </c>
      <c r="C578" s="27">
        <f>IF($M578&lt;&gt;"","خرید سبد",IF($N578&lt;&gt;"",IF(N(INDEX(CalcDepB,$N578))&gt;0,"دریافت بانکی","پرداخت بانکی"),""))</f>
        <v/>
      </c>
      <c r="D578" s="27">
        <f>IF($M578&lt;&gt;"",IF(INDEX(CalcDocA,$M578)="","—",INDEX(CalcDocA,$M578)),IF($N578&lt;&gt;"",INDEX(CalcBankB,$N578),""))</f>
        <v/>
      </c>
      <c r="E578" s="28">
        <f>IF($N578&lt;&gt;"",IF(INDEX(CalcDepB,$N578)=0,"",INDEX(CalcDepB,$N578)),"")</f>
        <v/>
      </c>
      <c r="F578" s="28">
        <f>IF($M578&lt;&gt;"",IF(INDEX(CalcQtyA,$M578)=0,"",INDEX(CalcQtyA,$M578)),"")</f>
        <v/>
      </c>
      <c r="G578" s="28">
        <f>IF($M578&lt;&gt;"",IF(INDEX(CalcPriceA,$M578)=0,"",INDEX(CalcPriceA,$M578)),"")</f>
        <v/>
      </c>
      <c r="H578" s="28">
        <f>IF($N578&lt;&gt;"",IF(INDEX(CalcWitB,$N578)=0,"",INDEX(CalcWitB,$N578)),"")</f>
        <v/>
      </c>
      <c r="I578" s="29">
        <f>IF($M578&lt;&gt;"",INDEX(CalcAmtA,$M578),"")</f>
        <v/>
      </c>
      <c r="J578" s="29">
        <f>IF($B578="","",IF($J577="",$C$8,$J577)+IF($I578="",0,$I578)+IF($E578="",0,$E578)-IF($H578="",0,$H578))</f>
        <v/>
      </c>
      <c r="K578" s="30">
        <f>IF($M578&lt;&gt;"",IF(INDEX(CalcNoteA,$M578)="","—",INDEX(CalcNoteA,$M578)),IF($N578&lt;&gt;"",IF(INDEX(CalcNoteB,$N578)="","—",INDEX(CalcNoteB,$N578)),""))</f>
        <v/>
      </c>
      <c r="M578">
        <f>IFERROR(MATCH($C$5&amp;"|"&amp;RIGHT("000000"&amp;562,6),CalcRankKeyA,0),"")</f>
        <v/>
      </c>
      <c r="N578">
        <f>IFERROR(MATCH($C$5&amp;"|"&amp;RIGHT("000000"&amp;562,6),CalcRankKeyB,0),"")</f>
        <v/>
      </c>
    </row>
    <row r="579">
      <c r="A579" s="21" t="n">
        <v>563</v>
      </c>
      <c r="B579" s="22">
        <f>IF(AND($M579="",$N579=""),"",IF($M579&lt;&gt;"",INDEX(CalcDateA,$M579),INDEX(CalcDateB,$N579)))</f>
        <v/>
      </c>
      <c r="C579" s="22">
        <f>IF($M579&lt;&gt;"","خرید سبد",IF($N579&lt;&gt;"",IF(N(INDEX(CalcDepB,$N579))&gt;0,"دریافت بانکی","پرداخت بانکی"),""))</f>
        <v/>
      </c>
      <c r="D579" s="22">
        <f>IF($M579&lt;&gt;"",IF(INDEX(CalcDocA,$M579)="","—",INDEX(CalcDocA,$M579)),IF($N579&lt;&gt;"",INDEX(CalcBankB,$N579),""))</f>
        <v/>
      </c>
      <c r="E579" s="23">
        <f>IF($N579&lt;&gt;"",IF(INDEX(CalcDepB,$N579)=0,"",INDEX(CalcDepB,$N579)),"")</f>
        <v/>
      </c>
      <c r="F579" s="23">
        <f>IF($M579&lt;&gt;"",IF(INDEX(CalcQtyA,$M579)=0,"",INDEX(CalcQtyA,$M579)),"")</f>
        <v/>
      </c>
      <c r="G579" s="23">
        <f>IF($M579&lt;&gt;"",IF(INDEX(CalcPriceA,$M579)=0,"",INDEX(CalcPriceA,$M579)),"")</f>
        <v/>
      </c>
      <c r="H579" s="23">
        <f>IF($N579&lt;&gt;"",IF(INDEX(CalcWitB,$N579)=0,"",INDEX(CalcWitB,$N579)),"")</f>
        <v/>
      </c>
      <c r="I579" s="24">
        <f>IF($M579&lt;&gt;"",INDEX(CalcAmtA,$M579),"")</f>
        <v/>
      </c>
      <c r="J579" s="24">
        <f>IF($B579="","",IF($J578="",$C$8,$J578)+IF($I579="",0,$I579)+IF($E579="",0,$E579)-IF($H579="",0,$H579))</f>
        <v/>
      </c>
      <c r="K579" s="25">
        <f>IF($M579&lt;&gt;"",IF(INDEX(CalcNoteA,$M579)="","—",INDEX(CalcNoteA,$M579)),IF($N579&lt;&gt;"",IF(INDEX(CalcNoteB,$N579)="","—",INDEX(CalcNoteB,$N579)),""))</f>
        <v/>
      </c>
      <c r="M579">
        <f>IFERROR(MATCH($C$5&amp;"|"&amp;RIGHT("000000"&amp;563,6),CalcRankKeyA,0),"")</f>
        <v/>
      </c>
      <c r="N579">
        <f>IFERROR(MATCH($C$5&amp;"|"&amp;RIGHT("000000"&amp;563,6),CalcRankKeyB,0),"")</f>
        <v/>
      </c>
    </row>
    <row r="580">
      <c r="A580" s="26" t="n">
        <v>564</v>
      </c>
      <c r="B580" s="27">
        <f>IF(AND($M580="",$N580=""),"",IF($M580&lt;&gt;"",INDEX(CalcDateA,$M580),INDEX(CalcDateB,$N580)))</f>
        <v/>
      </c>
      <c r="C580" s="27">
        <f>IF($M580&lt;&gt;"","خرید سبد",IF($N580&lt;&gt;"",IF(N(INDEX(CalcDepB,$N580))&gt;0,"دریافت بانکی","پرداخت بانکی"),""))</f>
        <v/>
      </c>
      <c r="D580" s="27">
        <f>IF($M580&lt;&gt;"",IF(INDEX(CalcDocA,$M580)="","—",INDEX(CalcDocA,$M580)),IF($N580&lt;&gt;"",INDEX(CalcBankB,$N580),""))</f>
        <v/>
      </c>
      <c r="E580" s="28">
        <f>IF($N580&lt;&gt;"",IF(INDEX(CalcDepB,$N580)=0,"",INDEX(CalcDepB,$N580)),"")</f>
        <v/>
      </c>
      <c r="F580" s="28">
        <f>IF($M580&lt;&gt;"",IF(INDEX(CalcQtyA,$M580)=0,"",INDEX(CalcQtyA,$M580)),"")</f>
        <v/>
      </c>
      <c r="G580" s="28">
        <f>IF($M580&lt;&gt;"",IF(INDEX(CalcPriceA,$M580)=0,"",INDEX(CalcPriceA,$M580)),"")</f>
        <v/>
      </c>
      <c r="H580" s="28">
        <f>IF($N580&lt;&gt;"",IF(INDEX(CalcWitB,$N580)=0,"",INDEX(CalcWitB,$N580)),"")</f>
        <v/>
      </c>
      <c r="I580" s="29">
        <f>IF($M580&lt;&gt;"",INDEX(CalcAmtA,$M580),"")</f>
        <v/>
      </c>
      <c r="J580" s="29">
        <f>IF($B580="","",IF($J579="",$C$8,$J579)+IF($I580="",0,$I580)+IF($E580="",0,$E580)-IF($H580="",0,$H580))</f>
        <v/>
      </c>
      <c r="K580" s="30">
        <f>IF($M580&lt;&gt;"",IF(INDEX(CalcNoteA,$M580)="","—",INDEX(CalcNoteA,$M580)),IF($N580&lt;&gt;"",IF(INDEX(CalcNoteB,$N580)="","—",INDEX(CalcNoteB,$N580)),""))</f>
        <v/>
      </c>
      <c r="M580">
        <f>IFERROR(MATCH($C$5&amp;"|"&amp;RIGHT("000000"&amp;564,6),CalcRankKeyA,0),"")</f>
        <v/>
      </c>
      <c r="N580">
        <f>IFERROR(MATCH($C$5&amp;"|"&amp;RIGHT("000000"&amp;564,6),CalcRankKeyB,0),"")</f>
        <v/>
      </c>
    </row>
    <row r="581">
      <c r="A581" s="21" t="n">
        <v>565</v>
      </c>
      <c r="B581" s="22">
        <f>IF(AND($M581="",$N581=""),"",IF($M581&lt;&gt;"",INDEX(CalcDateA,$M581),INDEX(CalcDateB,$N581)))</f>
        <v/>
      </c>
      <c r="C581" s="22">
        <f>IF($M581&lt;&gt;"","خرید سبد",IF($N581&lt;&gt;"",IF(N(INDEX(CalcDepB,$N581))&gt;0,"دریافت بانکی","پرداخت بانکی"),""))</f>
        <v/>
      </c>
      <c r="D581" s="22">
        <f>IF($M581&lt;&gt;"",IF(INDEX(CalcDocA,$M581)="","—",INDEX(CalcDocA,$M581)),IF($N581&lt;&gt;"",INDEX(CalcBankB,$N581),""))</f>
        <v/>
      </c>
      <c r="E581" s="23">
        <f>IF($N581&lt;&gt;"",IF(INDEX(CalcDepB,$N581)=0,"",INDEX(CalcDepB,$N581)),"")</f>
        <v/>
      </c>
      <c r="F581" s="23">
        <f>IF($M581&lt;&gt;"",IF(INDEX(CalcQtyA,$M581)=0,"",INDEX(CalcQtyA,$M581)),"")</f>
        <v/>
      </c>
      <c r="G581" s="23">
        <f>IF($M581&lt;&gt;"",IF(INDEX(CalcPriceA,$M581)=0,"",INDEX(CalcPriceA,$M581)),"")</f>
        <v/>
      </c>
      <c r="H581" s="23">
        <f>IF($N581&lt;&gt;"",IF(INDEX(CalcWitB,$N581)=0,"",INDEX(CalcWitB,$N581)),"")</f>
        <v/>
      </c>
      <c r="I581" s="24">
        <f>IF($M581&lt;&gt;"",INDEX(CalcAmtA,$M581),"")</f>
        <v/>
      </c>
      <c r="J581" s="24">
        <f>IF($B581="","",IF($J580="",$C$8,$J580)+IF($I581="",0,$I581)+IF($E581="",0,$E581)-IF($H581="",0,$H581))</f>
        <v/>
      </c>
      <c r="K581" s="25">
        <f>IF($M581&lt;&gt;"",IF(INDEX(CalcNoteA,$M581)="","—",INDEX(CalcNoteA,$M581)),IF($N581&lt;&gt;"",IF(INDEX(CalcNoteB,$N581)="","—",INDEX(CalcNoteB,$N581)),""))</f>
        <v/>
      </c>
      <c r="M581">
        <f>IFERROR(MATCH($C$5&amp;"|"&amp;RIGHT("000000"&amp;565,6),CalcRankKeyA,0),"")</f>
        <v/>
      </c>
      <c r="N581">
        <f>IFERROR(MATCH($C$5&amp;"|"&amp;RIGHT("000000"&amp;565,6),CalcRankKeyB,0),"")</f>
        <v/>
      </c>
    </row>
    <row r="582">
      <c r="A582" s="26" t="n">
        <v>566</v>
      </c>
      <c r="B582" s="27">
        <f>IF(AND($M582="",$N582=""),"",IF($M582&lt;&gt;"",INDEX(CalcDateA,$M582),INDEX(CalcDateB,$N582)))</f>
        <v/>
      </c>
      <c r="C582" s="27">
        <f>IF($M582&lt;&gt;"","خرید سبد",IF($N582&lt;&gt;"",IF(N(INDEX(CalcDepB,$N582))&gt;0,"دریافت بانکی","پرداخت بانکی"),""))</f>
        <v/>
      </c>
      <c r="D582" s="27">
        <f>IF($M582&lt;&gt;"",IF(INDEX(CalcDocA,$M582)="","—",INDEX(CalcDocA,$M582)),IF($N582&lt;&gt;"",INDEX(CalcBankB,$N582),""))</f>
        <v/>
      </c>
      <c r="E582" s="28">
        <f>IF($N582&lt;&gt;"",IF(INDEX(CalcDepB,$N582)=0,"",INDEX(CalcDepB,$N582)),"")</f>
        <v/>
      </c>
      <c r="F582" s="28">
        <f>IF($M582&lt;&gt;"",IF(INDEX(CalcQtyA,$M582)=0,"",INDEX(CalcQtyA,$M582)),"")</f>
        <v/>
      </c>
      <c r="G582" s="28">
        <f>IF($M582&lt;&gt;"",IF(INDEX(CalcPriceA,$M582)=0,"",INDEX(CalcPriceA,$M582)),"")</f>
        <v/>
      </c>
      <c r="H582" s="28">
        <f>IF($N582&lt;&gt;"",IF(INDEX(CalcWitB,$N582)=0,"",INDEX(CalcWitB,$N582)),"")</f>
        <v/>
      </c>
      <c r="I582" s="29">
        <f>IF($M582&lt;&gt;"",INDEX(CalcAmtA,$M582),"")</f>
        <v/>
      </c>
      <c r="J582" s="29">
        <f>IF($B582="","",IF($J581="",$C$8,$J581)+IF($I582="",0,$I582)+IF($E582="",0,$E582)-IF($H582="",0,$H582))</f>
        <v/>
      </c>
      <c r="K582" s="30">
        <f>IF($M582&lt;&gt;"",IF(INDEX(CalcNoteA,$M582)="","—",INDEX(CalcNoteA,$M582)),IF($N582&lt;&gt;"",IF(INDEX(CalcNoteB,$N582)="","—",INDEX(CalcNoteB,$N582)),""))</f>
        <v/>
      </c>
      <c r="M582">
        <f>IFERROR(MATCH($C$5&amp;"|"&amp;RIGHT("000000"&amp;566,6),CalcRankKeyA,0),"")</f>
        <v/>
      </c>
      <c r="N582">
        <f>IFERROR(MATCH($C$5&amp;"|"&amp;RIGHT("000000"&amp;566,6),CalcRankKeyB,0),"")</f>
        <v/>
      </c>
    </row>
    <row r="583">
      <c r="A583" s="21" t="n">
        <v>567</v>
      </c>
      <c r="B583" s="22">
        <f>IF(AND($M583="",$N583=""),"",IF($M583&lt;&gt;"",INDEX(CalcDateA,$M583),INDEX(CalcDateB,$N583)))</f>
        <v/>
      </c>
      <c r="C583" s="22">
        <f>IF($M583&lt;&gt;"","خرید سبد",IF($N583&lt;&gt;"",IF(N(INDEX(CalcDepB,$N583))&gt;0,"دریافت بانکی","پرداخت بانکی"),""))</f>
        <v/>
      </c>
      <c r="D583" s="22">
        <f>IF($M583&lt;&gt;"",IF(INDEX(CalcDocA,$M583)="","—",INDEX(CalcDocA,$M583)),IF($N583&lt;&gt;"",INDEX(CalcBankB,$N583),""))</f>
        <v/>
      </c>
      <c r="E583" s="23">
        <f>IF($N583&lt;&gt;"",IF(INDEX(CalcDepB,$N583)=0,"",INDEX(CalcDepB,$N583)),"")</f>
        <v/>
      </c>
      <c r="F583" s="23">
        <f>IF($M583&lt;&gt;"",IF(INDEX(CalcQtyA,$M583)=0,"",INDEX(CalcQtyA,$M583)),"")</f>
        <v/>
      </c>
      <c r="G583" s="23">
        <f>IF($M583&lt;&gt;"",IF(INDEX(CalcPriceA,$M583)=0,"",INDEX(CalcPriceA,$M583)),"")</f>
        <v/>
      </c>
      <c r="H583" s="23">
        <f>IF($N583&lt;&gt;"",IF(INDEX(CalcWitB,$N583)=0,"",INDEX(CalcWitB,$N583)),"")</f>
        <v/>
      </c>
      <c r="I583" s="24">
        <f>IF($M583&lt;&gt;"",INDEX(CalcAmtA,$M583),"")</f>
        <v/>
      </c>
      <c r="J583" s="24">
        <f>IF($B583="","",IF($J582="",$C$8,$J582)+IF($I583="",0,$I583)+IF($E583="",0,$E583)-IF($H583="",0,$H583))</f>
        <v/>
      </c>
      <c r="K583" s="25">
        <f>IF($M583&lt;&gt;"",IF(INDEX(CalcNoteA,$M583)="","—",INDEX(CalcNoteA,$M583)),IF($N583&lt;&gt;"",IF(INDEX(CalcNoteB,$N583)="","—",INDEX(CalcNoteB,$N583)),""))</f>
        <v/>
      </c>
      <c r="M583">
        <f>IFERROR(MATCH($C$5&amp;"|"&amp;RIGHT("000000"&amp;567,6),CalcRankKeyA,0),"")</f>
        <v/>
      </c>
      <c r="N583">
        <f>IFERROR(MATCH($C$5&amp;"|"&amp;RIGHT("000000"&amp;567,6),CalcRankKeyB,0),"")</f>
        <v/>
      </c>
    </row>
    <row r="584">
      <c r="A584" s="26" t="n">
        <v>568</v>
      </c>
      <c r="B584" s="27">
        <f>IF(AND($M584="",$N584=""),"",IF($M584&lt;&gt;"",INDEX(CalcDateA,$M584),INDEX(CalcDateB,$N584)))</f>
        <v/>
      </c>
      <c r="C584" s="27">
        <f>IF($M584&lt;&gt;"","خرید سبد",IF($N584&lt;&gt;"",IF(N(INDEX(CalcDepB,$N584))&gt;0,"دریافت بانکی","پرداخت بانکی"),""))</f>
        <v/>
      </c>
      <c r="D584" s="27">
        <f>IF($M584&lt;&gt;"",IF(INDEX(CalcDocA,$M584)="","—",INDEX(CalcDocA,$M584)),IF($N584&lt;&gt;"",INDEX(CalcBankB,$N584),""))</f>
        <v/>
      </c>
      <c r="E584" s="28">
        <f>IF($N584&lt;&gt;"",IF(INDEX(CalcDepB,$N584)=0,"",INDEX(CalcDepB,$N584)),"")</f>
        <v/>
      </c>
      <c r="F584" s="28">
        <f>IF($M584&lt;&gt;"",IF(INDEX(CalcQtyA,$M584)=0,"",INDEX(CalcQtyA,$M584)),"")</f>
        <v/>
      </c>
      <c r="G584" s="28">
        <f>IF($M584&lt;&gt;"",IF(INDEX(CalcPriceA,$M584)=0,"",INDEX(CalcPriceA,$M584)),"")</f>
        <v/>
      </c>
      <c r="H584" s="28">
        <f>IF($N584&lt;&gt;"",IF(INDEX(CalcWitB,$N584)=0,"",INDEX(CalcWitB,$N584)),"")</f>
        <v/>
      </c>
      <c r="I584" s="29">
        <f>IF($M584&lt;&gt;"",INDEX(CalcAmtA,$M584),"")</f>
        <v/>
      </c>
      <c r="J584" s="29">
        <f>IF($B584="","",IF($J583="",$C$8,$J583)+IF($I584="",0,$I584)+IF($E584="",0,$E584)-IF($H584="",0,$H584))</f>
        <v/>
      </c>
      <c r="K584" s="30">
        <f>IF($M584&lt;&gt;"",IF(INDEX(CalcNoteA,$M584)="","—",INDEX(CalcNoteA,$M584)),IF($N584&lt;&gt;"",IF(INDEX(CalcNoteB,$N584)="","—",INDEX(CalcNoteB,$N584)),""))</f>
        <v/>
      </c>
      <c r="M584">
        <f>IFERROR(MATCH($C$5&amp;"|"&amp;RIGHT("000000"&amp;568,6),CalcRankKeyA,0),"")</f>
        <v/>
      </c>
      <c r="N584">
        <f>IFERROR(MATCH($C$5&amp;"|"&amp;RIGHT("000000"&amp;568,6),CalcRankKeyB,0),"")</f>
        <v/>
      </c>
    </row>
    <row r="585">
      <c r="A585" s="21" t="n">
        <v>569</v>
      </c>
      <c r="B585" s="22">
        <f>IF(AND($M585="",$N585=""),"",IF($M585&lt;&gt;"",INDEX(CalcDateA,$M585),INDEX(CalcDateB,$N585)))</f>
        <v/>
      </c>
      <c r="C585" s="22">
        <f>IF($M585&lt;&gt;"","خرید سبد",IF($N585&lt;&gt;"",IF(N(INDEX(CalcDepB,$N585))&gt;0,"دریافت بانکی","پرداخت بانکی"),""))</f>
        <v/>
      </c>
      <c r="D585" s="22">
        <f>IF($M585&lt;&gt;"",IF(INDEX(CalcDocA,$M585)="","—",INDEX(CalcDocA,$M585)),IF($N585&lt;&gt;"",INDEX(CalcBankB,$N585),""))</f>
        <v/>
      </c>
      <c r="E585" s="23">
        <f>IF($N585&lt;&gt;"",IF(INDEX(CalcDepB,$N585)=0,"",INDEX(CalcDepB,$N585)),"")</f>
        <v/>
      </c>
      <c r="F585" s="23">
        <f>IF($M585&lt;&gt;"",IF(INDEX(CalcQtyA,$M585)=0,"",INDEX(CalcQtyA,$M585)),"")</f>
        <v/>
      </c>
      <c r="G585" s="23">
        <f>IF($M585&lt;&gt;"",IF(INDEX(CalcPriceA,$M585)=0,"",INDEX(CalcPriceA,$M585)),"")</f>
        <v/>
      </c>
      <c r="H585" s="23">
        <f>IF($N585&lt;&gt;"",IF(INDEX(CalcWitB,$N585)=0,"",INDEX(CalcWitB,$N585)),"")</f>
        <v/>
      </c>
      <c r="I585" s="24">
        <f>IF($M585&lt;&gt;"",INDEX(CalcAmtA,$M585),"")</f>
        <v/>
      </c>
      <c r="J585" s="24">
        <f>IF($B585="","",IF($J584="",$C$8,$J584)+IF($I585="",0,$I585)+IF($E585="",0,$E585)-IF($H585="",0,$H585))</f>
        <v/>
      </c>
      <c r="K585" s="25">
        <f>IF($M585&lt;&gt;"",IF(INDEX(CalcNoteA,$M585)="","—",INDEX(CalcNoteA,$M585)),IF($N585&lt;&gt;"",IF(INDEX(CalcNoteB,$N585)="","—",INDEX(CalcNoteB,$N585)),""))</f>
        <v/>
      </c>
      <c r="M585">
        <f>IFERROR(MATCH($C$5&amp;"|"&amp;RIGHT("000000"&amp;569,6),CalcRankKeyA,0),"")</f>
        <v/>
      </c>
      <c r="N585">
        <f>IFERROR(MATCH($C$5&amp;"|"&amp;RIGHT("000000"&amp;569,6),CalcRankKeyB,0),"")</f>
        <v/>
      </c>
    </row>
    <row r="586">
      <c r="A586" s="26" t="n">
        <v>570</v>
      </c>
      <c r="B586" s="27">
        <f>IF(AND($M586="",$N586=""),"",IF($M586&lt;&gt;"",INDEX(CalcDateA,$M586),INDEX(CalcDateB,$N586)))</f>
        <v/>
      </c>
      <c r="C586" s="27">
        <f>IF($M586&lt;&gt;"","خرید سبد",IF($N586&lt;&gt;"",IF(N(INDEX(CalcDepB,$N586))&gt;0,"دریافت بانکی","پرداخت بانکی"),""))</f>
        <v/>
      </c>
      <c r="D586" s="27">
        <f>IF($M586&lt;&gt;"",IF(INDEX(CalcDocA,$M586)="","—",INDEX(CalcDocA,$M586)),IF($N586&lt;&gt;"",INDEX(CalcBankB,$N586),""))</f>
        <v/>
      </c>
      <c r="E586" s="28">
        <f>IF($N586&lt;&gt;"",IF(INDEX(CalcDepB,$N586)=0,"",INDEX(CalcDepB,$N586)),"")</f>
        <v/>
      </c>
      <c r="F586" s="28">
        <f>IF($M586&lt;&gt;"",IF(INDEX(CalcQtyA,$M586)=0,"",INDEX(CalcQtyA,$M586)),"")</f>
        <v/>
      </c>
      <c r="G586" s="28">
        <f>IF($M586&lt;&gt;"",IF(INDEX(CalcPriceA,$M586)=0,"",INDEX(CalcPriceA,$M586)),"")</f>
        <v/>
      </c>
      <c r="H586" s="28">
        <f>IF($N586&lt;&gt;"",IF(INDEX(CalcWitB,$N586)=0,"",INDEX(CalcWitB,$N586)),"")</f>
        <v/>
      </c>
      <c r="I586" s="29">
        <f>IF($M586&lt;&gt;"",INDEX(CalcAmtA,$M586),"")</f>
        <v/>
      </c>
      <c r="J586" s="29">
        <f>IF($B586="","",IF($J585="",$C$8,$J585)+IF($I586="",0,$I586)+IF($E586="",0,$E586)-IF($H586="",0,$H586))</f>
        <v/>
      </c>
      <c r="K586" s="30">
        <f>IF($M586&lt;&gt;"",IF(INDEX(CalcNoteA,$M586)="","—",INDEX(CalcNoteA,$M586)),IF($N586&lt;&gt;"",IF(INDEX(CalcNoteB,$N586)="","—",INDEX(CalcNoteB,$N586)),""))</f>
        <v/>
      </c>
      <c r="M586">
        <f>IFERROR(MATCH($C$5&amp;"|"&amp;RIGHT("000000"&amp;570,6),CalcRankKeyA,0),"")</f>
        <v/>
      </c>
      <c r="N586">
        <f>IFERROR(MATCH($C$5&amp;"|"&amp;RIGHT("000000"&amp;570,6),CalcRankKeyB,0),"")</f>
        <v/>
      </c>
    </row>
    <row r="587">
      <c r="A587" s="21" t="n">
        <v>571</v>
      </c>
      <c r="B587" s="22">
        <f>IF(AND($M587="",$N587=""),"",IF($M587&lt;&gt;"",INDEX(CalcDateA,$M587),INDEX(CalcDateB,$N587)))</f>
        <v/>
      </c>
      <c r="C587" s="22">
        <f>IF($M587&lt;&gt;"","خرید سبد",IF($N587&lt;&gt;"",IF(N(INDEX(CalcDepB,$N587))&gt;0,"دریافت بانکی","پرداخت بانکی"),""))</f>
        <v/>
      </c>
      <c r="D587" s="22">
        <f>IF($M587&lt;&gt;"",IF(INDEX(CalcDocA,$M587)="","—",INDEX(CalcDocA,$M587)),IF($N587&lt;&gt;"",INDEX(CalcBankB,$N587),""))</f>
        <v/>
      </c>
      <c r="E587" s="23">
        <f>IF($N587&lt;&gt;"",IF(INDEX(CalcDepB,$N587)=0,"",INDEX(CalcDepB,$N587)),"")</f>
        <v/>
      </c>
      <c r="F587" s="23">
        <f>IF($M587&lt;&gt;"",IF(INDEX(CalcQtyA,$M587)=0,"",INDEX(CalcQtyA,$M587)),"")</f>
        <v/>
      </c>
      <c r="G587" s="23">
        <f>IF($M587&lt;&gt;"",IF(INDEX(CalcPriceA,$M587)=0,"",INDEX(CalcPriceA,$M587)),"")</f>
        <v/>
      </c>
      <c r="H587" s="23">
        <f>IF($N587&lt;&gt;"",IF(INDEX(CalcWitB,$N587)=0,"",INDEX(CalcWitB,$N587)),"")</f>
        <v/>
      </c>
      <c r="I587" s="24">
        <f>IF($M587&lt;&gt;"",INDEX(CalcAmtA,$M587),"")</f>
        <v/>
      </c>
      <c r="J587" s="24">
        <f>IF($B587="","",IF($J586="",$C$8,$J586)+IF($I587="",0,$I587)+IF($E587="",0,$E587)-IF($H587="",0,$H587))</f>
        <v/>
      </c>
      <c r="K587" s="25">
        <f>IF($M587&lt;&gt;"",IF(INDEX(CalcNoteA,$M587)="","—",INDEX(CalcNoteA,$M587)),IF($N587&lt;&gt;"",IF(INDEX(CalcNoteB,$N587)="","—",INDEX(CalcNoteB,$N587)),""))</f>
        <v/>
      </c>
      <c r="M587">
        <f>IFERROR(MATCH($C$5&amp;"|"&amp;RIGHT("000000"&amp;571,6),CalcRankKeyA,0),"")</f>
        <v/>
      </c>
      <c r="N587">
        <f>IFERROR(MATCH($C$5&amp;"|"&amp;RIGHT("000000"&amp;571,6),CalcRankKeyB,0),"")</f>
        <v/>
      </c>
    </row>
    <row r="588">
      <c r="A588" s="26" t="n">
        <v>572</v>
      </c>
      <c r="B588" s="27">
        <f>IF(AND($M588="",$N588=""),"",IF($M588&lt;&gt;"",INDEX(CalcDateA,$M588),INDEX(CalcDateB,$N588)))</f>
        <v/>
      </c>
      <c r="C588" s="27">
        <f>IF($M588&lt;&gt;"","خرید سبد",IF($N588&lt;&gt;"",IF(N(INDEX(CalcDepB,$N588))&gt;0,"دریافت بانکی","پرداخت بانکی"),""))</f>
        <v/>
      </c>
      <c r="D588" s="27">
        <f>IF($M588&lt;&gt;"",IF(INDEX(CalcDocA,$M588)="","—",INDEX(CalcDocA,$M588)),IF($N588&lt;&gt;"",INDEX(CalcBankB,$N588),""))</f>
        <v/>
      </c>
      <c r="E588" s="28">
        <f>IF($N588&lt;&gt;"",IF(INDEX(CalcDepB,$N588)=0,"",INDEX(CalcDepB,$N588)),"")</f>
        <v/>
      </c>
      <c r="F588" s="28">
        <f>IF($M588&lt;&gt;"",IF(INDEX(CalcQtyA,$M588)=0,"",INDEX(CalcQtyA,$M588)),"")</f>
        <v/>
      </c>
      <c r="G588" s="28">
        <f>IF($M588&lt;&gt;"",IF(INDEX(CalcPriceA,$M588)=0,"",INDEX(CalcPriceA,$M588)),"")</f>
        <v/>
      </c>
      <c r="H588" s="28">
        <f>IF($N588&lt;&gt;"",IF(INDEX(CalcWitB,$N588)=0,"",INDEX(CalcWitB,$N588)),"")</f>
        <v/>
      </c>
      <c r="I588" s="29">
        <f>IF($M588&lt;&gt;"",INDEX(CalcAmtA,$M588),"")</f>
        <v/>
      </c>
      <c r="J588" s="29">
        <f>IF($B588="","",IF($J587="",$C$8,$J587)+IF($I588="",0,$I588)+IF($E588="",0,$E588)-IF($H588="",0,$H588))</f>
        <v/>
      </c>
      <c r="K588" s="30">
        <f>IF($M588&lt;&gt;"",IF(INDEX(CalcNoteA,$M588)="","—",INDEX(CalcNoteA,$M588)),IF($N588&lt;&gt;"",IF(INDEX(CalcNoteB,$N588)="","—",INDEX(CalcNoteB,$N588)),""))</f>
        <v/>
      </c>
      <c r="M588">
        <f>IFERROR(MATCH($C$5&amp;"|"&amp;RIGHT("000000"&amp;572,6),CalcRankKeyA,0),"")</f>
        <v/>
      </c>
      <c r="N588">
        <f>IFERROR(MATCH($C$5&amp;"|"&amp;RIGHT("000000"&amp;572,6),CalcRankKeyB,0),"")</f>
        <v/>
      </c>
    </row>
    <row r="589">
      <c r="A589" s="21" t="n">
        <v>573</v>
      </c>
      <c r="B589" s="22">
        <f>IF(AND($M589="",$N589=""),"",IF($M589&lt;&gt;"",INDEX(CalcDateA,$M589),INDEX(CalcDateB,$N589)))</f>
        <v/>
      </c>
      <c r="C589" s="22">
        <f>IF($M589&lt;&gt;"","خرید سبد",IF($N589&lt;&gt;"",IF(N(INDEX(CalcDepB,$N589))&gt;0,"دریافت بانکی","پرداخت بانکی"),""))</f>
        <v/>
      </c>
      <c r="D589" s="22">
        <f>IF($M589&lt;&gt;"",IF(INDEX(CalcDocA,$M589)="","—",INDEX(CalcDocA,$M589)),IF($N589&lt;&gt;"",INDEX(CalcBankB,$N589),""))</f>
        <v/>
      </c>
      <c r="E589" s="23">
        <f>IF($N589&lt;&gt;"",IF(INDEX(CalcDepB,$N589)=0,"",INDEX(CalcDepB,$N589)),"")</f>
        <v/>
      </c>
      <c r="F589" s="23">
        <f>IF($M589&lt;&gt;"",IF(INDEX(CalcQtyA,$M589)=0,"",INDEX(CalcQtyA,$M589)),"")</f>
        <v/>
      </c>
      <c r="G589" s="23">
        <f>IF($M589&lt;&gt;"",IF(INDEX(CalcPriceA,$M589)=0,"",INDEX(CalcPriceA,$M589)),"")</f>
        <v/>
      </c>
      <c r="H589" s="23">
        <f>IF($N589&lt;&gt;"",IF(INDEX(CalcWitB,$N589)=0,"",INDEX(CalcWitB,$N589)),"")</f>
        <v/>
      </c>
      <c r="I589" s="24">
        <f>IF($M589&lt;&gt;"",INDEX(CalcAmtA,$M589),"")</f>
        <v/>
      </c>
      <c r="J589" s="24">
        <f>IF($B589="","",IF($J588="",$C$8,$J588)+IF($I589="",0,$I589)+IF($E589="",0,$E589)-IF($H589="",0,$H589))</f>
        <v/>
      </c>
      <c r="K589" s="25">
        <f>IF($M589&lt;&gt;"",IF(INDEX(CalcNoteA,$M589)="","—",INDEX(CalcNoteA,$M589)),IF($N589&lt;&gt;"",IF(INDEX(CalcNoteB,$N589)="","—",INDEX(CalcNoteB,$N589)),""))</f>
        <v/>
      </c>
      <c r="M589">
        <f>IFERROR(MATCH($C$5&amp;"|"&amp;RIGHT("000000"&amp;573,6),CalcRankKeyA,0),"")</f>
        <v/>
      </c>
      <c r="N589">
        <f>IFERROR(MATCH($C$5&amp;"|"&amp;RIGHT("000000"&amp;573,6),CalcRankKeyB,0),"")</f>
        <v/>
      </c>
    </row>
    <row r="590">
      <c r="A590" s="26" t="n">
        <v>574</v>
      </c>
      <c r="B590" s="27">
        <f>IF(AND($M590="",$N590=""),"",IF($M590&lt;&gt;"",INDEX(CalcDateA,$M590),INDEX(CalcDateB,$N590)))</f>
        <v/>
      </c>
      <c r="C590" s="27">
        <f>IF($M590&lt;&gt;"","خرید سبد",IF($N590&lt;&gt;"",IF(N(INDEX(CalcDepB,$N590))&gt;0,"دریافت بانکی","پرداخت بانکی"),""))</f>
        <v/>
      </c>
      <c r="D590" s="27">
        <f>IF($M590&lt;&gt;"",IF(INDEX(CalcDocA,$M590)="","—",INDEX(CalcDocA,$M590)),IF($N590&lt;&gt;"",INDEX(CalcBankB,$N590),""))</f>
        <v/>
      </c>
      <c r="E590" s="28">
        <f>IF($N590&lt;&gt;"",IF(INDEX(CalcDepB,$N590)=0,"",INDEX(CalcDepB,$N590)),"")</f>
        <v/>
      </c>
      <c r="F590" s="28">
        <f>IF($M590&lt;&gt;"",IF(INDEX(CalcQtyA,$M590)=0,"",INDEX(CalcQtyA,$M590)),"")</f>
        <v/>
      </c>
      <c r="G590" s="28">
        <f>IF($M590&lt;&gt;"",IF(INDEX(CalcPriceA,$M590)=0,"",INDEX(CalcPriceA,$M590)),"")</f>
        <v/>
      </c>
      <c r="H590" s="28">
        <f>IF($N590&lt;&gt;"",IF(INDEX(CalcWitB,$N590)=0,"",INDEX(CalcWitB,$N590)),"")</f>
        <v/>
      </c>
      <c r="I590" s="29">
        <f>IF($M590&lt;&gt;"",INDEX(CalcAmtA,$M590),"")</f>
        <v/>
      </c>
      <c r="J590" s="29">
        <f>IF($B590="","",IF($J589="",$C$8,$J589)+IF($I590="",0,$I590)+IF($E590="",0,$E590)-IF($H590="",0,$H590))</f>
        <v/>
      </c>
      <c r="K590" s="30">
        <f>IF($M590&lt;&gt;"",IF(INDEX(CalcNoteA,$M590)="","—",INDEX(CalcNoteA,$M590)),IF($N590&lt;&gt;"",IF(INDEX(CalcNoteB,$N590)="","—",INDEX(CalcNoteB,$N590)),""))</f>
        <v/>
      </c>
      <c r="M590">
        <f>IFERROR(MATCH($C$5&amp;"|"&amp;RIGHT("000000"&amp;574,6),CalcRankKeyA,0),"")</f>
        <v/>
      </c>
      <c r="N590">
        <f>IFERROR(MATCH($C$5&amp;"|"&amp;RIGHT("000000"&amp;574,6),CalcRankKeyB,0),"")</f>
        <v/>
      </c>
    </row>
    <row r="591">
      <c r="A591" s="21" t="n">
        <v>575</v>
      </c>
      <c r="B591" s="22">
        <f>IF(AND($M591="",$N591=""),"",IF($M591&lt;&gt;"",INDEX(CalcDateA,$M591),INDEX(CalcDateB,$N591)))</f>
        <v/>
      </c>
      <c r="C591" s="22">
        <f>IF($M591&lt;&gt;"","خرید سبد",IF($N591&lt;&gt;"",IF(N(INDEX(CalcDepB,$N591))&gt;0,"دریافت بانکی","پرداخت بانکی"),""))</f>
        <v/>
      </c>
      <c r="D591" s="22">
        <f>IF($M591&lt;&gt;"",IF(INDEX(CalcDocA,$M591)="","—",INDEX(CalcDocA,$M591)),IF($N591&lt;&gt;"",INDEX(CalcBankB,$N591),""))</f>
        <v/>
      </c>
      <c r="E591" s="23">
        <f>IF($N591&lt;&gt;"",IF(INDEX(CalcDepB,$N591)=0,"",INDEX(CalcDepB,$N591)),"")</f>
        <v/>
      </c>
      <c r="F591" s="23">
        <f>IF($M591&lt;&gt;"",IF(INDEX(CalcQtyA,$M591)=0,"",INDEX(CalcQtyA,$M591)),"")</f>
        <v/>
      </c>
      <c r="G591" s="23">
        <f>IF($M591&lt;&gt;"",IF(INDEX(CalcPriceA,$M591)=0,"",INDEX(CalcPriceA,$M591)),"")</f>
        <v/>
      </c>
      <c r="H591" s="23">
        <f>IF($N591&lt;&gt;"",IF(INDEX(CalcWitB,$N591)=0,"",INDEX(CalcWitB,$N591)),"")</f>
        <v/>
      </c>
      <c r="I591" s="24">
        <f>IF($M591&lt;&gt;"",INDEX(CalcAmtA,$M591),"")</f>
        <v/>
      </c>
      <c r="J591" s="24">
        <f>IF($B591="","",IF($J590="",$C$8,$J590)+IF($I591="",0,$I591)+IF($E591="",0,$E591)-IF($H591="",0,$H591))</f>
        <v/>
      </c>
      <c r="K591" s="25">
        <f>IF($M591&lt;&gt;"",IF(INDEX(CalcNoteA,$M591)="","—",INDEX(CalcNoteA,$M591)),IF($N591&lt;&gt;"",IF(INDEX(CalcNoteB,$N591)="","—",INDEX(CalcNoteB,$N591)),""))</f>
        <v/>
      </c>
      <c r="M591">
        <f>IFERROR(MATCH($C$5&amp;"|"&amp;RIGHT("000000"&amp;575,6),CalcRankKeyA,0),"")</f>
        <v/>
      </c>
      <c r="N591">
        <f>IFERROR(MATCH($C$5&amp;"|"&amp;RIGHT("000000"&amp;575,6),CalcRankKeyB,0),"")</f>
        <v/>
      </c>
    </row>
    <row r="592">
      <c r="A592" s="26" t="n">
        <v>576</v>
      </c>
      <c r="B592" s="27">
        <f>IF(AND($M592="",$N592=""),"",IF($M592&lt;&gt;"",INDEX(CalcDateA,$M592),INDEX(CalcDateB,$N592)))</f>
        <v/>
      </c>
      <c r="C592" s="27">
        <f>IF($M592&lt;&gt;"","خرید سبد",IF($N592&lt;&gt;"",IF(N(INDEX(CalcDepB,$N592))&gt;0,"دریافت بانکی","پرداخت بانکی"),""))</f>
        <v/>
      </c>
      <c r="D592" s="27">
        <f>IF($M592&lt;&gt;"",IF(INDEX(CalcDocA,$M592)="","—",INDEX(CalcDocA,$M592)),IF($N592&lt;&gt;"",INDEX(CalcBankB,$N592),""))</f>
        <v/>
      </c>
      <c r="E592" s="28">
        <f>IF($N592&lt;&gt;"",IF(INDEX(CalcDepB,$N592)=0,"",INDEX(CalcDepB,$N592)),"")</f>
        <v/>
      </c>
      <c r="F592" s="28">
        <f>IF($M592&lt;&gt;"",IF(INDEX(CalcQtyA,$M592)=0,"",INDEX(CalcQtyA,$M592)),"")</f>
        <v/>
      </c>
      <c r="G592" s="28">
        <f>IF($M592&lt;&gt;"",IF(INDEX(CalcPriceA,$M592)=0,"",INDEX(CalcPriceA,$M592)),"")</f>
        <v/>
      </c>
      <c r="H592" s="28">
        <f>IF($N592&lt;&gt;"",IF(INDEX(CalcWitB,$N592)=0,"",INDEX(CalcWitB,$N592)),"")</f>
        <v/>
      </c>
      <c r="I592" s="29">
        <f>IF($M592&lt;&gt;"",INDEX(CalcAmtA,$M592),"")</f>
        <v/>
      </c>
      <c r="J592" s="29">
        <f>IF($B592="","",IF($J591="",$C$8,$J591)+IF($I592="",0,$I592)+IF($E592="",0,$E592)-IF($H592="",0,$H592))</f>
        <v/>
      </c>
      <c r="K592" s="30">
        <f>IF($M592&lt;&gt;"",IF(INDEX(CalcNoteA,$M592)="","—",INDEX(CalcNoteA,$M592)),IF($N592&lt;&gt;"",IF(INDEX(CalcNoteB,$N592)="","—",INDEX(CalcNoteB,$N592)),""))</f>
        <v/>
      </c>
      <c r="M592">
        <f>IFERROR(MATCH($C$5&amp;"|"&amp;RIGHT("000000"&amp;576,6),CalcRankKeyA,0),"")</f>
        <v/>
      </c>
      <c r="N592">
        <f>IFERROR(MATCH($C$5&amp;"|"&amp;RIGHT("000000"&amp;576,6),CalcRankKeyB,0),"")</f>
        <v/>
      </c>
    </row>
    <row r="593">
      <c r="A593" s="21" t="n">
        <v>577</v>
      </c>
      <c r="B593" s="22">
        <f>IF(AND($M593="",$N593=""),"",IF($M593&lt;&gt;"",INDEX(CalcDateA,$M593),INDEX(CalcDateB,$N593)))</f>
        <v/>
      </c>
      <c r="C593" s="22">
        <f>IF($M593&lt;&gt;"","خرید سبد",IF($N593&lt;&gt;"",IF(N(INDEX(CalcDepB,$N593))&gt;0,"دریافت بانکی","پرداخت بانکی"),""))</f>
        <v/>
      </c>
      <c r="D593" s="22">
        <f>IF($M593&lt;&gt;"",IF(INDEX(CalcDocA,$M593)="","—",INDEX(CalcDocA,$M593)),IF($N593&lt;&gt;"",INDEX(CalcBankB,$N593),""))</f>
        <v/>
      </c>
      <c r="E593" s="23">
        <f>IF($N593&lt;&gt;"",IF(INDEX(CalcDepB,$N593)=0,"",INDEX(CalcDepB,$N593)),"")</f>
        <v/>
      </c>
      <c r="F593" s="23">
        <f>IF($M593&lt;&gt;"",IF(INDEX(CalcQtyA,$M593)=0,"",INDEX(CalcQtyA,$M593)),"")</f>
        <v/>
      </c>
      <c r="G593" s="23">
        <f>IF($M593&lt;&gt;"",IF(INDEX(CalcPriceA,$M593)=0,"",INDEX(CalcPriceA,$M593)),"")</f>
        <v/>
      </c>
      <c r="H593" s="23">
        <f>IF($N593&lt;&gt;"",IF(INDEX(CalcWitB,$N593)=0,"",INDEX(CalcWitB,$N593)),"")</f>
        <v/>
      </c>
      <c r="I593" s="24">
        <f>IF($M593&lt;&gt;"",INDEX(CalcAmtA,$M593),"")</f>
        <v/>
      </c>
      <c r="J593" s="24">
        <f>IF($B593="","",IF($J592="",$C$8,$J592)+IF($I593="",0,$I593)+IF($E593="",0,$E593)-IF($H593="",0,$H593))</f>
        <v/>
      </c>
      <c r="K593" s="25">
        <f>IF($M593&lt;&gt;"",IF(INDEX(CalcNoteA,$M593)="","—",INDEX(CalcNoteA,$M593)),IF($N593&lt;&gt;"",IF(INDEX(CalcNoteB,$N593)="","—",INDEX(CalcNoteB,$N593)),""))</f>
        <v/>
      </c>
      <c r="M593">
        <f>IFERROR(MATCH($C$5&amp;"|"&amp;RIGHT("000000"&amp;577,6),CalcRankKeyA,0),"")</f>
        <v/>
      </c>
      <c r="N593">
        <f>IFERROR(MATCH($C$5&amp;"|"&amp;RIGHT("000000"&amp;577,6),CalcRankKeyB,0),"")</f>
        <v/>
      </c>
    </row>
    <row r="594">
      <c r="A594" s="26" t="n">
        <v>578</v>
      </c>
      <c r="B594" s="27">
        <f>IF(AND($M594="",$N594=""),"",IF($M594&lt;&gt;"",INDEX(CalcDateA,$M594),INDEX(CalcDateB,$N594)))</f>
        <v/>
      </c>
      <c r="C594" s="27">
        <f>IF($M594&lt;&gt;"","خرید سبد",IF($N594&lt;&gt;"",IF(N(INDEX(CalcDepB,$N594))&gt;0,"دریافت بانکی","پرداخت بانکی"),""))</f>
        <v/>
      </c>
      <c r="D594" s="27">
        <f>IF($M594&lt;&gt;"",IF(INDEX(CalcDocA,$M594)="","—",INDEX(CalcDocA,$M594)),IF($N594&lt;&gt;"",INDEX(CalcBankB,$N594),""))</f>
        <v/>
      </c>
      <c r="E594" s="28">
        <f>IF($N594&lt;&gt;"",IF(INDEX(CalcDepB,$N594)=0,"",INDEX(CalcDepB,$N594)),"")</f>
        <v/>
      </c>
      <c r="F594" s="28">
        <f>IF($M594&lt;&gt;"",IF(INDEX(CalcQtyA,$M594)=0,"",INDEX(CalcQtyA,$M594)),"")</f>
        <v/>
      </c>
      <c r="G594" s="28">
        <f>IF($M594&lt;&gt;"",IF(INDEX(CalcPriceA,$M594)=0,"",INDEX(CalcPriceA,$M594)),"")</f>
        <v/>
      </c>
      <c r="H594" s="28">
        <f>IF($N594&lt;&gt;"",IF(INDEX(CalcWitB,$N594)=0,"",INDEX(CalcWitB,$N594)),"")</f>
        <v/>
      </c>
      <c r="I594" s="29">
        <f>IF($M594&lt;&gt;"",INDEX(CalcAmtA,$M594),"")</f>
        <v/>
      </c>
      <c r="J594" s="29">
        <f>IF($B594="","",IF($J593="",$C$8,$J593)+IF($I594="",0,$I594)+IF($E594="",0,$E594)-IF($H594="",0,$H594))</f>
        <v/>
      </c>
      <c r="K594" s="30">
        <f>IF($M594&lt;&gt;"",IF(INDEX(CalcNoteA,$M594)="","—",INDEX(CalcNoteA,$M594)),IF($N594&lt;&gt;"",IF(INDEX(CalcNoteB,$N594)="","—",INDEX(CalcNoteB,$N594)),""))</f>
        <v/>
      </c>
      <c r="M594">
        <f>IFERROR(MATCH($C$5&amp;"|"&amp;RIGHT("000000"&amp;578,6),CalcRankKeyA,0),"")</f>
        <v/>
      </c>
      <c r="N594">
        <f>IFERROR(MATCH($C$5&amp;"|"&amp;RIGHT("000000"&amp;578,6),CalcRankKeyB,0),"")</f>
        <v/>
      </c>
    </row>
    <row r="595">
      <c r="A595" s="21" t="n">
        <v>579</v>
      </c>
      <c r="B595" s="22">
        <f>IF(AND($M595="",$N595=""),"",IF($M595&lt;&gt;"",INDEX(CalcDateA,$M595),INDEX(CalcDateB,$N595)))</f>
        <v/>
      </c>
      <c r="C595" s="22">
        <f>IF($M595&lt;&gt;"","خرید سبد",IF($N595&lt;&gt;"",IF(N(INDEX(CalcDepB,$N595))&gt;0,"دریافت بانکی","پرداخت بانکی"),""))</f>
        <v/>
      </c>
      <c r="D595" s="22">
        <f>IF($M595&lt;&gt;"",IF(INDEX(CalcDocA,$M595)="","—",INDEX(CalcDocA,$M595)),IF($N595&lt;&gt;"",INDEX(CalcBankB,$N595),""))</f>
        <v/>
      </c>
      <c r="E595" s="23">
        <f>IF($N595&lt;&gt;"",IF(INDEX(CalcDepB,$N595)=0,"",INDEX(CalcDepB,$N595)),"")</f>
        <v/>
      </c>
      <c r="F595" s="23">
        <f>IF($M595&lt;&gt;"",IF(INDEX(CalcQtyA,$M595)=0,"",INDEX(CalcQtyA,$M595)),"")</f>
        <v/>
      </c>
      <c r="G595" s="23">
        <f>IF($M595&lt;&gt;"",IF(INDEX(CalcPriceA,$M595)=0,"",INDEX(CalcPriceA,$M595)),"")</f>
        <v/>
      </c>
      <c r="H595" s="23">
        <f>IF($N595&lt;&gt;"",IF(INDEX(CalcWitB,$N595)=0,"",INDEX(CalcWitB,$N595)),"")</f>
        <v/>
      </c>
      <c r="I595" s="24">
        <f>IF($M595&lt;&gt;"",INDEX(CalcAmtA,$M595),"")</f>
        <v/>
      </c>
      <c r="J595" s="24">
        <f>IF($B595="","",IF($J594="",$C$8,$J594)+IF($I595="",0,$I595)+IF($E595="",0,$E595)-IF($H595="",0,$H595))</f>
        <v/>
      </c>
      <c r="K595" s="25">
        <f>IF($M595&lt;&gt;"",IF(INDEX(CalcNoteA,$M595)="","—",INDEX(CalcNoteA,$M595)),IF($N595&lt;&gt;"",IF(INDEX(CalcNoteB,$N595)="","—",INDEX(CalcNoteB,$N595)),""))</f>
        <v/>
      </c>
      <c r="M595">
        <f>IFERROR(MATCH($C$5&amp;"|"&amp;RIGHT("000000"&amp;579,6),CalcRankKeyA,0),"")</f>
        <v/>
      </c>
      <c r="N595">
        <f>IFERROR(MATCH($C$5&amp;"|"&amp;RIGHT("000000"&amp;579,6),CalcRankKeyB,0),"")</f>
        <v/>
      </c>
    </row>
    <row r="596">
      <c r="A596" s="26" t="n">
        <v>580</v>
      </c>
      <c r="B596" s="27">
        <f>IF(AND($M596="",$N596=""),"",IF($M596&lt;&gt;"",INDEX(CalcDateA,$M596),INDEX(CalcDateB,$N596)))</f>
        <v/>
      </c>
      <c r="C596" s="27">
        <f>IF($M596&lt;&gt;"","خرید سبد",IF($N596&lt;&gt;"",IF(N(INDEX(CalcDepB,$N596))&gt;0,"دریافت بانکی","پرداخت بانکی"),""))</f>
        <v/>
      </c>
      <c r="D596" s="27">
        <f>IF($M596&lt;&gt;"",IF(INDEX(CalcDocA,$M596)="","—",INDEX(CalcDocA,$M596)),IF($N596&lt;&gt;"",INDEX(CalcBankB,$N596),""))</f>
        <v/>
      </c>
      <c r="E596" s="28">
        <f>IF($N596&lt;&gt;"",IF(INDEX(CalcDepB,$N596)=0,"",INDEX(CalcDepB,$N596)),"")</f>
        <v/>
      </c>
      <c r="F596" s="28">
        <f>IF($M596&lt;&gt;"",IF(INDEX(CalcQtyA,$M596)=0,"",INDEX(CalcQtyA,$M596)),"")</f>
        <v/>
      </c>
      <c r="G596" s="28">
        <f>IF($M596&lt;&gt;"",IF(INDEX(CalcPriceA,$M596)=0,"",INDEX(CalcPriceA,$M596)),"")</f>
        <v/>
      </c>
      <c r="H596" s="28">
        <f>IF($N596&lt;&gt;"",IF(INDEX(CalcWitB,$N596)=0,"",INDEX(CalcWitB,$N596)),"")</f>
        <v/>
      </c>
      <c r="I596" s="29">
        <f>IF($M596&lt;&gt;"",INDEX(CalcAmtA,$M596),"")</f>
        <v/>
      </c>
      <c r="J596" s="29">
        <f>IF($B596="","",IF($J595="",$C$8,$J595)+IF($I596="",0,$I596)+IF($E596="",0,$E596)-IF($H596="",0,$H596))</f>
        <v/>
      </c>
      <c r="K596" s="30">
        <f>IF($M596&lt;&gt;"",IF(INDEX(CalcNoteA,$M596)="","—",INDEX(CalcNoteA,$M596)),IF($N596&lt;&gt;"",IF(INDEX(CalcNoteB,$N596)="","—",INDEX(CalcNoteB,$N596)),""))</f>
        <v/>
      </c>
      <c r="M596">
        <f>IFERROR(MATCH($C$5&amp;"|"&amp;RIGHT("000000"&amp;580,6),CalcRankKeyA,0),"")</f>
        <v/>
      </c>
      <c r="N596">
        <f>IFERROR(MATCH($C$5&amp;"|"&amp;RIGHT("000000"&amp;580,6),CalcRankKeyB,0),"")</f>
        <v/>
      </c>
    </row>
    <row r="597">
      <c r="A597" s="21" t="n">
        <v>581</v>
      </c>
      <c r="B597" s="22">
        <f>IF(AND($M597="",$N597=""),"",IF($M597&lt;&gt;"",INDEX(CalcDateA,$M597),INDEX(CalcDateB,$N597)))</f>
        <v/>
      </c>
      <c r="C597" s="22">
        <f>IF($M597&lt;&gt;"","خرید سبد",IF($N597&lt;&gt;"",IF(N(INDEX(CalcDepB,$N597))&gt;0,"دریافت بانکی","پرداخت بانکی"),""))</f>
        <v/>
      </c>
      <c r="D597" s="22">
        <f>IF($M597&lt;&gt;"",IF(INDEX(CalcDocA,$M597)="","—",INDEX(CalcDocA,$M597)),IF($N597&lt;&gt;"",INDEX(CalcBankB,$N597),""))</f>
        <v/>
      </c>
      <c r="E597" s="23">
        <f>IF($N597&lt;&gt;"",IF(INDEX(CalcDepB,$N597)=0,"",INDEX(CalcDepB,$N597)),"")</f>
        <v/>
      </c>
      <c r="F597" s="23">
        <f>IF($M597&lt;&gt;"",IF(INDEX(CalcQtyA,$M597)=0,"",INDEX(CalcQtyA,$M597)),"")</f>
        <v/>
      </c>
      <c r="G597" s="23">
        <f>IF($M597&lt;&gt;"",IF(INDEX(CalcPriceA,$M597)=0,"",INDEX(CalcPriceA,$M597)),"")</f>
        <v/>
      </c>
      <c r="H597" s="23">
        <f>IF($N597&lt;&gt;"",IF(INDEX(CalcWitB,$N597)=0,"",INDEX(CalcWitB,$N597)),"")</f>
        <v/>
      </c>
      <c r="I597" s="24">
        <f>IF($M597&lt;&gt;"",INDEX(CalcAmtA,$M597),"")</f>
        <v/>
      </c>
      <c r="J597" s="24">
        <f>IF($B597="","",IF($J596="",$C$8,$J596)+IF($I597="",0,$I597)+IF($E597="",0,$E597)-IF($H597="",0,$H597))</f>
        <v/>
      </c>
      <c r="K597" s="25">
        <f>IF($M597&lt;&gt;"",IF(INDEX(CalcNoteA,$M597)="","—",INDEX(CalcNoteA,$M597)),IF($N597&lt;&gt;"",IF(INDEX(CalcNoteB,$N597)="","—",INDEX(CalcNoteB,$N597)),""))</f>
        <v/>
      </c>
      <c r="M597">
        <f>IFERROR(MATCH($C$5&amp;"|"&amp;RIGHT("000000"&amp;581,6),CalcRankKeyA,0),"")</f>
        <v/>
      </c>
      <c r="N597">
        <f>IFERROR(MATCH($C$5&amp;"|"&amp;RIGHT("000000"&amp;581,6),CalcRankKeyB,0),"")</f>
        <v/>
      </c>
    </row>
    <row r="598">
      <c r="A598" s="26" t="n">
        <v>582</v>
      </c>
      <c r="B598" s="27">
        <f>IF(AND($M598="",$N598=""),"",IF($M598&lt;&gt;"",INDEX(CalcDateA,$M598),INDEX(CalcDateB,$N598)))</f>
        <v/>
      </c>
      <c r="C598" s="27">
        <f>IF($M598&lt;&gt;"","خرید سبد",IF($N598&lt;&gt;"",IF(N(INDEX(CalcDepB,$N598))&gt;0,"دریافت بانکی","پرداخت بانکی"),""))</f>
        <v/>
      </c>
      <c r="D598" s="27">
        <f>IF($M598&lt;&gt;"",IF(INDEX(CalcDocA,$M598)="","—",INDEX(CalcDocA,$M598)),IF($N598&lt;&gt;"",INDEX(CalcBankB,$N598),""))</f>
        <v/>
      </c>
      <c r="E598" s="28">
        <f>IF($N598&lt;&gt;"",IF(INDEX(CalcDepB,$N598)=0,"",INDEX(CalcDepB,$N598)),"")</f>
        <v/>
      </c>
      <c r="F598" s="28">
        <f>IF($M598&lt;&gt;"",IF(INDEX(CalcQtyA,$M598)=0,"",INDEX(CalcQtyA,$M598)),"")</f>
        <v/>
      </c>
      <c r="G598" s="28">
        <f>IF($M598&lt;&gt;"",IF(INDEX(CalcPriceA,$M598)=0,"",INDEX(CalcPriceA,$M598)),"")</f>
        <v/>
      </c>
      <c r="H598" s="28">
        <f>IF($N598&lt;&gt;"",IF(INDEX(CalcWitB,$N598)=0,"",INDEX(CalcWitB,$N598)),"")</f>
        <v/>
      </c>
      <c r="I598" s="29">
        <f>IF($M598&lt;&gt;"",INDEX(CalcAmtA,$M598),"")</f>
        <v/>
      </c>
      <c r="J598" s="29">
        <f>IF($B598="","",IF($J597="",$C$8,$J597)+IF($I598="",0,$I598)+IF($E598="",0,$E598)-IF($H598="",0,$H598))</f>
        <v/>
      </c>
      <c r="K598" s="30">
        <f>IF($M598&lt;&gt;"",IF(INDEX(CalcNoteA,$M598)="","—",INDEX(CalcNoteA,$M598)),IF($N598&lt;&gt;"",IF(INDEX(CalcNoteB,$N598)="","—",INDEX(CalcNoteB,$N598)),""))</f>
        <v/>
      </c>
      <c r="M598">
        <f>IFERROR(MATCH($C$5&amp;"|"&amp;RIGHT("000000"&amp;582,6),CalcRankKeyA,0),"")</f>
        <v/>
      </c>
      <c r="N598">
        <f>IFERROR(MATCH($C$5&amp;"|"&amp;RIGHT("000000"&amp;582,6),CalcRankKeyB,0),"")</f>
        <v/>
      </c>
    </row>
    <row r="599">
      <c r="A599" s="21" t="n">
        <v>583</v>
      </c>
      <c r="B599" s="22">
        <f>IF(AND($M599="",$N599=""),"",IF($M599&lt;&gt;"",INDEX(CalcDateA,$M599),INDEX(CalcDateB,$N599)))</f>
        <v/>
      </c>
      <c r="C599" s="22">
        <f>IF($M599&lt;&gt;"","خرید سبد",IF($N599&lt;&gt;"",IF(N(INDEX(CalcDepB,$N599))&gt;0,"دریافت بانکی","پرداخت بانکی"),""))</f>
        <v/>
      </c>
      <c r="D599" s="22">
        <f>IF($M599&lt;&gt;"",IF(INDEX(CalcDocA,$M599)="","—",INDEX(CalcDocA,$M599)),IF($N599&lt;&gt;"",INDEX(CalcBankB,$N599),""))</f>
        <v/>
      </c>
      <c r="E599" s="23">
        <f>IF($N599&lt;&gt;"",IF(INDEX(CalcDepB,$N599)=0,"",INDEX(CalcDepB,$N599)),"")</f>
        <v/>
      </c>
      <c r="F599" s="23">
        <f>IF($M599&lt;&gt;"",IF(INDEX(CalcQtyA,$M599)=0,"",INDEX(CalcQtyA,$M599)),"")</f>
        <v/>
      </c>
      <c r="G599" s="23">
        <f>IF($M599&lt;&gt;"",IF(INDEX(CalcPriceA,$M599)=0,"",INDEX(CalcPriceA,$M599)),"")</f>
        <v/>
      </c>
      <c r="H599" s="23">
        <f>IF($N599&lt;&gt;"",IF(INDEX(CalcWitB,$N599)=0,"",INDEX(CalcWitB,$N599)),"")</f>
        <v/>
      </c>
      <c r="I599" s="24">
        <f>IF($M599&lt;&gt;"",INDEX(CalcAmtA,$M599),"")</f>
        <v/>
      </c>
      <c r="J599" s="24">
        <f>IF($B599="","",IF($J598="",$C$8,$J598)+IF($I599="",0,$I599)+IF($E599="",0,$E599)-IF($H599="",0,$H599))</f>
        <v/>
      </c>
      <c r="K599" s="25">
        <f>IF($M599&lt;&gt;"",IF(INDEX(CalcNoteA,$M599)="","—",INDEX(CalcNoteA,$M599)),IF($N599&lt;&gt;"",IF(INDEX(CalcNoteB,$N599)="","—",INDEX(CalcNoteB,$N599)),""))</f>
        <v/>
      </c>
      <c r="M599">
        <f>IFERROR(MATCH($C$5&amp;"|"&amp;RIGHT("000000"&amp;583,6),CalcRankKeyA,0),"")</f>
        <v/>
      </c>
      <c r="N599">
        <f>IFERROR(MATCH($C$5&amp;"|"&amp;RIGHT("000000"&amp;583,6),CalcRankKeyB,0),"")</f>
        <v/>
      </c>
    </row>
    <row r="600">
      <c r="A600" s="26" t="n">
        <v>584</v>
      </c>
      <c r="B600" s="27">
        <f>IF(AND($M600="",$N600=""),"",IF($M600&lt;&gt;"",INDEX(CalcDateA,$M600),INDEX(CalcDateB,$N600)))</f>
        <v/>
      </c>
      <c r="C600" s="27">
        <f>IF($M600&lt;&gt;"","خرید سبد",IF($N600&lt;&gt;"",IF(N(INDEX(CalcDepB,$N600))&gt;0,"دریافت بانکی","پرداخت بانکی"),""))</f>
        <v/>
      </c>
      <c r="D600" s="27">
        <f>IF($M600&lt;&gt;"",IF(INDEX(CalcDocA,$M600)="","—",INDEX(CalcDocA,$M600)),IF($N600&lt;&gt;"",INDEX(CalcBankB,$N600),""))</f>
        <v/>
      </c>
      <c r="E600" s="28">
        <f>IF($N600&lt;&gt;"",IF(INDEX(CalcDepB,$N600)=0,"",INDEX(CalcDepB,$N600)),"")</f>
        <v/>
      </c>
      <c r="F600" s="28">
        <f>IF($M600&lt;&gt;"",IF(INDEX(CalcQtyA,$M600)=0,"",INDEX(CalcQtyA,$M600)),"")</f>
        <v/>
      </c>
      <c r="G600" s="28">
        <f>IF($M600&lt;&gt;"",IF(INDEX(CalcPriceA,$M600)=0,"",INDEX(CalcPriceA,$M600)),"")</f>
        <v/>
      </c>
      <c r="H600" s="28">
        <f>IF($N600&lt;&gt;"",IF(INDEX(CalcWitB,$N600)=0,"",INDEX(CalcWitB,$N600)),"")</f>
        <v/>
      </c>
      <c r="I600" s="29">
        <f>IF($M600&lt;&gt;"",INDEX(CalcAmtA,$M600),"")</f>
        <v/>
      </c>
      <c r="J600" s="29">
        <f>IF($B600="","",IF($J599="",$C$8,$J599)+IF($I600="",0,$I600)+IF($E600="",0,$E600)-IF($H600="",0,$H600))</f>
        <v/>
      </c>
      <c r="K600" s="30">
        <f>IF($M600&lt;&gt;"",IF(INDEX(CalcNoteA,$M600)="","—",INDEX(CalcNoteA,$M600)),IF($N600&lt;&gt;"",IF(INDEX(CalcNoteB,$N600)="","—",INDEX(CalcNoteB,$N600)),""))</f>
        <v/>
      </c>
      <c r="M600">
        <f>IFERROR(MATCH($C$5&amp;"|"&amp;RIGHT("000000"&amp;584,6),CalcRankKeyA,0),"")</f>
        <v/>
      </c>
      <c r="N600">
        <f>IFERROR(MATCH($C$5&amp;"|"&amp;RIGHT("000000"&amp;584,6),CalcRankKeyB,0),"")</f>
        <v/>
      </c>
    </row>
    <row r="601">
      <c r="A601" s="21" t="n">
        <v>585</v>
      </c>
      <c r="B601" s="22">
        <f>IF(AND($M601="",$N601=""),"",IF($M601&lt;&gt;"",INDEX(CalcDateA,$M601),INDEX(CalcDateB,$N601)))</f>
        <v/>
      </c>
      <c r="C601" s="22">
        <f>IF($M601&lt;&gt;"","خرید سبد",IF($N601&lt;&gt;"",IF(N(INDEX(CalcDepB,$N601))&gt;0,"دریافت بانکی","پرداخت بانکی"),""))</f>
        <v/>
      </c>
      <c r="D601" s="22">
        <f>IF($M601&lt;&gt;"",IF(INDEX(CalcDocA,$M601)="","—",INDEX(CalcDocA,$M601)),IF($N601&lt;&gt;"",INDEX(CalcBankB,$N601),""))</f>
        <v/>
      </c>
      <c r="E601" s="23">
        <f>IF($N601&lt;&gt;"",IF(INDEX(CalcDepB,$N601)=0,"",INDEX(CalcDepB,$N601)),"")</f>
        <v/>
      </c>
      <c r="F601" s="23">
        <f>IF($M601&lt;&gt;"",IF(INDEX(CalcQtyA,$M601)=0,"",INDEX(CalcQtyA,$M601)),"")</f>
        <v/>
      </c>
      <c r="G601" s="23">
        <f>IF($M601&lt;&gt;"",IF(INDEX(CalcPriceA,$M601)=0,"",INDEX(CalcPriceA,$M601)),"")</f>
        <v/>
      </c>
      <c r="H601" s="23">
        <f>IF($N601&lt;&gt;"",IF(INDEX(CalcWitB,$N601)=0,"",INDEX(CalcWitB,$N601)),"")</f>
        <v/>
      </c>
      <c r="I601" s="24">
        <f>IF($M601&lt;&gt;"",INDEX(CalcAmtA,$M601),"")</f>
        <v/>
      </c>
      <c r="J601" s="24">
        <f>IF($B601="","",IF($J600="",$C$8,$J600)+IF($I601="",0,$I601)+IF($E601="",0,$E601)-IF($H601="",0,$H601))</f>
        <v/>
      </c>
      <c r="K601" s="25">
        <f>IF($M601&lt;&gt;"",IF(INDEX(CalcNoteA,$M601)="","—",INDEX(CalcNoteA,$M601)),IF($N601&lt;&gt;"",IF(INDEX(CalcNoteB,$N601)="","—",INDEX(CalcNoteB,$N601)),""))</f>
        <v/>
      </c>
      <c r="M601">
        <f>IFERROR(MATCH($C$5&amp;"|"&amp;RIGHT("000000"&amp;585,6),CalcRankKeyA,0),"")</f>
        <v/>
      </c>
      <c r="N601">
        <f>IFERROR(MATCH($C$5&amp;"|"&amp;RIGHT("000000"&amp;585,6),CalcRankKeyB,0),"")</f>
        <v/>
      </c>
    </row>
    <row r="602">
      <c r="A602" s="26" t="n">
        <v>586</v>
      </c>
      <c r="B602" s="27">
        <f>IF(AND($M602="",$N602=""),"",IF($M602&lt;&gt;"",INDEX(CalcDateA,$M602),INDEX(CalcDateB,$N602)))</f>
        <v/>
      </c>
      <c r="C602" s="27">
        <f>IF($M602&lt;&gt;"","خرید سبد",IF($N602&lt;&gt;"",IF(N(INDEX(CalcDepB,$N602))&gt;0,"دریافت بانکی","پرداخت بانکی"),""))</f>
        <v/>
      </c>
      <c r="D602" s="27">
        <f>IF($M602&lt;&gt;"",IF(INDEX(CalcDocA,$M602)="","—",INDEX(CalcDocA,$M602)),IF($N602&lt;&gt;"",INDEX(CalcBankB,$N602),""))</f>
        <v/>
      </c>
      <c r="E602" s="28">
        <f>IF($N602&lt;&gt;"",IF(INDEX(CalcDepB,$N602)=0,"",INDEX(CalcDepB,$N602)),"")</f>
        <v/>
      </c>
      <c r="F602" s="28">
        <f>IF($M602&lt;&gt;"",IF(INDEX(CalcQtyA,$M602)=0,"",INDEX(CalcQtyA,$M602)),"")</f>
        <v/>
      </c>
      <c r="G602" s="28">
        <f>IF($M602&lt;&gt;"",IF(INDEX(CalcPriceA,$M602)=0,"",INDEX(CalcPriceA,$M602)),"")</f>
        <v/>
      </c>
      <c r="H602" s="28">
        <f>IF($N602&lt;&gt;"",IF(INDEX(CalcWitB,$N602)=0,"",INDEX(CalcWitB,$N602)),"")</f>
        <v/>
      </c>
      <c r="I602" s="29">
        <f>IF($M602&lt;&gt;"",INDEX(CalcAmtA,$M602),"")</f>
        <v/>
      </c>
      <c r="J602" s="29">
        <f>IF($B602="","",IF($J601="",$C$8,$J601)+IF($I602="",0,$I602)+IF($E602="",0,$E602)-IF($H602="",0,$H602))</f>
        <v/>
      </c>
      <c r="K602" s="30">
        <f>IF($M602&lt;&gt;"",IF(INDEX(CalcNoteA,$M602)="","—",INDEX(CalcNoteA,$M602)),IF($N602&lt;&gt;"",IF(INDEX(CalcNoteB,$N602)="","—",INDEX(CalcNoteB,$N602)),""))</f>
        <v/>
      </c>
      <c r="M602">
        <f>IFERROR(MATCH($C$5&amp;"|"&amp;RIGHT("000000"&amp;586,6),CalcRankKeyA,0),"")</f>
        <v/>
      </c>
      <c r="N602">
        <f>IFERROR(MATCH($C$5&amp;"|"&amp;RIGHT("000000"&amp;586,6),CalcRankKeyB,0),"")</f>
        <v/>
      </c>
    </row>
    <row r="603">
      <c r="A603" s="21" t="n">
        <v>587</v>
      </c>
      <c r="B603" s="22">
        <f>IF(AND($M603="",$N603=""),"",IF($M603&lt;&gt;"",INDEX(CalcDateA,$M603),INDEX(CalcDateB,$N603)))</f>
        <v/>
      </c>
      <c r="C603" s="22">
        <f>IF($M603&lt;&gt;"","خرید سبد",IF($N603&lt;&gt;"",IF(N(INDEX(CalcDepB,$N603))&gt;0,"دریافت بانکی","پرداخت بانکی"),""))</f>
        <v/>
      </c>
      <c r="D603" s="22">
        <f>IF($M603&lt;&gt;"",IF(INDEX(CalcDocA,$M603)="","—",INDEX(CalcDocA,$M603)),IF($N603&lt;&gt;"",INDEX(CalcBankB,$N603),""))</f>
        <v/>
      </c>
      <c r="E603" s="23">
        <f>IF($N603&lt;&gt;"",IF(INDEX(CalcDepB,$N603)=0,"",INDEX(CalcDepB,$N603)),"")</f>
        <v/>
      </c>
      <c r="F603" s="23">
        <f>IF($M603&lt;&gt;"",IF(INDEX(CalcQtyA,$M603)=0,"",INDEX(CalcQtyA,$M603)),"")</f>
        <v/>
      </c>
      <c r="G603" s="23">
        <f>IF($M603&lt;&gt;"",IF(INDEX(CalcPriceA,$M603)=0,"",INDEX(CalcPriceA,$M603)),"")</f>
        <v/>
      </c>
      <c r="H603" s="23">
        <f>IF($N603&lt;&gt;"",IF(INDEX(CalcWitB,$N603)=0,"",INDEX(CalcWitB,$N603)),"")</f>
        <v/>
      </c>
      <c r="I603" s="24">
        <f>IF($M603&lt;&gt;"",INDEX(CalcAmtA,$M603),"")</f>
        <v/>
      </c>
      <c r="J603" s="24">
        <f>IF($B603="","",IF($J602="",$C$8,$J602)+IF($I603="",0,$I603)+IF($E603="",0,$E603)-IF($H603="",0,$H603))</f>
        <v/>
      </c>
      <c r="K603" s="25">
        <f>IF($M603&lt;&gt;"",IF(INDEX(CalcNoteA,$M603)="","—",INDEX(CalcNoteA,$M603)),IF($N603&lt;&gt;"",IF(INDEX(CalcNoteB,$N603)="","—",INDEX(CalcNoteB,$N603)),""))</f>
        <v/>
      </c>
      <c r="M603">
        <f>IFERROR(MATCH($C$5&amp;"|"&amp;RIGHT("000000"&amp;587,6),CalcRankKeyA,0),"")</f>
        <v/>
      </c>
      <c r="N603">
        <f>IFERROR(MATCH($C$5&amp;"|"&amp;RIGHT("000000"&amp;587,6),CalcRankKeyB,0),"")</f>
        <v/>
      </c>
    </row>
    <row r="604">
      <c r="A604" s="26" t="n">
        <v>588</v>
      </c>
      <c r="B604" s="27">
        <f>IF(AND($M604="",$N604=""),"",IF($M604&lt;&gt;"",INDEX(CalcDateA,$M604),INDEX(CalcDateB,$N604)))</f>
        <v/>
      </c>
      <c r="C604" s="27">
        <f>IF($M604&lt;&gt;"","خرید سبد",IF($N604&lt;&gt;"",IF(N(INDEX(CalcDepB,$N604))&gt;0,"دریافت بانکی","پرداخت بانکی"),""))</f>
        <v/>
      </c>
      <c r="D604" s="27">
        <f>IF($M604&lt;&gt;"",IF(INDEX(CalcDocA,$M604)="","—",INDEX(CalcDocA,$M604)),IF($N604&lt;&gt;"",INDEX(CalcBankB,$N604),""))</f>
        <v/>
      </c>
      <c r="E604" s="28">
        <f>IF($N604&lt;&gt;"",IF(INDEX(CalcDepB,$N604)=0,"",INDEX(CalcDepB,$N604)),"")</f>
        <v/>
      </c>
      <c r="F604" s="28">
        <f>IF($M604&lt;&gt;"",IF(INDEX(CalcQtyA,$M604)=0,"",INDEX(CalcQtyA,$M604)),"")</f>
        <v/>
      </c>
      <c r="G604" s="28">
        <f>IF($M604&lt;&gt;"",IF(INDEX(CalcPriceA,$M604)=0,"",INDEX(CalcPriceA,$M604)),"")</f>
        <v/>
      </c>
      <c r="H604" s="28">
        <f>IF($N604&lt;&gt;"",IF(INDEX(CalcWitB,$N604)=0,"",INDEX(CalcWitB,$N604)),"")</f>
        <v/>
      </c>
      <c r="I604" s="29">
        <f>IF($M604&lt;&gt;"",INDEX(CalcAmtA,$M604),"")</f>
        <v/>
      </c>
      <c r="J604" s="29">
        <f>IF($B604="","",IF($J603="",$C$8,$J603)+IF($I604="",0,$I604)+IF($E604="",0,$E604)-IF($H604="",0,$H604))</f>
        <v/>
      </c>
      <c r="K604" s="30">
        <f>IF($M604&lt;&gt;"",IF(INDEX(CalcNoteA,$M604)="","—",INDEX(CalcNoteA,$M604)),IF($N604&lt;&gt;"",IF(INDEX(CalcNoteB,$N604)="","—",INDEX(CalcNoteB,$N604)),""))</f>
        <v/>
      </c>
      <c r="M604">
        <f>IFERROR(MATCH($C$5&amp;"|"&amp;RIGHT("000000"&amp;588,6),CalcRankKeyA,0),"")</f>
        <v/>
      </c>
      <c r="N604">
        <f>IFERROR(MATCH($C$5&amp;"|"&amp;RIGHT("000000"&amp;588,6),CalcRankKeyB,0),"")</f>
        <v/>
      </c>
    </row>
    <row r="605">
      <c r="A605" s="21" t="n">
        <v>589</v>
      </c>
      <c r="B605" s="22">
        <f>IF(AND($M605="",$N605=""),"",IF($M605&lt;&gt;"",INDEX(CalcDateA,$M605),INDEX(CalcDateB,$N605)))</f>
        <v/>
      </c>
      <c r="C605" s="22">
        <f>IF($M605&lt;&gt;"","خرید سبد",IF($N605&lt;&gt;"",IF(N(INDEX(CalcDepB,$N605))&gt;0,"دریافت بانکی","پرداخت بانکی"),""))</f>
        <v/>
      </c>
      <c r="D605" s="22">
        <f>IF($M605&lt;&gt;"",IF(INDEX(CalcDocA,$M605)="","—",INDEX(CalcDocA,$M605)),IF($N605&lt;&gt;"",INDEX(CalcBankB,$N605),""))</f>
        <v/>
      </c>
      <c r="E605" s="23">
        <f>IF($N605&lt;&gt;"",IF(INDEX(CalcDepB,$N605)=0,"",INDEX(CalcDepB,$N605)),"")</f>
        <v/>
      </c>
      <c r="F605" s="23">
        <f>IF($M605&lt;&gt;"",IF(INDEX(CalcQtyA,$M605)=0,"",INDEX(CalcQtyA,$M605)),"")</f>
        <v/>
      </c>
      <c r="G605" s="23">
        <f>IF($M605&lt;&gt;"",IF(INDEX(CalcPriceA,$M605)=0,"",INDEX(CalcPriceA,$M605)),"")</f>
        <v/>
      </c>
      <c r="H605" s="23">
        <f>IF($N605&lt;&gt;"",IF(INDEX(CalcWitB,$N605)=0,"",INDEX(CalcWitB,$N605)),"")</f>
        <v/>
      </c>
      <c r="I605" s="24">
        <f>IF($M605&lt;&gt;"",INDEX(CalcAmtA,$M605),"")</f>
        <v/>
      </c>
      <c r="J605" s="24">
        <f>IF($B605="","",IF($J604="",$C$8,$J604)+IF($I605="",0,$I605)+IF($E605="",0,$E605)-IF($H605="",0,$H605))</f>
        <v/>
      </c>
      <c r="K605" s="25">
        <f>IF($M605&lt;&gt;"",IF(INDEX(CalcNoteA,$M605)="","—",INDEX(CalcNoteA,$M605)),IF($N605&lt;&gt;"",IF(INDEX(CalcNoteB,$N605)="","—",INDEX(CalcNoteB,$N605)),""))</f>
        <v/>
      </c>
      <c r="M605">
        <f>IFERROR(MATCH($C$5&amp;"|"&amp;RIGHT("000000"&amp;589,6),CalcRankKeyA,0),"")</f>
        <v/>
      </c>
      <c r="N605">
        <f>IFERROR(MATCH($C$5&amp;"|"&amp;RIGHT("000000"&amp;589,6),CalcRankKeyB,0),"")</f>
        <v/>
      </c>
    </row>
    <row r="606">
      <c r="A606" s="26" t="n">
        <v>590</v>
      </c>
      <c r="B606" s="27">
        <f>IF(AND($M606="",$N606=""),"",IF($M606&lt;&gt;"",INDEX(CalcDateA,$M606),INDEX(CalcDateB,$N606)))</f>
        <v/>
      </c>
      <c r="C606" s="27">
        <f>IF($M606&lt;&gt;"","خرید سبد",IF($N606&lt;&gt;"",IF(N(INDEX(CalcDepB,$N606))&gt;0,"دریافت بانکی","پرداخت بانکی"),""))</f>
        <v/>
      </c>
      <c r="D606" s="27">
        <f>IF($M606&lt;&gt;"",IF(INDEX(CalcDocA,$M606)="","—",INDEX(CalcDocA,$M606)),IF($N606&lt;&gt;"",INDEX(CalcBankB,$N606),""))</f>
        <v/>
      </c>
      <c r="E606" s="28">
        <f>IF($N606&lt;&gt;"",IF(INDEX(CalcDepB,$N606)=0,"",INDEX(CalcDepB,$N606)),"")</f>
        <v/>
      </c>
      <c r="F606" s="28">
        <f>IF($M606&lt;&gt;"",IF(INDEX(CalcQtyA,$M606)=0,"",INDEX(CalcQtyA,$M606)),"")</f>
        <v/>
      </c>
      <c r="G606" s="28">
        <f>IF($M606&lt;&gt;"",IF(INDEX(CalcPriceA,$M606)=0,"",INDEX(CalcPriceA,$M606)),"")</f>
        <v/>
      </c>
      <c r="H606" s="28">
        <f>IF($N606&lt;&gt;"",IF(INDEX(CalcWitB,$N606)=0,"",INDEX(CalcWitB,$N606)),"")</f>
        <v/>
      </c>
      <c r="I606" s="29">
        <f>IF($M606&lt;&gt;"",INDEX(CalcAmtA,$M606),"")</f>
        <v/>
      </c>
      <c r="J606" s="29">
        <f>IF($B606="","",IF($J605="",$C$8,$J605)+IF($I606="",0,$I606)+IF($E606="",0,$E606)-IF($H606="",0,$H606))</f>
        <v/>
      </c>
      <c r="K606" s="30">
        <f>IF($M606&lt;&gt;"",IF(INDEX(CalcNoteA,$M606)="","—",INDEX(CalcNoteA,$M606)),IF($N606&lt;&gt;"",IF(INDEX(CalcNoteB,$N606)="","—",INDEX(CalcNoteB,$N606)),""))</f>
        <v/>
      </c>
      <c r="M606">
        <f>IFERROR(MATCH($C$5&amp;"|"&amp;RIGHT("000000"&amp;590,6),CalcRankKeyA,0),"")</f>
        <v/>
      </c>
      <c r="N606">
        <f>IFERROR(MATCH($C$5&amp;"|"&amp;RIGHT("000000"&amp;590,6),CalcRankKeyB,0),"")</f>
        <v/>
      </c>
    </row>
    <row r="607">
      <c r="A607" s="21" t="n">
        <v>591</v>
      </c>
      <c r="B607" s="22">
        <f>IF(AND($M607="",$N607=""),"",IF($M607&lt;&gt;"",INDEX(CalcDateA,$M607),INDEX(CalcDateB,$N607)))</f>
        <v/>
      </c>
      <c r="C607" s="22">
        <f>IF($M607&lt;&gt;"","خرید سبد",IF($N607&lt;&gt;"",IF(N(INDEX(CalcDepB,$N607))&gt;0,"دریافت بانکی","پرداخت بانکی"),""))</f>
        <v/>
      </c>
      <c r="D607" s="22">
        <f>IF($M607&lt;&gt;"",IF(INDEX(CalcDocA,$M607)="","—",INDEX(CalcDocA,$M607)),IF($N607&lt;&gt;"",INDEX(CalcBankB,$N607),""))</f>
        <v/>
      </c>
      <c r="E607" s="23">
        <f>IF($N607&lt;&gt;"",IF(INDEX(CalcDepB,$N607)=0,"",INDEX(CalcDepB,$N607)),"")</f>
        <v/>
      </c>
      <c r="F607" s="23">
        <f>IF($M607&lt;&gt;"",IF(INDEX(CalcQtyA,$M607)=0,"",INDEX(CalcQtyA,$M607)),"")</f>
        <v/>
      </c>
      <c r="G607" s="23">
        <f>IF($M607&lt;&gt;"",IF(INDEX(CalcPriceA,$M607)=0,"",INDEX(CalcPriceA,$M607)),"")</f>
        <v/>
      </c>
      <c r="H607" s="23">
        <f>IF($N607&lt;&gt;"",IF(INDEX(CalcWitB,$N607)=0,"",INDEX(CalcWitB,$N607)),"")</f>
        <v/>
      </c>
      <c r="I607" s="24">
        <f>IF($M607&lt;&gt;"",INDEX(CalcAmtA,$M607),"")</f>
        <v/>
      </c>
      <c r="J607" s="24">
        <f>IF($B607="","",IF($J606="",$C$8,$J606)+IF($I607="",0,$I607)+IF($E607="",0,$E607)-IF($H607="",0,$H607))</f>
        <v/>
      </c>
      <c r="K607" s="25">
        <f>IF($M607&lt;&gt;"",IF(INDEX(CalcNoteA,$M607)="","—",INDEX(CalcNoteA,$M607)),IF($N607&lt;&gt;"",IF(INDEX(CalcNoteB,$N607)="","—",INDEX(CalcNoteB,$N607)),""))</f>
        <v/>
      </c>
      <c r="M607">
        <f>IFERROR(MATCH($C$5&amp;"|"&amp;RIGHT("000000"&amp;591,6),CalcRankKeyA,0),"")</f>
        <v/>
      </c>
      <c r="N607">
        <f>IFERROR(MATCH($C$5&amp;"|"&amp;RIGHT("000000"&amp;591,6),CalcRankKeyB,0),"")</f>
        <v/>
      </c>
    </row>
    <row r="608">
      <c r="A608" s="26" t="n">
        <v>592</v>
      </c>
      <c r="B608" s="27">
        <f>IF(AND($M608="",$N608=""),"",IF($M608&lt;&gt;"",INDEX(CalcDateA,$M608),INDEX(CalcDateB,$N608)))</f>
        <v/>
      </c>
      <c r="C608" s="27">
        <f>IF($M608&lt;&gt;"","خرید سبد",IF($N608&lt;&gt;"",IF(N(INDEX(CalcDepB,$N608))&gt;0,"دریافت بانکی","پرداخت بانکی"),""))</f>
        <v/>
      </c>
      <c r="D608" s="27">
        <f>IF($M608&lt;&gt;"",IF(INDEX(CalcDocA,$M608)="","—",INDEX(CalcDocA,$M608)),IF($N608&lt;&gt;"",INDEX(CalcBankB,$N608),""))</f>
        <v/>
      </c>
      <c r="E608" s="28">
        <f>IF($N608&lt;&gt;"",IF(INDEX(CalcDepB,$N608)=0,"",INDEX(CalcDepB,$N608)),"")</f>
        <v/>
      </c>
      <c r="F608" s="28">
        <f>IF($M608&lt;&gt;"",IF(INDEX(CalcQtyA,$M608)=0,"",INDEX(CalcQtyA,$M608)),"")</f>
        <v/>
      </c>
      <c r="G608" s="28">
        <f>IF($M608&lt;&gt;"",IF(INDEX(CalcPriceA,$M608)=0,"",INDEX(CalcPriceA,$M608)),"")</f>
        <v/>
      </c>
      <c r="H608" s="28">
        <f>IF($N608&lt;&gt;"",IF(INDEX(CalcWitB,$N608)=0,"",INDEX(CalcWitB,$N608)),"")</f>
        <v/>
      </c>
      <c r="I608" s="29">
        <f>IF($M608&lt;&gt;"",INDEX(CalcAmtA,$M608),"")</f>
        <v/>
      </c>
      <c r="J608" s="29">
        <f>IF($B608="","",IF($J607="",$C$8,$J607)+IF($I608="",0,$I608)+IF($E608="",0,$E608)-IF($H608="",0,$H608))</f>
        <v/>
      </c>
      <c r="K608" s="30">
        <f>IF($M608&lt;&gt;"",IF(INDEX(CalcNoteA,$M608)="","—",INDEX(CalcNoteA,$M608)),IF($N608&lt;&gt;"",IF(INDEX(CalcNoteB,$N608)="","—",INDEX(CalcNoteB,$N608)),""))</f>
        <v/>
      </c>
      <c r="M608">
        <f>IFERROR(MATCH($C$5&amp;"|"&amp;RIGHT("000000"&amp;592,6),CalcRankKeyA,0),"")</f>
        <v/>
      </c>
      <c r="N608">
        <f>IFERROR(MATCH($C$5&amp;"|"&amp;RIGHT("000000"&amp;592,6),CalcRankKeyB,0),"")</f>
        <v/>
      </c>
    </row>
    <row r="609">
      <c r="A609" s="21" t="n">
        <v>593</v>
      </c>
      <c r="B609" s="22">
        <f>IF(AND($M609="",$N609=""),"",IF($M609&lt;&gt;"",INDEX(CalcDateA,$M609),INDEX(CalcDateB,$N609)))</f>
        <v/>
      </c>
      <c r="C609" s="22">
        <f>IF($M609&lt;&gt;"","خرید سبد",IF($N609&lt;&gt;"",IF(N(INDEX(CalcDepB,$N609))&gt;0,"دریافت بانکی","پرداخت بانکی"),""))</f>
        <v/>
      </c>
      <c r="D609" s="22">
        <f>IF($M609&lt;&gt;"",IF(INDEX(CalcDocA,$M609)="","—",INDEX(CalcDocA,$M609)),IF($N609&lt;&gt;"",INDEX(CalcBankB,$N609),""))</f>
        <v/>
      </c>
      <c r="E609" s="23">
        <f>IF($N609&lt;&gt;"",IF(INDEX(CalcDepB,$N609)=0,"",INDEX(CalcDepB,$N609)),"")</f>
        <v/>
      </c>
      <c r="F609" s="23">
        <f>IF($M609&lt;&gt;"",IF(INDEX(CalcQtyA,$M609)=0,"",INDEX(CalcQtyA,$M609)),"")</f>
        <v/>
      </c>
      <c r="G609" s="23">
        <f>IF($M609&lt;&gt;"",IF(INDEX(CalcPriceA,$M609)=0,"",INDEX(CalcPriceA,$M609)),"")</f>
        <v/>
      </c>
      <c r="H609" s="23">
        <f>IF($N609&lt;&gt;"",IF(INDEX(CalcWitB,$N609)=0,"",INDEX(CalcWitB,$N609)),"")</f>
        <v/>
      </c>
      <c r="I609" s="24">
        <f>IF($M609&lt;&gt;"",INDEX(CalcAmtA,$M609),"")</f>
        <v/>
      </c>
      <c r="J609" s="24">
        <f>IF($B609="","",IF($J608="",$C$8,$J608)+IF($I609="",0,$I609)+IF($E609="",0,$E609)-IF($H609="",0,$H609))</f>
        <v/>
      </c>
      <c r="K609" s="25">
        <f>IF($M609&lt;&gt;"",IF(INDEX(CalcNoteA,$M609)="","—",INDEX(CalcNoteA,$M609)),IF($N609&lt;&gt;"",IF(INDEX(CalcNoteB,$N609)="","—",INDEX(CalcNoteB,$N609)),""))</f>
        <v/>
      </c>
      <c r="M609">
        <f>IFERROR(MATCH($C$5&amp;"|"&amp;RIGHT("000000"&amp;593,6),CalcRankKeyA,0),"")</f>
        <v/>
      </c>
      <c r="N609">
        <f>IFERROR(MATCH($C$5&amp;"|"&amp;RIGHT("000000"&amp;593,6),CalcRankKeyB,0),"")</f>
        <v/>
      </c>
    </row>
    <row r="610">
      <c r="A610" s="26" t="n">
        <v>594</v>
      </c>
      <c r="B610" s="27">
        <f>IF(AND($M610="",$N610=""),"",IF($M610&lt;&gt;"",INDEX(CalcDateA,$M610),INDEX(CalcDateB,$N610)))</f>
        <v/>
      </c>
      <c r="C610" s="27">
        <f>IF($M610&lt;&gt;"","خرید سبد",IF($N610&lt;&gt;"",IF(N(INDEX(CalcDepB,$N610))&gt;0,"دریافت بانکی","پرداخت بانکی"),""))</f>
        <v/>
      </c>
      <c r="D610" s="27">
        <f>IF($M610&lt;&gt;"",IF(INDEX(CalcDocA,$M610)="","—",INDEX(CalcDocA,$M610)),IF($N610&lt;&gt;"",INDEX(CalcBankB,$N610),""))</f>
        <v/>
      </c>
      <c r="E610" s="28">
        <f>IF($N610&lt;&gt;"",IF(INDEX(CalcDepB,$N610)=0,"",INDEX(CalcDepB,$N610)),"")</f>
        <v/>
      </c>
      <c r="F610" s="28">
        <f>IF($M610&lt;&gt;"",IF(INDEX(CalcQtyA,$M610)=0,"",INDEX(CalcQtyA,$M610)),"")</f>
        <v/>
      </c>
      <c r="G610" s="28">
        <f>IF($M610&lt;&gt;"",IF(INDEX(CalcPriceA,$M610)=0,"",INDEX(CalcPriceA,$M610)),"")</f>
        <v/>
      </c>
      <c r="H610" s="28">
        <f>IF($N610&lt;&gt;"",IF(INDEX(CalcWitB,$N610)=0,"",INDEX(CalcWitB,$N610)),"")</f>
        <v/>
      </c>
      <c r="I610" s="29">
        <f>IF($M610&lt;&gt;"",INDEX(CalcAmtA,$M610),"")</f>
        <v/>
      </c>
      <c r="J610" s="29">
        <f>IF($B610="","",IF($J609="",$C$8,$J609)+IF($I610="",0,$I610)+IF($E610="",0,$E610)-IF($H610="",0,$H610))</f>
        <v/>
      </c>
      <c r="K610" s="30">
        <f>IF($M610&lt;&gt;"",IF(INDEX(CalcNoteA,$M610)="","—",INDEX(CalcNoteA,$M610)),IF($N610&lt;&gt;"",IF(INDEX(CalcNoteB,$N610)="","—",INDEX(CalcNoteB,$N610)),""))</f>
        <v/>
      </c>
      <c r="M610">
        <f>IFERROR(MATCH($C$5&amp;"|"&amp;RIGHT("000000"&amp;594,6),CalcRankKeyA,0),"")</f>
        <v/>
      </c>
      <c r="N610">
        <f>IFERROR(MATCH($C$5&amp;"|"&amp;RIGHT("000000"&amp;594,6),CalcRankKeyB,0),"")</f>
        <v/>
      </c>
    </row>
    <row r="611">
      <c r="A611" s="21" t="n">
        <v>595</v>
      </c>
      <c r="B611" s="22">
        <f>IF(AND($M611="",$N611=""),"",IF($M611&lt;&gt;"",INDEX(CalcDateA,$M611),INDEX(CalcDateB,$N611)))</f>
        <v/>
      </c>
      <c r="C611" s="22">
        <f>IF($M611&lt;&gt;"","خرید سبد",IF($N611&lt;&gt;"",IF(N(INDEX(CalcDepB,$N611))&gt;0,"دریافت بانکی","پرداخت بانکی"),""))</f>
        <v/>
      </c>
      <c r="D611" s="22">
        <f>IF($M611&lt;&gt;"",IF(INDEX(CalcDocA,$M611)="","—",INDEX(CalcDocA,$M611)),IF($N611&lt;&gt;"",INDEX(CalcBankB,$N611),""))</f>
        <v/>
      </c>
      <c r="E611" s="23">
        <f>IF($N611&lt;&gt;"",IF(INDEX(CalcDepB,$N611)=0,"",INDEX(CalcDepB,$N611)),"")</f>
        <v/>
      </c>
      <c r="F611" s="23">
        <f>IF($M611&lt;&gt;"",IF(INDEX(CalcQtyA,$M611)=0,"",INDEX(CalcQtyA,$M611)),"")</f>
        <v/>
      </c>
      <c r="G611" s="23">
        <f>IF($M611&lt;&gt;"",IF(INDEX(CalcPriceA,$M611)=0,"",INDEX(CalcPriceA,$M611)),"")</f>
        <v/>
      </c>
      <c r="H611" s="23">
        <f>IF($N611&lt;&gt;"",IF(INDEX(CalcWitB,$N611)=0,"",INDEX(CalcWitB,$N611)),"")</f>
        <v/>
      </c>
      <c r="I611" s="24">
        <f>IF($M611&lt;&gt;"",INDEX(CalcAmtA,$M611),"")</f>
        <v/>
      </c>
      <c r="J611" s="24">
        <f>IF($B611="","",IF($J610="",$C$8,$J610)+IF($I611="",0,$I611)+IF($E611="",0,$E611)-IF($H611="",0,$H611))</f>
        <v/>
      </c>
      <c r="K611" s="25">
        <f>IF($M611&lt;&gt;"",IF(INDEX(CalcNoteA,$M611)="","—",INDEX(CalcNoteA,$M611)),IF($N611&lt;&gt;"",IF(INDEX(CalcNoteB,$N611)="","—",INDEX(CalcNoteB,$N611)),""))</f>
        <v/>
      </c>
      <c r="M611">
        <f>IFERROR(MATCH($C$5&amp;"|"&amp;RIGHT("000000"&amp;595,6),CalcRankKeyA,0),"")</f>
        <v/>
      </c>
      <c r="N611">
        <f>IFERROR(MATCH($C$5&amp;"|"&amp;RIGHT("000000"&amp;595,6),CalcRankKeyB,0),"")</f>
        <v/>
      </c>
    </row>
    <row r="612">
      <c r="A612" s="26" t="n">
        <v>596</v>
      </c>
      <c r="B612" s="27">
        <f>IF(AND($M612="",$N612=""),"",IF($M612&lt;&gt;"",INDEX(CalcDateA,$M612),INDEX(CalcDateB,$N612)))</f>
        <v/>
      </c>
      <c r="C612" s="27">
        <f>IF($M612&lt;&gt;"","خرید سبد",IF($N612&lt;&gt;"",IF(N(INDEX(CalcDepB,$N612))&gt;0,"دریافت بانکی","پرداخت بانکی"),""))</f>
        <v/>
      </c>
      <c r="D612" s="27">
        <f>IF($M612&lt;&gt;"",IF(INDEX(CalcDocA,$M612)="","—",INDEX(CalcDocA,$M612)),IF($N612&lt;&gt;"",INDEX(CalcBankB,$N612),""))</f>
        <v/>
      </c>
      <c r="E612" s="28">
        <f>IF($N612&lt;&gt;"",IF(INDEX(CalcDepB,$N612)=0,"",INDEX(CalcDepB,$N612)),"")</f>
        <v/>
      </c>
      <c r="F612" s="28">
        <f>IF($M612&lt;&gt;"",IF(INDEX(CalcQtyA,$M612)=0,"",INDEX(CalcQtyA,$M612)),"")</f>
        <v/>
      </c>
      <c r="G612" s="28">
        <f>IF($M612&lt;&gt;"",IF(INDEX(CalcPriceA,$M612)=0,"",INDEX(CalcPriceA,$M612)),"")</f>
        <v/>
      </c>
      <c r="H612" s="28">
        <f>IF($N612&lt;&gt;"",IF(INDEX(CalcWitB,$N612)=0,"",INDEX(CalcWitB,$N612)),"")</f>
        <v/>
      </c>
      <c r="I612" s="29">
        <f>IF($M612&lt;&gt;"",INDEX(CalcAmtA,$M612),"")</f>
        <v/>
      </c>
      <c r="J612" s="29">
        <f>IF($B612="","",IF($J611="",$C$8,$J611)+IF($I612="",0,$I612)+IF($E612="",0,$E612)-IF($H612="",0,$H612))</f>
        <v/>
      </c>
      <c r="K612" s="30">
        <f>IF($M612&lt;&gt;"",IF(INDEX(CalcNoteA,$M612)="","—",INDEX(CalcNoteA,$M612)),IF($N612&lt;&gt;"",IF(INDEX(CalcNoteB,$N612)="","—",INDEX(CalcNoteB,$N612)),""))</f>
        <v/>
      </c>
      <c r="M612">
        <f>IFERROR(MATCH($C$5&amp;"|"&amp;RIGHT("000000"&amp;596,6),CalcRankKeyA,0),"")</f>
        <v/>
      </c>
      <c r="N612">
        <f>IFERROR(MATCH($C$5&amp;"|"&amp;RIGHT("000000"&amp;596,6),CalcRankKeyB,0),"")</f>
        <v/>
      </c>
    </row>
    <row r="613">
      <c r="A613" s="21" t="n">
        <v>597</v>
      </c>
      <c r="B613" s="22">
        <f>IF(AND($M613="",$N613=""),"",IF($M613&lt;&gt;"",INDEX(CalcDateA,$M613),INDEX(CalcDateB,$N613)))</f>
        <v/>
      </c>
      <c r="C613" s="22">
        <f>IF($M613&lt;&gt;"","خرید سبد",IF($N613&lt;&gt;"",IF(N(INDEX(CalcDepB,$N613))&gt;0,"دریافت بانکی","پرداخت بانکی"),""))</f>
        <v/>
      </c>
      <c r="D613" s="22">
        <f>IF($M613&lt;&gt;"",IF(INDEX(CalcDocA,$M613)="","—",INDEX(CalcDocA,$M613)),IF($N613&lt;&gt;"",INDEX(CalcBankB,$N613),""))</f>
        <v/>
      </c>
      <c r="E613" s="23">
        <f>IF($N613&lt;&gt;"",IF(INDEX(CalcDepB,$N613)=0,"",INDEX(CalcDepB,$N613)),"")</f>
        <v/>
      </c>
      <c r="F613" s="23">
        <f>IF($M613&lt;&gt;"",IF(INDEX(CalcQtyA,$M613)=0,"",INDEX(CalcQtyA,$M613)),"")</f>
        <v/>
      </c>
      <c r="G613" s="23">
        <f>IF($M613&lt;&gt;"",IF(INDEX(CalcPriceA,$M613)=0,"",INDEX(CalcPriceA,$M613)),"")</f>
        <v/>
      </c>
      <c r="H613" s="23">
        <f>IF($N613&lt;&gt;"",IF(INDEX(CalcWitB,$N613)=0,"",INDEX(CalcWitB,$N613)),"")</f>
        <v/>
      </c>
      <c r="I613" s="24">
        <f>IF($M613&lt;&gt;"",INDEX(CalcAmtA,$M613),"")</f>
        <v/>
      </c>
      <c r="J613" s="24">
        <f>IF($B613="","",IF($J612="",$C$8,$J612)+IF($I613="",0,$I613)+IF($E613="",0,$E613)-IF($H613="",0,$H613))</f>
        <v/>
      </c>
      <c r="K613" s="25">
        <f>IF($M613&lt;&gt;"",IF(INDEX(CalcNoteA,$M613)="","—",INDEX(CalcNoteA,$M613)),IF($N613&lt;&gt;"",IF(INDEX(CalcNoteB,$N613)="","—",INDEX(CalcNoteB,$N613)),""))</f>
        <v/>
      </c>
      <c r="M613">
        <f>IFERROR(MATCH($C$5&amp;"|"&amp;RIGHT("000000"&amp;597,6),CalcRankKeyA,0),"")</f>
        <v/>
      </c>
      <c r="N613">
        <f>IFERROR(MATCH($C$5&amp;"|"&amp;RIGHT("000000"&amp;597,6),CalcRankKeyB,0),"")</f>
        <v/>
      </c>
    </row>
    <row r="614">
      <c r="A614" s="26" t="n">
        <v>598</v>
      </c>
      <c r="B614" s="27">
        <f>IF(AND($M614="",$N614=""),"",IF($M614&lt;&gt;"",INDEX(CalcDateA,$M614),INDEX(CalcDateB,$N614)))</f>
        <v/>
      </c>
      <c r="C614" s="27">
        <f>IF($M614&lt;&gt;"","خرید سبد",IF($N614&lt;&gt;"",IF(N(INDEX(CalcDepB,$N614))&gt;0,"دریافت بانکی","پرداخت بانکی"),""))</f>
        <v/>
      </c>
      <c r="D614" s="27">
        <f>IF($M614&lt;&gt;"",IF(INDEX(CalcDocA,$M614)="","—",INDEX(CalcDocA,$M614)),IF($N614&lt;&gt;"",INDEX(CalcBankB,$N614),""))</f>
        <v/>
      </c>
      <c r="E614" s="28">
        <f>IF($N614&lt;&gt;"",IF(INDEX(CalcDepB,$N614)=0,"",INDEX(CalcDepB,$N614)),"")</f>
        <v/>
      </c>
      <c r="F614" s="28">
        <f>IF($M614&lt;&gt;"",IF(INDEX(CalcQtyA,$M614)=0,"",INDEX(CalcQtyA,$M614)),"")</f>
        <v/>
      </c>
      <c r="G614" s="28">
        <f>IF($M614&lt;&gt;"",IF(INDEX(CalcPriceA,$M614)=0,"",INDEX(CalcPriceA,$M614)),"")</f>
        <v/>
      </c>
      <c r="H614" s="28">
        <f>IF($N614&lt;&gt;"",IF(INDEX(CalcWitB,$N614)=0,"",INDEX(CalcWitB,$N614)),"")</f>
        <v/>
      </c>
      <c r="I614" s="29">
        <f>IF($M614&lt;&gt;"",INDEX(CalcAmtA,$M614),"")</f>
        <v/>
      </c>
      <c r="J614" s="29">
        <f>IF($B614="","",IF($J613="",$C$8,$J613)+IF($I614="",0,$I614)+IF($E614="",0,$E614)-IF($H614="",0,$H614))</f>
        <v/>
      </c>
      <c r="K614" s="30">
        <f>IF($M614&lt;&gt;"",IF(INDEX(CalcNoteA,$M614)="","—",INDEX(CalcNoteA,$M614)),IF($N614&lt;&gt;"",IF(INDEX(CalcNoteB,$N614)="","—",INDEX(CalcNoteB,$N614)),""))</f>
        <v/>
      </c>
      <c r="M614">
        <f>IFERROR(MATCH($C$5&amp;"|"&amp;RIGHT("000000"&amp;598,6),CalcRankKeyA,0),"")</f>
        <v/>
      </c>
      <c r="N614">
        <f>IFERROR(MATCH($C$5&amp;"|"&amp;RIGHT("000000"&amp;598,6),CalcRankKeyB,0),"")</f>
        <v/>
      </c>
    </row>
    <row r="615">
      <c r="A615" s="21" t="n">
        <v>599</v>
      </c>
      <c r="B615" s="22">
        <f>IF(AND($M615="",$N615=""),"",IF($M615&lt;&gt;"",INDEX(CalcDateA,$M615),INDEX(CalcDateB,$N615)))</f>
        <v/>
      </c>
      <c r="C615" s="22">
        <f>IF($M615&lt;&gt;"","خرید سبد",IF($N615&lt;&gt;"",IF(N(INDEX(CalcDepB,$N615))&gt;0,"دریافت بانکی","پرداخت بانکی"),""))</f>
        <v/>
      </c>
      <c r="D615" s="22">
        <f>IF($M615&lt;&gt;"",IF(INDEX(CalcDocA,$M615)="","—",INDEX(CalcDocA,$M615)),IF($N615&lt;&gt;"",INDEX(CalcBankB,$N615),""))</f>
        <v/>
      </c>
      <c r="E615" s="23">
        <f>IF($N615&lt;&gt;"",IF(INDEX(CalcDepB,$N615)=0,"",INDEX(CalcDepB,$N615)),"")</f>
        <v/>
      </c>
      <c r="F615" s="23">
        <f>IF($M615&lt;&gt;"",IF(INDEX(CalcQtyA,$M615)=0,"",INDEX(CalcQtyA,$M615)),"")</f>
        <v/>
      </c>
      <c r="G615" s="23">
        <f>IF($M615&lt;&gt;"",IF(INDEX(CalcPriceA,$M615)=0,"",INDEX(CalcPriceA,$M615)),"")</f>
        <v/>
      </c>
      <c r="H615" s="23">
        <f>IF($N615&lt;&gt;"",IF(INDEX(CalcWitB,$N615)=0,"",INDEX(CalcWitB,$N615)),"")</f>
        <v/>
      </c>
      <c r="I615" s="24">
        <f>IF($M615&lt;&gt;"",INDEX(CalcAmtA,$M615),"")</f>
        <v/>
      </c>
      <c r="J615" s="24">
        <f>IF($B615="","",IF($J614="",$C$8,$J614)+IF($I615="",0,$I615)+IF($E615="",0,$E615)-IF($H615="",0,$H615))</f>
        <v/>
      </c>
      <c r="K615" s="25">
        <f>IF($M615&lt;&gt;"",IF(INDEX(CalcNoteA,$M615)="","—",INDEX(CalcNoteA,$M615)),IF($N615&lt;&gt;"",IF(INDEX(CalcNoteB,$N615)="","—",INDEX(CalcNoteB,$N615)),""))</f>
        <v/>
      </c>
      <c r="M615">
        <f>IFERROR(MATCH($C$5&amp;"|"&amp;RIGHT("000000"&amp;599,6),CalcRankKeyA,0),"")</f>
        <v/>
      </c>
      <c r="N615">
        <f>IFERROR(MATCH($C$5&amp;"|"&amp;RIGHT("000000"&amp;599,6),CalcRankKeyB,0),"")</f>
        <v/>
      </c>
    </row>
    <row r="616">
      <c r="A616" s="26" t="n">
        <v>600</v>
      </c>
      <c r="B616" s="27">
        <f>IF(AND($M616="",$N616=""),"",IF($M616&lt;&gt;"",INDEX(CalcDateA,$M616),INDEX(CalcDateB,$N616)))</f>
        <v/>
      </c>
      <c r="C616" s="27">
        <f>IF($M616&lt;&gt;"","خرید سبد",IF($N616&lt;&gt;"",IF(N(INDEX(CalcDepB,$N616))&gt;0,"دریافت بانکی","پرداخت بانکی"),""))</f>
        <v/>
      </c>
      <c r="D616" s="27">
        <f>IF($M616&lt;&gt;"",IF(INDEX(CalcDocA,$M616)="","—",INDEX(CalcDocA,$M616)),IF($N616&lt;&gt;"",INDEX(CalcBankB,$N616),""))</f>
        <v/>
      </c>
      <c r="E616" s="28">
        <f>IF($N616&lt;&gt;"",IF(INDEX(CalcDepB,$N616)=0,"",INDEX(CalcDepB,$N616)),"")</f>
        <v/>
      </c>
      <c r="F616" s="28">
        <f>IF($M616&lt;&gt;"",IF(INDEX(CalcQtyA,$M616)=0,"",INDEX(CalcQtyA,$M616)),"")</f>
        <v/>
      </c>
      <c r="G616" s="28">
        <f>IF($M616&lt;&gt;"",IF(INDEX(CalcPriceA,$M616)=0,"",INDEX(CalcPriceA,$M616)),"")</f>
        <v/>
      </c>
      <c r="H616" s="28">
        <f>IF($N616&lt;&gt;"",IF(INDEX(CalcWitB,$N616)=0,"",INDEX(CalcWitB,$N616)),"")</f>
        <v/>
      </c>
      <c r="I616" s="29">
        <f>IF($M616&lt;&gt;"",INDEX(CalcAmtA,$M616),"")</f>
        <v/>
      </c>
      <c r="J616" s="29">
        <f>IF($B616="","",IF($J615="",$C$8,$J615)+IF($I616="",0,$I616)+IF($E616="",0,$E616)-IF($H616="",0,$H616))</f>
        <v/>
      </c>
      <c r="K616" s="30">
        <f>IF($M616&lt;&gt;"",IF(INDEX(CalcNoteA,$M616)="","—",INDEX(CalcNoteA,$M616)),IF($N616&lt;&gt;"",IF(INDEX(CalcNoteB,$N616)="","—",INDEX(CalcNoteB,$N616)),""))</f>
        <v/>
      </c>
      <c r="M616">
        <f>IFERROR(MATCH($C$5&amp;"|"&amp;RIGHT("000000"&amp;600,6),CalcRankKeyA,0),"")</f>
        <v/>
      </c>
      <c r="N616">
        <f>IFERROR(MATCH($C$5&amp;"|"&amp;RIGHT("000000"&amp;600,6),CalcRankKeyB,0),"")</f>
        <v/>
      </c>
    </row>
    <row r="617">
      <c r="A617" s="21" t="n">
        <v>601</v>
      </c>
      <c r="B617" s="22">
        <f>IF(AND($M617="",$N617=""),"",IF($M617&lt;&gt;"",INDEX(CalcDateA,$M617),INDEX(CalcDateB,$N617)))</f>
        <v/>
      </c>
      <c r="C617" s="22">
        <f>IF($M617&lt;&gt;"","خرید سبد",IF($N617&lt;&gt;"",IF(N(INDEX(CalcDepB,$N617))&gt;0,"دریافت بانکی","پرداخت بانکی"),""))</f>
        <v/>
      </c>
      <c r="D617" s="22">
        <f>IF($M617&lt;&gt;"",IF(INDEX(CalcDocA,$M617)="","—",INDEX(CalcDocA,$M617)),IF($N617&lt;&gt;"",INDEX(CalcBankB,$N617),""))</f>
        <v/>
      </c>
      <c r="E617" s="23">
        <f>IF($N617&lt;&gt;"",IF(INDEX(CalcDepB,$N617)=0,"",INDEX(CalcDepB,$N617)),"")</f>
        <v/>
      </c>
      <c r="F617" s="23">
        <f>IF($M617&lt;&gt;"",IF(INDEX(CalcQtyA,$M617)=0,"",INDEX(CalcQtyA,$M617)),"")</f>
        <v/>
      </c>
      <c r="G617" s="23">
        <f>IF($M617&lt;&gt;"",IF(INDEX(CalcPriceA,$M617)=0,"",INDEX(CalcPriceA,$M617)),"")</f>
        <v/>
      </c>
      <c r="H617" s="23">
        <f>IF($N617&lt;&gt;"",IF(INDEX(CalcWitB,$N617)=0,"",INDEX(CalcWitB,$N617)),"")</f>
        <v/>
      </c>
      <c r="I617" s="24">
        <f>IF($M617&lt;&gt;"",INDEX(CalcAmtA,$M617),"")</f>
        <v/>
      </c>
      <c r="J617" s="24">
        <f>IF($B617="","",IF($J616="",$C$8,$J616)+IF($I617="",0,$I617)+IF($E617="",0,$E617)-IF($H617="",0,$H617))</f>
        <v/>
      </c>
      <c r="K617" s="25">
        <f>IF($M617&lt;&gt;"",IF(INDEX(CalcNoteA,$M617)="","—",INDEX(CalcNoteA,$M617)),IF($N617&lt;&gt;"",IF(INDEX(CalcNoteB,$N617)="","—",INDEX(CalcNoteB,$N617)),""))</f>
        <v/>
      </c>
      <c r="M617">
        <f>IFERROR(MATCH($C$5&amp;"|"&amp;RIGHT("000000"&amp;601,6),CalcRankKeyA,0),"")</f>
        <v/>
      </c>
      <c r="N617">
        <f>IFERROR(MATCH($C$5&amp;"|"&amp;RIGHT("000000"&amp;601,6),CalcRankKeyB,0),"")</f>
        <v/>
      </c>
    </row>
    <row r="618">
      <c r="A618" s="26" t="n">
        <v>602</v>
      </c>
      <c r="B618" s="27">
        <f>IF(AND($M618="",$N618=""),"",IF($M618&lt;&gt;"",INDEX(CalcDateA,$M618),INDEX(CalcDateB,$N618)))</f>
        <v/>
      </c>
      <c r="C618" s="27">
        <f>IF($M618&lt;&gt;"","خرید سبد",IF($N618&lt;&gt;"",IF(N(INDEX(CalcDepB,$N618))&gt;0,"دریافت بانکی","پرداخت بانکی"),""))</f>
        <v/>
      </c>
      <c r="D618" s="27">
        <f>IF($M618&lt;&gt;"",IF(INDEX(CalcDocA,$M618)="","—",INDEX(CalcDocA,$M618)),IF($N618&lt;&gt;"",INDEX(CalcBankB,$N618),""))</f>
        <v/>
      </c>
      <c r="E618" s="28">
        <f>IF($N618&lt;&gt;"",IF(INDEX(CalcDepB,$N618)=0,"",INDEX(CalcDepB,$N618)),"")</f>
        <v/>
      </c>
      <c r="F618" s="28">
        <f>IF($M618&lt;&gt;"",IF(INDEX(CalcQtyA,$M618)=0,"",INDEX(CalcQtyA,$M618)),"")</f>
        <v/>
      </c>
      <c r="G618" s="28">
        <f>IF($M618&lt;&gt;"",IF(INDEX(CalcPriceA,$M618)=0,"",INDEX(CalcPriceA,$M618)),"")</f>
        <v/>
      </c>
      <c r="H618" s="28">
        <f>IF($N618&lt;&gt;"",IF(INDEX(CalcWitB,$N618)=0,"",INDEX(CalcWitB,$N618)),"")</f>
        <v/>
      </c>
      <c r="I618" s="29">
        <f>IF($M618&lt;&gt;"",INDEX(CalcAmtA,$M618),"")</f>
        <v/>
      </c>
      <c r="J618" s="29">
        <f>IF($B618="","",IF($J617="",$C$8,$J617)+IF($I618="",0,$I618)+IF($E618="",0,$E618)-IF($H618="",0,$H618))</f>
        <v/>
      </c>
      <c r="K618" s="30">
        <f>IF($M618&lt;&gt;"",IF(INDEX(CalcNoteA,$M618)="","—",INDEX(CalcNoteA,$M618)),IF($N618&lt;&gt;"",IF(INDEX(CalcNoteB,$N618)="","—",INDEX(CalcNoteB,$N618)),""))</f>
        <v/>
      </c>
      <c r="M618">
        <f>IFERROR(MATCH($C$5&amp;"|"&amp;RIGHT("000000"&amp;602,6),CalcRankKeyA,0),"")</f>
        <v/>
      </c>
      <c r="N618">
        <f>IFERROR(MATCH($C$5&amp;"|"&amp;RIGHT("000000"&amp;602,6),CalcRankKeyB,0),"")</f>
        <v/>
      </c>
    </row>
    <row r="619">
      <c r="A619" s="21" t="n">
        <v>603</v>
      </c>
      <c r="B619" s="22">
        <f>IF(AND($M619="",$N619=""),"",IF($M619&lt;&gt;"",INDEX(CalcDateA,$M619),INDEX(CalcDateB,$N619)))</f>
        <v/>
      </c>
      <c r="C619" s="22">
        <f>IF($M619&lt;&gt;"","خرید سبد",IF($N619&lt;&gt;"",IF(N(INDEX(CalcDepB,$N619))&gt;0,"دریافت بانکی","پرداخت بانکی"),""))</f>
        <v/>
      </c>
      <c r="D619" s="22">
        <f>IF($M619&lt;&gt;"",IF(INDEX(CalcDocA,$M619)="","—",INDEX(CalcDocA,$M619)),IF($N619&lt;&gt;"",INDEX(CalcBankB,$N619),""))</f>
        <v/>
      </c>
      <c r="E619" s="23">
        <f>IF($N619&lt;&gt;"",IF(INDEX(CalcDepB,$N619)=0,"",INDEX(CalcDepB,$N619)),"")</f>
        <v/>
      </c>
      <c r="F619" s="23">
        <f>IF($M619&lt;&gt;"",IF(INDEX(CalcQtyA,$M619)=0,"",INDEX(CalcQtyA,$M619)),"")</f>
        <v/>
      </c>
      <c r="G619" s="23">
        <f>IF($M619&lt;&gt;"",IF(INDEX(CalcPriceA,$M619)=0,"",INDEX(CalcPriceA,$M619)),"")</f>
        <v/>
      </c>
      <c r="H619" s="23">
        <f>IF($N619&lt;&gt;"",IF(INDEX(CalcWitB,$N619)=0,"",INDEX(CalcWitB,$N619)),"")</f>
        <v/>
      </c>
      <c r="I619" s="24">
        <f>IF($M619&lt;&gt;"",INDEX(CalcAmtA,$M619),"")</f>
        <v/>
      </c>
      <c r="J619" s="24">
        <f>IF($B619="","",IF($J618="",$C$8,$J618)+IF($I619="",0,$I619)+IF($E619="",0,$E619)-IF($H619="",0,$H619))</f>
        <v/>
      </c>
      <c r="K619" s="25">
        <f>IF($M619&lt;&gt;"",IF(INDEX(CalcNoteA,$M619)="","—",INDEX(CalcNoteA,$M619)),IF($N619&lt;&gt;"",IF(INDEX(CalcNoteB,$N619)="","—",INDEX(CalcNoteB,$N619)),""))</f>
        <v/>
      </c>
      <c r="M619">
        <f>IFERROR(MATCH($C$5&amp;"|"&amp;RIGHT("000000"&amp;603,6),CalcRankKeyA,0),"")</f>
        <v/>
      </c>
      <c r="N619">
        <f>IFERROR(MATCH($C$5&amp;"|"&amp;RIGHT("000000"&amp;603,6),CalcRankKeyB,0),"")</f>
        <v/>
      </c>
    </row>
    <row r="620">
      <c r="A620" s="26" t="n">
        <v>604</v>
      </c>
      <c r="B620" s="27">
        <f>IF(AND($M620="",$N620=""),"",IF($M620&lt;&gt;"",INDEX(CalcDateA,$M620),INDEX(CalcDateB,$N620)))</f>
        <v/>
      </c>
      <c r="C620" s="27">
        <f>IF($M620&lt;&gt;"","خرید سبد",IF($N620&lt;&gt;"",IF(N(INDEX(CalcDepB,$N620))&gt;0,"دریافت بانکی","پرداخت بانکی"),""))</f>
        <v/>
      </c>
      <c r="D620" s="27">
        <f>IF($M620&lt;&gt;"",IF(INDEX(CalcDocA,$M620)="","—",INDEX(CalcDocA,$M620)),IF($N620&lt;&gt;"",INDEX(CalcBankB,$N620),""))</f>
        <v/>
      </c>
      <c r="E620" s="28">
        <f>IF($N620&lt;&gt;"",IF(INDEX(CalcDepB,$N620)=0,"",INDEX(CalcDepB,$N620)),"")</f>
        <v/>
      </c>
      <c r="F620" s="28">
        <f>IF($M620&lt;&gt;"",IF(INDEX(CalcQtyA,$M620)=0,"",INDEX(CalcQtyA,$M620)),"")</f>
        <v/>
      </c>
      <c r="G620" s="28">
        <f>IF($M620&lt;&gt;"",IF(INDEX(CalcPriceA,$M620)=0,"",INDEX(CalcPriceA,$M620)),"")</f>
        <v/>
      </c>
      <c r="H620" s="28">
        <f>IF($N620&lt;&gt;"",IF(INDEX(CalcWitB,$N620)=0,"",INDEX(CalcWitB,$N620)),"")</f>
        <v/>
      </c>
      <c r="I620" s="29">
        <f>IF($M620&lt;&gt;"",INDEX(CalcAmtA,$M620),"")</f>
        <v/>
      </c>
      <c r="J620" s="29">
        <f>IF($B620="","",IF($J619="",$C$8,$J619)+IF($I620="",0,$I620)+IF($E620="",0,$E620)-IF($H620="",0,$H620))</f>
        <v/>
      </c>
      <c r="K620" s="30">
        <f>IF($M620&lt;&gt;"",IF(INDEX(CalcNoteA,$M620)="","—",INDEX(CalcNoteA,$M620)),IF($N620&lt;&gt;"",IF(INDEX(CalcNoteB,$N620)="","—",INDEX(CalcNoteB,$N620)),""))</f>
        <v/>
      </c>
      <c r="M620">
        <f>IFERROR(MATCH($C$5&amp;"|"&amp;RIGHT("000000"&amp;604,6),CalcRankKeyA,0),"")</f>
        <v/>
      </c>
      <c r="N620">
        <f>IFERROR(MATCH($C$5&amp;"|"&amp;RIGHT("000000"&amp;604,6),CalcRankKeyB,0),"")</f>
        <v/>
      </c>
    </row>
    <row r="621">
      <c r="A621" s="21" t="n">
        <v>605</v>
      </c>
      <c r="B621" s="22">
        <f>IF(AND($M621="",$N621=""),"",IF($M621&lt;&gt;"",INDEX(CalcDateA,$M621),INDEX(CalcDateB,$N621)))</f>
        <v/>
      </c>
      <c r="C621" s="22">
        <f>IF($M621&lt;&gt;"","خرید سبد",IF($N621&lt;&gt;"",IF(N(INDEX(CalcDepB,$N621))&gt;0,"دریافت بانکی","پرداخت بانکی"),""))</f>
        <v/>
      </c>
      <c r="D621" s="22">
        <f>IF($M621&lt;&gt;"",IF(INDEX(CalcDocA,$M621)="","—",INDEX(CalcDocA,$M621)),IF($N621&lt;&gt;"",INDEX(CalcBankB,$N621),""))</f>
        <v/>
      </c>
      <c r="E621" s="23">
        <f>IF($N621&lt;&gt;"",IF(INDEX(CalcDepB,$N621)=0,"",INDEX(CalcDepB,$N621)),"")</f>
        <v/>
      </c>
      <c r="F621" s="23">
        <f>IF($M621&lt;&gt;"",IF(INDEX(CalcQtyA,$M621)=0,"",INDEX(CalcQtyA,$M621)),"")</f>
        <v/>
      </c>
      <c r="G621" s="23">
        <f>IF($M621&lt;&gt;"",IF(INDEX(CalcPriceA,$M621)=0,"",INDEX(CalcPriceA,$M621)),"")</f>
        <v/>
      </c>
      <c r="H621" s="23">
        <f>IF($N621&lt;&gt;"",IF(INDEX(CalcWitB,$N621)=0,"",INDEX(CalcWitB,$N621)),"")</f>
        <v/>
      </c>
      <c r="I621" s="24">
        <f>IF($M621&lt;&gt;"",INDEX(CalcAmtA,$M621),"")</f>
        <v/>
      </c>
      <c r="J621" s="24">
        <f>IF($B621="","",IF($J620="",$C$8,$J620)+IF($I621="",0,$I621)+IF($E621="",0,$E621)-IF($H621="",0,$H621))</f>
        <v/>
      </c>
      <c r="K621" s="25">
        <f>IF($M621&lt;&gt;"",IF(INDEX(CalcNoteA,$M621)="","—",INDEX(CalcNoteA,$M621)),IF($N621&lt;&gt;"",IF(INDEX(CalcNoteB,$N621)="","—",INDEX(CalcNoteB,$N621)),""))</f>
        <v/>
      </c>
      <c r="M621">
        <f>IFERROR(MATCH($C$5&amp;"|"&amp;RIGHT("000000"&amp;605,6),CalcRankKeyA,0),"")</f>
        <v/>
      </c>
      <c r="N621">
        <f>IFERROR(MATCH($C$5&amp;"|"&amp;RIGHT("000000"&amp;605,6),CalcRankKeyB,0),"")</f>
        <v/>
      </c>
    </row>
    <row r="622">
      <c r="A622" s="26" t="n">
        <v>606</v>
      </c>
      <c r="B622" s="27">
        <f>IF(AND($M622="",$N622=""),"",IF($M622&lt;&gt;"",INDEX(CalcDateA,$M622),INDEX(CalcDateB,$N622)))</f>
        <v/>
      </c>
      <c r="C622" s="27">
        <f>IF($M622&lt;&gt;"","خرید سبد",IF($N622&lt;&gt;"",IF(N(INDEX(CalcDepB,$N622))&gt;0,"دریافت بانکی","پرداخت بانکی"),""))</f>
        <v/>
      </c>
      <c r="D622" s="27">
        <f>IF($M622&lt;&gt;"",IF(INDEX(CalcDocA,$M622)="","—",INDEX(CalcDocA,$M622)),IF($N622&lt;&gt;"",INDEX(CalcBankB,$N622),""))</f>
        <v/>
      </c>
      <c r="E622" s="28">
        <f>IF($N622&lt;&gt;"",IF(INDEX(CalcDepB,$N622)=0,"",INDEX(CalcDepB,$N622)),"")</f>
        <v/>
      </c>
      <c r="F622" s="28">
        <f>IF($M622&lt;&gt;"",IF(INDEX(CalcQtyA,$M622)=0,"",INDEX(CalcQtyA,$M622)),"")</f>
        <v/>
      </c>
      <c r="G622" s="28">
        <f>IF($M622&lt;&gt;"",IF(INDEX(CalcPriceA,$M622)=0,"",INDEX(CalcPriceA,$M622)),"")</f>
        <v/>
      </c>
      <c r="H622" s="28">
        <f>IF($N622&lt;&gt;"",IF(INDEX(CalcWitB,$N622)=0,"",INDEX(CalcWitB,$N622)),"")</f>
        <v/>
      </c>
      <c r="I622" s="29">
        <f>IF($M622&lt;&gt;"",INDEX(CalcAmtA,$M622),"")</f>
        <v/>
      </c>
      <c r="J622" s="29">
        <f>IF($B622="","",IF($J621="",$C$8,$J621)+IF($I622="",0,$I622)+IF($E622="",0,$E622)-IF($H622="",0,$H622))</f>
        <v/>
      </c>
      <c r="K622" s="30">
        <f>IF($M622&lt;&gt;"",IF(INDEX(CalcNoteA,$M622)="","—",INDEX(CalcNoteA,$M622)),IF($N622&lt;&gt;"",IF(INDEX(CalcNoteB,$N622)="","—",INDEX(CalcNoteB,$N622)),""))</f>
        <v/>
      </c>
      <c r="M622">
        <f>IFERROR(MATCH($C$5&amp;"|"&amp;RIGHT("000000"&amp;606,6),CalcRankKeyA,0),"")</f>
        <v/>
      </c>
      <c r="N622">
        <f>IFERROR(MATCH($C$5&amp;"|"&amp;RIGHT("000000"&amp;606,6),CalcRankKeyB,0),"")</f>
        <v/>
      </c>
    </row>
    <row r="623">
      <c r="A623" s="21" t="n">
        <v>607</v>
      </c>
      <c r="B623" s="22">
        <f>IF(AND($M623="",$N623=""),"",IF($M623&lt;&gt;"",INDEX(CalcDateA,$M623),INDEX(CalcDateB,$N623)))</f>
        <v/>
      </c>
      <c r="C623" s="22">
        <f>IF($M623&lt;&gt;"","خرید سبد",IF($N623&lt;&gt;"",IF(N(INDEX(CalcDepB,$N623))&gt;0,"دریافت بانکی","پرداخت بانکی"),""))</f>
        <v/>
      </c>
      <c r="D623" s="22">
        <f>IF($M623&lt;&gt;"",IF(INDEX(CalcDocA,$M623)="","—",INDEX(CalcDocA,$M623)),IF($N623&lt;&gt;"",INDEX(CalcBankB,$N623),""))</f>
        <v/>
      </c>
      <c r="E623" s="23">
        <f>IF($N623&lt;&gt;"",IF(INDEX(CalcDepB,$N623)=0,"",INDEX(CalcDepB,$N623)),"")</f>
        <v/>
      </c>
      <c r="F623" s="23">
        <f>IF($M623&lt;&gt;"",IF(INDEX(CalcQtyA,$M623)=0,"",INDEX(CalcQtyA,$M623)),"")</f>
        <v/>
      </c>
      <c r="G623" s="23">
        <f>IF($M623&lt;&gt;"",IF(INDEX(CalcPriceA,$M623)=0,"",INDEX(CalcPriceA,$M623)),"")</f>
        <v/>
      </c>
      <c r="H623" s="23">
        <f>IF($N623&lt;&gt;"",IF(INDEX(CalcWitB,$N623)=0,"",INDEX(CalcWitB,$N623)),"")</f>
        <v/>
      </c>
      <c r="I623" s="24">
        <f>IF($M623&lt;&gt;"",INDEX(CalcAmtA,$M623),"")</f>
        <v/>
      </c>
      <c r="J623" s="24">
        <f>IF($B623="","",IF($J622="",$C$8,$J622)+IF($I623="",0,$I623)+IF($E623="",0,$E623)-IF($H623="",0,$H623))</f>
        <v/>
      </c>
      <c r="K623" s="25">
        <f>IF($M623&lt;&gt;"",IF(INDEX(CalcNoteA,$M623)="","—",INDEX(CalcNoteA,$M623)),IF($N623&lt;&gt;"",IF(INDEX(CalcNoteB,$N623)="","—",INDEX(CalcNoteB,$N623)),""))</f>
        <v/>
      </c>
      <c r="M623">
        <f>IFERROR(MATCH($C$5&amp;"|"&amp;RIGHT("000000"&amp;607,6),CalcRankKeyA,0),"")</f>
        <v/>
      </c>
      <c r="N623">
        <f>IFERROR(MATCH($C$5&amp;"|"&amp;RIGHT("000000"&amp;607,6),CalcRankKeyB,0),"")</f>
        <v/>
      </c>
    </row>
    <row r="624">
      <c r="A624" s="26" t="n">
        <v>608</v>
      </c>
      <c r="B624" s="27">
        <f>IF(AND($M624="",$N624=""),"",IF($M624&lt;&gt;"",INDEX(CalcDateA,$M624),INDEX(CalcDateB,$N624)))</f>
        <v/>
      </c>
      <c r="C624" s="27">
        <f>IF($M624&lt;&gt;"","خرید سبد",IF($N624&lt;&gt;"",IF(N(INDEX(CalcDepB,$N624))&gt;0,"دریافت بانکی","پرداخت بانکی"),""))</f>
        <v/>
      </c>
      <c r="D624" s="27">
        <f>IF($M624&lt;&gt;"",IF(INDEX(CalcDocA,$M624)="","—",INDEX(CalcDocA,$M624)),IF($N624&lt;&gt;"",INDEX(CalcBankB,$N624),""))</f>
        <v/>
      </c>
      <c r="E624" s="28">
        <f>IF($N624&lt;&gt;"",IF(INDEX(CalcDepB,$N624)=0,"",INDEX(CalcDepB,$N624)),"")</f>
        <v/>
      </c>
      <c r="F624" s="28">
        <f>IF($M624&lt;&gt;"",IF(INDEX(CalcQtyA,$M624)=0,"",INDEX(CalcQtyA,$M624)),"")</f>
        <v/>
      </c>
      <c r="G624" s="28">
        <f>IF($M624&lt;&gt;"",IF(INDEX(CalcPriceA,$M624)=0,"",INDEX(CalcPriceA,$M624)),"")</f>
        <v/>
      </c>
      <c r="H624" s="28">
        <f>IF($N624&lt;&gt;"",IF(INDEX(CalcWitB,$N624)=0,"",INDEX(CalcWitB,$N624)),"")</f>
        <v/>
      </c>
      <c r="I624" s="29">
        <f>IF($M624&lt;&gt;"",INDEX(CalcAmtA,$M624),"")</f>
        <v/>
      </c>
      <c r="J624" s="29">
        <f>IF($B624="","",IF($J623="",$C$8,$J623)+IF($I624="",0,$I624)+IF($E624="",0,$E624)-IF($H624="",0,$H624))</f>
        <v/>
      </c>
      <c r="K624" s="30">
        <f>IF($M624&lt;&gt;"",IF(INDEX(CalcNoteA,$M624)="","—",INDEX(CalcNoteA,$M624)),IF($N624&lt;&gt;"",IF(INDEX(CalcNoteB,$N624)="","—",INDEX(CalcNoteB,$N624)),""))</f>
        <v/>
      </c>
      <c r="M624">
        <f>IFERROR(MATCH($C$5&amp;"|"&amp;RIGHT("000000"&amp;608,6),CalcRankKeyA,0),"")</f>
        <v/>
      </c>
      <c r="N624">
        <f>IFERROR(MATCH($C$5&amp;"|"&amp;RIGHT("000000"&amp;608,6),CalcRankKeyB,0),"")</f>
        <v/>
      </c>
    </row>
    <row r="625">
      <c r="A625" s="21" t="n">
        <v>609</v>
      </c>
      <c r="B625" s="22">
        <f>IF(AND($M625="",$N625=""),"",IF($M625&lt;&gt;"",INDEX(CalcDateA,$M625),INDEX(CalcDateB,$N625)))</f>
        <v/>
      </c>
      <c r="C625" s="22">
        <f>IF($M625&lt;&gt;"","خرید سبد",IF($N625&lt;&gt;"",IF(N(INDEX(CalcDepB,$N625))&gt;0,"دریافت بانکی","پرداخت بانکی"),""))</f>
        <v/>
      </c>
      <c r="D625" s="22">
        <f>IF($M625&lt;&gt;"",IF(INDEX(CalcDocA,$M625)="","—",INDEX(CalcDocA,$M625)),IF($N625&lt;&gt;"",INDEX(CalcBankB,$N625),""))</f>
        <v/>
      </c>
      <c r="E625" s="23">
        <f>IF($N625&lt;&gt;"",IF(INDEX(CalcDepB,$N625)=0,"",INDEX(CalcDepB,$N625)),"")</f>
        <v/>
      </c>
      <c r="F625" s="23">
        <f>IF($M625&lt;&gt;"",IF(INDEX(CalcQtyA,$M625)=0,"",INDEX(CalcQtyA,$M625)),"")</f>
        <v/>
      </c>
      <c r="G625" s="23">
        <f>IF($M625&lt;&gt;"",IF(INDEX(CalcPriceA,$M625)=0,"",INDEX(CalcPriceA,$M625)),"")</f>
        <v/>
      </c>
      <c r="H625" s="23">
        <f>IF($N625&lt;&gt;"",IF(INDEX(CalcWitB,$N625)=0,"",INDEX(CalcWitB,$N625)),"")</f>
        <v/>
      </c>
      <c r="I625" s="24">
        <f>IF($M625&lt;&gt;"",INDEX(CalcAmtA,$M625),"")</f>
        <v/>
      </c>
      <c r="J625" s="24">
        <f>IF($B625="","",IF($J624="",$C$8,$J624)+IF($I625="",0,$I625)+IF($E625="",0,$E625)-IF($H625="",0,$H625))</f>
        <v/>
      </c>
      <c r="K625" s="25">
        <f>IF($M625&lt;&gt;"",IF(INDEX(CalcNoteA,$M625)="","—",INDEX(CalcNoteA,$M625)),IF($N625&lt;&gt;"",IF(INDEX(CalcNoteB,$N625)="","—",INDEX(CalcNoteB,$N625)),""))</f>
        <v/>
      </c>
      <c r="M625">
        <f>IFERROR(MATCH($C$5&amp;"|"&amp;RIGHT("000000"&amp;609,6),CalcRankKeyA,0),"")</f>
        <v/>
      </c>
      <c r="N625">
        <f>IFERROR(MATCH($C$5&amp;"|"&amp;RIGHT("000000"&amp;609,6),CalcRankKeyB,0),"")</f>
        <v/>
      </c>
    </row>
    <row r="626">
      <c r="A626" s="26" t="n">
        <v>610</v>
      </c>
      <c r="B626" s="27">
        <f>IF(AND($M626="",$N626=""),"",IF($M626&lt;&gt;"",INDEX(CalcDateA,$M626),INDEX(CalcDateB,$N626)))</f>
        <v/>
      </c>
      <c r="C626" s="27">
        <f>IF($M626&lt;&gt;"","خرید سبد",IF($N626&lt;&gt;"",IF(N(INDEX(CalcDepB,$N626))&gt;0,"دریافت بانکی","پرداخت بانکی"),""))</f>
        <v/>
      </c>
      <c r="D626" s="27">
        <f>IF($M626&lt;&gt;"",IF(INDEX(CalcDocA,$M626)="","—",INDEX(CalcDocA,$M626)),IF($N626&lt;&gt;"",INDEX(CalcBankB,$N626),""))</f>
        <v/>
      </c>
      <c r="E626" s="28">
        <f>IF($N626&lt;&gt;"",IF(INDEX(CalcDepB,$N626)=0,"",INDEX(CalcDepB,$N626)),"")</f>
        <v/>
      </c>
      <c r="F626" s="28">
        <f>IF($M626&lt;&gt;"",IF(INDEX(CalcQtyA,$M626)=0,"",INDEX(CalcQtyA,$M626)),"")</f>
        <v/>
      </c>
      <c r="G626" s="28">
        <f>IF($M626&lt;&gt;"",IF(INDEX(CalcPriceA,$M626)=0,"",INDEX(CalcPriceA,$M626)),"")</f>
        <v/>
      </c>
      <c r="H626" s="28">
        <f>IF($N626&lt;&gt;"",IF(INDEX(CalcWitB,$N626)=0,"",INDEX(CalcWitB,$N626)),"")</f>
        <v/>
      </c>
      <c r="I626" s="29">
        <f>IF($M626&lt;&gt;"",INDEX(CalcAmtA,$M626),"")</f>
        <v/>
      </c>
      <c r="J626" s="29">
        <f>IF($B626="","",IF($J625="",$C$8,$J625)+IF($I626="",0,$I626)+IF($E626="",0,$E626)-IF($H626="",0,$H626))</f>
        <v/>
      </c>
      <c r="K626" s="30">
        <f>IF($M626&lt;&gt;"",IF(INDEX(CalcNoteA,$M626)="","—",INDEX(CalcNoteA,$M626)),IF($N626&lt;&gt;"",IF(INDEX(CalcNoteB,$N626)="","—",INDEX(CalcNoteB,$N626)),""))</f>
        <v/>
      </c>
      <c r="M626">
        <f>IFERROR(MATCH($C$5&amp;"|"&amp;RIGHT("000000"&amp;610,6),CalcRankKeyA,0),"")</f>
        <v/>
      </c>
      <c r="N626">
        <f>IFERROR(MATCH($C$5&amp;"|"&amp;RIGHT("000000"&amp;610,6),CalcRankKeyB,0),"")</f>
        <v/>
      </c>
    </row>
    <row r="627">
      <c r="A627" s="21" t="n">
        <v>611</v>
      </c>
      <c r="B627" s="22">
        <f>IF(AND($M627="",$N627=""),"",IF($M627&lt;&gt;"",INDEX(CalcDateA,$M627),INDEX(CalcDateB,$N627)))</f>
        <v/>
      </c>
      <c r="C627" s="22">
        <f>IF($M627&lt;&gt;"","خرید سبد",IF($N627&lt;&gt;"",IF(N(INDEX(CalcDepB,$N627))&gt;0,"دریافت بانکی","پرداخت بانکی"),""))</f>
        <v/>
      </c>
      <c r="D627" s="22">
        <f>IF($M627&lt;&gt;"",IF(INDEX(CalcDocA,$M627)="","—",INDEX(CalcDocA,$M627)),IF($N627&lt;&gt;"",INDEX(CalcBankB,$N627),""))</f>
        <v/>
      </c>
      <c r="E627" s="23">
        <f>IF($N627&lt;&gt;"",IF(INDEX(CalcDepB,$N627)=0,"",INDEX(CalcDepB,$N627)),"")</f>
        <v/>
      </c>
      <c r="F627" s="23">
        <f>IF($M627&lt;&gt;"",IF(INDEX(CalcQtyA,$M627)=0,"",INDEX(CalcQtyA,$M627)),"")</f>
        <v/>
      </c>
      <c r="G627" s="23">
        <f>IF($M627&lt;&gt;"",IF(INDEX(CalcPriceA,$M627)=0,"",INDEX(CalcPriceA,$M627)),"")</f>
        <v/>
      </c>
      <c r="H627" s="23">
        <f>IF($N627&lt;&gt;"",IF(INDEX(CalcWitB,$N627)=0,"",INDEX(CalcWitB,$N627)),"")</f>
        <v/>
      </c>
      <c r="I627" s="24">
        <f>IF($M627&lt;&gt;"",INDEX(CalcAmtA,$M627),"")</f>
        <v/>
      </c>
      <c r="J627" s="24">
        <f>IF($B627="","",IF($J626="",$C$8,$J626)+IF($I627="",0,$I627)+IF($E627="",0,$E627)-IF($H627="",0,$H627))</f>
        <v/>
      </c>
      <c r="K627" s="25">
        <f>IF($M627&lt;&gt;"",IF(INDEX(CalcNoteA,$M627)="","—",INDEX(CalcNoteA,$M627)),IF($N627&lt;&gt;"",IF(INDEX(CalcNoteB,$N627)="","—",INDEX(CalcNoteB,$N627)),""))</f>
        <v/>
      </c>
      <c r="M627">
        <f>IFERROR(MATCH($C$5&amp;"|"&amp;RIGHT("000000"&amp;611,6),CalcRankKeyA,0),"")</f>
        <v/>
      </c>
      <c r="N627">
        <f>IFERROR(MATCH($C$5&amp;"|"&amp;RIGHT("000000"&amp;611,6),CalcRankKeyB,0),"")</f>
        <v/>
      </c>
    </row>
    <row r="628">
      <c r="A628" s="26" t="n">
        <v>612</v>
      </c>
      <c r="B628" s="27">
        <f>IF(AND($M628="",$N628=""),"",IF($M628&lt;&gt;"",INDEX(CalcDateA,$M628),INDEX(CalcDateB,$N628)))</f>
        <v/>
      </c>
      <c r="C628" s="27">
        <f>IF($M628&lt;&gt;"","خرید سبد",IF($N628&lt;&gt;"",IF(N(INDEX(CalcDepB,$N628))&gt;0,"دریافت بانکی","پرداخت بانکی"),""))</f>
        <v/>
      </c>
      <c r="D628" s="27">
        <f>IF($M628&lt;&gt;"",IF(INDEX(CalcDocA,$M628)="","—",INDEX(CalcDocA,$M628)),IF($N628&lt;&gt;"",INDEX(CalcBankB,$N628),""))</f>
        <v/>
      </c>
      <c r="E628" s="28">
        <f>IF($N628&lt;&gt;"",IF(INDEX(CalcDepB,$N628)=0,"",INDEX(CalcDepB,$N628)),"")</f>
        <v/>
      </c>
      <c r="F628" s="28">
        <f>IF($M628&lt;&gt;"",IF(INDEX(CalcQtyA,$M628)=0,"",INDEX(CalcQtyA,$M628)),"")</f>
        <v/>
      </c>
      <c r="G628" s="28">
        <f>IF($M628&lt;&gt;"",IF(INDEX(CalcPriceA,$M628)=0,"",INDEX(CalcPriceA,$M628)),"")</f>
        <v/>
      </c>
      <c r="H628" s="28">
        <f>IF($N628&lt;&gt;"",IF(INDEX(CalcWitB,$N628)=0,"",INDEX(CalcWitB,$N628)),"")</f>
        <v/>
      </c>
      <c r="I628" s="29">
        <f>IF($M628&lt;&gt;"",INDEX(CalcAmtA,$M628),"")</f>
        <v/>
      </c>
      <c r="J628" s="29">
        <f>IF($B628="","",IF($J627="",$C$8,$J627)+IF($I628="",0,$I628)+IF($E628="",0,$E628)-IF($H628="",0,$H628))</f>
        <v/>
      </c>
      <c r="K628" s="30">
        <f>IF($M628&lt;&gt;"",IF(INDEX(CalcNoteA,$M628)="","—",INDEX(CalcNoteA,$M628)),IF($N628&lt;&gt;"",IF(INDEX(CalcNoteB,$N628)="","—",INDEX(CalcNoteB,$N628)),""))</f>
        <v/>
      </c>
      <c r="M628">
        <f>IFERROR(MATCH($C$5&amp;"|"&amp;RIGHT("000000"&amp;612,6),CalcRankKeyA,0),"")</f>
        <v/>
      </c>
      <c r="N628">
        <f>IFERROR(MATCH($C$5&amp;"|"&amp;RIGHT("000000"&amp;612,6),CalcRankKeyB,0),"")</f>
        <v/>
      </c>
    </row>
    <row r="629">
      <c r="A629" s="21" t="n">
        <v>613</v>
      </c>
      <c r="B629" s="22">
        <f>IF(AND($M629="",$N629=""),"",IF($M629&lt;&gt;"",INDEX(CalcDateA,$M629),INDEX(CalcDateB,$N629)))</f>
        <v/>
      </c>
      <c r="C629" s="22">
        <f>IF($M629&lt;&gt;"","خرید سبد",IF($N629&lt;&gt;"",IF(N(INDEX(CalcDepB,$N629))&gt;0,"دریافت بانکی","پرداخت بانکی"),""))</f>
        <v/>
      </c>
      <c r="D629" s="22">
        <f>IF($M629&lt;&gt;"",IF(INDEX(CalcDocA,$M629)="","—",INDEX(CalcDocA,$M629)),IF($N629&lt;&gt;"",INDEX(CalcBankB,$N629),""))</f>
        <v/>
      </c>
      <c r="E629" s="23">
        <f>IF($N629&lt;&gt;"",IF(INDEX(CalcDepB,$N629)=0,"",INDEX(CalcDepB,$N629)),"")</f>
        <v/>
      </c>
      <c r="F629" s="23">
        <f>IF($M629&lt;&gt;"",IF(INDEX(CalcQtyA,$M629)=0,"",INDEX(CalcQtyA,$M629)),"")</f>
        <v/>
      </c>
      <c r="G629" s="23">
        <f>IF($M629&lt;&gt;"",IF(INDEX(CalcPriceA,$M629)=0,"",INDEX(CalcPriceA,$M629)),"")</f>
        <v/>
      </c>
      <c r="H629" s="23">
        <f>IF($N629&lt;&gt;"",IF(INDEX(CalcWitB,$N629)=0,"",INDEX(CalcWitB,$N629)),"")</f>
        <v/>
      </c>
      <c r="I629" s="24">
        <f>IF($M629&lt;&gt;"",INDEX(CalcAmtA,$M629),"")</f>
        <v/>
      </c>
      <c r="J629" s="24">
        <f>IF($B629="","",IF($J628="",$C$8,$J628)+IF($I629="",0,$I629)+IF($E629="",0,$E629)-IF($H629="",0,$H629))</f>
        <v/>
      </c>
      <c r="K629" s="25">
        <f>IF($M629&lt;&gt;"",IF(INDEX(CalcNoteA,$M629)="","—",INDEX(CalcNoteA,$M629)),IF($N629&lt;&gt;"",IF(INDEX(CalcNoteB,$N629)="","—",INDEX(CalcNoteB,$N629)),""))</f>
        <v/>
      </c>
      <c r="M629">
        <f>IFERROR(MATCH($C$5&amp;"|"&amp;RIGHT("000000"&amp;613,6),CalcRankKeyA,0),"")</f>
        <v/>
      </c>
      <c r="N629">
        <f>IFERROR(MATCH($C$5&amp;"|"&amp;RIGHT("000000"&amp;613,6),CalcRankKeyB,0),"")</f>
        <v/>
      </c>
    </row>
    <row r="630">
      <c r="A630" s="26" t="n">
        <v>614</v>
      </c>
      <c r="B630" s="27">
        <f>IF(AND($M630="",$N630=""),"",IF($M630&lt;&gt;"",INDEX(CalcDateA,$M630),INDEX(CalcDateB,$N630)))</f>
        <v/>
      </c>
      <c r="C630" s="27">
        <f>IF($M630&lt;&gt;"","خرید سبد",IF($N630&lt;&gt;"",IF(N(INDEX(CalcDepB,$N630))&gt;0,"دریافت بانکی","پرداخت بانکی"),""))</f>
        <v/>
      </c>
      <c r="D630" s="27">
        <f>IF($M630&lt;&gt;"",IF(INDEX(CalcDocA,$M630)="","—",INDEX(CalcDocA,$M630)),IF($N630&lt;&gt;"",INDEX(CalcBankB,$N630),""))</f>
        <v/>
      </c>
      <c r="E630" s="28">
        <f>IF($N630&lt;&gt;"",IF(INDEX(CalcDepB,$N630)=0,"",INDEX(CalcDepB,$N630)),"")</f>
        <v/>
      </c>
      <c r="F630" s="28">
        <f>IF($M630&lt;&gt;"",IF(INDEX(CalcQtyA,$M630)=0,"",INDEX(CalcQtyA,$M630)),"")</f>
        <v/>
      </c>
      <c r="G630" s="28">
        <f>IF($M630&lt;&gt;"",IF(INDEX(CalcPriceA,$M630)=0,"",INDEX(CalcPriceA,$M630)),"")</f>
        <v/>
      </c>
      <c r="H630" s="28">
        <f>IF($N630&lt;&gt;"",IF(INDEX(CalcWitB,$N630)=0,"",INDEX(CalcWitB,$N630)),"")</f>
        <v/>
      </c>
      <c r="I630" s="29">
        <f>IF($M630&lt;&gt;"",INDEX(CalcAmtA,$M630),"")</f>
        <v/>
      </c>
      <c r="J630" s="29">
        <f>IF($B630="","",IF($J629="",$C$8,$J629)+IF($I630="",0,$I630)+IF($E630="",0,$E630)-IF($H630="",0,$H630))</f>
        <v/>
      </c>
      <c r="K630" s="30">
        <f>IF($M630&lt;&gt;"",IF(INDEX(CalcNoteA,$M630)="","—",INDEX(CalcNoteA,$M630)),IF($N630&lt;&gt;"",IF(INDEX(CalcNoteB,$N630)="","—",INDEX(CalcNoteB,$N630)),""))</f>
        <v/>
      </c>
      <c r="M630">
        <f>IFERROR(MATCH($C$5&amp;"|"&amp;RIGHT("000000"&amp;614,6),CalcRankKeyA,0),"")</f>
        <v/>
      </c>
      <c r="N630">
        <f>IFERROR(MATCH($C$5&amp;"|"&amp;RIGHT("000000"&amp;614,6),CalcRankKeyB,0),"")</f>
        <v/>
      </c>
    </row>
    <row r="631">
      <c r="A631" s="21" t="n">
        <v>615</v>
      </c>
      <c r="B631" s="22">
        <f>IF(AND($M631="",$N631=""),"",IF($M631&lt;&gt;"",INDEX(CalcDateA,$M631),INDEX(CalcDateB,$N631)))</f>
        <v/>
      </c>
      <c r="C631" s="22">
        <f>IF($M631&lt;&gt;"","خرید سبد",IF($N631&lt;&gt;"",IF(N(INDEX(CalcDepB,$N631))&gt;0,"دریافت بانکی","پرداخت بانکی"),""))</f>
        <v/>
      </c>
      <c r="D631" s="22">
        <f>IF($M631&lt;&gt;"",IF(INDEX(CalcDocA,$M631)="","—",INDEX(CalcDocA,$M631)),IF($N631&lt;&gt;"",INDEX(CalcBankB,$N631),""))</f>
        <v/>
      </c>
      <c r="E631" s="23">
        <f>IF($N631&lt;&gt;"",IF(INDEX(CalcDepB,$N631)=0,"",INDEX(CalcDepB,$N631)),"")</f>
        <v/>
      </c>
      <c r="F631" s="23">
        <f>IF($M631&lt;&gt;"",IF(INDEX(CalcQtyA,$M631)=0,"",INDEX(CalcQtyA,$M631)),"")</f>
        <v/>
      </c>
      <c r="G631" s="23">
        <f>IF($M631&lt;&gt;"",IF(INDEX(CalcPriceA,$M631)=0,"",INDEX(CalcPriceA,$M631)),"")</f>
        <v/>
      </c>
      <c r="H631" s="23">
        <f>IF($N631&lt;&gt;"",IF(INDEX(CalcWitB,$N631)=0,"",INDEX(CalcWitB,$N631)),"")</f>
        <v/>
      </c>
      <c r="I631" s="24">
        <f>IF($M631&lt;&gt;"",INDEX(CalcAmtA,$M631),"")</f>
        <v/>
      </c>
      <c r="J631" s="24">
        <f>IF($B631="","",IF($J630="",$C$8,$J630)+IF($I631="",0,$I631)+IF($E631="",0,$E631)-IF($H631="",0,$H631))</f>
        <v/>
      </c>
      <c r="K631" s="25">
        <f>IF($M631&lt;&gt;"",IF(INDEX(CalcNoteA,$M631)="","—",INDEX(CalcNoteA,$M631)),IF($N631&lt;&gt;"",IF(INDEX(CalcNoteB,$N631)="","—",INDEX(CalcNoteB,$N631)),""))</f>
        <v/>
      </c>
      <c r="M631">
        <f>IFERROR(MATCH($C$5&amp;"|"&amp;RIGHT("000000"&amp;615,6),CalcRankKeyA,0),"")</f>
        <v/>
      </c>
      <c r="N631">
        <f>IFERROR(MATCH($C$5&amp;"|"&amp;RIGHT("000000"&amp;615,6),CalcRankKeyB,0),"")</f>
        <v/>
      </c>
    </row>
    <row r="632">
      <c r="A632" s="26" t="n">
        <v>616</v>
      </c>
      <c r="B632" s="27">
        <f>IF(AND($M632="",$N632=""),"",IF($M632&lt;&gt;"",INDEX(CalcDateA,$M632),INDEX(CalcDateB,$N632)))</f>
        <v/>
      </c>
      <c r="C632" s="27">
        <f>IF($M632&lt;&gt;"","خرید سبد",IF($N632&lt;&gt;"",IF(N(INDEX(CalcDepB,$N632))&gt;0,"دریافت بانکی","پرداخت بانکی"),""))</f>
        <v/>
      </c>
      <c r="D632" s="27">
        <f>IF($M632&lt;&gt;"",IF(INDEX(CalcDocA,$M632)="","—",INDEX(CalcDocA,$M632)),IF($N632&lt;&gt;"",INDEX(CalcBankB,$N632),""))</f>
        <v/>
      </c>
      <c r="E632" s="28">
        <f>IF($N632&lt;&gt;"",IF(INDEX(CalcDepB,$N632)=0,"",INDEX(CalcDepB,$N632)),"")</f>
        <v/>
      </c>
      <c r="F632" s="28">
        <f>IF($M632&lt;&gt;"",IF(INDEX(CalcQtyA,$M632)=0,"",INDEX(CalcQtyA,$M632)),"")</f>
        <v/>
      </c>
      <c r="G632" s="28">
        <f>IF($M632&lt;&gt;"",IF(INDEX(CalcPriceA,$M632)=0,"",INDEX(CalcPriceA,$M632)),"")</f>
        <v/>
      </c>
      <c r="H632" s="28">
        <f>IF($N632&lt;&gt;"",IF(INDEX(CalcWitB,$N632)=0,"",INDEX(CalcWitB,$N632)),"")</f>
        <v/>
      </c>
      <c r="I632" s="29">
        <f>IF($M632&lt;&gt;"",INDEX(CalcAmtA,$M632),"")</f>
        <v/>
      </c>
      <c r="J632" s="29">
        <f>IF($B632="","",IF($J631="",$C$8,$J631)+IF($I632="",0,$I632)+IF($E632="",0,$E632)-IF($H632="",0,$H632))</f>
        <v/>
      </c>
      <c r="K632" s="30">
        <f>IF($M632&lt;&gt;"",IF(INDEX(CalcNoteA,$M632)="","—",INDEX(CalcNoteA,$M632)),IF($N632&lt;&gt;"",IF(INDEX(CalcNoteB,$N632)="","—",INDEX(CalcNoteB,$N632)),""))</f>
        <v/>
      </c>
      <c r="M632">
        <f>IFERROR(MATCH($C$5&amp;"|"&amp;RIGHT("000000"&amp;616,6),CalcRankKeyA,0),"")</f>
        <v/>
      </c>
      <c r="N632">
        <f>IFERROR(MATCH($C$5&amp;"|"&amp;RIGHT("000000"&amp;616,6),CalcRankKeyB,0),"")</f>
        <v/>
      </c>
    </row>
    <row r="633">
      <c r="A633" s="21" t="n">
        <v>617</v>
      </c>
      <c r="B633" s="22">
        <f>IF(AND($M633="",$N633=""),"",IF($M633&lt;&gt;"",INDEX(CalcDateA,$M633),INDEX(CalcDateB,$N633)))</f>
        <v/>
      </c>
      <c r="C633" s="22">
        <f>IF($M633&lt;&gt;"","خرید سبد",IF($N633&lt;&gt;"",IF(N(INDEX(CalcDepB,$N633))&gt;0,"دریافت بانکی","پرداخت بانکی"),""))</f>
        <v/>
      </c>
      <c r="D633" s="22">
        <f>IF($M633&lt;&gt;"",IF(INDEX(CalcDocA,$M633)="","—",INDEX(CalcDocA,$M633)),IF($N633&lt;&gt;"",INDEX(CalcBankB,$N633),""))</f>
        <v/>
      </c>
      <c r="E633" s="23">
        <f>IF($N633&lt;&gt;"",IF(INDEX(CalcDepB,$N633)=0,"",INDEX(CalcDepB,$N633)),"")</f>
        <v/>
      </c>
      <c r="F633" s="23">
        <f>IF($M633&lt;&gt;"",IF(INDEX(CalcQtyA,$M633)=0,"",INDEX(CalcQtyA,$M633)),"")</f>
        <v/>
      </c>
      <c r="G633" s="23">
        <f>IF($M633&lt;&gt;"",IF(INDEX(CalcPriceA,$M633)=0,"",INDEX(CalcPriceA,$M633)),"")</f>
        <v/>
      </c>
      <c r="H633" s="23">
        <f>IF($N633&lt;&gt;"",IF(INDEX(CalcWitB,$N633)=0,"",INDEX(CalcWitB,$N633)),"")</f>
        <v/>
      </c>
      <c r="I633" s="24">
        <f>IF($M633&lt;&gt;"",INDEX(CalcAmtA,$M633),"")</f>
        <v/>
      </c>
      <c r="J633" s="24">
        <f>IF($B633="","",IF($J632="",$C$8,$J632)+IF($I633="",0,$I633)+IF($E633="",0,$E633)-IF($H633="",0,$H633))</f>
        <v/>
      </c>
      <c r="K633" s="25">
        <f>IF($M633&lt;&gt;"",IF(INDEX(CalcNoteA,$M633)="","—",INDEX(CalcNoteA,$M633)),IF($N633&lt;&gt;"",IF(INDEX(CalcNoteB,$N633)="","—",INDEX(CalcNoteB,$N633)),""))</f>
        <v/>
      </c>
      <c r="M633">
        <f>IFERROR(MATCH($C$5&amp;"|"&amp;RIGHT("000000"&amp;617,6),CalcRankKeyA,0),"")</f>
        <v/>
      </c>
      <c r="N633">
        <f>IFERROR(MATCH($C$5&amp;"|"&amp;RIGHT("000000"&amp;617,6),CalcRankKeyB,0),"")</f>
        <v/>
      </c>
    </row>
    <row r="634">
      <c r="A634" s="26" t="n">
        <v>618</v>
      </c>
      <c r="B634" s="27">
        <f>IF(AND($M634="",$N634=""),"",IF($M634&lt;&gt;"",INDEX(CalcDateA,$M634),INDEX(CalcDateB,$N634)))</f>
        <v/>
      </c>
      <c r="C634" s="27">
        <f>IF($M634&lt;&gt;"","خرید سبد",IF($N634&lt;&gt;"",IF(N(INDEX(CalcDepB,$N634))&gt;0,"دریافت بانکی","پرداخت بانکی"),""))</f>
        <v/>
      </c>
      <c r="D634" s="27">
        <f>IF($M634&lt;&gt;"",IF(INDEX(CalcDocA,$M634)="","—",INDEX(CalcDocA,$M634)),IF($N634&lt;&gt;"",INDEX(CalcBankB,$N634),""))</f>
        <v/>
      </c>
      <c r="E634" s="28">
        <f>IF($N634&lt;&gt;"",IF(INDEX(CalcDepB,$N634)=0,"",INDEX(CalcDepB,$N634)),"")</f>
        <v/>
      </c>
      <c r="F634" s="28">
        <f>IF($M634&lt;&gt;"",IF(INDEX(CalcQtyA,$M634)=0,"",INDEX(CalcQtyA,$M634)),"")</f>
        <v/>
      </c>
      <c r="G634" s="28">
        <f>IF($M634&lt;&gt;"",IF(INDEX(CalcPriceA,$M634)=0,"",INDEX(CalcPriceA,$M634)),"")</f>
        <v/>
      </c>
      <c r="H634" s="28">
        <f>IF($N634&lt;&gt;"",IF(INDEX(CalcWitB,$N634)=0,"",INDEX(CalcWitB,$N634)),"")</f>
        <v/>
      </c>
      <c r="I634" s="29">
        <f>IF($M634&lt;&gt;"",INDEX(CalcAmtA,$M634),"")</f>
        <v/>
      </c>
      <c r="J634" s="29">
        <f>IF($B634="","",IF($J633="",$C$8,$J633)+IF($I634="",0,$I634)+IF($E634="",0,$E634)-IF($H634="",0,$H634))</f>
        <v/>
      </c>
      <c r="K634" s="30">
        <f>IF($M634&lt;&gt;"",IF(INDEX(CalcNoteA,$M634)="","—",INDEX(CalcNoteA,$M634)),IF($N634&lt;&gt;"",IF(INDEX(CalcNoteB,$N634)="","—",INDEX(CalcNoteB,$N634)),""))</f>
        <v/>
      </c>
      <c r="M634">
        <f>IFERROR(MATCH($C$5&amp;"|"&amp;RIGHT("000000"&amp;618,6),CalcRankKeyA,0),"")</f>
        <v/>
      </c>
      <c r="N634">
        <f>IFERROR(MATCH($C$5&amp;"|"&amp;RIGHT("000000"&amp;618,6),CalcRankKeyB,0),"")</f>
        <v/>
      </c>
    </row>
    <row r="635">
      <c r="A635" s="21" t="n">
        <v>619</v>
      </c>
      <c r="B635" s="22">
        <f>IF(AND($M635="",$N635=""),"",IF($M635&lt;&gt;"",INDEX(CalcDateA,$M635),INDEX(CalcDateB,$N635)))</f>
        <v/>
      </c>
      <c r="C635" s="22">
        <f>IF($M635&lt;&gt;"","خرید سبد",IF($N635&lt;&gt;"",IF(N(INDEX(CalcDepB,$N635))&gt;0,"دریافت بانکی","پرداخت بانکی"),""))</f>
        <v/>
      </c>
      <c r="D635" s="22">
        <f>IF($M635&lt;&gt;"",IF(INDEX(CalcDocA,$M635)="","—",INDEX(CalcDocA,$M635)),IF($N635&lt;&gt;"",INDEX(CalcBankB,$N635),""))</f>
        <v/>
      </c>
      <c r="E635" s="23">
        <f>IF($N635&lt;&gt;"",IF(INDEX(CalcDepB,$N635)=0,"",INDEX(CalcDepB,$N635)),"")</f>
        <v/>
      </c>
      <c r="F635" s="23">
        <f>IF($M635&lt;&gt;"",IF(INDEX(CalcQtyA,$M635)=0,"",INDEX(CalcQtyA,$M635)),"")</f>
        <v/>
      </c>
      <c r="G635" s="23">
        <f>IF($M635&lt;&gt;"",IF(INDEX(CalcPriceA,$M635)=0,"",INDEX(CalcPriceA,$M635)),"")</f>
        <v/>
      </c>
      <c r="H635" s="23">
        <f>IF($N635&lt;&gt;"",IF(INDEX(CalcWitB,$N635)=0,"",INDEX(CalcWitB,$N635)),"")</f>
        <v/>
      </c>
      <c r="I635" s="24">
        <f>IF($M635&lt;&gt;"",INDEX(CalcAmtA,$M635),"")</f>
        <v/>
      </c>
      <c r="J635" s="24">
        <f>IF($B635="","",IF($J634="",$C$8,$J634)+IF($I635="",0,$I635)+IF($E635="",0,$E635)-IF($H635="",0,$H635))</f>
        <v/>
      </c>
      <c r="K635" s="25">
        <f>IF($M635&lt;&gt;"",IF(INDEX(CalcNoteA,$M635)="","—",INDEX(CalcNoteA,$M635)),IF($N635&lt;&gt;"",IF(INDEX(CalcNoteB,$N635)="","—",INDEX(CalcNoteB,$N635)),""))</f>
        <v/>
      </c>
      <c r="M635">
        <f>IFERROR(MATCH($C$5&amp;"|"&amp;RIGHT("000000"&amp;619,6),CalcRankKeyA,0),"")</f>
        <v/>
      </c>
      <c r="N635">
        <f>IFERROR(MATCH($C$5&amp;"|"&amp;RIGHT("000000"&amp;619,6),CalcRankKeyB,0),"")</f>
        <v/>
      </c>
    </row>
    <row r="636">
      <c r="A636" s="26" t="n">
        <v>620</v>
      </c>
      <c r="B636" s="27">
        <f>IF(AND($M636="",$N636=""),"",IF($M636&lt;&gt;"",INDEX(CalcDateA,$M636),INDEX(CalcDateB,$N636)))</f>
        <v/>
      </c>
      <c r="C636" s="27">
        <f>IF($M636&lt;&gt;"","خرید سبد",IF($N636&lt;&gt;"",IF(N(INDEX(CalcDepB,$N636))&gt;0,"دریافت بانکی","پرداخت بانکی"),""))</f>
        <v/>
      </c>
      <c r="D636" s="27">
        <f>IF($M636&lt;&gt;"",IF(INDEX(CalcDocA,$M636)="","—",INDEX(CalcDocA,$M636)),IF($N636&lt;&gt;"",INDEX(CalcBankB,$N636),""))</f>
        <v/>
      </c>
      <c r="E636" s="28">
        <f>IF($N636&lt;&gt;"",IF(INDEX(CalcDepB,$N636)=0,"",INDEX(CalcDepB,$N636)),"")</f>
        <v/>
      </c>
      <c r="F636" s="28">
        <f>IF($M636&lt;&gt;"",IF(INDEX(CalcQtyA,$M636)=0,"",INDEX(CalcQtyA,$M636)),"")</f>
        <v/>
      </c>
      <c r="G636" s="28">
        <f>IF($M636&lt;&gt;"",IF(INDEX(CalcPriceA,$M636)=0,"",INDEX(CalcPriceA,$M636)),"")</f>
        <v/>
      </c>
      <c r="H636" s="28">
        <f>IF($N636&lt;&gt;"",IF(INDEX(CalcWitB,$N636)=0,"",INDEX(CalcWitB,$N636)),"")</f>
        <v/>
      </c>
      <c r="I636" s="29">
        <f>IF($M636&lt;&gt;"",INDEX(CalcAmtA,$M636),"")</f>
        <v/>
      </c>
      <c r="J636" s="29">
        <f>IF($B636="","",IF($J635="",$C$8,$J635)+IF($I636="",0,$I636)+IF($E636="",0,$E636)-IF($H636="",0,$H636))</f>
        <v/>
      </c>
      <c r="K636" s="30">
        <f>IF($M636&lt;&gt;"",IF(INDEX(CalcNoteA,$M636)="","—",INDEX(CalcNoteA,$M636)),IF($N636&lt;&gt;"",IF(INDEX(CalcNoteB,$N636)="","—",INDEX(CalcNoteB,$N636)),""))</f>
        <v/>
      </c>
      <c r="M636">
        <f>IFERROR(MATCH($C$5&amp;"|"&amp;RIGHT("000000"&amp;620,6),CalcRankKeyA,0),"")</f>
        <v/>
      </c>
      <c r="N636">
        <f>IFERROR(MATCH($C$5&amp;"|"&amp;RIGHT("000000"&amp;620,6),CalcRankKeyB,0),"")</f>
        <v/>
      </c>
    </row>
    <row r="637">
      <c r="A637" s="21" t="n">
        <v>621</v>
      </c>
      <c r="B637" s="22">
        <f>IF(AND($M637="",$N637=""),"",IF($M637&lt;&gt;"",INDEX(CalcDateA,$M637),INDEX(CalcDateB,$N637)))</f>
        <v/>
      </c>
      <c r="C637" s="22">
        <f>IF($M637&lt;&gt;"","خرید سبد",IF($N637&lt;&gt;"",IF(N(INDEX(CalcDepB,$N637))&gt;0,"دریافت بانکی","پرداخت بانکی"),""))</f>
        <v/>
      </c>
      <c r="D637" s="22">
        <f>IF($M637&lt;&gt;"",IF(INDEX(CalcDocA,$M637)="","—",INDEX(CalcDocA,$M637)),IF($N637&lt;&gt;"",INDEX(CalcBankB,$N637),""))</f>
        <v/>
      </c>
      <c r="E637" s="23">
        <f>IF($N637&lt;&gt;"",IF(INDEX(CalcDepB,$N637)=0,"",INDEX(CalcDepB,$N637)),"")</f>
        <v/>
      </c>
      <c r="F637" s="23">
        <f>IF($M637&lt;&gt;"",IF(INDEX(CalcQtyA,$M637)=0,"",INDEX(CalcQtyA,$M637)),"")</f>
        <v/>
      </c>
      <c r="G637" s="23">
        <f>IF($M637&lt;&gt;"",IF(INDEX(CalcPriceA,$M637)=0,"",INDEX(CalcPriceA,$M637)),"")</f>
        <v/>
      </c>
      <c r="H637" s="23">
        <f>IF($N637&lt;&gt;"",IF(INDEX(CalcWitB,$N637)=0,"",INDEX(CalcWitB,$N637)),"")</f>
        <v/>
      </c>
      <c r="I637" s="24">
        <f>IF($M637&lt;&gt;"",INDEX(CalcAmtA,$M637),"")</f>
        <v/>
      </c>
      <c r="J637" s="24">
        <f>IF($B637="","",IF($J636="",$C$8,$J636)+IF($I637="",0,$I637)+IF($E637="",0,$E637)-IF($H637="",0,$H637))</f>
        <v/>
      </c>
      <c r="K637" s="25">
        <f>IF($M637&lt;&gt;"",IF(INDEX(CalcNoteA,$M637)="","—",INDEX(CalcNoteA,$M637)),IF($N637&lt;&gt;"",IF(INDEX(CalcNoteB,$N637)="","—",INDEX(CalcNoteB,$N637)),""))</f>
        <v/>
      </c>
      <c r="M637">
        <f>IFERROR(MATCH($C$5&amp;"|"&amp;RIGHT("000000"&amp;621,6),CalcRankKeyA,0),"")</f>
        <v/>
      </c>
      <c r="N637">
        <f>IFERROR(MATCH($C$5&amp;"|"&amp;RIGHT("000000"&amp;621,6),CalcRankKeyB,0),"")</f>
        <v/>
      </c>
    </row>
    <row r="638">
      <c r="A638" s="26" t="n">
        <v>622</v>
      </c>
      <c r="B638" s="27">
        <f>IF(AND($M638="",$N638=""),"",IF($M638&lt;&gt;"",INDEX(CalcDateA,$M638),INDEX(CalcDateB,$N638)))</f>
        <v/>
      </c>
      <c r="C638" s="27">
        <f>IF($M638&lt;&gt;"","خرید سبد",IF($N638&lt;&gt;"",IF(N(INDEX(CalcDepB,$N638))&gt;0,"دریافت بانکی","پرداخت بانکی"),""))</f>
        <v/>
      </c>
      <c r="D638" s="27">
        <f>IF($M638&lt;&gt;"",IF(INDEX(CalcDocA,$M638)="","—",INDEX(CalcDocA,$M638)),IF($N638&lt;&gt;"",INDEX(CalcBankB,$N638),""))</f>
        <v/>
      </c>
      <c r="E638" s="28">
        <f>IF($N638&lt;&gt;"",IF(INDEX(CalcDepB,$N638)=0,"",INDEX(CalcDepB,$N638)),"")</f>
        <v/>
      </c>
      <c r="F638" s="28">
        <f>IF($M638&lt;&gt;"",IF(INDEX(CalcQtyA,$M638)=0,"",INDEX(CalcQtyA,$M638)),"")</f>
        <v/>
      </c>
      <c r="G638" s="28">
        <f>IF($M638&lt;&gt;"",IF(INDEX(CalcPriceA,$M638)=0,"",INDEX(CalcPriceA,$M638)),"")</f>
        <v/>
      </c>
      <c r="H638" s="28">
        <f>IF($N638&lt;&gt;"",IF(INDEX(CalcWitB,$N638)=0,"",INDEX(CalcWitB,$N638)),"")</f>
        <v/>
      </c>
      <c r="I638" s="29">
        <f>IF($M638&lt;&gt;"",INDEX(CalcAmtA,$M638),"")</f>
        <v/>
      </c>
      <c r="J638" s="29">
        <f>IF($B638="","",IF($J637="",$C$8,$J637)+IF($I638="",0,$I638)+IF($E638="",0,$E638)-IF($H638="",0,$H638))</f>
        <v/>
      </c>
      <c r="K638" s="30">
        <f>IF($M638&lt;&gt;"",IF(INDEX(CalcNoteA,$M638)="","—",INDEX(CalcNoteA,$M638)),IF($N638&lt;&gt;"",IF(INDEX(CalcNoteB,$N638)="","—",INDEX(CalcNoteB,$N638)),""))</f>
        <v/>
      </c>
      <c r="M638">
        <f>IFERROR(MATCH($C$5&amp;"|"&amp;RIGHT("000000"&amp;622,6),CalcRankKeyA,0),"")</f>
        <v/>
      </c>
      <c r="N638">
        <f>IFERROR(MATCH($C$5&amp;"|"&amp;RIGHT("000000"&amp;622,6),CalcRankKeyB,0),"")</f>
        <v/>
      </c>
    </row>
    <row r="639">
      <c r="A639" s="21" t="n">
        <v>623</v>
      </c>
      <c r="B639" s="22">
        <f>IF(AND($M639="",$N639=""),"",IF($M639&lt;&gt;"",INDEX(CalcDateA,$M639),INDEX(CalcDateB,$N639)))</f>
        <v/>
      </c>
      <c r="C639" s="22">
        <f>IF($M639&lt;&gt;"","خرید سبد",IF($N639&lt;&gt;"",IF(N(INDEX(CalcDepB,$N639))&gt;0,"دریافت بانکی","پرداخت بانکی"),""))</f>
        <v/>
      </c>
      <c r="D639" s="22">
        <f>IF($M639&lt;&gt;"",IF(INDEX(CalcDocA,$M639)="","—",INDEX(CalcDocA,$M639)),IF($N639&lt;&gt;"",INDEX(CalcBankB,$N639),""))</f>
        <v/>
      </c>
      <c r="E639" s="23">
        <f>IF($N639&lt;&gt;"",IF(INDEX(CalcDepB,$N639)=0,"",INDEX(CalcDepB,$N639)),"")</f>
        <v/>
      </c>
      <c r="F639" s="23">
        <f>IF($M639&lt;&gt;"",IF(INDEX(CalcQtyA,$M639)=0,"",INDEX(CalcQtyA,$M639)),"")</f>
        <v/>
      </c>
      <c r="G639" s="23">
        <f>IF($M639&lt;&gt;"",IF(INDEX(CalcPriceA,$M639)=0,"",INDEX(CalcPriceA,$M639)),"")</f>
        <v/>
      </c>
      <c r="H639" s="23">
        <f>IF($N639&lt;&gt;"",IF(INDEX(CalcWitB,$N639)=0,"",INDEX(CalcWitB,$N639)),"")</f>
        <v/>
      </c>
      <c r="I639" s="24">
        <f>IF($M639&lt;&gt;"",INDEX(CalcAmtA,$M639),"")</f>
        <v/>
      </c>
      <c r="J639" s="24">
        <f>IF($B639="","",IF($J638="",$C$8,$J638)+IF($I639="",0,$I639)+IF($E639="",0,$E639)-IF($H639="",0,$H639))</f>
        <v/>
      </c>
      <c r="K639" s="25">
        <f>IF($M639&lt;&gt;"",IF(INDEX(CalcNoteA,$M639)="","—",INDEX(CalcNoteA,$M639)),IF($N639&lt;&gt;"",IF(INDEX(CalcNoteB,$N639)="","—",INDEX(CalcNoteB,$N639)),""))</f>
        <v/>
      </c>
      <c r="M639">
        <f>IFERROR(MATCH($C$5&amp;"|"&amp;RIGHT("000000"&amp;623,6),CalcRankKeyA,0),"")</f>
        <v/>
      </c>
      <c r="N639">
        <f>IFERROR(MATCH($C$5&amp;"|"&amp;RIGHT("000000"&amp;623,6),CalcRankKeyB,0),"")</f>
        <v/>
      </c>
    </row>
    <row r="640">
      <c r="A640" s="26" t="n">
        <v>624</v>
      </c>
      <c r="B640" s="27">
        <f>IF(AND($M640="",$N640=""),"",IF($M640&lt;&gt;"",INDEX(CalcDateA,$M640),INDEX(CalcDateB,$N640)))</f>
        <v/>
      </c>
      <c r="C640" s="27">
        <f>IF($M640&lt;&gt;"","خرید سبد",IF($N640&lt;&gt;"",IF(N(INDEX(CalcDepB,$N640))&gt;0,"دریافت بانکی","پرداخت بانکی"),""))</f>
        <v/>
      </c>
      <c r="D640" s="27">
        <f>IF($M640&lt;&gt;"",IF(INDEX(CalcDocA,$M640)="","—",INDEX(CalcDocA,$M640)),IF($N640&lt;&gt;"",INDEX(CalcBankB,$N640),""))</f>
        <v/>
      </c>
      <c r="E640" s="28">
        <f>IF($N640&lt;&gt;"",IF(INDEX(CalcDepB,$N640)=0,"",INDEX(CalcDepB,$N640)),"")</f>
        <v/>
      </c>
      <c r="F640" s="28">
        <f>IF($M640&lt;&gt;"",IF(INDEX(CalcQtyA,$M640)=0,"",INDEX(CalcQtyA,$M640)),"")</f>
        <v/>
      </c>
      <c r="G640" s="28">
        <f>IF($M640&lt;&gt;"",IF(INDEX(CalcPriceA,$M640)=0,"",INDEX(CalcPriceA,$M640)),"")</f>
        <v/>
      </c>
      <c r="H640" s="28">
        <f>IF($N640&lt;&gt;"",IF(INDEX(CalcWitB,$N640)=0,"",INDEX(CalcWitB,$N640)),"")</f>
        <v/>
      </c>
      <c r="I640" s="29">
        <f>IF($M640&lt;&gt;"",INDEX(CalcAmtA,$M640),"")</f>
        <v/>
      </c>
      <c r="J640" s="29">
        <f>IF($B640="","",IF($J639="",$C$8,$J639)+IF($I640="",0,$I640)+IF($E640="",0,$E640)-IF($H640="",0,$H640))</f>
        <v/>
      </c>
      <c r="K640" s="30">
        <f>IF($M640&lt;&gt;"",IF(INDEX(CalcNoteA,$M640)="","—",INDEX(CalcNoteA,$M640)),IF($N640&lt;&gt;"",IF(INDEX(CalcNoteB,$N640)="","—",INDEX(CalcNoteB,$N640)),""))</f>
        <v/>
      </c>
      <c r="M640">
        <f>IFERROR(MATCH($C$5&amp;"|"&amp;RIGHT("000000"&amp;624,6),CalcRankKeyA,0),"")</f>
        <v/>
      </c>
      <c r="N640">
        <f>IFERROR(MATCH($C$5&amp;"|"&amp;RIGHT("000000"&amp;624,6),CalcRankKeyB,0),"")</f>
        <v/>
      </c>
    </row>
    <row r="641">
      <c r="A641" s="21" t="n">
        <v>625</v>
      </c>
      <c r="B641" s="22">
        <f>IF(AND($M641="",$N641=""),"",IF($M641&lt;&gt;"",INDEX(CalcDateA,$M641),INDEX(CalcDateB,$N641)))</f>
        <v/>
      </c>
      <c r="C641" s="22">
        <f>IF($M641&lt;&gt;"","خرید سبد",IF($N641&lt;&gt;"",IF(N(INDEX(CalcDepB,$N641))&gt;0,"دریافت بانکی","پرداخت بانکی"),""))</f>
        <v/>
      </c>
      <c r="D641" s="22">
        <f>IF($M641&lt;&gt;"",IF(INDEX(CalcDocA,$M641)="","—",INDEX(CalcDocA,$M641)),IF($N641&lt;&gt;"",INDEX(CalcBankB,$N641),""))</f>
        <v/>
      </c>
      <c r="E641" s="23">
        <f>IF($N641&lt;&gt;"",IF(INDEX(CalcDepB,$N641)=0,"",INDEX(CalcDepB,$N641)),"")</f>
        <v/>
      </c>
      <c r="F641" s="23">
        <f>IF($M641&lt;&gt;"",IF(INDEX(CalcQtyA,$M641)=0,"",INDEX(CalcQtyA,$M641)),"")</f>
        <v/>
      </c>
      <c r="G641" s="23">
        <f>IF($M641&lt;&gt;"",IF(INDEX(CalcPriceA,$M641)=0,"",INDEX(CalcPriceA,$M641)),"")</f>
        <v/>
      </c>
      <c r="H641" s="23">
        <f>IF($N641&lt;&gt;"",IF(INDEX(CalcWitB,$N641)=0,"",INDEX(CalcWitB,$N641)),"")</f>
        <v/>
      </c>
      <c r="I641" s="24">
        <f>IF($M641&lt;&gt;"",INDEX(CalcAmtA,$M641),"")</f>
        <v/>
      </c>
      <c r="J641" s="24">
        <f>IF($B641="","",IF($J640="",$C$8,$J640)+IF($I641="",0,$I641)+IF($E641="",0,$E641)-IF($H641="",0,$H641))</f>
        <v/>
      </c>
      <c r="K641" s="25">
        <f>IF($M641&lt;&gt;"",IF(INDEX(CalcNoteA,$M641)="","—",INDEX(CalcNoteA,$M641)),IF($N641&lt;&gt;"",IF(INDEX(CalcNoteB,$N641)="","—",INDEX(CalcNoteB,$N641)),""))</f>
        <v/>
      </c>
      <c r="M641">
        <f>IFERROR(MATCH($C$5&amp;"|"&amp;RIGHT("000000"&amp;625,6),CalcRankKeyA,0),"")</f>
        <v/>
      </c>
      <c r="N641">
        <f>IFERROR(MATCH($C$5&amp;"|"&amp;RIGHT("000000"&amp;625,6),CalcRankKeyB,0),"")</f>
        <v/>
      </c>
    </row>
    <row r="642">
      <c r="A642" s="26" t="n">
        <v>626</v>
      </c>
      <c r="B642" s="27">
        <f>IF(AND($M642="",$N642=""),"",IF($M642&lt;&gt;"",INDEX(CalcDateA,$M642),INDEX(CalcDateB,$N642)))</f>
        <v/>
      </c>
      <c r="C642" s="27">
        <f>IF($M642&lt;&gt;"","خرید سبد",IF($N642&lt;&gt;"",IF(N(INDEX(CalcDepB,$N642))&gt;0,"دریافت بانکی","پرداخت بانکی"),""))</f>
        <v/>
      </c>
      <c r="D642" s="27">
        <f>IF($M642&lt;&gt;"",IF(INDEX(CalcDocA,$M642)="","—",INDEX(CalcDocA,$M642)),IF($N642&lt;&gt;"",INDEX(CalcBankB,$N642),""))</f>
        <v/>
      </c>
      <c r="E642" s="28">
        <f>IF($N642&lt;&gt;"",IF(INDEX(CalcDepB,$N642)=0,"",INDEX(CalcDepB,$N642)),"")</f>
        <v/>
      </c>
      <c r="F642" s="28">
        <f>IF($M642&lt;&gt;"",IF(INDEX(CalcQtyA,$M642)=0,"",INDEX(CalcQtyA,$M642)),"")</f>
        <v/>
      </c>
      <c r="G642" s="28">
        <f>IF($M642&lt;&gt;"",IF(INDEX(CalcPriceA,$M642)=0,"",INDEX(CalcPriceA,$M642)),"")</f>
        <v/>
      </c>
      <c r="H642" s="28">
        <f>IF($N642&lt;&gt;"",IF(INDEX(CalcWitB,$N642)=0,"",INDEX(CalcWitB,$N642)),"")</f>
        <v/>
      </c>
      <c r="I642" s="29">
        <f>IF($M642&lt;&gt;"",INDEX(CalcAmtA,$M642),"")</f>
        <v/>
      </c>
      <c r="J642" s="29">
        <f>IF($B642="","",IF($J641="",$C$8,$J641)+IF($I642="",0,$I642)+IF($E642="",0,$E642)-IF($H642="",0,$H642))</f>
        <v/>
      </c>
      <c r="K642" s="30">
        <f>IF($M642&lt;&gt;"",IF(INDEX(CalcNoteA,$M642)="","—",INDEX(CalcNoteA,$M642)),IF($N642&lt;&gt;"",IF(INDEX(CalcNoteB,$N642)="","—",INDEX(CalcNoteB,$N642)),""))</f>
        <v/>
      </c>
      <c r="M642">
        <f>IFERROR(MATCH($C$5&amp;"|"&amp;RIGHT("000000"&amp;626,6),CalcRankKeyA,0),"")</f>
        <v/>
      </c>
      <c r="N642">
        <f>IFERROR(MATCH($C$5&amp;"|"&amp;RIGHT("000000"&amp;626,6),CalcRankKeyB,0),"")</f>
        <v/>
      </c>
    </row>
    <row r="643">
      <c r="A643" s="21" t="n">
        <v>627</v>
      </c>
      <c r="B643" s="22">
        <f>IF(AND($M643="",$N643=""),"",IF($M643&lt;&gt;"",INDEX(CalcDateA,$M643),INDEX(CalcDateB,$N643)))</f>
        <v/>
      </c>
      <c r="C643" s="22">
        <f>IF($M643&lt;&gt;"","خرید سبد",IF($N643&lt;&gt;"",IF(N(INDEX(CalcDepB,$N643))&gt;0,"دریافت بانکی","پرداخت بانکی"),""))</f>
        <v/>
      </c>
      <c r="D643" s="22">
        <f>IF($M643&lt;&gt;"",IF(INDEX(CalcDocA,$M643)="","—",INDEX(CalcDocA,$M643)),IF($N643&lt;&gt;"",INDEX(CalcBankB,$N643),""))</f>
        <v/>
      </c>
      <c r="E643" s="23">
        <f>IF($N643&lt;&gt;"",IF(INDEX(CalcDepB,$N643)=0,"",INDEX(CalcDepB,$N643)),"")</f>
        <v/>
      </c>
      <c r="F643" s="23">
        <f>IF($M643&lt;&gt;"",IF(INDEX(CalcQtyA,$M643)=0,"",INDEX(CalcQtyA,$M643)),"")</f>
        <v/>
      </c>
      <c r="G643" s="23">
        <f>IF($M643&lt;&gt;"",IF(INDEX(CalcPriceA,$M643)=0,"",INDEX(CalcPriceA,$M643)),"")</f>
        <v/>
      </c>
      <c r="H643" s="23">
        <f>IF($N643&lt;&gt;"",IF(INDEX(CalcWitB,$N643)=0,"",INDEX(CalcWitB,$N643)),"")</f>
        <v/>
      </c>
      <c r="I643" s="24">
        <f>IF($M643&lt;&gt;"",INDEX(CalcAmtA,$M643),"")</f>
        <v/>
      </c>
      <c r="J643" s="24">
        <f>IF($B643="","",IF($J642="",$C$8,$J642)+IF($I643="",0,$I643)+IF($E643="",0,$E643)-IF($H643="",0,$H643))</f>
        <v/>
      </c>
      <c r="K643" s="25">
        <f>IF($M643&lt;&gt;"",IF(INDEX(CalcNoteA,$M643)="","—",INDEX(CalcNoteA,$M643)),IF($N643&lt;&gt;"",IF(INDEX(CalcNoteB,$N643)="","—",INDEX(CalcNoteB,$N643)),""))</f>
        <v/>
      </c>
      <c r="M643">
        <f>IFERROR(MATCH($C$5&amp;"|"&amp;RIGHT("000000"&amp;627,6),CalcRankKeyA,0),"")</f>
        <v/>
      </c>
      <c r="N643">
        <f>IFERROR(MATCH($C$5&amp;"|"&amp;RIGHT("000000"&amp;627,6),CalcRankKeyB,0),"")</f>
        <v/>
      </c>
    </row>
    <row r="644">
      <c r="A644" s="26" t="n">
        <v>628</v>
      </c>
      <c r="B644" s="27">
        <f>IF(AND($M644="",$N644=""),"",IF($M644&lt;&gt;"",INDEX(CalcDateA,$M644),INDEX(CalcDateB,$N644)))</f>
        <v/>
      </c>
      <c r="C644" s="27">
        <f>IF($M644&lt;&gt;"","خرید سبد",IF($N644&lt;&gt;"",IF(N(INDEX(CalcDepB,$N644))&gt;0,"دریافت بانکی","پرداخت بانکی"),""))</f>
        <v/>
      </c>
      <c r="D644" s="27">
        <f>IF($M644&lt;&gt;"",IF(INDEX(CalcDocA,$M644)="","—",INDEX(CalcDocA,$M644)),IF($N644&lt;&gt;"",INDEX(CalcBankB,$N644),""))</f>
        <v/>
      </c>
      <c r="E644" s="28">
        <f>IF($N644&lt;&gt;"",IF(INDEX(CalcDepB,$N644)=0,"",INDEX(CalcDepB,$N644)),"")</f>
        <v/>
      </c>
      <c r="F644" s="28">
        <f>IF($M644&lt;&gt;"",IF(INDEX(CalcQtyA,$M644)=0,"",INDEX(CalcQtyA,$M644)),"")</f>
        <v/>
      </c>
      <c r="G644" s="28">
        <f>IF($M644&lt;&gt;"",IF(INDEX(CalcPriceA,$M644)=0,"",INDEX(CalcPriceA,$M644)),"")</f>
        <v/>
      </c>
      <c r="H644" s="28">
        <f>IF($N644&lt;&gt;"",IF(INDEX(CalcWitB,$N644)=0,"",INDEX(CalcWitB,$N644)),"")</f>
        <v/>
      </c>
      <c r="I644" s="29">
        <f>IF($M644&lt;&gt;"",INDEX(CalcAmtA,$M644),"")</f>
        <v/>
      </c>
      <c r="J644" s="29">
        <f>IF($B644="","",IF($J643="",$C$8,$J643)+IF($I644="",0,$I644)+IF($E644="",0,$E644)-IF($H644="",0,$H644))</f>
        <v/>
      </c>
      <c r="K644" s="30">
        <f>IF($M644&lt;&gt;"",IF(INDEX(CalcNoteA,$M644)="","—",INDEX(CalcNoteA,$M644)),IF($N644&lt;&gt;"",IF(INDEX(CalcNoteB,$N644)="","—",INDEX(CalcNoteB,$N644)),""))</f>
        <v/>
      </c>
      <c r="M644">
        <f>IFERROR(MATCH($C$5&amp;"|"&amp;RIGHT("000000"&amp;628,6),CalcRankKeyA,0),"")</f>
        <v/>
      </c>
      <c r="N644">
        <f>IFERROR(MATCH($C$5&amp;"|"&amp;RIGHT("000000"&amp;628,6),CalcRankKeyB,0),"")</f>
        <v/>
      </c>
    </row>
    <row r="645">
      <c r="A645" s="21" t="n">
        <v>629</v>
      </c>
      <c r="B645" s="22">
        <f>IF(AND($M645="",$N645=""),"",IF($M645&lt;&gt;"",INDEX(CalcDateA,$M645),INDEX(CalcDateB,$N645)))</f>
        <v/>
      </c>
      <c r="C645" s="22">
        <f>IF($M645&lt;&gt;"","خرید سبد",IF($N645&lt;&gt;"",IF(N(INDEX(CalcDepB,$N645))&gt;0,"دریافت بانکی","پرداخت بانکی"),""))</f>
        <v/>
      </c>
      <c r="D645" s="22">
        <f>IF($M645&lt;&gt;"",IF(INDEX(CalcDocA,$M645)="","—",INDEX(CalcDocA,$M645)),IF($N645&lt;&gt;"",INDEX(CalcBankB,$N645),""))</f>
        <v/>
      </c>
      <c r="E645" s="23">
        <f>IF($N645&lt;&gt;"",IF(INDEX(CalcDepB,$N645)=0,"",INDEX(CalcDepB,$N645)),"")</f>
        <v/>
      </c>
      <c r="F645" s="23">
        <f>IF($M645&lt;&gt;"",IF(INDEX(CalcQtyA,$M645)=0,"",INDEX(CalcQtyA,$M645)),"")</f>
        <v/>
      </c>
      <c r="G645" s="23">
        <f>IF($M645&lt;&gt;"",IF(INDEX(CalcPriceA,$M645)=0,"",INDEX(CalcPriceA,$M645)),"")</f>
        <v/>
      </c>
      <c r="H645" s="23">
        <f>IF($N645&lt;&gt;"",IF(INDEX(CalcWitB,$N645)=0,"",INDEX(CalcWitB,$N645)),"")</f>
        <v/>
      </c>
      <c r="I645" s="24">
        <f>IF($M645&lt;&gt;"",INDEX(CalcAmtA,$M645),"")</f>
        <v/>
      </c>
      <c r="J645" s="24">
        <f>IF($B645="","",IF($J644="",$C$8,$J644)+IF($I645="",0,$I645)+IF($E645="",0,$E645)-IF($H645="",0,$H645))</f>
        <v/>
      </c>
      <c r="K645" s="25">
        <f>IF($M645&lt;&gt;"",IF(INDEX(CalcNoteA,$M645)="","—",INDEX(CalcNoteA,$M645)),IF($N645&lt;&gt;"",IF(INDEX(CalcNoteB,$N645)="","—",INDEX(CalcNoteB,$N645)),""))</f>
        <v/>
      </c>
      <c r="M645">
        <f>IFERROR(MATCH($C$5&amp;"|"&amp;RIGHT("000000"&amp;629,6),CalcRankKeyA,0),"")</f>
        <v/>
      </c>
      <c r="N645">
        <f>IFERROR(MATCH($C$5&amp;"|"&amp;RIGHT("000000"&amp;629,6),CalcRankKeyB,0),"")</f>
        <v/>
      </c>
    </row>
    <row r="646">
      <c r="A646" s="26" t="n">
        <v>630</v>
      </c>
      <c r="B646" s="27">
        <f>IF(AND($M646="",$N646=""),"",IF($M646&lt;&gt;"",INDEX(CalcDateA,$M646),INDEX(CalcDateB,$N646)))</f>
        <v/>
      </c>
      <c r="C646" s="27">
        <f>IF($M646&lt;&gt;"","خرید سبد",IF($N646&lt;&gt;"",IF(N(INDEX(CalcDepB,$N646))&gt;0,"دریافت بانکی","پرداخت بانکی"),""))</f>
        <v/>
      </c>
      <c r="D646" s="27">
        <f>IF($M646&lt;&gt;"",IF(INDEX(CalcDocA,$M646)="","—",INDEX(CalcDocA,$M646)),IF($N646&lt;&gt;"",INDEX(CalcBankB,$N646),""))</f>
        <v/>
      </c>
      <c r="E646" s="28">
        <f>IF($N646&lt;&gt;"",IF(INDEX(CalcDepB,$N646)=0,"",INDEX(CalcDepB,$N646)),"")</f>
        <v/>
      </c>
      <c r="F646" s="28">
        <f>IF($M646&lt;&gt;"",IF(INDEX(CalcQtyA,$M646)=0,"",INDEX(CalcQtyA,$M646)),"")</f>
        <v/>
      </c>
      <c r="G646" s="28">
        <f>IF($M646&lt;&gt;"",IF(INDEX(CalcPriceA,$M646)=0,"",INDEX(CalcPriceA,$M646)),"")</f>
        <v/>
      </c>
      <c r="H646" s="28">
        <f>IF($N646&lt;&gt;"",IF(INDEX(CalcWitB,$N646)=0,"",INDEX(CalcWitB,$N646)),"")</f>
        <v/>
      </c>
      <c r="I646" s="29">
        <f>IF($M646&lt;&gt;"",INDEX(CalcAmtA,$M646),"")</f>
        <v/>
      </c>
      <c r="J646" s="29">
        <f>IF($B646="","",IF($J645="",$C$8,$J645)+IF($I646="",0,$I646)+IF($E646="",0,$E646)-IF($H646="",0,$H646))</f>
        <v/>
      </c>
      <c r="K646" s="30">
        <f>IF($M646&lt;&gt;"",IF(INDEX(CalcNoteA,$M646)="","—",INDEX(CalcNoteA,$M646)),IF($N646&lt;&gt;"",IF(INDEX(CalcNoteB,$N646)="","—",INDEX(CalcNoteB,$N646)),""))</f>
        <v/>
      </c>
      <c r="M646">
        <f>IFERROR(MATCH($C$5&amp;"|"&amp;RIGHT("000000"&amp;630,6),CalcRankKeyA,0),"")</f>
        <v/>
      </c>
      <c r="N646">
        <f>IFERROR(MATCH($C$5&amp;"|"&amp;RIGHT("000000"&amp;630,6),CalcRankKeyB,0),"")</f>
        <v/>
      </c>
    </row>
    <row r="647">
      <c r="A647" s="21" t="n">
        <v>631</v>
      </c>
      <c r="B647" s="22">
        <f>IF(AND($M647="",$N647=""),"",IF($M647&lt;&gt;"",INDEX(CalcDateA,$M647),INDEX(CalcDateB,$N647)))</f>
        <v/>
      </c>
      <c r="C647" s="22">
        <f>IF($M647&lt;&gt;"","خرید سبد",IF($N647&lt;&gt;"",IF(N(INDEX(CalcDepB,$N647))&gt;0,"دریافت بانکی","پرداخت بانکی"),""))</f>
        <v/>
      </c>
      <c r="D647" s="22">
        <f>IF($M647&lt;&gt;"",IF(INDEX(CalcDocA,$M647)="","—",INDEX(CalcDocA,$M647)),IF($N647&lt;&gt;"",INDEX(CalcBankB,$N647),""))</f>
        <v/>
      </c>
      <c r="E647" s="23">
        <f>IF($N647&lt;&gt;"",IF(INDEX(CalcDepB,$N647)=0,"",INDEX(CalcDepB,$N647)),"")</f>
        <v/>
      </c>
      <c r="F647" s="23">
        <f>IF($M647&lt;&gt;"",IF(INDEX(CalcQtyA,$M647)=0,"",INDEX(CalcQtyA,$M647)),"")</f>
        <v/>
      </c>
      <c r="G647" s="23">
        <f>IF($M647&lt;&gt;"",IF(INDEX(CalcPriceA,$M647)=0,"",INDEX(CalcPriceA,$M647)),"")</f>
        <v/>
      </c>
      <c r="H647" s="23">
        <f>IF($N647&lt;&gt;"",IF(INDEX(CalcWitB,$N647)=0,"",INDEX(CalcWitB,$N647)),"")</f>
        <v/>
      </c>
      <c r="I647" s="24">
        <f>IF($M647&lt;&gt;"",INDEX(CalcAmtA,$M647),"")</f>
        <v/>
      </c>
      <c r="J647" s="24">
        <f>IF($B647="","",IF($J646="",$C$8,$J646)+IF($I647="",0,$I647)+IF($E647="",0,$E647)-IF($H647="",0,$H647))</f>
        <v/>
      </c>
      <c r="K647" s="25">
        <f>IF($M647&lt;&gt;"",IF(INDEX(CalcNoteA,$M647)="","—",INDEX(CalcNoteA,$M647)),IF($N647&lt;&gt;"",IF(INDEX(CalcNoteB,$N647)="","—",INDEX(CalcNoteB,$N647)),""))</f>
        <v/>
      </c>
      <c r="M647">
        <f>IFERROR(MATCH($C$5&amp;"|"&amp;RIGHT("000000"&amp;631,6),CalcRankKeyA,0),"")</f>
        <v/>
      </c>
      <c r="N647">
        <f>IFERROR(MATCH($C$5&amp;"|"&amp;RIGHT("000000"&amp;631,6),CalcRankKeyB,0),"")</f>
        <v/>
      </c>
    </row>
    <row r="648">
      <c r="A648" s="26" t="n">
        <v>632</v>
      </c>
      <c r="B648" s="27">
        <f>IF(AND($M648="",$N648=""),"",IF($M648&lt;&gt;"",INDEX(CalcDateA,$M648),INDEX(CalcDateB,$N648)))</f>
        <v/>
      </c>
      <c r="C648" s="27">
        <f>IF($M648&lt;&gt;"","خرید سبد",IF($N648&lt;&gt;"",IF(N(INDEX(CalcDepB,$N648))&gt;0,"دریافت بانکی","پرداخت بانکی"),""))</f>
        <v/>
      </c>
      <c r="D648" s="27">
        <f>IF($M648&lt;&gt;"",IF(INDEX(CalcDocA,$M648)="","—",INDEX(CalcDocA,$M648)),IF($N648&lt;&gt;"",INDEX(CalcBankB,$N648),""))</f>
        <v/>
      </c>
      <c r="E648" s="28">
        <f>IF($N648&lt;&gt;"",IF(INDEX(CalcDepB,$N648)=0,"",INDEX(CalcDepB,$N648)),"")</f>
        <v/>
      </c>
      <c r="F648" s="28">
        <f>IF($M648&lt;&gt;"",IF(INDEX(CalcQtyA,$M648)=0,"",INDEX(CalcQtyA,$M648)),"")</f>
        <v/>
      </c>
      <c r="G648" s="28">
        <f>IF($M648&lt;&gt;"",IF(INDEX(CalcPriceA,$M648)=0,"",INDEX(CalcPriceA,$M648)),"")</f>
        <v/>
      </c>
      <c r="H648" s="28">
        <f>IF($N648&lt;&gt;"",IF(INDEX(CalcWitB,$N648)=0,"",INDEX(CalcWitB,$N648)),"")</f>
        <v/>
      </c>
      <c r="I648" s="29">
        <f>IF($M648&lt;&gt;"",INDEX(CalcAmtA,$M648),"")</f>
        <v/>
      </c>
      <c r="J648" s="29">
        <f>IF($B648="","",IF($J647="",$C$8,$J647)+IF($I648="",0,$I648)+IF($E648="",0,$E648)-IF($H648="",0,$H648))</f>
        <v/>
      </c>
      <c r="K648" s="30">
        <f>IF($M648&lt;&gt;"",IF(INDEX(CalcNoteA,$M648)="","—",INDEX(CalcNoteA,$M648)),IF($N648&lt;&gt;"",IF(INDEX(CalcNoteB,$N648)="","—",INDEX(CalcNoteB,$N648)),""))</f>
        <v/>
      </c>
      <c r="M648">
        <f>IFERROR(MATCH($C$5&amp;"|"&amp;RIGHT("000000"&amp;632,6),CalcRankKeyA,0),"")</f>
        <v/>
      </c>
      <c r="N648">
        <f>IFERROR(MATCH($C$5&amp;"|"&amp;RIGHT("000000"&amp;632,6),CalcRankKeyB,0),"")</f>
        <v/>
      </c>
    </row>
    <row r="649">
      <c r="A649" s="21" t="n">
        <v>633</v>
      </c>
      <c r="B649" s="22">
        <f>IF(AND($M649="",$N649=""),"",IF($M649&lt;&gt;"",INDEX(CalcDateA,$M649),INDEX(CalcDateB,$N649)))</f>
        <v/>
      </c>
      <c r="C649" s="22">
        <f>IF($M649&lt;&gt;"","خرید سبد",IF($N649&lt;&gt;"",IF(N(INDEX(CalcDepB,$N649))&gt;0,"دریافت بانکی","پرداخت بانکی"),""))</f>
        <v/>
      </c>
      <c r="D649" s="22">
        <f>IF($M649&lt;&gt;"",IF(INDEX(CalcDocA,$M649)="","—",INDEX(CalcDocA,$M649)),IF($N649&lt;&gt;"",INDEX(CalcBankB,$N649),""))</f>
        <v/>
      </c>
      <c r="E649" s="23">
        <f>IF($N649&lt;&gt;"",IF(INDEX(CalcDepB,$N649)=0,"",INDEX(CalcDepB,$N649)),"")</f>
        <v/>
      </c>
      <c r="F649" s="23">
        <f>IF($M649&lt;&gt;"",IF(INDEX(CalcQtyA,$M649)=0,"",INDEX(CalcQtyA,$M649)),"")</f>
        <v/>
      </c>
      <c r="G649" s="23">
        <f>IF($M649&lt;&gt;"",IF(INDEX(CalcPriceA,$M649)=0,"",INDEX(CalcPriceA,$M649)),"")</f>
        <v/>
      </c>
      <c r="H649" s="23">
        <f>IF($N649&lt;&gt;"",IF(INDEX(CalcWitB,$N649)=0,"",INDEX(CalcWitB,$N649)),"")</f>
        <v/>
      </c>
      <c r="I649" s="24">
        <f>IF($M649&lt;&gt;"",INDEX(CalcAmtA,$M649),"")</f>
        <v/>
      </c>
      <c r="J649" s="24">
        <f>IF($B649="","",IF($J648="",$C$8,$J648)+IF($I649="",0,$I649)+IF($E649="",0,$E649)-IF($H649="",0,$H649))</f>
        <v/>
      </c>
      <c r="K649" s="25">
        <f>IF($M649&lt;&gt;"",IF(INDEX(CalcNoteA,$M649)="","—",INDEX(CalcNoteA,$M649)),IF($N649&lt;&gt;"",IF(INDEX(CalcNoteB,$N649)="","—",INDEX(CalcNoteB,$N649)),""))</f>
        <v/>
      </c>
      <c r="M649">
        <f>IFERROR(MATCH($C$5&amp;"|"&amp;RIGHT("000000"&amp;633,6),CalcRankKeyA,0),"")</f>
        <v/>
      </c>
      <c r="N649">
        <f>IFERROR(MATCH($C$5&amp;"|"&amp;RIGHT("000000"&amp;633,6),CalcRankKeyB,0),"")</f>
        <v/>
      </c>
    </row>
    <row r="650">
      <c r="A650" s="26" t="n">
        <v>634</v>
      </c>
      <c r="B650" s="27">
        <f>IF(AND($M650="",$N650=""),"",IF($M650&lt;&gt;"",INDEX(CalcDateA,$M650),INDEX(CalcDateB,$N650)))</f>
        <v/>
      </c>
      <c r="C650" s="27">
        <f>IF($M650&lt;&gt;"","خرید سبد",IF($N650&lt;&gt;"",IF(N(INDEX(CalcDepB,$N650))&gt;0,"دریافت بانکی","پرداخت بانکی"),""))</f>
        <v/>
      </c>
      <c r="D650" s="27">
        <f>IF($M650&lt;&gt;"",IF(INDEX(CalcDocA,$M650)="","—",INDEX(CalcDocA,$M650)),IF($N650&lt;&gt;"",INDEX(CalcBankB,$N650),""))</f>
        <v/>
      </c>
      <c r="E650" s="28">
        <f>IF($N650&lt;&gt;"",IF(INDEX(CalcDepB,$N650)=0,"",INDEX(CalcDepB,$N650)),"")</f>
        <v/>
      </c>
      <c r="F650" s="28">
        <f>IF($M650&lt;&gt;"",IF(INDEX(CalcQtyA,$M650)=0,"",INDEX(CalcQtyA,$M650)),"")</f>
        <v/>
      </c>
      <c r="G650" s="28">
        <f>IF($M650&lt;&gt;"",IF(INDEX(CalcPriceA,$M650)=0,"",INDEX(CalcPriceA,$M650)),"")</f>
        <v/>
      </c>
      <c r="H650" s="28">
        <f>IF($N650&lt;&gt;"",IF(INDEX(CalcWitB,$N650)=0,"",INDEX(CalcWitB,$N650)),"")</f>
        <v/>
      </c>
      <c r="I650" s="29">
        <f>IF($M650&lt;&gt;"",INDEX(CalcAmtA,$M650),"")</f>
        <v/>
      </c>
      <c r="J650" s="29">
        <f>IF($B650="","",IF($J649="",$C$8,$J649)+IF($I650="",0,$I650)+IF($E650="",0,$E650)-IF($H650="",0,$H650))</f>
        <v/>
      </c>
      <c r="K650" s="30">
        <f>IF($M650&lt;&gt;"",IF(INDEX(CalcNoteA,$M650)="","—",INDEX(CalcNoteA,$M650)),IF($N650&lt;&gt;"",IF(INDEX(CalcNoteB,$N650)="","—",INDEX(CalcNoteB,$N650)),""))</f>
        <v/>
      </c>
      <c r="M650">
        <f>IFERROR(MATCH($C$5&amp;"|"&amp;RIGHT("000000"&amp;634,6),CalcRankKeyA,0),"")</f>
        <v/>
      </c>
      <c r="N650">
        <f>IFERROR(MATCH($C$5&amp;"|"&amp;RIGHT("000000"&amp;634,6),CalcRankKeyB,0),"")</f>
        <v/>
      </c>
    </row>
    <row r="651">
      <c r="A651" s="21" t="n">
        <v>635</v>
      </c>
      <c r="B651" s="22">
        <f>IF(AND($M651="",$N651=""),"",IF($M651&lt;&gt;"",INDEX(CalcDateA,$M651),INDEX(CalcDateB,$N651)))</f>
        <v/>
      </c>
      <c r="C651" s="22">
        <f>IF($M651&lt;&gt;"","خرید سبد",IF($N651&lt;&gt;"",IF(N(INDEX(CalcDepB,$N651))&gt;0,"دریافت بانکی","پرداخت بانکی"),""))</f>
        <v/>
      </c>
      <c r="D651" s="22">
        <f>IF($M651&lt;&gt;"",IF(INDEX(CalcDocA,$M651)="","—",INDEX(CalcDocA,$M651)),IF($N651&lt;&gt;"",INDEX(CalcBankB,$N651),""))</f>
        <v/>
      </c>
      <c r="E651" s="23">
        <f>IF($N651&lt;&gt;"",IF(INDEX(CalcDepB,$N651)=0,"",INDEX(CalcDepB,$N651)),"")</f>
        <v/>
      </c>
      <c r="F651" s="23">
        <f>IF($M651&lt;&gt;"",IF(INDEX(CalcQtyA,$M651)=0,"",INDEX(CalcQtyA,$M651)),"")</f>
        <v/>
      </c>
      <c r="G651" s="23">
        <f>IF($M651&lt;&gt;"",IF(INDEX(CalcPriceA,$M651)=0,"",INDEX(CalcPriceA,$M651)),"")</f>
        <v/>
      </c>
      <c r="H651" s="23">
        <f>IF($N651&lt;&gt;"",IF(INDEX(CalcWitB,$N651)=0,"",INDEX(CalcWitB,$N651)),"")</f>
        <v/>
      </c>
      <c r="I651" s="24">
        <f>IF($M651&lt;&gt;"",INDEX(CalcAmtA,$M651),"")</f>
        <v/>
      </c>
      <c r="J651" s="24">
        <f>IF($B651="","",IF($J650="",$C$8,$J650)+IF($I651="",0,$I651)+IF($E651="",0,$E651)-IF($H651="",0,$H651))</f>
        <v/>
      </c>
      <c r="K651" s="25">
        <f>IF($M651&lt;&gt;"",IF(INDEX(CalcNoteA,$M651)="","—",INDEX(CalcNoteA,$M651)),IF($N651&lt;&gt;"",IF(INDEX(CalcNoteB,$N651)="","—",INDEX(CalcNoteB,$N651)),""))</f>
        <v/>
      </c>
      <c r="M651">
        <f>IFERROR(MATCH($C$5&amp;"|"&amp;RIGHT("000000"&amp;635,6),CalcRankKeyA,0),"")</f>
        <v/>
      </c>
      <c r="N651">
        <f>IFERROR(MATCH($C$5&amp;"|"&amp;RIGHT("000000"&amp;635,6),CalcRankKeyB,0),"")</f>
        <v/>
      </c>
    </row>
    <row r="652">
      <c r="A652" s="26" t="n">
        <v>636</v>
      </c>
      <c r="B652" s="27">
        <f>IF(AND($M652="",$N652=""),"",IF($M652&lt;&gt;"",INDEX(CalcDateA,$M652),INDEX(CalcDateB,$N652)))</f>
        <v/>
      </c>
      <c r="C652" s="27">
        <f>IF($M652&lt;&gt;"","خرید سبد",IF($N652&lt;&gt;"",IF(N(INDEX(CalcDepB,$N652))&gt;0,"دریافت بانکی","پرداخت بانکی"),""))</f>
        <v/>
      </c>
      <c r="D652" s="27">
        <f>IF($M652&lt;&gt;"",IF(INDEX(CalcDocA,$M652)="","—",INDEX(CalcDocA,$M652)),IF($N652&lt;&gt;"",INDEX(CalcBankB,$N652),""))</f>
        <v/>
      </c>
      <c r="E652" s="28">
        <f>IF($N652&lt;&gt;"",IF(INDEX(CalcDepB,$N652)=0,"",INDEX(CalcDepB,$N652)),"")</f>
        <v/>
      </c>
      <c r="F652" s="28">
        <f>IF($M652&lt;&gt;"",IF(INDEX(CalcQtyA,$M652)=0,"",INDEX(CalcQtyA,$M652)),"")</f>
        <v/>
      </c>
      <c r="G652" s="28">
        <f>IF($M652&lt;&gt;"",IF(INDEX(CalcPriceA,$M652)=0,"",INDEX(CalcPriceA,$M652)),"")</f>
        <v/>
      </c>
      <c r="H652" s="28">
        <f>IF($N652&lt;&gt;"",IF(INDEX(CalcWitB,$N652)=0,"",INDEX(CalcWitB,$N652)),"")</f>
        <v/>
      </c>
      <c r="I652" s="29">
        <f>IF($M652&lt;&gt;"",INDEX(CalcAmtA,$M652),"")</f>
        <v/>
      </c>
      <c r="J652" s="29">
        <f>IF($B652="","",IF($J651="",$C$8,$J651)+IF($I652="",0,$I652)+IF($E652="",0,$E652)-IF($H652="",0,$H652))</f>
        <v/>
      </c>
      <c r="K652" s="30">
        <f>IF($M652&lt;&gt;"",IF(INDEX(CalcNoteA,$M652)="","—",INDEX(CalcNoteA,$M652)),IF($N652&lt;&gt;"",IF(INDEX(CalcNoteB,$N652)="","—",INDEX(CalcNoteB,$N652)),""))</f>
        <v/>
      </c>
      <c r="M652">
        <f>IFERROR(MATCH($C$5&amp;"|"&amp;RIGHT("000000"&amp;636,6),CalcRankKeyA,0),"")</f>
        <v/>
      </c>
      <c r="N652">
        <f>IFERROR(MATCH($C$5&amp;"|"&amp;RIGHT("000000"&amp;636,6),CalcRankKeyB,0),"")</f>
        <v/>
      </c>
    </row>
    <row r="653">
      <c r="A653" s="21" t="n">
        <v>637</v>
      </c>
      <c r="B653" s="22">
        <f>IF(AND($M653="",$N653=""),"",IF($M653&lt;&gt;"",INDEX(CalcDateA,$M653),INDEX(CalcDateB,$N653)))</f>
        <v/>
      </c>
      <c r="C653" s="22">
        <f>IF($M653&lt;&gt;"","خرید سبد",IF($N653&lt;&gt;"",IF(N(INDEX(CalcDepB,$N653))&gt;0,"دریافت بانکی","پرداخت بانکی"),""))</f>
        <v/>
      </c>
      <c r="D653" s="22">
        <f>IF($M653&lt;&gt;"",IF(INDEX(CalcDocA,$M653)="","—",INDEX(CalcDocA,$M653)),IF($N653&lt;&gt;"",INDEX(CalcBankB,$N653),""))</f>
        <v/>
      </c>
      <c r="E653" s="23">
        <f>IF($N653&lt;&gt;"",IF(INDEX(CalcDepB,$N653)=0,"",INDEX(CalcDepB,$N653)),"")</f>
        <v/>
      </c>
      <c r="F653" s="23">
        <f>IF($M653&lt;&gt;"",IF(INDEX(CalcQtyA,$M653)=0,"",INDEX(CalcQtyA,$M653)),"")</f>
        <v/>
      </c>
      <c r="G653" s="23">
        <f>IF($M653&lt;&gt;"",IF(INDEX(CalcPriceA,$M653)=0,"",INDEX(CalcPriceA,$M653)),"")</f>
        <v/>
      </c>
      <c r="H653" s="23">
        <f>IF($N653&lt;&gt;"",IF(INDEX(CalcWitB,$N653)=0,"",INDEX(CalcWitB,$N653)),"")</f>
        <v/>
      </c>
      <c r="I653" s="24">
        <f>IF($M653&lt;&gt;"",INDEX(CalcAmtA,$M653),"")</f>
        <v/>
      </c>
      <c r="J653" s="24">
        <f>IF($B653="","",IF($J652="",$C$8,$J652)+IF($I653="",0,$I653)+IF($E653="",0,$E653)-IF($H653="",0,$H653))</f>
        <v/>
      </c>
      <c r="K653" s="25">
        <f>IF($M653&lt;&gt;"",IF(INDEX(CalcNoteA,$M653)="","—",INDEX(CalcNoteA,$M653)),IF($N653&lt;&gt;"",IF(INDEX(CalcNoteB,$N653)="","—",INDEX(CalcNoteB,$N653)),""))</f>
        <v/>
      </c>
      <c r="M653">
        <f>IFERROR(MATCH($C$5&amp;"|"&amp;RIGHT("000000"&amp;637,6),CalcRankKeyA,0),"")</f>
        <v/>
      </c>
      <c r="N653">
        <f>IFERROR(MATCH($C$5&amp;"|"&amp;RIGHT("000000"&amp;637,6),CalcRankKeyB,0),"")</f>
        <v/>
      </c>
    </row>
    <row r="654">
      <c r="A654" s="26" t="n">
        <v>638</v>
      </c>
      <c r="B654" s="27">
        <f>IF(AND($M654="",$N654=""),"",IF($M654&lt;&gt;"",INDEX(CalcDateA,$M654),INDEX(CalcDateB,$N654)))</f>
        <v/>
      </c>
      <c r="C654" s="27">
        <f>IF($M654&lt;&gt;"","خرید سبد",IF($N654&lt;&gt;"",IF(N(INDEX(CalcDepB,$N654))&gt;0,"دریافت بانکی","پرداخت بانکی"),""))</f>
        <v/>
      </c>
      <c r="D654" s="27">
        <f>IF($M654&lt;&gt;"",IF(INDEX(CalcDocA,$M654)="","—",INDEX(CalcDocA,$M654)),IF($N654&lt;&gt;"",INDEX(CalcBankB,$N654),""))</f>
        <v/>
      </c>
      <c r="E654" s="28">
        <f>IF($N654&lt;&gt;"",IF(INDEX(CalcDepB,$N654)=0,"",INDEX(CalcDepB,$N654)),"")</f>
        <v/>
      </c>
      <c r="F654" s="28">
        <f>IF($M654&lt;&gt;"",IF(INDEX(CalcQtyA,$M654)=0,"",INDEX(CalcQtyA,$M654)),"")</f>
        <v/>
      </c>
      <c r="G654" s="28">
        <f>IF($M654&lt;&gt;"",IF(INDEX(CalcPriceA,$M654)=0,"",INDEX(CalcPriceA,$M654)),"")</f>
        <v/>
      </c>
      <c r="H654" s="28">
        <f>IF($N654&lt;&gt;"",IF(INDEX(CalcWitB,$N654)=0,"",INDEX(CalcWitB,$N654)),"")</f>
        <v/>
      </c>
      <c r="I654" s="29">
        <f>IF($M654&lt;&gt;"",INDEX(CalcAmtA,$M654),"")</f>
        <v/>
      </c>
      <c r="J654" s="29">
        <f>IF($B654="","",IF($J653="",$C$8,$J653)+IF($I654="",0,$I654)+IF($E654="",0,$E654)-IF($H654="",0,$H654))</f>
        <v/>
      </c>
      <c r="K654" s="30">
        <f>IF($M654&lt;&gt;"",IF(INDEX(CalcNoteA,$M654)="","—",INDEX(CalcNoteA,$M654)),IF($N654&lt;&gt;"",IF(INDEX(CalcNoteB,$N654)="","—",INDEX(CalcNoteB,$N654)),""))</f>
        <v/>
      </c>
      <c r="M654">
        <f>IFERROR(MATCH($C$5&amp;"|"&amp;RIGHT("000000"&amp;638,6),CalcRankKeyA,0),"")</f>
        <v/>
      </c>
      <c r="N654">
        <f>IFERROR(MATCH($C$5&amp;"|"&amp;RIGHT("000000"&amp;638,6),CalcRankKeyB,0),"")</f>
        <v/>
      </c>
    </row>
    <row r="655">
      <c r="A655" s="21" t="n">
        <v>639</v>
      </c>
      <c r="B655" s="22">
        <f>IF(AND($M655="",$N655=""),"",IF($M655&lt;&gt;"",INDEX(CalcDateA,$M655),INDEX(CalcDateB,$N655)))</f>
        <v/>
      </c>
      <c r="C655" s="22">
        <f>IF($M655&lt;&gt;"","خرید سبد",IF($N655&lt;&gt;"",IF(N(INDEX(CalcDepB,$N655))&gt;0,"دریافت بانکی","پرداخت بانکی"),""))</f>
        <v/>
      </c>
      <c r="D655" s="22">
        <f>IF($M655&lt;&gt;"",IF(INDEX(CalcDocA,$M655)="","—",INDEX(CalcDocA,$M655)),IF($N655&lt;&gt;"",INDEX(CalcBankB,$N655),""))</f>
        <v/>
      </c>
      <c r="E655" s="23">
        <f>IF($N655&lt;&gt;"",IF(INDEX(CalcDepB,$N655)=0,"",INDEX(CalcDepB,$N655)),"")</f>
        <v/>
      </c>
      <c r="F655" s="23">
        <f>IF($M655&lt;&gt;"",IF(INDEX(CalcQtyA,$M655)=0,"",INDEX(CalcQtyA,$M655)),"")</f>
        <v/>
      </c>
      <c r="G655" s="23">
        <f>IF($M655&lt;&gt;"",IF(INDEX(CalcPriceA,$M655)=0,"",INDEX(CalcPriceA,$M655)),"")</f>
        <v/>
      </c>
      <c r="H655" s="23">
        <f>IF($N655&lt;&gt;"",IF(INDEX(CalcWitB,$N655)=0,"",INDEX(CalcWitB,$N655)),"")</f>
        <v/>
      </c>
      <c r="I655" s="24">
        <f>IF($M655&lt;&gt;"",INDEX(CalcAmtA,$M655),"")</f>
        <v/>
      </c>
      <c r="J655" s="24">
        <f>IF($B655="","",IF($J654="",$C$8,$J654)+IF($I655="",0,$I655)+IF($E655="",0,$E655)-IF($H655="",0,$H655))</f>
        <v/>
      </c>
      <c r="K655" s="25">
        <f>IF($M655&lt;&gt;"",IF(INDEX(CalcNoteA,$M655)="","—",INDEX(CalcNoteA,$M655)),IF($N655&lt;&gt;"",IF(INDEX(CalcNoteB,$N655)="","—",INDEX(CalcNoteB,$N655)),""))</f>
        <v/>
      </c>
      <c r="M655">
        <f>IFERROR(MATCH($C$5&amp;"|"&amp;RIGHT("000000"&amp;639,6),CalcRankKeyA,0),"")</f>
        <v/>
      </c>
      <c r="N655">
        <f>IFERROR(MATCH($C$5&amp;"|"&amp;RIGHT("000000"&amp;639,6),CalcRankKeyB,0),"")</f>
        <v/>
      </c>
    </row>
    <row r="656">
      <c r="A656" s="26" t="n">
        <v>640</v>
      </c>
      <c r="B656" s="27">
        <f>IF(AND($M656="",$N656=""),"",IF($M656&lt;&gt;"",INDEX(CalcDateA,$M656),INDEX(CalcDateB,$N656)))</f>
        <v/>
      </c>
      <c r="C656" s="27">
        <f>IF($M656&lt;&gt;"","خرید سبد",IF($N656&lt;&gt;"",IF(N(INDEX(CalcDepB,$N656))&gt;0,"دریافت بانکی","پرداخت بانکی"),""))</f>
        <v/>
      </c>
      <c r="D656" s="27">
        <f>IF($M656&lt;&gt;"",IF(INDEX(CalcDocA,$M656)="","—",INDEX(CalcDocA,$M656)),IF($N656&lt;&gt;"",INDEX(CalcBankB,$N656),""))</f>
        <v/>
      </c>
      <c r="E656" s="28">
        <f>IF($N656&lt;&gt;"",IF(INDEX(CalcDepB,$N656)=0,"",INDEX(CalcDepB,$N656)),"")</f>
        <v/>
      </c>
      <c r="F656" s="28">
        <f>IF($M656&lt;&gt;"",IF(INDEX(CalcQtyA,$M656)=0,"",INDEX(CalcQtyA,$M656)),"")</f>
        <v/>
      </c>
      <c r="G656" s="28">
        <f>IF($M656&lt;&gt;"",IF(INDEX(CalcPriceA,$M656)=0,"",INDEX(CalcPriceA,$M656)),"")</f>
        <v/>
      </c>
      <c r="H656" s="28">
        <f>IF($N656&lt;&gt;"",IF(INDEX(CalcWitB,$N656)=0,"",INDEX(CalcWitB,$N656)),"")</f>
        <v/>
      </c>
      <c r="I656" s="29">
        <f>IF($M656&lt;&gt;"",INDEX(CalcAmtA,$M656),"")</f>
        <v/>
      </c>
      <c r="J656" s="29">
        <f>IF($B656="","",IF($J655="",$C$8,$J655)+IF($I656="",0,$I656)+IF($E656="",0,$E656)-IF($H656="",0,$H656))</f>
        <v/>
      </c>
      <c r="K656" s="30">
        <f>IF($M656&lt;&gt;"",IF(INDEX(CalcNoteA,$M656)="","—",INDEX(CalcNoteA,$M656)),IF($N656&lt;&gt;"",IF(INDEX(CalcNoteB,$N656)="","—",INDEX(CalcNoteB,$N656)),""))</f>
        <v/>
      </c>
      <c r="M656">
        <f>IFERROR(MATCH($C$5&amp;"|"&amp;RIGHT("000000"&amp;640,6),CalcRankKeyA,0),"")</f>
        <v/>
      </c>
      <c r="N656">
        <f>IFERROR(MATCH($C$5&amp;"|"&amp;RIGHT("000000"&amp;640,6),CalcRankKeyB,0),"")</f>
        <v/>
      </c>
    </row>
    <row r="657">
      <c r="A657" s="21" t="n">
        <v>641</v>
      </c>
      <c r="B657" s="22">
        <f>IF(AND($M657="",$N657=""),"",IF($M657&lt;&gt;"",INDEX(CalcDateA,$M657),INDEX(CalcDateB,$N657)))</f>
        <v/>
      </c>
      <c r="C657" s="22">
        <f>IF($M657&lt;&gt;"","خرید سبد",IF($N657&lt;&gt;"",IF(N(INDEX(CalcDepB,$N657))&gt;0,"دریافت بانکی","پرداخت بانکی"),""))</f>
        <v/>
      </c>
      <c r="D657" s="22">
        <f>IF($M657&lt;&gt;"",IF(INDEX(CalcDocA,$M657)="","—",INDEX(CalcDocA,$M657)),IF($N657&lt;&gt;"",INDEX(CalcBankB,$N657),""))</f>
        <v/>
      </c>
      <c r="E657" s="23">
        <f>IF($N657&lt;&gt;"",IF(INDEX(CalcDepB,$N657)=0,"",INDEX(CalcDepB,$N657)),"")</f>
        <v/>
      </c>
      <c r="F657" s="23">
        <f>IF($M657&lt;&gt;"",IF(INDEX(CalcQtyA,$M657)=0,"",INDEX(CalcQtyA,$M657)),"")</f>
        <v/>
      </c>
      <c r="G657" s="23">
        <f>IF($M657&lt;&gt;"",IF(INDEX(CalcPriceA,$M657)=0,"",INDEX(CalcPriceA,$M657)),"")</f>
        <v/>
      </c>
      <c r="H657" s="23">
        <f>IF($N657&lt;&gt;"",IF(INDEX(CalcWitB,$N657)=0,"",INDEX(CalcWitB,$N657)),"")</f>
        <v/>
      </c>
      <c r="I657" s="24">
        <f>IF($M657&lt;&gt;"",INDEX(CalcAmtA,$M657),"")</f>
        <v/>
      </c>
      <c r="J657" s="24">
        <f>IF($B657="","",IF($J656="",$C$8,$J656)+IF($I657="",0,$I657)+IF($E657="",0,$E657)-IF($H657="",0,$H657))</f>
        <v/>
      </c>
      <c r="K657" s="25">
        <f>IF($M657&lt;&gt;"",IF(INDEX(CalcNoteA,$M657)="","—",INDEX(CalcNoteA,$M657)),IF($N657&lt;&gt;"",IF(INDEX(CalcNoteB,$N657)="","—",INDEX(CalcNoteB,$N657)),""))</f>
        <v/>
      </c>
      <c r="M657">
        <f>IFERROR(MATCH($C$5&amp;"|"&amp;RIGHT("000000"&amp;641,6),CalcRankKeyA,0),"")</f>
        <v/>
      </c>
      <c r="N657">
        <f>IFERROR(MATCH($C$5&amp;"|"&amp;RIGHT("000000"&amp;641,6),CalcRankKeyB,0),"")</f>
        <v/>
      </c>
    </row>
    <row r="658">
      <c r="A658" s="26" t="n">
        <v>642</v>
      </c>
      <c r="B658" s="27">
        <f>IF(AND($M658="",$N658=""),"",IF($M658&lt;&gt;"",INDEX(CalcDateA,$M658),INDEX(CalcDateB,$N658)))</f>
        <v/>
      </c>
      <c r="C658" s="27">
        <f>IF($M658&lt;&gt;"","خرید سبد",IF($N658&lt;&gt;"",IF(N(INDEX(CalcDepB,$N658))&gt;0,"دریافت بانکی","پرداخت بانکی"),""))</f>
        <v/>
      </c>
      <c r="D658" s="27">
        <f>IF($M658&lt;&gt;"",IF(INDEX(CalcDocA,$M658)="","—",INDEX(CalcDocA,$M658)),IF($N658&lt;&gt;"",INDEX(CalcBankB,$N658),""))</f>
        <v/>
      </c>
      <c r="E658" s="28">
        <f>IF($N658&lt;&gt;"",IF(INDEX(CalcDepB,$N658)=0,"",INDEX(CalcDepB,$N658)),"")</f>
        <v/>
      </c>
      <c r="F658" s="28">
        <f>IF($M658&lt;&gt;"",IF(INDEX(CalcQtyA,$M658)=0,"",INDEX(CalcQtyA,$M658)),"")</f>
        <v/>
      </c>
      <c r="G658" s="28">
        <f>IF($M658&lt;&gt;"",IF(INDEX(CalcPriceA,$M658)=0,"",INDEX(CalcPriceA,$M658)),"")</f>
        <v/>
      </c>
      <c r="H658" s="28">
        <f>IF($N658&lt;&gt;"",IF(INDEX(CalcWitB,$N658)=0,"",INDEX(CalcWitB,$N658)),"")</f>
        <v/>
      </c>
      <c r="I658" s="29">
        <f>IF($M658&lt;&gt;"",INDEX(CalcAmtA,$M658),"")</f>
        <v/>
      </c>
      <c r="J658" s="29">
        <f>IF($B658="","",IF($J657="",$C$8,$J657)+IF($I658="",0,$I658)+IF($E658="",0,$E658)-IF($H658="",0,$H658))</f>
        <v/>
      </c>
      <c r="K658" s="30">
        <f>IF($M658&lt;&gt;"",IF(INDEX(CalcNoteA,$M658)="","—",INDEX(CalcNoteA,$M658)),IF($N658&lt;&gt;"",IF(INDEX(CalcNoteB,$N658)="","—",INDEX(CalcNoteB,$N658)),""))</f>
        <v/>
      </c>
      <c r="M658">
        <f>IFERROR(MATCH($C$5&amp;"|"&amp;RIGHT("000000"&amp;642,6),CalcRankKeyA,0),"")</f>
        <v/>
      </c>
      <c r="N658">
        <f>IFERROR(MATCH($C$5&amp;"|"&amp;RIGHT("000000"&amp;642,6),CalcRankKeyB,0),"")</f>
        <v/>
      </c>
    </row>
    <row r="659">
      <c r="A659" s="21" t="n">
        <v>643</v>
      </c>
      <c r="B659" s="22">
        <f>IF(AND($M659="",$N659=""),"",IF($M659&lt;&gt;"",INDEX(CalcDateA,$M659),INDEX(CalcDateB,$N659)))</f>
        <v/>
      </c>
      <c r="C659" s="22">
        <f>IF($M659&lt;&gt;"","خرید سبد",IF($N659&lt;&gt;"",IF(N(INDEX(CalcDepB,$N659))&gt;0,"دریافت بانکی","پرداخت بانکی"),""))</f>
        <v/>
      </c>
      <c r="D659" s="22">
        <f>IF($M659&lt;&gt;"",IF(INDEX(CalcDocA,$M659)="","—",INDEX(CalcDocA,$M659)),IF($N659&lt;&gt;"",INDEX(CalcBankB,$N659),""))</f>
        <v/>
      </c>
      <c r="E659" s="23">
        <f>IF($N659&lt;&gt;"",IF(INDEX(CalcDepB,$N659)=0,"",INDEX(CalcDepB,$N659)),"")</f>
        <v/>
      </c>
      <c r="F659" s="23">
        <f>IF($M659&lt;&gt;"",IF(INDEX(CalcQtyA,$M659)=0,"",INDEX(CalcQtyA,$M659)),"")</f>
        <v/>
      </c>
      <c r="G659" s="23">
        <f>IF($M659&lt;&gt;"",IF(INDEX(CalcPriceA,$M659)=0,"",INDEX(CalcPriceA,$M659)),"")</f>
        <v/>
      </c>
      <c r="H659" s="23">
        <f>IF($N659&lt;&gt;"",IF(INDEX(CalcWitB,$N659)=0,"",INDEX(CalcWitB,$N659)),"")</f>
        <v/>
      </c>
      <c r="I659" s="24">
        <f>IF($M659&lt;&gt;"",INDEX(CalcAmtA,$M659),"")</f>
        <v/>
      </c>
      <c r="J659" s="24">
        <f>IF($B659="","",IF($J658="",$C$8,$J658)+IF($I659="",0,$I659)+IF($E659="",0,$E659)-IF($H659="",0,$H659))</f>
        <v/>
      </c>
      <c r="K659" s="25">
        <f>IF($M659&lt;&gt;"",IF(INDEX(CalcNoteA,$M659)="","—",INDEX(CalcNoteA,$M659)),IF($N659&lt;&gt;"",IF(INDEX(CalcNoteB,$N659)="","—",INDEX(CalcNoteB,$N659)),""))</f>
        <v/>
      </c>
      <c r="M659">
        <f>IFERROR(MATCH($C$5&amp;"|"&amp;RIGHT("000000"&amp;643,6),CalcRankKeyA,0),"")</f>
        <v/>
      </c>
      <c r="N659">
        <f>IFERROR(MATCH($C$5&amp;"|"&amp;RIGHT("000000"&amp;643,6),CalcRankKeyB,0),"")</f>
        <v/>
      </c>
    </row>
    <row r="660">
      <c r="A660" s="26" t="n">
        <v>644</v>
      </c>
      <c r="B660" s="27">
        <f>IF(AND($M660="",$N660=""),"",IF($M660&lt;&gt;"",INDEX(CalcDateA,$M660),INDEX(CalcDateB,$N660)))</f>
        <v/>
      </c>
      <c r="C660" s="27">
        <f>IF($M660&lt;&gt;"","خرید سبد",IF($N660&lt;&gt;"",IF(N(INDEX(CalcDepB,$N660))&gt;0,"دریافت بانکی","پرداخت بانکی"),""))</f>
        <v/>
      </c>
      <c r="D660" s="27">
        <f>IF($M660&lt;&gt;"",IF(INDEX(CalcDocA,$M660)="","—",INDEX(CalcDocA,$M660)),IF($N660&lt;&gt;"",INDEX(CalcBankB,$N660),""))</f>
        <v/>
      </c>
      <c r="E660" s="28">
        <f>IF($N660&lt;&gt;"",IF(INDEX(CalcDepB,$N660)=0,"",INDEX(CalcDepB,$N660)),"")</f>
        <v/>
      </c>
      <c r="F660" s="28">
        <f>IF($M660&lt;&gt;"",IF(INDEX(CalcQtyA,$M660)=0,"",INDEX(CalcQtyA,$M660)),"")</f>
        <v/>
      </c>
      <c r="G660" s="28">
        <f>IF($M660&lt;&gt;"",IF(INDEX(CalcPriceA,$M660)=0,"",INDEX(CalcPriceA,$M660)),"")</f>
        <v/>
      </c>
      <c r="H660" s="28">
        <f>IF($N660&lt;&gt;"",IF(INDEX(CalcWitB,$N660)=0,"",INDEX(CalcWitB,$N660)),"")</f>
        <v/>
      </c>
      <c r="I660" s="29">
        <f>IF($M660&lt;&gt;"",INDEX(CalcAmtA,$M660),"")</f>
        <v/>
      </c>
      <c r="J660" s="29">
        <f>IF($B660="","",IF($J659="",$C$8,$J659)+IF($I660="",0,$I660)+IF($E660="",0,$E660)-IF($H660="",0,$H660))</f>
        <v/>
      </c>
      <c r="K660" s="30">
        <f>IF($M660&lt;&gt;"",IF(INDEX(CalcNoteA,$M660)="","—",INDEX(CalcNoteA,$M660)),IF($N660&lt;&gt;"",IF(INDEX(CalcNoteB,$N660)="","—",INDEX(CalcNoteB,$N660)),""))</f>
        <v/>
      </c>
      <c r="M660">
        <f>IFERROR(MATCH($C$5&amp;"|"&amp;RIGHT("000000"&amp;644,6),CalcRankKeyA,0),"")</f>
        <v/>
      </c>
      <c r="N660">
        <f>IFERROR(MATCH($C$5&amp;"|"&amp;RIGHT("000000"&amp;644,6),CalcRankKeyB,0),"")</f>
        <v/>
      </c>
    </row>
    <row r="661">
      <c r="A661" s="21" t="n">
        <v>645</v>
      </c>
      <c r="B661" s="22">
        <f>IF(AND($M661="",$N661=""),"",IF($M661&lt;&gt;"",INDEX(CalcDateA,$M661),INDEX(CalcDateB,$N661)))</f>
        <v/>
      </c>
      <c r="C661" s="22">
        <f>IF($M661&lt;&gt;"","خرید سبد",IF($N661&lt;&gt;"",IF(N(INDEX(CalcDepB,$N661))&gt;0,"دریافت بانکی","پرداخت بانکی"),""))</f>
        <v/>
      </c>
      <c r="D661" s="22">
        <f>IF($M661&lt;&gt;"",IF(INDEX(CalcDocA,$M661)="","—",INDEX(CalcDocA,$M661)),IF($N661&lt;&gt;"",INDEX(CalcBankB,$N661),""))</f>
        <v/>
      </c>
      <c r="E661" s="23">
        <f>IF($N661&lt;&gt;"",IF(INDEX(CalcDepB,$N661)=0,"",INDEX(CalcDepB,$N661)),"")</f>
        <v/>
      </c>
      <c r="F661" s="23">
        <f>IF($M661&lt;&gt;"",IF(INDEX(CalcQtyA,$M661)=0,"",INDEX(CalcQtyA,$M661)),"")</f>
        <v/>
      </c>
      <c r="G661" s="23">
        <f>IF($M661&lt;&gt;"",IF(INDEX(CalcPriceA,$M661)=0,"",INDEX(CalcPriceA,$M661)),"")</f>
        <v/>
      </c>
      <c r="H661" s="23">
        <f>IF($N661&lt;&gt;"",IF(INDEX(CalcWitB,$N661)=0,"",INDEX(CalcWitB,$N661)),"")</f>
        <v/>
      </c>
      <c r="I661" s="24">
        <f>IF($M661&lt;&gt;"",INDEX(CalcAmtA,$M661),"")</f>
        <v/>
      </c>
      <c r="J661" s="24">
        <f>IF($B661="","",IF($J660="",$C$8,$J660)+IF($I661="",0,$I661)+IF($E661="",0,$E661)-IF($H661="",0,$H661))</f>
        <v/>
      </c>
      <c r="K661" s="25">
        <f>IF($M661&lt;&gt;"",IF(INDEX(CalcNoteA,$M661)="","—",INDEX(CalcNoteA,$M661)),IF($N661&lt;&gt;"",IF(INDEX(CalcNoteB,$N661)="","—",INDEX(CalcNoteB,$N661)),""))</f>
        <v/>
      </c>
      <c r="M661">
        <f>IFERROR(MATCH($C$5&amp;"|"&amp;RIGHT("000000"&amp;645,6),CalcRankKeyA,0),"")</f>
        <v/>
      </c>
      <c r="N661">
        <f>IFERROR(MATCH($C$5&amp;"|"&amp;RIGHT("000000"&amp;645,6),CalcRankKeyB,0),"")</f>
        <v/>
      </c>
    </row>
    <row r="662">
      <c r="A662" s="26" t="n">
        <v>646</v>
      </c>
      <c r="B662" s="27">
        <f>IF(AND($M662="",$N662=""),"",IF($M662&lt;&gt;"",INDEX(CalcDateA,$M662),INDEX(CalcDateB,$N662)))</f>
        <v/>
      </c>
      <c r="C662" s="27">
        <f>IF($M662&lt;&gt;"","خرید سبد",IF($N662&lt;&gt;"",IF(N(INDEX(CalcDepB,$N662))&gt;0,"دریافت بانکی","پرداخت بانکی"),""))</f>
        <v/>
      </c>
      <c r="D662" s="27">
        <f>IF($M662&lt;&gt;"",IF(INDEX(CalcDocA,$M662)="","—",INDEX(CalcDocA,$M662)),IF($N662&lt;&gt;"",INDEX(CalcBankB,$N662),""))</f>
        <v/>
      </c>
      <c r="E662" s="28">
        <f>IF($N662&lt;&gt;"",IF(INDEX(CalcDepB,$N662)=0,"",INDEX(CalcDepB,$N662)),"")</f>
        <v/>
      </c>
      <c r="F662" s="28">
        <f>IF($M662&lt;&gt;"",IF(INDEX(CalcQtyA,$M662)=0,"",INDEX(CalcQtyA,$M662)),"")</f>
        <v/>
      </c>
      <c r="G662" s="28">
        <f>IF($M662&lt;&gt;"",IF(INDEX(CalcPriceA,$M662)=0,"",INDEX(CalcPriceA,$M662)),"")</f>
        <v/>
      </c>
      <c r="H662" s="28">
        <f>IF($N662&lt;&gt;"",IF(INDEX(CalcWitB,$N662)=0,"",INDEX(CalcWitB,$N662)),"")</f>
        <v/>
      </c>
      <c r="I662" s="29">
        <f>IF($M662&lt;&gt;"",INDEX(CalcAmtA,$M662),"")</f>
        <v/>
      </c>
      <c r="J662" s="29">
        <f>IF($B662="","",IF($J661="",$C$8,$J661)+IF($I662="",0,$I662)+IF($E662="",0,$E662)-IF($H662="",0,$H662))</f>
        <v/>
      </c>
      <c r="K662" s="30">
        <f>IF($M662&lt;&gt;"",IF(INDEX(CalcNoteA,$M662)="","—",INDEX(CalcNoteA,$M662)),IF($N662&lt;&gt;"",IF(INDEX(CalcNoteB,$N662)="","—",INDEX(CalcNoteB,$N662)),""))</f>
        <v/>
      </c>
      <c r="M662">
        <f>IFERROR(MATCH($C$5&amp;"|"&amp;RIGHT("000000"&amp;646,6),CalcRankKeyA,0),"")</f>
        <v/>
      </c>
      <c r="N662">
        <f>IFERROR(MATCH($C$5&amp;"|"&amp;RIGHT("000000"&amp;646,6),CalcRankKeyB,0),"")</f>
        <v/>
      </c>
    </row>
    <row r="663">
      <c r="A663" s="21" t="n">
        <v>647</v>
      </c>
      <c r="B663" s="22">
        <f>IF(AND($M663="",$N663=""),"",IF($M663&lt;&gt;"",INDEX(CalcDateA,$M663),INDEX(CalcDateB,$N663)))</f>
        <v/>
      </c>
      <c r="C663" s="22">
        <f>IF($M663&lt;&gt;"","خرید سبد",IF($N663&lt;&gt;"",IF(N(INDEX(CalcDepB,$N663))&gt;0,"دریافت بانکی","پرداخت بانکی"),""))</f>
        <v/>
      </c>
      <c r="D663" s="22">
        <f>IF($M663&lt;&gt;"",IF(INDEX(CalcDocA,$M663)="","—",INDEX(CalcDocA,$M663)),IF($N663&lt;&gt;"",INDEX(CalcBankB,$N663),""))</f>
        <v/>
      </c>
      <c r="E663" s="23">
        <f>IF($N663&lt;&gt;"",IF(INDEX(CalcDepB,$N663)=0,"",INDEX(CalcDepB,$N663)),"")</f>
        <v/>
      </c>
      <c r="F663" s="23">
        <f>IF($M663&lt;&gt;"",IF(INDEX(CalcQtyA,$M663)=0,"",INDEX(CalcQtyA,$M663)),"")</f>
        <v/>
      </c>
      <c r="G663" s="23">
        <f>IF($M663&lt;&gt;"",IF(INDEX(CalcPriceA,$M663)=0,"",INDEX(CalcPriceA,$M663)),"")</f>
        <v/>
      </c>
      <c r="H663" s="23">
        <f>IF($N663&lt;&gt;"",IF(INDEX(CalcWitB,$N663)=0,"",INDEX(CalcWitB,$N663)),"")</f>
        <v/>
      </c>
      <c r="I663" s="24">
        <f>IF($M663&lt;&gt;"",INDEX(CalcAmtA,$M663),"")</f>
        <v/>
      </c>
      <c r="J663" s="24">
        <f>IF($B663="","",IF($J662="",$C$8,$J662)+IF($I663="",0,$I663)+IF($E663="",0,$E663)-IF($H663="",0,$H663))</f>
        <v/>
      </c>
      <c r="K663" s="25">
        <f>IF($M663&lt;&gt;"",IF(INDEX(CalcNoteA,$M663)="","—",INDEX(CalcNoteA,$M663)),IF($N663&lt;&gt;"",IF(INDEX(CalcNoteB,$N663)="","—",INDEX(CalcNoteB,$N663)),""))</f>
        <v/>
      </c>
      <c r="M663">
        <f>IFERROR(MATCH($C$5&amp;"|"&amp;RIGHT("000000"&amp;647,6),CalcRankKeyA,0),"")</f>
        <v/>
      </c>
      <c r="N663">
        <f>IFERROR(MATCH($C$5&amp;"|"&amp;RIGHT("000000"&amp;647,6),CalcRankKeyB,0),"")</f>
        <v/>
      </c>
    </row>
    <row r="664">
      <c r="A664" s="26" t="n">
        <v>648</v>
      </c>
      <c r="B664" s="27">
        <f>IF(AND($M664="",$N664=""),"",IF($M664&lt;&gt;"",INDEX(CalcDateA,$M664),INDEX(CalcDateB,$N664)))</f>
        <v/>
      </c>
      <c r="C664" s="27">
        <f>IF($M664&lt;&gt;"","خرید سبد",IF($N664&lt;&gt;"",IF(N(INDEX(CalcDepB,$N664))&gt;0,"دریافت بانکی","پرداخت بانکی"),""))</f>
        <v/>
      </c>
      <c r="D664" s="27">
        <f>IF($M664&lt;&gt;"",IF(INDEX(CalcDocA,$M664)="","—",INDEX(CalcDocA,$M664)),IF($N664&lt;&gt;"",INDEX(CalcBankB,$N664),""))</f>
        <v/>
      </c>
      <c r="E664" s="28">
        <f>IF($N664&lt;&gt;"",IF(INDEX(CalcDepB,$N664)=0,"",INDEX(CalcDepB,$N664)),"")</f>
        <v/>
      </c>
      <c r="F664" s="28">
        <f>IF($M664&lt;&gt;"",IF(INDEX(CalcQtyA,$M664)=0,"",INDEX(CalcQtyA,$M664)),"")</f>
        <v/>
      </c>
      <c r="G664" s="28">
        <f>IF($M664&lt;&gt;"",IF(INDEX(CalcPriceA,$M664)=0,"",INDEX(CalcPriceA,$M664)),"")</f>
        <v/>
      </c>
      <c r="H664" s="28">
        <f>IF($N664&lt;&gt;"",IF(INDEX(CalcWitB,$N664)=0,"",INDEX(CalcWitB,$N664)),"")</f>
        <v/>
      </c>
      <c r="I664" s="29">
        <f>IF($M664&lt;&gt;"",INDEX(CalcAmtA,$M664),"")</f>
        <v/>
      </c>
      <c r="J664" s="29">
        <f>IF($B664="","",IF($J663="",$C$8,$J663)+IF($I664="",0,$I664)+IF($E664="",0,$E664)-IF($H664="",0,$H664))</f>
        <v/>
      </c>
      <c r="K664" s="30">
        <f>IF($M664&lt;&gt;"",IF(INDEX(CalcNoteA,$M664)="","—",INDEX(CalcNoteA,$M664)),IF($N664&lt;&gt;"",IF(INDEX(CalcNoteB,$N664)="","—",INDEX(CalcNoteB,$N664)),""))</f>
        <v/>
      </c>
      <c r="M664">
        <f>IFERROR(MATCH($C$5&amp;"|"&amp;RIGHT("000000"&amp;648,6),CalcRankKeyA,0),"")</f>
        <v/>
      </c>
      <c r="N664">
        <f>IFERROR(MATCH($C$5&amp;"|"&amp;RIGHT("000000"&amp;648,6),CalcRankKeyB,0),"")</f>
        <v/>
      </c>
    </row>
    <row r="665">
      <c r="A665" s="21" t="n">
        <v>649</v>
      </c>
      <c r="B665" s="22">
        <f>IF(AND($M665="",$N665=""),"",IF($M665&lt;&gt;"",INDEX(CalcDateA,$M665),INDEX(CalcDateB,$N665)))</f>
        <v/>
      </c>
      <c r="C665" s="22">
        <f>IF($M665&lt;&gt;"","خرید سبد",IF($N665&lt;&gt;"",IF(N(INDEX(CalcDepB,$N665))&gt;0,"دریافت بانکی","پرداخت بانکی"),""))</f>
        <v/>
      </c>
      <c r="D665" s="22">
        <f>IF($M665&lt;&gt;"",IF(INDEX(CalcDocA,$M665)="","—",INDEX(CalcDocA,$M665)),IF($N665&lt;&gt;"",INDEX(CalcBankB,$N665),""))</f>
        <v/>
      </c>
      <c r="E665" s="23">
        <f>IF($N665&lt;&gt;"",IF(INDEX(CalcDepB,$N665)=0,"",INDEX(CalcDepB,$N665)),"")</f>
        <v/>
      </c>
      <c r="F665" s="23">
        <f>IF($M665&lt;&gt;"",IF(INDEX(CalcQtyA,$M665)=0,"",INDEX(CalcQtyA,$M665)),"")</f>
        <v/>
      </c>
      <c r="G665" s="23">
        <f>IF($M665&lt;&gt;"",IF(INDEX(CalcPriceA,$M665)=0,"",INDEX(CalcPriceA,$M665)),"")</f>
        <v/>
      </c>
      <c r="H665" s="23">
        <f>IF($N665&lt;&gt;"",IF(INDEX(CalcWitB,$N665)=0,"",INDEX(CalcWitB,$N665)),"")</f>
        <v/>
      </c>
      <c r="I665" s="24">
        <f>IF($M665&lt;&gt;"",INDEX(CalcAmtA,$M665),"")</f>
        <v/>
      </c>
      <c r="J665" s="24">
        <f>IF($B665="","",IF($J664="",$C$8,$J664)+IF($I665="",0,$I665)+IF($E665="",0,$E665)-IF($H665="",0,$H665))</f>
        <v/>
      </c>
      <c r="K665" s="25">
        <f>IF($M665&lt;&gt;"",IF(INDEX(CalcNoteA,$M665)="","—",INDEX(CalcNoteA,$M665)),IF($N665&lt;&gt;"",IF(INDEX(CalcNoteB,$N665)="","—",INDEX(CalcNoteB,$N665)),""))</f>
        <v/>
      </c>
      <c r="M665">
        <f>IFERROR(MATCH($C$5&amp;"|"&amp;RIGHT("000000"&amp;649,6),CalcRankKeyA,0),"")</f>
        <v/>
      </c>
      <c r="N665">
        <f>IFERROR(MATCH($C$5&amp;"|"&amp;RIGHT("000000"&amp;649,6),CalcRankKeyB,0),"")</f>
        <v/>
      </c>
    </row>
    <row r="666">
      <c r="A666" s="26" t="n">
        <v>650</v>
      </c>
      <c r="B666" s="27">
        <f>IF(AND($M666="",$N666=""),"",IF($M666&lt;&gt;"",INDEX(CalcDateA,$M666),INDEX(CalcDateB,$N666)))</f>
        <v/>
      </c>
      <c r="C666" s="27">
        <f>IF($M666&lt;&gt;"","خرید سبد",IF($N666&lt;&gt;"",IF(N(INDEX(CalcDepB,$N666))&gt;0,"دریافت بانکی","پرداخت بانکی"),""))</f>
        <v/>
      </c>
      <c r="D666" s="27">
        <f>IF($M666&lt;&gt;"",IF(INDEX(CalcDocA,$M666)="","—",INDEX(CalcDocA,$M666)),IF($N666&lt;&gt;"",INDEX(CalcBankB,$N666),""))</f>
        <v/>
      </c>
      <c r="E666" s="28">
        <f>IF($N666&lt;&gt;"",IF(INDEX(CalcDepB,$N666)=0,"",INDEX(CalcDepB,$N666)),"")</f>
        <v/>
      </c>
      <c r="F666" s="28">
        <f>IF($M666&lt;&gt;"",IF(INDEX(CalcQtyA,$M666)=0,"",INDEX(CalcQtyA,$M666)),"")</f>
        <v/>
      </c>
      <c r="G666" s="28">
        <f>IF($M666&lt;&gt;"",IF(INDEX(CalcPriceA,$M666)=0,"",INDEX(CalcPriceA,$M666)),"")</f>
        <v/>
      </c>
      <c r="H666" s="28">
        <f>IF($N666&lt;&gt;"",IF(INDEX(CalcWitB,$N666)=0,"",INDEX(CalcWitB,$N666)),"")</f>
        <v/>
      </c>
      <c r="I666" s="29">
        <f>IF($M666&lt;&gt;"",INDEX(CalcAmtA,$M666),"")</f>
        <v/>
      </c>
      <c r="J666" s="29">
        <f>IF($B666="","",IF($J665="",$C$8,$J665)+IF($I666="",0,$I666)+IF($E666="",0,$E666)-IF($H666="",0,$H666))</f>
        <v/>
      </c>
      <c r="K666" s="30">
        <f>IF($M666&lt;&gt;"",IF(INDEX(CalcNoteA,$M666)="","—",INDEX(CalcNoteA,$M666)),IF($N666&lt;&gt;"",IF(INDEX(CalcNoteB,$N666)="","—",INDEX(CalcNoteB,$N666)),""))</f>
        <v/>
      </c>
      <c r="M666">
        <f>IFERROR(MATCH($C$5&amp;"|"&amp;RIGHT("000000"&amp;650,6),CalcRankKeyA,0),"")</f>
        <v/>
      </c>
      <c r="N666">
        <f>IFERROR(MATCH($C$5&amp;"|"&amp;RIGHT("000000"&amp;650,6),CalcRankKeyB,0),"")</f>
        <v/>
      </c>
    </row>
    <row r="667">
      <c r="A667" s="21" t="n">
        <v>651</v>
      </c>
      <c r="B667" s="22">
        <f>IF(AND($M667="",$N667=""),"",IF($M667&lt;&gt;"",INDEX(CalcDateA,$M667),INDEX(CalcDateB,$N667)))</f>
        <v/>
      </c>
      <c r="C667" s="22">
        <f>IF($M667&lt;&gt;"","خرید سبد",IF($N667&lt;&gt;"",IF(N(INDEX(CalcDepB,$N667))&gt;0,"دریافت بانکی","پرداخت بانکی"),""))</f>
        <v/>
      </c>
      <c r="D667" s="22">
        <f>IF($M667&lt;&gt;"",IF(INDEX(CalcDocA,$M667)="","—",INDEX(CalcDocA,$M667)),IF($N667&lt;&gt;"",INDEX(CalcBankB,$N667),""))</f>
        <v/>
      </c>
      <c r="E667" s="23">
        <f>IF($N667&lt;&gt;"",IF(INDEX(CalcDepB,$N667)=0,"",INDEX(CalcDepB,$N667)),"")</f>
        <v/>
      </c>
      <c r="F667" s="23">
        <f>IF($M667&lt;&gt;"",IF(INDEX(CalcQtyA,$M667)=0,"",INDEX(CalcQtyA,$M667)),"")</f>
        <v/>
      </c>
      <c r="G667" s="23">
        <f>IF($M667&lt;&gt;"",IF(INDEX(CalcPriceA,$M667)=0,"",INDEX(CalcPriceA,$M667)),"")</f>
        <v/>
      </c>
      <c r="H667" s="23">
        <f>IF($N667&lt;&gt;"",IF(INDEX(CalcWitB,$N667)=0,"",INDEX(CalcWitB,$N667)),"")</f>
        <v/>
      </c>
      <c r="I667" s="24">
        <f>IF($M667&lt;&gt;"",INDEX(CalcAmtA,$M667),"")</f>
        <v/>
      </c>
      <c r="J667" s="24">
        <f>IF($B667="","",IF($J666="",$C$8,$J666)+IF($I667="",0,$I667)+IF($E667="",0,$E667)-IF($H667="",0,$H667))</f>
        <v/>
      </c>
      <c r="K667" s="25">
        <f>IF($M667&lt;&gt;"",IF(INDEX(CalcNoteA,$M667)="","—",INDEX(CalcNoteA,$M667)),IF($N667&lt;&gt;"",IF(INDEX(CalcNoteB,$N667)="","—",INDEX(CalcNoteB,$N667)),""))</f>
        <v/>
      </c>
      <c r="M667">
        <f>IFERROR(MATCH($C$5&amp;"|"&amp;RIGHT("000000"&amp;651,6),CalcRankKeyA,0),"")</f>
        <v/>
      </c>
      <c r="N667">
        <f>IFERROR(MATCH($C$5&amp;"|"&amp;RIGHT("000000"&amp;651,6),CalcRankKeyB,0),"")</f>
        <v/>
      </c>
    </row>
    <row r="668">
      <c r="A668" s="26" t="n">
        <v>652</v>
      </c>
      <c r="B668" s="27">
        <f>IF(AND($M668="",$N668=""),"",IF($M668&lt;&gt;"",INDEX(CalcDateA,$M668),INDEX(CalcDateB,$N668)))</f>
        <v/>
      </c>
      <c r="C668" s="27">
        <f>IF($M668&lt;&gt;"","خرید سبد",IF($N668&lt;&gt;"",IF(N(INDEX(CalcDepB,$N668))&gt;0,"دریافت بانکی","پرداخت بانکی"),""))</f>
        <v/>
      </c>
      <c r="D668" s="27">
        <f>IF($M668&lt;&gt;"",IF(INDEX(CalcDocA,$M668)="","—",INDEX(CalcDocA,$M668)),IF($N668&lt;&gt;"",INDEX(CalcBankB,$N668),""))</f>
        <v/>
      </c>
      <c r="E668" s="28">
        <f>IF($N668&lt;&gt;"",IF(INDEX(CalcDepB,$N668)=0,"",INDEX(CalcDepB,$N668)),"")</f>
        <v/>
      </c>
      <c r="F668" s="28">
        <f>IF($M668&lt;&gt;"",IF(INDEX(CalcQtyA,$M668)=0,"",INDEX(CalcQtyA,$M668)),"")</f>
        <v/>
      </c>
      <c r="G668" s="28">
        <f>IF($M668&lt;&gt;"",IF(INDEX(CalcPriceA,$M668)=0,"",INDEX(CalcPriceA,$M668)),"")</f>
        <v/>
      </c>
      <c r="H668" s="28">
        <f>IF($N668&lt;&gt;"",IF(INDEX(CalcWitB,$N668)=0,"",INDEX(CalcWitB,$N668)),"")</f>
        <v/>
      </c>
      <c r="I668" s="29">
        <f>IF($M668&lt;&gt;"",INDEX(CalcAmtA,$M668),"")</f>
        <v/>
      </c>
      <c r="J668" s="29">
        <f>IF($B668="","",IF($J667="",$C$8,$J667)+IF($I668="",0,$I668)+IF($E668="",0,$E668)-IF($H668="",0,$H668))</f>
        <v/>
      </c>
      <c r="K668" s="30">
        <f>IF($M668&lt;&gt;"",IF(INDEX(CalcNoteA,$M668)="","—",INDEX(CalcNoteA,$M668)),IF($N668&lt;&gt;"",IF(INDEX(CalcNoteB,$N668)="","—",INDEX(CalcNoteB,$N668)),""))</f>
        <v/>
      </c>
      <c r="M668">
        <f>IFERROR(MATCH($C$5&amp;"|"&amp;RIGHT("000000"&amp;652,6),CalcRankKeyA,0),"")</f>
        <v/>
      </c>
      <c r="N668">
        <f>IFERROR(MATCH($C$5&amp;"|"&amp;RIGHT("000000"&amp;652,6),CalcRankKeyB,0),"")</f>
        <v/>
      </c>
    </row>
    <row r="669">
      <c r="A669" s="21" t="n">
        <v>653</v>
      </c>
      <c r="B669" s="22">
        <f>IF(AND($M669="",$N669=""),"",IF($M669&lt;&gt;"",INDEX(CalcDateA,$M669),INDEX(CalcDateB,$N669)))</f>
        <v/>
      </c>
      <c r="C669" s="22">
        <f>IF($M669&lt;&gt;"","خرید سبد",IF($N669&lt;&gt;"",IF(N(INDEX(CalcDepB,$N669))&gt;0,"دریافت بانکی","پرداخت بانکی"),""))</f>
        <v/>
      </c>
      <c r="D669" s="22">
        <f>IF($M669&lt;&gt;"",IF(INDEX(CalcDocA,$M669)="","—",INDEX(CalcDocA,$M669)),IF($N669&lt;&gt;"",INDEX(CalcBankB,$N669),""))</f>
        <v/>
      </c>
      <c r="E669" s="23">
        <f>IF($N669&lt;&gt;"",IF(INDEX(CalcDepB,$N669)=0,"",INDEX(CalcDepB,$N669)),"")</f>
        <v/>
      </c>
      <c r="F669" s="23">
        <f>IF($M669&lt;&gt;"",IF(INDEX(CalcQtyA,$M669)=0,"",INDEX(CalcQtyA,$M669)),"")</f>
        <v/>
      </c>
      <c r="G669" s="23">
        <f>IF($M669&lt;&gt;"",IF(INDEX(CalcPriceA,$M669)=0,"",INDEX(CalcPriceA,$M669)),"")</f>
        <v/>
      </c>
      <c r="H669" s="23">
        <f>IF($N669&lt;&gt;"",IF(INDEX(CalcWitB,$N669)=0,"",INDEX(CalcWitB,$N669)),"")</f>
        <v/>
      </c>
      <c r="I669" s="24">
        <f>IF($M669&lt;&gt;"",INDEX(CalcAmtA,$M669),"")</f>
        <v/>
      </c>
      <c r="J669" s="24">
        <f>IF($B669="","",IF($J668="",$C$8,$J668)+IF($I669="",0,$I669)+IF($E669="",0,$E669)-IF($H669="",0,$H669))</f>
        <v/>
      </c>
      <c r="K669" s="25">
        <f>IF($M669&lt;&gt;"",IF(INDEX(CalcNoteA,$M669)="","—",INDEX(CalcNoteA,$M669)),IF($N669&lt;&gt;"",IF(INDEX(CalcNoteB,$N669)="","—",INDEX(CalcNoteB,$N669)),""))</f>
        <v/>
      </c>
      <c r="M669">
        <f>IFERROR(MATCH($C$5&amp;"|"&amp;RIGHT("000000"&amp;653,6),CalcRankKeyA,0),"")</f>
        <v/>
      </c>
      <c r="N669">
        <f>IFERROR(MATCH($C$5&amp;"|"&amp;RIGHT("000000"&amp;653,6),CalcRankKeyB,0),"")</f>
        <v/>
      </c>
    </row>
    <row r="670">
      <c r="A670" s="26" t="n">
        <v>654</v>
      </c>
      <c r="B670" s="27">
        <f>IF(AND($M670="",$N670=""),"",IF($M670&lt;&gt;"",INDEX(CalcDateA,$M670),INDEX(CalcDateB,$N670)))</f>
        <v/>
      </c>
      <c r="C670" s="27">
        <f>IF($M670&lt;&gt;"","خرید سبد",IF($N670&lt;&gt;"",IF(N(INDEX(CalcDepB,$N670))&gt;0,"دریافت بانکی","پرداخت بانکی"),""))</f>
        <v/>
      </c>
      <c r="D670" s="27">
        <f>IF($M670&lt;&gt;"",IF(INDEX(CalcDocA,$M670)="","—",INDEX(CalcDocA,$M670)),IF($N670&lt;&gt;"",INDEX(CalcBankB,$N670),""))</f>
        <v/>
      </c>
      <c r="E670" s="28">
        <f>IF($N670&lt;&gt;"",IF(INDEX(CalcDepB,$N670)=0,"",INDEX(CalcDepB,$N670)),"")</f>
        <v/>
      </c>
      <c r="F670" s="28">
        <f>IF($M670&lt;&gt;"",IF(INDEX(CalcQtyA,$M670)=0,"",INDEX(CalcQtyA,$M670)),"")</f>
        <v/>
      </c>
      <c r="G670" s="28">
        <f>IF($M670&lt;&gt;"",IF(INDEX(CalcPriceA,$M670)=0,"",INDEX(CalcPriceA,$M670)),"")</f>
        <v/>
      </c>
      <c r="H670" s="28">
        <f>IF($N670&lt;&gt;"",IF(INDEX(CalcWitB,$N670)=0,"",INDEX(CalcWitB,$N670)),"")</f>
        <v/>
      </c>
      <c r="I670" s="29">
        <f>IF($M670&lt;&gt;"",INDEX(CalcAmtA,$M670),"")</f>
        <v/>
      </c>
      <c r="J670" s="29">
        <f>IF($B670="","",IF($J669="",$C$8,$J669)+IF($I670="",0,$I670)+IF($E670="",0,$E670)-IF($H670="",0,$H670))</f>
        <v/>
      </c>
      <c r="K670" s="30">
        <f>IF($M670&lt;&gt;"",IF(INDEX(CalcNoteA,$M670)="","—",INDEX(CalcNoteA,$M670)),IF($N670&lt;&gt;"",IF(INDEX(CalcNoteB,$N670)="","—",INDEX(CalcNoteB,$N670)),""))</f>
        <v/>
      </c>
      <c r="M670">
        <f>IFERROR(MATCH($C$5&amp;"|"&amp;RIGHT("000000"&amp;654,6),CalcRankKeyA,0),"")</f>
        <v/>
      </c>
      <c r="N670">
        <f>IFERROR(MATCH($C$5&amp;"|"&amp;RIGHT("000000"&amp;654,6),CalcRankKeyB,0),"")</f>
        <v/>
      </c>
    </row>
    <row r="671">
      <c r="A671" s="21" t="n">
        <v>655</v>
      </c>
      <c r="B671" s="22">
        <f>IF(AND($M671="",$N671=""),"",IF($M671&lt;&gt;"",INDEX(CalcDateA,$M671),INDEX(CalcDateB,$N671)))</f>
        <v/>
      </c>
      <c r="C671" s="22">
        <f>IF($M671&lt;&gt;"","خرید سبد",IF($N671&lt;&gt;"",IF(N(INDEX(CalcDepB,$N671))&gt;0,"دریافت بانکی","پرداخت بانکی"),""))</f>
        <v/>
      </c>
      <c r="D671" s="22">
        <f>IF($M671&lt;&gt;"",IF(INDEX(CalcDocA,$M671)="","—",INDEX(CalcDocA,$M671)),IF($N671&lt;&gt;"",INDEX(CalcBankB,$N671),""))</f>
        <v/>
      </c>
      <c r="E671" s="23">
        <f>IF($N671&lt;&gt;"",IF(INDEX(CalcDepB,$N671)=0,"",INDEX(CalcDepB,$N671)),"")</f>
        <v/>
      </c>
      <c r="F671" s="23">
        <f>IF($M671&lt;&gt;"",IF(INDEX(CalcQtyA,$M671)=0,"",INDEX(CalcQtyA,$M671)),"")</f>
        <v/>
      </c>
      <c r="G671" s="23">
        <f>IF($M671&lt;&gt;"",IF(INDEX(CalcPriceA,$M671)=0,"",INDEX(CalcPriceA,$M671)),"")</f>
        <v/>
      </c>
      <c r="H671" s="23">
        <f>IF($N671&lt;&gt;"",IF(INDEX(CalcWitB,$N671)=0,"",INDEX(CalcWitB,$N671)),"")</f>
        <v/>
      </c>
      <c r="I671" s="24">
        <f>IF($M671&lt;&gt;"",INDEX(CalcAmtA,$M671),"")</f>
        <v/>
      </c>
      <c r="J671" s="24">
        <f>IF($B671="","",IF($J670="",$C$8,$J670)+IF($I671="",0,$I671)+IF($E671="",0,$E671)-IF($H671="",0,$H671))</f>
        <v/>
      </c>
      <c r="K671" s="25">
        <f>IF($M671&lt;&gt;"",IF(INDEX(CalcNoteA,$M671)="","—",INDEX(CalcNoteA,$M671)),IF($N671&lt;&gt;"",IF(INDEX(CalcNoteB,$N671)="","—",INDEX(CalcNoteB,$N671)),""))</f>
        <v/>
      </c>
      <c r="M671">
        <f>IFERROR(MATCH($C$5&amp;"|"&amp;RIGHT("000000"&amp;655,6),CalcRankKeyA,0),"")</f>
        <v/>
      </c>
      <c r="N671">
        <f>IFERROR(MATCH($C$5&amp;"|"&amp;RIGHT("000000"&amp;655,6),CalcRankKeyB,0),"")</f>
        <v/>
      </c>
    </row>
    <row r="672">
      <c r="A672" s="26" t="n">
        <v>656</v>
      </c>
      <c r="B672" s="27">
        <f>IF(AND($M672="",$N672=""),"",IF($M672&lt;&gt;"",INDEX(CalcDateA,$M672),INDEX(CalcDateB,$N672)))</f>
        <v/>
      </c>
      <c r="C672" s="27">
        <f>IF($M672&lt;&gt;"","خرید سبد",IF($N672&lt;&gt;"",IF(N(INDEX(CalcDepB,$N672))&gt;0,"دریافت بانکی","پرداخت بانکی"),""))</f>
        <v/>
      </c>
      <c r="D672" s="27">
        <f>IF($M672&lt;&gt;"",IF(INDEX(CalcDocA,$M672)="","—",INDEX(CalcDocA,$M672)),IF($N672&lt;&gt;"",INDEX(CalcBankB,$N672),""))</f>
        <v/>
      </c>
      <c r="E672" s="28">
        <f>IF($N672&lt;&gt;"",IF(INDEX(CalcDepB,$N672)=0,"",INDEX(CalcDepB,$N672)),"")</f>
        <v/>
      </c>
      <c r="F672" s="28">
        <f>IF($M672&lt;&gt;"",IF(INDEX(CalcQtyA,$M672)=0,"",INDEX(CalcQtyA,$M672)),"")</f>
        <v/>
      </c>
      <c r="G672" s="28">
        <f>IF($M672&lt;&gt;"",IF(INDEX(CalcPriceA,$M672)=0,"",INDEX(CalcPriceA,$M672)),"")</f>
        <v/>
      </c>
      <c r="H672" s="28">
        <f>IF($N672&lt;&gt;"",IF(INDEX(CalcWitB,$N672)=0,"",INDEX(CalcWitB,$N672)),"")</f>
        <v/>
      </c>
      <c r="I672" s="29">
        <f>IF($M672&lt;&gt;"",INDEX(CalcAmtA,$M672),"")</f>
        <v/>
      </c>
      <c r="J672" s="29">
        <f>IF($B672="","",IF($J671="",$C$8,$J671)+IF($I672="",0,$I672)+IF($E672="",0,$E672)-IF($H672="",0,$H672))</f>
        <v/>
      </c>
      <c r="K672" s="30">
        <f>IF($M672&lt;&gt;"",IF(INDEX(CalcNoteA,$M672)="","—",INDEX(CalcNoteA,$M672)),IF($N672&lt;&gt;"",IF(INDEX(CalcNoteB,$N672)="","—",INDEX(CalcNoteB,$N672)),""))</f>
        <v/>
      </c>
      <c r="M672">
        <f>IFERROR(MATCH($C$5&amp;"|"&amp;RIGHT("000000"&amp;656,6),CalcRankKeyA,0),"")</f>
        <v/>
      </c>
      <c r="N672">
        <f>IFERROR(MATCH($C$5&amp;"|"&amp;RIGHT("000000"&amp;656,6),CalcRankKeyB,0),"")</f>
        <v/>
      </c>
    </row>
    <row r="673">
      <c r="A673" s="21" t="n">
        <v>657</v>
      </c>
      <c r="B673" s="22">
        <f>IF(AND($M673="",$N673=""),"",IF($M673&lt;&gt;"",INDEX(CalcDateA,$M673),INDEX(CalcDateB,$N673)))</f>
        <v/>
      </c>
      <c r="C673" s="22">
        <f>IF($M673&lt;&gt;"","خرید سبد",IF($N673&lt;&gt;"",IF(N(INDEX(CalcDepB,$N673))&gt;0,"دریافت بانکی","پرداخت بانکی"),""))</f>
        <v/>
      </c>
      <c r="D673" s="22">
        <f>IF($M673&lt;&gt;"",IF(INDEX(CalcDocA,$M673)="","—",INDEX(CalcDocA,$M673)),IF($N673&lt;&gt;"",INDEX(CalcBankB,$N673),""))</f>
        <v/>
      </c>
      <c r="E673" s="23">
        <f>IF($N673&lt;&gt;"",IF(INDEX(CalcDepB,$N673)=0,"",INDEX(CalcDepB,$N673)),"")</f>
        <v/>
      </c>
      <c r="F673" s="23">
        <f>IF($M673&lt;&gt;"",IF(INDEX(CalcQtyA,$M673)=0,"",INDEX(CalcQtyA,$M673)),"")</f>
        <v/>
      </c>
      <c r="G673" s="23">
        <f>IF($M673&lt;&gt;"",IF(INDEX(CalcPriceA,$M673)=0,"",INDEX(CalcPriceA,$M673)),"")</f>
        <v/>
      </c>
      <c r="H673" s="23">
        <f>IF($N673&lt;&gt;"",IF(INDEX(CalcWitB,$N673)=0,"",INDEX(CalcWitB,$N673)),"")</f>
        <v/>
      </c>
      <c r="I673" s="24">
        <f>IF($M673&lt;&gt;"",INDEX(CalcAmtA,$M673),"")</f>
        <v/>
      </c>
      <c r="J673" s="24">
        <f>IF($B673="","",IF($J672="",$C$8,$J672)+IF($I673="",0,$I673)+IF($E673="",0,$E673)-IF($H673="",0,$H673))</f>
        <v/>
      </c>
      <c r="K673" s="25">
        <f>IF($M673&lt;&gt;"",IF(INDEX(CalcNoteA,$M673)="","—",INDEX(CalcNoteA,$M673)),IF($N673&lt;&gt;"",IF(INDEX(CalcNoteB,$N673)="","—",INDEX(CalcNoteB,$N673)),""))</f>
        <v/>
      </c>
      <c r="M673">
        <f>IFERROR(MATCH($C$5&amp;"|"&amp;RIGHT("000000"&amp;657,6),CalcRankKeyA,0),"")</f>
        <v/>
      </c>
      <c r="N673">
        <f>IFERROR(MATCH($C$5&amp;"|"&amp;RIGHT("000000"&amp;657,6),CalcRankKeyB,0),"")</f>
        <v/>
      </c>
    </row>
    <row r="674">
      <c r="A674" s="26" t="n">
        <v>658</v>
      </c>
      <c r="B674" s="27">
        <f>IF(AND($M674="",$N674=""),"",IF($M674&lt;&gt;"",INDEX(CalcDateA,$M674),INDEX(CalcDateB,$N674)))</f>
        <v/>
      </c>
      <c r="C674" s="27">
        <f>IF($M674&lt;&gt;"","خرید سبد",IF($N674&lt;&gt;"",IF(N(INDEX(CalcDepB,$N674))&gt;0,"دریافت بانکی","پرداخت بانکی"),""))</f>
        <v/>
      </c>
      <c r="D674" s="27">
        <f>IF($M674&lt;&gt;"",IF(INDEX(CalcDocA,$M674)="","—",INDEX(CalcDocA,$M674)),IF($N674&lt;&gt;"",INDEX(CalcBankB,$N674),""))</f>
        <v/>
      </c>
      <c r="E674" s="28">
        <f>IF($N674&lt;&gt;"",IF(INDEX(CalcDepB,$N674)=0,"",INDEX(CalcDepB,$N674)),"")</f>
        <v/>
      </c>
      <c r="F674" s="28">
        <f>IF($M674&lt;&gt;"",IF(INDEX(CalcQtyA,$M674)=0,"",INDEX(CalcQtyA,$M674)),"")</f>
        <v/>
      </c>
      <c r="G674" s="28">
        <f>IF($M674&lt;&gt;"",IF(INDEX(CalcPriceA,$M674)=0,"",INDEX(CalcPriceA,$M674)),"")</f>
        <v/>
      </c>
      <c r="H674" s="28">
        <f>IF($N674&lt;&gt;"",IF(INDEX(CalcWitB,$N674)=0,"",INDEX(CalcWitB,$N674)),"")</f>
        <v/>
      </c>
      <c r="I674" s="29">
        <f>IF($M674&lt;&gt;"",INDEX(CalcAmtA,$M674),"")</f>
        <v/>
      </c>
      <c r="J674" s="29">
        <f>IF($B674="","",IF($J673="",$C$8,$J673)+IF($I674="",0,$I674)+IF($E674="",0,$E674)-IF($H674="",0,$H674))</f>
        <v/>
      </c>
      <c r="K674" s="30">
        <f>IF($M674&lt;&gt;"",IF(INDEX(CalcNoteA,$M674)="","—",INDEX(CalcNoteA,$M674)),IF($N674&lt;&gt;"",IF(INDEX(CalcNoteB,$N674)="","—",INDEX(CalcNoteB,$N674)),""))</f>
        <v/>
      </c>
      <c r="M674">
        <f>IFERROR(MATCH($C$5&amp;"|"&amp;RIGHT("000000"&amp;658,6),CalcRankKeyA,0),"")</f>
        <v/>
      </c>
      <c r="N674">
        <f>IFERROR(MATCH($C$5&amp;"|"&amp;RIGHT("000000"&amp;658,6),CalcRankKeyB,0),"")</f>
        <v/>
      </c>
    </row>
    <row r="675">
      <c r="A675" s="21" t="n">
        <v>659</v>
      </c>
      <c r="B675" s="22">
        <f>IF(AND($M675="",$N675=""),"",IF($M675&lt;&gt;"",INDEX(CalcDateA,$M675),INDEX(CalcDateB,$N675)))</f>
        <v/>
      </c>
      <c r="C675" s="22">
        <f>IF($M675&lt;&gt;"","خرید سبد",IF($N675&lt;&gt;"",IF(N(INDEX(CalcDepB,$N675))&gt;0,"دریافت بانکی","پرداخت بانکی"),""))</f>
        <v/>
      </c>
      <c r="D675" s="22">
        <f>IF($M675&lt;&gt;"",IF(INDEX(CalcDocA,$M675)="","—",INDEX(CalcDocA,$M675)),IF($N675&lt;&gt;"",INDEX(CalcBankB,$N675),""))</f>
        <v/>
      </c>
      <c r="E675" s="23">
        <f>IF($N675&lt;&gt;"",IF(INDEX(CalcDepB,$N675)=0,"",INDEX(CalcDepB,$N675)),"")</f>
        <v/>
      </c>
      <c r="F675" s="23">
        <f>IF($M675&lt;&gt;"",IF(INDEX(CalcQtyA,$M675)=0,"",INDEX(CalcQtyA,$M675)),"")</f>
        <v/>
      </c>
      <c r="G675" s="23">
        <f>IF($M675&lt;&gt;"",IF(INDEX(CalcPriceA,$M675)=0,"",INDEX(CalcPriceA,$M675)),"")</f>
        <v/>
      </c>
      <c r="H675" s="23">
        <f>IF($N675&lt;&gt;"",IF(INDEX(CalcWitB,$N675)=0,"",INDEX(CalcWitB,$N675)),"")</f>
        <v/>
      </c>
      <c r="I675" s="24">
        <f>IF($M675&lt;&gt;"",INDEX(CalcAmtA,$M675),"")</f>
        <v/>
      </c>
      <c r="J675" s="24">
        <f>IF($B675="","",IF($J674="",$C$8,$J674)+IF($I675="",0,$I675)+IF($E675="",0,$E675)-IF($H675="",0,$H675))</f>
        <v/>
      </c>
      <c r="K675" s="25">
        <f>IF($M675&lt;&gt;"",IF(INDEX(CalcNoteA,$M675)="","—",INDEX(CalcNoteA,$M675)),IF($N675&lt;&gt;"",IF(INDEX(CalcNoteB,$N675)="","—",INDEX(CalcNoteB,$N675)),""))</f>
        <v/>
      </c>
      <c r="M675">
        <f>IFERROR(MATCH($C$5&amp;"|"&amp;RIGHT("000000"&amp;659,6),CalcRankKeyA,0),"")</f>
        <v/>
      </c>
      <c r="N675">
        <f>IFERROR(MATCH($C$5&amp;"|"&amp;RIGHT("000000"&amp;659,6),CalcRankKeyB,0),"")</f>
        <v/>
      </c>
    </row>
    <row r="676">
      <c r="A676" s="26" t="n">
        <v>660</v>
      </c>
      <c r="B676" s="27">
        <f>IF(AND($M676="",$N676=""),"",IF($M676&lt;&gt;"",INDEX(CalcDateA,$M676),INDEX(CalcDateB,$N676)))</f>
        <v/>
      </c>
      <c r="C676" s="27">
        <f>IF($M676&lt;&gt;"","خرید سبد",IF($N676&lt;&gt;"",IF(N(INDEX(CalcDepB,$N676))&gt;0,"دریافت بانکی","پرداخت بانکی"),""))</f>
        <v/>
      </c>
      <c r="D676" s="27">
        <f>IF($M676&lt;&gt;"",IF(INDEX(CalcDocA,$M676)="","—",INDEX(CalcDocA,$M676)),IF($N676&lt;&gt;"",INDEX(CalcBankB,$N676),""))</f>
        <v/>
      </c>
      <c r="E676" s="28">
        <f>IF($N676&lt;&gt;"",IF(INDEX(CalcDepB,$N676)=0,"",INDEX(CalcDepB,$N676)),"")</f>
        <v/>
      </c>
      <c r="F676" s="28">
        <f>IF($M676&lt;&gt;"",IF(INDEX(CalcQtyA,$M676)=0,"",INDEX(CalcQtyA,$M676)),"")</f>
        <v/>
      </c>
      <c r="G676" s="28">
        <f>IF($M676&lt;&gt;"",IF(INDEX(CalcPriceA,$M676)=0,"",INDEX(CalcPriceA,$M676)),"")</f>
        <v/>
      </c>
      <c r="H676" s="28">
        <f>IF($N676&lt;&gt;"",IF(INDEX(CalcWitB,$N676)=0,"",INDEX(CalcWitB,$N676)),"")</f>
        <v/>
      </c>
      <c r="I676" s="29">
        <f>IF($M676&lt;&gt;"",INDEX(CalcAmtA,$M676),"")</f>
        <v/>
      </c>
      <c r="J676" s="29">
        <f>IF($B676="","",IF($J675="",$C$8,$J675)+IF($I676="",0,$I676)+IF($E676="",0,$E676)-IF($H676="",0,$H676))</f>
        <v/>
      </c>
      <c r="K676" s="30">
        <f>IF($M676&lt;&gt;"",IF(INDEX(CalcNoteA,$M676)="","—",INDEX(CalcNoteA,$M676)),IF($N676&lt;&gt;"",IF(INDEX(CalcNoteB,$N676)="","—",INDEX(CalcNoteB,$N676)),""))</f>
        <v/>
      </c>
      <c r="M676">
        <f>IFERROR(MATCH($C$5&amp;"|"&amp;RIGHT("000000"&amp;660,6),CalcRankKeyA,0),"")</f>
        <v/>
      </c>
      <c r="N676">
        <f>IFERROR(MATCH($C$5&amp;"|"&amp;RIGHT("000000"&amp;660,6),CalcRankKeyB,0),"")</f>
        <v/>
      </c>
    </row>
    <row r="677">
      <c r="A677" s="21" t="n">
        <v>661</v>
      </c>
      <c r="B677" s="22">
        <f>IF(AND($M677="",$N677=""),"",IF($M677&lt;&gt;"",INDEX(CalcDateA,$M677),INDEX(CalcDateB,$N677)))</f>
        <v/>
      </c>
      <c r="C677" s="22">
        <f>IF($M677&lt;&gt;"","خرید سبد",IF($N677&lt;&gt;"",IF(N(INDEX(CalcDepB,$N677))&gt;0,"دریافت بانکی","پرداخت بانکی"),""))</f>
        <v/>
      </c>
      <c r="D677" s="22">
        <f>IF($M677&lt;&gt;"",IF(INDEX(CalcDocA,$M677)="","—",INDEX(CalcDocA,$M677)),IF($N677&lt;&gt;"",INDEX(CalcBankB,$N677),""))</f>
        <v/>
      </c>
      <c r="E677" s="23">
        <f>IF($N677&lt;&gt;"",IF(INDEX(CalcDepB,$N677)=0,"",INDEX(CalcDepB,$N677)),"")</f>
        <v/>
      </c>
      <c r="F677" s="23">
        <f>IF($M677&lt;&gt;"",IF(INDEX(CalcQtyA,$M677)=0,"",INDEX(CalcQtyA,$M677)),"")</f>
        <v/>
      </c>
      <c r="G677" s="23">
        <f>IF($M677&lt;&gt;"",IF(INDEX(CalcPriceA,$M677)=0,"",INDEX(CalcPriceA,$M677)),"")</f>
        <v/>
      </c>
      <c r="H677" s="23">
        <f>IF($N677&lt;&gt;"",IF(INDEX(CalcWitB,$N677)=0,"",INDEX(CalcWitB,$N677)),"")</f>
        <v/>
      </c>
      <c r="I677" s="24">
        <f>IF($M677&lt;&gt;"",INDEX(CalcAmtA,$M677),"")</f>
        <v/>
      </c>
      <c r="J677" s="24">
        <f>IF($B677="","",IF($J676="",$C$8,$J676)+IF($I677="",0,$I677)+IF($E677="",0,$E677)-IF($H677="",0,$H677))</f>
        <v/>
      </c>
      <c r="K677" s="25">
        <f>IF($M677&lt;&gt;"",IF(INDEX(CalcNoteA,$M677)="","—",INDEX(CalcNoteA,$M677)),IF($N677&lt;&gt;"",IF(INDEX(CalcNoteB,$N677)="","—",INDEX(CalcNoteB,$N677)),""))</f>
        <v/>
      </c>
      <c r="M677">
        <f>IFERROR(MATCH($C$5&amp;"|"&amp;RIGHT("000000"&amp;661,6),CalcRankKeyA,0),"")</f>
        <v/>
      </c>
      <c r="N677">
        <f>IFERROR(MATCH($C$5&amp;"|"&amp;RIGHT("000000"&amp;661,6),CalcRankKeyB,0),"")</f>
        <v/>
      </c>
    </row>
    <row r="678">
      <c r="A678" s="26" t="n">
        <v>662</v>
      </c>
      <c r="B678" s="27">
        <f>IF(AND($M678="",$N678=""),"",IF($M678&lt;&gt;"",INDEX(CalcDateA,$M678),INDEX(CalcDateB,$N678)))</f>
        <v/>
      </c>
      <c r="C678" s="27">
        <f>IF($M678&lt;&gt;"","خرید سبد",IF($N678&lt;&gt;"",IF(N(INDEX(CalcDepB,$N678))&gt;0,"دریافت بانکی","پرداخت بانکی"),""))</f>
        <v/>
      </c>
      <c r="D678" s="27">
        <f>IF($M678&lt;&gt;"",IF(INDEX(CalcDocA,$M678)="","—",INDEX(CalcDocA,$M678)),IF($N678&lt;&gt;"",INDEX(CalcBankB,$N678),""))</f>
        <v/>
      </c>
      <c r="E678" s="28">
        <f>IF($N678&lt;&gt;"",IF(INDEX(CalcDepB,$N678)=0,"",INDEX(CalcDepB,$N678)),"")</f>
        <v/>
      </c>
      <c r="F678" s="28">
        <f>IF($M678&lt;&gt;"",IF(INDEX(CalcQtyA,$M678)=0,"",INDEX(CalcQtyA,$M678)),"")</f>
        <v/>
      </c>
      <c r="G678" s="28">
        <f>IF($M678&lt;&gt;"",IF(INDEX(CalcPriceA,$M678)=0,"",INDEX(CalcPriceA,$M678)),"")</f>
        <v/>
      </c>
      <c r="H678" s="28">
        <f>IF($N678&lt;&gt;"",IF(INDEX(CalcWitB,$N678)=0,"",INDEX(CalcWitB,$N678)),"")</f>
        <v/>
      </c>
      <c r="I678" s="29">
        <f>IF($M678&lt;&gt;"",INDEX(CalcAmtA,$M678),"")</f>
        <v/>
      </c>
      <c r="J678" s="29">
        <f>IF($B678="","",IF($J677="",$C$8,$J677)+IF($I678="",0,$I678)+IF($E678="",0,$E678)-IF($H678="",0,$H678))</f>
        <v/>
      </c>
      <c r="K678" s="30">
        <f>IF($M678&lt;&gt;"",IF(INDEX(CalcNoteA,$M678)="","—",INDEX(CalcNoteA,$M678)),IF($N678&lt;&gt;"",IF(INDEX(CalcNoteB,$N678)="","—",INDEX(CalcNoteB,$N678)),""))</f>
        <v/>
      </c>
      <c r="M678">
        <f>IFERROR(MATCH($C$5&amp;"|"&amp;RIGHT("000000"&amp;662,6),CalcRankKeyA,0),"")</f>
        <v/>
      </c>
      <c r="N678">
        <f>IFERROR(MATCH($C$5&amp;"|"&amp;RIGHT("000000"&amp;662,6),CalcRankKeyB,0),"")</f>
        <v/>
      </c>
    </row>
    <row r="679">
      <c r="A679" s="21" t="n">
        <v>663</v>
      </c>
      <c r="B679" s="22">
        <f>IF(AND($M679="",$N679=""),"",IF($M679&lt;&gt;"",INDEX(CalcDateA,$M679),INDEX(CalcDateB,$N679)))</f>
        <v/>
      </c>
      <c r="C679" s="22">
        <f>IF($M679&lt;&gt;"","خرید سبد",IF($N679&lt;&gt;"",IF(N(INDEX(CalcDepB,$N679))&gt;0,"دریافت بانکی","پرداخت بانکی"),""))</f>
        <v/>
      </c>
      <c r="D679" s="22">
        <f>IF($M679&lt;&gt;"",IF(INDEX(CalcDocA,$M679)="","—",INDEX(CalcDocA,$M679)),IF($N679&lt;&gt;"",INDEX(CalcBankB,$N679),""))</f>
        <v/>
      </c>
      <c r="E679" s="23">
        <f>IF($N679&lt;&gt;"",IF(INDEX(CalcDepB,$N679)=0,"",INDEX(CalcDepB,$N679)),"")</f>
        <v/>
      </c>
      <c r="F679" s="23">
        <f>IF($M679&lt;&gt;"",IF(INDEX(CalcQtyA,$M679)=0,"",INDEX(CalcQtyA,$M679)),"")</f>
        <v/>
      </c>
      <c r="G679" s="23">
        <f>IF($M679&lt;&gt;"",IF(INDEX(CalcPriceA,$M679)=0,"",INDEX(CalcPriceA,$M679)),"")</f>
        <v/>
      </c>
      <c r="H679" s="23">
        <f>IF($N679&lt;&gt;"",IF(INDEX(CalcWitB,$N679)=0,"",INDEX(CalcWitB,$N679)),"")</f>
        <v/>
      </c>
      <c r="I679" s="24">
        <f>IF($M679&lt;&gt;"",INDEX(CalcAmtA,$M679),"")</f>
        <v/>
      </c>
      <c r="J679" s="24">
        <f>IF($B679="","",IF($J678="",$C$8,$J678)+IF($I679="",0,$I679)+IF($E679="",0,$E679)-IF($H679="",0,$H679))</f>
        <v/>
      </c>
      <c r="K679" s="25">
        <f>IF($M679&lt;&gt;"",IF(INDEX(CalcNoteA,$M679)="","—",INDEX(CalcNoteA,$M679)),IF($N679&lt;&gt;"",IF(INDEX(CalcNoteB,$N679)="","—",INDEX(CalcNoteB,$N679)),""))</f>
        <v/>
      </c>
      <c r="M679">
        <f>IFERROR(MATCH($C$5&amp;"|"&amp;RIGHT("000000"&amp;663,6),CalcRankKeyA,0),"")</f>
        <v/>
      </c>
      <c r="N679">
        <f>IFERROR(MATCH($C$5&amp;"|"&amp;RIGHT("000000"&amp;663,6),CalcRankKeyB,0),"")</f>
        <v/>
      </c>
    </row>
    <row r="680">
      <c r="A680" s="26" t="n">
        <v>664</v>
      </c>
      <c r="B680" s="27">
        <f>IF(AND($M680="",$N680=""),"",IF($M680&lt;&gt;"",INDEX(CalcDateA,$M680),INDEX(CalcDateB,$N680)))</f>
        <v/>
      </c>
      <c r="C680" s="27">
        <f>IF($M680&lt;&gt;"","خرید سبد",IF($N680&lt;&gt;"",IF(N(INDEX(CalcDepB,$N680))&gt;0,"دریافت بانکی","پرداخت بانکی"),""))</f>
        <v/>
      </c>
      <c r="D680" s="27">
        <f>IF($M680&lt;&gt;"",IF(INDEX(CalcDocA,$M680)="","—",INDEX(CalcDocA,$M680)),IF($N680&lt;&gt;"",INDEX(CalcBankB,$N680),""))</f>
        <v/>
      </c>
      <c r="E680" s="28">
        <f>IF($N680&lt;&gt;"",IF(INDEX(CalcDepB,$N680)=0,"",INDEX(CalcDepB,$N680)),"")</f>
        <v/>
      </c>
      <c r="F680" s="28">
        <f>IF($M680&lt;&gt;"",IF(INDEX(CalcQtyA,$M680)=0,"",INDEX(CalcQtyA,$M680)),"")</f>
        <v/>
      </c>
      <c r="G680" s="28">
        <f>IF($M680&lt;&gt;"",IF(INDEX(CalcPriceA,$M680)=0,"",INDEX(CalcPriceA,$M680)),"")</f>
        <v/>
      </c>
      <c r="H680" s="28">
        <f>IF($N680&lt;&gt;"",IF(INDEX(CalcWitB,$N680)=0,"",INDEX(CalcWitB,$N680)),"")</f>
        <v/>
      </c>
      <c r="I680" s="29">
        <f>IF($M680&lt;&gt;"",INDEX(CalcAmtA,$M680),"")</f>
        <v/>
      </c>
      <c r="J680" s="29">
        <f>IF($B680="","",IF($J679="",$C$8,$J679)+IF($I680="",0,$I680)+IF($E680="",0,$E680)-IF($H680="",0,$H680))</f>
        <v/>
      </c>
      <c r="K680" s="30">
        <f>IF($M680&lt;&gt;"",IF(INDEX(CalcNoteA,$M680)="","—",INDEX(CalcNoteA,$M680)),IF($N680&lt;&gt;"",IF(INDEX(CalcNoteB,$N680)="","—",INDEX(CalcNoteB,$N680)),""))</f>
        <v/>
      </c>
      <c r="M680">
        <f>IFERROR(MATCH($C$5&amp;"|"&amp;RIGHT("000000"&amp;664,6),CalcRankKeyA,0),"")</f>
        <v/>
      </c>
      <c r="N680">
        <f>IFERROR(MATCH($C$5&amp;"|"&amp;RIGHT("000000"&amp;664,6),CalcRankKeyB,0),"")</f>
        <v/>
      </c>
    </row>
    <row r="681">
      <c r="A681" s="21" t="n">
        <v>665</v>
      </c>
      <c r="B681" s="22">
        <f>IF(AND($M681="",$N681=""),"",IF($M681&lt;&gt;"",INDEX(CalcDateA,$M681),INDEX(CalcDateB,$N681)))</f>
        <v/>
      </c>
      <c r="C681" s="22">
        <f>IF($M681&lt;&gt;"","خرید سبد",IF($N681&lt;&gt;"",IF(N(INDEX(CalcDepB,$N681))&gt;0,"دریافت بانکی","پرداخت بانکی"),""))</f>
        <v/>
      </c>
      <c r="D681" s="22">
        <f>IF($M681&lt;&gt;"",IF(INDEX(CalcDocA,$M681)="","—",INDEX(CalcDocA,$M681)),IF($N681&lt;&gt;"",INDEX(CalcBankB,$N681),""))</f>
        <v/>
      </c>
      <c r="E681" s="23">
        <f>IF($N681&lt;&gt;"",IF(INDEX(CalcDepB,$N681)=0,"",INDEX(CalcDepB,$N681)),"")</f>
        <v/>
      </c>
      <c r="F681" s="23">
        <f>IF($M681&lt;&gt;"",IF(INDEX(CalcQtyA,$M681)=0,"",INDEX(CalcQtyA,$M681)),"")</f>
        <v/>
      </c>
      <c r="G681" s="23">
        <f>IF($M681&lt;&gt;"",IF(INDEX(CalcPriceA,$M681)=0,"",INDEX(CalcPriceA,$M681)),"")</f>
        <v/>
      </c>
      <c r="H681" s="23">
        <f>IF($N681&lt;&gt;"",IF(INDEX(CalcWitB,$N681)=0,"",INDEX(CalcWitB,$N681)),"")</f>
        <v/>
      </c>
      <c r="I681" s="24">
        <f>IF($M681&lt;&gt;"",INDEX(CalcAmtA,$M681),"")</f>
        <v/>
      </c>
      <c r="J681" s="24">
        <f>IF($B681="","",IF($J680="",$C$8,$J680)+IF($I681="",0,$I681)+IF($E681="",0,$E681)-IF($H681="",0,$H681))</f>
        <v/>
      </c>
      <c r="K681" s="25">
        <f>IF($M681&lt;&gt;"",IF(INDEX(CalcNoteA,$M681)="","—",INDEX(CalcNoteA,$M681)),IF($N681&lt;&gt;"",IF(INDEX(CalcNoteB,$N681)="","—",INDEX(CalcNoteB,$N681)),""))</f>
        <v/>
      </c>
      <c r="M681">
        <f>IFERROR(MATCH($C$5&amp;"|"&amp;RIGHT("000000"&amp;665,6),CalcRankKeyA,0),"")</f>
        <v/>
      </c>
      <c r="N681">
        <f>IFERROR(MATCH($C$5&amp;"|"&amp;RIGHT("000000"&amp;665,6),CalcRankKeyB,0),"")</f>
        <v/>
      </c>
    </row>
    <row r="682">
      <c r="A682" s="26" t="n">
        <v>666</v>
      </c>
      <c r="B682" s="27">
        <f>IF(AND($M682="",$N682=""),"",IF($M682&lt;&gt;"",INDEX(CalcDateA,$M682),INDEX(CalcDateB,$N682)))</f>
        <v/>
      </c>
      <c r="C682" s="27">
        <f>IF($M682&lt;&gt;"","خرید سبد",IF($N682&lt;&gt;"",IF(N(INDEX(CalcDepB,$N682))&gt;0,"دریافت بانکی","پرداخت بانکی"),""))</f>
        <v/>
      </c>
      <c r="D682" s="27">
        <f>IF($M682&lt;&gt;"",IF(INDEX(CalcDocA,$M682)="","—",INDEX(CalcDocA,$M682)),IF($N682&lt;&gt;"",INDEX(CalcBankB,$N682),""))</f>
        <v/>
      </c>
      <c r="E682" s="28">
        <f>IF($N682&lt;&gt;"",IF(INDEX(CalcDepB,$N682)=0,"",INDEX(CalcDepB,$N682)),"")</f>
        <v/>
      </c>
      <c r="F682" s="28">
        <f>IF($M682&lt;&gt;"",IF(INDEX(CalcQtyA,$M682)=0,"",INDEX(CalcQtyA,$M682)),"")</f>
        <v/>
      </c>
      <c r="G682" s="28">
        <f>IF($M682&lt;&gt;"",IF(INDEX(CalcPriceA,$M682)=0,"",INDEX(CalcPriceA,$M682)),"")</f>
        <v/>
      </c>
      <c r="H682" s="28">
        <f>IF($N682&lt;&gt;"",IF(INDEX(CalcWitB,$N682)=0,"",INDEX(CalcWitB,$N682)),"")</f>
        <v/>
      </c>
      <c r="I682" s="29">
        <f>IF($M682&lt;&gt;"",INDEX(CalcAmtA,$M682),"")</f>
        <v/>
      </c>
      <c r="J682" s="29">
        <f>IF($B682="","",IF($J681="",$C$8,$J681)+IF($I682="",0,$I682)+IF($E682="",0,$E682)-IF($H682="",0,$H682))</f>
        <v/>
      </c>
      <c r="K682" s="30">
        <f>IF($M682&lt;&gt;"",IF(INDEX(CalcNoteA,$M682)="","—",INDEX(CalcNoteA,$M682)),IF($N682&lt;&gt;"",IF(INDEX(CalcNoteB,$N682)="","—",INDEX(CalcNoteB,$N682)),""))</f>
        <v/>
      </c>
      <c r="M682">
        <f>IFERROR(MATCH($C$5&amp;"|"&amp;RIGHT("000000"&amp;666,6),CalcRankKeyA,0),"")</f>
        <v/>
      </c>
      <c r="N682">
        <f>IFERROR(MATCH($C$5&amp;"|"&amp;RIGHT("000000"&amp;666,6),CalcRankKeyB,0),"")</f>
        <v/>
      </c>
    </row>
    <row r="683">
      <c r="A683" s="21" t="n">
        <v>667</v>
      </c>
      <c r="B683" s="22">
        <f>IF(AND($M683="",$N683=""),"",IF($M683&lt;&gt;"",INDEX(CalcDateA,$M683),INDEX(CalcDateB,$N683)))</f>
        <v/>
      </c>
      <c r="C683" s="22">
        <f>IF($M683&lt;&gt;"","خرید سبد",IF($N683&lt;&gt;"",IF(N(INDEX(CalcDepB,$N683))&gt;0,"دریافت بانکی","پرداخت بانکی"),""))</f>
        <v/>
      </c>
      <c r="D683" s="22">
        <f>IF($M683&lt;&gt;"",IF(INDEX(CalcDocA,$M683)="","—",INDEX(CalcDocA,$M683)),IF($N683&lt;&gt;"",INDEX(CalcBankB,$N683),""))</f>
        <v/>
      </c>
      <c r="E683" s="23">
        <f>IF($N683&lt;&gt;"",IF(INDEX(CalcDepB,$N683)=0,"",INDEX(CalcDepB,$N683)),"")</f>
        <v/>
      </c>
      <c r="F683" s="23">
        <f>IF($M683&lt;&gt;"",IF(INDEX(CalcQtyA,$M683)=0,"",INDEX(CalcQtyA,$M683)),"")</f>
        <v/>
      </c>
      <c r="G683" s="23">
        <f>IF($M683&lt;&gt;"",IF(INDEX(CalcPriceA,$M683)=0,"",INDEX(CalcPriceA,$M683)),"")</f>
        <v/>
      </c>
      <c r="H683" s="23">
        <f>IF($N683&lt;&gt;"",IF(INDEX(CalcWitB,$N683)=0,"",INDEX(CalcWitB,$N683)),"")</f>
        <v/>
      </c>
      <c r="I683" s="24">
        <f>IF($M683&lt;&gt;"",INDEX(CalcAmtA,$M683),"")</f>
        <v/>
      </c>
      <c r="J683" s="24">
        <f>IF($B683="","",IF($J682="",$C$8,$J682)+IF($I683="",0,$I683)+IF($E683="",0,$E683)-IF($H683="",0,$H683))</f>
        <v/>
      </c>
      <c r="K683" s="25">
        <f>IF($M683&lt;&gt;"",IF(INDEX(CalcNoteA,$M683)="","—",INDEX(CalcNoteA,$M683)),IF($N683&lt;&gt;"",IF(INDEX(CalcNoteB,$N683)="","—",INDEX(CalcNoteB,$N683)),""))</f>
        <v/>
      </c>
      <c r="M683">
        <f>IFERROR(MATCH($C$5&amp;"|"&amp;RIGHT("000000"&amp;667,6),CalcRankKeyA,0),"")</f>
        <v/>
      </c>
      <c r="N683">
        <f>IFERROR(MATCH($C$5&amp;"|"&amp;RIGHT("000000"&amp;667,6),CalcRankKeyB,0),"")</f>
        <v/>
      </c>
    </row>
    <row r="684">
      <c r="A684" s="26" t="n">
        <v>668</v>
      </c>
      <c r="B684" s="27">
        <f>IF(AND($M684="",$N684=""),"",IF($M684&lt;&gt;"",INDEX(CalcDateA,$M684),INDEX(CalcDateB,$N684)))</f>
        <v/>
      </c>
      <c r="C684" s="27">
        <f>IF($M684&lt;&gt;"","خرید سبد",IF($N684&lt;&gt;"",IF(N(INDEX(CalcDepB,$N684))&gt;0,"دریافت بانکی","پرداخت بانکی"),""))</f>
        <v/>
      </c>
      <c r="D684" s="27">
        <f>IF($M684&lt;&gt;"",IF(INDEX(CalcDocA,$M684)="","—",INDEX(CalcDocA,$M684)),IF($N684&lt;&gt;"",INDEX(CalcBankB,$N684),""))</f>
        <v/>
      </c>
      <c r="E684" s="28">
        <f>IF($N684&lt;&gt;"",IF(INDEX(CalcDepB,$N684)=0,"",INDEX(CalcDepB,$N684)),"")</f>
        <v/>
      </c>
      <c r="F684" s="28">
        <f>IF($M684&lt;&gt;"",IF(INDEX(CalcQtyA,$M684)=0,"",INDEX(CalcQtyA,$M684)),"")</f>
        <v/>
      </c>
      <c r="G684" s="28">
        <f>IF($M684&lt;&gt;"",IF(INDEX(CalcPriceA,$M684)=0,"",INDEX(CalcPriceA,$M684)),"")</f>
        <v/>
      </c>
      <c r="H684" s="28">
        <f>IF($N684&lt;&gt;"",IF(INDEX(CalcWitB,$N684)=0,"",INDEX(CalcWitB,$N684)),"")</f>
        <v/>
      </c>
      <c r="I684" s="29">
        <f>IF($M684&lt;&gt;"",INDEX(CalcAmtA,$M684),"")</f>
        <v/>
      </c>
      <c r="J684" s="29">
        <f>IF($B684="","",IF($J683="",$C$8,$J683)+IF($I684="",0,$I684)+IF($E684="",0,$E684)-IF($H684="",0,$H684))</f>
        <v/>
      </c>
      <c r="K684" s="30">
        <f>IF($M684&lt;&gt;"",IF(INDEX(CalcNoteA,$M684)="","—",INDEX(CalcNoteA,$M684)),IF($N684&lt;&gt;"",IF(INDEX(CalcNoteB,$N684)="","—",INDEX(CalcNoteB,$N684)),""))</f>
        <v/>
      </c>
      <c r="M684">
        <f>IFERROR(MATCH($C$5&amp;"|"&amp;RIGHT("000000"&amp;668,6),CalcRankKeyA,0),"")</f>
        <v/>
      </c>
      <c r="N684">
        <f>IFERROR(MATCH($C$5&amp;"|"&amp;RIGHT("000000"&amp;668,6),CalcRankKeyB,0),"")</f>
        <v/>
      </c>
    </row>
    <row r="685">
      <c r="A685" s="21" t="n">
        <v>669</v>
      </c>
      <c r="B685" s="22">
        <f>IF(AND($M685="",$N685=""),"",IF($M685&lt;&gt;"",INDEX(CalcDateA,$M685),INDEX(CalcDateB,$N685)))</f>
        <v/>
      </c>
      <c r="C685" s="22">
        <f>IF($M685&lt;&gt;"","خرید سبد",IF($N685&lt;&gt;"",IF(N(INDEX(CalcDepB,$N685))&gt;0,"دریافت بانکی","پرداخت بانکی"),""))</f>
        <v/>
      </c>
      <c r="D685" s="22">
        <f>IF($M685&lt;&gt;"",IF(INDEX(CalcDocA,$M685)="","—",INDEX(CalcDocA,$M685)),IF($N685&lt;&gt;"",INDEX(CalcBankB,$N685),""))</f>
        <v/>
      </c>
      <c r="E685" s="23">
        <f>IF($N685&lt;&gt;"",IF(INDEX(CalcDepB,$N685)=0,"",INDEX(CalcDepB,$N685)),"")</f>
        <v/>
      </c>
      <c r="F685" s="23">
        <f>IF($M685&lt;&gt;"",IF(INDEX(CalcQtyA,$M685)=0,"",INDEX(CalcQtyA,$M685)),"")</f>
        <v/>
      </c>
      <c r="G685" s="23">
        <f>IF($M685&lt;&gt;"",IF(INDEX(CalcPriceA,$M685)=0,"",INDEX(CalcPriceA,$M685)),"")</f>
        <v/>
      </c>
      <c r="H685" s="23">
        <f>IF($N685&lt;&gt;"",IF(INDEX(CalcWitB,$N685)=0,"",INDEX(CalcWitB,$N685)),"")</f>
        <v/>
      </c>
      <c r="I685" s="24">
        <f>IF($M685&lt;&gt;"",INDEX(CalcAmtA,$M685),"")</f>
        <v/>
      </c>
      <c r="J685" s="24">
        <f>IF($B685="","",IF($J684="",$C$8,$J684)+IF($I685="",0,$I685)+IF($E685="",0,$E685)-IF($H685="",0,$H685))</f>
        <v/>
      </c>
      <c r="K685" s="25">
        <f>IF($M685&lt;&gt;"",IF(INDEX(CalcNoteA,$M685)="","—",INDEX(CalcNoteA,$M685)),IF($N685&lt;&gt;"",IF(INDEX(CalcNoteB,$N685)="","—",INDEX(CalcNoteB,$N685)),""))</f>
        <v/>
      </c>
      <c r="M685">
        <f>IFERROR(MATCH($C$5&amp;"|"&amp;RIGHT("000000"&amp;669,6),CalcRankKeyA,0),"")</f>
        <v/>
      </c>
      <c r="N685">
        <f>IFERROR(MATCH($C$5&amp;"|"&amp;RIGHT("000000"&amp;669,6),CalcRankKeyB,0),"")</f>
        <v/>
      </c>
    </row>
    <row r="686">
      <c r="A686" s="26" t="n">
        <v>670</v>
      </c>
      <c r="B686" s="27">
        <f>IF(AND($M686="",$N686=""),"",IF($M686&lt;&gt;"",INDEX(CalcDateA,$M686),INDEX(CalcDateB,$N686)))</f>
        <v/>
      </c>
      <c r="C686" s="27">
        <f>IF($M686&lt;&gt;"","خرید سبد",IF($N686&lt;&gt;"",IF(N(INDEX(CalcDepB,$N686))&gt;0,"دریافت بانکی","پرداخت بانکی"),""))</f>
        <v/>
      </c>
      <c r="D686" s="27">
        <f>IF($M686&lt;&gt;"",IF(INDEX(CalcDocA,$M686)="","—",INDEX(CalcDocA,$M686)),IF($N686&lt;&gt;"",INDEX(CalcBankB,$N686),""))</f>
        <v/>
      </c>
      <c r="E686" s="28">
        <f>IF($N686&lt;&gt;"",IF(INDEX(CalcDepB,$N686)=0,"",INDEX(CalcDepB,$N686)),"")</f>
        <v/>
      </c>
      <c r="F686" s="28">
        <f>IF($M686&lt;&gt;"",IF(INDEX(CalcQtyA,$M686)=0,"",INDEX(CalcQtyA,$M686)),"")</f>
        <v/>
      </c>
      <c r="G686" s="28">
        <f>IF($M686&lt;&gt;"",IF(INDEX(CalcPriceA,$M686)=0,"",INDEX(CalcPriceA,$M686)),"")</f>
        <v/>
      </c>
      <c r="H686" s="28">
        <f>IF($N686&lt;&gt;"",IF(INDEX(CalcWitB,$N686)=0,"",INDEX(CalcWitB,$N686)),"")</f>
        <v/>
      </c>
      <c r="I686" s="29">
        <f>IF($M686&lt;&gt;"",INDEX(CalcAmtA,$M686),"")</f>
        <v/>
      </c>
      <c r="J686" s="29">
        <f>IF($B686="","",IF($J685="",$C$8,$J685)+IF($I686="",0,$I686)+IF($E686="",0,$E686)-IF($H686="",0,$H686))</f>
        <v/>
      </c>
      <c r="K686" s="30">
        <f>IF($M686&lt;&gt;"",IF(INDEX(CalcNoteA,$M686)="","—",INDEX(CalcNoteA,$M686)),IF($N686&lt;&gt;"",IF(INDEX(CalcNoteB,$N686)="","—",INDEX(CalcNoteB,$N686)),""))</f>
        <v/>
      </c>
      <c r="M686">
        <f>IFERROR(MATCH($C$5&amp;"|"&amp;RIGHT("000000"&amp;670,6),CalcRankKeyA,0),"")</f>
        <v/>
      </c>
      <c r="N686">
        <f>IFERROR(MATCH($C$5&amp;"|"&amp;RIGHT("000000"&amp;670,6),CalcRankKeyB,0),"")</f>
        <v/>
      </c>
    </row>
    <row r="687">
      <c r="A687" s="21" t="n">
        <v>671</v>
      </c>
      <c r="B687" s="22">
        <f>IF(AND($M687="",$N687=""),"",IF($M687&lt;&gt;"",INDEX(CalcDateA,$M687),INDEX(CalcDateB,$N687)))</f>
        <v/>
      </c>
      <c r="C687" s="22">
        <f>IF($M687&lt;&gt;"","خرید سبد",IF($N687&lt;&gt;"",IF(N(INDEX(CalcDepB,$N687))&gt;0,"دریافت بانکی","پرداخت بانکی"),""))</f>
        <v/>
      </c>
      <c r="D687" s="22">
        <f>IF($M687&lt;&gt;"",IF(INDEX(CalcDocA,$M687)="","—",INDEX(CalcDocA,$M687)),IF($N687&lt;&gt;"",INDEX(CalcBankB,$N687),""))</f>
        <v/>
      </c>
      <c r="E687" s="23">
        <f>IF($N687&lt;&gt;"",IF(INDEX(CalcDepB,$N687)=0,"",INDEX(CalcDepB,$N687)),"")</f>
        <v/>
      </c>
      <c r="F687" s="23">
        <f>IF($M687&lt;&gt;"",IF(INDEX(CalcQtyA,$M687)=0,"",INDEX(CalcQtyA,$M687)),"")</f>
        <v/>
      </c>
      <c r="G687" s="23">
        <f>IF($M687&lt;&gt;"",IF(INDEX(CalcPriceA,$M687)=0,"",INDEX(CalcPriceA,$M687)),"")</f>
        <v/>
      </c>
      <c r="H687" s="23">
        <f>IF($N687&lt;&gt;"",IF(INDEX(CalcWitB,$N687)=0,"",INDEX(CalcWitB,$N687)),"")</f>
        <v/>
      </c>
      <c r="I687" s="24">
        <f>IF($M687&lt;&gt;"",INDEX(CalcAmtA,$M687),"")</f>
        <v/>
      </c>
      <c r="J687" s="24">
        <f>IF($B687="","",IF($J686="",$C$8,$J686)+IF($I687="",0,$I687)+IF($E687="",0,$E687)-IF($H687="",0,$H687))</f>
        <v/>
      </c>
      <c r="K687" s="25">
        <f>IF($M687&lt;&gt;"",IF(INDEX(CalcNoteA,$M687)="","—",INDEX(CalcNoteA,$M687)),IF($N687&lt;&gt;"",IF(INDEX(CalcNoteB,$N687)="","—",INDEX(CalcNoteB,$N687)),""))</f>
        <v/>
      </c>
      <c r="M687">
        <f>IFERROR(MATCH($C$5&amp;"|"&amp;RIGHT("000000"&amp;671,6),CalcRankKeyA,0),"")</f>
        <v/>
      </c>
      <c r="N687">
        <f>IFERROR(MATCH($C$5&amp;"|"&amp;RIGHT("000000"&amp;671,6),CalcRankKeyB,0),"")</f>
        <v/>
      </c>
    </row>
    <row r="688">
      <c r="A688" s="26" t="n">
        <v>672</v>
      </c>
      <c r="B688" s="27">
        <f>IF(AND($M688="",$N688=""),"",IF($M688&lt;&gt;"",INDEX(CalcDateA,$M688),INDEX(CalcDateB,$N688)))</f>
        <v/>
      </c>
      <c r="C688" s="27">
        <f>IF($M688&lt;&gt;"","خرید سبد",IF($N688&lt;&gt;"",IF(N(INDEX(CalcDepB,$N688))&gt;0,"دریافت بانکی","پرداخت بانکی"),""))</f>
        <v/>
      </c>
      <c r="D688" s="27">
        <f>IF($M688&lt;&gt;"",IF(INDEX(CalcDocA,$M688)="","—",INDEX(CalcDocA,$M688)),IF($N688&lt;&gt;"",INDEX(CalcBankB,$N688),""))</f>
        <v/>
      </c>
      <c r="E688" s="28">
        <f>IF($N688&lt;&gt;"",IF(INDEX(CalcDepB,$N688)=0,"",INDEX(CalcDepB,$N688)),"")</f>
        <v/>
      </c>
      <c r="F688" s="28">
        <f>IF($M688&lt;&gt;"",IF(INDEX(CalcQtyA,$M688)=0,"",INDEX(CalcQtyA,$M688)),"")</f>
        <v/>
      </c>
      <c r="G688" s="28">
        <f>IF($M688&lt;&gt;"",IF(INDEX(CalcPriceA,$M688)=0,"",INDEX(CalcPriceA,$M688)),"")</f>
        <v/>
      </c>
      <c r="H688" s="28">
        <f>IF($N688&lt;&gt;"",IF(INDEX(CalcWitB,$N688)=0,"",INDEX(CalcWitB,$N688)),"")</f>
        <v/>
      </c>
      <c r="I688" s="29">
        <f>IF($M688&lt;&gt;"",INDEX(CalcAmtA,$M688),"")</f>
        <v/>
      </c>
      <c r="J688" s="29">
        <f>IF($B688="","",IF($J687="",$C$8,$J687)+IF($I688="",0,$I688)+IF($E688="",0,$E688)-IF($H688="",0,$H688))</f>
        <v/>
      </c>
      <c r="K688" s="30">
        <f>IF($M688&lt;&gt;"",IF(INDEX(CalcNoteA,$M688)="","—",INDEX(CalcNoteA,$M688)),IF($N688&lt;&gt;"",IF(INDEX(CalcNoteB,$N688)="","—",INDEX(CalcNoteB,$N688)),""))</f>
        <v/>
      </c>
      <c r="M688">
        <f>IFERROR(MATCH($C$5&amp;"|"&amp;RIGHT("000000"&amp;672,6),CalcRankKeyA,0),"")</f>
        <v/>
      </c>
      <c r="N688">
        <f>IFERROR(MATCH($C$5&amp;"|"&amp;RIGHT("000000"&amp;672,6),CalcRankKeyB,0),"")</f>
        <v/>
      </c>
    </row>
    <row r="689">
      <c r="A689" s="21" t="n">
        <v>673</v>
      </c>
      <c r="B689" s="22">
        <f>IF(AND($M689="",$N689=""),"",IF($M689&lt;&gt;"",INDEX(CalcDateA,$M689),INDEX(CalcDateB,$N689)))</f>
        <v/>
      </c>
      <c r="C689" s="22">
        <f>IF($M689&lt;&gt;"","خرید سبد",IF($N689&lt;&gt;"",IF(N(INDEX(CalcDepB,$N689))&gt;0,"دریافت بانکی","پرداخت بانکی"),""))</f>
        <v/>
      </c>
      <c r="D689" s="22">
        <f>IF($M689&lt;&gt;"",IF(INDEX(CalcDocA,$M689)="","—",INDEX(CalcDocA,$M689)),IF($N689&lt;&gt;"",INDEX(CalcBankB,$N689),""))</f>
        <v/>
      </c>
      <c r="E689" s="23">
        <f>IF($N689&lt;&gt;"",IF(INDEX(CalcDepB,$N689)=0,"",INDEX(CalcDepB,$N689)),"")</f>
        <v/>
      </c>
      <c r="F689" s="23">
        <f>IF($M689&lt;&gt;"",IF(INDEX(CalcQtyA,$M689)=0,"",INDEX(CalcQtyA,$M689)),"")</f>
        <v/>
      </c>
      <c r="G689" s="23">
        <f>IF($M689&lt;&gt;"",IF(INDEX(CalcPriceA,$M689)=0,"",INDEX(CalcPriceA,$M689)),"")</f>
        <v/>
      </c>
      <c r="H689" s="23">
        <f>IF($N689&lt;&gt;"",IF(INDEX(CalcWitB,$N689)=0,"",INDEX(CalcWitB,$N689)),"")</f>
        <v/>
      </c>
      <c r="I689" s="24">
        <f>IF($M689&lt;&gt;"",INDEX(CalcAmtA,$M689),"")</f>
        <v/>
      </c>
      <c r="J689" s="24">
        <f>IF($B689="","",IF($J688="",$C$8,$J688)+IF($I689="",0,$I689)+IF($E689="",0,$E689)-IF($H689="",0,$H689))</f>
        <v/>
      </c>
      <c r="K689" s="25">
        <f>IF($M689&lt;&gt;"",IF(INDEX(CalcNoteA,$M689)="","—",INDEX(CalcNoteA,$M689)),IF($N689&lt;&gt;"",IF(INDEX(CalcNoteB,$N689)="","—",INDEX(CalcNoteB,$N689)),""))</f>
        <v/>
      </c>
      <c r="M689">
        <f>IFERROR(MATCH($C$5&amp;"|"&amp;RIGHT("000000"&amp;673,6),CalcRankKeyA,0),"")</f>
        <v/>
      </c>
      <c r="N689">
        <f>IFERROR(MATCH($C$5&amp;"|"&amp;RIGHT("000000"&amp;673,6),CalcRankKeyB,0),"")</f>
        <v/>
      </c>
    </row>
    <row r="690">
      <c r="A690" s="26" t="n">
        <v>674</v>
      </c>
      <c r="B690" s="27">
        <f>IF(AND($M690="",$N690=""),"",IF($M690&lt;&gt;"",INDEX(CalcDateA,$M690),INDEX(CalcDateB,$N690)))</f>
        <v/>
      </c>
      <c r="C690" s="27">
        <f>IF($M690&lt;&gt;"","خرید سبد",IF($N690&lt;&gt;"",IF(N(INDEX(CalcDepB,$N690))&gt;0,"دریافت بانکی","پرداخت بانکی"),""))</f>
        <v/>
      </c>
      <c r="D690" s="27">
        <f>IF($M690&lt;&gt;"",IF(INDEX(CalcDocA,$M690)="","—",INDEX(CalcDocA,$M690)),IF($N690&lt;&gt;"",INDEX(CalcBankB,$N690),""))</f>
        <v/>
      </c>
      <c r="E690" s="28">
        <f>IF($N690&lt;&gt;"",IF(INDEX(CalcDepB,$N690)=0,"",INDEX(CalcDepB,$N690)),"")</f>
        <v/>
      </c>
      <c r="F690" s="28">
        <f>IF($M690&lt;&gt;"",IF(INDEX(CalcQtyA,$M690)=0,"",INDEX(CalcQtyA,$M690)),"")</f>
        <v/>
      </c>
      <c r="G690" s="28">
        <f>IF($M690&lt;&gt;"",IF(INDEX(CalcPriceA,$M690)=0,"",INDEX(CalcPriceA,$M690)),"")</f>
        <v/>
      </c>
      <c r="H690" s="28">
        <f>IF($N690&lt;&gt;"",IF(INDEX(CalcWitB,$N690)=0,"",INDEX(CalcWitB,$N690)),"")</f>
        <v/>
      </c>
      <c r="I690" s="29">
        <f>IF($M690&lt;&gt;"",INDEX(CalcAmtA,$M690),"")</f>
        <v/>
      </c>
      <c r="J690" s="29">
        <f>IF($B690="","",IF($J689="",$C$8,$J689)+IF($I690="",0,$I690)+IF($E690="",0,$E690)-IF($H690="",0,$H690))</f>
        <v/>
      </c>
      <c r="K690" s="30">
        <f>IF($M690&lt;&gt;"",IF(INDEX(CalcNoteA,$M690)="","—",INDEX(CalcNoteA,$M690)),IF($N690&lt;&gt;"",IF(INDEX(CalcNoteB,$N690)="","—",INDEX(CalcNoteB,$N690)),""))</f>
        <v/>
      </c>
      <c r="M690">
        <f>IFERROR(MATCH($C$5&amp;"|"&amp;RIGHT("000000"&amp;674,6),CalcRankKeyA,0),"")</f>
        <v/>
      </c>
      <c r="N690">
        <f>IFERROR(MATCH($C$5&amp;"|"&amp;RIGHT("000000"&amp;674,6),CalcRankKeyB,0),"")</f>
        <v/>
      </c>
    </row>
    <row r="691">
      <c r="A691" s="21" t="n">
        <v>675</v>
      </c>
      <c r="B691" s="22">
        <f>IF(AND($M691="",$N691=""),"",IF($M691&lt;&gt;"",INDEX(CalcDateA,$M691),INDEX(CalcDateB,$N691)))</f>
        <v/>
      </c>
      <c r="C691" s="22">
        <f>IF($M691&lt;&gt;"","خرید سبد",IF($N691&lt;&gt;"",IF(N(INDEX(CalcDepB,$N691))&gt;0,"دریافت بانکی","پرداخت بانکی"),""))</f>
        <v/>
      </c>
      <c r="D691" s="22">
        <f>IF($M691&lt;&gt;"",IF(INDEX(CalcDocA,$M691)="","—",INDEX(CalcDocA,$M691)),IF($N691&lt;&gt;"",INDEX(CalcBankB,$N691),""))</f>
        <v/>
      </c>
      <c r="E691" s="23">
        <f>IF($N691&lt;&gt;"",IF(INDEX(CalcDepB,$N691)=0,"",INDEX(CalcDepB,$N691)),"")</f>
        <v/>
      </c>
      <c r="F691" s="23">
        <f>IF($M691&lt;&gt;"",IF(INDEX(CalcQtyA,$M691)=0,"",INDEX(CalcQtyA,$M691)),"")</f>
        <v/>
      </c>
      <c r="G691" s="23">
        <f>IF($M691&lt;&gt;"",IF(INDEX(CalcPriceA,$M691)=0,"",INDEX(CalcPriceA,$M691)),"")</f>
        <v/>
      </c>
      <c r="H691" s="23">
        <f>IF($N691&lt;&gt;"",IF(INDEX(CalcWitB,$N691)=0,"",INDEX(CalcWitB,$N691)),"")</f>
        <v/>
      </c>
      <c r="I691" s="24">
        <f>IF($M691&lt;&gt;"",INDEX(CalcAmtA,$M691),"")</f>
        <v/>
      </c>
      <c r="J691" s="24">
        <f>IF($B691="","",IF($J690="",$C$8,$J690)+IF($I691="",0,$I691)+IF($E691="",0,$E691)-IF($H691="",0,$H691))</f>
        <v/>
      </c>
      <c r="K691" s="25">
        <f>IF($M691&lt;&gt;"",IF(INDEX(CalcNoteA,$M691)="","—",INDEX(CalcNoteA,$M691)),IF($N691&lt;&gt;"",IF(INDEX(CalcNoteB,$N691)="","—",INDEX(CalcNoteB,$N691)),""))</f>
        <v/>
      </c>
      <c r="M691">
        <f>IFERROR(MATCH($C$5&amp;"|"&amp;RIGHT("000000"&amp;675,6),CalcRankKeyA,0),"")</f>
        <v/>
      </c>
      <c r="N691">
        <f>IFERROR(MATCH($C$5&amp;"|"&amp;RIGHT("000000"&amp;675,6),CalcRankKeyB,0),"")</f>
        <v/>
      </c>
    </row>
    <row r="692">
      <c r="A692" s="26" t="n">
        <v>676</v>
      </c>
      <c r="B692" s="27">
        <f>IF(AND($M692="",$N692=""),"",IF($M692&lt;&gt;"",INDEX(CalcDateA,$M692),INDEX(CalcDateB,$N692)))</f>
        <v/>
      </c>
      <c r="C692" s="27">
        <f>IF($M692&lt;&gt;"","خرید سبد",IF($N692&lt;&gt;"",IF(N(INDEX(CalcDepB,$N692))&gt;0,"دریافت بانکی","پرداخت بانکی"),""))</f>
        <v/>
      </c>
      <c r="D692" s="27">
        <f>IF($M692&lt;&gt;"",IF(INDEX(CalcDocA,$M692)="","—",INDEX(CalcDocA,$M692)),IF($N692&lt;&gt;"",INDEX(CalcBankB,$N692),""))</f>
        <v/>
      </c>
      <c r="E692" s="28">
        <f>IF($N692&lt;&gt;"",IF(INDEX(CalcDepB,$N692)=0,"",INDEX(CalcDepB,$N692)),"")</f>
        <v/>
      </c>
      <c r="F692" s="28">
        <f>IF($M692&lt;&gt;"",IF(INDEX(CalcQtyA,$M692)=0,"",INDEX(CalcQtyA,$M692)),"")</f>
        <v/>
      </c>
      <c r="G692" s="28">
        <f>IF($M692&lt;&gt;"",IF(INDEX(CalcPriceA,$M692)=0,"",INDEX(CalcPriceA,$M692)),"")</f>
        <v/>
      </c>
      <c r="H692" s="28">
        <f>IF($N692&lt;&gt;"",IF(INDEX(CalcWitB,$N692)=0,"",INDEX(CalcWitB,$N692)),"")</f>
        <v/>
      </c>
      <c r="I692" s="29">
        <f>IF($M692&lt;&gt;"",INDEX(CalcAmtA,$M692),"")</f>
        <v/>
      </c>
      <c r="J692" s="29">
        <f>IF($B692="","",IF($J691="",$C$8,$J691)+IF($I692="",0,$I692)+IF($E692="",0,$E692)-IF($H692="",0,$H692))</f>
        <v/>
      </c>
      <c r="K692" s="30">
        <f>IF($M692&lt;&gt;"",IF(INDEX(CalcNoteA,$M692)="","—",INDEX(CalcNoteA,$M692)),IF($N692&lt;&gt;"",IF(INDEX(CalcNoteB,$N692)="","—",INDEX(CalcNoteB,$N692)),""))</f>
        <v/>
      </c>
      <c r="M692">
        <f>IFERROR(MATCH($C$5&amp;"|"&amp;RIGHT("000000"&amp;676,6),CalcRankKeyA,0),"")</f>
        <v/>
      </c>
      <c r="N692">
        <f>IFERROR(MATCH($C$5&amp;"|"&amp;RIGHT("000000"&amp;676,6),CalcRankKeyB,0),"")</f>
        <v/>
      </c>
    </row>
    <row r="693">
      <c r="A693" s="21" t="n">
        <v>677</v>
      </c>
      <c r="B693" s="22">
        <f>IF(AND($M693="",$N693=""),"",IF($M693&lt;&gt;"",INDEX(CalcDateA,$M693),INDEX(CalcDateB,$N693)))</f>
        <v/>
      </c>
      <c r="C693" s="22">
        <f>IF($M693&lt;&gt;"","خرید سبد",IF($N693&lt;&gt;"",IF(N(INDEX(CalcDepB,$N693))&gt;0,"دریافت بانکی","پرداخت بانکی"),""))</f>
        <v/>
      </c>
      <c r="D693" s="22">
        <f>IF($M693&lt;&gt;"",IF(INDEX(CalcDocA,$M693)="","—",INDEX(CalcDocA,$M693)),IF($N693&lt;&gt;"",INDEX(CalcBankB,$N693),""))</f>
        <v/>
      </c>
      <c r="E693" s="23">
        <f>IF($N693&lt;&gt;"",IF(INDEX(CalcDepB,$N693)=0,"",INDEX(CalcDepB,$N693)),"")</f>
        <v/>
      </c>
      <c r="F693" s="23">
        <f>IF($M693&lt;&gt;"",IF(INDEX(CalcQtyA,$M693)=0,"",INDEX(CalcQtyA,$M693)),"")</f>
        <v/>
      </c>
      <c r="G693" s="23">
        <f>IF($M693&lt;&gt;"",IF(INDEX(CalcPriceA,$M693)=0,"",INDEX(CalcPriceA,$M693)),"")</f>
        <v/>
      </c>
      <c r="H693" s="23">
        <f>IF($N693&lt;&gt;"",IF(INDEX(CalcWitB,$N693)=0,"",INDEX(CalcWitB,$N693)),"")</f>
        <v/>
      </c>
      <c r="I693" s="24">
        <f>IF($M693&lt;&gt;"",INDEX(CalcAmtA,$M693),"")</f>
        <v/>
      </c>
      <c r="J693" s="24">
        <f>IF($B693="","",IF($J692="",$C$8,$J692)+IF($I693="",0,$I693)+IF($E693="",0,$E693)-IF($H693="",0,$H693))</f>
        <v/>
      </c>
      <c r="K693" s="25">
        <f>IF($M693&lt;&gt;"",IF(INDEX(CalcNoteA,$M693)="","—",INDEX(CalcNoteA,$M693)),IF($N693&lt;&gt;"",IF(INDEX(CalcNoteB,$N693)="","—",INDEX(CalcNoteB,$N693)),""))</f>
        <v/>
      </c>
      <c r="M693">
        <f>IFERROR(MATCH($C$5&amp;"|"&amp;RIGHT("000000"&amp;677,6),CalcRankKeyA,0),"")</f>
        <v/>
      </c>
      <c r="N693">
        <f>IFERROR(MATCH($C$5&amp;"|"&amp;RIGHT("000000"&amp;677,6),CalcRankKeyB,0),"")</f>
        <v/>
      </c>
    </row>
    <row r="694">
      <c r="A694" s="26" t="n">
        <v>678</v>
      </c>
      <c r="B694" s="27">
        <f>IF(AND($M694="",$N694=""),"",IF($M694&lt;&gt;"",INDEX(CalcDateA,$M694),INDEX(CalcDateB,$N694)))</f>
        <v/>
      </c>
      <c r="C694" s="27">
        <f>IF($M694&lt;&gt;"","خرید سبد",IF($N694&lt;&gt;"",IF(N(INDEX(CalcDepB,$N694))&gt;0,"دریافت بانکی","پرداخت بانکی"),""))</f>
        <v/>
      </c>
      <c r="D694" s="27">
        <f>IF($M694&lt;&gt;"",IF(INDEX(CalcDocA,$M694)="","—",INDEX(CalcDocA,$M694)),IF($N694&lt;&gt;"",INDEX(CalcBankB,$N694),""))</f>
        <v/>
      </c>
      <c r="E694" s="28">
        <f>IF($N694&lt;&gt;"",IF(INDEX(CalcDepB,$N694)=0,"",INDEX(CalcDepB,$N694)),"")</f>
        <v/>
      </c>
      <c r="F694" s="28">
        <f>IF($M694&lt;&gt;"",IF(INDEX(CalcQtyA,$M694)=0,"",INDEX(CalcQtyA,$M694)),"")</f>
        <v/>
      </c>
      <c r="G694" s="28">
        <f>IF($M694&lt;&gt;"",IF(INDEX(CalcPriceA,$M694)=0,"",INDEX(CalcPriceA,$M694)),"")</f>
        <v/>
      </c>
      <c r="H694" s="28">
        <f>IF($N694&lt;&gt;"",IF(INDEX(CalcWitB,$N694)=0,"",INDEX(CalcWitB,$N694)),"")</f>
        <v/>
      </c>
      <c r="I694" s="29">
        <f>IF($M694&lt;&gt;"",INDEX(CalcAmtA,$M694),"")</f>
        <v/>
      </c>
      <c r="J694" s="29">
        <f>IF($B694="","",IF($J693="",$C$8,$J693)+IF($I694="",0,$I694)+IF($E694="",0,$E694)-IF($H694="",0,$H694))</f>
        <v/>
      </c>
      <c r="K694" s="30">
        <f>IF($M694&lt;&gt;"",IF(INDEX(CalcNoteA,$M694)="","—",INDEX(CalcNoteA,$M694)),IF($N694&lt;&gt;"",IF(INDEX(CalcNoteB,$N694)="","—",INDEX(CalcNoteB,$N694)),""))</f>
        <v/>
      </c>
      <c r="M694">
        <f>IFERROR(MATCH($C$5&amp;"|"&amp;RIGHT("000000"&amp;678,6),CalcRankKeyA,0),"")</f>
        <v/>
      </c>
      <c r="N694">
        <f>IFERROR(MATCH($C$5&amp;"|"&amp;RIGHT("000000"&amp;678,6),CalcRankKeyB,0),"")</f>
        <v/>
      </c>
    </row>
    <row r="695">
      <c r="A695" s="21" t="n">
        <v>679</v>
      </c>
      <c r="B695" s="22">
        <f>IF(AND($M695="",$N695=""),"",IF($M695&lt;&gt;"",INDEX(CalcDateA,$M695),INDEX(CalcDateB,$N695)))</f>
        <v/>
      </c>
      <c r="C695" s="22">
        <f>IF($M695&lt;&gt;"","خرید سبد",IF($N695&lt;&gt;"",IF(N(INDEX(CalcDepB,$N695))&gt;0,"دریافت بانکی","پرداخت بانکی"),""))</f>
        <v/>
      </c>
      <c r="D695" s="22">
        <f>IF($M695&lt;&gt;"",IF(INDEX(CalcDocA,$M695)="","—",INDEX(CalcDocA,$M695)),IF($N695&lt;&gt;"",INDEX(CalcBankB,$N695),""))</f>
        <v/>
      </c>
      <c r="E695" s="23">
        <f>IF($N695&lt;&gt;"",IF(INDEX(CalcDepB,$N695)=0,"",INDEX(CalcDepB,$N695)),"")</f>
        <v/>
      </c>
      <c r="F695" s="23">
        <f>IF($M695&lt;&gt;"",IF(INDEX(CalcQtyA,$M695)=0,"",INDEX(CalcQtyA,$M695)),"")</f>
        <v/>
      </c>
      <c r="G695" s="23">
        <f>IF($M695&lt;&gt;"",IF(INDEX(CalcPriceA,$M695)=0,"",INDEX(CalcPriceA,$M695)),"")</f>
        <v/>
      </c>
      <c r="H695" s="23">
        <f>IF($N695&lt;&gt;"",IF(INDEX(CalcWitB,$N695)=0,"",INDEX(CalcWitB,$N695)),"")</f>
        <v/>
      </c>
      <c r="I695" s="24">
        <f>IF($M695&lt;&gt;"",INDEX(CalcAmtA,$M695),"")</f>
        <v/>
      </c>
      <c r="J695" s="24">
        <f>IF($B695="","",IF($J694="",$C$8,$J694)+IF($I695="",0,$I695)+IF($E695="",0,$E695)-IF($H695="",0,$H695))</f>
        <v/>
      </c>
      <c r="K695" s="25">
        <f>IF($M695&lt;&gt;"",IF(INDEX(CalcNoteA,$M695)="","—",INDEX(CalcNoteA,$M695)),IF($N695&lt;&gt;"",IF(INDEX(CalcNoteB,$N695)="","—",INDEX(CalcNoteB,$N695)),""))</f>
        <v/>
      </c>
      <c r="M695">
        <f>IFERROR(MATCH($C$5&amp;"|"&amp;RIGHT("000000"&amp;679,6),CalcRankKeyA,0),"")</f>
        <v/>
      </c>
      <c r="N695">
        <f>IFERROR(MATCH($C$5&amp;"|"&amp;RIGHT("000000"&amp;679,6),CalcRankKeyB,0),"")</f>
        <v/>
      </c>
    </row>
    <row r="696">
      <c r="A696" s="26" t="n">
        <v>680</v>
      </c>
      <c r="B696" s="27">
        <f>IF(AND($M696="",$N696=""),"",IF($M696&lt;&gt;"",INDEX(CalcDateA,$M696),INDEX(CalcDateB,$N696)))</f>
        <v/>
      </c>
      <c r="C696" s="27">
        <f>IF($M696&lt;&gt;"","خرید سبد",IF($N696&lt;&gt;"",IF(N(INDEX(CalcDepB,$N696))&gt;0,"دریافت بانکی","پرداخت بانکی"),""))</f>
        <v/>
      </c>
      <c r="D696" s="27">
        <f>IF($M696&lt;&gt;"",IF(INDEX(CalcDocA,$M696)="","—",INDEX(CalcDocA,$M696)),IF($N696&lt;&gt;"",INDEX(CalcBankB,$N696),""))</f>
        <v/>
      </c>
      <c r="E696" s="28">
        <f>IF($N696&lt;&gt;"",IF(INDEX(CalcDepB,$N696)=0,"",INDEX(CalcDepB,$N696)),"")</f>
        <v/>
      </c>
      <c r="F696" s="28">
        <f>IF($M696&lt;&gt;"",IF(INDEX(CalcQtyA,$M696)=0,"",INDEX(CalcQtyA,$M696)),"")</f>
        <v/>
      </c>
      <c r="G696" s="28">
        <f>IF($M696&lt;&gt;"",IF(INDEX(CalcPriceA,$M696)=0,"",INDEX(CalcPriceA,$M696)),"")</f>
        <v/>
      </c>
      <c r="H696" s="28">
        <f>IF($N696&lt;&gt;"",IF(INDEX(CalcWitB,$N696)=0,"",INDEX(CalcWitB,$N696)),"")</f>
        <v/>
      </c>
      <c r="I696" s="29">
        <f>IF($M696&lt;&gt;"",INDEX(CalcAmtA,$M696),"")</f>
        <v/>
      </c>
      <c r="J696" s="29">
        <f>IF($B696="","",IF($J695="",$C$8,$J695)+IF($I696="",0,$I696)+IF($E696="",0,$E696)-IF($H696="",0,$H696))</f>
        <v/>
      </c>
      <c r="K696" s="30">
        <f>IF($M696&lt;&gt;"",IF(INDEX(CalcNoteA,$M696)="","—",INDEX(CalcNoteA,$M696)),IF($N696&lt;&gt;"",IF(INDEX(CalcNoteB,$N696)="","—",INDEX(CalcNoteB,$N696)),""))</f>
        <v/>
      </c>
      <c r="M696">
        <f>IFERROR(MATCH($C$5&amp;"|"&amp;RIGHT("000000"&amp;680,6),CalcRankKeyA,0),"")</f>
        <v/>
      </c>
      <c r="N696">
        <f>IFERROR(MATCH($C$5&amp;"|"&amp;RIGHT("000000"&amp;680,6),CalcRankKeyB,0),"")</f>
        <v/>
      </c>
    </row>
    <row r="697">
      <c r="A697" s="21" t="n">
        <v>681</v>
      </c>
      <c r="B697" s="22">
        <f>IF(AND($M697="",$N697=""),"",IF($M697&lt;&gt;"",INDEX(CalcDateA,$M697),INDEX(CalcDateB,$N697)))</f>
        <v/>
      </c>
      <c r="C697" s="22">
        <f>IF($M697&lt;&gt;"","خرید سبد",IF($N697&lt;&gt;"",IF(N(INDEX(CalcDepB,$N697))&gt;0,"دریافت بانکی","پرداخت بانکی"),""))</f>
        <v/>
      </c>
      <c r="D697" s="22">
        <f>IF($M697&lt;&gt;"",IF(INDEX(CalcDocA,$M697)="","—",INDEX(CalcDocA,$M697)),IF($N697&lt;&gt;"",INDEX(CalcBankB,$N697),""))</f>
        <v/>
      </c>
      <c r="E697" s="23">
        <f>IF($N697&lt;&gt;"",IF(INDEX(CalcDepB,$N697)=0,"",INDEX(CalcDepB,$N697)),"")</f>
        <v/>
      </c>
      <c r="F697" s="23">
        <f>IF($M697&lt;&gt;"",IF(INDEX(CalcQtyA,$M697)=0,"",INDEX(CalcQtyA,$M697)),"")</f>
        <v/>
      </c>
      <c r="G697" s="23">
        <f>IF($M697&lt;&gt;"",IF(INDEX(CalcPriceA,$M697)=0,"",INDEX(CalcPriceA,$M697)),"")</f>
        <v/>
      </c>
      <c r="H697" s="23">
        <f>IF($N697&lt;&gt;"",IF(INDEX(CalcWitB,$N697)=0,"",INDEX(CalcWitB,$N697)),"")</f>
        <v/>
      </c>
      <c r="I697" s="24">
        <f>IF($M697&lt;&gt;"",INDEX(CalcAmtA,$M697),"")</f>
        <v/>
      </c>
      <c r="J697" s="24">
        <f>IF($B697="","",IF($J696="",$C$8,$J696)+IF($I697="",0,$I697)+IF($E697="",0,$E697)-IF($H697="",0,$H697))</f>
        <v/>
      </c>
      <c r="K697" s="25">
        <f>IF($M697&lt;&gt;"",IF(INDEX(CalcNoteA,$M697)="","—",INDEX(CalcNoteA,$M697)),IF($N697&lt;&gt;"",IF(INDEX(CalcNoteB,$N697)="","—",INDEX(CalcNoteB,$N697)),""))</f>
        <v/>
      </c>
      <c r="M697">
        <f>IFERROR(MATCH($C$5&amp;"|"&amp;RIGHT("000000"&amp;681,6),CalcRankKeyA,0),"")</f>
        <v/>
      </c>
      <c r="N697">
        <f>IFERROR(MATCH($C$5&amp;"|"&amp;RIGHT("000000"&amp;681,6),CalcRankKeyB,0),"")</f>
        <v/>
      </c>
    </row>
    <row r="698">
      <c r="A698" s="26" t="n">
        <v>682</v>
      </c>
      <c r="B698" s="27">
        <f>IF(AND($M698="",$N698=""),"",IF($M698&lt;&gt;"",INDEX(CalcDateA,$M698),INDEX(CalcDateB,$N698)))</f>
        <v/>
      </c>
      <c r="C698" s="27">
        <f>IF($M698&lt;&gt;"","خرید سبد",IF($N698&lt;&gt;"",IF(N(INDEX(CalcDepB,$N698))&gt;0,"دریافت بانکی","پرداخت بانکی"),""))</f>
        <v/>
      </c>
      <c r="D698" s="27">
        <f>IF($M698&lt;&gt;"",IF(INDEX(CalcDocA,$M698)="","—",INDEX(CalcDocA,$M698)),IF($N698&lt;&gt;"",INDEX(CalcBankB,$N698),""))</f>
        <v/>
      </c>
      <c r="E698" s="28">
        <f>IF($N698&lt;&gt;"",IF(INDEX(CalcDepB,$N698)=0,"",INDEX(CalcDepB,$N698)),"")</f>
        <v/>
      </c>
      <c r="F698" s="28">
        <f>IF($M698&lt;&gt;"",IF(INDEX(CalcQtyA,$M698)=0,"",INDEX(CalcQtyA,$M698)),"")</f>
        <v/>
      </c>
      <c r="G698" s="28">
        <f>IF($M698&lt;&gt;"",IF(INDEX(CalcPriceA,$M698)=0,"",INDEX(CalcPriceA,$M698)),"")</f>
        <v/>
      </c>
      <c r="H698" s="28">
        <f>IF($N698&lt;&gt;"",IF(INDEX(CalcWitB,$N698)=0,"",INDEX(CalcWitB,$N698)),"")</f>
        <v/>
      </c>
      <c r="I698" s="29">
        <f>IF($M698&lt;&gt;"",INDEX(CalcAmtA,$M698),"")</f>
        <v/>
      </c>
      <c r="J698" s="29">
        <f>IF($B698="","",IF($J697="",$C$8,$J697)+IF($I698="",0,$I698)+IF($E698="",0,$E698)-IF($H698="",0,$H698))</f>
        <v/>
      </c>
      <c r="K698" s="30">
        <f>IF($M698&lt;&gt;"",IF(INDEX(CalcNoteA,$M698)="","—",INDEX(CalcNoteA,$M698)),IF($N698&lt;&gt;"",IF(INDEX(CalcNoteB,$N698)="","—",INDEX(CalcNoteB,$N698)),""))</f>
        <v/>
      </c>
      <c r="M698">
        <f>IFERROR(MATCH($C$5&amp;"|"&amp;RIGHT("000000"&amp;682,6),CalcRankKeyA,0),"")</f>
        <v/>
      </c>
      <c r="N698">
        <f>IFERROR(MATCH($C$5&amp;"|"&amp;RIGHT("000000"&amp;682,6),CalcRankKeyB,0),"")</f>
        <v/>
      </c>
    </row>
    <row r="699">
      <c r="A699" s="21" t="n">
        <v>683</v>
      </c>
      <c r="B699" s="22">
        <f>IF(AND($M699="",$N699=""),"",IF($M699&lt;&gt;"",INDEX(CalcDateA,$M699),INDEX(CalcDateB,$N699)))</f>
        <v/>
      </c>
      <c r="C699" s="22">
        <f>IF($M699&lt;&gt;"","خرید سبد",IF($N699&lt;&gt;"",IF(N(INDEX(CalcDepB,$N699))&gt;0,"دریافت بانکی","پرداخت بانکی"),""))</f>
        <v/>
      </c>
      <c r="D699" s="22">
        <f>IF($M699&lt;&gt;"",IF(INDEX(CalcDocA,$M699)="","—",INDEX(CalcDocA,$M699)),IF($N699&lt;&gt;"",INDEX(CalcBankB,$N699),""))</f>
        <v/>
      </c>
      <c r="E699" s="23">
        <f>IF($N699&lt;&gt;"",IF(INDEX(CalcDepB,$N699)=0,"",INDEX(CalcDepB,$N699)),"")</f>
        <v/>
      </c>
      <c r="F699" s="23">
        <f>IF($M699&lt;&gt;"",IF(INDEX(CalcQtyA,$M699)=0,"",INDEX(CalcQtyA,$M699)),"")</f>
        <v/>
      </c>
      <c r="G699" s="23">
        <f>IF($M699&lt;&gt;"",IF(INDEX(CalcPriceA,$M699)=0,"",INDEX(CalcPriceA,$M699)),"")</f>
        <v/>
      </c>
      <c r="H699" s="23">
        <f>IF($N699&lt;&gt;"",IF(INDEX(CalcWitB,$N699)=0,"",INDEX(CalcWitB,$N699)),"")</f>
        <v/>
      </c>
      <c r="I699" s="24">
        <f>IF($M699&lt;&gt;"",INDEX(CalcAmtA,$M699),"")</f>
        <v/>
      </c>
      <c r="J699" s="24">
        <f>IF($B699="","",IF($J698="",$C$8,$J698)+IF($I699="",0,$I699)+IF($E699="",0,$E699)-IF($H699="",0,$H699))</f>
        <v/>
      </c>
      <c r="K699" s="25">
        <f>IF($M699&lt;&gt;"",IF(INDEX(CalcNoteA,$M699)="","—",INDEX(CalcNoteA,$M699)),IF($N699&lt;&gt;"",IF(INDEX(CalcNoteB,$N699)="","—",INDEX(CalcNoteB,$N699)),""))</f>
        <v/>
      </c>
      <c r="M699">
        <f>IFERROR(MATCH($C$5&amp;"|"&amp;RIGHT("000000"&amp;683,6),CalcRankKeyA,0),"")</f>
        <v/>
      </c>
      <c r="N699">
        <f>IFERROR(MATCH($C$5&amp;"|"&amp;RIGHT("000000"&amp;683,6),CalcRankKeyB,0),"")</f>
        <v/>
      </c>
    </row>
    <row r="700">
      <c r="A700" s="26" t="n">
        <v>684</v>
      </c>
      <c r="B700" s="27">
        <f>IF(AND($M700="",$N700=""),"",IF($M700&lt;&gt;"",INDEX(CalcDateA,$M700),INDEX(CalcDateB,$N700)))</f>
        <v/>
      </c>
      <c r="C700" s="27">
        <f>IF($M700&lt;&gt;"","خرید سبد",IF($N700&lt;&gt;"",IF(N(INDEX(CalcDepB,$N700))&gt;0,"دریافت بانکی","پرداخت بانکی"),""))</f>
        <v/>
      </c>
      <c r="D700" s="27">
        <f>IF($M700&lt;&gt;"",IF(INDEX(CalcDocA,$M700)="","—",INDEX(CalcDocA,$M700)),IF($N700&lt;&gt;"",INDEX(CalcBankB,$N700),""))</f>
        <v/>
      </c>
      <c r="E700" s="28">
        <f>IF($N700&lt;&gt;"",IF(INDEX(CalcDepB,$N700)=0,"",INDEX(CalcDepB,$N700)),"")</f>
        <v/>
      </c>
      <c r="F700" s="28">
        <f>IF($M700&lt;&gt;"",IF(INDEX(CalcQtyA,$M700)=0,"",INDEX(CalcQtyA,$M700)),"")</f>
        <v/>
      </c>
      <c r="G700" s="28">
        <f>IF($M700&lt;&gt;"",IF(INDEX(CalcPriceA,$M700)=0,"",INDEX(CalcPriceA,$M700)),"")</f>
        <v/>
      </c>
      <c r="H700" s="28">
        <f>IF($N700&lt;&gt;"",IF(INDEX(CalcWitB,$N700)=0,"",INDEX(CalcWitB,$N700)),"")</f>
        <v/>
      </c>
      <c r="I700" s="29">
        <f>IF($M700&lt;&gt;"",INDEX(CalcAmtA,$M700),"")</f>
        <v/>
      </c>
      <c r="J700" s="29">
        <f>IF($B700="","",IF($J699="",$C$8,$J699)+IF($I700="",0,$I700)+IF($E700="",0,$E700)-IF($H700="",0,$H700))</f>
        <v/>
      </c>
      <c r="K700" s="30">
        <f>IF($M700&lt;&gt;"",IF(INDEX(CalcNoteA,$M700)="","—",INDEX(CalcNoteA,$M700)),IF($N700&lt;&gt;"",IF(INDEX(CalcNoteB,$N700)="","—",INDEX(CalcNoteB,$N700)),""))</f>
        <v/>
      </c>
      <c r="M700">
        <f>IFERROR(MATCH($C$5&amp;"|"&amp;RIGHT("000000"&amp;684,6),CalcRankKeyA,0),"")</f>
        <v/>
      </c>
      <c r="N700">
        <f>IFERROR(MATCH($C$5&amp;"|"&amp;RIGHT("000000"&amp;684,6),CalcRankKeyB,0),"")</f>
        <v/>
      </c>
    </row>
    <row r="701">
      <c r="A701" s="21" t="n">
        <v>685</v>
      </c>
      <c r="B701" s="22">
        <f>IF(AND($M701="",$N701=""),"",IF($M701&lt;&gt;"",INDEX(CalcDateA,$M701),INDEX(CalcDateB,$N701)))</f>
        <v/>
      </c>
      <c r="C701" s="22">
        <f>IF($M701&lt;&gt;"","خرید سبد",IF($N701&lt;&gt;"",IF(N(INDEX(CalcDepB,$N701))&gt;0,"دریافت بانکی","پرداخت بانکی"),""))</f>
        <v/>
      </c>
      <c r="D701" s="22">
        <f>IF($M701&lt;&gt;"",IF(INDEX(CalcDocA,$M701)="","—",INDEX(CalcDocA,$M701)),IF($N701&lt;&gt;"",INDEX(CalcBankB,$N701),""))</f>
        <v/>
      </c>
      <c r="E701" s="23">
        <f>IF($N701&lt;&gt;"",IF(INDEX(CalcDepB,$N701)=0,"",INDEX(CalcDepB,$N701)),"")</f>
        <v/>
      </c>
      <c r="F701" s="23">
        <f>IF($M701&lt;&gt;"",IF(INDEX(CalcQtyA,$M701)=0,"",INDEX(CalcQtyA,$M701)),"")</f>
        <v/>
      </c>
      <c r="G701" s="23">
        <f>IF($M701&lt;&gt;"",IF(INDEX(CalcPriceA,$M701)=0,"",INDEX(CalcPriceA,$M701)),"")</f>
        <v/>
      </c>
      <c r="H701" s="23">
        <f>IF($N701&lt;&gt;"",IF(INDEX(CalcWitB,$N701)=0,"",INDEX(CalcWitB,$N701)),"")</f>
        <v/>
      </c>
      <c r="I701" s="24">
        <f>IF($M701&lt;&gt;"",INDEX(CalcAmtA,$M701),"")</f>
        <v/>
      </c>
      <c r="J701" s="24">
        <f>IF($B701="","",IF($J700="",$C$8,$J700)+IF($I701="",0,$I701)+IF($E701="",0,$E701)-IF($H701="",0,$H701))</f>
        <v/>
      </c>
      <c r="K701" s="25">
        <f>IF($M701&lt;&gt;"",IF(INDEX(CalcNoteA,$M701)="","—",INDEX(CalcNoteA,$M701)),IF($N701&lt;&gt;"",IF(INDEX(CalcNoteB,$N701)="","—",INDEX(CalcNoteB,$N701)),""))</f>
        <v/>
      </c>
      <c r="M701">
        <f>IFERROR(MATCH($C$5&amp;"|"&amp;RIGHT("000000"&amp;685,6),CalcRankKeyA,0),"")</f>
        <v/>
      </c>
      <c r="N701">
        <f>IFERROR(MATCH($C$5&amp;"|"&amp;RIGHT("000000"&amp;685,6),CalcRankKeyB,0),"")</f>
        <v/>
      </c>
    </row>
    <row r="702">
      <c r="A702" s="26" t="n">
        <v>686</v>
      </c>
      <c r="B702" s="27">
        <f>IF(AND($M702="",$N702=""),"",IF($M702&lt;&gt;"",INDEX(CalcDateA,$M702),INDEX(CalcDateB,$N702)))</f>
        <v/>
      </c>
      <c r="C702" s="27">
        <f>IF($M702&lt;&gt;"","خرید سبد",IF($N702&lt;&gt;"",IF(N(INDEX(CalcDepB,$N702))&gt;0,"دریافت بانکی","پرداخت بانکی"),""))</f>
        <v/>
      </c>
      <c r="D702" s="27">
        <f>IF($M702&lt;&gt;"",IF(INDEX(CalcDocA,$M702)="","—",INDEX(CalcDocA,$M702)),IF($N702&lt;&gt;"",INDEX(CalcBankB,$N702),""))</f>
        <v/>
      </c>
      <c r="E702" s="28">
        <f>IF($N702&lt;&gt;"",IF(INDEX(CalcDepB,$N702)=0,"",INDEX(CalcDepB,$N702)),"")</f>
        <v/>
      </c>
      <c r="F702" s="28">
        <f>IF($M702&lt;&gt;"",IF(INDEX(CalcQtyA,$M702)=0,"",INDEX(CalcQtyA,$M702)),"")</f>
        <v/>
      </c>
      <c r="G702" s="28">
        <f>IF($M702&lt;&gt;"",IF(INDEX(CalcPriceA,$M702)=0,"",INDEX(CalcPriceA,$M702)),"")</f>
        <v/>
      </c>
      <c r="H702" s="28">
        <f>IF($N702&lt;&gt;"",IF(INDEX(CalcWitB,$N702)=0,"",INDEX(CalcWitB,$N702)),"")</f>
        <v/>
      </c>
      <c r="I702" s="29">
        <f>IF($M702&lt;&gt;"",INDEX(CalcAmtA,$M702),"")</f>
        <v/>
      </c>
      <c r="J702" s="29">
        <f>IF($B702="","",IF($J701="",$C$8,$J701)+IF($I702="",0,$I702)+IF($E702="",0,$E702)-IF($H702="",0,$H702))</f>
        <v/>
      </c>
      <c r="K702" s="30">
        <f>IF($M702&lt;&gt;"",IF(INDEX(CalcNoteA,$M702)="","—",INDEX(CalcNoteA,$M702)),IF($N702&lt;&gt;"",IF(INDEX(CalcNoteB,$N702)="","—",INDEX(CalcNoteB,$N702)),""))</f>
        <v/>
      </c>
      <c r="M702">
        <f>IFERROR(MATCH($C$5&amp;"|"&amp;RIGHT("000000"&amp;686,6),CalcRankKeyA,0),"")</f>
        <v/>
      </c>
      <c r="N702">
        <f>IFERROR(MATCH($C$5&amp;"|"&amp;RIGHT("000000"&amp;686,6),CalcRankKeyB,0),"")</f>
        <v/>
      </c>
    </row>
    <row r="703">
      <c r="A703" s="21" t="n">
        <v>687</v>
      </c>
      <c r="B703" s="22">
        <f>IF(AND($M703="",$N703=""),"",IF($M703&lt;&gt;"",INDEX(CalcDateA,$M703),INDEX(CalcDateB,$N703)))</f>
        <v/>
      </c>
      <c r="C703" s="22">
        <f>IF($M703&lt;&gt;"","خرید سبد",IF($N703&lt;&gt;"",IF(N(INDEX(CalcDepB,$N703))&gt;0,"دریافت بانکی","پرداخت بانکی"),""))</f>
        <v/>
      </c>
      <c r="D703" s="22">
        <f>IF($M703&lt;&gt;"",IF(INDEX(CalcDocA,$M703)="","—",INDEX(CalcDocA,$M703)),IF($N703&lt;&gt;"",INDEX(CalcBankB,$N703),""))</f>
        <v/>
      </c>
      <c r="E703" s="23">
        <f>IF($N703&lt;&gt;"",IF(INDEX(CalcDepB,$N703)=0,"",INDEX(CalcDepB,$N703)),"")</f>
        <v/>
      </c>
      <c r="F703" s="23">
        <f>IF($M703&lt;&gt;"",IF(INDEX(CalcQtyA,$M703)=0,"",INDEX(CalcQtyA,$M703)),"")</f>
        <v/>
      </c>
      <c r="G703" s="23">
        <f>IF($M703&lt;&gt;"",IF(INDEX(CalcPriceA,$M703)=0,"",INDEX(CalcPriceA,$M703)),"")</f>
        <v/>
      </c>
      <c r="H703" s="23">
        <f>IF($N703&lt;&gt;"",IF(INDEX(CalcWitB,$N703)=0,"",INDEX(CalcWitB,$N703)),"")</f>
        <v/>
      </c>
      <c r="I703" s="24">
        <f>IF($M703&lt;&gt;"",INDEX(CalcAmtA,$M703),"")</f>
        <v/>
      </c>
      <c r="J703" s="24">
        <f>IF($B703="","",IF($J702="",$C$8,$J702)+IF($I703="",0,$I703)+IF($E703="",0,$E703)-IF($H703="",0,$H703))</f>
        <v/>
      </c>
      <c r="K703" s="25">
        <f>IF($M703&lt;&gt;"",IF(INDEX(CalcNoteA,$M703)="","—",INDEX(CalcNoteA,$M703)),IF($N703&lt;&gt;"",IF(INDEX(CalcNoteB,$N703)="","—",INDEX(CalcNoteB,$N703)),""))</f>
        <v/>
      </c>
      <c r="M703">
        <f>IFERROR(MATCH($C$5&amp;"|"&amp;RIGHT("000000"&amp;687,6),CalcRankKeyA,0),"")</f>
        <v/>
      </c>
      <c r="N703">
        <f>IFERROR(MATCH($C$5&amp;"|"&amp;RIGHT("000000"&amp;687,6),CalcRankKeyB,0),"")</f>
        <v/>
      </c>
    </row>
    <row r="704">
      <c r="A704" s="26" t="n">
        <v>688</v>
      </c>
      <c r="B704" s="27">
        <f>IF(AND($M704="",$N704=""),"",IF($M704&lt;&gt;"",INDEX(CalcDateA,$M704),INDEX(CalcDateB,$N704)))</f>
        <v/>
      </c>
      <c r="C704" s="27">
        <f>IF($M704&lt;&gt;"","خرید سبد",IF($N704&lt;&gt;"",IF(N(INDEX(CalcDepB,$N704))&gt;0,"دریافت بانکی","پرداخت بانکی"),""))</f>
        <v/>
      </c>
      <c r="D704" s="27">
        <f>IF($M704&lt;&gt;"",IF(INDEX(CalcDocA,$M704)="","—",INDEX(CalcDocA,$M704)),IF($N704&lt;&gt;"",INDEX(CalcBankB,$N704),""))</f>
        <v/>
      </c>
      <c r="E704" s="28">
        <f>IF($N704&lt;&gt;"",IF(INDEX(CalcDepB,$N704)=0,"",INDEX(CalcDepB,$N704)),"")</f>
        <v/>
      </c>
      <c r="F704" s="28">
        <f>IF($M704&lt;&gt;"",IF(INDEX(CalcQtyA,$M704)=0,"",INDEX(CalcQtyA,$M704)),"")</f>
        <v/>
      </c>
      <c r="G704" s="28">
        <f>IF($M704&lt;&gt;"",IF(INDEX(CalcPriceA,$M704)=0,"",INDEX(CalcPriceA,$M704)),"")</f>
        <v/>
      </c>
      <c r="H704" s="28">
        <f>IF($N704&lt;&gt;"",IF(INDEX(CalcWitB,$N704)=0,"",INDEX(CalcWitB,$N704)),"")</f>
        <v/>
      </c>
      <c r="I704" s="29">
        <f>IF($M704&lt;&gt;"",INDEX(CalcAmtA,$M704),"")</f>
        <v/>
      </c>
      <c r="J704" s="29">
        <f>IF($B704="","",IF($J703="",$C$8,$J703)+IF($I704="",0,$I704)+IF($E704="",0,$E704)-IF($H704="",0,$H704))</f>
        <v/>
      </c>
      <c r="K704" s="30">
        <f>IF($M704&lt;&gt;"",IF(INDEX(CalcNoteA,$M704)="","—",INDEX(CalcNoteA,$M704)),IF($N704&lt;&gt;"",IF(INDEX(CalcNoteB,$N704)="","—",INDEX(CalcNoteB,$N704)),""))</f>
        <v/>
      </c>
      <c r="M704">
        <f>IFERROR(MATCH($C$5&amp;"|"&amp;RIGHT("000000"&amp;688,6),CalcRankKeyA,0),"")</f>
        <v/>
      </c>
      <c r="N704">
        <f>IFERROR(MATCH($C$5&amp;"|"&amp;RIGHT("000000"&amp;688,6),CalcRankKeyB,0),"")</f>
        <v/>
      </c>
    </row>
    <row r="705">
      <c r="A705" s="21" t="n">
        <v>689</v>
      </c>
      <c r="B705" s="22">
        <f>IF(AND($M705="",$N705=""),"",IF($M705&lt;&gt;"",INDEX(CalcDateA,$M705),INDEX(CalcDateB,$N705)))</f>
        <v/>
      </c>
      <c r="C705" s="22">
        <f>IF($M705&lt;&gt;"","خرید سبد",IF($N705&lt;&gt;"",IF(N(INDEX(CalcDepB,$N705))&gt;0,"دریافت بانکی","پرداخت بانکی"),""))</f>
        <v/>
      </c>
      <c r="D705" s="22">
        <f>IF($M705&lt;&gt;"",IF(INDEX(CalcDocA,$M705)="","—",INDEX(CalcDocA,$M705)),IF($N705&lt;&gt;"",INDEX(CalcBankB,$N705),""))</f>
        <v/>
      </c>
      <c r="E705" s="23">
        <f>IF($N705&lt;&gt;"",IF(INDEX(CalcDepB,$N705)=0,"",INDEX(CalcDepB,$N705)),"")</f>
        <v/>
      </c>
      <c r="F705" s="23">
        <f>IF($M705&lt;&gt;"",IF(INDEX(CalcQtyA,$M705)=0,"",INDEX(CalcQtyA,$M705)),"")</f>
        <v/>
      </c>
      <c r="G705" s="23">
        <f>IF($M705&lt;&gt;"",IF(INDEX(CalcPriceA,$M705)=0,"",INDEX(CalcPriceA,$M705)),"")</f>
        <v/>
      </c>
      <c r="H705" s="23">
        <f>IF($N705&lt;&gt;"",IF(INDEX(CalcWitB,$N705)=0,"",INDEX(CalcWitB,$N705)),"")</f>
        <v/>
      </c>
      <c r="I705" s="24">
        <f>IF($M705&lt;&gt;"",INDEX(CalcAmtA,$M705),"")</f>
        <v/>
      </c>
      <c r="J705" s="24">
        <f>IF($B705="","",IF($J704="",$C$8,$J704)+IF($I705="",0,$I705)+IF($E705="",0,$E705)-IF($H705="",0,$H705))</f>
        <v/>
      </c>
      <c r="K705" s="25">
        <f>IF($M705&lt;&gt;"",IF(INDEX(CalcNoteA,$M705)="","—",INDEX(CalcNoteA,$M705)),IF($N705&lt;&gt;"",IF(INDEX(CalcNoteB,$N705)="","—",INDEX(CalcNoteB,$N705)),""))</f>
        <v/>
      </c>
      <c r="M705">
        <f>IFERROR(MATCH($C$5&amp;"|"&amp;RIGHT("000000"&amp;689,6),CalcRankKeyA,0),"")</f>
        <v/>
      </c>
      <c r="N705">
        <f>IFERROR(MATCH($C$5&amp;"|"&amp;RIGHT("000000"&amp;689,6),CalcRankKeyB,0),"")</f>
        <v/>
      </c>
    </row>
    <row r="706">
      <c r="A706" s="26" t="n">
        <v>690</v>
      </c>
      <c r="B706" s="27">
        <f>IF(AND($M706="",$N706=""),"",IF($M706&lt;&gt;"",INDEX(CalcDateA,$M706),INDEX(CalcDateB,$N706)))</f>
        <v/>
      </c>
      <c r="C706" s="27">
        <f>IF($M706&lt;&gt;"","خرید سبد",IF($N706&lt;&gt;"",IF(N(INDEX(CalcDepB,$N706))&gt;0,"دریافت بانکی","پرداخت بانکی"),""))</f>
        <v/>
      </c>
      <c r="D706" s="27">
        <f>IF($M706&lt;&gt;"",IF(INDEX(CalcDocA,$M706)="","—",INDEX(CalcDocA,$M706)),IF($N706&lt;&gt;"",INDEX(CalcBankB,$N706),""))</f>
        <v/>
      </c>
      <c r="E706" s="28">
        <f>IF($N706&lt;&gt;"",IF(INDEX(CalcDepB,$N706)=0,"",INDEX(CalcDepB,$N706)),"")</f>
        <v/>
      </c>
      <c r="F706" s="28">
        <f>IF($M706&lt;&gt;"",IF(INDEX(CalcQtyA,$M706)=0,"",INDEX(CalcQtyA,$M706)),"")</f>
        <v/>
      </c>
      <c r="G706" s="28">
        <f>IF($M706&lt;&gt;"",IF(INDEX(CalcPriceA,$M706)=0,"",INDEX(CalcPriceA,$M706)),"")</f>
        <v/>
      </c>
      <c r="H706" s="28">
        <f>IF($N706&lt;&gt;"",IF(INDEX(CalcWitB,$N706)=0,"",INDEX(CalcWitB,$N706)),"")</f>
        <v/>
      </c>
      <c r="I706" s="29">
        <f>IF($M706&lt;&gt;"",INDEX(CalcAmtA,$M706),"")</f>
        <v/>
      </c>
      <c r="J706" s="29">
        <f>IF($B706="","",IF($J705="",$C$8,$J705)+IF($I706="",0,$I706)+IF($E706="",0,$E706)-IF($H706="",0,$H706))</f>
        <v/>
      </c>
      <c r="K706" s="30">
        <f>IF($M706&lt;&gt;"",IF(INDEX(CalcNoteA,$M706)="","—",INDEX(CalcNoteA,$M706)),IF($N706&lt;&gt;"",IF(INDEX(CalcNoteB,$N706)="","—",INDEX(CalcNoteB,$N706)),""))</f>
        <v/>
      </c>
      <c r="M706">
        <f>IFERROR(MATCH($C$5&amp;"|"&amp;RIGHT("000000"&amp;690,6),CalcRankKeyA,0),"")</f>
        <v/>
      </c>
      <c r="N706">
        <f>IFERROR(MATCH($C$5&amp;"|"&amp;RIGHT("000000"&amp;690,6),CalcRankKeyB,0),"")</f>
        <v/>
      </c>
    </row>
    <row r="707">
      <c r="A707" s="21" t="n">
        <v>691</v>
      </c>
      <c r="B707" s="22">
        <f>IF(AND($M707="",$N707=""),"",IF($M707&lt;&gt;"",INDEX(CalcDateA,$M707),INDEX(CalcDateB,$N707)))</f>
        <v/>
      </c>
      <c r="C707" s="22">
        <f>IF($M707&lt;&gt;"","خرید سبد",IF($N707&lt;&gt;"",IF(N(INDEX(CalcDepB,$N707))&gt;0,"دریافت بانکی","پرداخت بانکی"),""))</f>
        <v/>
      </c>
      <c r="D707" s="22">
        <f>IF($M707&lt;&gt;"",IF(INDEX(CalcDocA,$M707)="","—",INDEX(CalcDocA,$M707)),IF($N707&lt;&gt;"",INDEX(CalcBankB,$N707),""))</f>
        <v/>
      </c>
      <c r="E707" s="23">
        <f>IF($N707&lt;&gt;"",IF(INDEX(CalcDepB,$N707)=0,"",INDEX(CalcDepB,$N707)),"")</f>
        <v/>
      </c>
      <c r="F707" s="23">
        <f>IF($M707&lt;&gt;"",IF(INDEX(CalcQtyA,$M707)=0,"",INDEX(CalcQtyA,$M707)),"")</f>
        <v/>
      </c>
      <c r="G707" s="23">
        <f>IF($M707&lt;&gt;"",IF(INDEX(CalcPriceA,$M707)=0,"",INDEX(CalcPriceA,$M707)),"")</f>
        <v/>
      </c>
      <c r="H707" s="23">
        <f>IF($N707&lt;&gt;"",IF(INDEX(CalcWitB,$N707)=0,"",INDEX(CalcWitB,$N707)),"")</f>
        <v/>
      </c>
      <c r="I707" s="24">
        <f>IF($M707&lt;&gt;"",INDEX(CalcAmtA,$M707),"")</f>
        <v/>
      </c>
      <c r="J707" s="24">
        <f>IF($B707="","",IF($J706="",$C$8,$J706)+IF($I707="",0,$I707)+IF($E707="",0,$E707)-IF($H707="",0,$H707))</f>
        <v/>
      </c>
      <c r="K707" s="25">
        <f>IF($M707&lt;&gt;"",IF(INDEX(CalcNoteA,$M707)="","—",INDEX(CalcNoteA,$M707)),IF($N707&lt;&gt;"",IF(INDEX(CalcNoteB,$N707)="","—",INDEX(CalcNoteB,$N707)),""))</f>
        <v/>
      </c>
      <c r="M707">
        <f>IFERROR(MATCH($C$5&amp;"|"&amp;RIGHT("000000"&amp;691,6),CalcRankKeyA,0),"")</f>
        <v/>
      </c>
      <c r="N707">
        <f>IFERROR(MATCH($C$5&amp;"|"&amp;RIGHT("000000"&amp;691,6),CalcRankKeyB,0),"")</f>
        <v/>
      </c>
    </row>
    <row r="708">
      <c r="A708" s="26" t="n">
        <v>692</v>
      </c>
      <c r="B708" s="27">
        <f>IF(AND($M708="",$N708=""),"",IF($M708&lt;&gt;"",INDEX(CalcDateA,$M708),INDEX(CalcDateB,$N708)))</f>
        <v/>
      </c>
      <c r="C708" s="27">
        <f>IF($M708&lt;&gt;"","خرید سبد",IF($N708&lt;&gt;"",IF(N(INDEX(CalcDepB,$N708))&gt;0,"دریافت بانکی","پرداخت بانکی"),""))</f>
        <v/>
      </c>
      <c r="D708" s="27">
        <f>IF($M708&lt;&gt;"",IF(INDEX(CalcDocA,$M708)="","—",INDEX(CalcDocA,$M708)),IF($N708&lt;&gt;"",INDEX(CalcBankB,$N708),""))</f>
        <v/>
      </c>
      <c r="E708" s="28">
        <f>IF($N708&lt;&gt;"",IF(INDEX(CalcDepB,$N708)=0,"",INDEX(CalcDepB,$N708)),"")</f>
        <v/>
      </c>
      <c r="F708" s="28">
        <f>IF($M708&lt;&gt;"",IF(INDEX(CalcQtyA,$M708)=0,"",INDEX(CalcQtyA,$M708)),"")</f>
        <v/>
      </c>
      <c r="G708" s="28">
        <f>IF($M708&lt;&gt;"",IF(INDEX(CalcPriceA,$M708)=0,"",INDEX(CalcPriceA,$M708)),"")</f>
        <v/>
      </c>
      <c r="H708" s="28">
        <f>IF($N708&lt;&gt;"",IF(INDEX(CalcWitB,$N708)=0,"",INDEX(CalcWitB,$N708)),"")</f>
        <v/>
      </c>
      <c r="I708" s="29">
        <f>IF($M708&lt;&gt;"",INDEX(CalcAmtA,$M708),"")</f>
        <v/>
      </c>
      <c r="J708" s="29">
        <f>IF($B708="","",IF($J707="",$C$8,$J707)+IF($I708="",0,$I708)+IF($E708="",0,$E708)-IF($H708="",0,$H708))</f>
        <v/>
      </c>
      <c r="K708" s="30">
        <f>IF($M708&lt;&gt;"",IF(INDEX(CalcNoteA,$M708)="","—",INDEX(CalcNoteA,$M708)),IF($N708&lt;&gt;"",IF(INDEX(CalcNoteB,$N708)="","—",INDEX(CalcNoteB,$N708)),""))</f>
        <v/>
      </c>
      <c r="M708">
        <f>IFERROR(MATCH($C$5&amp;"|"&amp;RIGHT("000000"&amp;692,6),CalcRankKeyA,0),"")</f>
        <v/>
      </c>
      <c r="N708">
        <f>IFERROR(MATCH($C$5&amp;"|"&amp;RIGHT("000000"&amp;692,6),CalcRankKeyB,0),"")</f>
        <v/>
      </c>
    </row>
    <row r="709">
      <c r="A709" s="21" t="n">
        <v>693</v>
      </c>
      <c r="B709" s="22">
        <f>IF(AND($M709="",$N709=""),"",IF($M709&lt;&gt;"",INDEX(CalcDateA,$M709),INDEX(CalcDateB,$N709)))</f>
        <v/>
      </c>
      <c r="C709" s="22">
        <f>IF($M709&lt;&gt;"","خرید سبد",IF($N709&lt;&gt;"",IF(N(INDEX(CalcDepB,$N709))&gt;0,"دریافت بانکی","پرداخت بانکی"),""))</f>
        <v/>
      </c>
      <c r="D709" s="22">
        <f>IF($M709&lt;&gt;"",IF(INDEX(CalcDocA,$M709)="","—",INDEX(CalcDocA,$M709)),IF($N709&lt;&gt;"",INDEX(CalcBankB,$N709),""))</f>
        <v/>
      </c>
      <c r="E709" s="23">
        <f>IF($N709&lt;&gt;"",IF(INDEX(CalcDepB,$N709)=0,"",INDEX(CalcDepB,$N709)),"")</f>
        <v/>
      </c>
      <c r="F709" s="23">
        <f>IF($M709&lt;&gt;"",IF(INDEX(CalcQtyA,$M709)=0,"",INDEX(CalcQtyA,$M709)),"")</f>
        <v/>
      </c>
      <c r="G709" s="23">
        <f>IF($M709&lt;&gt;"",IF(INDEX(CalcPriceA,$M709)=0,"",INDEX(CalcPriceA,$M709)),"")</f>
        <v/>
      </c>
      <c r="H709" s="23">
        <f>IF($N709&lt;&gt;"",IF(INDEX(CalcWitB,$N709)=0,"",INDEX(CalcWitB,$N709)),"")</f>
        <v/>
      </c>
      <c r="I709" s="24">
        <f>IF($M709&lt;&gt;"",INDEX(CalcAmtA,$M709),"")</f>
        <v/>
      </c>
      <c r="J709" s="24">
        <f>IF($B709="","",IF($J708="",$C$8,$J708)+IF($I709="",0,$I709)+IF($E709="",0,$E709)-IF($H709="",0,$H709))</f>
        <v/>
      </c>
      <c r="K709" s="25">
        <f>IF($M709&lt;&gt;"",IF(INDEX(CalcNoteA,$M709)="","—",INDEX(CalcNoteA,$M709)),IF($N709&lt;&gt;"",IF(INDEX(CalcNoteB,$N709)="","—",INDEX(CalcNoteB,$N709)),""))</f>
        <v/>
      </c>
      <c r="M709">
        <f>IFERROR(MATCH($C$5&amp;"|"&amp;RIGHT("000000"&amp;693,6),CalcRankKeyA,0),"")</f>
        <v/>
      </c>
      <c r="N709">
        <f>IFERROR(MATCH($C$5&amp;"|"&amp;RIGHT("000000"&amp;693,6),CalcRankKeyB,0),"")</f>
        <v/>
      </c>
    </row>
    <row r="710">
      <c r="A710" s="26" t="n">
        <v>694</v>
      </c>
      <c r="B710" s="27">
        <f>IF(AND($M710="",$N710=""),"",IF($M710&lt;&gt;"",INDEX(CalcDateA,$M710),INDEX(CalcDateB,$N710)))</f>
        <v/>
      </c>
      <c r="C710" s="27">
        <f>IF($M710&lt;&gt;"","خرید سبد",IF($N710&lt;&gt;"",IF(N(INDEX(CalcDepB,$N710))&gt;0,"دریافت بانکی","پرداخت بانکی"),""))</f>
        <v/>
      </c>
      <c r="D710" s="27">
        <f>IF($M710&lt;&gt;"",IF(INDEX(CalcDocA,$M710)="","—",INDEX(CalcDocA,$M710)),IF($N710&lt;&gt;"",INDEX(CalcBankB,$N710),""))</f>
        <v/>
      </c>
      <c r="E710" s="28">
        <f>IF($N710&lt;&gt;"",IF(INDEX(CalcDepB,$N710)=0,"",INDEX(CalcDepB,$N710)),"")</f>
        <v/>
      </c>
      <c r="F710" s="28">
        <f>IF($M710&lt;&gt;"",IF(INDEX(CalcQtyA,$M710)=0,"",INDEX(CalcQtyA,$M710)),"")</f>
        <v/>
      </c>
      <c r="G710" s="28">
        <f>IF($M710&lt;&gt;"",IF(INDEX(CalcPriceA,$M710)=0,"",INDEX(CalcPriceA,$M710)),"")</f>
        <v/>
      </c>
      <c r="H710" s="28">
        <f>IF($N710&lt;&gt;"",IF(INDEX(CalcWitB,$N710)=0,"",INDEX(CalcWitB,$N710)),"")</f>
        <v/>
      </c>
      <c r="I710" s="29">
        <f>IF($M710&lt;&gt;"",INDEX(CalcAmtA,$M710),"")</f>
        <v/>
      </c>
      <c r="J710" s="29">
        <f>IF($B710="","",IF($J709="",$C$8,$J709)+IF($I710="",0,$I710)+IF($E710="",0,$E710)-IF($H710="",0,$H710))</f>
        <v/>
      </c>
      <c r="K710" s="30">
        <f>IF($M710&lt;&gt;"",IF(INDEX(CalcNoteA,$M710)="","—",INDEX(CalcNoteA,$M710)),IF($N710&lt;&gt;"",IF(INDEX(CalcNoteB,$N710)="","—",INDEX(CalcNoteB,$N710)),""))</f>
        <v/>
      </c>
      <c r="M710">
        <f>IFERROR(MATCH($C$5&amp;"|"&amp;RIGHT("000000"&amp;694,6),CalcRankKeyA,0),"")</f>
        <v/>
      </c>
      <c r="N710">
        <f>IFERROR(MATCH($C$5&amp;"|"&amp;RIGHT("000000"&amp;694,6),CalcRankKeyB,0),"")</f>
        <v/>
      </c>
    </row>
    <row r="711">
      <c r="A711" s="21" t="n">
        <v>695</v>
      </c>
      <c r="B711" s="22">
        <f>IF(AND($M711="",$N711=""),"",IF($M711&lt;&gt;"",INDEX(CalcDateA,$M711),INDEX(CalcDateB,$N711)))</f>
        <v/>
      </c>
      <c r="C711" s="22">
        <f>IF($M711&lt;&gt;"","خرید سبد",IF($N711&lt;&gt;"",IF(N(INDEX(CalcDepB,$N711))&gt;0,"دریافت بانکی","پرداخت بانکی"),""))</f>
        <v/>
      </c>
      <c r="D711" s="22">
        <f>IF($M711&lt;&gt;"",IF(INDEX(CalcDocA,$M711)="","—",INDEX(CalcDocA,$M711)),IF($N711&lt;&gt;"",INDEX(CalcBankB,$N711),""))</f>
        <v/>
      </c>
      <c r="E711" s="23">
        <f>IF($N711&lt;&gt;"",IF(INDEX(CalcDepB,$N711)=0,"",INDEX(CalcDepB,$N711)),"")</f>
        <v/>
      </c>
      <c r="F711" s="23">
        <f>IF($M711&lt;&gt;"",IF(INDEX(CalcQtyA,$M711)=0,"",INDEX(CalcQtyA,$M711)),"")</f>
        <v/>
      </c>
      <c r="G711" s="23">
        <f>IF($M711&lt;&gt;"",IF(INDEX(CalcPriceA,$M711)=0,"",INDEX(CalcPriceA,$M711)),"")</f>
        <v/>
      </c>
      <c r="H711" s="23">
        <f>IF($N711&lt;&gt;"",IF(INDEX(CalcWitB,$N711)=0,"",INDEX(CalcWitB,$N711)),"")</f>
        <v/>
      </c>
      <c r="I711" s="24">
        <f>IF($M711&lt;&gt;"",INDEX(CalcAmtA,$M711),"")</f>
        <v/>
      </c>
      <c r="J711" s="24">
        <f>IF($B711="","",IF($J710="",$C$8,$J710)+IF($I711="",0,$I711)+IF($E711="",0,$E711)-IF($H711="",0,$H711))</f>
        <v/>
      </c>
      <c r="K711" s="25">
        <f>IF($M711&lt;&gt;"",IF(INDEX(CalcNoteA,$M711)="","—",INDEX(CalcNoteA,$M711)),IF($N711&lt;&gt;"",IF(INDEX(CalcNoteB,$N711)="","—",INDEX(CalcNoteB,$N711)),""))</f>
        <v/>
      </c>
      <c r="M711">
        <f>IFERROR(MATCH($C$5&amp;"|"&amp;RIGHT("000000"&amp;695,6),CalcRankKeyA,0),"")</f>
        <v/>
      </c>
      <c r="N711">
        <f>IFERROR(MATCH($C$5&amp;"|"&amp;RIGHT("000000"&amp;695,6),CalcRankKeyB,0),"")</f>
        <v/>
      </c>
    </row>
    <row r="712">
      <c r="A712" s="26" t="n">
        <v>696</v>
      </c>
      <c r="B712" s="27">
        <f>IF(AND($M712="",$N712=""),"",IF($M712&lt;&gt;"",INDEX(CalcDateA,$M712),INDEX(CalcDateB,$N712)))</f>
        <v/>
      </c>
      <c r="C712" s="27">
        <f>IF($M712&lt;&gt;"","خرید سبد",IF($N712&lt;&gt;"",IF(N(INDEX(CalcDepB,$N712))&gt;0,"دریافت بانکی","پرداخت بانکی"),""))</f>
        <v/>
      </c>
      <c r="D712" s="27">
        <f>IF($M712&lt;&gt;"",IF(INDEX(CalcDocA,$M712)="","—",INDEX(CalcDocA,$M712)),IF($N712&lt;&gt;"",INDEX(CalcBankB,$N712),""))</f>
        <v/>
      </c>
      <c r="E712" s="28">
        <f>IF($N712&lt;&gt;"",IF(INDEX(CalcDepB,$N712)=0,"",INDEX(CalcDepB,$N712)),"")</f>
        <v/>
      </c>
      <c r="F712" s="28">
        <f>IF($M712&lt;&gt;"",IF(INDEX(CalcQtyA,$M712)=0,"",INDEX(CalcQtyA,$M712)),"")</f>
        <v/>
      </c>
      <c r="G712" s="28">
        <f>IF($M712&lt;&gt;"",IF(INDEX(CalcPriceA,$M712)=0,"",INDEX(CalcPriceA,$M712)),"")</f>
        <v/>
      </c>
      <c r="H712" s="28">
        <f>IF($N712&lt;&gt;"",IF(INDEX(CalcWitB,$N712)=0,"",INDEX(CalcWitB,$N712)),"")</f>
        <v/>
      </c>
      <c r="I712" s="29">
        <f>IF($M712&lt;&gt;"",INDEX(CalcAmtA,$M712),"")</f>
        <v/>
      </c>
      <c r="J712" s="29">
        <f>IF($B712="","",IF($J711="",$C$8,$J711)+IF($I712="",0,$I712)+IF($E712="",0,$E712)-IF($H712="",0,$H712))</f>
        <v/>
      </c>
      <c r="K712" s="30">
        <f>IF($M712&lt;&gt;"",IF(INDEX(CalcNoteA,$M712)="","—",INDEX(CalcNoteA,$M712)),IF($N712&lt;&gt;"",IF(INDEX(CalcNoteB,$N712)="","—",INDEX(CalcNoteB,$N712)),""))</f>
        <v/>
      </c>
      <c r="M712">
        <f>IFERROR(MATCH($C$5&amp;"|"&amp;RIGHT("000000"&amp;696,6),CalcRankKeyA,0),"")</f>
        <v/>
      </c>
      <c r="N712">
        <f>IFERROR(MATCH($C$5&amp;"|"&amp;RIGHT("000000"&amp;696,6),CalcRankKeyB,0),"")</f>
        <v/>
      </c>
    </row>
    <row r="713">
      <c r="A713" s="21" t="n">
        <v>697</v>
      </c>
      <c r="B713" s="22">
        <f>IF(AND($M713="",$N713=""),"",IF($M713&lt;&gt;"",INDEX(CalcDateA,$M713),INDEX(CalcDateB,$N713)))</f>
        <v/>
      </c>
      <c r="C713" s="22">
        <f>IF($M713&lt;&gt;"","خرید سبد",IF($N713&lt;&gt;"",IF(N(INDEX(CalcDepB,$N713))&gt;0,"دریافت بانکی","پرداخت بانکی"),""))</f>
        <v/>
      </c>
      <c r="D713" s="22">
        <f>IF($M713&lt;&gt;"",IF(INDEX(CalcDocA,$M713)="","—",INDEX(CalcDocA,$M713)),IF($N713&lt;&gt;"",INDEX(CalcBankB,$N713),""))</f>
        <v/>
      </c>
      <c r="E713" s="23">
        <f>IF($N713&lt;&gt;"",IF(INDEX(CalcDepB,$N713)=0,"",INDEX(CalcDepB,$N713)),"")</f>
        <v/>
      </c>
      <c r="F713" s="23">
        <f>IF($M713&lt;&gt;"",IF(INDEX(CalcQtyA,$M713)=0,"",INDEX(CalcQtyA,$M713)),"")</f>
        <v/>
      </c>
      <c r="G713" s="23">
        <f>IF($M713&lt;&gt;"",IF(INDEX(CalcPriceA,$M713)=0,"",INDEX(CalcPriceA,$M713)),"")</f>
        <v/>
      </c>
      <c r="H713" s="23">
        <f>IF($N713&lt;&gt;"",IF(INDEX(CalcWitB,$N713)=0,"",INDEX(CalcWitB,$N713)),"")</f>
        <v/>
      </c>
      <c r="I713" s="24">
        <f>IF($M713&lt;&gt;"",INDEX(CalcAmtA,$M713),"")</f>
        <v/>
      </c>
      <c r="J713" s="24">
        <f>IF($B713="","",IF($J712="",$C$8,$J712)+IF($I713="",0,$I713)+IF($E713="",0,$E713)-IF($H713="",0,$H713))</f>
        <v/>
      </c>
      <c r="K713" s="25">
        <f>IF($M713&lt;&gt;"",IF(INDEX(CalcNoteA,$M713)="","—",INDEX(CalcNoteA,$M713)),IF($N713&lt;&gt;"",IF(INDEX(CalcNoteB,$N713)="","—",INDEX(CalcNoteB,$N713)),""))</f>
        <v/>
      </c>
      <c r="M713">
        <f>IFERROR(MATCH($C$5&amp;"|"&amp;RIGHT("000000"&amp;697,6),CalcRankKeyA,0),"")</f>
        <v/>
      </c>
      <c r="N713">
        <f>IFERROR(MATCH($C$5&amp;"|"&amp;RIGHT("000000"&amp;697,6),CalcRankKeyB,0),"")</f>
        <v/>
      </c>
    </row>
    <row r="714">
      <c r="A714" s="26" t="n">
        <v>698</v>
      </c>
      <c r="B714" s="27">
        <f>IF(AND($M714="",$N714=""),"",IF($M714&lt;&gt;"",INDEX(CalcDateA,$M714),INDEX(CalcDateB,$N714)))</f>
        <v/>
      </c>
      <c r="C714" s="27">
        <f>IF($M714&lt;&gt;"","خرید سبد",IF($N714&lt;&gt;"",IF(N(INDEX(CalcDepB,$N714))&gt;0,"دریافت بانکی","پرداخت بانکی"),""))</f>
        <v/>
      </c>
      <c r="D714" s="27">
        <f>IF($M714&lt;&gt;"",IF(INDEX(CalcDocA,$M714)="","—",INDEX(CalcDocA,$M714)),IF($N714&lt;&gt;"",INDEX(CalcBankB,$N714),""))</f>
        <v/>
      </c>
      <c r="E714" s="28">
        <f>IF($N714&lt;&gt;"",IF(INDEX(CalcDepB,$N714)=0,"",INDEX(CalcDepB,$N714)),"")</f>
        <v/>
      </c>
      <c r="F714" s="28">
        <f>IF($M714&lt;&gt;"",IF(INDEX(CalcQtyA,$M714)=0,"",INDEX(CalcQtyA,$M714)),"")</f>
        <v/>
      </c>
      <c r="G714" s="28">
        <f>IF($M714&lt;&gt;"",IF(INDEX(CalcPriceA,$M714)=0,"",INDEX(CalcPriceA,$M714)),"")</f>
        <v/>
      </c>
      <c r="H714" s="28">
        <f>IF($N714&lt;&gt;"",IF(INDEX(CalcWitB,$N714)=0,"",INDEX(CalcWitB,$N714)),"")</f>
        <v/>
      </c>
      <c r="I714" s="29">
        <f>IF($M714&lt;&gt;"",INDEX(CalcAmtA,$M714),"")</f>
        <v/>
      </c>
      <c r="J714" s="29">
        <f>IF($B714="","",IF($J713="",$C$8,$J713)+IF($I714="",0,$I714)+IF($E714="",0,$E714)-IF($H714="",0,$H714))</f>
        <v/>
      </c>
      <c r="K714" s="30">
        <f>IF($M714&lt;&gt;"",IF(INDEX(CalcNoteA,$M714)="","—",INDEX(CalcNoteA,$M714)),IF($N714&lt;&gt;"",IF(INDEX(CalcNoteB,$N714)="","—",INDEX(CalcNoteB,$N714)),""))</f>
        <v/>
      </c>
      <c r="M714">
        <f>IFERROR(MATCH($C$5&amp;"|"&amp;RIGHT("000000"&amp;698,6),CalcRankKeyA,0),"")</f>
        <v/>
      </c>
      <c r="N714">
        <f>IFERROR(MATCH($C$5&amp;"|"&amp;RIGHT("000000"&amp;698,6),CalcRankKeyB,0),"")</f>
        <v/>
      </c>
    </row>
    <row r="715">
      <c r="A715" s="21" t="n">
        <v>699</v>
      </c>
      <c r="B715" s="22">
        <f>IF(AND($M715="",$N715=""),"",IF($M715&lt;&gt;"",INDEX(CalcDateA,$M715),INDEX(CalcDateB,$N715)))</f>
        <v/>
      </c>
      <c r="C715" s="22">
        <f>IF($M715&lt;&gt;"","خرید سبد",IF($N715&lt;&gt;"",IF(N(INDEX(CalcDepB,$N715))&gt;0,"دریافت بانکی","پرداخت بانکی"),""))</f>
        <v/>
      </c>
      <c r="D715" s="22">
        <f>IF($M715&lt;&gt;"",IF(INDEX(CalcDocA,$M715)="","—",INDEX(CalcDocA,$M715)),IF($N715&lt;&gt;"",INDEX(CalcBankB,$N715),""))</f>
        <v/>
      </c>
      <c r="E715" s="23">
        <f>IF($N715&lt;&gt;"",IF(INDEX(CalcDepB,$N715)=0,"",INDEX(CalcDepB,$N715)),"")</f>
        <v/>
      </c>
      <c r="F715" s="23">
        <f>IF($M715&lt;&gt;"",IF(INDEX(CalcQtyA,$M715)=0,"",INDEX(CalcQtyA,$M715)),"")</f>
        <v/>
      </c>
      <c r="G715" s="23">
        <f>IF($M715&lt;&gt;"",IF(INDEX(CalcPriceA,$M715)=0,"",INDEX(CalcPriceA,$M715)),"")</f>
        <v/>
      </c>
      <c r="H715" s="23">
        <f>IF($N715&lt;&gt;"",IF(INDEX(CalcWitB,$N715)=0,"",INDEX(CalcWitB,$N715)),"")</f>
        <v/>
      </c>
      <c r="I715" s="24">
        <f>IF($M715&lt;&gt;"",INDEX(CalcAmtA,$M715),"")</f>
        <v/>
      </c>
      <c r="J715" s="24">
        <f>IF($B715="","",IF($J714="",$C$8,$J714)+IF($I715="",0,$I715)+IF($E715="",0,$E715)-IF($H715="",0,$H715))</f>
        <v/>
      </c>
      <c r="K715" s="25">
        <f>IF($M715&lt;&gt;"",IF(INDEX(CalcNoteA,$M715)="","—",INDEX(CalcNoteA,$M715)),IF($N715&lt;&gt;"",IF(INDEX(CalcNoteB,$N715)="","—",INDEX(CalcNoteB,$N715)),""))</f>
        <v/>
      </c>
      <c r="M715">
        <f>IFERROR(MATCH($C$5&amp;"|"&amp;RIGHT("000000"&amp;699,6),CalcRankKeyA,0),"")</f>
        <v/>
      </c>
      <c r="N715">
        <f>IFERROR(MATCH($C$5&amp;"|"&amp;RIGHT("000000"&amp;699,6),CalcRankKeyB,0),"")</f>
        <v/>
      </c>
    </row>
    <row r="716">
      <c r="A716" s="26" t="n">
        <v>700</v>
      </c>
      <c r="B716" s="27">
        <f>IF(AND($M716="",$N716=""),"",IF($M716&lt;&gt;"",INDEX(CalcDateA,$M716),INDEX(CalcDateB,$N716)))</f>
        <v/>
      </c>
      <c r="C716" s="27">
        <f>IF($M716&lt;&gt;"","خرید سبد",IF($N716&lt;&gt;"",IF(N(INDEX(CalcDepB,$N716))&gt;0,"دریافت بانکی","پرداخت بانکی"),""))</f>
        <v/>
      </c>
      <c r="D716" s="27">
        <f>IF($M716&lt;&gt;"",IF(INDEX(CalcDocA,$M716)="","—",INDEX(CalcDocA,$M716)),IF($N716&lt;&gt;"",INDEX(CalcBankB,$N716),""))</f>
        <v/>
      </c>
      <c r="E716" s="28">
        <f>IF($N716&lt;&gt;"",IF(INDEX(CalcDepB,$N716)=0,"",INDEX(CalcDepB,$N716)),"")</f>
        <v/>
      </c>
      <c r="F716" s="28">
        <f>IF($M716&lt;&gt;"",IF(INDEX(CalcQtyA,$M716)=0,"",INDEX(CalcQtyA,$M716)),"")</f>
        <v/>
      </c>
      <c r="G716" s="28">
        <f>IF($M716&lt;&gt;"",IF(INDEX(CalcPriceA,$M716)=0,"",INDEX(CalcPriceA,$M716)),"")</f>
        <v/>
      </c>
      <c r="H716" s="28">
        <f>IF($N716&lt;&gt;"",IF(INDEX(CalcWitB,$N716)=0,"",INDEX(CalcWitB,$N716)),"")</f>
        <v/>
      </c>
      <c r="I716" s="29">
        <f>IF($M716&lt;&gt;"",INDEX(CalcAmtA,$M716),"")</f>
        <v/>
      </c>
      <c r="J716" s="29">
        <f>IF($B716="","",IF($J715="",$C$8,$J715)+IF($I716="",0,$I716)+IF($E716="",0,$E716)-IF($H716="",0,$H716))</f>
        <v/>
      </c>
      <c r="K716" s="30">
        <f>IF($M716&lt;&gt;"",IF(INDEX(CalcNoteA,$M716)="","—",INDEX(CalcNoteA,$M716)),IF($N716&lt;&gt;"",IF(INDEX(CalcNoteB,$N716)="","—",INDEX(CalcNoteB,$N716)),""))</f>
        <v/>
      </c>
      <c r="M716">
        <f>IFERROR(MATCH($C$5&amp;"|"&amp;RIGHT("000000"&amp;700,6),CalcRankKeyA,0),"")</f>
        <v/>
      </c>
      <c r="N716">
        <f>IFERROR(MATCH($C$5&amp;"|"&amp;RIGHT("000000"&amp;700,6),CalcRankKeyB,0),"")</f>
        <v/>
      </c>
    </row>
    <row r="717">
      <c r="A717" s="21" t="n">
        <v>701</v>
      </c>
      <c r="B717" s="22">
        <f>IF(AND($M717="",$N717=""),"",IF($M717&lt;&gt;"",INDEX(CalcDateA,$M717),INDEX(CalcDateB,$N717)))</f>
        <v/>
      </c>
      <c r="C717" s="22">
        <f>IF($M717&lt;&gt;"","خرید سبد",IF($N717&lt;&gt;"",IF(N(INDEX(CalcDepB,$N717))&gt;0,"دریافت بانکی","پرداخت بانکی"),""))</f>
        <v/>
      </c>
      <c r="D717" s="22">
        <f>IF($M717&lt;&gt;"",IF(INDEX(CalcDocA,$M717)="","—",INDEX(CalcDocA,$M717)),IF($N717&lt;&gt;"",INDEX(CalcBankB,$N717),""))</f>
        <v/>
      </c>
      <c r="E717" s="23">
        <f>IF($N717&lt;&gt;"",IF(INDEX(CalcDepB,$N717)=0,"",INDEX(CalcDepB,$N717)),"")</f>
        <v/>
      </c>
      <c r="F717" s="23">
        <f>IF($M717&lt;&gt;"",IF(INDEX(CalcQtyA,$M717)=0,"",INDEX(CalcQtyA,$M717)),"")</f>
        <v/>
      </c>
      <c r="G717" s="23">
        <f>IF($M717&lt;&gt;"",IF(INDEX(CalcPriceA,$M717)=0,"",INDEX(CalcPriceA,$M717)),"")</f>
        <v/>
      </c>
      <c r="H717" s="23">
        <f>IF($N717&lt;&gt;"",IF(INDEX(CalcWitB,$N717)=0,"",INDEX(CalcWitB,$N717)),"")</f>
        <v/>
      </c>
      <c r="I717" s="24">
        <f>IF($M717&lt;&gt;"",INDEX(CalcAmtA,$M717),"")</f>
        <v/>
      </c>
      <c r="J717" s="24">
        <f>IF($B717="","",IF($J716="",$C$8,$J716)+IF($I717="",0,$I717)+IF($E717="",0,$E717)-IF($H717="",0,$H717))</f>
        <v/>
      </c>
      <c r="K717" s="25">
        <f>IF($M717&lt;&gt;"",IF(INDEX(CalcNoteA,$M717)="","—",INDEX(CalcNoteA,$M717)),IF($N717&lt;&gt;"",IF(INDEX(CalcNoteB,$N717)="","—",INDEX(CalcNoteB,$N717)),""))</f>
        <v/>
      </c>
      <c r="M717">
        <f>IFERROR(MATCH($C$5&amp;"|"&amp;RIGHT("000000"&amp;701,6),CalcRankKeyA,0),"")</f>
        <v/>
      </c>
      <c r="N717">
        <f>IFERROR(MATCH($C$5&amp;"|"&amp;RIGHT("000000"&amp;701,6),CalcRankKeyB,0),"")</f>
        <v/>
      </c>
    </row>
    <row r="718">
      <c r="A718" s="26" t="n">
        <v>702</v>
      </c>
      <c r="B718" s="27">
        <f>IF(AND($M718="",$N718=""),"",IF($M718&lt;&gt;"",INDEX(CalcDateA,$M718),INDEX(CalcDateB,$N718)))</f>
        <v/>
      </c>
      <c r="C718" s="27">
        <f>IF($M718&lt;&gt;"","خرید سبد",IF($N718&lt;&gt;"",IF(N(INDEX(CalcDepB,$N718))&gt;0,"دریافت بانکی","پرداخت بانکی"),""))</f>
        <v/>
      </c>
      <c r="D718" s="27">
        <f>IF($M718&lt;&gt;"",IF(INDEX(CalcDocA,$M718)="","—",INDEX(CalcDocA,$M718)),IF($N718&lt;&gt;"",INDEX(CalcBankB,$N718),""))</f>
        <v/>
      </c>
      <c r="E718" s="28">
        <f>IF($N718&lt;&gt;"",IF(INDEX(CalcDepB,$N718)=0,"",INDEX(CalcDepB,$N718)),"")</f>
        <v/>
      </c>
      <c r="F718" s="28">
        <f>IF($M718&lt;&gt;"",IF(INDEX(CalcQtyA,$M718)=0,"",INDEX(CalcQtyA,$M718)),"")</f>
        <v/>
      </c>
      <c r="G718" s="28">
        <f>IF($M718&lt;&gt;"",IF(INDEX(CalcPriceA,$M718)=0,"",INDEX(CalcPriceA,$M718)),"")</f>
        <v/>
      </c>
      <c r="H718" s="28">
        <f>IF($N718&lt;&gt;"",IF(INDEX(CalcWitB,$N718)=0,"",INDEX(CalcWitB,$N718)),"")</f>
        <v/>
      </c>
      <c r="I718" s="29">
        <f>IF($M718&lt;&gt;"",INDEX(CalcAmtA,$M718),"")</f>
        <v/>
      </c>
      <c r="J718" s="29">
        <f>IF($B718="","",IF($J717="",$C$8,$J717)+IF($I718="",0,$I718)+IF($E718="",0,$E718)-IF($H718="",0,$H718))</f>
        <v/>
      </c>
      <c r="K718" s="30">
        <f>IF($M718&lt;&gt;"",IF(INDEX(CalcNoteA,$M718)="","—",INDEX(CalcNoteA,$M718)),IF($N718&lt;&gt;"",IF(INDEX(CalcNoteB,$N718)="","—",INDEX(CalcNoteB,$N718)),""))</f>
        <v/>
      </c>
      <c r="M718">
        <f>IFERROR(MATCH($C$5&amp;"|"&amp;RIGHT("000000"&amp;702,6),CalcRankKeyA,0),"")</f>
        <v/>
      </c>
      <c r="N718">
        <f>IFERROR(MATCH($C$5&amp;"|"&amp;RIGHT("000000"&amp;702,6),CalcRankKeyB,0),"")</f>
        <v/>
      </c>
    </row>
    <row r="719">
      <c r="A719" s="21" t="n">
        <v>703</v>
      </c>
      <c r="B719" s="22">
        <f>IF(AND($M719="",$N719=""),"",IF($M719&lt;&gt;"",INDEX(CalcDateA,$M719),INDEX(CalcDateB,$N719)))</f>
        <v/>
      </c>
      <c r="C719" s="22">
        <f>IF($M719&lt;&gt;"","خرید سبد",IF($N719&lt;&gt;"",IF(N(INDEX(CalcDepB,$N719))&gt;0,"دریافت بانکی","پرداخت بانکی"),""))</f>
        <v/>
      </c>
      <c r="D719" s="22">
        <f>IF($M719&lt;&gt;"",IF(INDEX(CalcDocA,$M719)="","—",INDEX(CalcDocA,$M719)),IF($N719&lt;&gt;"",INDEX(CalcBankB,$N719),""))</f>
        <v/>
      </c>
      <c r="E719" s="23">
        <f>IF($N719&lt;&gt;"",IF(INDEX(CalcDepB,$N719)=0,"",INDEX(CalcDepB,$N719)),"")</f>
        <v/>
      </c>
      <c r="F719" s="23">
        <f>IF($M719&lt;&gt;"",IF(INDEX(CalcQtyA,$M719)=0,"",INDEX(CalcQtyA,$M719)),"")</f>
        <v/>
      </c>
      <c r="G719" s="23">
        <f>IF($M719&lt;&gt;"",IF(INDEX(CalcPriceA,$M719)=0,"",INDEX(CalcPriceA,$M719)),"")</f>
        <v/>
      </c>
      <c r="H719" s="23">
        <f>IF($N719&lt;&gt;"",IF(INDEX(CalcWitB,$N719)=0,"",INDEX(CalcWitB,$N719)),"")</f>
        <v/>
      </c>
      <c r="I719" s="24">
        <f>IF($M719&lt;&gt;"",INDEX(CalcAmtA,$M719),"")</f>
        <v/>
      </c>
      <c r="J719" s="24">
        <f>IF($B719="","",IF($J718="",$C$8,$J718)+IF($I719="",0,$I719)+IF($E719="",0,$E719)-IF($H719="",0,$H719))</f>
        <v/>
      </c>
      <c r="K719" s="25">
        <f>IF($M719&lt;&gt;"",IF(INDEX(CalcNoteA,$M719)="","—",INDEX(CalcNoteA,$M719)),IF($N719&lt;&gt;"",IF(INDEX(CalcNoteB,$N719)="","—",INDEX(CalcNoteB,$N719)),""))</f>
        <v/>
      </c>
      <c r="M719">
        <f>IFERROR(MATCH($C$5&amp;"|"&amp;RIGHT("000000"&amp;703,6),CalcRankKeyA,0),"")</f>
        <v/>
      </c>
      <c r="N719">
        <f>IFERROR(MATCH($C$5&amp;"|"&amp;RIGHT("000000"&amp;703,6),CalcRankKeyB,0),"")</f>
        <v/>
      </c>
    </row>
    <row r="720">
      <c r="A720" s="26" t="n">
        <v>704</v>
      </c>
      <c r="B720" s="27">
        <f>IF(AND($M720="",$N720=""),"",IF($M720&lt;&gt;"",INDEX(CalcDateA,$M720),INDEX(CalcDateB,$N720)))</f>
        <v/>
      </c>
      <c r="C720" s="27">
        <f>IF($M720&lt;&gt;"","خرید سبد",IF($N720&lt;&gt;"",IF(N(INDEX(CalcDepB,$N720))&gt;0,"دریافت بانکی","پرداخت بانکی"),""))</f>
        <v/>
      </c>
      <c r="D720" s="27">
        <f>IF($M720&lt;&gt;"",IF(INDEX(CalcDocA,$M720)="","—",INDEX(CalcDocA,$M720)),IF($N720&lt;&gt;"",INDEX(CalcBankB,$N720),""))</f>
        <v/>
      </c>
      <c r="E720" s="28">
        <f>IF($N720&lt;&gt;"",IF(INDEX(CalcDepB,$N720)=0,"",INDEX(CalcDepB,$N720)),"")</f>
        <v/>
      </c>
      <c r="F720" s="28">
        <f>IF($M720&lt;&gt;"",IF(INDEX(CalcQtyA,$M720)=0,"",INDEX(CalcQtyA,$M720)),"")</f>
        <v/>
      </c>
      <c r="G720" s="28">
        <f>IF($M720&lt;&gt;"",IF(INDEX(CalcPriceA,$M720)=0,"",INDEX(CalcPriceA,$M720)),"")</f>
        <v/>
      </c>
      <c r="H720" s="28">
        <f>IF($N720&lt;&gt;"",IF(INDEX(CalcWitB,$N720)=0,"",INDEX(CalcWitB,$N720)),"")</f>
        <v/>
      </c>
      <c r="I720" s="29">
        <f>IF($M720&lt;&gt;"",INDEX(CalcAmtA,$M720),"")</f>
        <v/>
      </c>
      <c r="J720" s="29">
        <f>IF($B720="","",IF($J719="",$C$8,$J719)+IF($I720="",0,$I720)+IF($E720="",0,$E720)-IF($H720="",0,$H720))</f>
        <v/>
      </c>
      <c r="K720" s="30">
        <f>IF($M720&lt;&gt;"",IF(INDEX(CalcNoteA,$M720)="","—",INDEX(CalcNoteA,$M720)),IF($N720&lt;&gt;"",IF(INDEX(CalcNoteB,$N720)="","—",INDEX(CalcNoteB,$N720)),""))</f>
        <v/>
      </c>
      <c r="M720">
        <f>IFERROR(MATCH($C$5&amp;"|"&amp;RIGHT("000000"&amp;704,6),CalcRankKeyA,0),"")</f>
        <v/>
      </c>
      <c r="N720">
        <f>IFERROR(MATCH($C$5&amp;"|"&amp;RIGHT("000000"&amp;704,6),CalcRankKeyB,0),"")</f>
        <v/>
      </c>
    </row>
    <row r="721">
      <c r="A721" s="21" t="n">
        <v>705</v>
      </c>
      <c r="B721" s="22">
        <f>IF(AND($M721="",$N721=""),"",IF($M721&lt;&gt;"",INDEX(CalcDateA,$M721),INDEX(CalcDateB,$N721)))</f>
        <v/>
      </c>
      <c r="C721" s="22">
        <f>IF($M721&lt;&gt;"","خرید سبد",IF($N721&lt;&gt;"",IF(N(INDEX(CalcDepB,$N721))&gt;0,"دریافت بانکی","پرداخت بانکی"),""))</f>
        <v/>
      </c>
      <c r="D721" s="22">
        <f>IF($M721&lt;&gt;"",IF(INDEX(CalcDocA,$M721)="","—",INDEX(CalcDocA,$M721)),IF($N721&lt;&gt;"",INDEX(CalcBankB,$N721),""))</f>
        <v/>
      </c>
      <c r="E721" s="23">
        <f>IF($N721&lt;&gt;"",IF(INDEX(CalcDepB,$N721)=0,"",INDEX(CalcDepB,$N721)),"")</f>
        <v/>
      </c>
      <c r="F721" s="23">
        <f>IF($M721&lt;&gt;"",IF(INDEX(CalcQtyA,$M721)=0,"",INDEX(CalcQtyA,$M721)),"")</f>
        <v/>
      </c>
      <c r="G721" s="23">
        <f>IF($M721&lt;&gt;"",IF(INDEX(CalcPriceA,$M721)=0,"",INDEX(CalcPriceA,$M721)),"")</f>
        <v/>
      </c>
      <c r="H721" s="23">
        <f>IF($N721&lt;&gt;"",IF(INDEX(CalcWitB,$N721)=0,"",INDEX(CalcWitB,$N721)),"")</f>
        <v/>
      </c>
      <c r="I721" s="24">
        <f>IF($M721&lt;&gt;"",INDEX(CalcAmtA,$M721),"")</f>
        <v/>
      </c>
      <c r="J721" s="24">
        <f>IF($B721="","",IF($J720="",$C$8,$J720)+IF($I721="",0,$I721)+IF($E721="",0,$E721)-IF($H721="",0,$H721))</f>
        <v/>
      </c>
      <c r="K721" s="25">
        <f>IF($M721&lt;&gt;"",IF(INDEX(CalcNoteA,$M721)="","—",INDEX(CalcNoteA,$M721)),IF($N721&lt;&gt;"",IF(INDEX(CalcNoteB,$N721)="","—",INDEX(CalcNoteB,$N721)),""))</f>
        <v/>
      </c>
      <c r="M721">
        <f>IFERROR(MATCH($C$5&amp;"|"&amp;RIGHT("000000"&amp;705,6),CalcRankKeyA,0),"")</f>
        <v/>
      </c>
      <c r="N721">
        <f>IFERROR(MATCH($C$5&amp;"|"&amp;RIGHT("000000"&amp;705,6),CalcRankKeyB,0),"")</f>
        <v/>
      </c>
    </row>
    <row r="722">
      <c r="A722" s="26" t="n">
        <v>706</v>
      </c>
      <c r="B722" s="27">
        <f>IF(AND($M722="",$N722=""),"",IF($M722&lt;&gt;"",INDEX(CalcDateA,$M722),INDEX(CalcDateB,$N722)))</f>
        <v/>
      </c>
      <c r="C722" s="27">
        <f>IF($M722&lt;&gt;"","خرید سبد",IF($N722&lt;&gt;"",IF(N(INDEX(CalcDepB,$N722))&gt;0,"دریافت بانکی","پرداخت بانکی"),""))</f>
        <v/>
      </c>
      <c r="D722" s="27">
        <f>IF($M722&lt;&gt;"",IF(INDEX(CalcDocA,$M722)="","—",INDEX(CalcDocA,$M722)),IF($N722&lt;&gt;"",INDEX(CalcBankB,$N722),""))</f>
        <v/>
      </c>
      <c r="E722" s="28">
        <f>IF($N722&lt;&gt;"",IF(INDEX(CalcDepB,$N722)=0,"",INDEX(CalcDepB,$N722)),"")</f>
        <v/>
      </c>
      <c r="F722" s="28">
        <f>IF($M722&lt;&gt;"",IF(INDEX(CalcQtyA,$M722)=0,"",INDEX(CalcQtyA,$M722)),"")</f>
        <v/>
      </c>
      <c r="G722" s="28">
        <f>IF($M722&lt;&gt;"",IF(INDEX(CalcPriceA,$M722)=0,"",INDEX(CalcPriceA,$M722)),"")</f>
        <v/>
      </c>
      <c r="H722" s="28">
        <f>IF($N722&lt;&gt;"",IF(INDEX(CalcWitB,$N722)=0,"",INDEX(CalcWitB,$N722)),"")</f>
        <v/>
      </c>
      <c r="I722" s="29">
        <f>IF($M722&lt;&gt;"",INDEX(CalcAmtA,$M722),"")</f>
        <v/>
      </c>
      <c r="J722" s="29">
        <f>IF($B722="","",IF($J721="",$C$8,$J721)+IF($I722="",0,$I722)+IF($E722="",0,$E722)-IF($H722="",0,$H722))</f>
        <v/>
      </c>
      <c r="K722" s="30">
        <f>IF($M722&lt;&gt;"",IF(INDEX(CalcNoteA,$M722)="","—",INDEX(CalcNoteA,$M722)),IF($N722&lt;&gt;"",IF(INDEX(CalcNoteB,$N722)="","—",INDEX(CalcNoteB,$N722)),""))</f>
        <v/>
      </c>
      <c r="M722">
        <f>IFERROR(MATCH($C$5&amp;"|"&amp;RIGHT("000000"&amp;706,6),CalcRankKeyA,0),"")</f>
        <v/>
      </c>
      <c r="N722">
        <f>IFERROR(MATCH($C$5&amp;"|"&amp;RIGHT("000000"&amp;706,6),CalcRankKeyB,0),"")</f>
        <v/>
      </c>
    </row>
    <row r="723">
      <c r="A723" s="21" t="n">
        <v>707</v>
      </c>
      <c r="B723" s="22">
        <f>IF(AND($M723="",$N723=""),"",IF($M723&lt;&gt;"",INDEX(CalcDateA,$M723),INDEX(CalcDateB,$N723)))</f>
        <v/>
      </c>
      <c r="C723" s="22">
        <f>IF($M723&lt;&gt;"","خرید سبد",IF($N723&lt;&gt;"",IF(N(INDEX(CalcDepB,$N723))&gt;0,"دریافت بانکی","پرداخت بانکی"),""))</f>
        <v/>
      </c>
      <c r="D723" s="22">
        <f>IF($M723&lt;&gt;"",IF(INDEX(CalcDocA,$M723)="","—",INDEX(CalcDocA,$M723)),IF($N723&lt;&gt;"",INDEX(CalcBankB,$N723),""))</f>
        <v/>
      </c>
      <c r="E723" s="23">
        <f>IF($N723&lt;&gt;"",IF(INDEX(CalcDepB,$N723)=0,"",INDEX(CalcDepB,$N723)),"")</f>
        <v/>
      </c>
      <c r="F723" s="23">
        <f>IF($M723&lt;&gt;"",IF(INDEX(CalcQtyA,$M723)=0,"",INDEX(CalcQtyA,$M723)),"")</f>
        <v/>
      </c>
      <c r="G723" s="23">
        <f>IF($M723&lt;&gt;"",IF(INDEX(CalcPriceA,$M723)=0,"",INDEX(CalcPriceA,$M723)),"")</f>
        <v/>
      </c>
      <c r="H723" s="23">
        <f>IF($N723&lt;&gt;"",IF(INDEX(CalcWitB,$N723)=0,"",INDEX(CalcWitB,$N723)),"")</f>
        <v/>
      </c>
      <c r="I723" s="24">
        <f>IF($M723&lt;&gt;"",INDEX(CalcAmtA,$M723),"")</f>
        <v/>
      </c>
      <c r="J723" s="24">
        <f>IF($B723="","",IF($J722="",$C$8,$J722)+IF($I723="",0,$I723)+IF($E723="",0,$E723)-IF($H723="",0,$H723))</f>
        <v/>
      </c>
      <c r="K723" s="25">
        <f>IF($M723&lt;&gt;"",IF(INDEX(CalcNoteA,$M723)="","—",INDEX(CalcNoteA,$M723)),IF($N723&lt;&gt;"",IF(INDEX(CalcNoteB,$N723)="","—",INDEX(CalcNoteB,$N723)),""))</f>
        <v/>
      </c>
      <c r="M723">
        <f>IFERROR(MATCH($C$5&amp;"|"&amp;RIGHT("000000"&amp;707,6),CalcRankKeyA,0),"")</f>
        <v/>
      </c>
      <c r="N723">
        <f>IFERROR(MATCH($C$5&amp;"|"&amp;RIGHT("000000"&amp;707,6),CalcRankKeyB,0),"")</f>
        <v/>
      </c>
    </row>
    <row r="724">
      <c r="A724" s="26" t="n">
        <v>708</v>
      </c>
      <c r="B724" s="27">
        <f>IF(AND($M724="",$N724=""),"",IF($M724&lt;&gt;"",INDEX(CalcDateA,$M724),INDEX(CalcDateB,$N724)))</f>
        <v/>
      </c>
      <c r="C724" s="27">
        <f>IF($M724&lt;&gt;"","خرید سبد",IF($N724&lt;&gt;"",IF(N(INDEX(CalcDepB,$N724))&gt;0,"دریافت بانکی","پرداخت بانکی"),""))</f>
        <v/>
      </c>
      <c r="D724" s="27">
        <f>IF($M724&lt;&gt;"",IF(INDEX(CalcDocA,$M724)="","—",INDEX(CalcDocA,$M724)),IF($N724&lt;&gt;"",INDEX(CalcBankB,$N724),""))</f>
        <v/>
      </c>
      <c r="E724" s="28">
        <f>IF($N724&lt;&gt;"",IF(INDEX(CalcDepB,$N724)=0,"",INDEX(CalcDepB,$N724)),"")</f>
        <v/>
      </c>
      <c r="F724" s="28">
        <f>IF($M724&lt;&gt;"",IF(INDEX(CalcQtyA,$M724)=0,"",INDEX(CalcQtyA,$M724)),"")</f>
        <v/>
      </c>
      <c r="G724" s="28">
        <f>IF($M724&lt;&gt;"",IF(INDEX(CalcPriceA,$M724)=0,"",INDEX(CalcPriceA,$M724)),"")</f>
        <v/>
      </c>
      <c r="H724" s="28">
        <f>IF($N724&lt;&gt;"",IF(INDEX(CalcWitB,$N724)=0,"",INDEX(CalcWitB,$N724)),"")</f>
        <v/>
      </c>
      <c r="I724" s="29">
        <f>IF($M724&lt;&gt;"",INDEX(CalcAmtA,$M724),"")</f>
        <v/>
      </c>
      <c r="J724" s="29">
        <f>IF($B724="","",IF($J723="",$C$8,$J723)+IF($I724="",0,$I724)+IF($E724="",0,$E724)-IF($H724="",0,$H724))</f>
        <v/>
      </c>
      <c r="K724" s="30">
        <f>IF($M724&lt;&gt;"",IF(INDEX(CalcNoteA,$M724)="","—",INDEX(CalcNoteA,$M724)),IF($N724&lt;&gt;"",IF(INDEX(CalcNoteB,$N724)="","—",INDEX(CalcNoteB,$N724)),""))</f>
        <v/>
      </c>
      <c r="M724">
        <f>IFERROR(MATCH($C$5&amp;"|"&amp;RIGHT("000000"&amp;708,6),CalcRankKeyA,0),"")</f>
        <v/>
      </c>
      <c r="N724">
        <f>IFERROR(MATCH($C$5&amp;"|"&amp;RIGHT("000000"&amp;708,6),CalcRankKeyB,0),"")</f>
        <v/>
      </c>
    </row>
    <row r="725">
      <c r="A725" s="21" t="n">
        <v>709</v>
      </c>
      <c r="B725" s="22">
        <f>IF(AND($M725="",$N725=""),"",IF($M725&lt;&gt;"",INDEX(CalcDateA,$M725),INDEX(CalcDateB,$N725)))</f>
        <v/>
      </c>
      <c r="C725" s="22">
        <f>IF($M725&lt;&gt;"","خرید سبد",IF($N725&lt;&gt;"",IF(N(INDEX(CalcDepB,$N725))&gt;0,"دریافت بانکی","پرداخت بانکی"),""))</f>
        <v/>
      </c>
      <c r="D725" s="22">
        <f>IF($M725&lt;&gt;"",IF(INDEX(CalcDocA,$M725)="","—",INDEX(CalcDocA,$M725)),IF($N725&lt;&gt;"",INDEX(CalcBankB,$N725),""))</f>
        <v/>
      </c>
      <c r="E725" s="23">
        <f>IF($N725&lt;&gt;"",IF(INDEX(CalcDepB,$N725)=0,"",INDEX(CalcDepB,$N725)),"")</f>
        <v/>
      </c>
      <c r="F725" s="23">
        <f>IF($M725&lt;&gt;"",IF(INDEX(CalcQtyA,$M725)=0,"",INDEX(CalcQtyA,$M725)),"")</f>
        <v/>
      </c>
      <c r="G725" s="23">
        <f>IF($M725&lt;&gt;"",IF(INDEX(CalcPriceA,$M725)=0,"",INDEX(CalcPriceA,$M725)),"")</f>
        <v/>
      </c>
      <c r="H725" s="23">
        <f>IF($N725&lt;&gt;"",IF(INDEX(CalcWitB,$N725)=0,"",INDEX(CalcWitB,$N725)),"")</f>
        <v/>
      </c>
      <c r="I725" s="24">
        <f>IF($M725&lt;&gt;"",INDEX(CalcAmtA,$M725),"")</f>
        <v/>
      </c>
      <c r="J725" s="24">
        <f>IF($B725="","",IF($J724="",$C$8,$J724)+IF($I725="",0,$I725)+IF($E725="",0,$E725)-IF($H725="",0,$H725))</f>
        <v/>
      </c>
      <c r="K725" s="25">
        <f>IF($M725&lt;&gt;"",IF(INDEX(CalcNoteA,$M725)="","—",INDEX(CalcNoteA,$M725)),IF($N725&lt;&gt;"",IF(INDEX(CalcNoteB,$N725)="","—",INDEX(CalcNoteB,$N725)),""))</f>
        <v/>
      </c>
      <c r="M725">
        <f>IFERROR(MATCH($C$5&amp;"|"&amp;RIGHT("000000"&amp;709,6),CalcRankKeyA,0),"")</f>
        <v/>
      </c>
      <c r="N725">
        <f>IFERROR(MATCH($C$5&amp;"|"&amp;RIGHT("000000"&amp;709,6),CalcRankKeyB,0),"")</f>
        <v/>
      </c>
    </row>
    <row r="726">
      <c r="A726" s="26" t="n">
        <v>710</v>
      </c>
      <c r="B726" s="27">
        <f>IF(AND($M726="",$N726=""),"",IF($M726&lt;&gt;"",INDEX(CalcDateA,$M726),INDEX(CalcDateB,$N726)))</f>
        <v/>
      </c>
      <c r="C726" s="27">
        <f>IF($M726&lt;&gt;"","خرید سبد",IF($N726&lt;&gt;"",IF(N(INDEX(CalcDepB,$N726))&gt;0,"دریافت بانکی","پرداخت بانکی"),""))</f>
        <v/>
      </c>
      <c r="D726" s="27">
        <f>IF($M726&lt;&gt;"",IF(INDEX(CalcDocA,$M726)="","—",INDEX(CalcDocA,$M726)),IF($N726&lt;&gt;"",INDEX(CalcBankB,$N726),""))</f>
        <v/>
      </c>
      <c r="E726" s="28">
        <f>IF($N726&lt;&gt;"",IF(INDEX(CalcDepB,$N726)=0,"",INDEX(CalcDepB,$N726)),"")</f>
        <v/>
      </c>
      <c r="F726" s="28">
        <f>IF($M726&lt;&gt;"",IF(INDEX(CalcQtyA,$M726)=0,"",INDEX(CalcQtyA,$M726)),"")</f>
        <v/>
      </c>
      <c r="G726" s="28">
        <f>IF($M726&lt;&gt;"",IF(INDEX(CalcPriceA,$M726)=0,"",INDEX(CalcPriceA,$M726)),"")</f>
        <v/>
      </c>
      <c r="H726" s="28">
        <f>IF($N726&lt;&gt;"",IF(INDEX(CalcWitB,$N726)=0,"",INDEX(CalcWitB,$N726)),"")</f>
        <v/>
      </c>
      <c r="I726" s="29">
        <f>IF($M726&lt;&gt;"",INDEX(CalcAmtA,$M726),"")</f>
        <v/>
      </c>
      <c r="J726" s="29">
        <f>IF($B726="","",IF($J725="",$C$8,$J725)+IF($I726="",0,$I726)+IF($E726="",0,$E726)-IF($H726="",0,$H726))</f>
        <v/>
      </c>
      <c r="K726" s="30">
        <f>IF($M726&lt;&gt;"",IF(INDEX(CalcNoteA,$M726)="","—",INDEX(CalcNoteA,$M726)),IF($N726&lt;&gt;"",IF(INDEX(CalcNoteB,$N726)="","—",INDEX(CalcNoteB,$N726)),""))</f>
        <v/>
      </c>
      <c r="M726">
        <f>IFERROR(MATCH($C$5&amp;"|"&amp;RIGHT("000000"&amp;710,6),CalcRankKeyA,0),"")</f>
        <v/>
      </c>
      <c r="N726">
        <f>IFERROR(MATCH($C$5&amp;"|"&amp;RIGHT("000000"&amp;710,6),CalcRankKeyB,0),"")</f>
        <v/>
      </c>
    </row>
    <row r="727">
      <c r="A727" s="21" t="n">
        <v>711</v>
      </c>
      <c r="B727" s="22">
        <f>IF(AND($M727="",$N727=""),"",IF($M727&lt;&gt;"",INDEX(CalcDateA,$M727),INDEX(CalcDateB,$N727)))</f>
        <v/>
      </c>
      <c r="C727" s="22">
        <f>IF($M727&lt;&gt;"","خرید سبد",IF($N727&lt;&gt;"",IF(N(INDEX(CalcDepB,$N727))&gt;0,"دریافت بانکی","پرداخت بانکی"),""))</f>
        <v/>
      </c>
      <c r="D727" s="22">
        <f>IF($M727&lt;&gt;"",IF(INDEX(CalcDocA,$M727)="","—",INDEX(CalcDocA,$M727)),IF($N727&lt;&gt;"",INDEX(CalcBankB,$N727),""))</f>
        <v/>
      </c>
      <c r="E727" s="23">
        <f>IF($N727&lt;&gt;"",IF(INDEX(CalcDepB,$N727)=0,"",INDEX(CalcDepB,$N727)),"")</f>
        <v/>
      </c>
      <c r="F727" s="23">
        <f>IF($M727&lt;&gt;"",IF(INDEX(CalcQtyA,$M727)=0,"",INDEX(CalcQtyA,$M727)),"")</f>
        <v/>
      </c>
      <c r="G727" s="23">
        <f>IF($M727&lt;&gt;"",IF(INDEX(CalcPriceA,$M727)=0,"",INDEX(CalcPriceA,$M727)),"")</f>
        <v/>
      </c>
      <c r="H727" s="23">
        <f>IF($N727&lt;&gt;"",IF(INDEX(CalcWitB,$N727)=0,"",INDEX(CalcWitB,$N727)),"")</f>
        <v/>
      </c>
      <c r="I727" s="24">
        <f>IF($M727&lt;&gt;"",INDEX(CalcAmtA,$M727),"")</f>
        <v/>
      </c>
      <c r="J727" s="24">
        <f>IF($B727="","",IF($J726="",$C$8,$J726)+IF($I727="",0,$I727)+IF($E727="",0,$E727)-IF($H727="",0,$H727))</f>
        <v/>
      </c>
      <c r="K727" s="25">
        <f>IF($M727&lt;&gt;"",IF(INDEX(CalcNoteA,$M727)="","—",INDEX(CalcNoteA,$M727)),IF($N727&lt;&gt;"",IF(INDEX(CalcNoteB,$N727)="","—",INDEX(CalcNoteB,$N727)),""))</f>
        <v/>
      </c>
      <c r="M727">
        <f>IFERROR(MATCH($C$5&amp;"|"&amp;RIGHT("000000"&amp;711,6),CalcRankKeyA,0),"")</f>
        <v/>
      </c>
      <c r="N727">
        <f>IFERROR(MATCH($C$5&amp;"|"&amp;RIGHT("000000"&amp;711,6),CalcRankKeyB,0),"")</f>
        <v/>
      </c>
    </row>
    <row r="728">
      <c r="A728" s="26" t="n">
        <v>712</v>
      </c>
      <c r="B728" s="27">
        <f>IF(AND($M728="",$N728=""),"",IF($M728&lt;&gt;"",INDEX(CalcDateA,$M728),INDEX(CalcDateB,$N728)))</f>
        <v/>
      </c>
      <c r="C728" s="27">
        <f>IF($M728&lt;&gt;"","خرید سبد",IF($N728&lt;&gt;"",IF(N(INDEX(CalcDepB,$N728))&gt;0,"دریافت بانکی","پرداخت بانکی"),""))</f>
        <v/>
      </c>
      <c r="D728" s="27">
        <f>IF($M728&lt;&gt;"",IF(INDEX(CalcDocA,$M728)="","—",INDEX(CalcDocA,$M728)),IF($N728&lt;&gt;"",INDEX(CalcBankB,$N728),""))</f>
        <v/>
      </c>
      <c r="E728" s="28">
        <f>IF($N728&lt;&gt;"",IF(INDEX(CalcDepB,$N728)=0,"",INDEX(CalcDepB,$N728)),"")</f>
        <v/>
      </c>
      <c r="F728" s="28">
        <f>IF($M728&lt;&gt;"",IF(INDEX(CalcQtyA,$M728)=0,"",INDEX(CalcQtyA,$M728)),"")</f>
        <v/>
      </c>
      <c r="G728" s="28">
        <f>IF($M728&lt;&gt;"",IF(INDEX(CalcPriceA,$M728)=0,"",INDEX(CalcPriceA,$M728)),"")</f>
        <v/>
      </c>
      <c r="H728" s="28">
        <f>IF($N728&lt;&gt;"",IF(INDEX(CalcWitB,$N728)=0,"",INDEX(CalcWitB,$N728)),"")</f>
        <v/>
      </c>
      <c r="I728" s="29">
        <f>IF($M728&lt;&gt;"",INDEX(CalcAmtA,$M728),"")</f>
        <v/>
      </c>
      <c r="J728" s="29">
        <f>IF($B728="","",IF($J727="",$C$8,$J727)+IF($I728="",0,$I728)+IF($E728="",0,$E728)-IF($H728="",0,$H728))</f>
        <v/>
      </c>
      <c r="K728" s="30">
        <f>IF($M728&lt;&gt;"",IF(INDEX(CalcNoteA,$M728)="","—",INDEX(CalcNoteA,$M728)),IF($N728&lt;&gt;"",IF(INDEX(CalcNoteB,$N728)="","—",INDEX(CalcNoteB,$N728)),""))</f>
        <v/>
      </c>
      <c r="M728">
        <f>IFERROR(MATCH($C$5&amp;"|"&amp;RIGHT("000000"&amp;712,6),CalcRankKeyA,0),"")</f>
        <v/>
      </c>
      <c r="N728">
        <f>IFERROR(MATCH($C$5&amp;"|"&amp;RIGHT("000000"&amp;712,6),CalcRankKeyB,0),"")</f>
        <v/>
      </c>
    </row>
    <row r="729">
      <c r="A729" s="21" t="n">
        <v>713</v>
      </c>
      <c r="B729" s="22">
        <f>IF(AND($M729="",$N729=""),"",IF($M729&lt;&gt;"",INDEX(CalcDateA,$M729),INDEX(CalcDateB,$N729)))</f>
        <v/>
      </c>
      <c r="C729" s="22">
        <f>IF($M729&lt;&gt;"","خرید سبد",IF($N729&lt;&gt;"",IF(N(INDEX(CalcDepB,$N729))&gt;0,"دریافت بانکی","پرداخت بانکی"),""))</f>
        <v/>
      </c>
      <c r="D729" s="22">
        <f>IF($M729&lt;&gt;"",IF(INDEX(CalcDocA,$M729)="","—",INDEX(CalcDocA,$M729)),IF($N729&lt;&gt;"",INDEX(CalcBankB,$N729),""))</f>
        <v/>
      </c>
      <c r="E729" s="23">
        <f>IF($N729&lt;&gt;"",IF(INDEX(CalcDepB,$N729)=0,"",INDEX(CalcDepB,$N729)),"")</f>
        <v/>
      </c>
      <c r="F729" s="23">
        <f>IF($M729&lt;&gt;"",IF(INDEX(CalcQtyA,$M729)=0,"",INDEX(CalcQtyA,$M729)),"")</f>
        <v/>
      </c>
      <c r="G729" s="23">
        <f>IF($M729&lt;&gt;"",IF(INDEX(CalcPriceA,$M729)=0,"",INDEX(CalcPriceA,$M729)),"")</f>
        <v/>
      </c>
      <c r="H729" s="23">
        <f>IF($N729&lt;&gt;"",IF(INDEX(CalcWitB,$N729)=0,"",INDEX(CalcWitB,$N729)),"")</f>
        <v/>
      </c>
      <c r="I729" s="24">
        <f>IF($M729&lt;&gt;"",INDEX(CalcAmtA,$M729),"")</f>
        <v/>
      </c>
      <c r="J729" s="24">
        <f>IF($B729="","",IF($J728="",$C$8,$J728)+IF($I729="",0,$I729)+IF($E729="",0,$E729)-IF($H729="",0,$H729))</f>
        <v/>
      </c>
      <c r="K729" s="25">
        <f>IF($M729&lt;&gt;"",IF(INDEX(CalcNoteA,$M729)="","—",INDEX(CalcNoteA,$M729)),IF($N729&lt;&gt;"",IF(INDEX(CalcNoteB,$N729)="","—",INDEX(CalcNoteB,$N729)),""))</f>
        <v/>
      </c>
      <c r="M729">
        <f>IFERROR(MATCH($C$5&amp;"|"&amp;RIGHT("000000"&amp;713,6),CalcRankKeyA,0),"")</f>
        <v/>
      </c>
      <c r="N729">
        <f>IFERROR(MATCH($C$5&amp;"|"&amp;RIGHT("000000"&amp;713,6),CalcRankKeyB,0),"")</f>
        <v/>
      </c>
    </row>
    <row r="730">
      <c r="A730" s="26" t="n">
        <v>714</v>
      </c>
      <c r="B730" s="27">
        <f>IF(AND($M730="",$N730=""),"",IF($M730&lt;&gt;"",INDEX(CalcDateA,$M730),INDEX(CalcDateB,$N730)))</f>
        <v/>
      </c>
      <c r="C730" s="27">
        <f>IF($M730&lt;&gt;"","خرید سبد",IF($N730&lt;&gt;"",IF(N(INDEX(CalcDepB,$N730))&gt;0,"دریافت بانکی","پرداخت بانکی"),""))</f>
        <v/>
      </c>
      <c r="D730" s="27">
        <f>IF($M730&lt;&gt;"",IF(INDEX(CalcDocA,$M730)="","—",INDEX(CalcDocA,$M730)),IF($N730&lt;&gt;"",INDEX(CalcBankB,$N730),""))</f>
        <v/>
      </c>
      <c r="E730" s="28">
        <f>IF($N730&lt;&gt;"",IF(INDEX(CalcDepB,$N730)=0,"",INDEX(CalcDepB,$N730)),"")</f>
        <v/>
      </c>
      <c r="F730" s="28">
        <f>IF($M730&lt;&gt;"",IF(INDEX(CalcQtyA,$M730)=0,"",INDEX(CalcQtyA,$M730)),"")</f>
        <v/>
      </c>
      <c r="G730" s="28">
        <f>IF($M730&lt;&gt;"",IF(INDEX(CalcPriceA,$M730)=0,"",INDEX(CalcPriceA,$M730)),"")</f>
        <v/>
      </c>
      <c r="H730" s="28">
        <f>IF($N730&lt;&gt;"",IF(INDEX(CalcWitB,$N730)=0,"",INDEX(CalcWitB,$N730)),"")</f>
        <v/>
      </c>
      <c r="I730" s="29">
        <f>IF($M730&lt;&gt;"",INDEX(CalcAmtA,$M730),"")</f>
        <v/>
      </c>
      <c r="J730" s="29">
        <f>IF($B730="","",IF($J729="",$C$8,$J729)+IF($I730="",0,$I730)+IF($E730="",0,$E730)-IF($H730="",0,$H730))</f>
        <v/>
      </c>
      <c r="K730" s="30">
        <f>IF($M730&lt;&gt;"",IF(INDEX(CalcNoteA,$M730)="","—",INDEX(CalcNoteA,$M730)),IF($N730&lt;&gt;"",IF(INDEX(CalcNoteB,$N730)="","—",INDEX(CalcNoteB,$N730)),""))</f>
        <v/>
      </c>
      <c r="M730">
        <f>IFERROR(MATCH($C$5&amp;"|"&amp;RIGHT("000000"&amp;714,6),CalcRankKeyA,0),"")</f>
        <v/>
      </c>
      <c r="N730">
        <f>IFERROR(MATCH($C$5&amp;"|"&amp;RIGHT("000000"&amp;714,6),CalcRankKeyB,0),"")</f>
        <v/>
      </c>
    </row>
    <row r="731">
      <c r="A731" s="21" t="n">
        <v>715</v>
      </c>
      <c r="B731" s="22">
        <f>IF(AND($M731="",$N731=""),"",IF($M731&lt;&gt;"",INDEX(CalcDateA,$M731),INDEX(CalcDateB,$N731)))</f>
        <v/>
      </c>
      <c r="C731" s="22">
        <f>IF($M731&lt;&gt;"","خرید سبد",IF($N731&lt;&gt;"",IF(N(INDEX(CalcDepB,$N731))&gt;0,"دریافت بانکی","پرداخت بانکی"),""))</f>
        <v/>
      </c>
      <c r="D731" s="22">
        <f>IF($M731&lt;&gt;"",IF(INDEX(CalcDocA,$M731)="","—",INDEX(CalcDocA,$M731)),IF($N731&lt;&gt;"",INDEX(CalcBankB,$N731),""))</f>
        <v/>
      </c>
      <c r="E731" s="23">
        <f>IF($N731&lt;&gt;"",IF(INDEX(CalcDepB,$N731)=0,"",INDEX(CalcDepB,$N731)),"")</f>
        <v/>
      </c>
      <c r="F731" s="23">
        <f>IF($M731&lt;&gt;"",IF(INDEX(CalcQtyA,$M731)=0,"",INDEX(CalcQtyA,$M731)),"")</f>
        <v/>
      </c>
      <c r="G731" s="23">
        <f>IF($M731&lt;&gt;"",IF(INDEX(CalcPriceA,$M731)=0,"",INDEX(CalcPriceA,$M731)),"")</f>
        <v/>
      </c>
      <c r="H731" s="23">
        <f>IF($N731&lt;&gt;"",IF(INDEX(CalcWitB,$N731)=0,"",INDEX(CalcWitB,$N731)),"")</f>
        <v/>
      </c>
      <c r="I731" s="24">
        <f>IF($M731&lt;&gt;"",INDEX(CalcAmtA,$M731),"")</f>
        <v/>
      </c>
      <c r="J731" s="24">
        <f>IF($B731="","",IF($J730="",$C$8,$J730)+IF($I731="",0,$I731)+IF($E731="",0,$E731)-IF($H731="",0,$H731))</f>
        <v/>
      </c>
      <c r="K731" s="25">
        <f>IF($M731&lt;&gt;"",IF(INDEX(CalcNoteA,$M731)="","—",INDEX(CalcNoteA,$M731)),IF($N731&lt;&gt;"",IF(INDEX(CalcNoteB,$N731)="","—",INDEX(CalcNoteB,$N731)),""))</f>
        <v/>
      </c>
      <c r="M731">
        <f>IFERROR(MATCH($C$5&amp;"|"&amp;RIGHT("000000"&amp;715,6),CalcRankKeyA,0),"")</f>
        <v/>
      </c>
      <c r="N731">
        <f>IFERROR(MATCH($C$5&amp;"|"&amp;RIGHT("000000"&amp;715,6),CalcRankKeyB,0),"")</f>
        <v/>
      </c>
    </row>
    <row r="732">
      <c r="A732" s="26" t="n">
        <v>716</v>
      </c>
      <c r="B732" s="27">
        <f>IF(AND($M732="",$N732=""),"",IF($M732&lt;&gt;"",INDEX(CalcDateA,$M732),INDEX(CalcDateB,$N732)))</f>
        <v/>
      </c>
      <c r="C732" s="27">
        <f>IF($M732&lt;&gt;"","خرید سبد",IF($N732&lt;&gt;"",IF(N(INDEX(CalcDepB,$N732))&gt;0,"دریافت بانکی","پرداخت بانکی"),""))</f>
        <v/>
      </c>
      <c r="D732" s="27">
        <f>IF($M732&lt;&gt;"",IF(INDEX(CalcDocA,$M732)="","—",INDEX(CalcDocA,$M732)),IF($N732&lt;&gt;"",INDEX(CalcBankB,$N732),""))</f>
        <v/>
      </c>
      <c r="E732" s="28">
        <f>IF($N732&lt;&gt;"",IF(INDEX(CalcDepB,$N732)=0,"",INDEX(CalcDepB,$N732)),"")</f>
        <v/>
      </c>
      <c r="F732" s="28">
        <f>IF($M732&lt;&gt;"",IF(INDEX(CalcQtyA,$M732)=0,"",INDEX(CalcQtyA,$M732)),"")</f>
        <v/>
      </c>
      <c r="G732" s="28">
        <f>IF($M732&lt;&gt;"",IF(INDEX(CalcPriceA,$M732)=0,"",INDEX(CalcPriceA,$M732)),"")</f>
        <v/>
      </c>
      <c r="H732" s="28">
        <f>IF($N732&lt;&gt;"",IF(INDEX(CalcWitB,$N732)=0,"",INDEX(CalcWitB,$N732)),"")</f>
        <v/>
      </c>
      <c r="I732" s="29">
        <f>IF($M732&lt;&gt;"",INDEX(CalcAmtA,$M732),"")</f>
        <v/>
      </c>
      <c r="J732" s="29">
        <f>IF($B732="","",IF($J731="",$C$8,$J731)+IF($I732="",0,$I732)+IF($E732="",0,$E732)-IF($H732="",0,$H732))</f>
        <v/>
      </c>
      <c r="K732" s="30">
        <f>IF($M732&lt;&gt;"",IF(INDEX(CalcNoteA,$M732)="","—",INDEX(CalcNoteA,$M732)),IF($N732&lt;&gt;"",IF(INDEX(CalcNoteB,$N732)="","—",INDEX(CalcNoteB,$N732)),""))</f>
        <v/>
      </c>
      <c r="M732">
        <f>IFERROR(MATCH($C$5&amp;"|"&amp;RIGHT("000000"&amp;716,6),CalcRankKeyA,0),"")</f>
        <v/>
      </c>
      <c r="N732">
        <f>IFERROR(MATCH($C$5&amp;"|"&amp;RIGHT("000000"&amp;716,6),CalcRankKeyB,0),"")</f>
        <v/>
      </c>
    </row>
    <row r="733">
      <c r="A733" s="21" t="n">
        <v>717</v>
      </c>
      <c r="B733" s="22">
        <f>IF(AND($M733="",$N733=""),"",IF($M733&lt;&gt;"",INDEX(CalcDateA,$M733),INDEX(CalcDateB,$N733)))</f>
        <v/>
      </c>
      <c r="C733" s="22">
        <f>IF($M733&lt;&gt;"","خرید سبد",IF($N733&lt;&gt;"",IF(N(INDEX(CalcDepB,$N733))&gt;0,"دریافت بانکی","پرداخت بانکی"),""))</f>
        <v/>
      </c>
      <c r="D733" s="22">
        <f>IF($M733&lt;&gt;"",IF(INDEX(CalcDocA,$M733)="","—",INDEX(CalcDocA,$M733)),IF($N733&lt;&gt;"",INDEX(CalcBankB,$N733),""))</f>
        <v/>
      </c>
      <c r="E733" s="23">
        <f>IF($N733&lt;&gt;"",IF(INDEX(CalcDepB,$N733)=0,"",INDEX(CalcDepB,$N733)),"")</f>
        <v/>
      </c>
      <c r="F733" s="23">
        <f>IF($M733&lt;&gt;"",IF(INDEX(CalcQtyA,$M733)=0,"",INDEX(CalcQtyA,$M733)),"")</f>
        <v/>
      </c>
      <c r="G733" s="23">
        <f>IF($M733&lt;&gt;"",IF(INDEX(CalcPriceA,$M733)=0,"",INDEX(CalcPriceA,$M733)),"")</f>
        <v/>
      </c>
      <c r="H733" s="23">
        <f>IF($N733&lt;&gt;"",IF(INDEX(CalcWitB,$N733)=0,"",INDEX(CalcWitB,$N733)),"")</f>
        <v/>
      </c>
      <c r="I733" s="24">
        <f>IF($M733&lt;&gt;"",INDEX(CalcAmtA,$M733),"")</f>
        <v/>
      </c>
      <c r="J733" s="24">
        <f>IF($B733="","",IF($J732="",$C$8,$J732)+IF($I733="",0,$I733)+IF($E733="",0,$E733)-IF($H733="",0,$H733))</f>
        <v/>
      </c>
      <c r="K733" s="25">
        <f>IF($M733&lt;&gt;"",IF(INDEX(CalcNoteA,$M733)="","—",INDEX(CalcNoteA,$M733)),IF($N733&lt;&gt;"",IF(INDEX(CalcNoteB,$N733)="","—",INDEX(CalcNoteB,$N733)),""))</f>
        <v/>
      </c>
      <c r="M733">
        <f>IFERROR(MATCH($C$5&amp;"|"&amp;RIGHT("000000"&amp;717,6),CalcRankKeyA,0),"")</f>
        <v/>
      </c>
      <c r="N733">
        <f>IFERROR(MATCH($C$5&amp;"|"&amp;RIGHT("000000"&amp;717,6),CalcRankKeyB,0),"")</f>
        <v/>
      </c>
    </row>
    <row r="734">
      <c r="A734" s="26" t="n">
        <v>718</v>
      </c>
      <c r="B734" s="27">
        <f>IF(AND($M734="",$N734=""),"",IF($M734&lt;&gt;"",INDEX(CalcDateA,$M734),INDEX(CalcDateB,$N734)))</f>
        <v/>
      </c>
      <c r="C734" s="27">
        <f>IF($M734&lt;&gt;"","خرید سبد",IF($N734&lt;&gt;"",IF(N(INDEX(CalcDepB,$N734))&gt;0,"دریافت بانکی","پرداخت بانکی"),""))</f>
        <v/>
      </c>
      <c r="D734" s="27">
        <f>IF($M734&lt;&gt;"",IF(INDEX(CalcDocA,$M734)="","—",INDEX(CalcDocA,$M734)),IF($N734&lt;&gt;"",INDEX(CalcBankB,$N734),""))</f>
        <v/>
      </c>
      <c r="E734" s="28">
        <f>IF($N734&lt;&gt;"",IF(INDEX(CalcDepB,$N734)=0,"",INDEX(CalcDepB,$N734)),"")</f>
        <v/>
      </c>
      <c r="F734" s="28">
        <f>IF($M734&lt;&gt;"",IF(INDEX(CalcQtyA,$M734)=0,"",INDEX(CalcQtyA,$M734)),"")</f>
        <v/>
      </c>
      <c r="G734" s="28">
        <f>IF($M734&lt;&gt;"",IF(INDEX(CalcPriceA,$M734)=0,"",INDEX(CalcPriceA,$M734)),"")</f>
        <v/>
      </c>
      <c r="H734" s="28">
        <f>IF($N734&lt;&gt;"",IF(INDEX(CalcWitB,$N734)=0,"",INDEX(CalcWitB,$N734)),"")</f>
        <v/>
      </c>
      <c r="I734" s="29">
        <f>IF($M734&lt;&gt;"",INDEX(CalcAmtA,$M734),"")</f>
        <v/>
      </c>
      <c r="J734" s="29">
        <f>IF($B734="","",IF($J733="",$C$8,$J733)+IF($I734="",0,$I734)+IF($E734="",0,$E734)-IF($H734="",0,$H734))</f>
        <v/>
      </c>
      <c r="K734" s="30">
        <f>IF($M734&lt;&gt;"",IF(INDEX(CalcNoteA,$M734)="","—",INDEX(CalcNoteA,$M734)),IF($N734&lt;&gt;"",IF(INDEX(CalcNoteB,$N734)="","—",INDEX(CalcNoteB,$N734)),""))</f>
        <v/>
      </c>
      <c r="M734">
        <f>IFERROR(MATCH($C$5&amp;"|"&amp;RIGHT("000000"&amp;718,6),CalcRankKeyA,0),"")</f>
        <v/>
      </c>
      <c r="N734">
        <f>IFERROR(MATCH($C$5&amp;"|"&amp;RIGHT("000000"&amp;718,6),CalcRankKeyB,0),"")</f>
        <v/>
      </c>
    </row>
    <row r="735">
      <c r="A735" s="21" t="n">
        <v>719</v>
      </c>
      <c r="B735" s="22">
        <f>IF(AND($M735="",$N735=""),"",IF($M735&lt;&gt;"",INDEX(CalcDateA,$M735),INDEX(CalcDateB,$N735)))</f>
        <v/>
      </c>
      <c r="C735" s="22">
        <f>IF($M735&lt;&gt;"","خرید سبد",IF($N735&lt;&gt;"",IF(N(INDEX(CalcDepB,$N735))&gt;0,"دریافت بانکی","پرداخت بانکی"),""))</f>
        <v/>
      </c>
      <c r="D735" s="22">
        <f>IF($M735&lt;&gt;"",IF(INDEX(CalcDocA,$M735)="","—",INDEX(CalcDocA,$M735)),IF($N735&lt;&gt;"",INDEX(CalcBankB,$N735),""))</f>
        <v/>
      </c>
      <c r="E735" s="23">
        <f>IF($N735&lt;&gt;"",IF(INDEX(CalcDepB,$N735)=0,"",INDEX(CalcDepB,$N735)),"")</f>
        <v/>
      </c>
      <c r="F735" s="23">
        <f>IF($M735&lt;&gt;"",IF(INDEX(CalcQtyA,$M735)=0,"",INDEX(CalcQtyA,$M735)),"")</f>
        <v/>
      </c>
      <c r="G735" s="23">
        <f>IF($M735&lt;&gt;"",IF(INDEX(CalcPriceA,$M735)=0,"",INDEX(CalcPriceA,$M735)),"")</f>
        <v/>
      </c>
      <c r="H735" s="23">
        <f>IF($N735&lt;&gt;"",IF(INDEX(CalcWitB,$N735)=0,"",INDEX(CalcWitB,$N735)),"")</f>
        <v/>
      </c>
      <c r="I735" s="24">
        <f>IF($M735&lt;&gt;"",INDEX(CalcAmtA,$M735),"")</f>
        <v/>
      </c>
      <c r="J735" s="24">
        <f>IF($B735="","",IF($J734="",$C$8,$J734)+IF($I735="",0,$I735)+IF($E735="",0,$E735)-IF($H735="",0,$H735))</f>
        <v/>
      </c>
      <c r="K735" s="25">
        <f>IF($M735&lt;&gt;"",IF(INDEX(CalcNoteA,$M735)="","—",INDEX(CalcNoteA,$M735)),IF($N735&lt;&gt;"",IF(INDEX(CalcNoteB,$N735)="","—",INDEX(CalcNoteB,$N735)),""))</f>
        <v/>
      </c>
      <c r="M735">
        <f>IFERROR(MATCH($C$5&amp;"|"&amp;RIGHT("000000"&amp;719,6),CalcRankKeyA,0),"")</f>
        <v/>
      </c>
      <c r="N735">
        <f>IFERROR(MATCH($C$5&amp;"|"&amp;RIGHT("000000"&amp;719,6),CalcRankKeyB,0),"")</f>
        <v/>
      </c>
    </row>
    <row r="736">
      <c r="A736" s="26" t="n">
        <v>720</v>
      </c>
      <c r="B736" s="27">
        <f>IF(AND($M736="",$N736=""),"",IF($M736&lt;&gt;"",INDEX(CalcDateA,$M736),INDEX(CalcDateB,$N736)))</f>
        <v/>
      </c>
      <c r="C736" s="27">
        <f>IF($M736&lt;&gt;"","خرید سبد",IF($N736&lt;&gt;"",IF(N(INDEX(CalcDepB,$N736))&gt;0,"دریافت بانکی","پرداخت بانکی"),""))</f>
        <v/>
      </c>
      <c r="D736" s="27">
        <f>IF($M736&lt;&gt;"",IF(INDEX(CalcDocA,$M736)="","—",INDEX(CalcDocA,$M736)),IF($N736&lt;&gt;"",INDEX(CalcBankB,$N736),""))</f>
        <v/>
      </c>
      <c r="E736" s="28">
        <f>IF($N736&lt;&gt;"",IF(INDEX(CalcDepB,$N736)=0,"",INDEX(CalcDepB,$N736)),"")</f>
        <v/>
      </c>
      <c r="F736" s="28">
        <f>IF($M736&lt;&gt;"",IF(INDEX(CalcQtyA,$M736)=0,"",INDEX(CalcQtyA,$M736)),"")</f>
        <v/>
      </c>
      <c r="G736" s="28">
        <f>IF($M736&lt;&gt;"",IF(INDEX(CalcPriceA,$M736)=0,"",INDEX(CalcPriceA,$M736)),"")</f>
        <v/>
      </c>
      <c r="H736" s="28">
        <f>IF($N736&lt;&gt;"",IF(INDEX(CalcWitB,$N736)=0,"",INDEX(CalcWitB,$N736)),"")</f>
        <v/>
      </c>
      <c r="I736" s="29">
        <f>IF($M736&lt;&gt;"",INDEX(CalcAmtA,$M736),"")</f>
        <v/>
      </c>
      <c r="J736" s="29">
        <f>IF($B736="","",IF($J735="",$C$8,$J735)+IF($I736="",0,$I736)+IF($E736="",0,$E736)-IF($H736="",0,$H736))</f>
        <v/>
      </c>
      <c r="K736" s="30">
        <f>IF($M736&lt;&gt;"",IF(INDEX(CalcNoteA,$M736)="","—",INDEX(CalcNoteA,$M736)),IF($N736&lt;&gt;"",IF(INDEX(CalcNoteB,$N736)="","—",INDEX(CalcNoteB,$N736)),""))</f>
        <v/>
      </c>
      <c r="M736">
        <f>IFERROR(MATCH($C$5&amp;"|"&amp;RIGHT("000000"&amp;720,6),CalcRankKeyA,0),"")</f>
        <v/>
      </c>
      <c r="N736">
        <f>IFERROR(MATCH($C$5&amp;"|"&amp;RIGHT("000000"&amp;720,6),CalcRankKeyB,0),"")</f>
        <v/>
      </c>
    </row>
    <row r="737">
      <c r="A737" s="21" t="n">
        <v>721</v>
      </c>
      <c r="B737" s="22">
        <f>IF(AND($M737="",$N737=""),"",IF($M737&lt;&gt;"",INDEX(CalcDateA,$M737),INDEX(CalcDateB,$N737)))</f>
        <v/>
      </c>
      <c r="C737" s="22">
        <f>IF($M737&lt;&gt;"","خرید سبد",IF($N737&lt;&gt;"",IF(N(INDEX(CalcDepB,$N737))&gt;0,"دریافت بانکی","پرداخت بانکی"),""))</f>
        <v/>
      </c>
      <c r="D737" s="22">
        <f>IF($M737&lt;&gt;"",IF(INDEX(CalcDocA,$M737)="","—",INDEX(CalcDocA,$M737)),IF($N737&lt;&gt;"",INDEX(CalcBankB,$N737),""))</f>
        <v/>
      </c>
      <c r="E737" s="23">
        <f>IF($N737&lt;&gt;"",IF(INDEX(CalcDepB,$N737)=0,"",INDEX(CalcDepB,$N737)),"")</f>
        <v/>
      </c>
      <c r="F737" s="23">
        <f>IF($M737&lt;&gt;"",IF(INDEX(CalcQtyA,$M737)=0,"",INDEX(CalcQtyA,$M737)),"")</f>
        <v/>
      </c>
      <c r="G737" s="23">
        <f>IF($M737&lt;&gt;"",IF(INDEX(CalcPriceA,$M737)=0,"",INDEX(CalcPriceA,$M737)),"")</f>
        <v/>
      </c>
      <c r="H737" s="23">
        <f>IF($N737&lt;&gt;"",IF(INDEX(CalcWitB,$N737)=0,"",INDEX(CalcWitB,$N737)),"")</f>
        <v/>
      </c>
      <c r="I737" s="24">
        <f>IF($M737&lt;&gt;"",INDEX(CalcAmtA,$M737),"")</f>
        <v/>
      </c>
      <c r="J737" s="24">
        <f>IF($B737="","",IF($J736="",$C$8,$J736)+IF($I737="",0,$I737)+IF($E737="",0,$E737)-IF($H737="",0,$H737))</f>
        <v/>
      </c>
      <c r="K737" s="25">
        <f>IF($M737&lt;&gt;"",IF(INDEX(CalcNoteA,$M737)="","—",INDEX(CalcNoteA,$M737)),IF($N737&lt;&gt;"",IF(INDEX(CalcNoteB,$N737)="","—",INDEX(CalcNoteB,$N737)),""))</f>
        <v/>
      </c>
      <c r="M737">
        <f>IFERROR(MATCH($C$5&amp;"|"&amp;RIGHT("000000"&amp;721,6),CalcRankKeyA,0),"")</f>
        <v/>
      </c>
      <c r="N737">
        <f>IFERROR(MATCH($C$5&amp;"|"&amp;RIGHT("000000"&amp;721,6),CalcRankKeyB,0),"")</f>
        <v/>
      </c>
    </row>
    <row r="738">
      <c r="A738" s="26" t="n">
        <v>722</v>
      </c>
      <c r="B738" s="27">
        <f>IF(AND($M738="",$N738=""),"",IF($M738&lt;&gt;"",INDEX(CalcDateA,$M738),INDEX(CalcDateB,$N738)))</f>
        <v/>
      </c>
      <c r="C738" s="27">
        <f>IF($M738&lt;&gt;"","خرید سبد",IF($N738&lt;&gt;"",IF(N(INDEX(CalcDepB,$N738))&gt;0,"دریافت بانکی","پرداخت بانکی"),""))</f>
        <v/>
      </c>
      <c r="D738" s="27">
        <f>IF($M738&lt;&gt;"",IF(INDEX(CalcDocA,$M738)="","—",INDEX(CalcDocA,$M738)),IF($N738&lt;&gt;"",INDEX(CalcBankB,$N738),""))</f>
        <v/>
      </c>
      <c r="E738" s="28">
        <f>IF($N738&lt;&gt;"",IF(INDEX(CalcDepB,$N738)=0,"",INDEX(CalcDepB,$N738)),"")</f>
        <v/>
      </c>
      <c r="F738" s="28">
        <f>IF($M738&lt;&gt;"",IF(INDEX(CalcQtyA,$M738)=0,"",INDEX(CalcQtyA,$M738)),"")</f>
        <v/>
      </c>
      <c r="G738" s="28">
        <f>IF($M738&lt;&gt;"",IF(INDEX(CalcPriceA,$M738)=0,"",INDEX(CalcPriceA,$M738)),"")</f>
        <v/>
      </c>
      <c r="H738" s="28">
        <f>IF($N738&lt;&gt;"",IF(INDEX(CalcWitB,$N738)=0,"",INDEX(CalcWitB,$N738)),"")</f>
        <v/>
      </c>
      <c r="I738" s="29">
        <f>IF($M738&lt;&gt;"",INDEX(CalcAmtA,$M738),"")</f>
        <v/>
      </c>
      <c r="J738" s="29">
        <f>IF($B738="","",IF($J737="",$C$8,$J737)+IF($I738="",0,$I738)+IF($E738="",0,$E738)-IF($H738="",0,$H738))</f>
        <v/>
      </c>
      <c r="K738" s="30">
        <f>IF($M738&lt;&gt;"",IF(INDEX(CalcNoteA,$M738)="","—",INDEX(CalcNoteA,$M738)),IF($N738&lt;&gt;"",IF(INDEX(CalcNoteB,$N738)="","—",INDEX(CalcNoteB,$N738)),""))</f>
        <v/>
      </c>
      <c r="M738">
        <f>IFERROR(MATCH($C$5&amp;"|"&amp;RIGHT("000000"&amp;722,6),CalcRankKeyA,0),"")</f>
        <v/>
      </c>
      <c r="N738">
        <f>IFERROR(MATCH($C$5&amp;"|"&amp;RIGHT("000000"&amp;722,6),CalcRankKeyB,0),"")</f>
        <v/>
      </c>
    </row>
    <row r="739">
      <c r="A739" s="21" t="n">
        <v>723</v>
      </c>
      <c r="B739" s="22">
        <f>IF(AND($M739="",$N739=""),"",IF($M739&lt;&gt;"",INDEX(CalcDateA,$M739),INDEX(CalcDateB,$N739)))</f>
        <v/>
      </c>
      <c r="C739" s="22">
        <f>IF($M739&lt;&gt;"","خرید سبد",IF($N739&lt;&gt;"",IF(N(INDEX(CalcDepB,$N739))&gt;0,"دریافت بانکی","پرداخت بانکی"),""))</f>
        <v/>
      </c>
      <c r="D739" s="22">
        <f>IF($M739&lt;&gt;"",IF(INDEX(CalcDocA,$M739)="","—",INDEX(CalcDocA,$M739)),IF($N739&lt;&gt;"",INDEX(CalcBankB,$N739),""))</f>
        <v/>
      </c>
      <c r="E739" s="23">
        <f>IF($N739&lt;&gt;"",IF(INDEX(CalcDepB,$N739)=0,"",INDEX(CalcDepB,$N739)),"")</f>
        <v/>
      </c>
      <c r="F739" s="23">
        <f>IF($M739&lt;&gt;"",IF(INDEX(CalcQtyA,$M739)=0,"",INDEX(CalcQtyA,$M739)),"")</f>
        <v/>
      </c>
      <c r="G739" s="23">
        <f>IF($M739&lt;&gt;"",IF(INDEX(CalcPriceA,$M739)=0,"",INDEX(CalcPriceA,$M739)),"")</f>
        <v/>
      </c>
      <c r="H739" s="23">
        <f>IF($N739&lt;&gt;"",IF(INDEX(CalcWitB,$N739)=0,"",INDEX(CalcWitB,$N739)),"")</f>
        <v/>
      </c>
      <c r="I739" s="24">
        <f>IF($M739&lt;&gt;"",INDEX(CalcAmtA,$M739),"")</f>
        <v/>
      </c>
      <c r="J739" s="24">
        <f>IF($B739="","",IF($J738="",$C$8,$J738)+IF($I739="",0,$I739)+IF($E739="",0,$E739)-IF($H739="",0,$H739))</f>
        <v/>
      </c>
      <c r="K739" s="25">
        <f>IF($M739&lt;&gt;"",IF(INDEX(CalcNoteA,$M739)="","—",INDEX(CalcNoteA,$M739)),IF($N739&lt;&gt;"",IF(INDEX(CalcNoteB,$N739)="","—",INDEX(CalcNoteB,$N739)),""))</f>
        <v/>
      </c>
      <c r="M739">
        <f>IFERROR(MATCH($C$5&amp;"|"&amp;RIGHT("000000"&amp;723,6),CalcRankKeyA,0),"")</f>
        <v/>
      </c>
      <c r="N739">
        <f>IFERROR(MATCH($C$5&amp;"|"&amp;RIGHT("000000"&amp;723,6),CalcRankKeyB,0),"")</f>
        <v/>
      </c>
    </row>
    <row r="740">
      <c r="A740" s="26" t="n">
        <v>724</v>
      </c>
      <c r="B740" s="27">
        <f>IF(AND($M740="",$N740=""),"",IF($M740&lt;&gt;"",INDEX(CalcDateA,$M740),INDEX(CalcDateB,$N740)))</f>
        <v/>
      </c>
      <c r="C740" s="27">
        <f>IF($M740&lt;&gt;"","خرید سبد",IF($N740&lt;&gt;"",IF(N(INDEX(CalcDepB,$N740))&gt;0,"دریافت بانکی","پرداخت بانکی"),""))</f>
        <v/>
      </c>
      <c r="D740" s="27">
        <f>IF($M740&lt;&gt;"",IF(INDEX(CalcDocA,$M740)="","—",INDEX(CalcDocA,$M740)),IF($N740&lt;&gt;"",INDEX(CalcBankB,$N740),""))</f>
        <v/>
      </c>
      <c r="E740" s="28">
        <f>IF($N740&lt;&gt;"",IF(INDEX(CalcDepB,$N740)=0,"",INDEX(CalcDepB,$N740)),"")</f>
        <v/>
      </c>
      <c r="F740" s="28">
        <f>IF($M740&lt;&gt;"",IF(INDEX(CalcQtyA,$M740)=0,"",INDEX(CalcQtyA,$M740)),"")</f>
        <v/>
      </c>
      <c r="G740" s="28">
        <f>IF($M740&lt;&gt;"",IF(INDEX(CalcPriceA,$M740)=0,"",INDEX(CalcPriceA,$M740)),"")</f>
        <v/>
      </c>
      <c r="H740" s="28">
        <f>IF($N740&lt;&gt;"",IF(INDEX(CalcWitB,$N740)=0,"",INDEX(CalcWitB,$N740)),"")</f>
        <v/>
      </c>
      <c r="I740" s="29">
        <f>IF($M740&lt;&gt;"",INDEX(CalcAmtA,$M740),"")</f>
        <v/>
      </c>
      <c r="J740" s="29">
        <f>IF($B740="","",IF($J739="",$C$8,$J739)+IF($I740="",0,$I740)+IF($E740="",0,$E740)-IF($H740="",0,$H740))</f>
        <v/>
      </c>
      <c r="K740" s="30">
        <f>IF($M740&lt;&gt;"",IF(INDEX(CalcNoteA,$M740)="","—",INDEX(CalcNoteA,$M740)),IF($N740&lt;&gt;"",IF(INDEX(CalcNoteB,$N740)="","—",INDEX(CalcNoteB,$N740)),""))</f>
        <v/>
      </c>
      <c r="M740">
        <f>IFERROR(MATCH($C$5&amp;"|"&amp;RIGHT("000000"&amp;724,6),CalcRankKeyA,0),"")</f>
        <v/>
      </c>
      <c r="N740">
        <f>IFERROR(MATCH($C$5&amp;"|"&amp;RIGHT("000000"&amp;724,6),CalcRankKeyB,0),"")</f>
        <v/>
      </c>
    </row>
    <row r="741">
      <c r="A741" s="21" t="n">
        <v>725</v>
      </c>
      <c r="B741" s="22">
        <f>IF(AND($M741="",$N741=""),"",IF($M741&lt;&gt;"",INDEX(CalcDateA,$M741),INDEX(CalcDateB,$N741)))</f>
        <v/>
      </c>
      <c r="C741" s="22">
        <f>IF($M741&lt;&gt;"","خرید سبد",IF($N741&lt;&gt;"",IF(N(INDEX(CalcDepB,$N741))&gt;0,"دریافت بانکی","پرداخت بانکی"),""))</f>
        <v/>
      </c>
      <c r="D741" s="22">
        <f>IF($M741&lt;&gt;"",IF(INDEX(CalcDocA,$M741)="","—",INDEX(CalcDocA,$M741)),IF($N741&lt;&gt;"",INDEX(CalcBankB,$N741),""))</f>
        <v/>
      </c>
      <c r="E741" s="23">
        <f>IF($N741&lt;&gt;"",IF(INDEX(CalcDepB,$N741)=0,"",INDEX(CalcDepB,$N741)),"")</f>
        <v/>
      </c>
      <c r="F741" s="23">
        <f>IF($M741&lt;&gt;"",IF(INDEX(CalcQtyA,$M741)=0,"",INDEX(CalcQtyA,$M741)),"")</f>
        <v/>
      </c>
      <c r="G741" s="23">
        <f>IF($M741&lt;&gt;"",IF(INDEX(CalcPriceA,$M741)=0,"",INDEX(CalcPriceA,$M741)),"")</f>
        <v/>
      </c>
      <c r="H741" s="23">
        <f>IF($N741&lt;&gt;"",IF(INDEX(CalcWitB,$N741)=0,"",INDEX(CalcWitB,$N741)),"")</f>
        <v/>
      </c>
      <c r="I741" s="24">
        <f>IF($M741&lt;&gt;"",INDEX(CalcAmtA,$M741),"")</f>
        <v/>
      </c>
      <c r="J741" s="24">
        <f>IF($B741="","",IF($J740="",$C$8,$J740)+IF($I741="",0,$I741)+IF($E741="",0,$E741)-IF($H741="",0,$H741))</f>
        <v/>
      </c>
      <c r="K741" s="25">
        <f>IF($M741&lt;&gt;"",IF(INDEX(CalcNoteA,$M741)="","—",INDEX(CalcNoteA,$M741)),IF($N741&lt;&gt;"",IF(INDEX(CalcNoteB,$N741)="","—",INDEX(CalcNoteB,$N741)),""))</f>
        <v/>
      </c>
      <c r="M741">
        <f>IFERROR(MATCH($C$5&amp;"|"&amp;RIGHT("000000"&amp;725,6),CalcRankKeyA,0),"")</f>
        <v/>
      </c>
      <c r="N741">
        <f>IFERROR(MATCH($C$5&amp;"|"&amp;RIGHT("000000"&amp;725,6),CalcRankKeyB,0),"")</f>
        <v/>
      </c>
    </row>
    <row r="742">
      <c r="A742" s="26" t="n">
        <v>726</v>
      </c>
      <c r="B742" s="27">
        <f>IF(AND($M742="",$N742=""),"",IF($M742&lt;&gt;"",INDEX(CalcDateA,$M742),INDEX(CalcDateB,$N742)))</f>
        <v/>
      </c>
      <c r="C742" s="27">
        <f>IF($M742&lt;&gt;"","خرید سبد",IF($N742&lt;&gt;"",IF(N(INDEX(CalcDepB,$N742))&gt;0,"دریافت بانکی","پرداخت بانکی"),""))</f>
        <v/>
      </c>
      <c r="D742" s="27">
        <f>IF($M742&lt;&gt;"",IF(INDEX(CalcDocA,$M742)="","—",INDEX(CalcDocA,$M742)),IF($N742&lt;&gt;"",INDEX(CalcBankB,$N742),""))</f>
        <v/>
      </c>
      <c r="E742" s="28">
        <f>IF($N742&lt;&gt;"",IF(INDEX(CalcDepB,$N742)=0,"",INDEX(CalcDepB,$N742)),"")</f>
        <v/>
      </c>
      <c r="F742" s="28">
        <f>IF($M742&lt;&gt;"",IF(INDEX(CalcQtyA,$M742)=0,"",INDEX(CalcQtyA,$M742)),"")</f>
        <v/>
      </c>
      <c r="G742" s="28">
        <f>IF($M742&lt;&gt;"",IF(INDEX(CalcPriceA,$M742)=0,"",INDEX(CalcPriceA,$M742)),"")</f>
        <v/>
      </c>
      <c r="H742" s="28">
        <f>IF($N742&lt;&gt;"",IF(INDEX(CalcWitB,$N742)=0,"",INDEX(CalcWitB,$N742)),"")</f>
        <v/>
      </c>
      <c r="I742" s="29">
        <f>IF($M742&lt;&gt;"",INDEX(CalcAmtA,$M742),"")</f>
        <v/>
      </c>
      <c r="J742" s="29">
        <f>IF($B742="","",IF($J741="",$C$8,$J741)+IF($I742="",0,$I742)+IF($E742="",0,$E742)-IF($H742="",0,$H742))</f>
        <v/>
      </c>
      <c r="K742" s="30">
        <f>IF($M742&lt;&gt;"",IF(INDEX(CalcNoteA,$M742)="","—",INDEX(CalcNoteA,$M742)),IF($N742&lt;&gt;"",IF(INDEX(CalcNoteB,$N742)="","—",INDEX(CalcNoteB,$N742)),""))</f>
        <v/>
      </c>
      <c r="M742">
        <f>IFERROR(MATCH($C$5&amp;"|"&amp;RIGHT("000000"&amp;726,6),CalcRankKeyA,0),"")</f>
        <v/>
      </c>
      <c r="N742">
        <f>IFERROR(MATCH($C$5&amp;"|"&amp;RIGHT("000000"&amp;726,6),CalcRankKeyB,0),"")</f>
        <v/>
      </c>
    </row>
    <row r="743">
      <c r="A743" s="21" t="n">
        <v>727</v>
      </c>
      <c r="B743" s="22">
        <f>IF(AND($M743="",$N743=""),"",IF($M743&lt;&gt;"",INDEX(CalcDateA,$M743),INDEX(CalcDateB,$N743)))</f>
        <v/>
      </c>
      <c r="C743" s="22">
        <f>IF($M743&lt;&gt;"","خرید سبد",IF($N743&lt;&gt;"",IF(N(INDEX(CalcDepB,$N743))&gt;0,"دریافت بانکی","پرداخت بانکی"),""))</f>
        <v/>
      </c>
      <c r="D743" s="22">
        <f>IF($M743&lt;&gt;"",IF(INDEX(CalcDocA,$M743)="","—",INDEX(CalcDocA,$M743)),IF($N743&lt;&gt;"",INDEX(CalcBankB,$N743),""))</f>
        <v/>
      </c>
      <c r="E743" s="23">
        <f>IF($N743&lt;&gt;"",IF(INDEX(CalcDepB,$N743)=0,"",INDEX(CalcDepB,$N743)),"")</f>
        <v/>
      </c>
      <c r="F743" s="23">
        <f>IF($M743&lt;&gt;"",IF(INDEX(CalcQtyA,$M743)=0,"",INDEX(CalcQtyA,$M743)),"")</f>
        <v/>
      </c>
      <c r="G743" s="23">
        <f>IF($M743&lt;&gt;"",IF(INDEX(CalcPriceA,$M743)=0,"",INDEX(CalcPriceA,$M743)),"")</f>
        <v/>
      </c>
      <c r="H743" s="23">
        <f>IF($N743&lt;&gt;"",IF(INDEX(CalcWitB,$N743)=0,"",INDEX(CalcWitB,$N743)),"")</f>
        <v/>
      </c>
      <c r="I743" s="24">
        <f>IF($M743&lt;&gt;"",INDEX(CalcAmtA,$M743),"")</f>
        <v/>
      </c>
      <c r="J743" s="24">
        <f>IF($B743="","",IF($J742="",$C$8,$J742)+IF($I743="",0,$I743)+IF($E743="",0,$E743)-IF($H743="",0,$H743))</f>
        <v/>
      </c>
      <c r="K743" s="25">
        <f>IF($M743&lt;&gt;"",IF(INDEX(CalcNoteA,$M743)="","—",INDEX(CalcNoteA,$M743)),IF($N743&lt;&gt;"",IF(INDEX(CalcNoteB,$N743)="","—",INDEX(CalcNoteB,$N743)),""))</f>
        <v/>
      </c>
      <c r="M743">
        <f>IFERROR(MATCH($C$5&amp;"|"&amp;RIGHT("000000"&amp;727,6),CalcRankKeyA,0),"")</f>
        <v/>
      </c>
      <c r="N743">
        <f>IFERROR(MATCH($C$5&amp;"|"&amp;RIGHT("000000"&amp;727,6),CalcRankKeyB,0),"")</f>
        <v/>
      </c>
    </row>
    <row r="744">
      <c r="A744" s="26" t="n">
        <v>728</v>
      </c>
      <c r="B744" s="27">
        <f>IF(AND($M744="",$N744=""),"",IF($M744&lt;&gt;"",INDEX(CalcDateA,$M744),INDEX(CalcDateB,$N744)))</f>
        <v/>
      </c>
      <c r="C744" s="27">
        <f>IF($M744&lt;&gt;"","خرید سبد",IF($N744&lt;&gt;"",IF(N(INDEX(CalcDepB,$N744))&gt;0,"دریافت بانکی","پرداخت بانکی"),""))</f>
        <v/>
      </c>
      <c r="D744" s="27">
        <f>IF($M744&lt;&gt;"",IF(INDEX(CalcDocA,$M744)="","—",INDEX(CalcDocA,$M744)),IF($N744&lt;&gt;"",INDEX(CalcBankB,$N744),""))</f>
        <v/>
      </c>
      <c r="E744" s="28">
        <f>IF($N744&lt;&gt;"",IF(INDEX(CalcDepB,$N744)=0,"",INDEX(CalcDepB,$N744)),"")</f>
        <v/>
      </c>
      <c r="F744" s="28">
        <f>IF($M744&lt;&gt;"",IF(INDEX(CalcQtyA,$M744)=0,"",INDEX(CalcQtyA,$M744)),"")</f>
        <v/>
      </c>
      <c r="G744" s="28">
        <f>IF($M744&lt;&gt;"",IF(INDEX(CalcPriceA,$M744)=0,"",INDEX(CalcPriceA,$M744)),"")</f>
        <v/>
      </c>
      <c r="H744" s="28">
        <f>IF($N744&lt;&gt;"",IF(INDEX(CalcWitB,$N744)=0,"",INDEX(CalcWitB,$N744)),"")</f>
        <v/>
      </c>
      <c r="I744" s="29">
        <f>IF($M744&lt;&gt;"",INDEX(CalcAmtA,$M744),"")</f>
        <v/>
      </c>
      <c r="J744" s="29">
        <f>IF($B744="","",IF($J743="",$C$8,$J743)+IF($I744="",0,$I744)+IF($E744="",0,$E744)-IF($H744="",0,$H744))</f>
        <v/>
      </c>
      <c r="K744" s="30">
        <f>IF($M744&lt;&gt;"",IF(INDEX(CalcNoteA,$M744)="","—",INDEX(CalcNoteA,$M744)),IF($N744&lt;&gt;"",IF(INDEX(CalcNoteB,$N744)="","—",INDEX(CalcNoteB,$N744)),""))</f>
        <v/>
      </c>
      <c r="M744">
        <f>IFERROR(MATCH($C$5&amp;"|"&amp;RIGHT("000000"&amp;728,6),CalcRankKeyA,0),"")</f>
        <v/>
      </c>
      <c r="N744">
        <f>IFERROR(MATCH($C$5&amp;"|"&amp;RIGHT("000000"&amp;728,6),CalcRankKeyB,0),"")</f>
        <v/>
      </c>
    </row>
    <row r="745">
      <c r="A745" s="21" t="n">
        <v>729</v>
      </c>
      <c r="B745" s="22">
        <f>IF(AND($M745="",$N745=""),"",IF($M745&lt;&gt;"",INDEX(CalcDateA,$M745),INDEX(CalcDateB,$N745)))</f>
        <v/>
      </c>
      <c r="C745" s="22">
        <f>IF($M745&lt;&gt;"","خرید سبد",IF($N745&lt;&gt;"",IF(N(INDEX(CalcDepB,$N745))&gt;0,"دریافت بانکی","پرداخت بانکی"),""))</f>
        <v/>
      </c>
      <c r="D745" s="22">
        <f>IF($M745&lt;&gt;"",IF(INDEX(CalcDocA,$M745)="","—",INDEX(CalcDocA,$M745)),IF($N745&lt;&gt;"",INDEX(CalcBankB,$N745),""))</f>
        <v/>
      </c>
      <c r="E745" s="23">
        <f>IF($N745&lt;&gt;"",IF(INDEX(CalcDepB,$N745)=0,"",INDEX(CalcDepB,$N745)),"")</f>
        <v/>
      </c>
      <c r="F745" s="23">
        <f>IF($M745&lt;&gt;"",IF(INDEX(CalcQtyA,$M745)=0,"",INDEX(CalcQtyA,$M745)),"")</f>
        <v/>
      </c>
      <c r="G745" s="23">
        <f>IF($M745&lt;&gt;"",IF(INDEX(CalcPriceA,$M745)=0,"",INDEX(CalcPriceA,$M745)),"")</f>
        <v/>
      </c>
      <c r="H745" s="23">
        <f>IF($N745&lt;&gt;"",IF(INDEX(CalcWitB,$N745)=0,"",INDEX(CalcWitB,$N745)),"")</f>
        <v/>
      </c>
      <c r="I745" s="24">
        <f>IF($M745&lt;&gt;"",INDEX(CalcAmtA,$M745),"")</f>
        <v/>
      </c>
      <c r="J745" s="24">
        <f>IF($B745="","",IF($J744="",$C$8,$J744)+IF($I745="",0,$I745)+IF($E745="",0,$E745)-IF($H745="",0,$H745))</f>
        <v/>
      </c>
      <c r="K745" s="25">
        <f>IF($M745&lt;&gt;"",IF(INDEX(CalcNoteA,$M745)="","—",INDEX(CalcNoteA,$M745)),IF($N745&lt;&gt;"",IF(INDEX(CalcNoteB,$N745)="","—",INDEX(CalcNoteB,$N745)),""))</f>
        <v/>
      </c>
      <c r="M745">
        <f>IFERROR(MATCH($C$5&amp;"|"&amp;RIGHT("000000"&amp;729,6),CalcRankKeyA,0),"")</f>
        <v/>
      </c>
      <c r="N745">
        <f>IFERROR(MATCH($C$5&amp;"|"&amp;RIGHT("000000"&amp;729,6),CalcRankKeyB,0),"")</f>
        <v/>
      </c>
    </row>
    <row r="746">
      <c r="A746" s="26" t="n">
        <v>730</v>
      </c>
      <c r="B746" s="27">
        <f>IF(AND($M746="",$N746=""),"",IF($M746&lt;&gt;"",INDEX(CalcDateA,$M746),INDEX(CalcDateB,$N746)))</f>
        <v/>
      </c>
      <c r="C746" s="27">
        <f>IF($M746&lt;&gt;"","خرید سبد",IF($N746&lt;&gt;"",IF(N(INDEX(CalcDepB,$N746))&gt;0,"دریافت بانکی","پرداخت بانکی"),""))</f>
        <v/>
      </c>
      <c r="D746" s="27">
        <f>IF($M746&lt;&gt;"",IF(INDEX(CalcDocA,$M746)="","—",INDEX(CalcDocA,$M746)),IF($N746&lt;&gt;"",INDEX(CalcBankB,$N746),""))</f>
        <v/>
      </c>
      <c r="E746" s="28">
        <f>IF($N746&lt;&gt;"",IF(INDEX(CalcDepB,$N746)=0,"",INDEX(CalcDepB,$N746)),"")</f>
        <v/>
      </c>
      <c r="F746" s="28">
        <f>IF($M746&lt;&gt;"",IF(INDEX(CalcQtyA,$M746)=0,"",INDEX(CalcQtyA,$M746)),"")</f>
        <v/>
      </c>
      <c r="G746" s="28">
        <f>IF($M746&lt;&gt;"",IF(INDEX(CalcPriceA,$M746)=0,"",INDEX(CalcPriceA,$M746)),"")</f>
        <v/>
      </c>
      <c r="H746" s="28">
        <f>IF($N746&lt;&gt;"",IF(INDEX(CalcWitB,$N746)=0,"",INDEX(CalcWitB,$N746)),"")</f>
        <v/>
      </c>
      <c r="I746" s="29">
        <f>IF($M746&lt;&gt;"",INDEX(CalcAmtA,$M746),"")</f>
        <v/>
      </c>
      <c r="J746" s="29">
        <f>IF($B746="","",IF($J745="",$C$8,$J745)+IF($I746="",0,$I746)+IF($E746="",0,$E746)-IF($H746="",0,$H746))</f>
        <v/>
      </c>
      <c r="K746" s="30">
        <f>IF($M746&lt;&gt;"",IF(INDEX(CalcNoteA,$M746)="","—",INDEX(CalcNoteA,$M746)),IF($N746&lt;&gt;"",IF(INDEX(CalcNoteB,$N746)="","—",INDEX(CalcNoteB,$N746)),""))</f>
        <v/>
      </c>
      <c r="M746">
        <f>IFERROR(MATCH($C$5&amp;"|"&amp;RIGHT("000000"&amp;730,6),CalcRankKeyA,0),"")</f>
        <v/>
      </c>
      <c r="N746">
        <f>IFERROR(MATCH($C$5&amp;"|"&amp;RIGHT("000000"&amp;730,6),CalcRankKeyB,0),"")</f>
        <v/>
      </c>
    </row>
    <row r="747">
      <c r="A747" s="21" t="n">
        <v>731</v>
      </c>
      <c r="B747" s="22">
        <f>IF(AND($M747="",$N747=""),"",IF($M747&lt;&gt;"",INDEX(CalcDateA,$M747),INDEX(CalcDateB,$N747)))</f>
        <v/>
      </c>
      <c r="C747" s="22">
        <f>IF($M747&lt;&gt;"","خرید سبد",IF($N747&lt;&gt;"",IF(N(INDEX(CalcDepB,$N747))&gt;0,"دریافت بانکی","پرداخت بانکی"),""))</f>
        <v/>
      </c>
      <c r="D747" s="22">
        <f>IF($M747&lt;&gt;"",IF(INDEX(CalcDocA,$M747)="","—",INDEX(CalcDocA,$M747)),IF($N747&lt;&gt;"",INDEX(CalcBankB,$N747),""))</f>
        <v/>
      </c>
      <c r="E747" s="23">
        <f>IF($N747&lt;&gt;"",IF(INDEX(CalcDepB,$N747)=0,"",INDEX(CalcDepB,$N747)),"")</f>
        <v/>
      </c>
      <c r="F747" s="23">
        <f>IF($M747&lt;&gt;"",IF(INDEX(CalcQtyA,$M747)=0,"",INDEX(CalcQtyA,$M747)),"")</f>
        <v/>
      </c>
      <c r="G747" s="23">
        <f>IF($M747&lt;&gt;"",IF(INDEX(CalcPriceA,$M747)=0,"",INDEX(CalcPriceA,$M747)),"")</f>
        <v/>
      </c>
      <c r="H747" s="23">
        <f>IF($N747&lt;&gt;"",IF(INDEX(CalcWitB,$N747)=0,"",INDEX(CalcWitB,$N747)),"")</f>
        <v/>
      </c>
      <c r="I747" s="24">
        <f>IF($M747&lt;&gt;"",INDEX(CalcAmtA,$M747),"")</f>
        <v/>
      </c>
      <c r="J747" s="24">
        <f>IF($B747="","",IF($J746="",$C$8,$J746)+IF($I747="",0,$I747)+IF($E747="",0,$E747)-IF($H747="",0,$H747))</f>
        <v/>
      </c>
      <c r="K747" s="25">
        <f>IF($M747&lt;&gt;"",IF(INDEX(CalcNoteA,$M747)="","—",INDEX(CalcNoteA,$M747)),IF($N747&lt;&gt;"",IF(INDEX(CalcNoteB,$N747)="","—",INDEX(CalcNoteB,$N747)),""))</f>
        <v/>
      </c>
      <c r="M747">
        <f>IFERROR(MATCH($C$5&amp;"|"&amp;RIGHT("000000"&amp;731,6),CalcRankKeyA,0),"")</f>
        <v/>
      </c>
      <c r="N747">
        <f>IFERROR(MATCH($C$5&amp;"|"&amp;RIGHT("000000"&amp;731,6),CalcRankKeyB,0),"")</f>
        <v/>
      </c>
    </row>
    <row r="748">
      <c r="A748" s="26" t="n">
        <v>732</v>
      </c>
      <c r="B748" s="27">
        <f>IF(AND($M748="",$N748=""),"",IF($M748&lt;&gt;"",INDEX(CalcDateA,$M748),INDEX(CalcDateB,$N748)))</f>
        <v/>
      </c>
      <c r="C748" s="27">
        <f>IF($M748&lt;&gt;"","خرید سبد",IF($N748&lt;&gt;"",IF(N(INDEX(CalcDepB,$N748))&gt;0,"دریافت بانکی","پرداخت بانکی"),""))</f>
        <v/>
      </c>
      <c r="D748" s="27">
        <f>IF($M748&lt;&gt;"",IF(INDEX(CalcDocA,$M748)="","—",INDEX(CalcDocA,$M748)),IF($N748&lt;&gt;"",INDEX(CalcBankB,$N748),""))</f>
        <v/>
      </c>
      <c r="E748" s="28">
        <f>IF($N748&lt;&gt;"",IF(INDEX(CalcDepB,$N748)=0,"",INDEX(CalcDepB,$N748)),"")</f>
        <v/>
      </c>
      <c r="F748" s="28">
        <f>IF($M748&lt;&gt;"",IF(INDEX(CalcQtyA,$M748)=0,"",INDEX(CalcQtyA,$M748)),"")</f>
        <v/>
      </c>
      <c r="G748" s="28">
        <f>IF($M748&lt;&gt;"",IF(INDEX(CalcPriceA,$M748)=0,"",INDEX(CalcPriceA,$M748)),"")</f>
        <v/>
      </c>
      <c r="H748" s="28">
        <f>IF($N748&lt;&gt;"",IF(INDEX(CalcWitB,$N748)=0,"",INDEX(CalcWitB,$N748)),"")</f>
        <v/>
      </c>
      <c r="I748" s="29">
        <f>IF($M748&lt;&gt;"",INDEX(CalcAmtA,$M748),"")</f>
        <v/>
      </c>
      <c r="J748" s="29">
        <f>IF($B748="","",IF($J747="",$C$8,$J747)+IF($I748="",0,$I748)+IF($E748="",0,$E748)-IF($H748="",0,$H748))</f>
        <v/>
      </c>
      <c r="K748" s="30">
        <f>IF($M748&lt;&gt;"",IF(INDEX(CalcNoteA,$M748)="","—",INDEX(CalcNoteA,$M748)),IF($N748&lt;&gt;"",IF(INDEX(CalcNoteB,$N748)="","—",INDEX(CalcNoteB,$N748)),""))</f>
        <v/>
      </c>
      <c r="M748">
        <f>IFERROR(MATCH($C$5&amp;"|"&amp;RIGHT("000000"&amp;732,6),CalcRankKeyA,0),"")</f>
        <v/>
      </c>
      <c r="N748">
        <f>IFERROR(MATCH($C$5&amp;"|"&amp;RIGHT("000000"&amp;732,6),CalcRankKeyB,0),"")</f>
        <v/>
      </c>
    </row>
    <row r="749">
      <c r="A749" s="21" t="n">
        <v>733</v>
      </c>
      <c r="B749" s="22">
        <f>IF(AND($M749="",$N749=""),"",IF($M749&lt;&gt;"",INDEX(CalcDateA,$M749),INDEX(CalcDateB,$N749)))</f>
        <v/>
      </c>
      <c r="C749" s="22">
        <f>IF($M749&lt;&gt;"","خرید سبد",IF($N749&lt;&gt;"",IF(N(INDEX(CalcDepB,$N749))&gt;0,"دریافت بانکی","پرداخت بانکی"),""))</f>
        <v/>
      </c>
      <c r="D749" s="22">
        <f>IF($M749&lt;&gt;"",IF(INDEX(CalcDocA,$M749)="","—",INDEX(CalcDocA,$M749)),IF($N749&lt;&gt;"",INDEX(CalcBankB,$N749),""))</f>
        <v/>
      </c>
      <c r="E749" s="23">
        <f>IF($N749&lt;&gt;"",IF(INDEX(CalcDepB,$N749)=0,"",INDEX(CalcDepB,$N749)),"")</f>
        <v/>
      </c>
      <c r="F749" s="23">
        <f>IF($M749&lt;&gt;"",IF(INDEX(CalcQtyA,$M749)=0,"",INDEX(CalcQtyA,$M749)),"")</f>
        <v/>
      </c>
      <c r="G749" s="23">
        <f>IF($M749&lt;&gt;"",IF(INDEX(CalcPriceA,$M749)=0,"",INDEX(CalcPriceA,$M749)),"")</f>
        <v/>
      </c>
      <c r="H749" s="23">
        <f>IF($N749&lt;&gt;"",IF(INDEX(CalcWitB,$N749)=0,"",INDEX(CalcWitB,$N749)),"")</f>
        <v/>
      </c>
      <c r="I749" s="24">
        <f>IF($M749&lt;&gt;"",INDEX(CalcAmtA,$M749),"")</f>
        <v/>
      </c>
      <c r="J749" s="24">
        <f>IF($B749="","",IF($J748="",$C$8,$J748)+IF($I749="",0,$I749)+IF($E749="",0,$E749)-IF($H749="",0,$H749))</f>
        <v/>
      </c>
      <c r="K749" s="25">
        <f>IF($M749&lt;&gt;"",IF(INDEX(CalcNoteA,$M749)="","—",INDEX(CalcNoteA,$M749)),IF($N749&lt;&gt;"",IF(INDEX(CalcNoteB,$N749)="","—",INDEX(CalcNoteB,$N749)),""))</f>
        <v/>
      </c>
      <c r="M749">
        <f>IFERROR(MATCH($C$5&amp;"|"&amp;RIGHT("000000"&amp;733,6),CalcRankKeyA,0),"")</f>
        <v/>
      </c>
      <c r="N749">
        <f>IFERROR(MATCH($C$5&amp;"|"&amp;RIGHT("000000"&amp;733,6),CalcRankKeyB,0),"")</f>
        <v/>
      </c>
    </row>
    <row r="750">
      <c r="A750" s="26" t="n">
        <v>734</v>
      </c>
      <c r="B750" s="27">
        <f>IF(AND($M750="",$N750=""),"",IF($M750&lt;&gt;"",INDEX(CalcDateA,$M750),INDEX(CalcDateB,$N750)))</f>
        <v/>
      </c>
      <c r="C750" s="27">
        <f>IF($M750&lt;&gt;"","خرید سبد",IF($N750&lt;&gt;"",IF(N(INDEX(CalcDepB,$N750))&gt;0,"دریافت بانکی","پرداخت بانکی"),""))</f>
        <v/>
      </c>
      <c r="D750" s="27">
        <f>IF($M750&lt;&gt;"",IF(INDEX(CalcDocA,$M750)="","—",INDEX(CalcDocA,$M750)),IF($N750&lt;&gt;"",INDEX(CalcBankB,$N750),""))</f>
        <v/>
      </c>
      <c r="E750" s="28">
        <f>IF($N750&lt;&gt;"",IF(INDEX(CalcDepB,$N750)=0,"",INDEX(CalcDepB,$N750)),"")</f>
        <v/>
      </c>
      <c r="F750" s="28">
        <f>IF($M750&lt;&gt;"",IF(INDEX(CalcQtyA,$M750)=0,"",INDEX(CalcQtyA,$M750)),"")</f>
        <v/>
      </c>
      <c r="G750" s="28">
        <f>IF($M750&lt;&gt;"",IF(INDEX(CalcPriceA,$M750)=0,"",INDEX(CalcPriceA,$M750)),"")</f>
        <v/>
      </c>
      <c r="H750" s="28">
        <f>IF($N750&lt;&gt;"",IF(INDEX(CalcWitB,$N750)=0,"",INDEX(CalcWitB,$N750)),"")</f>
        <v/>
      </c>
      <c r="I750" s="29">
        <f>IF($M750&lt;&gt;"",INDEX(CalcAmtA,$M750),"")</f>
        <v/>
      </c>
      <c r="J750" s="29">
        <f>IF($B750="","",IF($J749="",$C$8,$J749)+IF($I750="",0,$I750)+IF($E750="",0,$E750)-IF($H750="",0,$H750))</f>
        <v/>
      </c>
      <c r="K750" s="30">
        <f>IF($M750&lt;&gt;"",IF(INDEX(CalcNoteA,$M750)="","—",INDEX(CalcNoteA,$M750)),IF($N750&lt;&gt;"",IF(INDEX(CalcNoteB,$N750)="","—",INDEX(CalcNoteB,$N750)),""))</f>
        <v/>
      </c>
      <c r="M750">
        <f>IFERROR(MATCH($C$5&amp;"|"&amp;RIGHT("000000"&amp;734,6),CalcRankKeyA,0),"")</f>
        <v/>
      </c>
      <c r="N750">
        <f>IFERROR(MATCH($C$5&amp;"|"&amp;RIGHT("000000"&amp;734,6),CalcRankKeyB,0),"")</f>
        <v/>
      </c>
    </row>
    <row r="751">
      <c r="A751" s="21" t="n">
        <v>735</v>
      </c>
      <c r="B751" s="22">
        <f>IF(AND($M751="",$N751=""),"",IF($M751&lt;&gt;"",INDEX(CalcDateA,$M751),INDEX(CalcDateB,$N751)))</f>
        <v/>
      </c>
      <c r="C751" s="22">
        <f>IF($M751&lt;&gt;"","خرید سبد",IF($N751&lt;&gt;"",IF(N(INDEX(CalcDepB,$N751))&gt;0,"دریافت بانکی","پرداخت بانکی"),""))</f>
        <v/>
      </c>
      <c r="D751" s="22">
        <f>IF($M751&lt;&gt;"",IF(INDEX(CalcDocA,$M751)="","—",INDEX(CalcDocA,$M751)),IF($N751&lt;&gt;"",INDEX(CalcBankB,$N751),""))</f>
        <v/>
      </c>
      <c r="E751" s="23">
        <f>IF($N751&lt;&gt;"",IF(INDEX(CalcDepB,$N751)=0,"",INDEX(CalcDepB,$N751)),"")</f>
        <v/>
      </c>
      <c r="F751" s="23">
        <f>IF($M751&lt;&gt;"",IF(INDEX(CalcQtyA,$M751)=0,"",INDEX(CalcQtyA,$M751)),"")</f>
        <v/>
      </c>
      <c r="G751" s="23">
        <f>IF($M751&lt;&gt;"",IF(INDEX(CalcPriceA,$M751)=0,"",INDEX(CalcPriceA,$M751)),"")</f>
        <v/>
      </c>
      <c r="H751" s="23">
        <f>IF($N751&lt;&gt;"",IF(INDEX(CalcWitB,$N751)=0,"",INDEX(CalcWitB,$N751)),"")</f>
        <v/>
      </c>
      <c r="I751" s="24">
        <f>IF($M751&lt;&gt;"",INDEX(CalcAmtA,$M751),"")</f>
        <v/>
      </c>
      <c r="J751" s="24">
        <f>IF($B751="","",IF($J750="",$C$8,$J750)+IF($I751="",0,$I751)+IF($E751="",0,$E751)-IF($H751="",0,$H751))</f>
        <v/>
      </c>
      <c r="K751" s="25">
        <f>IF($M751&lt;&gt;"",IF(INDEX(CalcNoteA,$M751)="","—",INDEX(CalcNoteA,$M751)),IF($N751&lt;&gt;"",IF(INDEX(CalcNoteB,$N751)="","—",INDEX(CalcNoteB,$N751)),""))</f>
        <v/>
      </c>
      <c r="M751">
        <f>IFERROR(MATCH($C$5&amp;"|"&amp;RIGHT("000000"&amp;735,6),CalcRankKeyA,0),"")</f>
        <v/>
      </c>
      <c r="N751">
        <f>IFERROR(MATCH($C$5&amp;"|"&amp;RIGHT("000000"&amp;735,6),CalcRankKeyB,0),"")</f>
        <v/>
      </c>
    </row>
    <row r="752">
      <c r="A752" s="26" t="n">
        <v>736</v>
      </c>
      <c r="B752" s="27">
        <f>IF(AND($M752="",$N752=""),"",IF($M752&lt;&gt;"",INDEX(CalcDateA,$M752),INDEX(CalcDateB,$N752)))</f>
        <v/>
      </c>
      <c r="C752" s="27">
        <f>IF($M752&lt;&gt;"","خرید سبد",IF($N752&lt;&gt;"",IF(N(INDEX(CalcDepB,$N752))&gt;0,"دریافت بانکی","پرداخت بانکی"),""))</f>
        <v/>
      </c>
      <c r="D752" s="27">
        <f>IF($M752&lt;&gt;"",IF(INDEX(CalcDocA,$M752)="","—",INDEX(CalcDocA,$M752)),IF($N752&lt;&gt;"",INDEX(CalcBankB,$N752),""))</f>
        <v/>
      </c>
      <c r="E752" s="28">
        <f>IF($N752&lt;&gt;"",IF(INDEX(CalcDepB,$N752)=0,"",INDEX(CalcDepB,$N752)),"")</f>
        <v/>
      </c>
      <c r="F752" s="28">
        <f>IF($M752&lt;&gt;"",IF(INDEX(CalcQtyA,$M752)=0,"",INDEX(CalcQtyA,$M752)),"")</f>
        <v/>
      </c>
      <c r="G752" s="28">
        <f>IF($M752&lt;&gt;"",IF(INDEX(CalcPriceA,$M752)=0,"",INDEX(CalcPriceA,$M752)),"")</f>
        <v/>
      </c>
      <c r="H752" s="28">
        <f>IF($N752&lt;&gt;"",IF(INDEX(CalcWitB,$N752)=0,"",INDEX(CalcWitB,$N752)),"")</f>
        <v/>
      </c>
      <c r="I752" s="29">
        <f>IF($M752&lt;&gt;"",INDEX(CalcAmtA,$M752),"")</f>
        <v/>
      </c>
      <c r="J752" s="29">
        <f>IF($B752="","",IF($J751="",$C$8,$J751)+IF($I752="",0,$I752)+IF($E752="",0,$E752)-IF($H752="",0,$H752))</f>
        <v/>
      </c>
      <c r="K752" s="30">
        <f>IF($M752&lt;&gt;"",IF(INDEX(CalcNoteA,$M752)="","—",INDEX(CalcNoteA,$M752)),IF($N752&lt;&gt;"",IF(INDEX(CalcNoteB,$N752)="","—",INDEX(CalcNoteB,$N752)),""))</f>
        <v/>
      </c>
      <c r="M752">
        <f>IFERROR(MATCH($C$5&amp;"|"&amp;RIGHT("000000"&amp;736,6),CalcRankKeyA,0),"")</f>
        <v/>
      </c>
      <c r="N752">
        <f>IFERROR(MATCH($C$5&amp;"|"&amp;RIGHT("000000"&amp;736,6),CalcRankKeyB,0),"")</f>
        <v/>
      </c>
    </row>
    <row r="753">
      <c r="A753" s="21" t="n">
        <v>737</v>
      </c>
      <c r="B753" s="22">
        <f>IF(AND($M753="",$N753=""),"",IF($M753&lt;&gt;"",INDEX(CalcDateA,$M753),INDEX(CalcDateB,$N753)))</f>
        <v/>
      </c>
      <c r="C753" s="22">
        <f>IF($M753&lt;&gt;"","خرید سبد",IF($N753&lt;&gt;"",IF(N(INDEX(CalcDepB,$N753))&gt;0,"دریافت بانکی","پرداخت بانکی"),""))</f>
        <v/>
      </c>
      <c r="D753" s="22">
        <f>IF($M753&lt;&gt;"",IF(INDEX(CalcDocA,$M753)="","—",INDEX(CalcDocA,$M753)),IF($N753&lt;&gt;"",INDEX(CalcBankB,$N753),""))</f>
        <v/>
      </c>
      <c r="E753" s="23">
        <f>IF($N753&lt;&gt;"",IF(INDEX(CalcDepB,$N753)=0,"",INDEX(CalcDepB,$N753)),"")</f>
        <v/>
      </c>
      <c r="F753" s="23">
        <f>IF($M753&lt;&gt;"",IF(INDEX(CalcQtyA,$M753)=0,"",INDEX(CalcQtyA,$M753)),"")</f>
        <v/>
      </c>
      <c r="G753" s="23">
        <f>IF($M753&lt;&gt;"",IF(INDEX(CalcPriceA,$M753)=0,"",INDEX(CalcPriceA,$M753)),"")</f>
        <v/>
      </c>
      <c r="H753" s="23">
        <f>IF($N753&lt;&gt;"",IF(INDEX(CalcWitB,$N753)=0,"",INDEX(CalcWitB,$N753)),"")</f>
        <v/>
      </c>
      <c r="I753" s="24">
        <f>IF($M753&lt;&gt;"",INDEX(CalcAmtA,$M753),"")</f>
        <v/>
      </c>
      <c r="J753" s="24">
        <f>IF($B753="","",IF($J752="",$C$8,$J752)+IF($I753="",0,$I753)+IF($E753="",0,$E753)-IF($H753="",0,$H753))</f>
        <v/>
      </c>
      <c r="K753" s="25">
        <f>IF($M753&lt;&gt;"",IF(INDEX(CalcNoteA,$M753)="","—",INDEX(CalcNoteA,$M753)),IF($N753&lt;&gt;"",IF(INDEX(CalcNoteB,$N753)="","—",INDEX(CalcNoteB,$N753)),""))</f>
        <v/>
      </c>
      <c r="M753">
        <f>IFERROR(MATCH($C$5&amp;"|"&amp;RIGHT("000000"&amp;737,6),CalcRankKeyA,0),"")</f>
        <v/>
      </c>
      <c r="N753">
        <f>IFERROR(MATCH($C$5&amp;"|"&amp;RIGHT("000000"&amp;737,6),CalcRankKeyB,0),"")</f>
        <v/>
      </c>
    </row>
    <row r="754">
      <c r="A754" s="26" t="n">
        <v>738</v>
      </c>
      <c r="B754" s="27">
        <f>IF(AND($M754="",$N754=""),"",IF($M754&lt;&gt;"",INDEX(CalcDateA,$M754),INDEX(CalcDateB,$N754)))</f>
        <v/>
      </c>
      <c r="C754" s="27">
        <f>IF($M754&lt;&gt;"","خرید سبد",IF($N754&lt;&gt;"",IF(N(INDEX(CalcDepB,$N754))&gt;0,"دریافت بانکی","پرداخت بانکی"),""))</f>
        <v/>
      </c>
      <c r="D754" s="27">
        <f>IF($M754&lt;&gt;"",IF(INDEX(CalcDocA,$M754)="","—",INDEX(CalcDocA,$M754)),IF($N754&lt;&gt;"",INDEX(CalcBankB,$N754),""))</f>
        <v/>
      </c>
      <c r="E754" s="28">
        <f>IF($N754&lt;&gt;"",IF(INDEX(CalcDepB,$N754)=0,"",INDEX(CalcDepB,$N754)),"")</f>
        <v/>
      </c>
      <c r="F754" s="28">
        <f>IF($M754&lt;&gt;"",IF(INDEX(CalcQtyA,$M754)=0,"",INDEX(CalcQtyA,$M754)),"")</f>
        <v/>
      </c>
      <c r="G754" s="28">
        <f>IF($M754&lt;&gt;"",IF(INDEX(CalcPriceA,$M754)=0,"",INDEX(CalcPriceA,$M754)),"")</f>
        <v/>
      </c>
      <c r="H754" s="28">
        <f>IF($N754&lt;&gt;"",IF(INDEX(CalcWitB,$N754)=0,"",INDEX(CalcWitB,$N754)),"")</f>
        <v/>
      </c>
      <c r="I754" s="29">
        <f>IF($M754&lt;&gt;"",INDEX(CalcAmtA,$M754),"")</f>
        <v/>
      </c>
      <c r="J754" s="29">
        <f>IF($B754="","",IF($J753="",$C$8,$J753)+IF($I754="",0,$I754)+IF($E754="",0,$E754)-IF($H754="",0,$H754))</f>
        <v/>
      </c>
      <c r="K754" s="30">
        <f>IF($M754&lt;&gt;"",IF(INDEX(CalcNoteA,$M754)="","—",INDEX(CalcNoteA,$M754)),IF($N754&lt;&gt;"",IF(INDEX(CalcNoteB,$N754)="","—",INDEX(CalcNoteB,$N754)),""))</f>
        <v/>
      </c>
      <c r="M754">
        <f>IFERROR(MATCH($C$5&amp;"|"&amp;RIGHT("000000"&amp;738,6),CalcRankKeyA,0),"")</f>
        <v/>
      </c>
      <c r="N754">
        <f>IFERROR(MATCH($C$5&amp;"|"&amp;RIGHT("000000"&amp;738,6),CalcRankKeyB,0),"")</f>
        <v/>
      </c>
    </row>
    <row r="755">
      <c r="A755" s="21" t="n">
        <v>739</v>
      </c>
      <c r="B755" s="22">
        <f>IF(AND($M755="",$N755=""),"",IF($M755&lt;&gt;"",INDEX(CalcDateA,$M755),INDEX(CalcDateB,$N755)))</f>
        <v/>
      </c>
      <c r="C755" s="22">
        <f>IF($M755&lt;&gt;"","خرید سبد",IF($N755&lt;&gt;"",IF(N(INDEX(CalcDepB,$N755))&gt;0,"دریافت بانکی","پرداخت بانکی"),""))</f>
        <v/>
      </c>
      <c r="D755" s="22">
        <f>IF($M755&lt;&gt;"",IF(INDEX(CalcDocA,$M755)="","—",INDEX(CalcDocA,$M755)),IF($N755&lt;&gt;"",INDEX(CalcBankB,$N755),""))</f>
        <v/>
      </c>
      <c r="E755" s="23">
        <f>IF($N755&lt;&gt;"",IF(INDEX(CalcDepB,$N755)=0,"",INDEX(CalcDepB,$N755)),"")</f>
        <v/>
      </c>
      <c r="F755" s="23">
        <f>IF($M755&lt;&gt;"",IF(INDEX(CalcQtyA,$M755)=0,"",INDEX(CalcQtyA,$M755)),"")</f>
        <v/>
      </c>
      <c r="G755" s="23">
        <f>IF($M755&lt;&gt;"",IF(INDEX(CalcPriceA,$M755)=0,"",INDEX(CalcPriceA,$M755)),"")</f>
        <v/>
      </c>
      <c r="H755" s="23">
        <f>IF($N755&lt;&gt;"",IF(INDEX(CalcWitB,$N755)=0,"",INDEX(CalcWitB,$N755)),"")</f>
        <v/>
      </c>
      <c r="I755" s="24">
        <f>IF($M755&lt;&gt;"",INDEX(CalcAmtA,$M755),"")</f>
        <v/>
      </c>
      <c r="J755" s="24">
        <f>IF($B755="","",IF($J754="",$C$8,$J754)+IF($I755="",0,$I755)+IF($E755="",0,$E755)-IF($H755="",0,$H755))</f>
        <v/>
      </c>
      <c r="K755" s="25">
        <f>IF($M755&lt;&gt;"",IF(INDEX(CalcNoteA,$M755)="","—",INDEX(CalcNoteA,$M755)),IF($N755&lt;&gt;"",IF(INDEX(CalcNoteB,$N755)="","—",INDEX(CalcNoteB,$N755)),""))</f>
        <v/>
      </c>
      <c r="M755">
        <f>IFERROR(MATCH($C$5&amp;"|"&amp;RIGHT("000000"&amp;739,6),CalcRankKeyA,0),"")</f>
        <v/>
      </c>
      <c r="N755">
        <f>IFERROR(MATCH($C$5&amp;"|"&amp;RIGHT("000000"&amp;739,6),CalcRankKeyB,0),"")</f>
        <v/>
      </c>
    </row>
    <row r="756">
      <c r="A756" s="26" t="n">
        <v>740</v>
      </c>
      <c r="B756" s="27">
        <f>IF(AND($M756="",$N756=""),"",IF($M756&lt;&gt;"",INDEX(CalcDateA,$M756),INDEX(CalcDateB,$N756)))</f>
        <v/>
      </c>
      <c r="C756" s="27">
        <f>IF($M756&lt;&gt;"","خرید سبد",IF($N756&lt;&gt;"",IF(N(INDEX(CalcDepB,$N756))&gt;0,"دریافت بانکی","پرداخت بانکی"),""))</f>
        <v/>
      </c>
      <c r="D756" s="27">
        <f>IF($M756&lt;&gt;"",IF(INDEX(CalcDocA,$M756)="","—",INDEX(CalcDocA,$M756)),IF($N756&lt;&gt;"",INDEX(CalcBankB,$N756),""))</f>
        <v/>
      </c>
      <c r="E756" s="28">
        <f>IF($N756&lt;&gt;"",IF(INDEX(CalcDepB,$N756)=0,"",INDEX(CalcDepB,$N756)),"")</f>
        <v/>
      </c>
      <c r="F756" s="28">
        <f>IF($M756&lt;&gt;"",IF(INDEX(CalcQtyA,$M756)=0,"",INDEX(CalcQtyA,$M756)),"")</f>
        <v/>
      </c>
      <c r="G756" s="28">
        <f>IF($M756&lt;&gt;"",IF(INDEX(CalcPriceA,$M756)=0,"",INDEX(CalcPriceA,$M756)),"")</f>
        <v/>
      </c>
      <c r="H756" s="28">
        <f>IF($N756&lt;&gt;"",IF(INDEX(CalcWitB,$N756)=0,"",INDEX(CalcWitB,$N756)),"")</f>
        <v/>
      </c>
      <c r="I756" s="29">
        <f>IF($M756&lt;&gt;"",INDEX(CalcAmtA,$M756),"")</f>
        <v/>
      </c>
      <c r="J756" s="29">
        <f>IF($B756="","",IF($J755="",$C$8,$J755)+IF($I756="",0,$I756)+IF($E756="",0,$E756)-IF($H756="",0,$H756))</f>
        <v/>
      </c>
      <c r="K756" s="30">
        <f>IF($M756&lt;&gt;"",IF(INDEX(CalcNoteA,$M756)="","—",INDEX(CalcNoteA,$M756)),IF($N756&lt;&gt;"",IF(INDEX(CalcNoteB,$N756)="","—",INDEX(CalcNoteB,$N756)),""))</f>
        <v/>
      </c>
      <c r="M756">
        <f>IFERROR(MATCH($C$5&amp;"|"&amp;RIGHT("000000"&amp;740,6),CalcRankKeyA,0),"")</f>
        <v/>
      </c>
      <c r="N756">
        <f>IFERROR(MATCH($C$5&amp;"|"&amp;RIGHT("000000"&amp;740,6),CalcRankKeyB,0),"")</f>
        <v/>
      </c>
    </row>
    <row r="757">
      <c r="A757" s="21" t="n">
        <v>741</v>
      </c>
      <c r="B757" s="22">
        <f>IF(AND($M757="",$N757=""),"",IF($M757&lt;&gt;"",INDEX(CalcDateA,$M757),INDEX(CalcDateB,$N757)))</f>
        <v/>
      </c>
      <c r="C757" s="22">
        <f>IF($M757&lt;&gt;"","خرید سبد",IF($N757&lt;&gt;"",IF(N(INDEX(CalcDepB,$N757))&gt;0,"دریافت بانکی","پرداخت بانکی"),""))</f>
        <v/>
      </c>
      <c r="D757" s="22">
        <f>IF($M757&lt;&gt;"",IF(INDEX(CalcDocA,$M757)="","—",INDEX(CalcDocA,$M757)),IF($N757&lt;&gt;"",INDEX(CalcBankB,$N757),""))</f>
        <v/>
      </c>
      <c r="E757" s="23">
        <f>IF($N757&lt;&gt;"",IF(INDEX(CalcDepB,$N757)=0,"",INDEX(CalcDepB,$N757)),"")</f>
        <v/>
      </c>
      <c r="F757" s="23">
        <f>IF($M757&lt;&gt;"",IF(INDEX(CalcQtyA,$M757)=0,"",INDEX(CalcQtyA,$M757)),"")</f>
        <v/>
      </c>
      <c r="G757" s="23">
        <f>IF($M757&lt;&gt;"",IF(INDEX(CalcPriceA,$M757)=0,"",INDEX(CalcPriceA,$M757)),"")</f>
        <v/>
      </c>
      <c r="H757" s="23">
        <f>IF($N757&lt;&gt;"",IF(INDEX(CalcWitB,$N757)=0,"",INDEX(CalcWitB,$N757)),"")</f>
        <v/>
      </c>
      <c r="I757" s="24">
        <f>IF($M757&lt;&gt;"",INDEX(CalcAmtA,$M757),"")</f>
        <v/>
      </c>
      <c r="J757" s="24">
        <f>IF($B757="","",IF($J756="",$C$8,$J756)+IF($I757="",0,$I757)+IF($E757="",0,$E757)-IF($H757="",0,$H757))</f>
        <v/>
      </c>
      <c r="K757" s="25">
        <f>IF($M757&lt;&gt;"",IF(INDEX(CalcNoteA,$M757)="","—",INDEX(CalcNoteA,$M757)),IF($N757&lt;&gt;"",IF(INDEX(CalcNoteB,$N757)="","—",INDEX(CalcNoteB,$N757)),""))</f>
        <v/>
      </c>
      <c r="M757">
        <f>IFERROR(MATCH($C$5&amp;"|"&amp;RIGHT("000000"&amp;741,6),CalcRankKeyA,0),"")</f>
        <v/>
      </c>
      <c r="N757">
        <f>IFERROR(MATCH($C$5&amp;"|"&amp;RIGHT("000000"&amp;741,6),CalcRankKeyB,0),"")</f>
        <v/>
      </c>
    </row>
    <row r="758">
      <c r="A758" s="26" t="n">
        <v>742</v>
      </c>
      <c r="B758" s="27">
        <f>IF(AND($M758="",$N758=""),"",IF($M758&lt;&gt;"",INDEX(CalcDateA,$M758),INDEX(CalcDateB,$N758)))</f>
        <v/>
      </c>
      <c r="C758" s="27">
        <f>IF($M758&lt;&gt;"","خرید سبد",IF($N758&lt;&gt;"",IF(N(INDEX(CalcDepB,$N758))&gt;0,"دریافت بانکی","پرداخت بانکی"),""))</f>
        <v/>
      </c>
      <c r="D758" s="27">
        <f>IF($M758&lt;&gt;"",IF(INDEX(CalcDocA,$M758)="","—",INDEX(CalcDocA,$M758)),IF($N758&lt;&gt;"",INDEX(CalcBankB,$N758),""))</f>
        <v/>
      </c>
      <c r="E758" s="28">
        <f>IF($N758&lt;&gt;"",IF(INDEX(CalcDepB,$N758)=0,"",INDEX(CalcDepB,$N758)),"")</f>
        <v/>
      </c>
      <c r="F758" s="28">
        <f>IF($M758&lt;&gt;"",IF(INDEX(CalcQtyA,$M758)=0,"",INDEX(CalcQtyA,$M758)),"")</f>
        <v/>
      </c>
      <c r="G758" s="28">
        <f>IF($M758&lt;&gt;"",IF(INDEX(CalcPriceA,$M758)=0,"",INDEX(CalcPriceA,$M758)),"")</f>
        <v/>
      </c>
      <c r="H758" s="28">
        <f>IF($N758&lt;&gt;"",IF(INDEX(CalcWitB,$N758)=0,"",INDEX(CalcWitB,$N758)),"")</f>
        <v/>
      </c>
      <c r="I758" s="29">
        <f>IF($M758&lt;&gt;"",INDEX(CalcAmtA,$M758),"")</f>
        <v/>
      </c>
      <c r="J758" s="29">
        <f>IF($B758="","",IF($J757="",$C$8,$J757)+IF($I758="",0,$I758)+IF($E758="",0,$E758)-IF($H758="",0,$H758))</f>
        <v/>
      </c>
      <c r="K758" s="30">
        <f>IF($M758&lt;&gt;"",IF(INDEX(CalcNoteA,$M758)="","—",INDEX(CalcNoteA,$M758)),IF($N758&lt;&gt;"",IF(INDEX(CalcNoteB,$N758)="","—",INDEX(CalcNoteB,$N758)),""))</f>
        <v/>
      </c>
      <c r="M758">
        <f>IFERROR(MATCH($C$5&amp;"|"&amp;RIGHT("000000"&amp;742,6),CalcRankKeyA,0),"")</f>
        <v/>
      </c>
      <c r="N758">
        <f>IFERROR(MATCH($C$5&amp;"|"&amp;RIGHT("000000"&amp;742,6),CalcRankKeyB,0),"")</f>
        <v/>
      </c>
    </row>
    <row r="759">
      <c r="A759" s="21" t="n">
        <v>743</v>
      </c>
      <c r="B759" s="22">
        <f>IF(AND($M759="",$N759=""),"",IF($M759&lt;&gt;"",INDEX(CalcDateA,$M759),INDEX(CalcDateB,$N759)))</f>
        <v/>
      </c>
      <c r="C759" s="22">
        <f>IF($M759&lt;&gt;"","خرید سبد",IF($N759&lt;&gt;"",IF(N(INDEX(CalcDepB,$N759))&gt;0,"دریافت بانکی","پرداخت بانکی"),""))</f>
        <v/>
      </c>
      <c r="D759" s="22">
        <f>IF($M759&lt;&gt;"",IF(INDEX(CalcDocA,$M759)="","—",INDEX(CalcDocA,$M759)),IF($N759&lt;&gt;"",INDEX(CalcBankB,$N759),""))</f>
        <v/>
      </c>
      <c r="E759" s="23">
        <f>IF($N759&lt;&gt;"",IF(INDEX(CalcDepB,$N759)=0,"",INDEX(CalcDepB,$N759)),"")</f>
        <v/>
      </c>
      <c r="F759" s="23">
        <f>IF($M759&lt;&gt;"",IF(INDEX(CalcQtyA,$M759)=0,"",INDEX(CalcQtyA,$M759)),"")</f>
        <v/>
      </c>
      <c r="G759" s="23">
        <f>IF($M759&lt;&gt;"",IF(INDEX(CalcPriceA,$M759)=0,"",INDEX(CalcPriceA,$M759)),"")</f>
        <v/>
      </c>
      <c r="H759" s="23">
        <f>IF($N759&lt;&gt;"",IF(INDEX(CalcWitB,$N759)=0,"",INDEX(CalcWitB,$N759)),"")</f>
        <v/>
      </c>
      <c r="I759" s="24">
        <f>IF($M759&lt;&gt;"",INDEX(CalcAmtA,$M759),"")</f>
        <v/>
      </c>
      <c r="J759" s="24">
        <f>IF($B759="","",IF($J758="",$C$8,$J758)+IF($I759="",0,$I759)+IF($E759="",0,$E759)-IF($H759="",0,$H759))</f>
        <v/>
      </c>
      <c r="K759" s="25">
        <f>IF($M759&lt;&gt;"",IF(INDEX(CalcNoteA,$M759)="","—",INDEX(CalcNoteA,$M759)),IF($N759&lt;&gt;"",IF(INDEX(CalcNoteB,$N759)="","—",INDEX(CalcNoteB,$N759)),""))</f>
        <v/>
      </c>
      <c r="M759">
        <f>IFERROR(MATCH($C$5&amp;"|"&amp;RIGHT("000000"&amp;743,6),CalcRankKeyA,0),"")</f>
        <v/>
      </c>
      <c r="N759">
        <f>IFERROR(MATCH($C$5&amp;"|"&amp;RIGHT("000000"&amp;743,6),CalcRankKeyB,0),"")</f>
        <v/>
      </c>
    </row>
    <row r="760">
      <c r="A760" s="26" t="n">
        <v>744</v>
      </c>
      <c r="B760" s="27">
        <f>IF(AND($M760="",$N760=""),"",IF($M760&lt;&gt;"",INDEX(CalcDateA,$M760),INDEX(CalcDateB,$N760)))</f>
        <v/>
      </c>
      <c r="C760" s="27">
        <f>IF($M760&lt;&gt;"","خرید سبد",IF($N760&lt;&gt;"",IF(N(INDEX(CalcDepB,$N760))&gt;0,"دریافت بانکی","پرداخت بانکی"),""))</f>
        <v/>
      </c>
      <c r="D760" s="27">
        <f>IF($M760&lt;&gt;"",IF(INDEX(CalcDocA,$M760)="","—",INDEX(CalcDocA,$M760)),IF($N760&lt;&gt;"",INDEX(CalcBankB,$N760),""))</f>
        <v/>
      </c>
      <c r="E760" s="28">
        <f>IF($N760&lt;&gt;"",IF(INDEX(CalcDepB,$N760)=0,"",INDEX(CalcDepB,$N760)),"")</f>
        <v/>
      </c>
      <c r="F760" s="28">
        <f>IF($M760&lt;&gt;"",IF(INDEX(CalcQtyA,$M760)=0,"",INDEX(CalcQtyA,$M760)),"")</f>
        <v/>
      </c>
      <c r="G760" s="28">
        <f>IF($M760&lt;&gt;"",IF(INDEX(CalcPriceA,$M760)=0,"",INDEX(CalcPriceA,$M760)),"")</f>
        <v/>
      </c>
      <c r="H760" s="28">
        <f>IF($N760&lt;&gt;"",IF(INDEX(CalcWitB,$N760)=0,"",INDEX(CalcWitB,$N760)),"")</f>
        <v/>
      </c>
      <c r="I760" s="29">
        <f>IF($M760&lt;&gt;"",INDEX(CalcAmtA,$M760),"")</f>
        <v/>
      </c>
      <c r="J760" s="29">
        <f>IF($B760="","",IF($J759="",$C$8,$J759)+IF($I760="",0,$I760)+IF($E760="",0,$E760)-IF($H760="",0,$H760))</f>
        <v/>
      </c>
      <c r="K760" s="30">
        <f>IF($M760&lt;&gt;"",IF(INDEX(CalcNoteA,$M760)="","—",INDEX(CalcNoteA,$M760)),IF($N760&lt;&gt;"",IF(INDEX(CalcNoteB,$N760)="","—",INDEX(CalcNoteB,$N760)),""))</f>
        <v/>
      </c>
      <c r="M760">
        <f>IFERROR(MATCH($C$5&amp;"|"&amp;RIGHT("000000"&amp;744,6),CalcRankKeyA,0),"")</f>
        <v/>
      </c>
      <c r="N760">
        <f>IFERROR(MATCH($C$5&amp;"|"&amp;RIGHT("000000"&amp;744,6),CalcRankKeyB,0),"")</f>
        <v/>
      </c>
    </row>
    <row r="761">
      <c r="A761" s="21" t="n">
        <v>745</v>
      </c>
      <c r="B761" s="22">
        <f>IF(AND($M761="",$N761=""),"",IF($M761&lt;&gt;"",INDEX(CalcDateA,$M761),INDEX(CalcDateB,$N761)))</f>
        <v/>
      </c>
      <c r="C761" s="22">
        <f>IF($M761&lt;&gt;"","خرید سبد",IF($N761&lt;&gt;"",IF(N(INDEX(CalcDepB,$N761))&gt;0,"دریافت بانکی","پرداخت بانکی"),""))</f>
        <v/>
      </c>
      <c r="D761" s="22">
        <f>IF($M761&lt;&gt;"",IF(INDEX(CalcDocA,$M761)="","—",INDEX(CalcDocA,$M761)),IF($N761&lt;&gt;"",INDEX(CalcBankB,$N761),""))</f>
        <v/>
      </c>
      <c r="E761" s="23">
        <f>IF($N761&lt;&gt;"",IF(INDEX(CalcDepB,$N761)=0,"",INDEX(CalcDepB,$N761)),"")</f>
        <v/>
      </c>
      <c r="F761" s="23">
        <f>IF($M761&lt;&gt;"",IF(INDEX(CalcQtyA,$M761)=0,"",INDEX(CalcQtyA,$M761)),"")</f>
        <v/>
      </c>
      <c r="G761" s="23">
        <f>IF($M761&lt;&gt;"",IF(INDEX(CalcPriceA,$M761)=0,"",INDEX(CalcPriceA,$M761)),"")</f>
        <v/>
      </c>
      <c r="H761" s="23">
        <f>IF($N761&lt;&gt;"",IF(INDEX(CalcWitB,$N761)=0,"",INDEX(CalcWitB,$N761)),"")</f>
        <v/>
      </c>
      <c r="I761" s="24">
        <f>IF($M761&lt;&gt;"",INDEX(CalcAmtA,$M761),"")</f>
        <v/>
      </c>
      <c r="J761" s="24">
        <f>IF($B761="","",IF($J760="",$C$8,$J760)+IF($I761="",0,$I761)+IF($E761="",0,$E761)-IF($H761="",0,$H761))</f>
        <v/>
      </c>
      <c r="K761" s="25">
        <f>IF($M761&lt;&gt;"",IF(INDEX(CalcNoteA,$M761)="","—",INDEX(CalcNoteA,$M761)),IF($N761&lt;&gt;"",IF(INDEX(CalcNoteB,$N761)="","—",INDEX(CalcNoteB,$N761)),""))</f>
        <v/>
      </c>
      <c r="M761">
        <f>IFERROR(MATCH($C$5&amp;"|"&amp;RIGHT("000000"&amp;745,6),CalcRankKeyA,0),"")</f>
        <v/>
      </c>
      <c r="N761">
        <f>IFERROR(MATCH($C$5&amp;"|"&amp;RIGHT("000000"&amp;745,6),CalcRankKeyB,0),"")</f>
        <v/>
      </c>
    </row>
    <row r="762">
      <c r="A762" s="26" t="n">
        <v>746</v>
      </c>
      <c r="B762" s="27">
        <f>IF(AND($M762="",$N762=""),"",IF($M762&lt;&gt;"",INDEX(CalcDateA,$M762),INDEX(CalcDateB,$N762)))</f>
        <v/>
      </c>
      <c r="C762" s="27">
        <f>IF($M762&lt;&gt;"","خرید سبد",IF($N762&lt;&gt;"",IF(N(INDEX(CalcDepB,$N762))&gt;0,"دریافت بانکی","پرداخت بانکی"),""))</f>
        <v/>
      </c>
      <c r="D762" s="27">
        <f>IF($M762&lt;&gt;"",IF(INDEX(CalcDocA,$M762)="","—",INDEX(CalcDocA,$M762)),IF($N762&lt;&gt;"",INDEX(CalcBankB,$N762),""))</f>
        <v/>
      </c>
      <c r="E762" s="28">
        <f>IF($N762&lt;&gt;"",IF(INDEX(CalcDepB,$N762)=0,"",INDEX(CalcDepB,$N762)),"")</f>
        <v/>
      </c>
      <c r="F762" s="28">
        <f>IF($M762&lt;&gt;"",IF(INDEX(CalcQtyA,$M762)=0,"",INDEX(CalcQtyA,$M762)),"")</f>
        <v/>
      </c>
      <c r="G762" s="28">
        <f>IF($M762&lt;&gt;"",IF(INDEX(CalcPriceA,$M762)=0,"",INDEX(CalcPriceA,$M762)),"")</f>
        <v/>
      </c>
      <c r="H762" s="28">
        <f>IF($N762&lt;&gt;"",IF(INDEX(CalcWitB,$N762)=0,"",INDEX(CalcWitB,$N762)),"")</f>
        <v/>
      </c>
      <c r="I762" s="29">
        <f>IF($M762&lt;&gt;"",INDEX(CalcAmtA,$M762),"")</f>
        <v/>
      </c>
      <c r="J762" s="29">
        <f>IF($B762="","",IF($J761="",$C$8,$J761)+IF($I762="",0,$I762)+IF($E762="",0,$E762)-IF($H762="",0,$H762))</f>
        <v/>
      </c>
      <c r="K762" s="30">
        <f>IF($M762&lt;&gt;"",IF(INDEX(CalcNoteA,$M762)="","—",INDEX(CalcNoteA,$M762)),IF($N762&lt;&gt;"",IF(INDEX(CalcNoteB,$N762)="","—",INDEX(CalcNoteB,$N762)),""))</f>
        <v/>
      </c>
      <c r="M762">
        <f>IFERROR(MATCH($C$5&amp;"|"&amp;RIGHT("000000"&amp;746,6),CalcRankKeyA,0),"")</f>
        <v/>
      </c>
      <c r="N762">
        <f>IFERROR(MATCH($C$5&amp;"|"&amp;RIGHT("000000"&amp;746,6),CalcRankKeyB,0),"")</f>
        <v/>
      </c>
    </row>
    <row r="763">
      <c r="A763" s="21" t="n">
        <v>747</v>
      </c>
      <c r="B763" s="22">
        <f>IF(AND($M763="",$N763=""),"",IF($M763&lt;&gt;"",INDEX(CalcDateA,$M763),INDEX(CalcDateB,$N763)))</f>
        <v/>
      </c>
      <c r="C763" s="22">
        <f>IF($M763&lt;&gt;"","خرید سبد",IF($N763&lt;&gt;"",IF(N(INDEX(CalcDepB,$N763))&gt;0,"دریافت بانکی","پرداخت بانکی"),""))</f>
        <v/>
      </c>
      <c r="D763" s="22">
        <f>IF($M763&lt;&gt;"",IF(INDEX(CalcDocA,$M763)="","—",INDEX(CalcDocA,$M763)),IF($N763&lt;&gt;"",INDEX(CalcBankB,$N763),""))</f>
        <v/>
      </c>
      <c r="E763" s="23">
        <f>IF($N763&lt;&gt;"",IF(INDEX(CalcDepB,$N763)=0,"",INDEX(CalcDepB,$N763)),"")</f>
        <v/>
      </c>
      <c r="F763" s="23">
        <f>IF($M763&lt;&gt;"",IF(INDEX(CalcQtyA,$M763)=0,"",INDEX(CalcQtyA,$M763)),"")</f>
        <v/>
      </c>
      <c r="G763" s="23">
        <f>IF($M763&lt;&gt;"",IF(INDEX(CalcPriceA,$M763)=0,"",INDEX(CalcPriceA,$M763)),"")</f>
        <v/>
      </c>
      <c r="H763" s="23">
        <f>IF($N763&lt;&gt;"",IF(INDEX(CalcWitB,$N763)=0,"",INDEX(CalcWitB,$N763)),"")</f>
        <v/>
      </c>
      <c r="I763" s="24">
        <f>IF($M763&lt;&gt;"",INDEX(CalcAmtA,$M763),"")</f>
        <v/>
      </c>
      <c r="J763" s="24">
        <f>IF($B763="","",IF($J762="",$C$8,$J762)+IF($I763="",0,$I763)+IF($E763="",0,$E763)-IF($H763="",0,$H763))</f>
        <v/>
      </c>
      <c r="K763" s="25">
        <f>IF($M763&lt;&gt;"",IF(INDEX(CalcNoteA,$M763)="","—",INDEX(CalcNoteA,$M763)),IF($N763&lt;&gt;"",IF(INDEX(CalcNoteB,$N763)="","—",INDEX(CalcNoteB,$N763)),""))</f>
        <v/>
      </c>
      <c r="M763">
        <f>IFERROR(MATCH($C$5&amp;"|"&amp;RIGHT("000000"&amp;747,6),CalcRankKeyA,0),"")</f>
        <v/>
      </c>
      <c r="N763">
        <f>IFERROR(MATCH($C$5&amp;"|"&amp;RIGHT("000000"&amp;747,6),CalcRankKeyB,0),"")</f>
        <v/>
      </c>
    </row>
    <row r="764">
      <c r="A764" s="26" t="n">
        <v>748</v>
      </c>
      <c r="B764" s="27">
        <f>IF(AND($M764="",$N764=""),"",IF($M764&lt;&gt;"",INDEX(CalcDateA,$M764),INDEX(CalcDateB,$N764)))</f>
        <v/>
      </c>
      <c r="C764" s="27">
        <f>IF($M764&lt;&gt;"","خرید سبد",IF($N764&lt;&gt;"",IF(N(INDEX(CalcDepB,$N764))&gt;0,"دریافت بانکی","پرداخت بانکی"),""))</f>
        <v/>
      </c>
      <c r="D764" s="27">
        <f>IF($M764&lt;&gt;"",IF(INDEX(CalcDocA,$M764)="","—",INDEX(CalcDocA,$M764)),IF($N764&lt;&gt;"",INDEX(CalcBankB,$N764),""))</f>
        <v/>
      </c>
      <c r="E764" s="28">
        <f>IF($N764&lt;&gt;"",IF(INDEX(CalcDepB,$N764)=0,"",INDEX(CalcDepB,$N764)),"")</f>
        <v/>
      </c>
      <c r="F764" s="28">
        <f>IF($M764&lt;&gt;"",IF(INDEX(CalcQtyA,$M764)=0,"",INDEX(CalcQtyA,$M764)),"")</f>
        <v/>
      </c>
      <c r="G764" s="28">
        <f>IF($M764&lt;&gt;"",IF(INDEX(CalcPriceA,$M764)=0,"",INDEX(CalcPriceA,$M764)),"")</f>
        <v/>
      </c>
      <c r="H764" s="28">
        <f>IF($N764&lt;&gt;"",IF(INDEX(CalcWitB,$N764)=0,"",INDEX(CalcWitB,$N764)),"")</f>
        <v/>
      </c>
      <c r="I764" s="29">
        <f>IF($M764&lt;&gt;"",INDEX(CalcAmtA,$M764),"")</f>
        <v/>
      </c>
      <c r="J764" s="29">
        <f>IF($B764="","",IF($J763="",$C$8,$J763)+IF($I764="",0,$I764)+IF($E764="",0,$E764)-IF($H764="",0,$H764))</f>
        <v/>
      </c>
      <c r="K764" s="30">
        <f>IF($M764&lt;&gt;"",IF(INDEX(CalcNoteA,$M764)="","—",INDEX(CalcNoteA,$M764)),IF($N764&lt;&gt;"",IF(INDEX(CalcNoteB,$N764)="","—",INDEX(CalcNoteB,$N764)),""))</f>
        <v/>
      </c>
      <c r="M764">
        <f>IFERROR(MATCH($C$5&amp;"|"&amp;RIGHT("000000"&amp;748,6),CalcRankKeyA,0),"")</f>
        <v/>
      </c>
      <c r="N764">
        <f>IFERROR(MATCH($C$5&amp;"|"&amp;RIGHT("000000"&amp;748,6),CalcRankKeyB,0),"")</f>
        <v/>
      </c>
    </row>
    <row r="765">
      <c r="A765" s="21" t="n">
        <v>749</v>
      </c>
      <c r="B765" s="22">
        <f>IF(AND($M765="",$N765=""),"",IF($M765&lt;&gt;"",INDEX(CalcDateA,$M765),INDEX(CalcDateB,$N765)))</f>
        <v/>
      </c>
      <c r="C765" s="22">
        <f>IF($M765&lt;&gt;"","خرید سبد",IF($N765&lt;&gt;"",IF(N(INDEX(CalcDepB,$N765))&gt;0,"دریافت بانکی","پرداخت بانکی"),""))</f>
        <v/>
      </c>
      <c r="D765" s="22">
        <f>IF($M765&lt;&gt;"",IF(INDEX(CalcDocA,$M765)="","—",INDEX(CalcDocA,$M765)),IF($N765&lt;&gt;"",INDEX(CalcBankB,$N765),""))</f>
        <v/>
      </c>
      <c r="E765" s="23">
        <f>IF($N765&lt;&gt;"",IF(INDEX(CalcDepB,$N765)=0,"",INDEX(CalcDepB,$N765)),"")</f>
        <v/>
      </c>
      <c r="F765" s="23">
        <f>IF($M765&lt;&gt;"",IF(INDEX(CalcQtyA,$M765)=0,"",INDEX(CalcQtyA,$M765)),"")</f>
        <v/>
      </c>
      <c r="G765" s="23">
        <f>IF($M765&lt;&gt;"",IF(INDEX(CalcPriceA,$M765)=0,"",INDEX(CalcPriceA,$M765)),"")</f>
        <v/>
      </c>
      <c r="H765" s="23">
        <f>IF($N765&lt;&gt;"",IF(INDEX(CalcWitB,$N765)=0,"",INDEX(CalcWitB,$N765)),"")</f>
        <v/>
      </c>
      <c r="I765" s="24">
        <f>IF($M765&lt;&gt;"",INDEX(CalcAmtA,$M765),"")</f>
        <v/>
      </c>
      <c r="J765" s="24">
        <f>IF($B765="","",IF($J764="",$C$8,$J764)+IF($I765="",0,$I765)+IF($E765="",0,$E765)-IF($H765="",0,$H765))</f>
        <v/>
      </c>
      <c r="K765" s="25">
        <f>IF($M765&lt;&gt;"",IF(INDEX(CalcNoteA,$M765)="","—",INDEX(CalcNoteA,$M765)),IF($N765&lt;&gt;"",IF(INDEX(CalcNoteB,$N765)="","—",INDEX(CalcNoteB,$N765)),""))</f>
        <v/>
      </c>
      <c r="M765">
        <f>IFERROR(MATCH($C$5&amp;"|"&amp;RIGHT("000000"&amp;749,6),CalcRankKeyA,0),"")</f>
        <v/>
      </c>
      <c r="N765">
        <f>IFERROR(MATCH($C$5&amp;"|"&amp;RIGHT("000000"&amp;749,6),CalcRankKeyB,0),"")</f>
        <v/>
      </c>
    </row>
    <row r="766">
      <c r="A766" s="26" t="n">
        <v>750</v>
      </c>
      <c r="B766" s="27">
        <f>IF(AND($M766="",$N766=""),"",IF($M766&lt;&gt;"",INDEX(CalcDateA,$M766),INDEX(CalcDateB,$N766)))</f>
        <v/>
      </c>
      <c r="C766" s="27">
        <f>IF($M766&lt;&gt;"","خرید سبد",IF($N766&lt;&gt;"",IF(N(INDEX(CalcDepB,$N766))&gt;0,"دریافت بانکی","پرداخت بانکی"),""))</f>
        <v/>
      </c>
      <c r="D766" s="27">
        <f>IF($M766&lt;&gt;"",IF(INDEX(CalcDocA,$M766)="","—",INDEX(CalcDocA,$M766)),IF($N766&lt;&gt;"",INDEX(CalcBankB,$N766),""))</f>
        <v/>
      </c>
      <c r="E766" s="28">
        <f>IF($N766&lt;&gt;"",IF(INDEX(CalcDepB,$N766)=0,"",INDEX(CalcDepB,$N766)),"")</f>
        <v/>
      </c>
      <c r="F766" s="28">
        <f>IF($M766&lt;&gt;"",IF(INDEX(CalcQtyA,$M766)=0,"",INDEX(CalcQtyA,$M766)),"")</f>
        <v/>
      </c>
      <c r="G766" s="28">
        <f>IF($M766&lt;&gt;"",IF(INDEX(CalcPriceA,$M766)=0,"",INDEX(CalcPriceA,$M766)),"")</f>
        <v/>
      </c>
      <c r="H766" s="28">
        <f>IF($N766&lt;&gt;"",IF(INDEX(CalcWitB,$N766)=0,"",INDEX(CalcWitB,$N766)),"")</f>
        <v/>
      </c>
      <c r="I766" s="29">
        <f>IF($M766&lt;&gt;"",INDEX(CalcAmtA,$M766),"")</f>
        <v/>
      </c>
      <c r="J766" s="29">
        <f>IF($B766="","",IF($J765="",$C$8,$J765)+IF($I766="",0,$I766)+IF($E766="",0,$E766)-IF($H766="",0,$H766))</f>
        <v/>
      </c>
      <c r="K766" s="30">
        <f>IF($M766&lt;&gt;"",IF(INDEX(CalcNoteA,$M766)="","—",INDEX(CalcNoteA,$M766)),IF($N766&lt;&gt;"",IF(INDEX(CalcNoteB,$N766)="","—",INDEX(CalcNoteB,$N766)),""))</f>
        <v/>
      </c>
      <c r="M766">
        <f>IFERROR(MATCH($C$5&amp;"|"&amp;RIGHT("000000"&amp;750,6),CalcRankKeyA,0),"")</f>
        <v/>
      </c>
      <c r="N766">
        <f>IFERROR(MATCH($C$5&amp;"|"&amp;RIGHT("000000"&amp;750,6),CalcRankKeyB,0),"")</f>
        <v/>
      </c>
    </row>
    <row r="767">
      <c r="A767" s="21" t="n">
        <v>751</v>
      </c>
      <c r="B767" s="22">
        <f>IF(AND($M767="",$N767=""),"",IF($M767&lt;&gt;"",INDEX(CalcDateA,$M767),INDEX(CalcDateB,$N767)))</f>
        <v/>
      </c>
      <c r="C767" s="22">
        <f>IF($M767&lt;&gt;"","خرید سبد",IF($N767&lt;&gt;"",IF(N(INDEX(CalcDepB,$N767))&gt;0,"دریافت بانکی","پرداخت بانکی"),""))</f>
        <v/>
      </c>
      <c r="D767" s="22">
        <f>IF($M767&lt;&gt;"",IF(INDEX(CalcDocA,$M767)="","—",INDEX(CalcDocA,$M767)),IF($N767&lt;&gt;"",INDEX(CalcBankB,$N767),""))</f>
        <v/>
      </c>
      <c r="E767" s="23">
        <f>IF($N767&lt;&gt;"",IF(INDEX(CalcDepB,$N767)=0,"",INDEX(CalcDepB,$N767)),"")</f>
        <v/>
      </c>
      <c r="F767" s="23">
        <f>IF($M767&lt;&gt;"",IF(INDEX(CalcQtyA,$M767)=0,"",INDEX(CalcQtyA,$M767)),"")</f>
        <v/>
      </c>
      <c r="G767" s="23">
        <f>IF($M767&lt;&gt;"",IF(INDEX(CalcPriceA,$M767)=0,"",INDEX(CalcPriceA,$M767)),"")</f>
        <v/>
      </c>
      <c r="H767" s="23">
        <f>IF($N767&lt;&gt;"",IF(INDEX(CalcWitB,$N767)=0,"",INDEX(CalcWitB,$N767)),"")</f>
        <v/>
      </c>
      <c r="I767" s="24">
        <f>IF($M767&lt;&gt;"",INDEX(CalcAmtA,$M767),"")</f>
        <v/>
      </c>
      <c r="J767" s="24">
        <f>IF($B767="","",IF($J766="",$C$8,$J766)+IF($I767="",0,$I767)+IF($E767="",0,$E767)-IF($H767="",0,$H767))</f>
        <v/>
      </c>
      <c r="K767" s="25">
        <f>IF($M767&lt;&gt;"",IF(INDEX(CalcNoteA,$M767)="","—",INDEX(CalcNoteA,$M767)),IF($N767&lt;&gt;"",IF(INDEX(CalcNoteB,$N767)="","—",INDEX(CalcNoteB,$N767)),""))</f>
        <v/>
      </c>
      <c r="M767">
        <f>IFERROR(MATCH($C$5&amp;"|"&amp;RIGHT("000000"&amp;751,6),CalcRankKeyA,0),"")</f>
        <v/>
      </c>
      <c r="N767">
        <f>IFERROR(MATCH($C$5&amp;"|"&amp;RIGHT("000000"&amp;751,6),CalcRankKeyB,0),"")</f>
        <v/>
      </c>
    </row>
    <row r="768">
      <c r="A768" s="26" t="n">
        <v>752</v>
      </c>
      <c r="B768" s="27">
        <f>IF(AND($M768="",$N768=""),"",IF($M768&lt;&gt;"",INDEX(CalcDateA,$M768),INDEX(CalcDateB,$N768)))</f>
        <v/>
      </c>
      <c r="C768" s="27">
        <f>IF($M768&lt;&gt;"","خرید سبد",IF($N768&lt;&gt;"",IF(N(INDEX(CalcDepB,$N768))&gt;0,"دریافت بانکی","پرداخت بانکی"),""))</f>
        <v/>
      </c>
      <c r="D768" s="27">
        <f>IF($M768&lt;&gt;"",IF(INDEX(CalcDocA,$M768)="","—",INDEX(CalcDocA,$M768)),IF($N768&lt;&gt;"",INDEX(CalcBankB,$N768),""))</f>
        <v/>
      </c>
      <c r="E768" s="28">
        <f>IF($N768&lt;&gt;"",IF(INDEX(CalcDepB,$N768)=0,"",INDEX(CalcDepB,$N768)),"")</f>
        <v/>
      </c>
      <c r="F768" s="28">
        <f>IF($M768&lt;&gt;"",IF(INDEX(CalcQtyA,$M768)=0,"",INDEX(CalcQtyA,$M768)),"")</f>
        <v/>
      </c>
      <c r="G768" s="28">
        <f>IF($M768&lt;&gt;"",IF(INDEX(CalcPriceA,$M768)=0,"",INDEX(CalcPriceA,$M768)),"")</f>
        <v/>
      </c>
      <c r="H768" s="28">
        <f>IF($N768&lt;&gt;"",IF(INDEX(CalcWitB,$N768)=0,"",INDEX(CalcWitB,$N768)),"")</f>
        <v/>
      </c>
      <c r="I768" s="29">
        <f>IF($M768&lt;&gt;"",INDEX(CalcAmtA,$M768),"")</f>
        <v/>
      </c>
      <c r="J768" s="29">
        <f>IF($B768="","",IF($J767="",$C$8,$J767)+IF($I768="",0,$I768)+IF($E768="",0,$E768)-IF($H768="",0,$H768))</f>
        <v/>
      </c>
      <c r="K768" s="30">
        <f>IF($M768&lt;&gt;"",IF(INDEX(CalcNoteA,$M768)="","—",INDEX(CalcNoteA,$M768)),IF($N768&lt;&gt;"",IF(INDEX(CalcNoteB,$N768)="","—",INDEX(CalcNoteB,$N768)),""))</f>
        <v/>
      </c>
      <c r="M768">
        <f>IFERROR(MATCH($C$5&amp;"|"&amp;RIGHT("000000"&amp;752,6),CalcRankKeyA,0),"")</f>
        <v/>
      </c>
      <c r="N768">
        <f>IFERROR(MATCH($C$5&amp;"|"&amp;RIGHT("000000"&amp;752,6),CalcRankKeyB,0),"")</f>
        <v/>
      </c>
    </row>
    <row r="769">
      <c r="A769" s="21" t="n">
        <v>753</v>
      </c>
      <c r="B769" s="22">
        <f>IF(AND($M769="",$N769=""),"",IF($M769&lt;&gt;"",INDEX(CalcDateA,$M769),INDEX(CalcDateB,$N769)))</f>
        <v/>
      </c>
      <c r="C769" s="22">
        <f>IF($M769&lt;&gt;"","خرید سبد",IF($N769&lt;&gt;"",IF(N(INDEX(CalcDepB,$N769))&gt;0,"دریافت بانکی","پرداخت بانکی"),""))</f>
        <v/>
      </c>
      <c r="D769" s="22">
        <f>IF($M769&lt;&gt;"",IF(INDEX(CalcDocA,$M769)="","—",INDEX(CalcDocA,$M769)),IF($N769&lt;&gt;"",INDEX(CalcBankB,$N769),""))</f>
        <v/>
      </c>
      <c r="E769" s="23">
        <f>IF($N769&lt;&gt;"",IF(INDEX(CalcDepB,$N769)=0,"",INDEX(CalcDepB,$N769)),"")</f>
        <v/>
      </c>
      <c r="F769" s="23">
        <f>IF($M769&lt;&gt;"",IF(INDEX(CalcQtyA,$M769)=0,"",INDEX(CalcQtyA,$M769)),"")</f>
        <v/>
      </c>
      <c r="G769" s="23">
        <f>IF($M769&lt;&gt;"",IF(INDEX(CalcPriceA,$M769)=0,"",INDEX(CalcPriceA,$M769)),"")</f>
        <v/>
      </c>
      <c r="H769" s="23">
        <f>IF($N769&lt;&gt;"",IF(INDEX(CalcWitB,$N769)=0,"",INDEX(CalcWitB,$N769)),"")</f>
        <v/>
      </c>
      <c r="I769" s="24">
        <f>IF($M769&lt;&gt;"",INDEX(CalcAmtA,$M769),"")</f>
        <v/>
      </c>
      <c r="J769" s="24">
        <f>IF($B769="","",IF($J768="",$C$8,$J768)+IF($I769="",0,$I769)+IF($E769="",0,$E769)-IF($H769="",0,$H769))</f>
        <v/>
      </c>
      <c r="K769" s="25">
        <f>IF($M769&lt;&gt;"",IF(INDEX(CalcNoteA,$M769)="","—",INDEX(CalcNoteA,$M769)),IF($N769&lt;&gt;"",IF(INDEX(CalcNoteB,$N769)="","—",INDEX(CalcNoteB,$N769)),""))</f>
        <v/>
      </c>
      <c r="M769">
        <f>IFERROR(MATCH($C$5&amp;"|"&amp;RIGHT("000000"&amp;753,6),CalcRankKeyA,0),"")</f>
        <v/>
      </c>
      <c r="N769">
        <f>IFERROR(MATCH($C$5&amp;"|"&amp;RIGHT("000000"&amp;753,6),CalcRankKeyB,0),"")</f>
        <v/>
      </c>
    </row>
    <row r="770">
      <c r="A770" s="26" t="n">
        <v>754</v>
      </c>
      <c r="B770" s="27">
        <f>IF(AND($M770="",$N770=""),"",IF($M770&lt;&gt;"",INDEX(CalcDateA,$M770),INDEX(CalcDateB,$N770)))</f>
        <v/>
      </c>
      <c r="C770" s="27">
        <f>IF($M770&lt;&gt;"","خرید سبد",IF($N770&lt;&gt;"",IF(N(INDEX(CalcDepB,$N770))&gt;0,"دریافت بانکی","پرداخت بانکی"),""))</f>
        <v/>
      </c>
      <c r="D770" s="27">
        <f>IF($M770&lt;&gt;"",IF(INDEX(CalcDocA,$M770)="","—",INDEX(CalcDocA,$M770)),IF($N770&lt;&gt;"",INDEX(CalcBankB,$N770),""))</f>
        <v/>
      </c>
      <c r="E770" s="28">
        <f>IF($N770&lt;&gt;"",IF(INDEX(CalcDepB,$N770)=0,"",INDEX(CalcDepB,$N770)),"")</f>
        <v/>
      </c>
      <c r="F770" s="28">
        <f>IF($M770&lt;&gt;"",IF(INDEX(CalcQtyA,$M770)=0,"",INDEX(CalcQtyA,$M770)),"")</f>
        <v/>
      </c>
      <c r="G770" s="28">
        <f>IF($M770&lt;&gt;"",IF(INDEX(CalcPriceA,$M770)=0,"",INDEX(CalcPriceA,$M770)),"")</f>
        <v/>
      </c>
      <c r="H770" s="28">
        <f>IF($N770&lt;&gt;"",IF(INDEX(CalcWitB,$N770)=0,"",INDEX(CalcWitB,$N770)),"")</f>
        <v/>
      </c>
      <c r="I770" s="29">
        <f>IF($M770&lt;&gt;"",INDEX(CalcAmtA,$M770),"")</f>
        <v/>
      </c>
      <c r="J770" s="29">
        <f>IF($B770="","",IF($J769="",$C$8,$J769)+IF($I770="",0,$I770)+IF($E770="",0,$E770)-IF($H770="",0,$H770))</f>
        <v/>
      </c>
      <c r="K770" s="30">
        <f>IF($M770&lt;&gt;"",IF(INDEX(CalcNoteA,$M770)="","—",INDEX(CalcNoteA,$M770)),IF($N770&lt;&gt;"",IF(INDEX(CalcNoteB,$N770)="","—",INDEX(CalcNoteB,$N770)),""))</f>
        <v/>
      </c>
      <c r="M770">
        <f>IFERROR(MATCH($C$5&amp;"|"&amp;RIGHT("000000"&amp;754,6),CalcRankKeyA,0),"")</f>
        <v/>
      </c>
      <c r="N770">
        <f>IFERROR(MATCH($C$5&amp;"|"&amp;RIGHT("000000"&amp;754,6),CalcRankKeyB,0),"")</f>
        <v/>
      </c>
    </row>
    <row r="771">
      <c r="A771" s="21" t="n">
        <v>755</v>
      </c>
      <c r="B771" s="22">
        <f>IF(AND($M771="",$N771=""),"",IF($M771&lt;&gt;"",INDEX(CalcDateA,$M771),INDEX(CalcDateB,$N771)))</f>
        <v/>
      </c>
      <c r="C771" s="22">
        <f>IF($M771&lt;&gt;"","خرید سبد",IF($N771&lt;&gt;"",IF(N(INDEX(CalcDepB,$N771))&gt;0,"دریافت بانکی","پرداخت بانکی"),""))</f>
        <v/>
      </c>
      <c r="D771" s="22">
        <f>IF($M771&lt;&gt;"",IF(INDEX(CalcDocA,$M771)="","—",INDEX(CalcDocA,$M771)),IF($N771&lt;&gt;"",INDEX(CalcBankB,$N771),""))</f>
        <v/>
      </c>
      <c r="E771" s="23">
        <f>IF($N771&lt;&gt;"",IF(INDEX(CalcDepB,$N771)=0,"",INDEX(CalcDepB,$N771)),"")</f>
        <v/>
      </c>
      <c r="F771" s="23">
        <f>IF($M771&lt;&gt;"",IF(INDEX(CalcQtyA,$M771)=0,"",INDEX(CalcQtyA,$M771)),"")</f>
        <v/>
      </c>
      <c r="G771" s="23">
        <f>IF($M771&lt;&gt;"",IF(INDEX(CalcPriceA,$M771)=0,"",INDEX(CalcPriceA,$M771)),"")</f>
        <v/>
      </c>
      <c r="H771" s="23">
        <f>IF($N771&lt;&gt;"",IF(INDEX(CalcWitB,$N771)=0,"",INDEX(CalcWitB,$N771)),"")</f>
        <v/>
      </c>
      <c r="I771" s="24">
        <f>IF($M771&lt;&gt;"",INDEX(CalcAmtA,$M771),"")</f>
        <v/>
      </c>
      <c r="J771" s="24">
        <f>IF($B771="","",IF($J770="",$C$8,$J770)+IF($I771="",0,$I771)+IF($E771="",0,$E771)-IF($H771="",0,$H771))</f>
        <v/>
      </c>
      <c r="K771" s="25">
        <f>IF($M771&lt;&gt;"",IF(INDEX(CalcNoteA,$M771)="","—",INDEX(CalcNoteA,$M771)),IF($N771&lt;&gt;"",IF(INDEX(CalcNoteB,$N771)="","—",INDEX(CalcNoteB,$N771)),""))</f>
        <v/>
      </c>
      <c r="M771">
        <f>IFERROR(MATCH($C$5&amp;"|"&amp;RIGHT("000000"&amp;755,6),CalcRankKeyA,0),"")</f>
        <v/>
      </c>
      <c r="N771">
        <f>IFERROR(MATCH($C$5&amp;"|"&amp;RIGHT("000000"&amp;755,6),CalcRankKeyB,0),"")</f>
        <v/>
      </c>
    </row>
    <row r="772">
      <c r="A772" s="26" t="n">
        <v>756</v>
      </c>
      <c r="B772" s="27">
        <f>IF(AND($M772="",$N772=""),"",IF($M772&lt;&gt;"",INDEX(CalcDateA,$M772),INDEX(CalcDateB,$N772)))</f>
        <v/>
      </c>
      <c r="C772" s="27">
        <f>IF($M772&lt;&gt;"","خرید سبد",IF($N772&lt;&gt;"",IF(N(INDEX(CalcDepB,$N772))&gt;0,"دریافت بانکی","پرداخت بانکی"),""))</f>
        <v/>
      </c>
      <c r="D772" s="27">
        <f>IF($M772&lt;&gt;"",IF(INDEX(CalcDocA,$M772)="","—",INDEX(CalcDocA,$M772)),IF($N772&lt;&gt;"",INDEX(CalcBankB,$N772),""))</f>
        <v/>
      </c>
      <c r="E772" s="28">
        <f>IF($N772&lt;&gt;"",IF(INDEX(CalcDepB,$N772)=0,"",INDEX(CalcDepB,$N772)),"")</f>
        <v/>
      </c>
      <c r="F772" s="28">
        <f>IF($M772&lt;&gt;"",IF(INDEX(CalcQtyA,$M772)=0,"",INDEX(CalcQtyA,$M772)),"")</f>
        <v/>
      </c>
      <c r="G772" s="28">
        <f>IF($M772&lt;&gt;"",IF(INDEX(CalcPriceA,$M772)=0,"",INDEX(CalcPriceA,$M772)),"")</f>
        <v/>
      </c>
      <c r="H772" s="28">
        <f>IF($N772&lt;&gt;"",IF(INDEX(CalcWitB,$N772)=0,"",INDEX(CalcWitB,$N772)),"")</f>
        <v/>
      </c>
      <c r="I772" s="29">
        <f>IF($M772&lt;&gt;"",INDEX(CalcAmtA,$M772),"")</f>
        <v/>
      </c>
      <c r="J772" s="29">
        <f>IF($B772="","",IF($J771="",$C$8,$J771)+IF($I772="",0,$I772)+IF($E772="",0,$E772)-IF($H772="",0,$H772))</f>
        <v/>
      </c>
      <c r="K772" s="30">
        <f>IF($M772&lt;&gt;"",IF(INDEX(CalcNoteA,$M772)="","—",INDEX(CalcNoteA,$M772)),IF($N772&lt;&gt;"",IF(INDEX(CalcNoteB,$N772)="","—",INDEX(CalcNoteB,$N772)),""))</f>
        <v/>
      </c>
      <c r="M772">
        <f>IFERROR(MATCH($C$5&amp;"|"&amp;RIGHT("000000"&amp;756,6),CalcRankKeyA,0),"")</f>
        <v/>
      </c>
      <c r="N772">
        <f>IFERROR(MATCH($C$5&amp;"|"&amp;RIGHT("000000"&amp;756,6),CalcRankKeyB,0),"")</f>
        <v/>
      </c>
    </row>
    <row r="773">
      <c r="A773" s="21" t="n">
        <v>757</v>
      </c>
      <c r="B773" s="22">
        <f>IF(AND($M773="",$N773=""),"",IF($M773&lt;&gt;"",INDEX(CalcDateA,$M773),INDEX(CalcDateB,$N773)))</f>
        <v/>
      </c>
      <c r="C773" s="22">
        <f>IF($M773&lt;&gt;"","خرید سبد",IF($N773&lt;&gt;"",IF(N(INDEX(CalcDepB,$N773))&gt;0,"دریافت بانکی","پرداخت بانکی"),""))</f>
        <v/>
      </c>
      <c r="D773" s="22">
        <f>IF($M773&lt;&gt;"",IF(INDEX(CalcDocA,$M773)="","—",INDEX(CalcDocA,$M773)),IF($N773&lt;&gt;"",INDEX(CalcBankB,$N773),""))</f>
        <v/>
      </c>
      <c r="E773" s="23">
        <f>IF($N773&lt;&gt;"",IF(INDEX(CalcDepB,$N773)=0,"",INDEX(CalcDepB,$N773)),"")</f>
        <v/>
      </c>
      <c r="F773" s="23">
        <f>IF($M773&lt;&gt;"",IF(INDEX(CalcQtyA,$M773)=0,"",INDEX(CalcQtyA,$M773)),"")</f>
        <v/>
      </c>
      <c r="G773" s="23">
        <f>IF($M773&lt;&gt;"",IF(INDEX(CalcPriceA,$M773)=0,"",INDEX(CalcPriceA,$M773)),"")</f>
        <v/>
      </c>
      <c r="H773" s="23">
        <f>IF($N773&lt;&gt;"",IF(INDEX(CalcWitB,$N773)=0,"",INDEX(CalcWitB,$N773)),"")</f>
        <v/>
      </c>
      <c r="I773" s="24">
        <f>IF($M773&lt;&gt;"",INDEX(CalcAmtA,$M773),"")</f>
        <v/>
      </c>
      <c r="J773" s="24">
        <f>IF($B773="","",IF($J772="",$C$8,$J772)+IF($I773="",0,$I773)+IF($E773="",0,$E773)-IF($H773="",0,$H773))</f>
        <v/>
      </c>
      <c r="K773" s="25">
        <f>IF($M773&lt;&gt;"",IF(INDEX(CalcNoteA,$M773)="","—",INDEX(CalcNoteA,$M773)),IF($N773&lt;&gt;"",IF(INDEX(CalcNoteB,$N773)="","—",INDEX(CalcNoteB,$N773)),""))</f>
        <v/>
      </c>
      <c r="M773">
        <f>IFERROR(MATCH($C$5&amp;"|"&amp;RIGHT("000000"&amp;757,6),CalcRankKeyA,0),"")</f>
        <v/>
      </c>
      <c r="N773">
        <f>IFERROR(MATCH($C$5&amp;"|"&amp;RIGHT("000000"&amp;757,6),CalcRankKeyB,0),"")</f>
        <v/>
      </c>
    </row>
    <row r="774">
      <c r="A774" s="26" t="n">
        <v>758</v>
      </c>
      <c r="B774" s="27">
        <f>IF(AND($M774="",$N774=""),"",IF($M774&lt;&gt;"",INDEX(CalcDateA,$M774),INDEX(CalcDateB,$N774)))</f>
        <v/>
      </c>
      <c r="C774" s="27">
        <f>IF($M774&lt;&gt;"","خرید سبد",IF($N774&lt;&gt;"",IF(N(INDEX(CalcDepB,$N774))&gt;0,"دریافت بانکی","پرداخت بانکی"),""))</f>
        <v/>
      </c>
      <c r="D774" s="27">
        <f>IF($M774&lt;&gt;"",IF(INDEX(CalcDocA,$M774)="","—",INDEX(CalcDocA,$M774)),IF($N774&lt;&gt;"",INDEX(CalcBankB,$N774),""))</f>
        <v/>
      </c>
      <c r="E774" s="28">
        <f>IF($N774&lt;&gt;"",IF(INDEX(CalcDepB,$N774)=0,"",INDEX(CalcDepB,$N774)),"")</f>
        <v/>
      </c>
      <c r="F774" s="28">
        <f>IF($M774&lt;&gt;"",IF(INDEX(CalcQtyA,$M774)=0,"",INDEX(CalcQtyA,$M774)),"")</f>
        <v/>
      </c>
      <c r="G774" s="28">
        <f>IF($M774&lt;&gt;"",IF(INDEX(CalcPriceA,$M774)=0,"",INDEX(CalcPriceA,$M774)),"")</f>
        <v/>
      </c>
      <c r="H774" s="28">
        <f>IF($N774&lt;&gt;"",IF(INDEX(CalcWitB,$N774)=0,"",INDEX(CalcWitB,$N774)),"")</f>
        <v/>
      </c>
      <c r="I774" s="29">
        <f>IF($M774&lt;&gt;"",INDEX(CalcAmtA,$M774),"")</f>
        <v/>
      </c>
      <c r="J774" s="29">
        <f>IF($B774="","",IF($J773="",$C$8,$J773)+IF($I774="",0,$I774)+IF($E774="",0,$E774)-IF($H774="",0,$H774))</f>
        <v/>
      </c>
      <c r="K774" s="30">
        <f>IF($M774&lt;&gt;"",IF(INDEX(CalcNoteA,$M774)="","—",INDEX(CalcNoteA,$M774)),IF($N774&lt;&gt;"",IF(INDEX(CalcNoteB,$N774)="","—",INDEX(CalcNoteB,$N774)),""))</f>
        <v/>
      </c>
      <c r="M774">
        <f>IFERROR(MATCH($C$5&amp;"|"&amp;RIGHT("000000"&amp;758,6),CalcRankKeyA,0),"")</f>
        <v/>
      </c>
      <c r="N774">
        <f>IFERROR(MATCH($C$5&amp;"|"&amp;RIGHT("000000"&amp;758,6),CalcRankKeyB,0),"")</f>
        <v/>
      </c>
    </row>
    <row r="775">
      <c r="A775" s="21" t="n">
        <v>759</v>
      </c>
      <c r="B775" s="22">
        <f>IF(AND($M775="",$N775=""),"",IF($M775&lt;&gt;"",INDEX(CalcDateA,$M775),INDEX(CalcDateB,$N775)))</f>
        <v/>
      </c>
      <c r="C775" s="22">
        <f>IF($M775&lt;&gt;"","خرید سبد",IF($N775&lt;&gt;"",IF(N(INDEX(CalcDepB,$N775))&gt;0,"دریافت بانکی","پرداخت بانکی"),""))</f>
        <v/>
      </c>
      <c r="D775" s="22">
        <f>IF($M775&lt;&gt;"",IF(INDEX(CalcDocA,$M775)="","—",INDEX(CalcDocA,$M775)),IF($N775&lt;&gt;"",INDEX(CalcBankB,$N775),""))</f>
        <v/>
      </c>
      <c r="E775" s="23">
        <f>IF($N775&lt;&gt;"",IF(INDEX(CalcDepB,$N775)=0,"",INDEX(CalcDepB,$N775)),"")</f>
        <v/>
      </c>
      <c r="F775" s="23">
        <f>IF($M775&lt;&gt;"",IF(INDEX(CalcQtyA,$M775)=0,"",INDEX(CalcQtyA,$M775)),"")</f>
        <v/>
      </c>
      <c r="G775" s="23">
        <f>IF($M775&lt;&gt;"",IF(INDEX(CalcPriceA,$M775)=0,"",INDEX(CalcPriceA,$M775)),"")</f>
        <v/>
      </c>
      <c r="H775" s="23">
        <f>IF($N775&lt;&gt;"",IF(INDEX(CalcWitB,$N775)=0,"",INDEX(CalcWitB,$N775)),"")</f>
        <v/>
      </c>
      <c r="I775" s="24">
        <f>IF($M775&lt;&gt;"",INDEX(CalcAmtA,$M775),"")</f>
        <v/>
      </c>
      <c r="J775" s="24">
        <f>IF($B775="","",IF($J774="",$C$8,$J774)+IF($I775="",0,$I775)+IF($E775="",0,$E775)-IF($H775="",0,$H775))</f>
        <v/>
      </c>
      <c r="K775" s="25">
        <f>IF($M775&lt;&gt;"",IF(INDEX(CalcNoteA,$M775)="","—",INDEX(CalcNoteA,$M775)),IF($N775&lt;&gt;"",IF(INDEX(CalcNoteB,$N775)="","—",INDEX(CalcNoteB,$N775)),""))</f>
        <v/>
      </c>
      <c r="M775">
        <f>IFERROR(MATCH($C$5&amp;"|"&amp;RIGHT("000000"&amp;759,6),CalcRankKeyA,0),"")</f>
        <v/>
      </c>
      <c r="N775">
        <f>IFERROR(MATCH($C$5&amp;"|"&amp;RIGHT("000000"&amp;759,6),CalcRankKeyB,0),"")</f>
        <v/>
      </c>
    </row>
    <row r="776">
      <c r="A776" s="26" t="n">
        <v>760</v>
      </c>
      <c r="B776" s="27">
        <f>IF(AND($M776="",$N776=""),"",IF($M776&lt;&gt;"",INDEX(CalcDateA,$M776),INDEX(CalcDateB,$N776)))</f>
        <v/>
      </c>
      <c r="C776" s="27">
        <f>IF($M776&lt;&gt;"","خرید سبد",IF($N776&lt;&gt;"",IF(N(INDEX(CalcDepB,$N776))&gt;0,"دریافت بانکی","پرداخت بانکی"),""))</f>
        <v/>
      </c>
      <c r="D776" s="27">
        <f>IF($M776&lt;&gt;"",IF(INDEX(CalcDocA,$M776)="","—",INDEX(CalcDocA,$M776)),IF($N776&lt;&gt;"",INDEX(CalcBankB,$N776),""))</f>
        <v/>
      </c>
      <c r="E776" s="28">
        <f>IF($N776&lt;&gt;"",IF(INDEX(CalcDepB,$N776)=0,"",INDEX(CalcDepB,$N776)),"")</f>
        <v/>
      </c>
      <c r="F776" s="28">
        <f>IF($M776&lt;&gt;"",IF(INDEX(CalcQtyA,$M776)=0,"",INDEX(CalcQtyA,$M776)),"")</f>
        <v/>
      </c>
      <c r="G776" s="28">
        <f>IF($M776&lt;&gt;"",IF(INDEX(CalcPriceA,$M776)=0,"",INDEX(CalcPriceA,$M776)),"")</f>
        <v/>
      </c>
      <c r="H776" s="28">
        <f>IF($N776&lt;&gt;"",IF(INDEX(CalcWitB,$N776)=0,"",INDEX(CalcWitB,$N776)),"")</f>
        <v/>
      </c>
      <c r="I776" s="29">
        <f>IF($M776&lt;&gt;"",INDEX(CalcAmtA,$M776),"")</f>
        <v/>
      </c>
      <c r="J776" s="29">
        <f>IF($B776="","",IF($J775="",$C$8,$J775)+IF($I776="",0,$I776)+IF($E776="",0,$E776)-IF($H776="",0,$H776))</f>
        <v/>
      </c>
      <c r="K776" s="30">
        <f>IF($M776&lt;&gt;"",IF(INDEX(CalcNoteA,$M776)="","—",INDEX(CalcNoteA,$M776)),IF($N776&lt;&gt;"",IF(INDEX(CalcNoteB,$N776)="","—",INDEX(CalcNoteB,$N776)),""))</f>
        <v/>
      </c>
      <c r="M776">
        <f>IFERROR(MATCH($C$5&amp;"|"&amp;RIGHT("000000"&amp;760,6),CalcRankKeyA,0),"")</f>
        <v/>
      </c>
      <c r="N776">
        <f>IFERROR(MATCH($C$5&amp;"|"&amp;RIGHT("000000"&amp;760,6),CalcRankKeyB,0),"")</f>
        <v/>
      </c>
    </row>
    <row r="777">
      <c r="A777" s="21" t="n">
        <v>761</v>
      </c>
      <c r="B777" s="22">
        <f>IF(AND($M777="",$N777=""),"",IF($M777&lt;&gt;"",INDEX(CalcDateA,$M777),INDEX(CalcDateB,$N777)))</f>
        <v/>
      </c>
      <c r="C777" s="22">
        <f>IF($M777&lt;&gt;"","خرید سبد",IF($N777&lt;&gt;"",IF(N(INDEX(CalcDepB,$N777))&gt;0,"دریافت بانکی","پرداخت بانکی"),""))</f>
        <v/>
      </c>
      <c r="D777" s="22">
        <f>IF($M777&lt;&gt;"",IF(INDEX(CalcDocA,$M777)="","—",INDEX(CalcDocA,$M777)),IF($N777&lt;&gt;"",INDEX(CalcBankB,$N777),""))</f>
        <v/>
      </c>
      <c r="E777" s="23">
        <f>IF($N777&lt;&gt;"",IF(INDEX(CalcDepB,$N777)=0,"",INDEX(CalcDepB,$N777)),"")</f>
        <v/>
      </c>
      <c r="F777" s="23">
        <f>IF($M777&lt;&gt;"",IF(INDEX(CalcQtyA,$M777)=0,"",INDEX(CalcQtyA,$M777)),"")</f>
        <v/>
      </c>
      <c r="G777" s="23">
        <f>IF($M777&lt;&gt;"",IF(INDEX(CalcPriceA,$M777)=0,"",INDEX(CalcPriceA,$M777)),"")</f>
        <v/>
      </c>
      <c r="H777" s="23">
        <f>IF($N777&lt;&gt;"",IF(INDEX(CalcWitB,$N777)=0,"",INDEX(CalcWitB,$N777)),"")</f>
        <v/>
      </c>
      <c r="I777" s="24">
        <f>IF($M777&lt;&gt;"",INDEX(CalcAmtA,$M777),"")</f>
        <v/>
      </c>
      <c r="J777" s="24">
        <f>IF($B777="","",IF($J776="",$C$8,$J776)+IF($I777="",0,$I777)+IF($E777="",0,$E777)-IF($H777="",0,$H777))</f>
        <v/>
      </c>
      <c r="K777" s="25">
        <f>IF($M777&lt;&gt;"",IF(INDEX(CalcNoteA,$M777)="","—",INDEX(CalcNoteA,$M777)),IF($N777&lt;&gt;"",IF(INDEX(CalcNoteB,$N777)="","—",INDEX(CalcNoteB,$N777)),""))</f>
        <v/>
      </c>
      <c r="M777">
        <f>IFERROR(MATCH($C$5&amp;"|"&amp;RIGHT("000000"&amp;761,6),CalcRankKeyA,0),"")</f>
        <v/>
      </c>
      <c r="N777">
        <f>IFERROR(MATCH($C$5&amp;"|"&amp;RIGHT("000000"&amp;761,6),CalcRankKeyB,0),"")</f>
        <v/>
      </c>
    </row>
    <row r="778">
      <c r="A778" s="26" t="n">
        <v>762</v>
      </c>
      <c r="B778" s="27">
        <f>IF(AND($M778="",$N778=""),"",IF($M778&lt;&gt;"",INDEX(CalcDateA,$M778),INDEX(CalcDateB,$N778)))</f>
        <v/>
      </c>
      <c r="C778" s="27">
        <f>IF($M778&lt;&gt;"","خرید سبد",IF($N778&lt;&gt;"",IF(N(INDEX(CalcDepB,$N778))&gt;0,"دریافت بانکی","پرداخت بانکی"),""))</f>
        <v/>
      </c>
      <c r="D778" s="27">
        <f>IF($M778&lt;&gt;"",IF(INDEX(CalcDocA,$M778)="","—",INDEX(CalcDocA,$M778)),IF($N778&lt;&gt;"",INDEX(CalcBankB,$N778),""))</f>
        <v/>
      </c>
      <c r="E778" s="28">
        <f>IF($N778&lt;&gt;"",IF(INDEX(CalcDepB,$N778)=0,"",INDEX(CalcDepB,$N778)),"")</f>
        <v/>
      </c>
      <c r="F778" s="28">
        <f>IF($M778&lt;&gt;"",IF(INDEX(CalcQtyA,$M778)=0,"",INDEX(CalcQtyA,$M778)),"")</f>
        <v/>
      </c>
      <c r="G778" s="28">
        <f>IF($M778&lt;&gt;"",IF(INDEX(CalcPriceA,$M778)=0,"",INDEX(CalcPriceA,$M778)),"")</f>
        <v/>
      </c>
      <c r="H778" s="28">
        <f>IF($N778&lt;&gt;"",IF(INDEX(CalcWitB,$N778)=0,"",INDEX(CalcWitB,$N778)),"")</f>
        <v/>
      </c>
      <c r="I778" s="29">
        <f>IF($M778&lt;&gt;"",INDEX(CalcAmtA,$M778),"")</f>
        <v/>
      </c>
      <c r="J778" s="29">
        <f>IF($B778="","",IF($J777="",$C$8,$J777)+IF($I778="",0,$I778)+IF($E778="",0,$E778)-IF($H778="",0,$H778))</f>
        <v/>
      </c>
      <c r="K778" s="30">
        <f>IF($M778&lt;&gt;"",IF(INDEX(CalcNoteA,$M778)="","—",INDEX(CalcNoteA,$M778)),IF($N778&lt;&gt;"",IF(INDEX(CalcNoteB,$N778)="","—",INDEX(CalcNoteB,$N778)),""))</f>
        <v/>
      </c>
      <c r="M778">
        <f>IFERROR(MATCH($C$5&amp;"|"&amp;RIGHT("000000"&amp;762,6),CalcRankKeyA,0),"")</f>
        <v/>
      </c>
      <c r="N778">
        <f>IFERROR(MATCH($C$5&amp;"|"&amp;RIGHT("000000"&amp;762,6),CalcRankKeyB,0),"")</f>
        <v/>
      </c>
    </row>
    <row r="779">
      <c r="A779" s="21" t="n">
        <v>763</v>
      </c>
      <c r="B779" s="22">
        <f>IF(AND($M779="",$N779=""),"",IF($M779&lt;&gt;"",INDEX(CalcDateA,$M779),INDEX(CalcDateB,$N779)))</f>
        <v/>
      </c>
      <c r="C779" s="22">
        <f>IF($M779&lt;&gt;"","خرید سبد",IF($N779&lt;&gt;"",IF(N(INDEX(CalcDepB,$N779))&gt;0,"دریافت بانکی","پرداخت بانکی"),""))</f>
        <v/>
      </c>
      <c r="D779" s="22">
        <f>IF($M779&lt;&gt;"",IF(INDEX(CalcDocA,$M779)="","—",INDEX(CalcDocA,$M779)),IF($N779&lt;&gt;"",INDEX(CalcBankB,$N779),""))</f>
        <v/>
      </c>
      <c r="E779" s="23">
        <f>IF($N779&lt;&gt;"",IF(INDEX(CalcDepB,$N779)=0,"",INDEX(CalcDepB,$N779)),"")</f>
        <v/>
      </c>
      <c r="F779" s="23">
        <f>IF($M779&lt;&gt;"",IF(INDEX(CalcQtyA,$M779)=0,"",INDEX(CalcQtyA,$M779)),"")</f>
        <v/>
      </c>
      <c r="G779" s="23">
        <f>IF($M779&lt;&gt;"",IF(INDEX(CalcPriceA,$M779)=0,"",INDEX(CalcPriceA,$M779)),"")</f>
        <v/>
      </c>
      <c r="H779" s="23">
        <f>IF($N779&lt;&gt;"",IF(INDEX(CalcWitB,$N779)=0,"",INDEX(CalcWitB,$N779)),"")</f>
        <v/>
      </c>
      <c r="I779" s="24">
        <f>IF($M779&lt;&gt;"",INDEX(CalcAmtA,$M779),"")</f>
        <v/>
      </c>
      <c r="J779" s="24">
        <f>IF($B779="","",IF($J778="",$C$8,$J778)+IF($I779="",0,$I779)+IF($E779="",0,$E779)-IF($H779="",0,$H779))</f>
        <v/>
      </c>
      <c r="K779" s="25">
        <f>IF($M779&lt;&gt;"",IF(INDEX(CalcNoteA,$M779)="","—",INDEX(CalcNoteA,$M779)),IF($N779&lt;&gt;"",IF(INDEX(CalcNoteB,$N779)="","—",INDEX(CalcNoteB,$N779)),""))</f>
        <v/>
      </c>
      <c r="M779">
        <f>IFERROR(MATCH($C$5&amp;"|"&amp;RIGHT("000000"&amp;763,6),CalcRankKeyA,0),"")</f>
        <v/>
      </c>
      <c r="N779">
        <f>IFERROR(MATCH($C$5&amp;"|"&amp;RIGHT("000000"&amp;763,6),CalcRankKeyB,0),"")</f>
        <v/>
      </c>
    </row>
    <row r="780">
      <c r="A780" s="26" t="n">
        <v>764</v>
      </c>
      <c r="B780" s="27">
        <f>IF(AND($M780="",$N780=""),"",IF($M780&lt;&gt;"",INDEX(CalcDateA,$M780),INDEX(CalcDateB,$N780)))</f>
        <v/>
      </c>
      <c r="C780" s="27">
        <f>IF($M780&lt;&gt;"","خرید سبد",IF($N780&lt;&gt;"",IF(N(INDEX(CalcDepB,$N780))&gt;0,"دریافت بانکی","پرداخت بانکی"),""))</f>
        <v/>
      </c>
      <c r="D780" s="27">
        <f>IF($M780&lt;&gt;"",IF(INDEX(CalcDocA,$M780)="","—",INDEX(CalcDocA,$M780)),IF($N780&lt;&gt;"",INDEX(CalcBankB,$N780),""))</f>
        <v/>
      </c>
      <c r="E780" s="28">
        <f>IF($N780&lt;&gt;"",IF(INDEX(CalcDepB,$N780)=0,"",INDEX(CalcDepB,$N780)),"")</f>
        <v/>
      </c>
      <c r="F780" s="28">
        <f>IF($M780&lt;&gt;"",IF(INDEX(CalcQtyA,$M780)=0,"",INDEX(CalcQtyA,$M780)),"")</f>
        <v/>
      </c>
      <c r="G780" s="28">
        <f>IF($M780&lt;&gt;"",IF(INDEX(CalcPriceA,$M780)=0,"",INDEX(CalcPriceA,$M780)),"")</f>
        <v/>
      </c>
      <c r="H780" s="28">
        <f>IF($N780&lt;&gt;"",IF(INDEX(CalcWitB,$N780)=0,"",INDEX(CalcWitB,$N780)),"")</f>
        <v/>
      </c>
      <c r="I780" s="29">
        <f>IF($M780&lt;&gt;"",INDEX(CalcAmtA,$M780),"")</f>
        <v/>
      </c>
      <c r="J780" s="29">
        <f>IF($B780="","",IF($J779="",$C$8,$J779)+IF($I780="",0,$I780)+IF($E780="",0,$E780)-IF($H780="",0,$H780))</f>
        <v/>
      </c>
      <c r="K780" s="30">
        <f>IF($M780&lt;&gt;"",IF(INDEX(CalcNoteA,$M780)="","—",INDEX(CalcNoteA,$M780)),IF($N780&lt;&gt;"",IF(INDEX(CalcNoteB,$N780)="","—",INDEX(CalcNoteB,$N780)),""))</f>
        <v/>
      </c>
      <c r="M780">
        <f>IFERROR(MATCH($C$5&amp;"|"&amp;RIGHT("000000"&amp;764,6),CalcRankKeyA,0),"")</f>
        <v/>
      </c>
      <c r="N780">
        <f>IFERROR(MATCH($C$5&amp;"|"&amp;RIGHT("000000"&amp;764,6),CalcRankKeyB,0),"")</f>
        <v/>
      </c>
    </row>
    <row r="781">
      <c r="A781" s="21" t="n">
        <v>765</v>
      </c>
      <c r="B781" s="22">
        <f>IF(AND($M781="",$N781=""),"",IF($M781&lt;&gt;"",INDEX(CalcDateA,$M781),INDEX(CalcDateB,$N781)))</f>
        <v/>
      </c>
      <c r="C781" s="22">
        <f>IF($M781&lt;&gt;"","خرید سبد",IF($N781&lt;&gt;"",IF(N(INDEX(CalcDepB,$N781))&gt;0,"دریافت بانکی","پرداخت بانکی"),""))</f>
        <v/>
      </c>
      <c r="D781" s="22">
        <f>IF($M781&lt;&gt;"",IF(INDEX(CalcDocA,$M781)="","—",INDEX(CalcDocA,$M781)),IF($N781&lt;&gt;"",INDEX(CalcBankB,$N781),""))</f>
        <v/>
      </c>
      <c r="E781" s="23">
        <f>IF($N781&lt;&gt;"",IF(INDEX(CalcDepB,$N781)=0,"",INDEX(CalcDepB,$N781)),"")</f>
        <v/>
      </c>
      <c r="F781" s="23">
        <f>IF($M781&lt;&gt;"",IF(INDEX(CalcQtyA,$M781)=0,"",INDEX(CalcQtyA,$M781)),"")</f>
        <v/>
      </c>
      <c r="G781" s="23">
        <f>IF($M781&lt;&gt;"",IF(INDEX(CalcPriceA,$M781)=0,"",INDEX(CalcPriceA,$M781)),"")</f>
        <v/>
      </c>
      <c r="H781" s="23">
        <f>IF($N781&lt;&gt;"",IF(INDEX(CalcWitB,$N781)=0,"",INDEX(CalcWitB,$N781)),"")</f>
        <v/>
      </c>
      <c r="I781" s="24">
        <f>IF($M781&lt;&gt;"",INDEX(CalcAmtA,$M781),"")</f>
        <v/>
      </c>
      <c r="J781" s="24">
        <f>IF($B781="","",IF($J780="",$C$8,$J780)+IF($I781="",0,$I781)+IF($E781="",0,$E781)-IF($H781="",0,$H781))</f>
        <v/>
      </c>
      <c r="K781" s="25">
        <f>IF($M781&lt;&gt;"",IF(INDEX(CalcNoteA,$M781)="","—",INDEX(CalcNoteA,$M781)),IF($N781&lt;&gt;"",IF(INDEX(CalcNoteB,$N781)="","—",INDEX(CalcNoteB,$N781)),""))</f>
        <v/>
      </c>
      <c r="M781">
        <f>IFERROR(MATCH($C$5&amp;"|"&amp;RIGHT("000000"&amp;765,6),CalcRankKeyA,0),"")</f>
        <v/>
      </c>
      <c r="N781">
        <f>IFERROR(MATCH($C$5&amp;"|"&amp;RIGHT("000000"&amp;765,6),CalcRankKeyB,0),"")</f>
        <v/>
      </c>
    </row>
    <row r="782">
      <c r="A782" s="26" t="n">
        <v>766</v>
      </c>
      <c r="B782" s="27">
        <f>IF(AND($M782="",$N782=""),"",IF($M782&lt;&gt;"",INDEX(CalcDateA,$M782),INDEX(CalcDateB,$N782)))</f>
        <v/>
      </c>
      <c r="C782" s="27">
        <f>IF($M782&lt;&gt;"","خرید سبد",IF($N782&lt;&gt;"",IF(N(INDEX(CalcDepB,$N782))&gt;0,"دریافت بانکی","پرداخت بانکی"),""))</f>
        <v/>
      </c>
      <c r="D782" s="27">
        <f>IF($M782&lt;&gt;"",IF(INDEX(CalcDocA,$M782)="","—",INDEX(CalcDocA,$M782)),IF($N782&lt;&gt;"",INDEX(CalcBankB,$N782),""))</f>
        <v/>
      </c>
      <c r="E782" s="28">
        <f>IF($N782&lt;&gt;"",IF(INDEX(CalcDepB,$N782)=0,"",INDEX(CalcDepB,$N782)),"")</f>
        <v/>
      </c>
      <c r="F782" s="28">
        <f>IF($M782&lt;&gt;"",IF(INDEX(CalcQtyA,$M782)=0,"",INDEX(CalcQtyA,$M782)),"")</f>
        <v/>
      </c>
      <c r="G782" s="28">
        <f>IF($M782&lt;&gt;"",IF(INDEX(CalcPriceA,$M782)=0,"",INDEX(CalcPriceA,$M782)),"")</f>
        <v/>
      </c>
      <c r="H782" s="28">
        <f>IF($N782&lt;&gt;"",IF(INDEX(CalcWitB,$N782)=0,"",INDEX(CalcWitB,$N782)),"")</f>
        <v/>
      </c>
      <c r="I782" s="29">
        <f>IF($M782&lt;&gt;"",INDEX(CalcAmtA,$M782),"")</f>
        <v/>
      </c>
      <c r="J782" s="29">
        <f>IF($B782="","",IF($J781="",$C$8,$J781)+IF($I782="",0,$I782)+IF($E782="",0,$E782)-IF($H782="",0,$H782))</f>
        <v/>
      </c>
      <c r="K782" s="30">
        <f>IF($M782&lt;&gt;"",IF(INDEX(CalcNoteA,$M782)="","—",INDEX(CalcNoteA,$M782)),IF($N782&lt;&gt;"",IF(INDEX(CalcNoteB,$N782)="","—",INDEX(CalcNoteB,$N782)),""))</f>
        <v/>
      </c>
      <c r="M782">
        <f>IFERROR(MATCH($C$5&amp;"|"&amp;RIGHT("000000"&amp;766,6),CalcRankKeyA,0),"")</f>
        <v/>
      </c>
      <c r="N782">
        <f>IFERROR(MATCH($C$5&amp;"|"&amp;RIGHT("000000"&amp;766,6),CalcRankKeyB,0),"")</f>
        <v/>
      </c>
    </row>
    <row r="783">
      <c r="A783" s="21" t="n">
        <v>767</v>
      </c>
      <c r="B783" s="22">
        <f>IF(AND($M783="",$N783=""),"",IF($M783&lt;&gt;"",INDEX(CalcDateA,$M783),INDEX(CalcDateB,$N783)))</f>
        <v/>
      </c>
      <c r="C783" s="22">
        <f>IF($M783&lt;&gt;"","خرید سبد",IF($N783&lt;&gt;"",IF(N(INDEX(CalcDepB,$N783))&gt;0,"دریافت بانکی","پرداخت بانکی"),""))</f>
        <v/>
      </c>
      <c r="D783" s="22">
        <f>IF($M783&lt;&gt;"",IF(INDEX(CalcDocA,$M783)="","—",INDEX(CalcDocA,$M783)),IF($N783&lt;&gt;"",INDEX(CalcBankB,$N783),""))</f>
        <v/>
      </c>
      <c r="E783" s="23">
        <f>IF($N783&lt;&gt;"",IF(INDEX(CalcDepB,$N783)=0,"",INDEX(CalcDepB,$N783)),"")</f>
        <v/>
      </c>
      <c r="F783" s="23">
        <f>IF($M783&lt;&gt;"",IF(INDEX(CalcQtyA,$M783)=0,"",INDEX(CalcQtyA,$M783)),"")</f>
        <v/>
      </c>
      <c r="G783" s="23">
        <f>IF($M783&lt;&gt;"",IF(INDEX(CalcPriceA,$M783)=0,"",INDEX(CalcPriceA,$M783)),"")</f>
        <v/>
      </c>
      <c r="H783" s="23">
        <f>IF($N783&lt;&gt;"",IF(INDEX(CalcWitB,$N783)=0,"",INDEX(CalcWitB,$N783)),"")</f>
        <v/>
      </c>
      <c r="I783" s="24">
        <f>IF($M783&lt;&gt;"",INDEX(CalcAmtA,$M783),"")</f>
        <v/>
      </c>
      <c r="J783" s="24">
        <f>IF($B783="","",IF($J782="",$C$8,$J782)+IF($I783="",0,$I783)+IF($E783="",0,$E783)-IF($H783="",0,$H783))</f>
        <v/>
      </c>
      <c r="K783" s="25">
        <f>IF($M783&lt;&gt;"",IF(INDEX(CalcNoteA,$M783)="","—",INDEX(CalcNoteA,$M783)),IF($N783&lt;&gt;"",IF(INDEX(CalcNoteB,$N783)="","—",INDEX(CalcNoteB,$N783)),""))</f>
        <v/>
      </c>
      <c r="M783">
        <f>IFERROR(MATCH($C$5&amp;"|"&amp;RIGHT("000000"&amp;767,6),CalcRankKeyA,0),"")</f>
        <v/>
      </c>
      <c r="N783">
        <f>IFERROR(MATCH($C$5&amp;"|"&amp;RIGHT("000000"&amp;767,6),CalcRankKeyB,0),"")</f>
        <v/>
      </c>
    </row>
    <row r="784">
      <c r="A784" s="26" t="n">
        <v>768</v>
      </c>
      <c r="B784" s="27">
        <f>IF(AND($M784="",$N784=""),"",IF($M784&lt;&gt;"",INDEX(CalcDateA,$M784),INDEX(CalcDateB,$N784)))</f>
        <v/>
      </c>
      <c r="C784" s="27">
        <f>IF($M784&lt;&gt;"","خرید سبد",IF($N784&lt;&gt;"",IF(N(INDEX(CalcDepB,$N784))&gt;0,"دریافت بانکی","پرداخت بانکی"),""))</f>
        <v/>
      </c>
      <c r="D784" s="27">
        <f>IF($M784&lt;&gt;"",IF(INDEX(CalcDocA,$M784)="","—",INDEX(CalcDocA,$M784)),IF($N784&lt;&gt;"",INDEX(CalcBankB,$N784),""))</f>
        <v/>
      </c>
      <c r="E784" s="28">
        <f>IF($N784&lt;&gt;"",IF(INDEX(CalcDepB,$N784)=0,"",INDEX(CalcDepB,$N784)),"")</f>
        <v/>
      </c>
      <c r="F784" s="28">
        <f>IF($M784&lt;&gt;"",IF(INDEX(CalcQtyA,$M784)=0,"",INDEX(CalcQtyA,$M784)),"")</f>
        <v/>
      </c>
      <c r="G784" s="28">
        <f>IF($M784&lt;&gt;"",IF(INDEX(CalcPriceA,$M784)=0,"",INDEX(CalcPriceA,$M784)),"")</f>
        <v/>
      </c>
      <c r="H784" s="28">
        <f>IF($N784&lt;&gt;"",IF(INDEX(CalcWitB,$N784)=0,"",INDEX(CalcWitB,$N784)),"")</f>
        <v/>
      </c>
      <c r="I784" s="29">
        <f>IF($M784&lt;&gt;"",INDEX(CalcAmtA,$M784),"")</f>
        <v/>
      </c>
      <c r="J784" s="29">
        <f>IF($B784="","",IF($J783="",$C$8,$J783)+IF($I784="",0,$I784)+IF($E784="",0,$E784)-IF($H784="",0,$H784))</f>
        <v/>
      </c>
      <c r="K784" s="30">
        <f>IF($M784&lt;&gt;"",IF(INDEX(CalcNoteA,$M784)="","—",INDEX(CalcNoteA,$M784)),IF($N784&lt;&gt;"",IF(INDEX(CalcNoteB,$N784)="","—",INDEX(CalcNoteB,$N784)),""))</f>
        <v/>
      </c>
      <c r="M784">
        <f>IFERROR(MATCH($C$5&amp;"|"&amp;RIGHT("000000"&amp;768,6),CalcRankKeyA,0),"")</f>
        <v/>
      </c>
      <c r="N784">
        <f>IFERROR(MATCH($C$5&amp;"|"&amp;RIGHT("000000"&amp;768,6),CalcRankKeyB,0),"")</f>
        <v/>
      </c>
    </row>
    <row r="785">
      <c r="A785" s="21" t="n">
        <v>769</v>
      </c>
      <c r="B785" s="22">
        <f>IF(AND($M785="",$N785=""),"",IF($M785&lt;&gt;"",INDEX(CalcDateA,$M785),INDEX(CalcDateB,$N785)))</f>
        <v/>
      </c>
      <c r="C785" s="22">
        <f>IF($M785&lt;&gt;"","خرید سبد",IF($N785&lt;&gt;"",IF(N(INDEX(CalcDepB,$N785))&gt;0,"دریافت بانکی","پرداخت بانکی"),""))</f>
        <v/>
      </c>
      <c r="D785" s="22">
        <f>IF($M785&lt;&gt;"",IF(INDEX(CalcDocA,$M785)="","—",INDEX(CalcDocA,$M785)),IF($N785&lt;&gt;"",INDEX(CalcBankB,$N785),""))</f>
        <v/>
      </c>
      <c r="E785" s="23">
        <f>IF($N785&lt;&gt;"",IF(INDEX(CalcDepB,$N785)=0,"",INDEX(CalcDepB,$N785)),"")</f>
        <v/>
      </c>
      <c r="F785" s="23">
        <f>IF($M785&lt;&gt;"",IF(INDEX(CalcQtyA,$M785)=0,"",INDEX(CalcQtyA,$M785)),"")</f>
        <v/>
      </c>
      <c r="G785" s="23">
        <f>IF($M785&lt;&gt;"",IF(INDEX(CalcPriceA,$M785)=0,"",INDEX(CalcPriceA,$M785)),"")</f>
        <v/>
      </c>
      <c r="H785" s="23">
        <f>IF($N785&lt;&gt;"",IF(INDEX(CalcWitB,$N785)=0,"",INDEX(CalcWitB,$N785)),"")</f>
        <v/>
      </c>
      <c r="I785" s="24">
        <f>IF($M785&lt;&gt;"",INDEX(CalcAmtA,$M785),"")</f>
        <v/>
      </c>
      <c r="J785" s="24">
        <f>IF($B785="","",IF($J784="",$C$8,$J784)+IF($I785="",0,$I785)+IF($E785="",0,$E785)-IF($H785="",0,$H785))</f>
        <v/>
      </c>
      <c r="K785" s="25">
        <f>IF($M785&lt;&gt;"",IF(INDEX(CalcNoteA,$M785)="","—",INDEX(CalcNoteA,$M785)),IF($N785&lt;&gt;"",IF(INDEX(CalcNoteB,$N785)="","—",INDEX(CalcNoteB,$N785)),""))</f>
        <v/>
      </c>
      <c r="M785">
        <f>IFERROR(MATCH($C$5&amp;"|"&amp;RIGHT("000000"&amp;769,6),CalcRankKeyA,0),"")</f>
        <v/>
      </c>
      <c r="N785">
        <f>IFERROR(MATCH($C$5&amp;"|"&amp;RIGHT("000000"&amp;769,6),CalcRankKeyB,0),"")</f>
        <v/>
      </c>
    </row>
    <row r="786">
      <c r="A786" s="26" t="n">
        <v>770</v>
      </c>
      <c r="B786" s="27">
        <f>IF(AND($M786="",$N786=""),"",IF($M786&lt;&gt;"",INDEX(CalcDateA,$M786),INDEX(CalcDateB,$N786)))</f>
        <v/>
      </c>
      <c r="C786" s="27">
        <f>IF($M786&lt;&gt;"","خرید سبد",IF($N786&lt;&gt;"",IF(N(INDEX(CalcDepB,$N786))&gt;0,"دریافت بانکی","پرداخت بانکی"),""))</f>
        <v/>
      </c>
      <c r="D786" s="27">
        <f>IF($M786&lt;&gt;"",IF(INDEX(CalcDocA,$M786)="","—",INDEX(CalcDocA,$M786)),IF($N786&lt;&gt;"",INDEX(CalcBankB,$N786),""))</f>
        <v/>
      </c>
      <c r="E786" s="28">
        <f>IF($N786&lt;&gt;"",IF(INDEX(CalcDepB,$N786)=0,"",INDEX(CalcDepB,$N786)),"")</f>
        <v/>
      </c>
      <c r="F786" s="28">
        <f>IF($M786&lt;&gt;"",IF(INDEX(CalcQtyA,$M786)=0,"",INDEX(CalcQtyA,$M786)),"")</f>
        <v/>
      </c>
      <c r="G786" s="28">
        <f>IF($M786&lt;&gt;"",IF(INDEX(CalcPriceA,$M786)=0,"",INDEX(CalcPriceA,$M786)),"")</f>
        <v/>
      </c>
      <c r="H786" s="28">
        <f>IF($N786&lt;&gt;"",IF(INDEX(CalcWitB,$N786)=0,"",INDEX(CalcWitB,$N786)),"")</f>
        <v/>
      </c>
      <c r="I786" s="29">
        <f>IF($M786&lt;&gt;"",INDEX(CalcAmtA,$M786),"")</f>
        <v/>
      </c>
      <c r="J786" s="29">
        <f>IF($B786="","",IF($J785="",$C$8,$J785)+IF($I786="",0,$I786)+IF($E786="",0,$E786)-IF($H786="",0,$H786))</f>
        <v/>
      </c>
      <c r="K786" s="30">
        <f>IF($M786&lt;&gt;"",IF(INDEX(CalcNoteA,$M786)="","—",INDEX(CalcNoteA,$M786)),IF($N786&lt;&gt;"",IF(INDEX(CalcNoteB,$N786)="","—",INDEX(CalcNoteB,$N786)),""))</f>
        <v/>
      </c>
      <c r="M786">
        <f>IFERROR(MATCH($C$5&amp;"|"&amp;RIGHT("000000"&amp;770,6),CalcRankKeyA,0),"")</f>
        <v/>
      </c>
      <c r="N786">
        <f>IFERROR(MATCH($C$5&amp;"|"&amp;RIGHT("000000"&amp;770,6),CalcRankKeyB,0),"")</f>
        <v/>
      </c>
    </row>
    <row r="787">
      <c r="A787" s="21" t="n">
        <v>771</v>
      </c>
      <c r="B787" s="22">
        <f>IF(AND($M787="",$N787=""),"",IF($M787&lt;&gt;"",INDEX(CalcDateA,$M787),INDEX(CalcDateB,$N787)))</f>
        <v/>
      </c>
      <c r="C787" s="22">
        <f>IF($M787&lt;&gt;"","خرید سبد",IF($N787&lt;&gt;"",IF(N(INDEX(CalcDepB,$N787))&gt;0,"دریافت بانکی","پرداخت بانکی"),""))</f>
        <v/>
      </c>
      <c r="D787" s="22">
        <f>IF($M787&lt;&gt;"",IF(INDEX(CalcDocA,$M787)="","—",INDEX(CalcDocA,$M787)),IF($N787&lt;&gt;"",INDEX(CalcBankB,$N787),""))</f>
        <v/>
      </c>
      <c r="E787" s="23">
        <f>IF($N787&lt;&gt;"",IF(INDEX(CalcDepB,$N787)=0,"",INDEX(CalcDepB,$N787)),"")</f>
        <v/>
      </c>
      <c r="F787" s="23">
        <f>IF($M787&lt;&gt;"",IF(INDEX(CalcQtyA,$M787)=0,"",INDEX(CalcQtyA,$M787)),"")</f>
        <v/>
      </c>
      <c r="G787" s="23">
        <f>IF($M787&lt;&gt;"",IF(INDEX(CalcPriceA,$M787)=0,"",INDEX(CalcPriceA,$M787)),"")</f>
        <v/>
      </c>
      <c r="H787" s="23">
        <f>IF($N787&lt;&gt;"",IF(INDEX(CalcWitB,$N787)=0,"",INDEX(CalcWitB,$N787)),"")</f>
        <v/>
      </c>
      <c r="I787" s="24">
        <f>IF($M787&lt;&gt;"",INDEX(CalcAmtA,$M787),"")</f>
        <v/>
      </c>
      <c r="J787" s="24">
        <f>IF($B787="","",IF($J786="",$C$8,$J786)+IF($I787="",0,$I787)+IF($E787="",0,$E787)-IF($H787="",0,$H787))</f>
        <v/>
      </c>
      <c r="K787" s="25">
        <f>IF($M787&lt;&gt;"",IF(INDEX(CalcNoteA,$M787)="","—",INDEX(CalcNoteA,$M787)),IF($N787&lt;&gt;"",IF(INDEX(CalcNoteB,$N787)="","—",INDEX(CalcNoteB,$N787)),""))</f>
        <v/>
      </c>
      <c r="M787">
        <f>IFERROR(MATCH($C$5&amp;"|"&amp;RIGHT("000000"&amp;771,6),CalcRankKeyA,0),"")</f>
        <v/>
      </c>
      <c r="N787">
        <f>IFERROR(MATCH($C$5&amp;"|"&amp;RIGHT("000000"&amp;771,6),CalcRankKeyB,0),"")</f>
        <v/>
      </c>
    </row>
    <row r="788">
      <c r="A788" s="26" t="n">
        <v>772</v>
      </c>
      <c r="B788" s="27">
        <f>IF(AND($M788="",$N788=""),"",IF($M788&lt;&gt;"",INDEX(CalcDateA,$M788),INDEX(CalcDateB,$N788)))</f>
        <v/>
      </c>
      <c r="C788" s="27">
        <f>IF($M788&lt;&gt;"","خرید سبد",IF($N788&lt;&gt;"",IF(N(INDEX(CalcDepB,$N788))&gt;0,"دریافت بانکی","پرداخت بانکی"),""))</f>
        <v/>
      </c>
      <c r="D788" s="27">
        <f>IF($M788&lt;&gt;"",IF(INDEX(CalcDocA,$M788)="","—",INDEX(CalcDocA,$M788)),IF($N788&lt;&gt;"",INDEX(CalcBankB,$N788),""))</f>
        <v/>
      </c>
      <c r="E788" s="28">
        <f>IF($N788&lt;&gt;"",IF(INDEX(CalcDepB,$N788)=0,"",INDEX(CalcDepB,$N788)),"")</f>
        <v/>
      </c>
      <c r="F788" s="28">
        <f>IF($M788&lt;&gt;"",IF(INDEX(CalcQtyA,$M788)=0,"",INDEX(CalcQtyA,$M788)),"")</f>
        <v/>
      </c>
      <c r="G788" s="28">
        <f>IF($M788&lt;&gt;"",IF(INDEX(CalcPriceA,$M788)=0,"",INDEX(CalcPriceA,$M788)),"")</f>
        <v/>
      </c>
      <c r="H788" s="28">
        <f>IF($N788&lt;&gt;"",IF(INDEX(CalcWitB,$N788)=0,"",INDEX(CalcWitB,$N788)),"")</f>
        <v/>
      </c>
      <c r="I788" s="29">
        <f>IF($M788&lt;&gt;"",INDEX(CalcAmtA,$M788),"")</f>
        <v/>
      </c>
      <c r="J788" s="29">
        <f>IF($B788="","",IF($J787="",$C$8,$J787)+IF($I788="",0,$I788)+IF($E788="",0,$E788)-IF($H788="",0,$H788))</f>
        <v/>
      </c>
      <c r="K788" s="30">
        <f>IF($M788&lt;&gt;"",IF(INDEX(CalcNoteA,$M788)="","—",INDEX(CalcNoteA,$M788)),IF($N788&lt;&gt;"",IF(INDEX(CalcNoteB,$N788)="","—",INDEX(CalcNoteB,$N788)),""))</f>
        <v/>
      </c>
      <c r="M788">
        <f>IFERROR(MATCH($C$5&amp;"|"&amp;RIGHT("000000"&amp;772,6),CalcRankKeyA,0),"")</f>
        <v/>
      </c>
      <c r="N788">
        <f>IFERROR(MATCH($C$5&amp;"|"&amp;RIGHT("000000"&amp;772,6),CalcRankKeyB,0),"")</f>
        <v/>
      </c>
    </row>
    <row r="789">
      <c r="A789" s="21" t="n">
        <v>773</v>
      </c>
      <c r="B789" s="22">
        <f>IF(AND($M789="",$N789=""),"",IF($M789&lt;&gt;"",INDEX(CalcDateA,$M789),INDEX(CalcDateB,$N789)))</f>
        <v/>
      </c>
      <c r="C789" s="22">
        <f>IF($M789&lt;&gt;"","خرید سبد",IF($N789&lt;&gt;"",IF(N(INDEX(CalcDepB,$N789))&gt;0,"دریافت بانکی","پرداخت بانکی"),""))</f>
        <v/>
      </c>
      <c r="D789" s="22">
        <f>IF($M789&lt;&gt;"",IF(INDEX(CalcDocA,$M789)="","—",INDEX(CalcDocA,$M789)),IF($N789&lt;&gt;"",INDEX(CalcBankB,$N789),""))</f>
        <v/>
      </c>
      <c r="E789" s="23">
        <f>IF($N789&lt;&gt;"",IF(INDEX(CalcDepB,$N789)=0,"",INDEX(CalcDepB,$N789)),"")</f>
        <v/>
      </c>
      <c r="F789" s="23">
        <f>IF($M789&lt;&gt;"",IF(INDEX(CalcQtyA,$M789)=0,"",INDEX(CalcQtyA,$M789)),"")</f>
        <v/>
      </c>
      <c r="G789" s="23">
        <f>IF($M789&lt;&gt;"",IF(INDEX(CalcPriceA,$M789)=0,"",INDEX(CalcPriceA,$M789)),"")</f>
        <v/>
      </c>
      <c r="H789" s="23">
        <f>IF($N789&lt;&gt;"",IF(INDEX(CalcWitB,$N789)=0,"",INDEX(CalcWitB,$N789)),"")</f>
        <v/>
      </c>
      <c r="I789" s="24">
        <f>IF($M789&lt;&gt;"",INDEX(CalcAmtA,$M789),"")</f>
        <v/>
      </c>
      <c r="J789" s="24">
        <f>IF($B789="","",IF($J788="",$C$8,$J788)+IF($I789="",0,$I789)+IF($E789="",0,$E789)-IF($H789="",0,$H789))</f>
        <v/>
      </c>
      <c r="K789" s="25">
        <f>IF($M789&lt;&gt;"",IF(INDEX(CalcNoteA,$M789)="","—",INDEX(CalcNoteA,$M789)),IF($N789&lt;&gt;"",IF(INDEX(CalcNoteB,$N789)="","—",INDEX(CalcNoteB,$N789)),""))</f>
        <v/>
      </c>
      <c r="M789">
        <f>IFERROR(MATCH($C$5&amp;"|"&amp;RIGHT("000000"&amp;773,6),CalcRankKeyA,0),"")</f>
        <v/>
      </c>
      <c r="N789">
        <f>IFERROR(MATCH($C$5&amp;"|"&amp;RIGHT("000000"&amp;773,6),CalcRankKeyB,0),"")</f>
        <v/>
      </c>
    </row>
    <row r="790">
      <c r="A790" s="26" t="n">
        <v>774</v>
      </c>
      <c r="B790" s="27">
        <f>IF(AND($M790="",$N790=""),"",IF($M790&lt;&gt;"",INDEX(CalcDateA,$M790),INDEX(CalcDateB,$N790)))</f>
        <v/>
      </c>
      <c r="C790" s="27">
        <f>IF($M790&lt;&gt;"","خرید سبد",IF($N790&lt;&gt;"",IF(N(INDEX(CalcDepB,$N790))&gt;0,"دریافت بانکی","پرداخت بانکی"),""))</f>
        <v/>
      </c>
      <c r="D790" s="27">
        <f>IF($M790&lt;&gt;"",IF(INDEX(CalcDocA,$M790)="","—",INDEX(CalcDocA,$M790)),IF($N790&lt;&gt;"",INDEX(CalcBankB,$N790),""))</f>
        <v/>
      </c>
      <c r="E790" s="28">
        <f>IF($N790&lt;&gt;"",IF(INDEX(CalcDepB,$N790)=0,"",INDEX(CalcDepB,$N790)),"")</f>
        <v/>
      </c>
      <c r="F790" s="28">
        <f>IF($M790&lt;&gt;"",IF(INDEX(CalcQtyA,$M790)=0,"",INDEX(CalcQtyA,$M790)),"")</f>
        <v/>
      </c>
      <c r="G790" s="28">
        <f>IF($M790&lt;&gt;"",IF(INDEX(CalcPriceA,$M790)=0,"",INDEX(CalcPriceA,$M790)),"")</f>
        <v/>
      </c>
      <c r="H790" s="28">
        <f>IF($N790&lt;&gt;"",IF(INDEX(CalcWitB,$N790)=0,"",INDEX(CalcWitB,$N790)),"")</f>
        <v/>
      </c>
      <c r="I790" s="29">
        <f>IF($M790&lt;&gt;"",INDEX(CalcAmtA,$M790),"")</f>
        <v/>
      </c>
      <c r="J790" s="29">
        <f>IF($B790="","",IF($J789="",$C$8,$J789)+IF($I790="",0,$I790)+IF($E790="",0,$E790)-IF($H790="",0,$H790))</f>
        <v/>
      </c>
      <c r="K790" s="30">
        <f>IF($M790&lt;&gt;"",IF(INDEX(CalcNoteA,$M790)="","—",INDEX(CalcNoteA,$M790)),IF($N790&lt;&gt;"",IF(INDEX(CalcNoteB,$N790)="","—",INDEX(CalcNoteB,$N790)),""))</f>
        <v/>
      </c>
      <c r="M790">
        <f>IFERROR(MATCH($C$5&amp;"|"&amp;RIGHT("000000"&amp;774,6),CalcRankKeyA,0),"")</f>
        <v/>
      </c>
      <c r="N790">
        <f>IFERROR(MATCH($C$5&amp;"|"&amp;RIGHT("000000"&amp;774,6),CalcRankKeyB,0),"")</f>
        <v/>
      </c>
    </row>
    <row r="791">
      <c r="A791" s="21" t="n">
        <v>775</v>
      </c>
      <c r="B791" s="22">
        <f>IF(AND($M791="",$N791=""),"",IF($M791&lt;&gt;"",INDEX(CalcDateA,$M791),INDEX(CalcDateB,$N791)))</f>
        <v/>
      </c>
      <c r="C791" s="22">
        <f>IF($M791&lt;&gt;"","خرید سبد",IF($N791&lt;&gt;"",IF(N(INDEX(CalcDepB,$N791))&gt;0,"دریافت بانکی","پرداخت بانکی"),""))</f>
        <v/>
      </c>
      <c r="D791" s="22">
        <f>IF($M791&lt;&gt;"",IF(INDEX(CalcDocA,$M791)="","—",INDEX(CalcDocA,$M791)),IF($N791&lt;&gt;"",INDEX(CalcBankB,$N791),""))</f>
        <v/>
      </c>
      <c r="E791" s="23">
        <f>IF($N791&lt;&gt;"",IF(INDEX(CalcDepB,$N791)=0,"",INDEX(CalcDepB,$N791)),"")</f>
        <v/>
      </c>
      <c r="F791" s="23">
        <f>IF($M791&lt;&gt;"",IF(INDEX(CalcQtyA,$M791)=0,"",INDEX(CalcQtyA,$M791)),"")</f>
        <v/>
      </c>
      <c r="G791" s="23">
        <f>IF($M791&lt;&gt;"",IF(INDEX(CalcPriceA,$M791)=0,"",INDEX(CalcPriceA,$M791)),"")</f>
        <v/>
      </c>
      <c r="H791" s="23">
        <f>IF($N791&lt;&gt;"",IF(INDEX(CalcWitB,$N791)=0,"",INDEX(CalcWitB,$N791)),"")</f>
        <v/>
      </c>
      <c r="I791" s="24">
        <f>IF($M791&lt;&gt;"",INDEX(CalcAmtA,$M791),"")</f>
        <v/>
      </c>
      <c r="J791" s="24">
        <f>IF($B791="","",IF($J790="",$C$8,$J790)+IF($I791="",0,$I791)+IF($E791="",0,$E791)-IF($H791="",0,$H791))</f>
        <v/>
      </c>
      <c r="K791" s="25">
        <f>IF($M791&lt;&gt;"",IF(INDEX(CalcNoteA,$M791)="","—",INDEX(CalcNoteA,$M791)),IF($N791&lt;&gt;"",IF(INDEX(CalcNoteB,$N791)="","—",INDEX(CalcNoteB,$N791)),""))</f>
        <v/>
      </c>
      <c r="M791">
        <f>IFERROR(MATCH($C$5&amp;"|"&amp;RIGHT("000000"&amp;775,6),CalcRankKeyA,0),"")</f>
        <v/>
      </c>
      <c r="N791">
        <f>IFERROR(MATCH($C$5&amp;"|"&amp;RIGHT("000000"&amp;775,6),CalcRankKeyB,0),"")</f>
        <v/>
      </c>
    </row>
    <row r="792">
      <c r="A792" s="26" t="n">
        <v>776</v>
      </c>
      <c r="B792" s="27">
        <f>IF(AND($M792="",$N792=""),"",IF($M792&lt;&gt;"",INDEX(CalcDateA,$M792),INDEX(CalcDateB,$N792)))</f>
        <v/>
      </c>
      <c r="C792" s="27">
        <f>IF($M792&lt;&gt;"","خرید سبد",IF($N792&lt;&gt;"",IF(N(INDEX(CalcDepB,$N792))&gt;0,"دریافت بانکی","پرداخت بانکی"),""))</f>
        <v/>
      </c>
      <c r="D792" s="27">
        <f>IF($M792&lt;&gt;"",IF(INDEX(CalcDocA,$M792)="","—",INDEX(CalcDocA,$M792)),IF($N792&lt;&gt;"",INDEX(CalcBankB,$N792),""))</f>
        <v/>
      </c>
      <c r="E792" s="28">
        <f>IF($N792&lt;&gt;"",IF(INDEX(CalcDepB,$N792)=0,"",INDEX(CalcDepB,$N792)),"")</f>
        <v/>
      </c>
      <c r="F792" s="28">
        <f>IF($M792&lt;&gt;"",IF(INDEX(CalcQtyA,$M792)=0,"",INDEX(CalcQtyA,$M792)),"")</f>
        <v/>
      </c>
      <c r="G792" s="28">
        <f>IF($M792&lt;&gt;"",IF(INDEX(CalcPriceA,$M792)=0,"",INDEX(CalcPriceA,$M792)),"")</f>
        <v/>
      </c>
      <c r="H792" s="28">
        <f>IF($N792&lt;&gt;"",IF(INDEX(CalcWitB,$N792)=0,"",INDEX(CalcWitB,$N792)),"")</f>
        <v/>
      </c>
      <c r="I792" s="29">
        <f>IF($M792&lt;&gt;"",INDEX(CalcAmtA,$M792),"")</f>
        <v/>
      </c>
      <c r="J792" s="29">
        <f>IF($B792="","",IF($J791="",$C$8,$J791)+IF($I792="",0,$I792)+IF($E792="",0,$E792)-IF($H792="",0,$H792))</f>
        <v/>
      </c>
      <c r="K792" s="30">
        <f>IF($M792&lt;&gt;"",IF(INDEX(CalcNoteA,$M792)="","—",INDEX(CalcNoteA,$M792)),IF($N792&lt;&gt;"",IF(INDEX(CalcNoteB,$N792)="","—",INDEX(CalcNoteB,$N792)),""))</f>
        <v/>
      </c>
      <c r="M792">
        <f>IFERROR(MATCH($C$5&amp;"|"&amp;RIGHT("000000"&amp;776,6),CalcRankKeyA,0),"")</f>
        <v/>
      </c>
      <c r="N792">
        <f>IFERROR(MATCH($C$5&amp;"|"&amp;RIGHT("000000"&amp;776,6),CalcRankKeyB,0),"")</f>
        <v/>
      </c>
    </row>
    <row r="793">
      <c r="A793" s="21" t="n">
        <v>777</v>
      </c>
      <c r="B793" s="22">
        <f>IF(AND($M793="",$N793=""),"",IF($M793&lt;&gt;"",INDEX(CalcDateA,$M793),INDEX(CalcDateB,$N793)))</f>
        <v/>
      </c>
      <c r="C793" s="22">
        <f>IF($M793&lt;&gt;"","خرید سبد",IF($N793&lt;&gt;"",IF(N(INDEX(CalcDepB,$N793))&gt;0,"دریافت بانکی","پرداخت بانکی"),""))</f>
        <v/>
      </c>
      <c r="D793" s="22">
        <f>IF($M793&lt;&gt;"",IF(INDEX(CalcDocA,$M793)="","—",INDEX(CalcDocA,$M793)),IF($N793&lt;&gt;"",INDEX(CalcBankB,$N793),""))</f>
        <v/>
      </c>
      <c r="E793" s="23">
        <f>IF($N793&lt;&gt;"",IF(INDEX(CalcDepB,$N793)=0,"",INDEX(CalcDepB,$N793)),"")</f>
        <v/>
      </c>
      <c r="F793" s="23">
        <f>IF($M793&lt;&gt;"",IF(INDEX(CalcQtyA,$M793)=0,"",INDEX(CalcQtyA,$M793)),"")</f>
        <v/>
      </c>
      <c r="G793" s="23">
        <f>IF($M793&lt;&gt;"",IF(INDEX(CalcPriceA,$M793)=0,"",INDEX(CalcPriceA,$M793)),"")</f>
        <v/>
      </c>
      <c r="H793" s="23">
        <f>IF($N793&lt;&gt;"",IF(INDEX(CalcWitB,$N793)=0,"",INDEX(CalcWitB,$N793)),"")</f>
        <v/>
      </c>
      <c r="I793" s="24">
        <f>IF($M793&lt;&gt;"",INDEX(CalcAmtA,$M793),"")</f>
        <v/>
      </c>
      <c r="J793" s="24">
        <f>IF($B793="","",IF($J792="",$C$8,$J792)+IF($I793="",0,$I793)+IF($E793="",0,$E793)-IF($H793="",0,$H793))</f>
        <v/>
      </c>
      <c r="K793" s="25">
        <f>IF($M793&lt;&gt;"",IF(INDEX(CalcNoteA,$M793)="","—",INDEX(CalcNoteA,$M793)),IF($N793&lt;&gt;"",IF(INDEX(CalcNoteB,$N793)="","—",INDEX(CalcNoteB,$N793)),""))</f>
        <v/>
      </c>
      <c r="M793">
        <f>IFERROR(MATCH($C$5&amp;"|"&amp;RIGHT("000000"&amp;777,6),CalcRankKeyA,0),"")</f>
        <v/>
      </c>
      <c r="N793">
        <f>IFERROR(MATCH($C$5&amp;"|"&amp;RIGHT("000000"&amp;777,6),CalcRankKeyB,0),"")</f>
        <v/>
      </c>
    </row>
    <row r="794">
      <c r="A794" s="26" t="n">
        <v>778</v>
      </c>
      <c r="B794" s="27">
        <f>IF(AND($M794="",$N794=""),"",IF($M794&lt;&gt;"",INDEX(CalcDateA,$M794),INDEX(CalcDateB,$N794)))</f>
        <v/>
      </c>
      <c r="C794" s="27">
        <f>IF($M794&lt;&gt;"","خرید سبد",IF($N794&lt;&gt;"",IF(N(INDEX(CalcDepB,$N794))&gt;0,"دریافت بانکی","پرداخت بانکی"),""))</f>
        <v/>
      </c>
      <c r="D794" s="27">
        <f>IF($M794&lt;&gt;"",IF(INDEX(CalcDocA,$M794)="","—",INDEX(CalcDocA,$M794)),IF($N794&lt;&gt;"",INDEX(CalcBankB,$N794),""))</f>
        <v/>
      </c>
      <c r="E794" s="28">
        <f>IF($N794&lt;&gt;"",IF(INDEX(CalcDepB,$N794)=0,"",INDEX(CalcDepB,$N794)),"")</f>
        <v/>
      </c>
      <c r="F794" s="28">
        <f>IF($M794&lt;&gt;"",IF(INDEX(CalcQtyA,$M794)=0,"",INDEX(CalcQtyA,$M794)),"")</f>
        <v/>
      </c>
      <c r="G794" s="28">
        <f>IF($M794&lt;&gt;"",IF(INDEX(CalcPriceA,$M794)=0,"",INDEX(CalcPriceA,$M794)),"")</f>
        <v/>
      </c>
      <c r="H794" s="28">
        <f>IF($N794&lt;&gt;"",IF(INDEX(CalcWitB,$N794)=0,"",INDEX(CalcWitB,$N794)),"")</f>
        <v/>
      </c>
      <c r="I794" s="29">
        <f>IF($M794&lt;&gt;"",INDEX(CalcAmtA,$M794),"")</f>
        <v/>
      </c>
      <c r="J794" s="29">
        <f>IF($B794="","",IF($J793="",$C$8,$J793)+IF($I794="",0,$I794)+IF($E794="",0,$E794)-IF($H794="",0,$H794))</f>
        <v/>
      </c>
      <c r="K794" s="30">
        <f>IF($M794&lt;&gt;"",IF(INDEX(CalcNoteA,$M794)="","—",INDEX(CalcNoteA,$M794)),IF($N794&lt;&gt;"",IF(INDEX(CalcNoteB,$N794)="","—",INDEX(CalcNoteB,$N794)),""))</f>
        <v/>
      </c>
      <c r="M794">
        <f>IFERROR(MATCH($C$5&amp;"|"&amp;RIGHT("000000"&amp;778,6),CalcRankKeyA,0),"")</f>
        <v/>
      </c>
      <c r="N794">
        <f>IFERROR(MATCH($C$5&amp;"|"&amp;RIGHT("000000"&amp;778,6),CalcRankKeyB,0),"")</f>
        <v/>
      </c>
    </row>
    <row r="795">
      <c r="A795" s="21" t="n">
        <v>779</v>
      </c>
      <c r="B795" s="22">
        <f>IF(AND($M795="",$N795=""),"",IF($M795&lt;&gt;"",INDEX(CalcDateA,$M795),INDEX(CalcDateB,$N795)))</f>
        <v/>
      </c>
      <c r="C795" s="22">
        <f>IF($M795&lt;&gt;"","خرید سبد",IF($N795&lt;&gt;"",IF(N(INDEX(CalcDepB,$N795))&gt;0,"دریافت بانکی","پرداخت بانکی"),""))</f>
        <v/>
      </c>
      <c r="D795" s="22">
        <f>IF($M795&lt;&gt;"",IF(INDEX(CalcDocA,$M795)="","—",INDEX(CalcDocA,$M795)),IF($N795&lt;&gt;"",INDEX(CalcBankB,$N795),""))</f>
        <v/>
      </c>
      <c r="E795" s="23">
        <f>IF($N795&lt;&gt;"",IF(INDEX(CalcDepB,$N795)=0,"",INDEX(CalcDepB,$N795)),"")</f>
        <v/>
      </c>
      <c r="F795" s="23">
        <f>IF($M795&lt;&gt;"",IF(INDEX(CalcQtyA,$M795)=0,"",INDEX(CalcQtyA,$M795)),"")</f>
        <v/>
      </c>
      <c r="G795" s="23">
        <f>IF($M795&lt;&gt;"",IF(INDEX(CalcPriceA,$M795)=0,"",INDEX(CalcPriceA,$M795)),"")</f>
        <v/>
      </c>
      <c r="H795" s="23">
        <f>IF($N795&lt;&gt;"",IF(INDEX(CalcWitB,$N795)=0,"",INDEX(CalcWitB,$N795)),"")</f>
        <v/>
      </c>
      <c r="I795" s="24">
        <f>IF($M795&lt;&gt;"",INDEX(CalcAmtA,$M795),"")</f>
        <v/>
      </c>
      <c r="J795" s="24">
        <f>IF($B795="","",IF($J794="",$C$8,$J794)+IF($I795="",0,$I795)+IF($E795="",0,$E795)-IF($H795="",0,$H795))</f>
        <v/>
      </c>
      <c r="K795" s="25">
        <f>IF($M795&lt;&gt;"",IF(INDEX(CalcNoteA,$M795)="","—",INDEX(CalcNoteA,$M795)),IF($N795&lt;&gt;"",IF(INDEX(CalcNoteB,$N795)="","—",INDEX(CalcNoteB,$N795)),""))</f>
        <v/>
      </c>
      <c r="M795">
        <f>IFERROR(MATCH($C$5&amp;"|"&amp;RIGHT("000000"&amp;779,6),CalcRankKeyA,0),"")</f>
        <v/>
      </c>
      <c r="N795">
        <f>IFERROR(MATCH($C$5&amp;"|"&amp;RIGHT("000000"&amp;779,6),CalcRankKeyB,0),"")</f>
        <v/>
      </c>
    </row>
    <row r="796">
      <c r="A796" s="26" t="n">
        <v>780</v>
      </c>
      <c r="B796" s="27">
        <f>IF(AND($M796="",$N796=""),"",IF($M796&lt;&gt;"",INDEX(CalcDateA,$M796),INDEX(CalcDateB,$N796)))</f>
        <v/>
      </c>
      <c r="C796" s="27">
        <f>IF($M796&lt;&gt;"","خرید سبد",IF($N796&lt;&gt;"",IF(N(INDEX(CalcDepB,$N796))&gt;0,"دریافت بانکی","پرداخت بانکی"),""))</f>
        <v/>
      </c>
      <c r="D796" s="27">
        <f>IF($M796&lt;&gt;"",IF(INDEX(CalcDocA,$M796)="","—",INDEX(CalcDocA,$M796)),IF($N796&lt;&gt;"",INDEX(CalcBankB,$N796),""))</f>
        <v/>
      </c>
      <c r="E796" s="28">
        <f>IF($N796&lt;&gt;"",IF(INDEX(CalcDepB,$N796)=0,"",INDEX(CalcDepB,$N796)),"")</f>
        <v/>
      </c>
      <c r="F796" s="28">
        <f>IF($M796&lt;&gt;"",IF(INDEX(CalcQtyA,$M796)=0,"",INDEX(CalcQtyA,$M796)),"")</f>
        <v/>
      </c>
      <c r="G796" s="28">
        <f>IF($M796&lt;&gt;"",IF(INDEX(CalcPriceA,$M796)=0,"",INDEX(CalcPriceA,$M796)),"")</f>
        <v/>
      </c>
      <c r="H796" s="28">
        <f>IF($N796&lt;&gt;"",IF(INDEX(CalcWitB,$N796)=0,"",INDEX(CalcWitB,$N796)),"")</f>
        <v/>
      </c>
      <c r="I796" s="29">
        <f>IF($M796&lt;&gt;"",INDEX(CalcAmtA,$M796),"")</f>
        <v/>
      </c>
      <c r="J796" s="29">
        <f>IF($B796="","",IF($J795="",$C$8,$J795)+IF($I796="",0,$I796)+IF($E796="",0,$E796)-IF($H796="",0,$H796))</f>
        <v/>
      </c>
      <c r="K796" s="30">
        <f>IF($M796&lt;&gt;"",IF(INDEX(CalcNoteA,$M796)="","—",INDEX(CalcNoteA,$M796)),IF($N796&lt;&gt;"",IF(INDEX(CalcNoteB,$N796)="","—",INDEX(CalcNoteB,$N796)),""))</f>
        <v/>
      </c>
      <c r="M796">
        <f>IFERROR(MATCH($C$5&amp;"|"&amp;RIGHT("000000"&amp;780,6),CalcRankKeyA,0),"")</f>
        <v/>
      </c>
      <c r="N796">
        <f>IFERROR(MATCH($C$5&amp;"|"&amp;RIGHT("000000"&amp;780,6),CalcRankKeyB,0),"")</f>
        <v/>
      </c>
    </row>
    <row r="797">
      <c r="A797" s="21" t="n">
        <v>781</v>
      </c>
      <c r="B797" s="22">
        <f>IF(AND($M797="",$N797=""),"",IF($M797&lt;&gt;"",INDEX(CalcDateA,$M797),INDEX(CalcDateB,$N797)))</f>
        <v/>
      </c>
      <c r="C797" s="22">
        <f>IF($M797&lt;&gt;"","خرید سبد",IF($N797&lt;&gt;"",IF(N(INDEX(CalcDepB,$N797))&gt;0,"دریافت بانکی","پرداخت بانکی"),""))</f>
        <v/>
      </c>
      <c r="D797" s="22">
        <f>IF($M797&lt;&gt;"",IF(INDEX(CalcDocA,$M797)="","—",INDEX(CalcDocA,$M797)),IF($N797&lt;&gt;"",INDEX(CalcBankB,$N797),""))</f>
        <v/>
      </c>
      <c r="E797" s="23">
        <f>IF($N797&lt;&gt;"",IF(INDEX(CalcDepB,$N797)=0,"",INDEX(CalcDepB,$N797)),"")</f>
        <v/>
      </c>
      <c r="F797" s="23">
        <f>IF($M797&lt;&gt;"",IF(INDEX(CalcQtyA,$M797)=0,"",INDEX(CalcQtyA,$M797)),"")</f>
        <v/>
      </c>
      <c r="G797" s="23">
        <f>IF($M797&lt;&gt;"",IF(INDEX(CalcPriceA,$M797)=0,"",INDEX(CalcPriceA,$M797)),"")</f>
        <v/>
      </c>
      <c r="H797" s="23">
        <f>IF($N797&lt;&gt;"",IF(INDEX(CalcWitB,$N797)=0,"",INDEX(CalcWitB,$N797)),"")</f>
        <v/>
      </c>
      <c r="I797" s="24">
        <f>IF($M797&lt;&gt;"",INDEX(CalcAmtA,$M797),"")</f>
        <v/>
      </c>
      <c r="J797" s="24">
        <f>IF($B797="","",IF($J796="",$C$8,$J796)+IF($I797="",0,$I797)+IF($E797="",0,$E797)-IF($H797="",0,$H797))</f>
        <v/>
      </c>
      <c r="K797" s="25">
        <f>IF($M797&lt;&gt;"",IF(INDEX(CalcNoteA,$M797)="","—",INDEX(CalcNoteA,$M797)),IF($N797&lt;&gt;"",IF(INDEX(CalcNoteB,$N797)="","—",INDEX(CalcNoteB,$N797)),""))</f>
        <v/>
      </c>
      <c r="M797">
        <f>IFERROR(MATCH($C$5&amp;"|"&amp;RIGHT("000000"&amp;781,6),CalcRankKeyA,0),"")</f>
        <v/>
      </c>
      <c r="N797">
        <f>IFERROR(MATCH($C$5&amp;"|"&amp;RIGHT("000000"&amp;781,6),CalcRankKeyB,0),"")</f>
        <v/>
      </c>
    </row>
    <row r="798">
      <c r="A798" s="26" t="n">
        <v>782</v>
      </c>
      <c r="B798" s="27">
        <f>IF(AND($M798="",$N798=""),"",IF($M798&lt;&gt;"",INDEX(CalcDateA,$M798),INDEX(CalcDateB,$N798)))</f>
        <v/>
      </c>
      <c r="C798" s="27">
        <f>IF($M798&lt;&gt;"","خرید سبد",IF($N798&lt;&gt;"",IF(N(INDEX(CalcDepB,$N798))&gt;0,"دریافت بانکی","پرداخت بانکی"),""))</f>
        <v/>
      </c>
      <c r="D798" s="27">
        <f>IF($M798&lt;&gt;"",IF(INDEX(CalcDocA,$M798)="","—",INDEX(CalcDocA,$M798)),IF($N798&lt;&gt;"",INDEX(CalcBankB,$N798),""))</f>
        <v/>
      </c>
      <c r="E798" s="28">
        <f>IF($N798&lt;&gt;"",IF(INDEX(CalcDepB,$N798)=0,"",INDEX(CalcDepB,$N798)),"")</f>
        <v/>
      </c>
      <c r="F798" s="28">
        <f>IF($M798&lt;&gt;"",IF(INDEX(CalcQtyA,$M798)=0,"",INDEX(CalcQtyA,$M798)),"")</f>
        <v/>
      </c>
      <c r="G798" s="28">
        <f>IF($M798&lt;&gt;"",IF(INDEX(CalcPriceA,$M798)=0,"",INDEX(CalcPriceA,$M798)),"")</f>
        <v/>
      </c>
      <c r="H798" s="28">
        <f>IF($N798&lt;&gt;"",IF(INDEX(CalcWitB,$N798)=0,"",INDEX(CalcWitB,$N798)),"")</f>
        <v/>
      </c>
      <c r="I798" s="29">
        <f>IF($M798&lt;&gt;"",INDEX(CalcAmtA,$M798),"")</f>
        <v/>
      </c>
      <c r="J798" s="29">
        <f>IF($B798="","",IF($J797="",$C$8,$J797)+IF($I798="",0,$I798)+IF($E798="",0,$E798)-IF($H798="",0,$H798))</f>
        <v/>
      </c>
      <c r="K798" s="30">
        <f>IF($M798&lt;&gt;"",IF(INDEX(CalcNoteA,$M798)="","—",INDEX(CalcNoteA,$M798)),IF($N798&lt;&gt;"",IF(INDEX(CalcNoteB,$N798)="","—",INDEX(CalcNoteB,$N798)),""))</f>
        <v/>
      </c>
      <c r="M798">
        <f>IFERROR(MATCH($C$5&amp;"|"&amp;RIGHT("000000"&amp;782,6),CalcRankKeyA,0),"")</f>
        <v/>
      </c>
      <c r="N798">
        <f>IFERROR(MATCH($C$5&amp;"|"&amp;RIGHT("000000"&amp;782,6),CalcRankKeyB,0),"")</f>
        <v/>
      </c>
    </row>
    <row r="799">
      <c r="A799" s="21" t="n">
        <v>783</v>
      </c>
      <c r="B799" s="22">
        <f>IF(AND($M799="",$N799=""),"",IF($M799&lt;&gt;"",INDEX(CalcDateA,$M799),INDEX(CalcDateB,$N799)))</f>
        <v/>
      </c>
      <c r="C799" s="22">
        <f>IF($M799&lt;&gt;"","خرید سبد",IF($N799&lt;&gt;"",IF(N(INDEX(CalcDepB,$N799))&gt;0,"دریافت بانکی","پرداخت بانکی"),""))</f>
        <v/>
      </c>
      <c r="D799" s="22">
        <f>IF($M799&lt;&gt;"",IF(INDEX(CalcDocA,$M799)="","—",INDEX(CalcDocA,$M799)),IF($N799&lt;&gt;"",INDEX(CalcBankB,$N799),""))</f>
        <v/>
      </c>
      <c r="E799" s="23">
        <f>IF($N799&lt;&gt;"",IF(INDEX(CalcDepB,$N799)=0,"",INDEX(CalcDepB,$N799)),"")</f>
        <v/>
      </c>
      <c r="F799" s="23">
        <f>IF($M799&lt;&gt;"",IF(INDEX(CalcQtyA,$M799)=0,"",INDEX(CalcQtyA,$M799)),"")</f>
        <v/>
      </c>
      <c r="G799" s="23">
        <f>IF($M799&lt;&gt;"",IF(INDEX(CalcPriceA,$M799)=0,"",INDEX(CalcPriceA,$M799)),"")</f>
        <v/>
      </c>
      <c r="H799" s="23">
        <f>IF($N799&lt;&gt;"",IF(INDEX(CalcWitB,$N799)=0,"",INDEX(CalcWitB,$N799)),"")</f>
        <v/>
      </c>
      <c r="I799" s="24">
        <f>IF($M799&lt;&gt;"",INDEX(CalcAmtA,$M799),"")</f>
        <v/>
      </c>
      <c r="J799" s="24">
        <f>IF($B799="","",IF($J798="",$C$8,$J798)+IF($I799="",0,$I799)+IF($E799="",0,$E799)-IF($H799="",0,$H799))</f>
        <v/>
      </c>
      <c r="K799" s="25">
        <f>IF($M799&lt;&gt;"",IF(INDEX(CalcNoteA,$M799)="","—",INDEX(CalcNoteA,$M799)),IF($N799&lt;&gt;"",IF(INDEX(CalcNoteB,$N799)="","—",INDEX(CalcNoteB,$N799)),""))</f>
        <v/>
      </c>
      <c r="M799">
        <f>IFERROR(MATCH($C$5&amp;"|"&amp;RIGHT("000000"&amp;783,6),CalcRankKeyA,0),"")</f>
        <v/>
      </c>
      <c r="N799">
        <f>IFERROR(MATCH($C$5&amp;"|"&amp;RIGHT("000000"&amp;783,6),CalcRankKeyB,0),"")</f>
        <v/>
      </c>
    </row>
    <row r="800">
      <c r="A800" s="26" t="n">
        <v>784</v>
      </c>
      <c r="B800" s="27">
        <f>IF(AND($M800="",$N800=""),"",IF($M800&lt;&gt;"",INDEX(CalcDateA,$M800),INDEX(CalcDateB,$N800)))</f>
        <v/>
      </c>
      <c r="C800" s="27">
        <f>IF($M800&lt;&gt;"","خرید سبد",IF($N800&lt;&gt;"",IF(N(INDEX(CalcDepB,$N800))&gt;0,"دریافت بانکی","پرداخت بانکی"),""))</f>
        <v/>
      </c>
      <c r="D800" s="27">
        <f>IF($M800&lt;&gt;"",IF(INDEX(CalcDocA,$M800)="","—",INDEX(CalcDocA,$M800)),IF($N800&lt;&gt;"",INDEX(CalcBankB,$N800),""))</f>
        <v/>
      </c>
      <c r="E800" s="28">
        <f>IF($N800&lt;&gt;"",IF(INDEX(CalcDepB,$N800)=0,"",INDEX(CalcDepB,$N800)),"")</f>
        <v/>
      </c>
      <c r="F800" s="28">
        <f>IF($M800&lt;&gt;"",IF(INDEX(CalcQtyA,$M800)=0,"",INDEX(CalcQtyA,$M800)),"")</f>
        <v/>
      </c>
      <c r="G800" s="28">
        <f>IF($M800&lt;&gt;"",IF(INDEX(CalcPriceA,$M800)=0,"",INDEX(CalcPriceA,$M800)),"")</f>
        <v/>
      </c>
      <c r="H800" s="28">
        <f>IF($N800&lt;&gt;"",IF(INDEX(CalcWitB,$N800)=0,"",INDEX(CalcWitB,$N800)),"")</f>
        <v/>
      </c>
      <c r="I800" s="29">
        <f>IF($M800&lt;&gt;"",INDEX(CalcAmtA,$M800),"")</f>
        <v/>
      </c>
      <c r="J800" s="29">
        <f>IF($B800="","",IF($J799="",$C$8,$J799)+IF($I800="",0,$I800)+IF($E800="",0,$E800)-IF($H800="",0,$H800))</f>
        <v/>
      </c>
      <c r="K800" s="30">
        <f>IF($M800&lt;&gt;"",IF(INDEX(CalcNoteA,$M800)="","—",INDEX(CalcNoteA,$M800)),IF($N800&lt;&gt;"",IF(INDEX(CalcNoteB,$N800)="","—",INDEX(CalcNoteB,$N800)),""))</f>
        <v/>
      </c>
      <c r="M800">
        <f>IFERROR(MATCH($C$5&amp;"|"&amp;RIGHT("000000"&amp;784,6),CalcRankKeyA,0),"")</f>
        <v/>
      </c>
      <c r="N800">
        <f>IFERROR(MATCH($C$5&amp;"|"&amp;RIGHT("000000"&amp;784,6),CalcRankKeyB,0),"")</f>
        <v/>
      </c>
    </row>
    <row r="801">
      <c r="A801" s="21" t="n">
        <v>785</v>
      </c>
      <c r="B801" s="22">
        <f>IF(AND($M801="",$N801=""),"",IF($M801&lt;&gt;"",INDEX(CalcDateA,$M801),INDEX(CalcDateB,$N801)))</f>
        <v/>
      </c>
      <c r="C801" s="22">
        <f>IF($M801&lt;&gt;"","خرید سبد",IF($N801&lt;&gt;"",IF(N(INDEX(CalcDepB,$N801))&gt;0,"دریافت بانکی","پرداخت بانکی"),""))</f>
        <v/>
      </c>
      <c r="D801" s="22">
        <f>IF($M801&lt;&gt;"",IF(INDEX(CalcDocA,$M801)="","—",INDEX(CalcDocA,$M801)),IF($N801&lt;&gt;"",INDEX(CalcBankB,$N801),""))</f>
        <v/>
      </c>
      <c r="E801" s="23">
        <f>IF($N801&lt;&gt;"",IF(INDEX(CalcDepB,$N801)=0,"",INDEX(CalcDepB,$N801)),"")</f>
        <v/>
      </c>
      <c r="F801" s="23">
        <f>IF($M801&lt;&gt;"",IF(INDEX(CalcQtyA,$M801)=0,"",INDEX(CalcQtyA,$M801)),"")</f>
        <v/>
      </c>
      <c r="G801" s="23">
        <f>IF($M801&lt;&gt;"",IF(INDEX(CalcPriceA,$M801)=0,"",INDEX(CalcPriceA,$M801)),"")</f>
        <v/>
      </c>
      <c r="H801" s="23">
        <f>IF($N801&lt;&gt;"",IF(INDEX(CalcWitB,$N801)=0,"",INDEX(CalcWitB,$N801)),"")</f>
        <v/>
      </c>
      <c r="I801" s="24">
        <f>IF($M801&lt;&gt;"",INDEX(CalcAmtA,$M801),"")</f>
        <v/>
      </c>
      <c r="J801" s="24">
        <f>IF($B801="","",IF($J800="",$C$8,$J800)+IF($I801="",0,$I801)+IF($E801="",0,$E801)-IF($H801="",0,$H801))</f>
        <v/>
      </c>
      <c r="K801" s="25">
        <f>IF($M801&lt;&gt;"",IF(INDEX(CalcNoteA,$M801)="","—",INDEX(CalcNoteA,$M801)),IF($N801&lt;&gt;"",IF(INDEX(CalcNoteB,$N801)="","—",INDEX(CalcNoteB,$N801)),""))</f>
        <v/>
      </c>
      <c r="M801">
        <f>IFERROR(MATCH($C$5&amp;"|"&amp;RIGHT("000000"&amp;785,6),CalcRankKeyA,0),"")</f>
        <v/>
      </c>
      <c r="N801">
        <f>IFERROR(MATCH($C$5&amp;"|"&amp;RIGHT("000000"&amp;785,6),CalcRankKeyB,0),"")</f>
        <v/>
      </c>
    </row>
    <row r="802">
      <c r="A802" s="26" t="n">
        <v>786</v>
      </c>
      <c r="B802" s="27">
        <f>IF(AND($M802="",$N802=""),"",IF($M802&lt;&gt;"",INDEX(CalcDateA,$M802),INDEX(CalcDateB,$N802)))</f>
        <v/>
      </c>
      <c r="C802" s="27">
        <f>IF($M802&lt;&gt;"","خرید سبد",IF($N802&lt;&gt;"",IF(N(INDEX(CalcDepB,$N802))&gt;0,"دریافت بانکی","پرداخت بانکی"),""))</f>
        <v/>
      </c>
      <c r="D802" s="27">
        <f>IF($M802&lt;&gt;"",IF(INDEX(CalcDocA,$M802)="","—",INDEX(CalcDocA,$M802)),IF($N802&lt;&gt;"",INDEX(CalcBankB,$N802),""))</f>
        <v/>
      </c>
      <c r="E802" s="28">
        <f>IF($N802&lt;&gt;"",IF(INDEX(CalcDepB,$N802)=0,"",INDEX(CalcDepB,$N802)),"")</f>
        <v/>
      </c>
      <c r="F802" s="28">
        <f>IF($M802&lt;&gt;"",IF(INDEX(CalcQtyA,$M802)=0,"",INDEX(CalcQtyA,$M802)),"")</f>
        <v/>
      </c>
      <c r="G802" s="28">
        <f>IF($M802&lt;&gt;"",IF(INDEX(CalcPriceA,$M802)=0,"",INDEX(CalcPriceA,$M802)),"")</f>
        <v/>
      </c>
      <c r="H802" s="28">
        <f>IF($N802&lt;&gt;"",IF(INDEX(CalcWitB,$N802)=0,"",INDEX(CalcWitB,$N802)),"")</f>
        <v/>
      </c>
      <c r="I802" s="29">
        <f>IF($M802&lt;&gt;"",INDEX(CalcAmtA,$M802),"")</f>
        <v/>
      </c>
      <c r="J802" s="29">
        <f>IF($B802="","",IF($J801="",$C$8,$J801)+IF($I802="",0,$I802)+IF($E802="",0,$E802)-IF($H802="",0,$H802))</f>
        <v/>
      </c>
      <c r="K802" s="30">
        <f>IF($M802&lt;&gt;"",IF(INDEX(CalcNoteA,$M802)="","—",INDEX(CalcNoteA,$M802)),IF($N802&lt;&gt;"",IF(INDEX(CalcNoteB,$N802)="","—",INDEX(CalcNoteB,$N802)),""))</f>
        <v/>
      </c>
      <c r="M802">
        <f>IFERROR(MATCH($C$5&amp;"|"&amp;RIGHT("000000"&amp;786,6),CalcRankKeyA,0),"")</f>
        <v/>
      </c>
      <c r="N802">
        <f>IFERROR(MATCH($C$5&amp;"|"&amp;RIGHT("000000"&amp;786,6),CalcRankKeyB,0),"")</f>
        <v/>
      </c>
    </row>
    <row r="803">
      <c r="A803" s="21" t="n">
        <v>787</v>
      </c>
      <c r="B803" s="22">
        <f>IF(AND($M803="",$N803=""),"",IF($M803&lt;&gt;"",INDEX(CalcDateA,$M803),INDEX(CalcDateB,$N803)))</f>
        <v/>
      </c>
      <c r="C803" s="22">
        <f>IF($M803&lt;&gt;"","خرید سبد",IF($N803&lt;&gt;"",IF(N(INDEX(CalcDepB,$N803))&gt;0,"دریافت بانکی","پرداخت بانکی"),""))</f>
        <v/>
      </c>
      <c r="D803" s="22">
        <f>IF($M803&lt;&gt;"",IF(INDEX(CalcDocA,$M803)="","—",INDEX(CalcDocA,$M803)),IF($N803&lt;&gt;"",INDEX(CalcBankB,$N803),""))</f>
        <v/>
      </c>
      <c r="E803" s="23">
        <f>IF($N803&lt;&gt;"",IF(INDEX(CalcDepB,$N803)=0,"",INDEX(CalcDepB,$N803)),"")</f>
        <v/>
      </c>
      <c r="F803" s="23">
        <f>IF($M803&lt;&gt;"",IF(INDEX(CalcQtyA,$M803)=0,"",INDEX(CalcQtyA,$M803)),"")</f>
        <v/>
      </c>
      <c r="G803" s="23">
        <f>IF($M803&lt;&gt;"",IF(INDEX(CalcPriceA,$M803)=0,"",INDEX(CalcPriceA,$M803)),"")</f>
        <v/>
      </c>
      <c r="H803" s="23">
        <f>IF($N803&lt;&gt;"",IF(INDEX(CalcWitB,$N803)=0,"",INDEX(CalcWitB,$N803)),"")</f>
        <v/>
      </c>
      <c r="I803" s="24">
        <f>IF($M803&lt;&gt;"",INDEX(CalcAmtA,$M803),"")</f>
        <v/>
      </c>
      <c r="J803" s="24">
        <f>IF($B803="","",IF($J802="",$C$8,$J802)+IF($I803="",0,$I803)+IF($E803="",0,$E803)-IF($H803="",0,$H803))</f>
        <v/>
      </c>
      <c r="K803" s="25">
        <f>IF($M803&lt;&gt;"",IF(INDEX(CalcNoteA,$M803)="","—",INDEX(CalcNoteA,$M803)),IF($N803&lt;&gt;"",IF(INDEX(CalcNoteB,$N803)="","—",INDEX(CalcNoteB,$N803)),""))</f>
        <v/>
      </c>
      <c r="M803">
        <f>IFERROR(MATCH($C$5&amp;"|"&amp;RIGHT("000000"&amp;787,6),CalcRankKeyA,0),"")</f>
        <v/>
      </c>
      <c r="N803">
        <f>IFERROR(MATCH($C$5&amp;"|"&amp;RIGHT("000000"&amp;787,6),CalcRankKeyB,0),"")</f>
        <v/>
      </c>
    </row>
    <row r="804">
      <c r="A804" s="26" t="n">
        <v>788</v>
      </c>
      <c r="B804" s="27">
        <f>IF(AND($M804="",$N804=""),"",IF($M804&lt;&gt;"",INDEX(CalcDateA,$M804),INDEX(CalcDateB,$N804)))</f>
        <v/>
      </c>
      <c r="C804" s="27">
        <f>IF($M804&lt;&gt;"","خرید سبد",IF($N804&lt;&gt;"",IF(N(INDEX(CalcDepB,$N804))&gt;0,"دریافت بانکی","پرداخت بانکی"),""))</f>
        <v/>
      </c>
      <c r="D804" s="27">
        <f>IF($M804&lt;&gt;"",IF(INDEX(CalcDocA,$M804)="","—",INDEX(CalcDocA,$M804)),IF($N804&lt;&gt;"",INDEX(CalcBankB,$N804),""))</f>
        <v/>
      </c>
      <c r="E804" s="28">
        <f>IF($N804&lt;&gt;"",IF(INDEX(CalcDepB,$N804)=0,"",INDEX(CalcDepB,$N804)),"")</f>
        <v/>
      </c>
      <c r="F804" s="28">
        <f>IF($M804&lt;&gt;"",IF(INDEX(CalcQtyA,$M804)=0,"",INDEX(CalcQtyA,$M804)),"")</f>
        <v/>
      </c>
      <c r="G804" s="28">
        <f>IF($M804&lt;&gt;"",IF(INDEX(CalcPriceA,$M804)=0,"",INDEX(CalcPriceA,$M804)),"")</f>
        <v/>
      </c>
      <c r="H804" s="28">
        <f>IF($N804&lt;&gt;"",IF(INDEX(CalcWitB,$N804)=0,"",INDEX(CalcWitB,$N804)),"")</f>
        <v/>
      </c>
      <c r="I804" s="29">
        <f>IF($M804&lt;&gt;"",INDEX(CalcAmtA,$M804),"")</f>
        <v/>
      </c>
      <c r="J804" s="29">
        <f>IF($B804="","",IF($J803="",$C$8,$J803)+IF($I804="",0,$I804)+IF($E804="",0,$E804)-IF($H804="",0,$H804))</f>
        <v/>
      </c>
      <c r="K804" s="30">
        <f>IF($M804&lt;&gt;"",IF(INDEX(CalcNoteA,$M804)="","—",INDEX(CalcNoteA,$M804)),IF($N804&lt;&gt;"",IF(INDEX(CalcNoteB,$N804)="","—",INDEX(CalcNoteB,$N804)),""))</f>
        <v/>
      </c>
      <c r="M804">
        <f>IFERROR(MATCH($C$5&amp;"|"&amp;RIGHT("000000"&amp;788,6),CalcRankKeyA,0),"")</f>
        <v/>
      </c>
      <c r="N804">
        <f>IFERROR(MATCH($C$5&amp;"|"&amp;RIGHT("000000"&amp;788,6),CalcRankKeyB,0),"")</f>
        <v/>
      </c>
    </row>
    <row r="805">
      <c r="A805" s="21" t="n">
        <v>789</v>
      </c>
      <c r="B805" s="22">
        <f>IF(AND($M805="",$N805=""),"",IF($M805&lt;&gt;"",INDEX(CalcDateA,$M805),INDEX(CalcDateB,$N805)))</f>
        <v/>
      </c>
      <c r="C805" s="22">
        <f>IF($M805&lt;&gt;"","خرید سبد",IF($N805&lt;&gt;"",IF(N(INDEX(CalcDepB,$N805))&gt;0,"دریافت بانکی","پرداخت بانکی"),""))</f>
        <v/>
      </c>
      <c r="D805" s="22">
        <f>IF($M805&lt;&gt;"",IF(INDEX(CalcDocA,$M805)="","—",INDEX(CalcDocA,$M805)),IF($N805&lt;&gt;"",INDEX(CalcBankB,$N805),""))</f>
        <v/>
      </c>
      <c r="E805" s="23">
        <f>IF($N805&lt;&gt;"",IF(INDEX(CalcDepB,$N805)=0,"",INDEX(CalcDepB,$N805)),"")</f>
        <v/>
      </c>
      <c r="F805" s="23">
        <f>IF($M805&lt;&gt;"",IF(INDEX(CalcQtyA,$M805)=0,"",INDEX(CalcQtyA,$M805)),"")</f>
        <v/>
      </c>
      <c r="G805" s="23">
        <f>IF($M805&lt;&gt;"",IF(INDEX(CalcPriceA,$M805)=0,"",INDEX(CalcPriceA,$M805)),"")</f>
        <v/>
      </c>
      <c r="H805" s="23">
        <f>IF($N805&lt;&gt;"",IF(INDEX(CalcWitB,$N805)=0,"",INDEX(CalcWitB,$N805)),"")</f>
        <v/>
      </c>
      <c r="I805" s="24">
        <f>IF($M805&lt;&gt;"",INDEX(CalcAmtA,$M805),"")</f>
        <v/>
      </c>
      <c r="J805" s="24">
        <f>IF($B805="","",IF($J804="",$C$8,$J804)+IF($I805="",0,$I805)+IF($E805="",0,$E805)-IF($H805="",0,$H805))</f>
        <v/>
      </c>
      <c r="K805" s="25">
        <f>IF($M805&lt;&gt;"",IF(INDEX(CalcNoteA,$M805)="","—",INDEX(CalcNoteA,$M805)),IF($N805&lt;&gt;"",IF(INDEX(CalcNoteB,$N805)="","—",INDEX(CalcNoteB,$N805)),""))</f>
        <v/>
      </c>
      <c r="M805">
        <f>IFERROR(MATCH($C$5&amp;"|"&amp;RIGHT("000000"&amp;789,6),CalcRankKeyA,0),"")</f>
        <v/>
      </c>
      <c r="N805">
        <f>IFERROR(MATCH($C$5&amp;"|"&amp;RIGHT("000000"&amp;789,6),CalcRankKeyB,0),"")</f>
        <v/>
      </c>
    </row>
    <row r="806">
      <c r="A806" s="26" t="n">
        <v>790</v>
      </c>
      <c r="B806" s="27">
        <f>IF(AND($M806="",$N806=""),"",IF($M806&lt;&gt;"",INDEX(CalcDateA,$M806),INDEX(CalcDateB,$N806)))</f>
        <v/>
      </c>
      <c r="C806" s="27">
        <f>IF($M806&lt;&gt;"","خرید سبد",IF($N806&lt;&gt;"",IF(N(INDEX(CalcDepB,$N806))&gt;0,"دریافت بانکی","پرداخت بانکی"),""))</f>
        <v/>
      </c>
      <c r="D806" s="27">
        <f>IF($M806&lt;&gt;"",IF(INDEX(CalcDocA,$M806)="","—",INDEX(CalcDocA,$M806)),IF($N806&lt;&gt;"",INDEX(CalcBankB,$N806),""))</f>
        <v/>
      </c>
      <c r="E806" s="28">
        <f>IF($N806&lt;&gt;"",IF(INDEX(CalcDepB,$N806)=0,"",INDEX(CalcDepB,$N806)),"")</f>
        <v/>
      </c>
      <c r="F806" s="28">
        <f>IF($M806&lt;&gt;"",IF(INDEX(CalcQtyA,$M806)=0,"",INDEX(CalcQtyA,$M806)),"")</f>
        <v/>
      </c>
      <c r="G806" s="28">
        <f>IF($M806&lt;&gt;"",IF(INDEX(CalcPriceA,$M806)=0,"",INDEX(CalcPriceA,$M806)),"")</f>
        <v/>
      </c>
      <c r="H806" s="28">
        <f>IF($N806&lt;&gt;"",IF(INDEX(CalcWitB,$N806)=0,"",INDEX(CalcWitB,$N806)),"")</f>
        <v/>
      </c>
      <c r="I806" s="29">
        <f>IF($M806&lt;&gt;"",INDEX(CalcAmtA,$M806),"")</f>
        <v/>
      </c>
      <c r="J806" s="29">
        <f>IF($B806="","",IF($J805="",$C$8,$J805)+IF($I806="",0,$I806)+IF($E806="",0,$E806)-IF($H806="",0,$H806))</f>
        <v/>
      </c>
      <c r="K806" s="30">
        <f>IF($M806&lt;&gt;"",IF(INDEX(CalcNoteA,$M806)="","—",INDEX(CalcNoteA,$M806)),IF($N806&lt;&gt;"",IF(INDEX(CalcNoteB,$N806)="","—",INDEX(CalcNoteB,$N806)),""))</f>
        <v/>
      </c>
      <c r="M806">
        <f>IFERROR(MATCH($C$5&amp;"|"&amp;RIGHT("000000"&amp;790,6),CalcRankKeyA,0),"")</f>
        <v/>
      </c>
      <c r="N806">
        <f>IFERROR(MATCH($C$5&amp;"|"&amp;RIGHT("000000"&amp;790,6),CalcRankKeyB,0),"")</f>
        <v/>
      </c>
    </row>
    <row r="807">
      <c r="A807" s="21" t="n">
        <v>791</v>
      </c>
      <c r="B807" s="22">
        <f>IF(AND($M807="",$N807=""),"",IF($M807&lt;&gt;"",INDEX(CalcDateA,$M807),INDEX(CalcDateB,$N807)))</f>
        <v/>
      </c>
      <c r="C807" s="22">
        <f>IF($M807&lt;&gt;"","خرید سبد",IF($N807&lt;&gt;"",IF(N(INDEX(CalcDepB,$N807))&gt;0,"دریافت بانکی","پرداخت بانکی"),""))</f>
        <v/>
      </c>
      <c r="D807" s="22">
        <f>IF($M807&lt;&gt;"",IF(INDEX(CalcDocA,$M807)="","—",INDEX(CalcDocA,$M807)),IF($N807&lt;&gt;"",INDEX(CalcBankB,$N807),""))</f>
        <v/>
      </c>
      <c r="E807" s="23">
        <f>IF($N807&lt;&gt;"",IF(INDEX(CalcDepB,$N807)=0,"",INDEX(CalcDepB,$N807)),"")</f>
        <v/>
      </c>
      <c r="F807" s="23">
        <f>IF($M807&lt;&gt;"",IF(INDEX(CalcQtyA,$M807)=0,"",INDEX(CalcQtyA,$M807)),"")</f>
        <v/>
      </c>
      <c r="G807" s="23">
        <f>IF($M807&lt;&gt;"",IF(INDEX(CalcPriceA,$M807)=0,"",INDEX(CalcPriceA,$M807)),"")</f>
        <v/>
      </c>
      <c r="H807" s="23">
        <f>IF($N807&lt;&gt;"",IF(INDEX(CalcWitB,$N807)=0,"",INDEX(CalcWitB,$N807)),"")</f>
        <v/>
      </c>
      <c r="I807" s="24">
        <f>IF($M807&lt;&gt;"",INDEX(CalcAmtA,$M807),"")</f>
        <v/>
      </c>
      <c r="J807" s="24">
        <f>IF($B807="","",IF($J806="",$C$8,$J806)+IF($I807="",0,$I807)+IF($E807="",0,$E807)-IF($H807="",0,$H807))</f>
        <v/>
      </c>
      <c r="K807" s="25">
        <f>IF($M807&lt;&gt;"",IF(INDEX(CalcNoteA,$M807)="","—",INDEX(CalcNoteA,$M807)),IF($N807&lt;&gt;"",IF(INDEX(CalcNoteB,$N807)="","—",INDEX(CalcNoteB,$N807)),""))</f>
        <v/>
      </c>
      <c r="M807">
        <f>IFERROR(MATCH($C$5&amp;"|"&amp;RIGHT("000000"&amp;791,6),CalcRankKeyA,0),"")</f>
        <v/>
      </c>
      <c r="N807">
        <f>IFERROR(MATCH($C$5&amp;"|"&amp;RIGHT("000000"&amp;791,6),CalcRankKeyB,0),"")</f>
        <v/>
      </c>
    </row>
    <row r="808">
      <c r="A808" s="26" t="n">
        <v>792</v>
      </c>
      <c r="B808" s="27">
        <f>IF(AND($M808="",$N808=""),"",IF($M808&lt;&gt;"",INDEX(CalcDateA,$M808),INDEX(CalcDateB,$N808)))</f>
        <v/>
      </c>
      <c r="C808" s="27">
        <f>IF($M808&lt;&gt;"","خرید سبد",IF($N808&lt;&gt;"",IF(N(INDEX(CalcDepB,$N808))&gt;0,"دریافت بانکی","پرداخت بانکی"),""))</f>
        <v/>
      </c>
      <c r="D808" s="27">
        <f>IF($M808&lt;&gt;"",IF(INDEX(CalcDocA,$M808)="","—",INDEX(CalcDocA,$M808)),IF($N808&lt;&gt;"",INDEX(CalcBankB,$N808),""))</f>
        <v/>
      </c>
      <c r="E808" s="28">
        <f>IF($N808&lt;&gt;"",IF(INDEX(CalcDepB,$N808)=0,"",INDEX(CalcDepB,$N808)),"")</f>
        <v/>
      </c>
      <c r="F808" s="28">
        <f>IF($M808&lt;&gt;"",IF(INDEX(CalcQtyA,$M808)=0,"",INDEX(CalcQtyA,$M808)),"")</f>
        <v/>
      </c>
      <c r="G808" s="28">
        <f>IF($M808&lt;&gt;"",IF(INDEX(CalcPriceA,$M808)=0,"",INDEX(CalcPriceA,$M808)),"")</f>
        <v/>
      </c>
      <c r="H808" s="28">
        <f>IF($N808&lt;&gt;"",IF(INDEX(CalcWitB,$N808)=0,"",INDEX(CalcWitB,$N808)),"")</f>
        <v/>
      </c>
      <c r="I808" s="29">
        <f>IF($M808&lt;&gt;"",INDEX(CalcAmtA,$M808),"")</f>
        <v/>
      </c>
      <c r="J808" s="29">
        <f>IF($B808="","",IF($J807="",$C$8,$J807)+IF($I808="",0,$I808)+IF($E808="",0,$E808)-IF($H808="",0,$H808))</f>
        <v/>
      </c>
      <c r="K808" s="30">
        <f>IF($M808&lt;&gt;"",IF(INDEX(CalcNoteA,$M808)="","—",INDEX(CalcNoteA,$M808)),IF($N808&lt;&gt;"",IF(INDEX(CalcNoteB,$N808)="","—",INDEX(CalcNoteB,$N808)),""))</f>
        <v/>
      </c>
      <c r="M808">
        <f>IFERROR(MATCH($C$5&amp;"|"&amp;RIGHT("000000"&amp;792,6),CalcRankKeyA,0),"")</f>
        <v/>
      </c>
      <c r="N808">
        <f>IFERROR(MATCH($C$5&amp;"|"&amp;RIGHT("000000"&amp;792,6),CalcRankKeyB,0),"")</f>
        <v/>
      </c>
    </row>
    <row r="809">
      <c r="A809" s="21" t="n">
        <v>793</v>
      </c>
      <c r="B809" s="22">
        <f>IF(AND($M809="",$N809=""),"",IF($M809&lt;&gt;"",INDEX(CalcDateA,$M809),INDEX(CalcDateB,$N809)))</f>
        <v/>
      </c>
      <c r="C809" s="22">
        <f>IF($M809&lt;&gt;"","خرید سبد",IF($N809&lt;&gt;"",IF(N(INDEX(CalcDepB,$N809))&gt;0,"دریافت بانکی","پرداخت بانکی"),""))</f>
        <v/>
      </c>
      <c r="D809" s="22">
        <f>IF($M809&lt;&gt;"",IF(INDEX(CalcDocA,$M809)="","—",INDEX(CalcDocA,$M809)),IF($N809&lt;&gt;"",INDEX(CalcBankB,$N809),""))</f>
        <v/>
      </c>
      <c r="E809" s="23">
        <f>IF($N809&lt;&gt;"",IF(INDEX(CalcDepB,$N809)=0,"",INDEX(CalcDepB,$N809)),"")</f>
        <v/>
      </c>
      <c r="F809" s="23">
        <f>IF($M809&lt;&gt;"",IF(INDEX(CalcQtyA,$M809)=0,"",INDEX(CalcQtyA,$M809)),"")</f>
        <v/>
      </c>
      <c r="G809" s="23">
        <f>IF($M809&lt;&gt;"",IF(INDEX(CalcPriceA,$M809)=0,"",INDEX(CalcPriceA,$M809)),"")</f>
        <v/>
      </c>
      <c r="H809" s="23">
        <f>IF($N809&lt;&gt;"",IF(INDEX(CalcWitB,$N809)=0,"",INDEX(CalcWitB,$N809)),"")</f>
        <v/>
      </c>
      <c r="I809" s="24">
        <f>IF($M809&lt;&gt;"",INDEX(CalcAmtA,$M809),"")</f>
        <v/>
      </c>
      <c r="J809" s="24">
        <f>IF($B809="","",IF($J808="",$C$8,$J808)+IF($I809="",0,$I809)+IF($E809="",0,$E809)-IF($H809="",0,$H809))</f>
        <v/>
      </c>
      <c r="K809" s="25">
        <f>IF($M809&lt;&gt;"",IF(INDEX(CalcNoteA,$M809)="","—",INDEX(CalcNoteA,$M809)),IF($N809&lt;&gt;"",IF(INDEX(CalcNoteB,$N809)="","—",INDEX(CalcNoteB,$N809)),""))</f>
        <v/>
      </c>
      <c r="M809">
        <f>IFERROR(MATCH($C$5&amp;"|"&amp;RIGHT("000000"&amp;793,6),CalcRankKeyA,0),"")</f>
        <v/>
      </c>
      <c r="N809">
        <f>IFERROR(MATCH($C$5&amp;"|"&amp;RIGHT("000000"&amp;793,6),CalcRankKeyB,0),"")</f>
        <v/>
      </c>
    </row>
    <row r="810">
      <c r="A810" s="26" t="n">
        <v>794</v>
      </c>
      <c r="B810" s="27">
        <f>IF(AND($M810="",$N810=""),"",IF($M810&lt;&gt;"",INDEX(CalcDateA,$M810),INDEX(CalcDateB,$N810)))</f>
        <v/>
      </c>
      <c r="C810" s="27">
        <f>IF($M810&lt;&gt;"","خرید سبد",IF($N810&lt;&gt;"",IF(N(INDEX(CalcDepB,$N810))&gt;0,"دریافت بانکی","پرداخت بانکی"),""))</f>
        <v/>
      </c>
      <c r="D810" s="27">
        <f>IF($M810&lt;&gt;"",IF(INDEX(CalcDocA,$M810)="","—",INDEX(CalcDocA,$M810)),IF($N810&lt;&gt;"",INDEX(CalcBankB,$N810),""))</f>
        <v/>
      </c>
      <c r="E810" s="28">
        <f>IF($N810&lt;&gt;"",IF(INDEX(CalcDepB,$N810)=0,"",INDEX(CalcDepB,$N810)),"")</f>
        <v/>
      </c>
      <c r="F810" s="28">
        <f>IF($M810&lt;&gt;"",IF(INDEX(CalcQtyA,$M810)=0,"",INDEX(CalcQtyA,$M810)),"")</f>
        <v/>
      </c>
      <c r="G810" s="28">
        <f>IF($M810&lt;&gt;"",IF(INDEX(CalcPriceA,$M810)=0,"",INDEX(CalcPriceA,$M810)),"")</f>
        <v/>
      </c>
      <c r="H810" s="28">
        <f>IF($N810&lt;&gt;"",IF(INDEX(CalcWitB,$N810)=0,"",INDEX(CalcWitB,$N810)),"")</f>
        <v/>
      </c>
      <c r="I810" s="29">
        <f>IF($M810&lt;&gt;"",INDEX(CalcAmtA,$M810),"")</f>
        <v/>
      </c>
      <c r="J810" s="29">
        <f>IF($B810="","",IF($J809="",$C$8,$J809)+IF($I810="",0,$I810)+IF($E810="",0,$E810)-IF($H810="",0,$H810))</f>
        <v/>
      </c>
      <c r="K810" s="30">
        <f>IF($M810&lt;&gt;"",IF(INDEX(CalcNoteA,$M810)="","—",INDEX(CalcNoteA,$M810)),IF($N810&lt;&gt;"",IF(INDEX(CalcNoteB,$N810)="","—",INDEX(CalcNoteB,$N810)),""))</f>
        <v/>
      </c>
      <c r="M810">
        <f>IFERROR(MATCH($C$5&amp;"|"&amp;RIGHT("000000"&amp;794,6),CalcRankKeyA,0),"")</f>
        <v/>
      </c>
      <c r="N810">
        <f>IFERROR(MATCH($C$5&amp;"|"&amp;RIGHT("000000"&amp;794,6),CalcRankKeyB,0),"")</f>
        <v/>
      </c>
    </row>
    <row r="811">
      <c r="A811" s="21" t="n">
        <v>795</v>
      </c>
      <c r="B811" s="22">
        <f>IF(AND($M811="",$N811=""),"",IF($M811&lt;&gt;"",INDEX(CalcDateA,$M811),INDEX(CalcDateB,$N811)))</f>
        <v/>
      </c>
      <c r="C811" s="22">
        <f>IF($M811&lt;&gt;"","خرید سبد",IF($N811&lt;&gt;"",IF(N(INDEX(CalcDepB,$N811))&gt;0,"دریافت بانکی","پرداخت بانکی"),""))</f>
        <v/>
      </c>
      <c r="D811" s="22">
        <f>IF($M811&lt;&gt;"",IF(INDEX(CalcDocA,$M811)="","—",INDEX(CalcDocA,$M811)),IF($N811&lt;&gt;"",INDEX(CalcBankB,$N811),""))</f>
        <v/>
      </c>
      <c r="E811" s="23">
        <f>IF($N811&lt;&gt;"",IF(INDEX(CalcDepB,$N811)=0,"",INDEX(CalcDepB,$N811)),"")</f>
        <v/>
      </c>
      <c r="F811" s="23">
        <f>IF($M811&lt;&gt;"",IF(INDEX(CalcQtyA,$M811)=0,"",INDEX(CalcQtyA,$M811)),"")</f>
        <v/>
      </c>
      <c r="G811" s="23">
        <f>IF($M811&lt;&gt;"",IF(INDEX(CalcPriceA,$M811)=0,"",INDEX(CalcPriceA,$M811)),"")</f>
        <v/>
      </c>
      <c r="H811" s="23">
        <f>IF($N811&lt;&gt;"",IF(INDEX(CalcWitB,$N811)=0,"",INDEX(CalcWitB,$N811)),"")</f>
        <v/>
      </c>
      <c r="I811" s="24">
        <f>IF($M811&lt;&gt;"",INDEX(CalcAmtA,$M811),"")</f>
        <v/>
      </c>
      <c r="J811" s="24">
        <f>IF($B811="","",IF($J810="",$C$8,$J810)+IF($I811="",0,$I811)+IF($E811="",0,$E811)-IF($H811="",0,$H811))</f>
        <v/>
      </c>
      <c r="K811" s="25">
        <f>IF($M811&lt;&gt;"",IF(INDEX(CalcNoteA,$M811)="","—",INDEX(CalcNoteA,$M811)),IF($N811&lt;&gt;"",IF(INDEX(CalcNoteB,$N811)="","—",INDEX(CalcNoteB,$N811)),""))</f>
        <v/>
      </c>
      <c r="M811">
        <f>IFERROR(MATCH($C$5&amp;"|"&amp;RIGHT("000000"&amp;795,6),CalcRankKeyA,0),"")</f>
        <v/>
      </c>
      <c r="N811">
        <f>IFERROR(MATCH($C$5&amp;"|"&amp;RIGHT("000000"&amp;795,6),CalcRankKeyB,0),"")</f>
        <v/>
      </c>
    </row>
    <row r="812">
      <c r="A812" s="26" t="n">
        <v>796</v>
      </c>
      <c r="B812" s="27">
        <f>IF(AND($M812="",$N812=""),"",IF($M812&lt;&gt;"",INDEX(CalcDateA,$M812),INDEX(CalcDateB,$N812)))</f>
        <v/>
      </c>
      <c r="C812" s="27">
        <f>IF($M812&lt;&gt;"","خرید سبد",IF($N812&lt;&gt;"",IF(N(INDEX(CalcDepB,$N812))&gt;0,"دریافت بانکی","پرداخت بانکی"),""))</f>
        <v/>
      </c>
      <c r="D812" s="27">
        <f>IF($M812&lt;&gt;"",IF(INDEX(CalcDocA,$M812)="","—",INDEX(CalcDocA,$M812)),IF($N812&lt;&gt;"",INDEX(CalcBankB,$N812),""))</f>
        <v/>
      </c>
      <c r="E812" s="28">
        <f>IF($N812&lt;&gt;"",IF(INDEX(CalcDepB,$N812)=0,"",INDEX(CalcDepB,$N812)),"")</f>
        <v/>
      </c>
      <c r="F812" s="28">
        <f>IF($M812&lt;&gt;"",IF(INDEX(CalcQtyA,$M812)=0,"",INDEX(CalcQtyA,$M812)),"")</f>
        <v/>
      </c>
      <c r="G812" s="28">
        <f>IF($M812&lt;&gt;"",IF(INDEX(CalcPriceA,$M812)=0,"",INDEX(CalcPriceA,$M812)),"")</f>
        <v/>
      </c>
      <c r="H812" s="28">
        <f>IF($N812&lt;&gt;"",IF(INDEX(CalcWitB,$N812)=0,"",INDEX(CalcWitB,$N812)),"")</f>
        <v/>
      </c>
      <c r="I812" s="29">
        <f>IF($M812&lt;&gt;"",INDEX(CalcAmtA,$M812),"")</f>
        <v/>
      </c>
      <c r="J812" s="29">
        <f>IF($B812="","",IF($J811="",$C$8,$J811)+IF($I812="",0,$I812)+IF($E812="",0,$E812)-IF($H812="",0,$H812))</f>
        <v/>
      </c>
      <c r="K812" s="30">
        <f>IF($M812&lt;&gt;"",IF(INDEX(CalcNoteA,$M812)="","—",INDEX(CalcNoteA,$M812)),IF($N812&lt;&gt;"",IF(INDEX(CalcNoteB,$N812)="","—",INDEX(CalcNoteB,$N812)),""))</f>
        <v/>
      </c>
      <c r="M812">
        <f>IFERROR(MATCH($C$5&amp;"|"&amp;RIGHT("000000"&amp;796,6),CalcRankKeyA,0),"")</f>
        <v/>
      </c>
      <c r="N812">
        <f>IFERROR(MATCH($C$5&amp;"|"&amp;RIGHT("000000"&amp;796,6),CalcRankKeyB,0),"")</f>
        <v/>
      </c>
    </row>
    <row r="813">
      <c r="A813" s="21" t="n">
        <v>797</v>
      </c>
      <c r="B813" s="22">
        <f>IF(AND($M813="",$N813=""),"",IF($M813&lt;&gt;"",INDEX(CalcDateA,$M813),INDEX(CalcDateB,$N813)))</f>
        <v/>
      </c>
      <c r="C813" s="22">
        <f>IF($M813&lt;&gt;"","خرید سبد",IF($N813&lt;&gt;"",IF(N(INDEX(CalcDepB,$N813))&gt;0,"دریافت بانکی","پرداخت بانکی"),""))</f>
        <v/>
      </c>
      <c r="D813" s="22">
        <f>IF($M813&lt;&gt;"",IF(INDEX(CalcDocA,$M813)="","—",INDEX(CalcDocA,$M813)),IF($N813&lt;&gt;"",INDEX(CalcBankB,$N813),""))</f>
        <v/>
      </c>
      <c r="E813" s="23">
        <f>IF($N813&lt;&gt;"",IF(INDEX(CalcDepB,$N813)=0,"",INDEX(CalcDepB,$N813)),"")</f>
        <v/>
      </c>
      <c r="F813" s="23">
        <f>IF($M813&lt;&gt;"",IF(INDEX(CalcQtyA,$M813)=0,"",INDEX(CalcQtyA,$M813)),"")</f>
        <v/>
      </c>
      <c r="G813" s="23">
        <f>IF($M813&lt;&gt;"",IF(INDEX(CalcPriceA,$M813)=0,"",INDEX(CalcPriceA,$M813)),"")</f>
        <v/>
      </c>
      <c r="H813" s="23">
        <f>IF($N813&lt;&gt;"",IF(INDEX(CalcWitB,$N813)=0,"",INDEX(CalcWitB,$N813)),"")</f>
        <v/>
      </c>
      <c r="I813" s="24">
        <f>IF($M813&lt;&gt;"",INDEX(CalcAmtA,$M813),"")</f>
        <v/>
      </c>
      <c r="J813" s="24">
        <f>IF($B813="","",IF($J812="",$C$8,$J812)+IF($I813="",0,$I813)+IF($E813="",0,$E813)-IF($H813="",0,$H813))</f>
        <v/>
      </c>
      <c r="K813" s="25">
        <f>IF($M813&lt;&gt;"",IF(INDEX(CalcNoteA,$M813)="","—",INDEX(CalcNoteA,$M813)),IF($N813&lt;&gt;"",IF(INDEX(CalcNoteB,$N813)="","—",INDEX(CalcNoteB,$N813)),""))</f>
        <v/>
      </c>
      <c r="M813">
        <f>IFERROR(MATCH($C$5&amp;"|"&amp;RIGHT("000000"&amp;797,6),CalcRankKeyA,0),"")</f>
        <v/>
      </c>
      <c r="N813">
        <f>IFERROR(MATCH($C$5&amp;"|"&amp;RIGHT("000000"&amp;797,6),CalcRankKeyB,0),"")</f>
        <v/>
      </c>
    </row>
    <row r="814">
      <c r="A814" s="26" t="n">
        <v>798</v>
      </c>
      <c r="B814" s="27">
        <f>IF(AND($M814="",$N814=""),"",IF($M814&lt;&gt;"",INDEX(CalcDateA,$M814),INDEX(CalcDateB,$N814)))</f>
        <v/>
      </c>
      <c r="C814" s="27">
        <f>IF($M814&lt;&gt;"","خرید سبد",IF($N814&lt;&gt;"",IF(N(INDEX(CalcDepB,$N814))&gt;0,"دریافت بانکی","پرداخت بانکی"),""))</f>
        <v/>
      </c>
      <c r="D814" s="27">
        <f>IF($M814&lt;&gt;"",IF(INDEX(CalcDocA,$M814)="","—",INDEX(CalcDocA,$M814)),IF($N814&lt;&gt;"",INDEX(CalcBankB,$N814),""))</f>
        <v/>
      </c>
      <c r="E814" s="28">
        <f>IF($N814&lt;&gt;"",IF(INDEX(CalcDepB,$N814)=0,"",INDEX(CalcDepB,$N814)),"")</f>
        <v/>
      </c>
      <c r="F814" s="28">
        <f>IF($M814&lt;&gt;"",IF(INDEX(CalcQtyA,$M814)=0,"",INDEX(CalcQtyA,$M814)),"")</f>
        <v/>
      </c>
      <c r="G814" s="28">
        <f>IF($M814&lt;&gt;"",IF(INDEX(CalcPriceA,$M814)=0,"",INDEX(CalcPriceA,$M814)),"")</f>
        <v/>
      </c>
      <c r="H814" s="28">
        <f>IF($N814&lt;&gt;"",IF(INDEX(CalcWitB,$N814)=0,"",INDEX(CalcWitB,$N814)),"")</f>
        <v/>
      </c>
      <c r="I814" s="29">
        <f>IF($M814&lt;&gt;"",INDEX(CalcAmtA,$M814),"")</f>
        <v/>
      </c>
      <c r="J814" s="29">
        <f>IF($B814="","",IF($J813="",$C$8,$J813)+IF($I814="",0,$I814)+IF($E814="",0,$E814)-IF($H814="",0,$H814))</f>
        <v/>
      </c>
      <c r="K814" s="30">
        <f>IF($M814&lt;&gt;"",IF(INDEX(CalcNoteA,$M814)="","—",INDEX(CalcNoteA,$M814)),IF($N814&lt;&gt;"",IF(INDEX(CalcNoteB,$N814)="","—",INDEX(CalcNoteB,$N814)),""))</f>
        <v/>
      </c>
      <c r="M814">
        <f>IFERROR(MATCH($C$5&amp;"|"&amp;RIGHT("000000"&amp;798,6),CalcRankKeyA,0),"")</f>
        <v/>
      </c>
      <c r="N814">
        <f>IFERROR(MATCH($C$5&amp;"|"&amp;RIGHT("000000"&amp;798,6),CalcRankKeyB,0),"")</f>
        <v/>
      </c>
    </row>
    <row r="815">
      <c r="A815" s="21" t="n">
        <v>799</v>
      </c>
      <c r="B815" s="22">
        <f>IF(AND($M815="",$N815=""),"",IF($M815&lt;&gt;"",INDEX(CalcDateA,$M815),INDEX(CalcDateB,$N815)))</f>
        <v/>
      </c>
      <c r="C815" s="22">
        <f>IF($M815&lt;&gt;"","خرید سبد",IF($N815&lt;&gt;"",IF(N(INDEX(CalcDepB,$N815))&gt;0,"دریافت بانکی","پرداخت بانکی"),""))</f>
        <v/>
      </c>
      <c r="D815" s="22">
        <f>IF($M815&lt;&gt;"",IF(INDEX(CalcDocA,$M815)="","—",INDEX(CalcDocA,$M815)),IF($N815&lt;&gt;"",INDEX(CalcBankB,$N815),""))</f>
        <v/>
      </c>
      <c r="E815" s="23">
        <f>IF($N815&lt;&gt;"",IF(INDEX(CalcDepB,$N815)=0,"",INDEX(CalcDepB,$N815)),"")</f>
        <v/>
      </c>
      <c r="F815" s="23">
        <f>IF($M815&lt;&gt;"",IF(INDEX(CalcQtyA,$M815)=0,"",INDEX(CalcQtyA,$M815)),"")</f>
        <v/>
      </c>
      <c r="G815" s="23">
        <f>IF($M815&lt;&gt;"",IF(INDEX(CalcPriceA,$M815)=0,"",INDEX(CalcPriceA,$M815)),"")</f>
        <v/>
      </c>
      <c r="H815" s="23">
        <f>IF($N815&lt;&gt;"",IF(INDEX(CalcWitB,$N815)=0,"",INDEX(CalcWitB,$N815)),"")</f>
        <v/>
      </c>
      <c r="I815" s="24">
        <f>IF($M815&lt;&gt;"",INDEX(CalcAmtA,$M815),"")</f>
        <v/>
      </c>
      <c r="J815" s="24">
        <f>IF($B815="","",IF($J814="",$C$8,$J814)+IF($I815="",0,$I815)+IF($E815="",0,$E815)-IF($H815="",0,$H815))</f>
        <v/>
      </c>
      <c r="K815" s="25">
        <f>IF($M815&lt;&gt;"",IF(INDEX(CalcNoteA,$M815)="","—",INDEX(CalcNoteA,$M815)),IF($N815&lt;&gt;"",IF(INDEX(CalcNoteB,$N815)="","—",INDEX(CalcNoteB,$N815)),""))</f>
        <v/>
      </c>
      <c r="M815">
        <f>IFERROR(MATCH($C$5&amp;"|"&amp;RIGHT("000000"&amp;799,6),CalcRankKeyA,0),"")</f>
        <v/>
      </c>
      <c r="N815">
        <f>IFERROR(MATCH($C$5&amp;"|"&amp;RIGHT("000000"&amp;799,6),CalcRankKeyB,0),"")</f>
        <v/>
      </c>
    </row>
    <row r="816">
      <c r="A816" s="26" t="n">
        <v>800</v>
      </c>
      <c r="B816" s="27">
        <f>IF(AND($M816="",$N816=""),"",IF($M816&lt;&gt;"",INDEX(CalcDateA,$M816),INDEX(CalcDateB,$N816)))</f>
        <v/>
      </c>
      <c r="C816" s="27">
        <f>IF($M816&lt;&gt;"","خرید سبد",IF($N816&lt;&gt;"",IF(N(INDEX(CalcDepB,$N816))&gt;0,"دریافت بانکی","پرداخت بانکی"),""))</f>
        <v/>
      </c>
      <c r="D816" s="27">
        <f>IF($M816&lt;&gt;"",IF(INDEX(CalcDocA,$M816)="","—",INDEX(CalcDocA,$M816)),IF($N816&lt;&gt;"",INDEX(CalcBankB,$N816),""))</f>
        <v/>
      </c>
      <c r="E816" s="28">
        <f>IF($N816&lt;&gt;"",IF(INDEX(CalcDepB,$N816)=0,"",INDEX(CalcDepB,$N816)),"")</f>
        <v/>
      </c>
      <c r="F816" s="28">
        <f>IF($M816&lt;&gt;"",IF(INDEX(CalcQtyA,$M816)=0,"",INDEX(CalcQtyA,$M816)),"")</f>
        <v/>
      </c>
      <c r="G816" s="28">
        <f>IF($M816&lt;&gt;"",IF(INDEX(CalcPriceA,$M816)=0,"",INDEX(CalcPriceA,$M816)),"")</f>
        <v/>
      </c>
      <c r="H816" s="28">
        <f>IF($N816&lt;&gt;"",IF(INDEX(CalcWitB,$N816)=0,"",INDEX(CalcWitB,$N816)),"")</f>
        <v/>
      </c>
      <c r="I816" s="29">
        <f>IF($M816&lt;&gt;"",INDEX(CalcAmtA,$M816),"")</f>
        <v/>
      </c>
      <c r="J816" s="29">
        <f>IF($B816="","",IF($J815="",$C$8,$J815)+IF($I816="",0,$I816)+IF($E816="",0,$E816)-IF($H816="",0,$H816))</f>
        <v/>
      </c>
      <c r="K816" s="30">
        <f>IF($M816&lt;&gt;"",IF(INDEX(CalcNoteA,$M816)="","—",INDEX(CalcNoteA,$M816)),IF($N816&lt;&gt;"",IF(INDEX(CalcNoteB,$N816)="","—",INDEX(CalcNoteB,$N816)),""))</f>
        <v/>
      </c>
      <c r="M816">
        <f>IFERROR(MATCH($C$5&amp;"|"&amp;RIGHT("000000"&amp;800,6),CalcRankKeyA,0),"")</f>
        <v/>
      </c>
      <c r="N816">
        <f>IFERROR(MATCH($C$5&amp;"|"&amp;RIGHT("000000"&amp;800,6),CalcRankKeyB,0),"")</f>
        <v/>
      </c>
    </row>
    <row r="817">
      <c r="A817" s="21" t="n">
        <v>801</v>
      </c>
      <c r="B817" s="22">
        <f>IF(AND($M817="",$N817=""),"",IF($M817&lt;&gt;"",INDEX(CalcDateA,$M817),INDEX(CalcDateB,$N817)))</f>
        <v/>
      </c>
      <c r="C817" s="22">
        <f>IF($M817&lt;&gt;"","خرید سبد",IF($N817&lt;&gt;"",IF(N(INDEX(CalcDepB,$N817))&gt;0,"دریافت بانکی","پرداخت بانکی"),""))</f>
        <v/>
      </c>
      <c r="D817" s="22">
        <f>IF($M817&lt;&gt;"",IF(INDEX(CalcDocA,$M817)="","—",INDEX(CalcDocA,$M817)),IF($N817&lt;&gt;"",INDEX(CalcBankB,$N817),""))</f>
        <v/>
      </c>
      <c r="E817" s="23">
        <f>IF($N817&lt;&gt;"",IF(INDEX(CalcDepB,$N817)=0,"",INDEX(CalcDepB,$N817)),"")</f>
        <v/>
      </c>
      <c r="F817" s="23">
        <f>IF($M817&lt;&gt;"",IF(INDEX(CalcQtyA,$M817)=0,"",INDEX(CalcQtyA,$M817)),"")</f>
        <v/>
      </c>
      <c r="G817" s="23">
        <f>IF($M817&lt;&gt;"",IF(INDEX(CalcPriceA,$M817)=0,"",INDEX(CalcPriceA,$M817)),"")</f>
        <v/>
      </c>
      <c r="H817" s="23">
        <f>IF($N817&lt;&gt;"",IF(INDEX(CalcWitB,$N817)=0,"",INDEX(CalcWitB,$N817)),"")</f>
        <v/>
      </c>
      <c r="I817" s="24">
        <f>IF($M817&lt;&gt;"",INDEX(CalcAmtA,$M817),"")</f>
        <v/>
      </c>
      <c r="J817" s="24">
        <f>IF($B817="","",IF($J816="",$C$8,$J816)+IF($I817="",0,$I817)+IF($E817="",0,$E817)-IF($H817="",0,$H817))</f>
        <v/>
      </c>
      <c r="K817" s="25">
        <f>IF($M817&lt;&gt;"",IF(INDEX(CalcNoteA,$M817)="","—",INDEX(CalcNoteA,$M817)),IF($N817&lt;&gt;"",IF(INDEX(CalcNoteB,$N817)="","—",INDEX(CalcNoteB,$N817)),""))</f>
        <v/>
      </c>
      <c r="M817">
        <f>IFERROR(MATCH($C$5&amp;"|"&amp;RIGHT("000000"&amp;801,6),CalcRankKeyA,0),"")</f>
        <v/>
      </c>
      <c r="N817">
        <f>IFERROR(MATCH($C$5&amp;"|"&amp;RIGHT("000000"&amp;801,6),CalcRankKeyB,0),"")</f>
        <v/>
      </c>
    </row>
    <row r="818">
      <c r="A818" s="26" t="n">
        <v>802</v>
      </c>
      <c r="B818" s="27">
        <f>IF(AND($M818="",$N818=""),"",IF($M818&lt;&gt;"",INDEX(CalcDateA,$M818),INDEX(CalcDateB,$N818)))</f>
        <v/>
      </c>
      <c r="C818" s="27">
        <f>IF($M818&lt;&gt;"","خرید سبد",IF($N818&lt;&gt;"",IF(N(INDEX(CalcDepB,$N818))&gt;0,"دریافت بانکی","پرداخت بانکی"),""))</f>
        <v/>
      </c>
      <c r="D818" s="27">
        <f>IF($M818&lt;&gt;"",IF(INDEX(CalcDocA,$M818)="","—",INDEX(CalcDocA,$M818)),IF($N818&lt;&gt;"",INDEX(CalcBankB,$N818),""))</f>
        <v/>
      </c>
      <c r="E818" s="28">
        <f>IF($N818&lt;&gt;"",IF(INDEX(CalcDepB,$N818)=0,"",INDEX(CalcDepB,$N818)),"")</f>
        <v/>
      </c>
      <c r="F818" s="28">
        <f>IF($M818&lt;&gt;"",IF(INDEX(CalcQtyA,$M818)=0,"",INDEX(CalcQtyA,$M818)),"")</f>
        <v/>
      </c>
      <c r="G818" s="28">
        <f>IF($M818&lt;&gt;"",IF(INDEX(CalcPriceA,$M818)=0,"",INDEX(CalcPriceA,$M818)),"")</f>
        <v/>
      </c>
      <c r="H818" s="28">
        <f>IF($N818&lt;&gt;"",IF(INDEX(CalcWitB,$N818)=0,"",INDEX(CalcWitB,$N818)),"")</f>
        <v/>
      </c>
      <c r="I818" s="29">
        <f>IF($M818&lt;&gt;"",INDEX(CalcAmtA,$M818),"")</f>
        <v/>
      </c>
      <c r="J818" s="29">
        <f>IF($B818="","",IF($J817="",$C$8,$J817)+IF($I818="",0,$I818)+IF($E818="",0,$E818)-IF($H818="",0,$H818))</f>
        <v/>
      </c>
      <c r="K818" s="30">
        <f>IF($M818&lt;&gt;"",IF(INDEX(CalcNoteA,$M818)="","—",INDEX(CalcNoteA,$M818)),IF($N818&lt;&gt;"",IF(INDEX(CalcNoteB,$N818)="","—",INDEX(CalcNoteB,$N818)),""))</f>
        <v/>
      </c>
      <c r="M818">
        <f>IFERROR(MATCH($C$5&amp;"|"&amp;RIGHT("000000"&amp;802,6),CalcRankKeyA,0),"")</f>
        <v/>
      </c>
      <c r="N818">
        <f>IFERROR(MATCH($C$5&amp;"|"&amp;RIGHT("000000"&amp;802,6),CalcRankKeyB,0),"")</f>
        <v/>
      </c>
    </row>
    <row r="819">
      <c r="A819" s="21" t="n">
        <v>803</v>
      </c>
      <c r="B819" s="22">
        <f>IF(AND($M819="",$N819=""),"",IF($M819&lt;&gt;"",INDEX(CalcDateA,$M819),INDEX(CalcDateB,$N819)))</f>
        <v/>
      </c>
      <c r="C819" s="22">
        <f>IF($M819&lt;&gt;"","خرید سبد",IF($N819&lt;&gt;"",IF(N(INDEX(CalcDepB,$N819))&gt;0,"دریافت بانکی","پرداخت بانکی"),""))</f>
        <v/>
      </c>
      <c r="D819" s="22">
        <f>IF($M819&lt;&gt;"",IF(INDEX(CalcDocA,$M819)="","—",INDEX(CalcDocA,$M819)),IF($N819&lt;&gt;"",INDEX(CalcBankB,$N819),""))</f>
        <v/>
      </c>
      <c r="E819" s="23">
        <f>IF($N819&lt;&gt;"",IF(INDEX(CalcDepB,$N819)=0,"",INDEX(CalcDepB,$N819)),"")</f>
        <v/>
      </c>
      <c r="F819" s="23">
        <f>IF($M819&lt;&gt;"",IF(INDEX(CalcQtyA,$M819)=0,"",INDEX(CalcQtyA,$M819)),"")</f>
        <v/>
      </c>
      <c r="G819" s="23">
        <f>IF($M819&lt;&gt;"",IF(INDEX(CalcPriceA,$M819)=0,"",INDEX(CalcPriceA,$M819)),"")</f>
        <v/>
      </c>
      <c r="H819" s="23">
        <f>IF($N819&lt;&gt;"",IF(INDEX(CalcWitB,$N819)=0,"",INDEX(CalcWitB,$N819)),"")</f>
        <v/>
      </c>
      <c r="I819" s="24">
        <f>IF($M819&lt;&gt;"",INDEX(CalcAmtA,$M819),"")</f>
        <v/>
      </c>
      <c r="J819" s="24">
        <f>IF($B819="","",IF($J818="",$C$8,$J818)+IF($I819="",0,$I819)+IF($E819="",0,$E819)-IF($H819="",0,$H819))</f>
        <v/>
      </c>
      <c r="K819" s="25">
        <f>IF($M819&lt;&gt;"",IF(INDEX(CalcNoteA,$M819)="","—",INDEX(CalcNoteA,$M819)),IF($N819&lt;&gt;"",IF(INDEX(CalcNoteB,$N819)="","—",INDEX(CalcNoteB,$N819)),""))</f>
        <v/>
      </c>
      <c r="M819">
        <f>IFERROR(MATCH($C$5&amp;"|"&amp;RIGHT("000000"&amp;803,6),CalcRankKeyA,0),"")</f>
        <v/>
      </c>
      <c r="N819">
        <f>IFERROR(MATCH($C$5&amp;"|"&amp;RIGHT("000000"&amp;803,6),CalcRankKeyB,0),"")</f>
        <v/>
      </c>
    </row>
    <row r="820">
      <c r="A820" s="26" t="n">
        <v>804</v>
      </c>
      <c r="B820" s="27">
        <f>IF(AND($M820="",$N820=""),"",IF($M820&lt;&gt;"",INDEX(CalcDateA,$M820),INDEX(CalcDateB,$N820)))</f>
        <v/>
      </c>
      <c r="C820" s="27">
        <f>IF($M820&lt;&gt;"","خرید سبد",IF($N820&lt;&gt;"",IF(N(INDEX(CalcDepB,$N820))&gt;0,"دریافت بانکی","پرداخت بانکی"),""))</f>
        <v/>
      </c>
      <c r="D820" s="27">
        <f>IF($M820&lt;&gt;"",IF(INDEX(CalcDocA,$M820)="","—",INDEX(CalcDocA,$M820)),IF($N820&lt;&gt;"",INDEX(CalcBankB,$N820),""))</f>
        <v/>
      </c>
      <c r="E820" s="28">
        <f>IF($N820&lt;&gt;"",IF(INDEX(CalcDepB,$N820)=0,"",INDEX(CalcDepB,$N820)),"")</f>
        <v/>
      </c>
      <c r="F820" s="28">
        <f>IF($M820&lt;&gt;"",IF(INDEX(CalcQtyA,$M820)=0,"",INDEX(CalcQtyA,$M820)),"")</f>
        <v/>
      </c>
      <c r="G820" s="28">
        <f>IF($M820&lt;&gt;"",IF(INDEX(CalcPriceA,$M820)=0,"",INDEX(CalcPriceA,$M820)),"")</f>
        <v/>
      </c>
      <c r="H820" s="28">
        <f>IF($N820&lt;&gt;"",IF(INDEX(CalcWitB,$N820)=0,"",INDEX(CalcWitB,$N820)),"")</f>
        <v/>
      </c>
      <c r="I820" s="29">
        <f>IF($M820&lt;&gt;"",INDEX(CalcAmtA,$M820),"")</f>
        <v/>
      </c>
      <c r="J820" s="29">
        <f>IF($B820="","",IF($J819="",$C$8,$J819)+IF($I820="",0,$I820)+IF($E820="",0,$E820)-IF($H820="",0,$H820))</f>
        <v/>
      </c>
      <c r="K820" s="30">
        <f>IF($M820&lt;&gt;"",IF(INDEX(CalcNoteA,$M820)="","—",INDEX(CalcNoteA,$M820)),IF($N820&lt;&gt;"",IF(INDEX(CalcNoteB,$N820)="","—",INDEX(CalcNoteB,$N820)),""))</f>
        <v/>
      </c>
      <c r="M820">
        <f>IFERROR(MATCH($C$5&amp;"|"&amp;RIGHT("000000"&amp;804,6),CalcRankKeyA,0),"")</f>
        <v/>
      </c>
      <c r="N820">
        <f>IFERROR(MATCH($C$5&amp;"|"&amp;RIGHT("000000"&amp;804,6),CalcRankKeyB,0),"")</f>
        <v/>
      </c>
    </row>
    <row r="821">
      <c r="A821" s="21" t="n">
        <v>805</v>
      </c>
      <c r="B821" s="22">
        <f>IF(AND($M821="",$N821=""),"",IF($M821&lt;&gt;"",INDEX(CalcDateA,$M821),INDEX(CalcDateB,$N821)))</f>
        <v/>
      </c>
      <c r="C821" s="22">
        <f>IF($M821&lt;&gt;"","خرید سبد",IF($N821&lt;&gt;"",IF(N(INDEX(CalcDepB,$N821))&gt;0,"دریافت بانکی","پرداخت بانکی"),""))</f>
        <v/>
      </c>
      <c r="D821" s="22">
        <f>IF($M821&lt;&gt;"",IF(INDEX(CalcDocA,$M821)="","—",INDEX(CalcDocA,$M821)),IF($N821&lt;&gt;"",INDEX(CalcBankB,$N821),""))</f>
        <v/>
      </c>
      <c r="E821" s="23">
        <f>IF($N821&lt;&gt;"",IF(INDEX(CalcDepB,$N821)=0,"",INDEX(CalcDepB,$N821)),"")</f>
        <v/>
      </c>
      <c r="F821" s="23">
        <f>IF($M821&lt;&gt;"",IF(INDEX(CalcQtyA,$M821)=0,"",INDEX(CalcQtyA,$M821)),"")</f>
        <v/>
      </c>
      <c r="G821" s="23">
        <f>IF($M821&lt;&gt;"",IF(INDEX(CalcPriceA,$M821)=0,"",INDEX(CalcPriceA,$M821)),"")</f>
        <v/>
      </c>
      <c r="H821" s="23">
        <f>IF($N821&lt;&gt;"",IF(INDEX(CalcWitB,$N821)=0,"",INDEX(CalcWitB,$N821)),"")</f>
        <v/>
      </c>
      <c r="I821" s="24">
        <f>IF($M821&lt;&gt;"",INDEX(CalcAmtA,$M821),"")</f>
        <v/>
      </c>
      <c r="J821" s="24">
        <f>IF($B821="","",IF($J820="",$C$8,$J820)+IF($I821="",0,$I821)+IF($E821="",0,$E821)-IF($H821="",0,$H821))</f>
        <v/>
      </c>
      <c r="K821" s="25">
        <f>IF($M821&lt;&gt;"",IF(INDEX(CalcNoteA,$M821)="","—",INDEX(CalcNoteA,$M821)),IF($N821&lt;&gt;"",IF(INDEX(CalcNoteB,$N821)="","—",INDEX(CalcNoteB,$N821)),""))</f>
        <v/>
      </c>
      <c r="M821">
        <f>IFERROR(MATCH($C$5&amp;"|"&amp;RIGHT("000000"&amp;805,6),CalcRankKeyA,0),"")</f>
        <v/>
      </c>
      <c r="N821">
        <f>IFERROR(MATCH($C$5&amp;"|"&amp;RIGHT("000000"&amp;805,6),CalcRankKeyB,0),"")</f>
        <v/>
      </c>
    </row>
    <row r="822">
      <c r="A822" s="26" t="n">
        <v>806</v>
      </c>
      <c r="B822" s="27">
        <f>IF(AND($M822="",$N822=""),"",IF($M822&lt;&gt;"",INDEX(CalcDateA,$M822),INDEX(CalcDateB,$N822)))</f>
        <v/>
      </c>
      <c r="C822" s="27">
        <f>IF($M822&lt;&gt;"","خرید سبد",IF($N822&lt;&gt;"",IF(N(INDEX(CalcDepB,$N822))&gt;0,"دریافت بانکی","پرداخت بانکی"),""))</f>
        <v/>
      </c>
      <c r="D822" s="27">
        <f>IF($M822&lt;&gt;"",IF(INDEX(CalcDocA,$M822)="","—",INDEX(CalcDocA,$M822)),IF($N822&lt;&gt;"",INDEX(CalcBankB,$N822),""))</f>
        <v/>
      </c>
      <c r="E822" s="28">
        <f>IF($N822&lt;&gt;"",IF(INDEX(CalcDepB,$N822)=0,"",INDEX(CalcDepB,$N822)),"")</f>
        <v/>
      </c>
      <c r="F822" s="28">
        <f>IF($M822&lt;&gt;"",IF(INDEX(CalcQtyA,$M822)=0,"",INDEX(CalcQtyA,$M822)),"")</f>
        <v/>
      </c>
      <c r="G822" s="28">
        <f>IF($M822&lt;&gt;"",IF(INDEX(CalcPriceA,$M822)=0,"",INDEX(CalcPriceA,$M822)),"")</f>
        <v/>
      </c>
      <c r="H822" s="28">
        <f>IF($N822&lt;&gt;"",IF(INDEX(CalcWitB,$N822)=0,"",INDEX(CalcWitB,$N822)),"")</f>
        <v/>
      </c>
      <c r="I822" s="29">
        <f>IF($M822&lt;&gt;"",INDEX(CalcAmtA,$M822),"")</f>
        <v/>
      </c>
      <c r="J822" s="29">
        <f>IF($B822="","",IF($J821="",$C$8,$J821)+IF($I822="",0,$I822)+IF($E822="",0,$E822)-IF($H822="",0,$H822))</f>
        <v/>
      </c>
      <c r="K822" s="30">
        <f>IF($M822&lt;&gt;"",IF(INDEX(CalcNoteA,$M822)="","—",INDEX(CalcNoteA,$M822)),IF($N822&lt;&gt;"",IF(INDEX(CalcNoteB,$N822)="","—",INDEX(CalcNoteB,$N822)),""))</f>
        <v/>
      </c>
      <c r="M822">
        <f>IFERROR(MATCH($C$5&amp;"|"&amp;RIGHT("000000"&amp;806,6),CalcRankKeyA,0),"")</f>
        <v/>
      </c>
      <c r="N822">
        <f>IFERROR(MATCH($C$5&amp;"|"&amp;RIGHT("000000"&amp;806,6),CalcRankKeyB,0),"")</f>
        <v/>
      </c>
    </row>
    <row r="823">
      <c r="A823" s="21" t="n">
        <v>807</v>
      </c>
      <c r="B823" s="22">
        <f>IF(AND($M823="",$N823=""),"",IF($M823&lt;&gt;"",INDEX(CalcDateA,$M823),INDEX(CalcDateB,$N823)))</f>
        <v/>
      </c>
      <c r="C823" s="22">
        <f>IF($M823&lt;&gt;"","خرید سبد",IF($N823&lt;&gt;"",IF(N(INDEX(CalcDepB,$N823))&gt;0,"دریافت بانکی","پرداخت بانکی"),""))</f>
        <v/>
      </c>
      <c r="D823" s="22">
        <f>IF($M823&lt;&gt;"",IF(INDEX(CalcDocA,$M823)="","—",INDEX(CalcDocA,$M823)),IF($N823&lt;&gt;"",INDEX(CalcBankB,$N823),""))</f>
        <v/>
      </c>
      <c r="E823" s="23">
        <f>IF($N823&lt;&gt;"",IF(INDEX(CalcDepB,$N823)=0,"",INDEX(CalcDepB,$N823)),"")</f>
        <v/>
      </c>
      <c r="F823" s="23">
        <f>IF($M823&lt;&gt;"",IF(INDEX(CalcQtyA,$M823)=0,"",INDEX(CalcQtyA,$M823)),"")</f>
        <v/>
      </c>
      <c r="G823" s="23">
        <f>IF($M823&lt;&gt;"",IF(INDEX(CalcPriceA,$M823)=0,"",INDEX(CalcPriceA,$M823)),"")</f>
        <v/>
      </c>
      <c r="H823" s="23">
        <f>IF($N823&lt;&gt;"",IF(INDEX(CalcWitB,$N823)=0,"",INDEX(CalcWitB,$N823)),"")</f>
        <v/>
      </c>
      <c r="I823" s="24">
        <f>IF($M823&lt;&gt;"",INDEX(CalcAmtA,$M823),"")</f>
        <v/>
      </c>
      <c r="J823" s="24">
        <f>IF($B823="","",IF($J822="",$C$8,$J822)+IF($I823="",0,$I823)+IF($E823="",0,$E823)-IF($H823="",0,$H823))</f>
        <v/>
      </c>
      <c r="K823" s="25">
        <f>IF($M823&lt;&gt;"",IF(INDEX(CalcNoteA,$M823)="","—",INDEX(CalcNoteA,$M823)),IF($N823&lt;&gt;"",IF(INDEX(CalcNoteB,$N823)="","—",INDEX(CalcNoteB,$N823)),""))</f>
        <v/>
      </c>
      <c r="M823">
        <f>IFERROR(MATCH($C$5&amp;"|"&amp;RIGHT("000000"&amp;807,6),CalcRankKeyA,0),"")</f>
        <v/>
      </c>
      <c r="N823">
        <f>IFERROR(MATCH($C$5&amp;"|"&amp;RIGHT("000000"&amp;807,6),CalcRankKeyB,0),"")</f>
        <v/>
      </c>
    </row>
    <row r="824">
      <c r="A824" s="26" t="n">
        <v>808</v>
      </c>
      <c r="B824" s="27">
        <f>IF(AND($M824="",$N824=""),"",IF($M824&lt;&gt;"",INDEX(CalcDateA,$M824),INDEX(CalcDateB,$N824)))</f>
        <v/>
      </c>
      <c r="C824" s="27">
        <f>IF($M824&lt;&gt;"","خرید سبد",IF($N824&lt;&gt;"",IF(N(INDEX(CalcDepB,$N824))&gt;0,"دریافت بانکی","پرداخت بانکی"),""))</f>
        <v/>
      </c>
      <c r="D824" s="27">
        <f>IF($M824&lt;&gt;"",IF(INDEX(CalcDocA,$M824)="","—",INDEX(CalcDocA,$M824)),IF($N824&lt;&gt;"",INDEX(CalcBankB,$N824),""))</f>
        <v/>
      </c>
      <c r="E824" s="28">
        <f>IF($N824&lt;&gt;"",IF(INDEX(CalcDepB,$N824)=0,"",INDEX(CalcDepB,$N824)),"")</f>
        <v/>
      </c>
      <c r="F824" s="28">
        <f>IF($M824&lt;&gt;"",IF(INDEX(CalcQtyA,$M824)=0,"",INDEX(CalcQtyA,$M824)),"")</f>
        <v/>
      </c>
      <c r="G824" s="28">
        <f>IF($M824&lt;&gt;"",IF(INDEX(CalcPriceA,$M824)=0,"",INDEX(CalcPriceA,$M824)),"")</f>
        <v/>
      </c>
      <c r="H824" s="28">
        <f>IF($N824&lt;&gt;"",IF(INDEX(CalcWitB,$N824)=0,"",INDEX(CalcWitB,$N824)),"")</f>
        <v/>
      </c>
      <c r="I824" s="29">
        <f>IF($M824&lt;&gt;"",INDEX(CalcAmtA,$M824),"")</f>
        <v/>
      </c>
      <c r="J824" s="29">
        <f>IF($B824="","",IF($J823="",$C$8,$J823)+IF($I824="",0,$I824)+IF($E824="",0,$E824)-IF($H824="",0,$H824))</f>
        <v/>
      </c>
      <c r="K824" s="30">
        <f>IF($M824&lt;&gt;"",IF(INDEX(CalcNoteA,$M824)="","—",INDEX(CalcNoteA,$M824)),IF($N824&lt;&gt;"",IF(INDEX(CalcNoteB,$N824)="","—",INDEX(CalcNoteB,$N824)),""))</f>
        <v/>
      </c>
      <c r="M824">
        <f>IFERROR(MATCH($C$5&amp;"|"&amp;RIGHT("000000"&amp;808,6),CalcRankKeyA,0),"")</f>
        <v/>
      </c>
      <c r="N824">
        <f>IFERROR(MATCH($C$5&amp;"|"&amp;RIGHT("000000"&amp;808,6),CalcRankKeyB,0),"")</f>
        <v/>
      </c>
    </row>
    <row r="825">
      <c r="A825" s="21" t="n">
        <v>809</v>
      </c>
      <c r="B825" s="22">
        <f>IF(AND($M825="",$N825=""),"",IF($M825&lt;&gt;"",INDEX(CalcDateA,$M825),INDEX(CalcDateB,$N825)))</f>
        <v/>
      </c>
      <c r="C825" s="22">
        <f>IF($M825&lt;&gt;"","خرید سبد",IF($N825&lt;&gt;"",IF(N(INDEX(CalcDepB,$N825))&gt;0,"دریافت بانکی","پرداخت بانکی"),""))</f>
        <v/>
      </c>
      <c r="D825" s="22">
        <f>IF($M825&lt;&gt;"",IF(INDEX(CalcDocA,$M825)="","—",INDEX(CalcDocA,$M825)),IF($N825&lt;&gt;"",INDEX(CalcBankB,$N825),""))</f>
        <v/>
      </c>
      <c r="E825" s="23">
        <f>IF($N825&lt;&gt;"",IF(INDEX(CalcDepB,$N825)=0,"",INDEX(CalcDepB,$N825)),"")</f>
        <v/>
      </c>
      <c r="F825" s="23">
        <f>IF($M825&lt;&gt;"",IF(INDEX(CalcQtyA,$M825)=0,"",INDEX(CalcQtyA,$M825)),"")</f>
        <v/>
      </c>
      <c r="G825" s="23">
        <f>IF($M825&lt;&gt;"",IF(INDEX(CalcPriceA,$M825)=0,"",INDEX(CalcPriceA,$M825)),"")</f>
        <v/>
      </c>
      <c r="H825" s="23">
        <f>IF($N825&lt;&gt;"",IF(INDEX(CalcWitB,$N825)=0,"",INDEX(CalcWitB,$N825)),"")</f>
        <v/>
      </c>
      <c r="I825" s="24">
        <f>IF($M825&lt;&gt;"",INDEX(CalcAmtA,$M825),"")</f>
        <v/>
      </c>
      <c r="J825" s="24">
        <f>IF($B825="","",IF($J824="",$C$8,$J824)+IF($I825="",0,$I825)+IF($E825="",0,$E825)-IF($H825="",0,$H825))</f>
        <v/>
      </c>
      <c r="K825" s="25">
        <f>IF($M825&lt;&gt;"",IF(INDEX(CalcNoteA,$M825)="","—",INDEX(CalcNoteA,$M825)),IF($N825&lt;&gt;"",IF(INDEX(CalcNoteB,$N825)="","—",INDEX(CalcNoteB,$N825)),""))</f>
        <v/>
      </c>
      <c r="M825">
        <f>IFERROR(MATCH($C$5&amp;"|"&amp;RIGHT("000000"&amp;809,6),CalcRankKeyA,0),"")</f>
        <v/>
      </c>
      <c r="N825">
        <f>IFERROR(MATCH($C$5&amp;"|"&amp;RIGHT("000000"&amp;809,6),CalcRankKeyB,0),"")</f>
        <v/>
      </c>
    </row>
    <row r="826">
      <c r="A826" s="26" t="n">
        <v>810</v>
      </c>
      <c r="B826" s="27">
        <f>IF(AND($M826="",$N826=""),"",IF($M826&lt;&gt;"",INDEX(CalcDateA,$M826),INDEX(CalcDateB,$N826)))</f>
        <v/>
      </c>
      <c r="C826" s="27">
        <f>IF($M826&lt;&gt;"","خرید سبد",IF($N826&lt;&gt;"",IF(N(INDEX(CalcDepB,$N826))&gt;0,"دریافت بانکی","پرداخت بانکی"),""))</f>
        <v/>
      </c>
      <c r="D826" s="27">
        <f>IF($M826&lt;&gt;"",IF(INDEX(CalcDocA,$M826)="","—",INDEX(CalcDocA,$M826)),IF($N826&lt;&gt;"",INDEX(CalcBankB,$N826),""))</f>
        <v/>
      </c>
      <c r="E826" s="28">
        <f>IF($N826&lt;&gt;"",IF(INDEX(CalcDepB,$N826)=0,"",INDEX(CalcDepB,$N826)),"")</f>
        <v/>
      </c>
      <c r="F826" s="28">
        <f>IF($M826&lt;&gt;"",IF(INDEX(CalcQtyA,$M826)=0,"",INDEX(CalcQtyA,$M826)),"")</f>
        <v/>
      </c>
      <c r="G826" s="28">
        <f>IF($M826&lt;&gt;"",IF(INDEX(CalcPriceA,$M826)=0,"",INDEX(CalcPriceA,$M826)),"")</f>
        <v/>
      </c>
      <c r="H826" s="28">
        <f>IF($N826&lt;&gt;"",IF(INDEX(CalcWitB,$N826)=0,"",INDEX(CalcWitB,$N826)),"")</f>
        <v/>
      </c>
      <c r="I826" s="29">
        <f>IF($M826&lt;&gt;"",INDEX(CalcAmtA,$M826),"")</f>
        <v/>
      </c>
      <c r="J826" s="29">
        <f>IF($B826="","",IF($J825="",$C$8,$J825)+IF($I826="",0,$I826)+IF($E826="",0,$E826)-IF($H826="",0,$H826))</f>
        <v/>
      </c>
      <c r="K826" s="30">
        <f>IF($M826&lt;&gt;"",IF(INDEX(CalcNoteA,$M826)="","—",INDEX(CalcNoteA,$M826)),IF($N826&lt;&gt;"",IF(INDEX(CalcNoteB,$N826)="","—",INDEX(CalcNoteB,$N826)),""))</f>
        <v/>
      </c>
      <c r="M826">
        <f>IFERROR(MATCH($C$5&amp;"|"&amp;RIGHT("000000"&amp;810,6),CalcRankKeyA,0),"")</f>
        <v/>
      </c>
      <c r="N826">
        <f>IFERROR(MATCH($C$5&amp;"|"&amp;RIGHT("000000"&amp;810,6),CalcRankKeyB,0),"")</f>
        <v/>
      </c>
    </row>
    <row r="827">
      <c r="A827" s="21" t="n">
        <v>811</v>
      </c>
      <c r="B827" s="22">
        <f>IF(AND($M827="",$N827=""),"",IF($M827&lt;&gt;"",INDEX(CalcDateA,$M827),INDEX(CalcDateB,$N827)))</f>
        <v/>
      </c>
      <c r="C827" s="22">
        <f>IF($M827&lt;&gt;"","خرید سبد",IF($N827&lt;&gt;"",IF(N(INDEX(CalcDepB,$N827))&gt;0,"دریافت بانکی","پرداخت بانکی"),""))</f>
        <v/>
      </c>
      <c r="D827" s="22">
        <f>IF($M827&lt;&gt;"",IF(INDEX(CalcDocA,$M827)="","—",INDEX(CalcDocA,$M827)),IF($N827&lt;&gt;"",INDEX(CalcBankB,$N827),""))</f>
        <v/>
      </c>
      <c r="E827" s="23">
        <f>IF($N827&lt;&gt;"",IF(INDEX(CalcDepB,$N827)=0,"",INDEX(CalcDepB,$N827)),"")</f>
        <v/>
      </c>
      <c r="F827" s="23">
        <f>IF($M827&lt;&gt;"",IF(INDEX(CalcQtyA,$M827)=0,"",INDEX(CalcQtyA,$M827)),"")</f>
        <v/>
      </c>
      <c r="G827" s="23">
        <f>IF($M827&lt;&gt;"",IF(INDEX(CalcPriceA,$M827)=0,"",INDEX(CalcPriceA,$M827)),"")</f>
        <v/>
      </c>
      <c r="H827" s="23">
        <f>IF($N827&lt;&gt;"",IF(INDEX(CalcWitB,$N827)=0,"",INDEX(CalcWitB,$N827)),"")</f>
        <v/>
      </c>
      <c r="I827" s="24">
        <f>IF($M827&lt;&gt;"",INDEX(CalcAmtA,$M827),"")</f>
        <v/>
      </c>
      <c r="J827" s="24">
        <f>IF($B827="","",IF($J826="",$C$8,$J826)+IF($I827="",0,$I827)+IF($E827="",0,$E827)-IF($H827="",0,$H827))</f>
        <v/>
      </c>
      <c r="K827" s="25">
        <f>IF($M827&lt;&gt;"",IF(INDEX(CalcNoteA,$M827)="","—",INDEX(CalcNoteA,$M827)),IF($N827&lt;&gt;"",IF(INDEX(CalcNoteB,$N827)="","—",INDEX(CalcNoteB,$N827)),""))</f>
        <v/>
      </c>
      <c r="M827">
        <f>IFERROR(MATCH($C$5&amp;"|"&amp;RIGHT("000000"&amp;811,6),CalcRankKeyA,0),"")</f>
        <v/>
      </c>
      <c r="N827">
        <f>IFERROR(MATCH($C$5&amp;"|"&amp;RIGHT("000000"&amp;811,6),CalcRankKeyB,0),"")</f>
        <v/>
      </c>
    </row>
    <row r="828">
      <c r="A828" s="26" t="n">
        <v>812</v>
      </c>
      <c r="B828" s="27">
        <f>IF(AND($M828="",$N828=""),"",IF($M828&lt;&gt;"",INDEX(CalcDateA,$M828),INDEX(CalcDateB,$N828)))</f>
        <v/>
      </c>
      <c r="C828" s="27">
        <f>IF($M828&lt;&gt;"","خرید سبد",IF($N828&lt;&gt;"",IF(N(INDEX(CalcDepB,$N828))&gt;0,"دریافت بانکی","پرداخت بانکی"),""))</f>
        <v/>
      </c>
      <c r="D828" s="27">
        <f>IF($M828&lt;&gt;"",IF(INDEX(CalcDocA,$M828)="","—",INDEX(CalcDocA,$M828)),IF($N828&lt;&gt;"",INDEX(CalcBankB,$N828),""))</f>
        <v/>
      </c>
      <c r="E828" s="28">
        <f>IF($N828&lt;&gt;"",IF(INDEX(CalcDepB,$N828)=0,"",INDEX(CalcDepB,$N828)),"")</f>
        <v/>
      </c>
      <c r="F828" s="28">
        <f>IF($M828&lt;&gt;"",IF(INDEX(CalcQtyA,$M828)=0,"",INDEX(CalcQtyA,$M828)),"")</f>
        <v/>
      </c>
      <c r="G828" s="28">
        <f>IF($M828&lt;&gt;"",IF(INDEX(CalcPriceA,$M828)=0,"",INDEX(CalcPriceA,$M828)),"")</f>
        <v/>
      </c>
      <c r="H828" s="28">
        <f>IF($N828&lt;&gt;"",IF(INDEX(CalcWitB,$N828)=0,"",INDEX(CalcWitB,$N828)),"")</f>
        <v/>
      </c>
      <c r="I828" s="29">
        <f>IF($M828&lt;&gt;"",INDEX(CalcAmtA,$M828),"")</f>
        <v/>
      </c>
      <c r="J828" s="29">
        <f>IF($B828="","",IF($J827="",$C$8,$J827)+IF($I828="",0,$I828)+IF($E828="",0,$E828)-IF($H828="",0,$H828))</f>
        <v/>
      </c>
      <c r="K828" s="30">
        <f>IF($M828&lt;&gt;"",IF(INDEX(CalcNoteA,$M828)="","—",INDEX(CalcNoteA,$M828)),IF($N828&lt;&gt;"",IF(INDEX(CalcNoteB,$N828)="","—",INDEX(CalcNoteB,$N828)),""))</f>
        <v/>
      </c>
      <c r="M828">
        <f>IFERROR(MATCH($C$5&amp;"|"&amp;RIGHT("000000"&amp;812,6),CalcRankKeyA,0),"")</f>
        <v/>
      </c>
      <c r="N828">
        <f>IFERROR(MATCH($C$5&amp;"|"&amp;RIGHT("000000"&amp;812,6),CalcRankKeyB,0),"")</f>
        <v/>
      </c>
    </row>
    <row r="829">
      <c r="A829" s="21" t="n">
        <v>813</v>
      </c>
      <c r="B829" s="22">
        <f>IF(AND($M829="",$N829=""),"",IF($M829&lt;&gt;"",INDEX(CalcDateA,$M829),INDEX(CalcDateB,$N829)))</f>
        <v/>
      </c>
      <c r="C829" s="22">
        <f>IF($M829&lt;&gt;"","خرید سبد",IF($N829&lt;&gt;"",IF(N(INDEX(CalcDepB,$N829))&gt;0,"دریافت بانکی","پرداخت بانکی"),""))</f>
        <v/>
      </c>
      <c r="D829" s="22">
        <f>IF($M829&lt;&gt;"",IF(INDEX(CalcDocA,$M829)="","—",INDEX(CalcDocA,$M829)),IF($N829&lt;&gt;"",INDEX(CalcBankB,$N829),""))</f>
        <v/>
      </c>
      <c r="E829" s="23">
        <f>IF($N829&lt;&gt;"",IF(INDEX(CalcDepB,$N829)=0,"",INDEX(CalcDepB,$N829)),"")</f>
        <v/>
      </c>
      <c r="F829" s="23">
        <f>IF($M829&lt;&gt;"",IF(INDEX(CalcQtyA,$M829)=0,"",INDEX(CalcQtyA,$M829)),"")</f>
        <v/>
      </c>
      <c r="G829" s="23">
        <f>IF($M829&lt;&gt;"",IF(INDEX(CalcPriceA,$M829)=0,"",INDEX(CalcPriceA,$M829)),"")</f>
        <v/>
      </c>
      <c r="H829" s="23">
        <f>IF($N829&lt;&gt;"",IF(INDEX(CalcWitB,$N829)=0,"",INDEX(CalcWitB,$N829)),"")</f>
        <v/>
      </c>
      <c r="I829" s="24">
        <f>IF($M829&lt;&gt;"",INDEX(CalcAmtA,$M829),"")</f>
        <v/>
      </c>
      <c r="J829" s="24">
        <f>IF($B829="","",IF($J828="",$C$8,$J828)+IF($I829="",0,$I829)+IF($E829="",0,$E829)-IF($H829="",0,$H829))</f>
        <v/>
      </c>
      <c r="K829" s="25">
        <f>IF($M829&lt;&gt;"",IF(INDEX(CalcNoteA,$M829)="","—",INDEX(CalcNoteA,$M829)),IF($N829&lt;&gt;"",IF(INDEX(CalcNoteB,$N829)="","—",INDEX(CalcNoteB,$N829)),""))</f>
        <v/>
      </c>
      <c r="M829">
        <f>IFERROR(MATCH($C$5&amp;"|"&amp;RIGHT("000000"&amp;813,6),CalcRankKeyA,0),"")</f>
        <v/>
      </c>
      <c r="N829">
        <f>IFERROR(MATCH($C$5&amp;"|"&amp;RIGHT("000000"&amp;813,6),CalcRankKeyB,0),"")</f>
        <v/>
      </c>
    </row>
    <row r="830">
      <c r="A830" s="26" t="n">
        <v>814</v>
      </c>
      <c r="B830" s="27">
        <f>IF(AND($M830="",$N830=""),"",IF($M830&lt;&gt;"",INDEX(CalcDateA,$M830),INDEX(CalcDateB,$N830)))</f>
        <v/>
      </c>
      <c r="C830" s="27">
        <f>IF($M830&lt;&gt;"","خرید سبد",IF($N830&lt;&gt;"",IF(N(INDEX(CalcDepB,$N830))&gt;0,"دریافت بانکی","پرداخت بانکی"),""))</f>
        <v/>
      </c>
      <c r="D830" s="27">
        <f>IF($M830&lt;&gt;"",IF(INDEX(CalcDocA,$M830)="","—",INDEX(CalcDocA,$M830)),IF($N830&lt;&gt;"",INDEX(CalcBankB,$N830),""))</f>
        <v/>
      </c>
      <c r="E830" s="28">
        <f>IF($N830&lt;&gt;"",IF(INDEX(CalcDepB,$N830)=0,"",INDEX(CalcDepB,$N830)),"")</f>
        <v/>
      </c>
      <c r="F830" s="28">
        <f>IF($M830&lt;&gt;"",IF(INDEX(CalcQtyA,$M830)=0,"",INDEX(CalcQtyA,$M830)),"")</f>
        <v/>
      </c>
      <c r="G830" s="28">
        <f>IF($M830&lt;&gt;"",IF(INDEX(CalcPriceA,$M830)=0,"",INDEX(CalcPriceA,$M830)),"")</f>
        <v/>
      </c>
      <c r="H830" s="28">
        <f>IF($N830&lt;&gt;"",IF(INDEX(CalcWitB,$N830)=0,"",INDEX(CalcWitB,$N830)),"")</f>
        <v/>
      </c>
      <c r="I830" s="29">
        <f>IF($M830&lt;&gt;"",INDEX(CalcAmtA,$M830),"")</f>
        <v/>
      </c>
      <c r="J830" s="29">
        <f>IF($B830="","",IF($J829="",$C$8,$J829)+IF($I830="",0,$I830)+IF($E830="",0,$E830)-IF($H830="",0,$H830))</f>
        <v/>
      </c>
      <c r="K830" s="30">
        <f>IF($M830&lt;&gt;"",IF(INDEX(CalcNoteA,$M830)="","—",INDEX(CalcNoteA,$M830)),IF($N830&lt;&gt;"",IF(INDEX(CalcNoteB,$N830)="","—",INDEX(CalcNoteB,$N830)),""))</f>
        <v/>
      </c>
      <c r="M830">
        <f>IFERROR(MATCH($C$5&amp;"|"&amp;RIGHT("000000"&amp;814,6),CalcRankKeyA,0),"")</f>
        <v/>
      </c>
      <c r="N830">
        <f>IFERROR(MATCH($C$5&amp;"|"&amp;RIGHT("000000"&amp;814,6),CalcRankKeyB,0),"")</f>
        <v/>
      </c>
    </row>
    <row r="831">
      <c r="A831" s="21" t="n">
        <v>815</v>
      </c>
      <c r="B831" s="22">
        <f>IF(AND($M831="",$N831=""),"",IF($M831&lt;&gt;"",INDEX(CalcDateA,$M831),INDEX(CalcDateB,$N831)))</f>
        <v/>
      </c>
      <c r="C831" s="22">
        <f>IF($M831&lt;&gt;"","خرید سبد",IF($N831&lt;&gt;"",IF(N(INDEX(CalcDepB,$N831))&gt;0,"دریافت بانکی","پرداخت بانکی"),""))</f>
        <v/>
      </c>
      <c r="D831" s="22">
        <f>IF($M831&lt;&gt;"",IF(INDEX(CalcDocA,$M831)="","—",INDEX(CalcDocA,$M831)),IF($N831&lt;&gt;"",INDEX(CalcBankB,$N831),""))</f>
        <v/>
      </c>
      <c r="E831" s="23">
        <f>IF($N831&lt;&gt;"",IF(INDEX(CalcDepB,$N831)=0,"",INDEX(CalcDepB,$N831)),"")</f>
        <v/>
      </c>
      <c r="F831" s="23">
        <f>IF($M831&lt;&gt;"",IF(INDEX(CalcQtyA,$M831)=0,"",INDEX(CalcQtyA,$M831)),"")</f>
        <v/>
      </c>
      <c r="G831" s="23">
        <f>IF($M831&lt;&gt;"",IF(INDEX(CalcPriceA,$M831)=0,"",INDEX(CalcPriceA,$M831)),"")</f>
        <v/>
      </c>
      <c r="H831" s="23">
        <f>IF($N831&lt;&gt;"",IF(INDEX(CalcWitB,$N831)=0,"",INDEX(CalcWitB,$N831)),"")</f>
        <v/>
      </c>
      <c r="I831" s="24">
        <f>IF($M831&lt;&gt;"",INDEX(CalcAmtA,$M831),"")</f>
        <v/>
      </c>
      <c r="J831" s="24">
        <f>IF($B831="","",IF($J830="",$C$8,$J830)+IF($I831="",0,$I831)+IF($E831="",0,$E831)-IF($H831="",0,$H831))</f>
        <v/>
      </c>
      <c r="K831" s="25">
        <f>IF($M831&lt;&gt;"",IF(INDEX(CalcNoteA,$M831)="","—",INDEX(CalcNoteA,$M831)),IF($N831&lt;&gt;"",IF(INDEX(CalcNoteB,$N831)="","—",INDEX(CalcNoteB,$N831)),""))</f>
        <v/>
      </c>
      <c r="M831">
        <f>IFERROR(MATCH($C$5&amp;"|"&amp;RIGHT("000000"&amp;815,6),CalcRankKeyA,0),"")</f>
        <v/>
      </c>
      <c r="N831">
        <f>IFERROR(MATCH($C$5&amp;"|"&amp;RIGHT("000000"&amp;815,6),CalcRankKeyB,0),"")</f>
        <v/>
      </c>
    </row>
    <row r="832">
      <c r="A832" s="26" t="n">
        <v>816</v>
      </c>
      <c r="B832" s="27">
        <f>IF(AND($M832="",$N832=""),"",IF($M832&lt;&gt;"",INDEX(CalcDateA,$M832),INDEX(CalcDateB,$N832)))</f>
        <v/>
      </c>
      <c r="C832" s="27">
        <f>IF($M832&lt;&gt;"","خرید سبد",IF($N832&lt;&gt;"",IF(N(INDEX(CalcDepB,$N832))&gt;0,"دریافت بانکی","پرداخت بانکی"),""))</f>
        <v/>
      </c>
      <c r="D832" s="27">
        <f>IF($M832&lt;&gt;"",IF(INDEX(CalcDocA,$M832)="","—",INDEX(CalcDocA,$M832)),IF($N832&lt;&gt;"",INDEX(CalcBankB,$N832),""))</f>
        <v/>
      </c>
      <c r="E832" s="28">
        <f>IF($N832&lt;&gt;"",IF(INDEX(CalcDepB,$N832)=0,"",INDEX(CalcDepB,$N832)),"")</f>
        <v/>
      </c>
      <c r="F832" s="28">
        <f>IF($M832&lt;&gt;"",IF(INDEX(CalcQtyA,$M832)=0,"",INDEX(CalcQtyA,$M832)),"")</f>
        <v/>
      </c>
      <c r="G832" s="28">
        <f>IF($M832&lt;&gt;"",IF(INDEX(CalcPriceA,$M832)=0,"",INDEX(CalcPriceA,$M832)),"")</f>
        <v/>
      </c>
      <c r="H832" s="28">
        <f>IF($N832&lt;&gt;"",IF(INDEX(CalcWitB,$N832)=0,"",INDEX(CalcWitB,$N832)),"")</f>
        <v/>
      </c>
      <c r="I832" s="29">
        <f>IF($M832&lt;&gt;"",INDEX(CalcAmtA,$M832),"")</f>
        <v/>
      </c>
      <c r="J832" s="29">
        <f>IF($B832="","",IF($J831="",$C$8,$J831)+IF($I832="",0,$I832)+IF($E832="",0,$E832)-IF($H832="",0,$H832))</f>
        <v/>
      </c>
      <c r="K832" s="30">
        <f>IF($M832&lt;&gt;"",IF(INDEX(CalcNoteA,$M832)="","—",INDEX(CalcNoteA,$M832)),IF($N832&lt;&gt;"",IF(INDEX(CalcNoteB,$N832)="","—",INDEX(CalcNoteB,$N832)),""))</f>
        <v/>
      </c>
      <c r="M832">
        <f>IFERROR(MATCH($C$5&amp;"|"&amp;RIGHT("000000"&amp;816,6),CalcRankKeyA,0),"")</f>
        <v/>
      </c>
      <c r="N832">
        <f>IFERROR(MATCH($C$5&amp;"|"&amp;RIGHT("000000"&amp;816,6),CalcRankKeyB,0),"")</f>
        <v/>
      </c>
    </row>
    <row r="833">
      <c r="A833" s="21" t="n">
        <v>817</v>
      </c>
      <c r="B833" s="22">
        <f>IF(AND($M833="",$N833=""),"",IF($M833&lt;&gt;"",INDEX(CalcDateA,$M833),INDEX(CalcDateB,$N833)))</f>
        <v/>
      </c>
      <c r="C833" s="22">
        <f>IF($M833&lt;&gt;"","خرید سبد",IF($N833&lt;&gt;"",IF(N(INDEX(CalcDepB,$N833))&gt;0,"دریافت بانکی","پرداخت بانکی"),""))</f>
        <v/>
      </c>
      <c r="D833" s="22">
        <f>IF($M833&lt;&gt;"",IF(INDEX(CalcDocA,$M833)="","—",INDEX(CalcDocA,$M833)),IF($N833&lt;&gt;"",INDEX(CalcBankB,$N833),""))</f>
        <v/>
      </c>
      <c r="E833" s="23">
        <f>IF($N833&lt;&gt;"",IF(INDEX(CalcDepB,$N833)=0,"",INDEX(CalcDepB,$N833)),"")</f>
        <v/>
      </c>
      <c r="F833" s="23">
        <f>IF($M833&lt;&gt;"",IF(INDEX(CalcQtyA,$M833)=0,"",INDEX(CalcQtyA,$M833)),"")</f>
        <v/>
      </c>
      <c r="G833" s="23">
        <f>IF($M833&lt;&gt;"",IF(INDEX(CalcPriceA,$M833)=0,"",INDEX(CalcPriceA,$M833)),"")</f>
        <v/>
      </c>
      <c r="H833" s="23">
        <f>IF($N833&lt;&gt;"",IF(INDEX(CalcWitB,$N833)=0,"",INDEX(CalcWitB,$N833)),"")</f>
        <v/>
      </c>
      <c r="I833" s="24">
        <f>IF($M833&lt;&gt;"",INDEX(CalcAmtA,$M833),"")</f>
        <v/>
      </c>
      <c r="J833" s="24">
        <f>IF($B833="","",IF($J832="",$C$8,$J832)+IF($I833="",0,$I833)+IF($E833="",0,$E833)-IF($H833="",0,$H833))</f>
        <v/>
      </c>
      <c r="K833" s="25">
        <f>IF($M833&lt;&gt;"",IF(INDEX(CalcNoteA,$M833)="","—",INDEX(CalcNoteA,$M833)),IF($N833&lt;&gt;"",IF(INDEX(CalcNoteB,$N833)="","—",INDEX(CalcNoteB,$N833)),""))</f>
        <v/>
      </c>
      <c r="M833">
        <f>IFERROR(MATCH($C$5&amp;"|"&amp;RIGHT("000000"&amp;817,6),CalcRankKeyA,0),"")</f>
        <v/>
      </c>
      <c r="N833">
        <f>IFERROR(MATCH($C$5&amp;"|"&amp;RIGHT("000000"&amp;817,6),CalcRankKeyB,0),"")</f>
        <v/>
      </c>
    </row>
    <row r="834">
      <c r="A834" s="26" t="n">
        <v>818</v>
      </c>
      <c r="B834" s="27">
        <f>IF(AND($M834="",$N834=""),"",IF($M834&lt;&gt;"",INDEX(CalcDateA,$M834),INDEX(CalcDateB,$N834)))</f>
        <v/>
      </c>
      <c r="C834" s="27">
        <f>IF($M834&lt;&gt;"","خرید سبد",IF($N834&lt;&gt;"",IF(N(INDEX(CalcDepB,$N834))&gt;0,"دریافت بانکی","پرداخت بانکی"),""))</f>
        <v/>
      </c>
      <c r="D834" s="27">
        <f>IF($M834&lt;&gt;"",IF(INDEX(CalcDocA,$M834)="","—",INDEX(CalcDocA,$M834)),IF($N834&lt;&gt;"",INDEX(CalcBankB,$N834),""))</f>
        <v/>
      </c>
      <c r="E834" s="28">
        <f>IF($N834&lt;&gt;"",IF(INDEX(CalcDepB,$N834)=0,"",INDEX(CalcDepB,$N834)),"")</f>
        <v/>
      </c>
      <c r="F834" s="28">
        <f>IF($M834&lt;&gt;"",IF(INDEX(CalcQtyA,$M834)=0,"",INDEX(CalcQtyA,$M834)),"")</f>
        <v/>
      </c>
      <c r="G834" s="28">
        <f>IF($M834&lt;&gt;"",IF(INDEX(CalcPriceA,$M834)=0,"",INDEX(CalcPriceA,$M834)),"")</f>
        <v/>
      </c>
      <c r="H834" s="28">
        <f>IF($N834&lt;&gt;"",IF(INDEX(CalcWitB,$N834)=0,"",INDEX(CalcWitB,$N834)),"")</f>
        <v/>
      </c>
      <c r="I834" s="29">
        <f>IF($M834&lt;&gt;"",INDEX(CalcAmtA,$M834),"")</f>
        <v/>
      </c>
      <c r="J834" s="29">
        <f>IF($B834="","",IF($J833="",$C$8,$J833)+IF($I834="",0,$I834)+IF($E834="",0,$E834)-IF($H834="",0,$H834))</f>
        <v/>
      </c>
      <c r="K834" s="30">
        <f>IF($M834&lt;&gt;"",IF(INDEX(CalcNoteA,$M834)="","—",INDEX(CalcNoteA,$M834)),IF($N834&lt;&gt;"",IF(INDEX(CalcNoteB,$N834)="","—",INDEX(CalcNoteB,$N834)),""))</f>
        <v/>
      </c>
      <c r="M834">
        <f>IFERROR(MATCH($C$5&amp;"|"&amp;RIGHT("000000"&amp;818,6),CalcRankKeyA,0),"")</f>
        <v/>
      </c>
      <c r="N834">
        <f>IFERROR(MATCH($C$5&amp;"|"&amp;RIGHT("000000"&amp;818,6),CalcRankKeyB,0),"")</f>
        <v/>
      </c>
    </row>
    <row r="835">
      <c r="A835" s="21" t="n">
        <v>819</v>
      </c>
      <c r="B835" s="22">
        <f>IF(AND($M835="",$N835=""),"",IF($M835&lt;&gt;"",INDEX(CalcDateA,$M835),INDEX(CalcDateB,$N835)))</f>
        <v/>
      </c>
      <c r="C835" s="22">
        <f>IF($M835&lt;&gt;"","خرید سبد",IF($N835&lt;&gt;"",IF(N(INDEX(CalcDepB,$N835))&gt;0,"دریافت بانکی","پرداخت بانکی"),""))</f>
        <v/>
      </c>
      <c r="D835" s="22">
        <f>IF($M835&lt;&gt;"",IF(INDEX(CalcDocA,$M835)="","—",INDEX(CalcDocA,$M835)),IF($N835&lt;&gt;"",INDEX(CalcBankB,$N835),""))</f>
        <v/>
      </c>
      <c r="E835" s="23">
        <f>IF($N835&lt;&gt;"",IF(INDEX(CalcDepB,$N835)=0,"",INDEX(CalcDepB,$N835)),"")</f>
        <v/>
      </c>
      <c r="F835" s="23">
        <f>IF($M835&lt;&gt;"",IF(INDEX(CalcQtyA,$M835)=0,"",INDEX(CalcQtyA,$M835)),"")</f>
        <v/>
      </c>
      <c r="G835" s="23">
        <f>IF($M835&lt;&gt;"",IF(INDEX(CalcPriceA,$M835)=0,"",INDEX(CalcPriceA,$M835)),"")</f>
        <v/>
      </c>
      <c r="H835" s="23">
        <f>IF($N835&lt;&gt;"",IF(INDEX(CalcWitB,$N835)=0,"",INDEX(CalcWitB,$N835)),"")</f>
        <v/>
      </c>
      <c r="I835" s="24">
        <f>IF($M835&lt;&gt;"",INDEX(CalcAmtA,$M835),"")</f>
        <v/>
      </c>
      <c r="J835" s="24">
        <f>IF($B835="","",IF($J834="",$C$8,$J834)+IF($I835="",0,$I835)+IF($E835="",0,$E835)-IF($H835="",0,$H835))</f>
        <v/>
      </c>
      <c r="K835" s="25">
        <f>IF($M835&lt;&gt;"",IF(INDEX(CalcNoteA,$M835)="","—",INDEX(CalcNoteA,$M835)),IF($N835&lt;&gt;"",IF(INDEX(CalcNoteB,$N835)="","—",INDEX(CalcNoteB,$N835)),""))</f>
        <v/>
      </c>
      <c r="M835">
        <f>IFERROR(MATCH($C$5&amp;"|"&amp;RIGHT("000000"&amp;819,6),CalcRankKeyA,0),"")</f>
        <v/>
      </c>
      <c r="N835">
        <f>IFERROR(MATCH($C$5&amp;"|"&amp;RIGHT("000000"&amp;819,6),CalcRankKeyB,0),"")</f>
        <v/>
      </c>
    </row>
    <row r="836">
      <c r="A836" s="26" t="n">
        <v>820</v>
      </c>
      <c r="B836" s="27">
        <f>IF(AND($M836="",$N836=""),"",IF($M836&lt;&gt;"",INDEX(CalcDateA,$M836),INDEX(CalcDateB,$N836)))</f>
        <v/>
      </c>
      <c r="C836" s="27">
        <f>IF($M836&lt;&gt;"","خرید سبد",IF($N836&lt;&gt;"",IF(N(INDEX(CalcDepB,$N836))&gt;0,"دریافت بانکی","پرداخت بانکی"),""))</f>
        <v/>
      </c>
      <c r="D836" s="27">
        <f>IF($M836&lt;&gt;"",IF(INDEX(CalcDocA,$M836)="","—",INDEX(CalcDocA,$M836)),IF($N836&lt;&gt;"",INDEX(CalcBankB,$N836),""))</f>
        <v/>
      </c>
      <c r="E836" s="28">
        <f>IF($N836&lt;&gt;"",IF(INDEX(CalcDepB,$N836)=0,"",INDEX(CalcDepB,$N836)),"")</f>
        <v/>
      </c>
      <c r="F836" s="28">
        <f>IF($M836&lt;&gt;"",IF(INDEX(CalcQtyA,$M836)=0,"",INDEX(CalcQtyA,$M836)),"")</f>
        <v/>
      </c>
      <c r="G836" s="28">
        <f>IF($M836&lt;&gt;"",IF(INDEX(CalcPriceA,$M836)=0,"",INDEX(CalcPriceA,$M836)),"")</f>
        <v/>
      </c>
      <c r="H836" s="28">
        <f>IF($N836&lt;&gt;"",IF(INDEX(CalcWitB,$N836)=0,"",INDEX(CalcWitB,$N836)),"")</f>
        <v/>
      </c>
      <c r="I836" s="29">
        <f>IF($M836&lt;&gt;"",INDEX(CalcAmtA,$M836),"")</f>
        <v/>
      </c>
      <c r="J836" s="29">
        <f>IF($B836="","",IF($J835="",$C$8,$J835)+IF($I836="",0,$I836)+IF($E836="",0,$E836)-IF($H836="",0,$H836))</f>
        <v/>
      </c>
      <c r="K836" s="30">
        <f>IF($M836&lt;&gt;"",IF(INDEX(CalcNoteA,$M836)="","—",INDEX(CalcNoteA,$M836)),IF($N836&lt;&gt;"",IF(INDEX(CalcNoteB,$N836)="","—",INDEX(CalcNoteB,$N836)),""))</f>
        <v/>
      </c>
      <c r="M836">
        <f>IFERROR(MATCH($C$5&amp;"|"&amp;RIGHT("000000"&amp;820,6),CalcRankKeyA,0),"")</f>
        <v/>
      </c>
      <c r="N836">
        <f>IFERROR(MATCH($C$5&amp;"|"&amp;RIGHT("000000"&amp;820,6),CalcRankKeyB,0),"")</f>
        <v/>
      </c>
    </row>
    <row r="837">
      <c r="A837" s="21" t="n">
        <v>821</v>
      </c>
      <c r="B837" s="22">
        <f>IF(AND($M837="",$N837=""),"",IF($M837&lt;&gt;"",INDEX(CalcDateA,$M837),INDEX(CalcDateB,$N837)))</f>
        <v/>
      </c>
      <c r="C837" s="22">
        <f>IF($M837&lt;&gt;"","خرید سبد",IF($N837&lt;&gt;"",IF(N(INDEX(CalcDepB,$N837))&gt;0,"دریافت بانکی","پرداخت بانکی"),""))</f>
        <v/>
      </c>
      <c r="D837" s="22">
        <f>IF($M837&lt;&gt;"",IF(INDEX(CalcDocA,$M837)="","—",INDEX(CalcDocA,$M837)),IF($N837&lt;&gt;"",INDEX(CalcBankB,$N837),""))</f>
        <v/>
      </c>
      <c r="E837" s="23">
        <f>IF($N837&lt;&gt;"",IF(INDEX(CalcDepB,$N837)=0,"",INDEX(CalcDepB,$N837)),"")</f>
        <v/>
      </c>
      <c r="F837" s="23">
        <f>IF($M837&lt;&gt;"",IF(INDEX(CalcQtyA,$M837)=0,"",INDEX(CalcQtyA,$M837)),"")</f>
        <v/>
      </c>
      <c r="G837" s="23">
        <f>IF($M837&lt;&gt;"",IF(INDEX(CalcPriceA,$M837)=0,"",INDEX(CalcPriceA,$M837)),"")</f>
        <v/>
      </c>
      <c r="H837" s="23">
        <f>IF($N837&lt;&gt;"",IF(INDEX(CalcWitB,$N837)=0,"",INDEX(CalcWitB,$N837)),"")</f>
        <v/>
      </c>
      <c r="I837" s="24">
        <f>IF($M837&lt;&gt;"",INDEX(CalcAmtA,$M837),"")</f>
        <v/>
      </c>
      <c r="J837" s="24">
        <f>IF($B837="","",IF($J836="",$C$8,$J836)+IF($I837="",0,$I837)+IF($E837="",0,$E837)-IF($H837="",0,$H837))</f>
        <v/>
      </c>
      <c r="K837" s="25">
        <f>IF($M837&lt;&gt;"",IF(INDEX(CalcNoteA,$M837)="","—",INDEX(CalcNoteA,$M837)),IF($N837&lt;&gt;"",IF(INDEX(CalcNoteB,$N837)="","—",INDEX(CalcNoteB,$N837)),""))</f>
        <v/>
      </c>
      <c r="M837">
        <f>IFERROR(MATCH($C$5&amp;"|"&amp;RIGHT("000000"&amp;821,6),CalcRankKeyA,0),"")</f>
        <v/>
      </c>
      <c r="N837">
        <f>IFERROR(MATCH($C$5&amp;"|"&amp;RIGHT("000000"&amp;821,6),CalcRankKeyB,0),"")</f>
        <v/>
      </c>
    </row>
    <row r="838">
      <c r="A838" s="26" t="n">
        <v>822</v>
      </c>
      <c r="B838" s="27">
        <f>IF(AND($M838="",$N838=""),"",IF($M838&lt;&gt;"",INDEX(CalcDateA,$M838),INDEX(CalcDateB,$N838)))</f>
        <v/>
      </c>
      <c r="C838" s="27">
        <f>IF($M838&lt;&gt;"","خرید سبد",IF($N838&lt;&gt;"",IF(N(INDEX(CalcDepB,$N838))&gt;0,"دریافت بانکی","پرداخت بانکی"),""))</f>
        <v/>
      </c>
      <c r="D838" s="27">
        <f>IF($M838&lt;&gt;"",IF(INDEX(CalcDocA,$M838)="","—",INDEX(CalcDocA,$M838)),IF($N838&lt;&gt;"",INDEX(CalcBankB,$N838),""))</f>
        <v/>
      </c>
      <c r="E838" s="28">
        <f>IF($N838&lt;&gt;"",IF(INDEX(CalcDepB,$N838)=0,"",INDEX(CalcDepB,$N838)),"")</f>
        <v/>
      </c>
      <c r="F838" s="28">
        <f>IF($M838&lt;&gt;"",IF(INDEX(CalcQtyA,$M838)=0,"",INDEX(CalcQtyA,$M838)),"")</f>
        <v/>
      </c>
      <c r="G838" s="28">
        <f>IF($M838&lt;&gt;"",IF(INDEX(CalcPriceA,$M838)=0,"",INDEX(CalcPriceA,$M838)),"")</f>
        <v/>
      </c>
      <c r="H838" s="28">
        <f>IF($N838&lt;&gt;"",IF(INDEX(CalcWitB,$N838)=0,"",INDEX(CalcWitB,$N838)),"")</f>
        <v/>
      </c>
      <c r="I838" s="29">
        <f>IF($M838&lt;&gt;"",INDEX(CalcAmtA,$M838),"")</f>
        <v/>
      </c>
      <c r="J838" s="29">
        <f>IF($B838="","",IF($J837="",$C$8,$J837)+IF($I838="",0,$I838)+IF($E838="",0,$E838)-IF($H838="",0,$H838))</f>
        <v/>
      </c>
      <c r="K838" s="30">
        <f>IF($M838&lt;&gt;"",IF(INDEX(CalcNoteA,$M838)="","—",INDEX(CalcNoteA,$M838)),IF($N838&lt;&gt;"",IF(INDEX(CalcNoteB,$N838)="","—",INDEX(CalcNoteB,$N838)),""))</f>
        <v/>
      </c>
      <c r="M838">
        <f>IFERROR(MATCH($C$5&amp;"|"&amp;RIGHT("000000"&amp;822,6),CalcRankKeyA,0),"")</f>
        <v/>
      </c>
      <c r="N838">
        <f>IFERROR(MATCH($C$5&amp;"|"&amp;RIGHT("000000"&amp;822,6),CalcRankKeyB,0),"")</f>
        <v/>
      </c>
    </row>
    <row r="839">
      <c r="A839" s="21" t="n">
        <v>823</v>
      </c>
      <c r="B839" s="22">
        <f>IF(AND($M839="",$N839=""),"",IF($M839&lt;&gt;"",INDEX(CalcDateA,$M839),INDEX(CalcDateB,$N839)))</f>
        <v/>
      </c>
      <c r="C839" s="22">
        <f>IF($M839&lt;&gt;"","خرید سبد",IF($N839&lt;&gt;"",IF(N(INDEX(CalcDepB,$N839))&gt;0,"دریافت بانکی","پرداخت بانکی"),""))</f>
        <v/>
      </c>
      <c r="D839" s="22">
        <f>IF($M839&lt;&gt;"",IF(INDEX(CalcDocA,$M839)="","—",INDEX(CalcDocA,$M839)),IF($N839&lt;&gt;"",INDEX(CalcBankB,$N839),""))</f>
        <v/>
      </c>
      <c r="E839" s="23">
        <f>IF($N839&lt;&gt;"",IF(INDEX(CalcDepB,$N839)=0,"",INDEX(CalcDepB,$N839)),"")</f>
        <v/>
      </c>
      <c r="F839" s="23">
        <f>IF($M839&lt;&gt;"",IF(INDEX(CalcQtyA,$M839)=0,"",INDEX(CalcQtyA,$M839)),"")</f>
        <v/>
      </c>
      <c r="G839" s="23">
        <f>IF($M839&lt;&gt;"",IF(INDEX(CalcPriceA,$M839)=0,"",INDEX(CalcPriceA,$M839)),"")</f>
        <v/>
      </c>
      <c r="H839" s="23">
        <f>IF($N839&lt;&gt;"",IF(INDEX(CalcWitB,$N839)=0,"",INDEX(CalcWitB,$N839)),"")</f>
        <v/>
      </c>
      <c r="I839" s="24">
        <f>IF($M839&lt;&gt;"",INDEX(CalcAmtA,$M839),"")</f>
        <v/>
      </c>
      <c r="J839" s="24">
        <f>IF($B839="","",IF($J838="",$C$8,$J838)+IF($I839="",0,$I839)+IF($E839="",0,$E839)-IF($H839="",0,$H839))</f>
        <v/>
      </c>
      <c r="K839" s="25">
        <f>IF($M839&lt;&gt;"",IF(INDEX(CalcNoteA,$M839)="","—",INDEX(CalcNoteA,$M839)),IF($N839&lt;&gt;"",IF(INDEX(CalcNoteB,$N839)="","—",INDEX(CalcNoteB,$N839)),""))</f>
        <v/>
      </c>
      <c r="M839">
        <f>IFERROR(MATCH($C$5&amp;"|"&amp;RIGHT("000000"&amp;823,6),CalcRankKeyA,0),"")</f>
        <v/>
      </c>
      <c r="N839">
        <f>IFERROR(MATCH($C$5&amp;"|"&amp;RIGHT("000000"&amp;823,6),CalcRankKeyB,0),"")</f>
        <v/>
      </c>
    </row>
    <row r="840">
      <c r="A840" s="26" t="n">
        <v>824</v>
      </c>
      <c r="B840" s="27">
        <f>IF(AND($M840="",$N840=""),"",IF($M840&lt;&gt;"",INDEX(CalcDateA,$M840),INDEX(CalcDateB,$N840)))</f>
        <v/>
      </c>
      <c r="C840" s="27">
        <f>IF($M840&lt;&gt;"","خرید سبد",IF($N840&lt;&gt;"",IF(N(INDEX(CalcDepB,$N840))&gt;0,"دریافت بانکی","پرداخت بانکی"),""))</f>
        <v/>
      </c>
      <c r="D840" s="27">
        <f>IF($M840&lt;&gt;"",IF(INDEX(CalcDocA,$M840)="","—",INDEX(CalcDocA,$M840)),IF($N840&lt;&gt;"",INDEX(CalcBankB,$N840),""))</f>
        <v/>
      </c>
      <c r="E840" s="28">
        <f>IF($N840&lt;&gt;"",IF(INDEX(CalcDepB,$N840)=0,"",INDEX(CalcDepB,$N840)),"")</f>
        <v/>
      </c>
      <c r="F840" s="28">
        <f>IF($M840&lt;&gt;"",IF(INDEX(CalcQtyA,$M840)=0,"",INDEX(CalcQtyA,$M840)),"")</f>
        <v/>
      </c>
      <c r="G840" s="28">
        <f>IF($M840&lt;&gt;"",IF(INDEX(CalcPriceA,$M840)=0,"",INDEX(CalcPriceA,$M840)),"")</f>
        <v/>
      </c>
      <c r="H840" s="28">
        <f>IF($N840&lt;&gt;"",IF(INDEX(CalcWitB,$N840)=0,"",INDEX(CalcWitB,$N840)),"")</f>
        <v/>
      </c>
      <c r="I840" s="29">
        <f>IF($M840&lt;&gt;"",INDEX(CalcAmtA,$M840),"")</f>
        <v/>
      </c>
      <c r="J840" s="29">
        <f>IF($B840="","",IF($J839="",$C$8,$J839)+IF($I840="",0,$I840)+IF($E840="",0,$E840)-IF($H840="",0,$H840))</f>
        <v/>
      </c>
      <c r="K840" s="30">
        <f>IF($M840&lt;&gt;"",IF(INDEX(CalcNoteA,$M840)="","—",INDEX(CalcNoteA,$M840)),IF($N840&lt;&gt;"",IF(INDEX(CalcNoteB,$N840)="","—",INDEX(CalcNoteB,$N840)),""))</f>
        <v/>
      </c>
      <c r="M840">
        <f>IFERROR(MATCH($C$5&amp;"|"&amp;RIGHT("000000"&amp;824,6),CalcRankKeyA,0),"")</f>
        <v/>
      </c>
      <c r="N840">
        <f>IFERROR(MATCH($C$5&amp;"|"&amp;RIGHT("000000"&amp;824,6),CalcRankKeyB,0),"")</f>
        <v/>
      </c>
    </row>
    <row r="841">
      <c r="A841" s="21" t="n">
        <v>825</v>
      </c>
      <c r="B841" s="22">
        <f>IF(AND($M841="",$N841=""),"",IF($M841&lt;&gt;"",INDEX(CalcDateA,$M841),INDEX(CalcDateB,$N841)))</f>
        <v/>
      </c>
      <c r="C841" s="22">
        <f>IF($M841&lt;&gt;"","خرید سبد",IF($N841&lt;&gt;"",IF(N(INDEX(CalcDepB,$N841))&gt;0,"دریافت بانکی","پرداخت بانکی"),""))</f>
        <v/>
      </c>
      <c r="D841" s="22">
        <f>IF($M841&lt;&gt;"",IF(INDEX(CalcDocA,$M841)="","—",INDEX(CalcDocA,$M841)),IF($N841&lt;&gt;"",INDEX(CalcBankB,$N841),""))</f>
        <v/>
      </c>
      <c r="E841" s="23">
        <f>IF($N841&lt;&gt;"",IF(INDEX(CalcDepB,$N841)=0,"",INDEX(CalcDepB,$N841)),"")</f>
        <v/>
      </c>
      <c r="F841" s="23">
        <f>IF($M841&lt;&gt;"",IF(INDEX(CalcQtyA,$M841)=0,"",INDEX(CalcQtyA,$M841)),"")</f>
        <v/>
      </c>
      <c r="G841" s="23">
        <f>IF($M841&lt;&gt;"",IF(INDEX(CalcPriceA,$M841)=0,"",INDEX(CalcPriceA,$M841)),"")</f>
        <v/>
      </c>
      <c r="H841" s="23">
        <f>IF($N841&lt;&gt;"",IF(INDEX(CalcWitB,$N841)=0,"",INDEX(CalcWitB,$N841)),"")</f>
        <v/>
      </c>
      <c r="I841" s="24">
        <f>IF($M841&lt;&gt;"",INDEX(CalcAmtA,$M841),"")</f>
        <v/>
      </c>
      <c r="J841" s="24">
        <f>IF($B841="","",IF($J840="",$C$8,$J840)+IF($I841="",0,$I841)+IF($E841="",0,$E841)-IF($H841="",0,$H841))</f>
        <v/>
      </c>
      <c r="K841" s="25">
        <f>IF($M841&lt;&gt;"",IF(INDEX(CalcNoteA,$M841)="","—",INDEX(CalcNoteA,$M841)),IF($N841&lt;&gt;"",IF(INDEX(CalcNoteB,$N841)="","—",INDEX(CalcNoteB,$N841)),""))</f>
        <v/>
      </c>
      <c r="M841">
        <f>IFERROR(MATCH($C$5&amp;"|"&amp;RIGHT("000000"&amp;825,6),CalcRankKeyA,0),"")</f>
        <v/>
      </c>
      <c r="N841">
        <f>IFERROR(MATCH($C$5&amp;"|"&amp;RIGHT("000000"&amp;825,6),CalcRankKeyB,0),"")</f>
        <v/>
      </c>
    </row>
    <row r="842">
      <c r="A842" s="26" t="n">
        <v>826</v>
      </c>
      <c r="B842" s="27">
        <f>IF(AND($M842="",$N842=""),"",IF($M842&lt;&gt;"",INDEX(CalcDateA,$M842),INDEX(CalcDateB,$N842)))</f>
        <v/>
      </c>
      <c r="C842" s="27">
        <f>IF($M842&lt;&gt;"","خرید سبد",IF($N842&lt;&gt;"",IF(N(INDEX(CalcDepB,$N842))&gt;0,"دریافت بانکی","پرداخت بانکی"),""))</f>
        <v/>
      </c>
      <c r="D842" s="27">
        <f>IF($M842&lt;&gt;"",IF(INDEX(CalcDocA,$M842)="","—",INDEX(CalcDocA,$M842)),IF($N842&lt;&gt;"",INDEX(CalcBankB,$N842),""))</f>
        <v/>
      </c>
      <c r="E842" s="28">
        <f>IF($N842&lt;&gt;"",IF(INDEX(CalcDepB,$N842)=0,"",INDEX(CalcDepB,$N842)),"")</f>
        <v/>
      </c>
      <c r="F842" s="28">
        <f>IF($M842&lt;&gt;"",IF(INDEX(CalcQtyA,$M842)=0,"",INDEX(CalcQtyA,$M842)),"")</f>
        <v/>
      </c>
      <c r="G842" s="28">
        <f>IF($M842&lt;&gt;"",IF(INDEX(CalcPriceA,$M842)=0,"",INDEX(CalcPriceA,$M842)),"")</f>
        <v/>
      </c>
      <c r="H842" s="28">
        <f>IF($N842&lt;&gt;"",IF(INDEX(CalcWitB,$N842)=0,"",INDEX(CalcWitB,$N842)),"")</f>
        <v/>
      </c>
      <c r="I842" s="29">
        <f>IF($M842&lt;&gt;"",INDEX(CalcAmtA,$M842),"")</f>
        <v/>
      </c>
      <c r="J842" s="29">
        <f>IF($B842="","",IF($J841="",$C$8,$J841)+IF($I842="",0,$I842)+IF($E842="",0,$E842)-IF($H842="",0,$H842))</f>
        <v/>
      </c>
      <c r="K842" s="30">
        <f>IF($M842&lt;&gt;"",IF(INDEX(CalcNoteA,$M842)="","—",INDEX(CalcNoteA,$M842)),IF($N842&lt;&gt;"",IF(INDEX(CalcNoteB,$N842)="","—",INDEX(CalcNoteB,$N842)),""))</f>
        <v/>
      </c>
      <c r="M842">
        <f>IFERROR(MATCH($C$5&amp;"|"&amp;RIGHT("000000"&amp;826,6),CalcRankKeyA,0),"")</f>
        <v/>
      </c>
      <c r="N842">
        <f>IFERROR(MATCH($C$5&amp;"|"&amp;RIGHT("000000"&amp;826,6),CalcRankKeyB,0),"")</f>
        <v/>
      </c>
    </row>
    <row r="843">
      <c r="A843" s="21" t="n">
        <v>827</v>
      </c>
      <c r="B843" s="22">
        <f>IF(AND($M843="",$N843=""),"",IF($M843&lt;&gt;"",INDEX(CalcDateA,$M843),INDEX(CalcDateB,$N843)))</f>
        <v/>
      </c>
      <c r="C843" s="22">
        <f>IF($M843&lt;&gt;"","خرید سبد",IF($N843&lt;&gt;"",IF(N(INDEX(CalcDepB,$N843))&gt;0,"دریافت بانکی","پرداخت بانکی"),""))</f>
        <v/>
      </c>
      <c r="D843" s="22">
        <f>IF($M843&lt;&gt;"",IF(INDEX(CalcDocA,$M843)="","—",INDEX(CalcDocA,$M843)),IF($N843&lt;&gt;"",INDEX(CalcBankB,$N843),""))</f>
        <v/>
      </c>
      <c r="E843" s="23">
        <f>IF($N843&lt;&gt;"",IF(INDEX(CalcDepB,$N843)=0,"",INDEX(CalcDepB,$N843)),"")</f>
        <v/>
      </c>
      <c r="F843" s="23">
        <f>IF($M843&lt;&gt;"",IF(INDEX(CalcQtyA,$M843)=0,"",INDEX(CalcQtyA,$M843)),"")</f>
        <v/>
      </c>
      <c r="G843" s="23">
        <f>IF($M843&lt;&gt;"",IF(INDEX(CalcPriceA,$M843)=0,"",INDEX(CalcPriceA,$M843)),"")</f>
        <v/>
      </c>
      <c r="H843" s="23">
        <f>IF($N843&lt;&gt;"",IF(INDEX(CalcWitB,$N843)=0,"",INDEX(CalcWitB,$N843)),"")</f>
        <v/>
      </c>
      <c r="I843" s="24">
        <f>IF($M843&lt;&gt;"",INDEX(CalcAmtA,$M843),"")</f>
        <v/>
      </c>
      <c r="J843" s="24">
        <f>IF($B843="","",IF($J842="",$C$8,$J842)+IF($I843="",0,$I843)+IF($E843="",0,$E843)-IF($H843="",0,$H843))</f>
        <v/>
      </c>
      <c r="K843" s="25">
        <f>IF($M843&lt;&gt;"",IF(INDEX(CalcNoteA,$M843)="","—",INDEX(CalcNoteA,$M843)),IF($N843&lt;&gt;"",IF(INDEX(CalcNoteB,$N843)="","—",INDEX(CalcNoteB,$N843)),""))</f>
        <v/>
      </c>
      <c r="M843">
        <f>IFERROR(MATCH($C$5&amp;"|"&amp;RIGHT("000000"&amp;827,6),CalcRankKeyA,0),"")</f>
        <v/>
      </c>
      <c r="N843">
        <f>IFERROR(MATCH($C$5&amp;"|"&amp;RIGHT("000000"&amp;827,6),CalcRankKeyB,0),"")</f>
        <v/>
      </c>
    </row>
    <row r="844">
      <c r="A844" s="26" t="n">
        <v>828</v>
      </c>
      <c r="B844" s="27">
        <f>IF(AND($M844="",$N844=""),"",IF($M844&lt;&gt;"",INDEX(CalcDateA,$M844),INDEX(CalcDateB,$N844)))</f>
        <v/>
      </c>
      <c r="C844" s="27">
        <f>IF($M844&lt;&gt;"","خرید سبد",IF($N844&lt;&gt;"",IF(N(INDEX(CalcDepB,$N844))&gt;0,"دریافت بانکی","پرداخت بانکی"),""))</f>
        <v/>
      </c>
      <c r="D844" s="27">
        <f>IF($M844&lt;&gt;"",IF(INDEX(CalcDocA,$M844)="","—",INDEX(CalcDocA,$M844)),IF($N844&lt;&gt;"",INDEX(CalcBankB,$N844),""))</f>
        <v/>
      </c>
      <c r="E844" s="28">
        <f>IF($N844&lt;&gt;"",IF(INDEX(CalcDepB,$N844)=0,"",INDEX(CalcDepB,$N844)),"")</f>
        <v/>
      </c>
      <c r="F844" s="28">
        <f>IF($M844&lt;&gt;"",IF(INDEX(CalcQtyA,$M844)=0,"",INDEX(CalcQtyA,$M844)),"")</f>
        <v/>
      </c>
      <c r="G844" s="28">
        <f>IF($M844&lt;&gt;"",IF(INDEX(CalcPriceA,$M844)=0,"",INDEX(CalcPriceA,$M844)),"")</f>
        <v/>
      </c>
      <c r="H844" s="28">
        <f>IF($N844&lt;&gt;"",IF(INDEX(CalcWitB,$N844)=0,"",INDEX(CalcWitB,$N844)),"")</f>
        <v/>
      </c>
      <c r="I844" s="29">
        <f>IF($M844&lt;&gt;"",INDEX(CalcAmtA,$M844),"")</f>
        <v/>
      </c>
      <c r="J844" s="29">
        <f>IF($B844="","",IF($J843="",$C$8,$J843)+IF($I844="",0,$I844)+IF($E844="",0,$E844)-IF($H844="",0,$H844))</f>
        <v/>
      </c>
      <c r="K844" s="30">
        <f>IF($M844&lt;&gt;"",IF(INDEX(CalcNoteA,$M844)="","—",INDEX(CalcNoteA,$M844)),IF($N844&lt;&gt;"",IF(INDEX(CalcNoteB,$N844)="","—",INDEX(CalcNoteB,$N844)),""))</f>
        <v/>
      </c>
      <c r="M844">
        <f>IFERROR(MATCH($C$5&amp;"|"&amp;RIGHT("000000"&amp;828,6),CalcRankKeyA,0),"")</f>
        <v/>
      </c>
      <c r="N844">
        <f>IFERROR(MATCH($C$5&amp;"|"&amp;RIGHT("000000"&amp;828,6),CalcRankKeyB,0),"")</f>
        <v/>
      </c>
    </row>
    <row r="845">
      <c r="A845" s="21" t="n">
        <v>829</v>
      </c>
      <c r="B845" s="22">
        <f>IF(AND($M845="",$N845=""),"",IF($M845&lt;&gt;"",INDEX(CalcDateA,$M845),INDEX(CalcDateB,$N845)))</f>
        <v/>
      </c>
      <c r="C845" s="22">
        <f>IF($M845&lt;&gt;"","خرید سبد",IF($N845&lt;&gt;"",IF(N(INDEX(CalcDepB,$N845))&gt;0,"دریافت بانکی","پرداخت بانکی"),""))</f>
        <v/>
      </c>
      <c r="D845" s="22">
        <f>IF($M845&lt;&gt;"",IF(INDEX(CalcDocA,$M845)="","—",INDEX(CalcDocA,$M845)),IF($N845&lt;&gt;"",INDEX(CalcBankB,$N845),""))</f>
        <v/>
      </c>
      <c r="E845" s="23">
        <f>IF($N845&lt;&gt;"",IF(INDEX(CalcDepB,$N845)=0,"",INDEX(CalcDepB,$N845)),"")</f>
        <v/>
      </c>
      <c r="F845" s="23">
        <f>IF($M845&lt;&gt;"",IF(INDEX(CalcQtyA,$M845)=0,"",INDEX(CalcQtyA,$M845)),"")</f>
        <v/>
      </c>
      <c r="G845" s="23">
        <f>IF($M845&lt;&gt;"",IF(INDEX(CalcPriceA,$M845)=0,"",INDEX(CalcPriceA,$M845)),"")</f>
        <v/>
      </c>
      <c r="H845" s="23">
        <f>IF($N845&lt;&gt;"",IF(INDEX(CalcWitB,$N845)=0,"",INDEX(CalcWitB,$N845)),"")</f>
        <v/>
      </c>
      <c r="I845" s="24">
        <f>IF($M845&lt;&gt;"",INDEX(CalcAmtA,$M845),"")</f>
        <v/>
      </c>
      <c r="J845" s="24">
        <f>IF($B845="","",IF($J844="",$C$8,$J844)+IF($I845="",0,$I845)+IF($E845="",0,$E845)-IF($H845="",0,$H845))</f>
        <v/>
      </c>
      <c r="K845" s="25">
        <f>IF($M845&lt;&gt;"",IF(INDEX(CalcNoteA,$M845)="","—",INDEX(CalcNoteA,$M845)),IF($N845&lt;&gt;"",IF(INDEX(CalcNoteB,$N845)="","—",INDEX(CalcNoteB,$N845)),""))</f>
        <v/>
      </c>
      <c r="M845">
        <f>IFERROR(MATCH($C$5&amp;"|"&amp;RIGHT("000000"&amp;829,6),CalcRankKeyA,0),"")</f>
        <v/>
      </c>
      <c r="N845">
        <f>IFERROR(MATCH($C$5&amp;"|"&amp;RIGHT("000000"&amp;829,6),CalcRankKeyB,0),"")</f>
        <v/>
      </c>
    </row>
    <row r="846">
      <c r="A846" s="26" t="n">
        <v>830</v>
      </c>
      <c r="B846" s="27">
        <f>IF(AND($M846="",$N846=""),"",IF($M846&lt;&gt;"",INDEX(CalcDateA,$M846),INDEX(CalcDateB,$N846)))</f>
        <v/>
      </c>
      <c r="C846" s="27">
        <f>IF($M846&lt;&gt;"","خرید سبد",IF($N846&lt;&gt;"",IF(N(INDEX(CalcDepB,$N846))&gt;0,"دریافت بانکی","پرداخت بانکی"),""))</f>
        <v/>
      </c>
      <c r="D846" s="27">
        <f>IF($M846&lt;&gt;"",IF(INDEX(CalcDocA,$M846)="","—",INDEX(CalcDocA,$M846)),IF($N846&lt;&gt;"",INDEX(CalcBankB,$N846),""))</f>
        <v/>
      </c>
      <c r="E846" s="28">
        <f>IF($N846&lt;&gt;"",IF(INDEX(CalcDepB,$N846)=0,"",INDEX(CalcDepB,$N846)),"")</f>
        <v/>
      </c>
      <c r="F846" s="28">
        <f>IF($M846&lt;&gt;"",IF(INDEX(CalcQtyA,$M846)=0,"",INDEX(CalcQtyA,$M846)),"")</f>
        <v/>
      </c>
      <c r="G846" s="28">
        <f>IF($M846&lt;&gt;"",IF(INDEX(CalcPriceA,$M846)=0,"",INDEX(CalcPriceA,$M846)),"")</f>
        <v/>
      </c>
      <c r="H846" s="28">
        <f>IF($N846&lt;&gt;"",IF(INDEX(CalcWitB,$N846)=0,"",INDEX(CalcWitB,$N846)),"")</f>
        <v/>
      </c>
      <c r="I846" s="29">
        <f>IF($M846&lt;&gt;"",INDEX(CalcAmtA,$M846),"")</f>
        <v/>
      </c>
      <c r="J846" s="29">
        <f>IF($B846="","",IF($J845="",$C$8,$J845)+IF($I846="",0,$I846)+IF($E846="",0,$E846)-IF($H846="",0,$H846))</f>
        <v/>
      </c>
      <c r="K846" s="30">
        <f>IF($M846&lt;&gt;"",IF(INDEX(CalcNoteA,$M846)="","—",INDEX(CalcNoteA,$M846)),IF($N846&lt;&gt;"",IF(INDEX(CalcNoteB,$N846)="","—",INDEX(CalcNoteB,$N846)),""))</f>
        <v/>
      </c>
      <c r="M846">
        <f>IFERROR(MATCH($C$5&amp;"|"&amp;RIGHT("000000"&amp;830,6),CalcRankKeyA,0),"")</f>
        <v/>
      </c>
      <c r="N846">
        <f>IFERROR(MATCH($C$5&amp;"|"&amp;RIGHT("000000"&amp;830,6),CalcRankKeyB,0),"")</f>
        <v/>
      </c>
    </row>
    <row r="847">
      <c r="A847" s="21" t="n">
        <v>831</v>
      </c>
      <c r="B847" s="22">
        <f>IF(AND($M847="",$N847=""),"",IF($M847&lt;&gt;"",INDEX(CalcDateA,$M847),INDEX(CalcDateB,$N847)))</f>
        <v/>
      </c>
      <c r="C847" s="22">
        <f>IF($M847&lt;&gt;"","خرید سبد",IF($N847&lt;&gt;"",IF(N(INDEX(CalcDepB,$N847))&gt;0,"دریافت بانکی","پرداخت بانکی"),""))</f>
        <v/>
      </c>
      <c r="D847" s="22">
        <f>IF($M847&lt;&gt;"",IF(INDEX(CalcDocA,$M847)="","—",INDEX(CalcDocA,$M847)),IF($N847&lt;&gt;"",INDEX(CalcBankB,$N847),""))</f>
        <v/>
      </c>
      <c r="E847" s="23">
        <f>IF($N847&lt;&gt;"",IF(INDEX(CalcDepB,$N847)=0,"",INDEX(CalcDepB,$N847)),"")</f>
        <v/>
      </c>
      <c r="F847" s="23">
        <f>IF($M847&lt;&gt;"",IF(INDEX(CalcQtyA,$M847)=0,"",INDEX(CalcQtyA,$M847)),"")</f>
        <v/>
      </c>
      <c r="G847" s="23">
        <f>IF($M847&lt;&gt;"",IF(INDEX(CalcPriceA,$M847)=0,"",INDEX(CalcPriceA,$M847)),"")</f>
        <v/>
      </c>
      <c r="H847" s="23">
        <f>IF($N847&lt;&gt;"",IF(INDEX(CalcWitB,$N847)=0,"",INDEX(CalcWitB,$N847)),"")</f>
        <v/>
      </c>
      <c r="I847" s="24">
        <f>IF($M847&lt;&gt;"",INDEX(CalcAmtA,$M847),"")</f>
        <v/>
      </c>
      <c r="J847" s="24">
        <f>IF($B847="","",IF($J846="",$C$8,$J846)+IF($I847="",0,$I847)+IF($E847="",0,$E847)-IF($H847="",0,$H847))</f>
        <v/>
      </c>
      <c r="K847" s="25">
        <f>IF($M847&lt;&gt;"",IF(INDEX(CalcNoteA,$M847)="","—",INDEX(CalcNoteA,$M847)),IF($N847&lt;&gt;"",IF(INDEX(CalcNoteB,$N847)="","—",INDEX(CalcNoteB,$N847)),""))</f>
        <v/>
      </c>
      <c r="M847">
        <f>IFERROR(MATCH($C$5&amp;"|"&amp;RIGHT("000000"&amp;831,6),CalcRankKeyA,0),"")</f>
        <v/>
      </c>
      <c r="N847">
        <f>IFERROR(MATCH($C$5&amp;"|"&amp;RIGHT("000000"&amp;831,6),CalcRankKeyB,0),"")</f>
        <v/>
      </c>
    </row>
    <row r="848">
      <c r="A848" s="26" t="n">
        <v>832</v>
      </c>
      <c r="B848" s="27">
        <f>IF(AND($M848="",$N848=""),"",IF($M848&lt;&gt;"",INDEX(CalcDateA,$M848),INDEX(CalcDateB,$N848)))</f>
        <v/>
      </c>
      <c r="C848" s="27">
        <f>IF($M848&lt;&gt;"","خرید سبد",IF($N848&lt;&gt;"",IF(N(INDEX(CalcDepB,$N848))&gt;0,"دریافت بانکی","پرداخت بانکی"),""))</f>
        <v/>
      </c>
      <c r="D848" s="27">
        <f>IF($M848&lt;&gt;"",IF(INDEX(CalcDocA,$M848)="","—",INDEX(CalcDocA,$M848)),IF($N848&lt;&gt;"",INDEX(CalcBankB,$N848),""))</f>
        <v/>
      </c>
      <c r="E848" s="28">
        <f>IF($N848&lt;&gt;"",IF(INDEX(CalcDepB,$N848)=0,"",INDEX(CalcDepB,$N848)),"")</f>
        <v/>
      </c>
      <c r="F848" s="28">
        <f>IF($M848&lt;&gt;"",IF(INDEX(CalcQtyA,$M848)=0,"",INDEX(CalcQtyA,$M848)),"")</f>
        <v/>
      </c>
      <c r="G848" s="28">
        <f>IF($M848&lt;&gt;"",IF(INDEX(CalcPriceA,$M848)=0,"",INDEX(CalcPriceA,$M848)),"")</f>
        <v/>
      </c>
      <c r="H848" s="28">
        <f>IF($N848&lt;&gt;"",IF(INDEX(CalcWitB,$N848)=0,"",INDEX(CalcWitB,$N848)),"")</f>
        <v/>
      </c>
      <c r="I848" s="29">
        <f>IF($M848&lt;&gt;"",INDEX(CalcAmtA,$M848),"")</f>
        <v/>
      </c>
      <c r="J848" s="29">
        <f>IF($B848="","",IF($J847="",$C$8,$J847)+IF($I848="",0,$I848)+IF($E848="",0,$E848)-IF($H848="",0,$H848))</f>
        <v/>
      </c>
      <c r="K848" s="30">
        <f>IF($M848&lt;&gt;"",IF(INDEX(CalcNoteA,$M848)="","—",INDEX(CalcNoteA,$M848)),IF($N848&lt;&gt;"",IF(INDEX(CalcNoteB,$N848)="","—",INDEX(CalcNoteB,$N848)),""))</f>
        <v/>
      </c>
      <c r="M848">
        <f>IFERROR(MATCH($C$5&amp;"|"&amp;RIGHT("000000"&amp;832,6),CalcRankKeyA,0),"")</f>
        <v/>
      </c>
      <c r="N848">
        <f>IFERROR(MATCH($C$5&amp;"|"&amp;RIGHT("000000"&amp;832,6),CalcRankKeyB,0),"")</f>
        <v/>
      </c>
    </row>
    <row r="849">
      <c r="A849" s="21" t="n">
        <v>833</v>
      </c>
      <c r="B849" s="22">
        <f>IF(AND($M849="",$N849=""),"",IF($M849&lt;&gt;"",INDEX(CalcDateA,$M849),INDEX(CalcDateB,$N849)))</f>
        <v/>
      </c>
      <c r="C849" s="22">
        <f>IF($M849&lt;&gt;"","خرید سبد",IF($N849&lt;&gt;"",IF(N(INDEX(CalcDepB,$N849))&gt;0,"دریافت بانکی","پرداخت بانکی"),""))</f>
        <v/>
      </c>
      <c r="D849" s="22">
        <f>IF($M849&lt;&gt;"",IF(INDEX(CalcDocA,$M849)="","—",INDEX(CalcDocA,$M849)),IF($N849&lt;&gt;"",INDEX(CalcBankB,$N849),""))</f>
        <v/>
      </c>
      <c r="E849" s="23">
        <f>IF($N849&lt;&gt;"",IF(INDEX(CalcDepB,$N849)=0,"",INDEX(CalcDepB,$N849)),"")</f>
        <v/>
      </c>
      <c r="F849" s="23">
        <f>IF($M849&lt;&gt;"",IF(INDEX(CalcQtyA,$M849)=0,"",INDEX(CalcQtyA,$M849)),"")</f>
        <v/>
      </c>
      <c r="G849" s="23">
        <f>IF($M849&lt;&gt;"",IF(INDEX(CalcPriceA,$M849)=0,"",INDEX(CalcPriceA,$M849)),"")</f>
        <v/>
      </c>
      <c r="H849" s="23">
        <f>IF($N849&lt;&gt;"",IF(INDEX(CalcWitB,$N849)=0,"",INDEX(CalcWitB,$N849)),"")</f>
        <v/>
      </c>
      <c r="I849" s="24">
        <f>IF($M849&lt;&gt;"",INDEX(CalcAmtA,$M849),"")</f>
        <v/>
      </c>
      <c r="J849" s="24">
        <f>IF($B849="","",IF($J848="",$C$8,$J848)+IF($I849="",0,$I849)+IF($E849="",0,$E849)-IF($H849="",0,$H849))</f>
        <v/>
      </c>
      <c r="K849" s="25">
        <f>IF($M849&lt;&gt;"",IF(INDEX(CalcNoteA,$M849)="","—",INDEX(CalcNoteA,$M849)),IF($N849&lt;&gt;"",IF(INDEX(CalcNoteB,$N849)="","—",INDEX(CalcNoteB,$N849)),""))</f>
        <v/>
      </c>
      <c r="M849">
        <f>IFERROR(MATCH($C$5&amp;"|"&amp;RIGHT("000000"&amp;833,6),CalcRankKeyA,0),"")</f>
        <v/>
      </c>
      <c r="N849">
        <f>IFERROR(MATCH($C$5&amp;"|"&amp;RIGHT("000000"&amp;833,6),CalcRankKeyB,0),"")</f>
        <v/>
      </c>
    </row>
    <row r="850">
      <c r="A850" s="26" t="n">
        <v>834</v>
      </c>
      <c r="B850" s="27">
        <f>IF(AND($M850="",$N850=""),"",IF($M850&lt;&gt;"",INDEX(CalcDateA,$M850),INDEX(CalcDateB,$N850)))</f>
        <v/>
      </c>
      <c r="C850" s="27">
        <f>IF($M850&lt;&gt;"","خرید سبد",IF($N850&lt;&gt;"",IF(N(INDEX(CalcDepB,$N850))&gt;0,"دریافت بانکی","پرداخت بانکی"),""))</f>
        <v/>
      </c>
      <c r="D850" s="27">
        <f>IF($M850&lt;&gt;"",IF(INDEX(CalcDocA,$M850)="","—",INDEX(CalcDocA,$M850)),IF($N850&lt;&gt;"",INDEX(CalcBankB,$N850),""))</f>
        <v/>
      </c>
      <c r="E850" s="28">
        <f>IF($N850&lt;&gt;"",IF(INDEX(CalcDepB,$N850)=0,"",INDEX(CalcDepB,$N850)),"")</f>
        <v/>
      </c>
      <c r="F850" s="28">
        <f>IF($M850&lt;&gt;"",IF(INDEX(CalcQtyA,$M850)=0,"",INDEX(CalcQtyA,$M850)),"")</f>
        <v/>
      </c>
      <c r="G850" s="28">
        <f>IF($M850&lt;&gt;"",IF(INDEX(CalcPriceA,$M850)=0,"",INDEX(CalcPriceA,$M850)),"")</f>
        <v/>
      </c>
      <c r="H850" s="28">
        <f>IF($N850&lt;&gt;"",IF(INDEX(CalcWitB,$N850)=0,"",INDEX(CalcWitB,$N850)),"")</f>
        <v/>
      </c>
      <c r="I850" s="29">
        <f>IF($M850&lt;&gt;"",INDEX(CalcAmtA,$M850),"")</f>
        <v/>
      </c>
      <c r="J850" s="29">
        <f>IF($B850="","",IF($J849="",$C$8,$J849)+IF($I850="",0,$I850)+IF($E850="",0,$E850)-IF($H850="",0,$H850))</f>
        <v/>
      </c>
      <c r="K850" s="30">
        <f>IF($M850&lt;&gt;"",IF(INDEX(CalcNoteA,$M850)="","—",INDEX(CalcNoteA,$M850)),IF($N850&lt;&gt;"",IF(INDEX(CalcNoteB,$N850)="","—",INDEX(CalcNoteB,$N850)),""))</f>
        <v/>
      </c>
      <c r="M850">
        <f>IFERROR(MATCH($C$5&amp;"|"&amp;RIGHT("000000"&amp;834,6),CalcRankKeyA,0),"")</f>
        <v/>
      </c>
      <c r="N850">
        <f>IFERROR(MATCH($C$5&amp;"|"&amp;RIGHT("000000"&amp;834,6),CalcRankKeyB,0),"")</f>
        <v/>
      </c>
    </row>
    <row r="851">
      <c r="A851" s="21" t="n">
        <v>835</v>
      </c>
      <c r="B851" s="22">
        <f>IF(AND($M851="",$N851=""),"",IF($M851&lt;&gt;"",INDEX(CalcDateA,$M851),INDEX(CalcDateB,$N851)))</f>
        <v/>
      </c>
      <c r="C851" s="22">
        <f>IF($M851&lt;&gt;"","خرید سبد",IF($N851&lt;&gt;"",IF(N(INDEX(CalcDepB,$N851))&gt;0,"دریافت بانکی","پرداخت بانکی"),""))</f>
        <v/>
      </c>
      <c r="D851" s="22">
        <f>IF($M851&lt;&gt;"",IF(INDEX(CalcDocA,$M851)="","—",INDEX(CalcDocA,$M851)),IF($N851&lt;&gt;"",INDEX(CalcBankB,$N851),""))</f>
        <v/>
      </c>
      <c r="E851" s="23">
        <f>IF($N851&lt;&gt;"",IF(INDEX(CalcDepB,$N851)=0,"",INDEX(CalcDepB,$N851)),"")</f>
        <v/>
      </c>
      <c r="F851" s="23">
        <f>IF($M851&lt;&gt;"",IF(INDEX(CalcQtyA,$M851)=0,"",INDEX(CalcQtyA,$M851)),"")</f>
        <v/>
      </c>
      <c r="G851" s="23">
        <f>IF($M851&lt;&gt;"",IF(INDEX(CalcPriceA,$M851)=0,"",INDEX(CalcPriceA,$M851)),"")</f>
        <v/>
      </c>
      <c r="H851" s="23">
        <f>IF($N851&lt;&gt;"",IF(INDEX(CalcWitB,$N851)=0,"",INDEX(CalcWitB,$N851)),"")</f>
        <v/>
      </c>
      <c r="I851" s="24">
        <f>IF($M851&lt;&gt;"",INDEX(CalcAmtA,$M851),"")</f>
        <v/>
      </c>
      <c r="J851" s="24">
        <f>IF($B851="","",IF($J850="",$C$8,$J850)+IF($I851="",0,$I851)+IF($E851="",0,$E851)-IF($H851="",0,$H851))</f>
        <v/>
      </c>
      <c r="K851" s="25">
        <f>IF($M851&lt;&gt;"",IF(INDEX(CalcNoteA,$M851)="","—",INDEX(CalcNoteA,$M851)),IF($N851&lt;&gt;"",IF(INDEX(CalcNoteB,$N851)="","—",INDEX(CalcNoteB,$N851)),""))</f>
        <v/>
      </c>
      <c r="M851">
        <f>IFERROR(MATCH($C$5&amp;"|"&amp;RIGHT("000000"&amp;835,6),CalcRankKeyA,0),"")</f>
        <v/>
      </c>
      <c r="N851">
        <f>IFERROR(MATCH($C$5&amp;"|"&amp;RIGHT("000000"&amp;835,6),CalcRankKeyB,0),"")</f>
        <v/>
      </c>
    </row>
    <row r="852">
      <c r="A852" s="26" t="n">
        <v>836</v>
      </c>
      <c r="B852" s="27">
        <f>IF(AND($M852="",$N852=""),"",IF($M852&lt;&gt;"",INDEX(CalcDateA,$M852),INDEX(CalcDateB,$N852)))</f>
        <v/>
      </c>
      <c r="C852" s="27">
        <f>IF($M852&lt;&gt;"","خرید سبد",IF($N852&lt;&gt;"",IF(N(INDEX(CalcDepB,$N852))&gt;0,"دریافت بانکی","پرداخت بانکی"),""))</f>
        <v/>
      </c>
      <c r="D852" s="27">
        <f>IF($M852&lt;&gt;"",IF(INDEX(CalcDocA,$M852)="","—",INDEX(CalcDocA,$M852)),IF($N852&lt;&gt;"",INDEX(CalcBankB,$N852),""))</f>
        <v/>
      </c>
      <c r="E852" s="28">
        <f>IF($N852&lt;&gt;"",IF(INDEX(CalcDepB,$N852)=0,"",INDEX(CalcDepB,$N852)),"")</f>
        <v/>
      </c>
      <c r="F852" s="28">
        <f>IF($M852&lt;&gt;"",IF(INDEX(CalcQtyA,$M852)=0,"",INDEX(CalcQtyA,$M852)),"")</f>
        <v/>
      </c>
      <c r="G852" s="28">
        <f>IF($M852&lt;&gt;"",IF(INDEX(CalcPriceA,$M852)=0,"",INDEX(CalcPriceA,$M852)),"")</f>
        <v/>
      </c>
      <c r="H852" s="28">
        <f>IF($N852&lt;&gt;"",IF(INDEX(CalcWitB,$N852)=0,"",INDEX(CalcWitB,$N852)),"")</f>
        <v/>
      </c>
      <c r="I852" s="29">
        <f>IF($M852&lt;&gt;"",INDEX(CalcAmtA,$M852),"")</f>
        <v/>
      </c>
      <c r="J852" s="29">
        <f>IF($B852="","",IF($J851="",$C$8,$J851)+IF($I852="",0,$I852)+IF($E852="",0,$E852)-IF($H852="",0,$H852))</f>
        <v/>
      </c>
      <c r="K852" s="30">
        <f>IF($M852&lt;&gt;"",IF(INDEX(CalcNoteA,$M852)="","—",INDEX(CalcNoteA,$M852)),IF($N852&lt;&gt;"",IF(INDEX(CalcNoteB,$N852)="","—",INDEX(CalcNoteB,$N852)),""))</f>
        <v/>
      </c>
      <c r="M852">
        <f>IFERROR(MATCH($C$5&amp;"|"&amp;RIGHT("000000"&amp;836,6),CalcRankKeyA,0),"")</f>
        <v/>
      </c>
      <c r="N852">
        <f>IFERROR(MATCH($C$5&amp;"|"&amp;RIGHT("000000"&amp;836,6),CalcRankKeyB,0),"")</f>
        <v/>
      </c>
    </row>
    <row r="853">
      <c r="A853" s="21" t="n">
        <v>837</v>
      </c>
      <c r="B853" s="22">
        <f>IF(AND($M853="",$N853=""),"",IF($M853&lt;&gt;"",INDEX(CalcDateA,$M853),INDEX(CalcDateB,$N853)))</f>
        <v/>
      </c>
      <c r="C853" s="22">
        <f>IF($M853&lt;&gt;"","خرید سبد",IF($N853&lt;&gt;"",IF(N(INDEX(CalcDepB,$N853))&gt;0,"دریافت بانکی","پرداخت بانکی"),""))</f>
        <v/>
      </c>
      <c r="D853" s="22">
        <f>IF($M853&lt;&gt;"",IF(INDEX(CalcDocA,$M853)="","—",INDEX(CalcDocA,$M853)),IF($N853&lt;&gt;"",INDEX(CalcBankB,$N853),""))</f>
        <v/>
      </c>
      <c r="E853" s="23">
        <f>IF($N853&lt;&gt;"",IF(INDEX(CalcDepB,$N853)=0,"",INDEX(CalcDepB,$N853)),"")</f>
        <v/>
      </c>
      <c r="F853" s="23">
        <f>IF($M853&lt;&gt;"",IF(INDEX(CalcQtyA,$M853)=0,"",INDEX(CalcQtyA,$M853)),"")</f>
        <v/>
      </c>
      <c r="G853" s="23">
        <f>IF($M853&lt;&gt;"",IF(INDEX(CalcPriceA,$M853)=0,"",INDEX(CalcPriceA,$M853)),"")</f>
        <v/>
      </c>
      <c r="H853" s="23">
        <f>IF($N853&lt;&gt;"",IF(INDEX(CalcWitB,$N853)=0,"",INDEX(CalcWitB,$N853)),"")</f>
        <v/>
      </c>
      <c r="I853" s="24">
        <f>IF($M853&lt;&gt;"",INDEX(CalcAmtA,$M853),"")</f>
        <v/>
      </c>
      <c r="J853" s="24">
        <f>IF($B853="","",IF($J852="",$C$8,$J852)+IF($I853="",0,$I853)+IF($E853="",0,$E853)-IF($H853="",0,$H853))</f>
        <v/>
      </c>
      <c r="K853" s="25">
        <f>IF($M853&lt;&gt;"",IF(INDEX(CalcNoteA,$M853)="","—",INDEX(CalcNoteA,$M853)),IF($N853&lt;&gt;"",IF(INDEX(CalcNoteB,$N853)="","—",INDEX(CalcNoteB,$N853)),""))</f>
        <v/>
      </c>
      <c r="M853">
        <f>IFERROR(MATCH($C$5&amp;"|"&amp;RIGHT("000000"&amp;837,6),CalcRankKeyA,0),"")</f>
        <v/>
      </c>
      <c r="N853">
        <f>IFERROR(MATCH($C$5&amp;"|"&amp;RIGHT("000000"&amp;837,6),CalcRankKeyB,0),"")</f>
        <v/>
      </c>
    </row>
    <row r="854">
      <c r="A854" s="26" t="n">
        <v>838</v>
      </c>
      <c r="B854" s="27">
        <f>IF(AND($M854="",$N854=""),"",IF($M854&lt;&gt;"",INDEX(CalcDateA,$M854),INDEX(CalcDateB,$N854)))</f>
        <v/>
      </c>
      <c r="C854" s="27">
        <f>IF($M854&lt;&gt;"","خرید سبد",IF($N854&lt;&gt;"",IF(N(INDEX(CalcDepB,$N854))&gt;0,"دریافت بانکی","پرداخت بانکی"),""))</f>
        <v/>
      </c>
      <c r="D854" s="27">
        <f>IF($M854&lt;&gt;"",IF(INDEX(CalcDocA,$M854)="","—",INDEX(CalcDocA,$M854)),IF($N854&lt;&gt;"",INDEX(CalcBankB,$N854),""))</f>
        <v/>
      </c>
      <c r="E854" s="28">
        <f>IF($N854&lt;&gt;"",IF(INDEX(CalcDepB,$N854)=0,"",INDEX(CalcDepB,$N854)),"")</f>
        <v/>
      </c>
      <c r="F854" s="28">
        <f>IF($M854&lt;&gt;"",IF(INDEX(CalcQtyA,$M854)=0,"",INDEX(CalcQtyA,$M854)),"")</f>
        <v/>
      </c>
      <c r="G854" s="28">
        <f>IF($M854&lt;&gt;"",IF(INDEX(CalcPriceA,$M854)=0,"",INDEX(CalcPriceA,$M854)),"")</f>
        <v/>
      </c>
      <c r="H854" s="28">
        <f>IF($N854&lt;&gt;"",IF(INDEX(CalcWitB,$N854)=0,"",INDEX(CalcWitB,$N854)),"")</f>
        <v/>
      </c>
      <c r="I854" s="29">
        <f>IF($M854&lt;&gt;"",INDEX(CalcAmtA,$M854),"")</f>
        <v/>
      </c>
      <c r="J854" s="29">
        <f>IF($B854="","",IF($J853="",$C$8,$J853)+IF($I854="",0,$I854)+IF($E854="",0,$E854)-IF($H854="",0,$H854))</f>
        <v/>
      </c>
      <c r="K854" s="30">
        <f>IF($M854&lt;&gt;"",IF(INDEX(CalcNoteA,$M854)="","—",INDEX(CalcNoteA,$M854)),IF($N854&lt;&gt;"",IF(INDEX(CalcNoteB,$N854)="","—",INDEX(CalcNoteB,$N854)),""))</f>
        <v/>
      </c>
      <c r="M854">
        <f>IFERROR(MATCH($C$5&amp;"|"&amp;RIGHT("000000"&amp;838,6),CalcRankKeyA,0),"")</f>
        <v/>
      </c>
      <c r="N854">
        <f>IFERROR(MATCH($C$5&amp;"|"&amp;RIGHT("000000"&amp;838,6),CalcRankKeyB,0),"")</f>
        <v/>
      </c>
    </row>
    <row r="855">
      <c r="A855" s="21" t="n">
        <v>839</v>
      </c>
      <c r="B855" s="22">
        <f>IF(AND($M855="",$N855=""),"",IF($M855&lt;&gt;"",INDEX(CalcDateA,$M855),INDEX(CalcDateB,$N855)))</f>
        <v/>
      </c>
      <c r="C855" s="22">
        <f>IF($M855&lt;&gt;"","خرید سبد",IF($N855&lt;&gt;"",IF(N(INDEX(CalcDepB,$N855))&gt;0,"دریافت بانکی","پرداخت بانکی"),""))</f>
        <v/>
      </c>
      <c r="D855" s="22">
        <f>IF($M855&lt;&gt;"",IF(INDEX(CalcDocA,$M855)="","—",INDEX(CalcDocA,$M855)),IF($N855&lt;&gt;"",INDEX(CalcBankB,$N855),""))</f>
        <v/>
      </c>
      <c r="E855" s="23">
        <f>IF($N855&lt;&gt;"",IF(INDEX(CalcDepB,$N855)=0,"",INDEX(CalcDepB,$N855)),"")</f>
        <v/>
      </c>
      <c r="F855" s="23">
        <f>IF($M855&lt;&gt;"",IF(INDEX(CalcQtyA,$M855)=0,"",INDEX(CalcQtyA,$M855)),"")</f>
        <v/>
      </c>
      <c r="G855" s="23">
        <f>IF($M855&lt;&gt;"",IF(INDEX(CalcPriceA,$M855)=0,"",INDEX(CalcPriceA,$M855)),"")</f>
        <v/>
      </c>
      <c r="H855" s="23">
        <f>IF($N855&lt;&gt;"",IF(INDEX(CalcWitB,$N855)=0,"",INDEX(CalcWitB,$N855)),"")</f>
        <v/>
      </c>
      <c r="I855" s="24">
        <f>IF($M855&lt;&gt;"",INDEX(CalcAmtA,$M855),"")</f>
        <v/>
      </c>
      <c r="J855" s="24">
        <f>IF($B855="","",IF($J854="",$C$8,$J854)+IF($I855="",0,$I855)+IF($E855="",0,$E855)-IF($H855="",0,$H855))</f>
        <v/>
      </c>
      <c r="K855" s="25">
        <f>IF($M855&lt;&gt;"",IF(INDEX(CalcNoteA,$M855)="","—",INDEX(CalcNoteA,$M855)),IF($N855&lt;&gt;"",IF(INDEX(CalcNoteB,$N855)="","—",INDEX(CalcNoteB,$N855)),""))</f>
        <v/>
      </c>
      <c r="M855">
        <f>IFERROR(MATCH($C$5&amp;"|"&amp;RIGHT("000000"&amp;839,6),CalcRankKeyA,0),"")</f>
        <v/>
      </c>
      <c r="N855">
        <f>IFERROR(MATCH($C$5&amp;"|"&amp;RIGHT("000000"&amp;839,6),CalcRankKeyB,0),"")</f>
        <v/>
      </c>
    </row>
    <row r="856">
      <c r="A856" s="26" t="n">
        <v>840</v>
      </c>
      <c r="B856" s="27">
        <f>IF(AND($M856="",$N856=""),"",IF($M856&lt;&gt;"",INDEX(CalcDateA,$M856),INDEX(CalcDateB,$N856)))</f>
        <v/>
      </c>
      <c r="C856" s="27">
        <f>IF($M856&lt;&gt;"","خرید سبد",IF($N856&lt;&gt;"",IF(N(INDEX(CalcDepB,$N856))&gt;0,"دریافت بانکی","پرداخت بانکی"),""))</f>
        <v/>
      </c>
      <c r="D856" s="27">
        <f>IF($M856&lt;&gt;"",IF(INDEX(CalcDocA,$M856)="","—",INDEX(CalcDocA,$M856)),IF($N856&lt;&gt;"",INDEX(CalcBankB,$N856),""))</f>
        <v/>
      </c>
      <c r="E856" s="28">
        <f>IF($N856&lt;&gt;"",IF(INDEX(CalcDepB,$N856)=0,"",INDEX(CalcDepB,$N856)),"")</f>
        <v/>
      </c>
      <c r="F856" s="28">
        <f>IF($M856&lt;&gt;"",IF(INDEX(CalcQtyA,$M856)=0,"",INDEX(CalcQtyA,$M856)),"")</f>
        <v/>
      </c>
      <c r="G856" s="28">
        <f>IF($M856&lt;&gt;"",IF(INDEX(CalcPriceA,$M856)=0,"",INDEX(CalcPriceA,$M856)),"")</f>
        <v/>
      </c>
      <c r="H856" s="28">
        <f>IF($N856&lt;&gt;"",IF(INDEX(CalcWitB,$N856)=0,"",INDEX(CalcWitB,$N856)),"")</f>
        <v/>
      </c>
      <c r="I856" s="29">
        <f>IF($M856&lt;&gt;"",INDEX(CalcAmtA,$M856),"")</f>
        <v/>
      </c>
      <c r="J856" s="29">
        <f>IF($B856="","",IF($J855="",$C$8,$J855)+IF($I856="",0,$I856)+IF($E856="",0,$E856)-IF($H856="",0,$H856))</f>
        <v/>
      </c>
      <c r="K856" s="30">
        <f>IF($M856&lt;&gt;"",IF(INDEX(CalcNoteA,$M856)="","—",INDEX(CalcNoteA,$M856)),IF($N856&lt;&gt;"",IF(INDEX(CalcNoteB,$N856)="","—",INDEX(CalcNoteB,$N856)),""))</f>
        <v/>
      </c>
      <c r="M856">
        <f>IFERROR(MATCH($C$5&amp;"|"&amp;RIGHT("000000"&amp;840,6),CalcRankKeyA,0),"")</f>
        <v/>
      </c>
      <c r="N856">
        <f>IFERROR(MATCH($C$5&amp;"|"&amp;RIGHT("000000"&amp;840,6),CalcRankKeyB,0),"")</f>
        <v/>
      </c>
    </row>
    <row r="857">
      <c r="A857" s="21" t="n">
        <v>841</v>
      </c>
      <c r="B857" s="22">
        <f>IF(AND($M857="",$N857=""),"",IF($M857&lt;&gt;"",INDEX(CalcDateA,$M857),INDEX(CalcDateB,$N857)))</f>
        <v/>
      </c>
      <c r="C857" s="22">
        <f>IF($M857&lt;&gt;"","خرید سبد",IF($N857&lt;&gt;"",IF(N(INDEX(CalcDepB,$N857))&gt;0,"دریافت بانکی","پرداخت بانکی"),""))</f>
        <v/>
      </c>
      <c r="D857" s="22">
        <f>IF($M857&lt;&gt;"",IF(INDEX(CalcDocA,$M857)="","—",INDEX(CalcDocA,$M857)),IF($N857&lt;&gt;"",INDEX(CalcBankB,$N857),""))</f>
        <v/>
      </c>
      <c r="E857" s="23">
        <f>IF($N857&lt;&gt;"",IF(INDEX(CalcDepB,$N857)=0,"",INDEX(CalcDepB,$N857)),"")</f>
        <v/>
      </c>
      <c r="F857" s="23">
        <f>IF($M857&lt;&gt;"",IF(INDEX(CalcQtyA,$M857)=0,"",INDEX(CalcQtyA,$M857)),"")</f>
        <v/>
      </c>
      <c r="G857" s="23">
        <f>IF($M857&lt;&gt;"",IF(INDEX(CalcPriceA,$M857)=0,"",INDEX(CalcPriceA,$M857)),"")</f>
        <v/>
      </c>
      <c r="H857" s="23">
        <f>IF($N857&lt;&gt;"",IF(INDEX(CalcWitB,$N857)=0,"",INDEX(CalcWitB,$N857)),"")</f>
        <v/>
      </c>
      <c r="I857" s="24">
        <f>IF($M857&lt;&gt;"",INDEX(CalcAmtA,$M857),"")</f>
        <v/>
      </c>
      <c r="J857" s="24">
        <f>IF($B857="","",IF($J856="",$C$8,$J856)+IF($I857="",0,$I857)+IF($E857="",0,$E857)-IF($H857="",0,$H857))</f>
        <v/>
      </c>
      <c r="K857" s="25">
        <f>IF($M857&lt;&gt;"",IF(INDEX(CalcNoteA,$M857)="","—",INDEX(CalcNoteA,$M857)),IF($N857&lt;&gt;"",IF(INDEX(CalcNoteB,$N857)="","—",INDEX(CalcNoteB,$N857)),""))</f>
        <v/>
      </c>
      <c r="M857">
        <f>IFERROR(MATCH($C$5&amp;"|"&amp;RIGHT("000000"&amp;841,6),CalcRankKeyA,0),"")</f>
        <v/>
      </c>
      <c r="N857">
        <f>IFERROR(MATCH($C$5&amp;"|"&amp;RIGHT("000000"&amp;841,6),CalcRankKeyB,0),"")</f>
        <v/>
      </c>
    </row>
    <row r="858">
      <c r="A858" s="26" t="n">
        <v>842</v>
      </c>
      <c r="B858" s="27">
        <f>IF(AND($M858="",$N858=""),"",IF($M858&lt;&gt;"",INDEX(CalcDateA,$M858),INDEX(CalcDateB,$N858)))</f>
        <v/>
      </c>
      <c r="C858" s="27">
        <f>IF($M858&lt;&gt;"","خرید سبد",IF($N858&lt;&gt;"",IF(N(INDEX(CalcDepB,$N858))&gt;0,"دریافت بانکی","پرداخت بانکی"),""))</f>
        <v/>
      </c>
      <c r="D858" s="27">
        <f>IF($M858&lt;&gt;"",IF(INDEX(CalcDocA,$M858)="","—",INDEX(CalcDocA,$M858)),IF($N858&lt;&gt;"",INDEX(CalcBankB,$N858),""))</f>
        <v/>
      </c>
      <c r="E858" s="28">
        <f>IF($N858&lt;&gt;"",IF(INDEX(CalcDepB,$N858)=0,"",INDEX(CalcDepB,$N858)),"")</f>
        <v/>
      </c>
      <c r="F858" s="28">
        <f>IF($M858&lt;&gt;"",IF(INDEX(CalcQtyA,$M858)=0,"",INDEX(CalcQtyA,$M858)),"")</f>
        <v/>
      </c>
      <c r="G858" s="28">
        <f>IF($M858&lt;&gt;"",IF(INDEX(CalcPriceA,$M858)=0,"",INDEX(CalcPriceA,$M858)),"")</f>
        <v/>
      </c>
      <c r="H858" s="28">
        <f>IF($N858&lt;&gt;"",IF(INDEX(CalcWitB,$N858)=0,"",INDEX(CalcWitB,$N858)),"")</f>
        <v/>
      </c>
      <c r="I858" s="29">
        <f>IF($M858&lt;&gt;"",INDEX(CalcAmtA,$M858),"")</f>
        <v/>
      </c>
      <c r="J858" s="29">
        <f>IF($B858="","",IF($J857="",$C$8,$J857)+IF($I858="",0,$I858)+IF($E858="",0,$E858)-IF($H858="",0,$H858))</f>
        <v/>
      </c>
      <c r="K858" s="30">
        <f>IF($M858&lt;&gt;"",IF(INDEX(CalcNoteA,$M858)="","—",INDEX(CalcNoteA,$M858)),IF($N858&lt;&gt;"",IF(INDEX(CalcNoteB,$N858)="","—",INDEX(CalcNoteB,$N858)),""))</f>
        <v/>
      </c>
      <c r="M858">
        <f>IFERROR(MATCH($C$5&amp;"|"&amp;RIGHT("000000"&amp;842,6),CalcRankKeyA,0),"")</f>
        <v/>
      </c>
      <c r="N858">
        <f>IFERROR(MATCH($C$5&amp;"|"&amp;RIGHT("000000"&amp;842,6),CalcRankKeyB,0),"")</f>
        <v/>
      </c>
    </row>
    <row r="859">
      <c r="A859" s="21" t="n">
        <v>843</v>
      </c>
      <c r="B859" s="22">
        <f>IF(AND($M859="",$N859=""),"",IF($M859&lt;&gt;"",INDEX(CalcDateA,$M859),INDEX(CalcDateB,$N859)))</f>
        <v/>
      </c>
      <c r="C859" s="22">
        <f>IF($M859&lt;&gt;"","خرید سبد",IF($N859&lt;&gt;"",IF(N(INDEX(CalcDepB,$N859))&gt;0,"دریافت بانکی","پرداخت بانکی"),""))</f>
        <v/>
      </c>
      <c r="D859" s="22">
        <f>IF($M859&lt;&gt;"",IF(INDEX(CalcDocA,$M859)="","—",INDEX(CalcDocA,$M859)),IF($N859&lt;&gt;"",INDEX(CalcBankB,$N859),""))</f>
        <v/>
      </c>
      <c r="E859" s="23">
        <f>IF($N859&lt;&gt;"",IF(INDEX(CalcDepB,$N859)=0,"",INDEX(CalcDepB,$N859)),"")</f>
        <v/>
      </c>
      <c r="F859" s="23">
        <f>IF($M859&lt;&gt;"",IF(INDEX(CalcQtyA,$M859)=0,"",INDEX(CalcQtyA,$M859)),"")</f>
        <v/>
      </c>
      <c r="G859" s="23">
        <f>IF($M859&lt;&gt;"",IF(INDEX(CalcPriceA,$M859)=0,"",INDEX(CalcPriceA,$M859)),"")</f>
        <v/>
      </c>
      <c r="H859" s="23">
        <f>IF($N859&lt;&gt;"",IF(INDEX(CalcWitB,$N859)=0,"",INDEX(CalcWitB,$N859)),"")</f>
        <v/>
      </c>
      <c r="I859" s="24">
        <f>IF($M859&lt;&gt;"",INDEX(CalcAmtA,$M859),"")</f>
        <v/>
      </c>
      <c r="J859" s="24">
        <f>IF($B859="","",IF($J858="",$C$8,$J858)+IF($I859="",0,$I859)+IF($E859="",0,$E859)-IF($H859="",0,$H859))</f>
        <v/>
      </c>
      <c r="K859" s="25">
        <f>IF($M859&lt;&gt;"",IF(INDEX(CalcNoteA,$M859)="","—",INDEX(CalcNoteA,$M859)),IF($N859&lt;&gt;"",IF(INDEX(CalcNoteB,$N859)="","—",INDEX(CalcNoteB,$N859)),""))</f>
        <v/>
      </c>
      <c r="M859">
        <f>IFERROR(MATCH($C$5&amp;"|"&amp;RIGHT("000000"&amp;843,6),CalcRankKeyA,0),"")</f>
        <v/>
      </c>
      <c r="N859">
        <f>IFERROR(MATCH($C$5&amp;"|"&amp;RIGHT("000000"&amp;843,6),CalcRankKeyB,0),"")</f>
        <v/>
      </c>
    </row>
    <row r="860">
      <c r="A860" s="26" t="n">
        <v>844</v>
      </c>
      <c r="B860" s="27">
        <f>IF(AND($M860="",$N860=""),"",IF($M860&lt;&gt;"",INDEX(CalcDateA,$M860),INDEX(CalcDateB,$N860)))</f>
        <v/>
      </c>
      <c r="C860" s="27">
        <f>IF($M860&lt;&gt;"","خرید سبد",IF($N860&lt;&gt;"",IF(N(INDEX(CalcDepB,$N860))&gt;0,"دریافت بانکی","پرداخت بانکی"),""))</f>
        <v/>
      </c>
      <c r="D860" s="27">
        <f>IF($M860&lt;&gt;"",IF(INDEX(CalcDocA,$M860)="","—",INDEX(CalcDocA,$M860)),IF($N860&lt;&gt;"",INDEX(CalcBankB,$N860),""))</f>
        <v/>
      </c>
      <c r="E860" s="28">
        <f>IF($N860&lt;&gt;"",IF(INDEX(CalcDepB,$N860)=0,"",INDEX(CalcDepB,$N860)),"")</f>
        <v/>
      </c>
      <c r="F860" s="28">
        <f>IF($M860&lt;&gt;"",IF(INDEX(CalcQtyA,$M860)=0,"",INDEX(CalcQtyA,$M860)),"")</f>
        <v/>
      </c>
      <c r="G860" s="28">
        <f>IF($M860&lt;&gt;"",IF(INDEX(CalcPriceA,$M860)=0,"",INDEX(CalcPriceA,$M860)),"")</f>
        <v/>
      </c>
      <c r="H860" s="28">
        <f>IF($N860&lt;&gt;"",IF(INDEX(CalcWitB,$N860)=0,"",INDEX(CalcWitB,$N860)),"")</f>
        <v/>
      </c>
      <c r="I860" s="29">
        <f>IF($M860&lt;&gt;"",INDEX(CalcAmtA,$M860),"")</f>
        <v/>
      </c>
      <c r="J860" s="29">
        <f>IF($B860="","",IF($J859="",$C$8,$J859)+IF($I860="",0,$I860)+IF($E860="",0,$E860)-IF($H860="",0,$H860))</f>
        <v/>
      </c>
      <c r="K860" s="30">
        <f>IF($M860&lt;&gt;"",IF(INDEX(CalcNoteA,$M860)="","—",INDEX(CalcNoteA,$M860)),IF($N860&lt;&gt;"",IF(INDEX(CalcNoteB,$N860)="","—",INDEX(CalcNoteB,$N860)),""))</f>
        <v/>
      </c>
      <c r="M860">
        <f>IFERROR(MATCH($C$5&amp;"|"&amp;RIGHT("000000"&amp;844,6),CalcRankKeyA,0),"")</f>
        <v/>
      </c>
      <c r="N860">
        <f>IFERROR(MATCH($C$5&amp;"|"&amp;RIGHT("000000"&amp;844,6),CalcRankKeyB,0),"")</f>
        <v/>
      </c>
    </row>
    <row r="861">
      <c r="A861" s="21" t="n">
        <v>845</v>
      </c>
      <c r="B861" s="22">
        <f>IF(AND($M861="",$N861=""),"",IF($M861&lt;&gt;"",INDEX(CalcDateA,$M861),INDEX(CalcDateB,$N861)))</f>
        <v/>
      </c>
      <c r="C861" s="22">
        <f>IF($M861&lt;&gt;"","خرید سبد",IF($N861&lt;&gt;"",IF(N(INDEX(CalcDepB,$N861))&gt;0,"دریافت بانکی","پرداخت بانکی"),""))</f>
        <v/>
      </c>
      <c r="D861" s="22">
        <f>IF($M861&lt;&gt;"",IF(INDEX(CalcDocA,$M861)="","—",INDEX(CalcDocA,$M861)),IF($N861&lt;&gt;"",INDEX(CalcBankB,$N861),""))</f>
        <v/>
      </c>
      <c r="E861" s="23">
        <f>IF($N861&lt;&gt;"",IF(INDEX(CalcDepB,$N861)=0,"",INDEX(CalcDepB,$N861)),"")</f>
        <v/>
      </c>
      <c r="F861" s="23">
        <f>IF($M861&lt;&gt;"",IF(INDEX(CalcQtyA,$M861)=0,"",INDEX(CalcQtyA,$M861)),"")</f>
        <v/>
      </c>
      <c r="G861" s="23">
        <f>IF($M861&lt;&gt;"",IF(INDEX(CalcPriceA,$M861)=0,"",INDEX(CalcPriceA,$M861)),"")</f>
        <v/>
      </c>
      <c r="H861" s="23">
        <f>IF($N861&lt;&gt;"",IF(INDEX(CalcWitB,$N861)=0,"",INDEX(CalcWitB,$N861)),"")</f>
        <v/>
      </c>
      <c r="I861" s="24">
        <f>IF($M861&lt;&gt;"",INDEX(CalcAmtA,$M861),"")</f>
        <v/>
      </c>
      <c r="J861" s="24">
        <f>IF($B861="","",IF($J860="",$C$8,$J860)+IF($I861="",0,$I861)+IF($E861="",0,$E861)-IF($H861="",0,$H861))</f>
        <v/>
      </c>
      <c r="K861" s="25">
        <f>IF($M861&lt;&gt;"",IF(INDEX(CalcNoteA,$M861)="","—",INDEX(CalcNoteA,$M861)),IF($N861&lt;&gt;"",IF(INDEX(CalcNoteB,$N861)="","—",INDEX(CalcNoteB,$N861)),""))</f>
        <v/>
      </c>
      <c r="M861">
        <f>IFERROR(MATCH($C$5&amp;"|"&amp;RIGHT("000000"&amp;845,6),CalcRankKeyA,0),"")</f>
        <v/>
      </c>
      <c r="N861">
        <f>IFERROR(MATCH($C$5&amp;"|"&amp;RIGHT("000000"&amp;845,6),CalcRankKeyB,0),"")</f>
        <v/>
      </c>
    </row>
    <row r="862">
      <c r="A862" s="26" t="n">
        <v>846</v>
      </c>
      <c r="B862" s="27">
        <f>IF(AND($M862="",$N862=""),"",IF($M862&lt;&gt;"",INDEX(CalcDateA,$M862),INDEX(CalcDateB,$N862)))</f>
        <v/>
      </c>
      <c r="C862" s="27">
        <f>IF($M862&lt;&gt;"","خرید سبد",IF($N862&lt;&gt;"",IF(N(INDEX(CalcDepB,$N862))&gt;0,"دریافت بانکی","پرداخت بانکی"),""))</f>
        <v/>
      </c>
      <c r="D862" s="27">
        <f>IF($M862&lt;&gt;"",IF(INDEX(CalcDocA,$M862)="","—",INDEX(CalcDocA,$M862)),IF($N862&lt;&gt;"",INDEX(CalcBankB,$N862),""))</f>
        <v/>
      </c>
      <c r="E862" s="28">
        <f>IF($N862&lt;&gt;"",IF(INDEX(CalcDepB,$N862)=0,"",INDEX(CalcDepB,$N862)),"")</f>
        <v/>
      </c>
      <c r="F862" s="28">
        <f>IF($M862&lt;&gt;"",IF(INDEX(CalcQtyA,$M862)=0,"",INDEX(CalcQtyA,$M862)),"")</f>
        <v/>
      </c>
      <c r="G862" s="28">
        <f>IF($M862&lt;&gt;"",IF(INDEX(CalcPriceA,$M862)=0,"",INDEX(CalcPriceA,$M862)),"")</f>
        <v/>
      </c>
      <c r="H862" s="28">
        <f>IF($N862&lt;&gt;"",IF(INDEX(CalcWitB,$N862)=0,"",INDEX(CalcWitB,$N862)),"")</f>
        <v/>
      </c>
      <c r="I862" s="29">
        <f>IF($M862&lt;&gt;"",INDEX(CalcAmtA,$M862),"")</f>
        <v/>
      </c>
      <c r="J862" s="29">
        <f>IF($B862="","",IF($J861="",$C$8,$J861)+IF($I862="",0,$I862)+IF($E862="",0,$E862)-IF($H862="",0,$H862))</f>
        <v/>
      </c>
      <c r="K862" s="30">
        <f>IF($M862&lt;&gt;"",IF(INDEX(CalcNoteA,$M862)="","—",INDEX(CalcNoteA,$M862)),IF($N862&lt;&gt;"",IF(INDEX(CalcNoteB,$N862)="","—",INDEX(CalcNoteB,$N862)),""))</f>
        <v/>
      </c>
      <c r="M862">
        <f>IFERROR(MATCH($C$5&amp;"|"&amp;RIGHT("000000"&amp;846,6),CalcRankKeyA,0),"")</f>
        <v/>
      </c>
      <c r="N862">
        <f>IFERROR(MATCH($C$5&amp;"|"&amp;RIGHT("000000"&amp;846,6),CalcRankKeyB,0),"")</f>
        <v/>
      </c>
    </row>
    <row r="863">
      <c r="A863" s="21" t="n">
        <v>847</v>
      </c>
      <c r="B863" s="22">
        <f>IF(AND($M863="",$N863=""),"",IF($M863&lt;&gt;"",INDEX(CalcDateA,$M863),INDEX(CalcDateB,$N863)))</f>
        <v/>
      </c>
      <c r="C863" s="22">
        <f>IF($M863&lt;&gt;"","خرید سبد",IF($N863&lt;&gt;"",IF(N(INDEX(CalcDepB,$N863))&gt;0,"دریافت بانکی","پرداخت بانکی"),""))</f>
        <v/>
      </c>
      <c r="D863" s="22">
        <f>IF($M863&lt;&gt;"",IF(INDEX(CalcDocA,$M863)="","—",INDEX(CalcDocA,$M863)),IF($N863&lt;&gt;"",INDEX(CalcBankB,$N863),""))</f>
        <v/>
      </c>
      <c r="E863" s="23">
        <f>IF($N863&lt;&gt;"",IF(INDEX(CalcDepB,$N863)=0,"",INDEX(CalcDepB,$N863)),"")</f>
        <v/>
      </c>
      <c r="F863" s="23">
        <f>IF($M863&lt;&gt;"",IF(INDEX(CalcQtyA,$M863)=0,"",INDEX(CalcQtyA,$M863)),"")</f>
        <v/>
      </c>
      <c r="G863" s="23">
        <f>IF($M863&lt;&gt;"",IF(INDEX(CalcPriceA,$M863)=0,"",INDEX(CalcPriceA,$M863)),"")</f>
        <v/>
      </c>
      <c r="H863" s="23">
        <f>IF($N863&lt;&gt;"",IF(INDEX(CalcWitB,$N863)=0,"",INDEX(CalcWitB,$N863)),"")</f>
        <v/>
      </c>
      <c r="I863" s="24">
        <f>IF($M863&lt;&gt;"",INDEX(CalcAmtA,$M863),"")</f>
        <v/>
      </c>
      <c r="J863" s="24">
        <f>IF($B863="","",IF($J862="",$C$8,$J862)+IF($I863="",0,$I863)+IF($E863="",0,$E863)-IF($H863="",0,$H863))</f>
        <v/>
      </c>
      <c r="K863" s="25">
        <f>IF($M863&lt;&gt;"",IF(INDEX(CalcNoteA,$M863)="","—",INDEX(CalcNoteA,$M863)),IF($N863&lt;&gt;"",IF(INDEX(CalcNoteB,$N863)="","—",INDEX(CalcNoteB,$N863)),""))</f>
        <v/>
      </c>
      <c r="M863">
        <f>IFERROR(MATCH($C$5&amp;"|"&amp;RIGHT("000000"&amp;847,6),CalcRankKeyA,0),"")</f>
        <v/>
      </c>
      <c r="N863">
        <f>IFERROR(MATCH($C$5&amp;"|"&amp;RIGHT("000000"&amp;847,6),CalcRankKeyB,0),"")</f>
        <v/>
      </c>
    </row>
    <row r="864">
      <c r="A864" s="26" t="n">
        <v>848</v>
      </c>
      <c r="B864" s="27">
        <f>IF(AND($M864="",$N864=""),"",IF($M864&lt;&gt;"",INDEX(CalcDateA,$M864),INDEX(CalcDateB,$N864)))</f>
        <v/>
      </c>
      <c r="C864" s="27">
        <f>IF($M864&lt;&gt;"","خرید سبد",IF($N864&lt;&gt;"",IF(N(INDEX(CalcDepB,$N864))&gt;0,"دریافت بانکی","پرداخت بانکی"),""))</f>
        <v/>
      </c>
      <c r="D864" s="27">
        <f>IF($M864&lt;&gt;"",IF(INDEX(CalcDocA,$M864)="","—",INDEX(CalcDocA,$M864)),IF($N864&lt;&gt;"",INDEX(CalcBankB,$N864),""))</f>
        <v/>
      </c>
      <c r="E864" s="28">
        <f>IF($N864&lt;&gt;"",IF(INDEX(CalcDepB,$N864)=0,"",INDEX(CalcDepB,$N864)),"")</f>
        <v/>
      </c>
      <c r="F864" s="28">
        <f>IF($M864&lt;&gt;"",IF(INDEX(CalcQtyA,$M864)=0,"",INDEX(CalcQtyA,$M864)),"")</f>
        <v/>
      </c>
      <c r="G864" s="28">
        <f>IF($M864&lt;&gt;"",IF(INDEX(CalcPriceA,$M864)=0,"",INDEX(CalcPriceA,$M864)),"")</f>
        <v/>
      </c>
      <c r="H864" s="28">
        <f>IF($N864&lt;&gt;"",IF(INDEX(CalcWitB,$N864)=0,"",INDEX(CalcWitB,$N864)),"")</f>
        <v/>
      </c>
      <c r="I864" s="29">
        <f>IF($M864&lt;&gt;"",INDEX(CalcAmtA,$M864),"")</f>
        <v/>
      </c>
      <c r="J864" s="29">
        <f>IF($B864="","",IF($J863="",$C$8,$J863)+IF($I864="",0,$I864)+IF($E864="",0,$E864)-IF($H864="",0,$H864))</f>
        <v/>
      </c>
      <c r="K864" s="30">
        <f>IF($M864&lt;&gt;"",IF(INDEX(CalcNoteA,$M864)="","—",INDEX(CalcNoteA,$M864)),IF($N864&lt;&gt;"",IF(INDEX(CalcNoteB,$N864)="","—",INDEX(CalcNoteB,$N864)),""))</f>
        <v/>
      </c>
      <c r="M864">
        <f>IFERROR(MATCH($C$5&amp;"|"&amp;RIGHT("000000"&amp;848,6),CalcRankKeyA,0),"")</f>
        <v/>
      </c>
      <c r="N864">
        <f>IFERROR(MATCH($C$5&amp;"|"&amp;RIGHT("000000"&amp;848,6),CalcRankKeyB,0),"")</f>
        <v/>
      </c>
    </row>
    <row r="865">
      <c r="A865" s="21" t="n">
        <v>849</v>
      </c>
      <c r="B865" s="22">
        <f>IF(AND($M865="",$N865=""),"",IF($M865&lt;&gt;"",INDEX(CalcDateA,$M865),INDEX(CalcDateB,$N865)))</f>
        <v/>
      </c>
      <c r="C865" s="22">
        <f>IF($M865&lt;&gt;"","خرید سبد",IF($N865&lt;&gt;"",IF(N(INDEX(CalcDepB,$N865))&gt;0,"دریافت بانکی","پرداخت بانکی"),""))</f>
        <v/>
      </c>
      <c r="D865" s="22">
        <f>IF($M865&lt;&gt;"",IF(INDEX(CalcDocA,$M865)="","—",INDEX(CalcDocA,$M865)),IF($N865&lt;&gt;"",INDEX(CalcBankB,$N865),""))</f>
        <v/>
      </c>
      <c r="E865" s="23">
        <f>IF($N865&lt;&gt;"",IF(INDEX(CalcDepB,$N865)=0,"",INDEX(CalcDepB,$N865)),"")</f>
        <v/>
      </c>
      <c r="F865" s="23">
        <f>IF($M865&lt;&gt;"",IF(INDEX(CalcQtyA,$M865)=0,"",INDEX(CalcQtyA,$M865)),"")</f>
        <v/>
      </c>
      <c r="G865" s="23">
        <f>IF($M865&lt;&gt;"",IF(INDEX(CalcPriceA,$M865)=0,"",INDEX(CalcPriceA,$M865)),"")</f>
        <v/>
      </c>
      <c r="H865" s="23">
        <f>IF($N865&lt;&gt;"",IF(INDEX(CalcWitB,$N865)=0,"",INDEX(CalcWitB,$N865)),"")</f>
        <v/>
      </c>
      <c r="I865" s="24">
        <f>IF($M865&lt;&gt;"",INDEX(CalcAmtA,$M865),"")</f>
        <v/>
      </c>
      <c r="J865" s="24">
        <f>IF($B865="","",IF($J864="",$C$8,$J864)+IF($I865="",0,$I865)+IF($E865="",0,$E865)-IF($H865="",0,$H865))</f>
        <v/>
      </c>
      <c r="K865" s="25">
        <f>IF($M865&lt;&gt;"",IF(INDEX(CalcNoteA,$M865)="","—",INDEX(CalcNoteA,$M865)),IF($N865&lt;&gt;"",IF(INDEX(CalcNoteB,$N865)="","—",INDEX(CalcNoteB,$N865)),""))</f>
        <v/>
      </c>
      <c r="M865">
        <f>IFERROR(MATCH($C$5&amp;"|"&amp;RIGHT("000000"&amp;849,6),CalcRankKeyA,0),"")</f>
        <v/>
      </c>
      <c r="N865">
        <f>IFERROR(MATCH($C$5&amp;"|"&amp;RIGHT("000000"&amp;849,6),CalcRankKeyB,0),"")</f>
        <v/>
      </c>
    </row>
    <row r="866">
      <c r="A866" s="26" t="n">
        <v>850</v>
      </c>
      <c r="B866" s="27">
        <f>IF(AND($M866="",$N866=""),"",IF($M866&lt;&gt;"",INDEX(CalcDateA,$M866),INDEX(CalcDateB,$N866)))</f>
        <v/>
      </c>
      <c r="C866" s="27">
        <f>IF($M866&lt;&gt;"","خرید سبد",IF($N866&lt;&gt;"",IF(N(INDEX(CalcDepB,$N866))&gt;0,"دریافت بانکی","پرداخت بانکی"),""))</f>
        <v/>
      </c>
      <c r="D866" s="27">
        <f>IF($M866&lt;&gt;"",IF(INDEX(CalcDocA,$M866)="","—",INDEX(CalcDocA,$M866)),IF($N866&lt;&gt;"",INDEX(CalcBankB,$N866),""))</f>
        <v/>
      </c>
      <c r="E866" s="28">
        <f>IF($N866&lt;&gt;"",IF(INDEX(CalcDepB,$N866)=0,"",INDEX(CalcDepB,$N866)),"")</f>
        <v/>
      </c>
      <c r="F866" s="28">
        <f>IF($M866&lt;&gt;"",IF(INDEX(CalcQtyA,$M866)=0,"",INDEX(CalcQtyA,$M866)),"")</f>
        <v/>
      </c>
      <c r="G866" s="28">
        <f>IF($M866&lt;&gt;"",IF(INDEX(CalcPriceA,$M866)=0,"",INDEX(CalcPriceA,$M866)),"")</f>
        <v/>
      </c>
      <c r="H866" s="28">
        <f>IF($N866&lt;&gt;"",IF(INDEX(CalcWitB,$N866)=0,"",INDEX(CalcWitB,$N866)),"")</f>
        <v/>
      </c>
      <c r="I866" s="29">
        <f>IF($M866&lt;&gt;"",INDEX(CalcAmtA,$M866),"")</f>
        <v/>
      </c>
      <c r="J866" s="29">
        <f>IF($B866="","",IF($J865="",$C$8,$J865)+IF($I866="",0,$I866)+IF($E866="",0,$E866)-IF($H866="",0,$H866))</f>
        <v/>
      </c>
      <c r="K866" s="30">
        <f>IF($M866&lt;&gt;"",IF(INDEX(CalcNoteA,$M866)="","—",INDEX(CalcNoteA,$M866)),IF($N866&lt;&gt;"",IF(INDEX(CalcNoteB,$N866)="","—",INDEX(CalcNoteB,$N866)),""))</f>
        <v/>
      </c>
      <c r="M866">
        <f>IFERROR(MATCH($C$5&amp;"|"&amp;RIGHT("000000"&amp;850,6),CalcRankKeyA,0),"")</f>
        <v/>
      </c>
      <c r="N866">
        <f>IFERROR(MATCH($C$5&amp;"|"&amp;RIGHT("000000"&amp;850,6),CalcRankKeyB,0),"")</f>
        <v/>
      </c>
    </row>
    <row r="867">
      <c r="A867" s="21" t="n">
        <v>851</v>
      </c>
      <c r="B867" s="22">
        <f>IF(AND($M867="",$N867=""),"",IF($M867&lt;&gt;"",INDEX(CalcDateA,$M867),INDEX(CalcDateB,$N867)))</f>
        <v/>
      </c>
      <c r="C867" s="22">
        <f>IF($M867&lt;&gt;"","خرید سبد",IF($N867&lt;&gt;"",IF(N(INDEX(CalcDepB,$N867))&gt;0,"دریافت بانکی","پرداخت بانکی"),""))</f>
        <v/>
      </c>
      <c r="D867" s="22">
        <f>IF($M867&lt;&gt;"",IF(INDEX(CalcDocA,$M867)="","—",INDEX(CalcDocA,$M867)),IF($N867&lt;&gt;"",INDEX(CalcBankB,$N867),""))</f>
        <v/>
      </c>
      <c r="E867" s="23">
        <f>IF($N867&lt;&gt;"",IF(INDEX(CalcDepB,$N867)=0,"",INDEX(CalcDepB,$N867)),"")</f>
        <v/>
      </c>
      <c r="F867" s="23">
        <f>IF($M867&lt;&gt;"",IF(INDEX(CalcQtyA,$M867)=0,"",INDEX(CalcQtyA,$M867)),"")</f>
        <v/>
      </c>
      <c r="G867" s="23">
        <f>IF($M867&lt;&gt;"",IF(INDEX(CalcPriceA,$M867)=0,"",INDEX(CalcPriceA,$M867)),"")</f>
        <v/>
      </c>
      <c r="H867" s="23">
        <f>IF($N867&lt;&gt;"",IF(INDEX(CalcWitB,$N867)=0,"",INDEX(CalcWitB,$N867)),"")</f>
        <v/>
      </c>
      <c r="I867" s="24">
        <f>IF($M867&lt;&gt;"",INDEX(CalcAmtA,$M867),"")</f>
        <v/>
      </c>
      <c r="J867" s="24">
        <f>IF($B867="","",IF($J866="",$C$8,$J866)+IF($I867="",0,$I867)+IF($E867="",0,$E867)-IF($H867="",0,$H867))</f>
        <v/>
      </c>
      <c r="K867" s="25">
        <f>IF($M867&lt;&gt;"",IF(INDEX(CalcNoteA,$M867)="","—",INDEX(CalcNoteA,$M867)),IF($N867&lt;&gt;"",IF(INDEX(CalcNoteB,$N867)="","—",INDEX(CalcNoteB,$N867)),""))</f>
        <v/>
      </c>
      <c r="M867">
        <f>IFERROR(MATCH($C$5&amp;"|"&amp;RIGHT("000000"&amp;851,6),CalcRankKeyA,0),"")</f>
        <v/>
      </c>
      <c r="N867">
        <f>IFERROR(MATCH($C$5&amp;"|"&amp;RIGHT("000000"&amp;851,6),CalcRankKeyB,0),"")</f>
        <v/>
      </c>
    </row>
    <row r="868">
      <c r="A868" s="26" t="n">
        <v>852</v>
      </c>
      <c r="B868" s="27">
        <f>IF(AND($M868="",$N868=""),"",IF($M868&lt;&gt;"",INDEX(CalcDateA,$M868),INDEX(CalcDateB,$N868)))</f>
        <v/>
      </c>
      <c r="C868" s="27">
        <f>IF($M868&lt;&gt;"","خرید سبد",IF($N868&lt;&gt;"",IF(N(INDEX(CalcDepB,$N868))&gt;0,"دریافت بانکی","پرداخت بانکی"),""))</f>
        <v/>
      </c>
      <c r="D868" s="27">
        <f>IF($M868&lt;&gt;"",IF(INDEX(CalcDocA,$M868)="","—",INDEX(CalcDocA,$M868)),IF($N868&lt;&gt;"",INDEX(CalcBankB,$N868),""))</f>
        <v/>
      </c>
      <c r="E868" s="28">
        <f>IF($N868&lt;&gt;"",IF(INDEX(CalcDepB,$N868)=0,"",INDEX(CalcDepB,$N868)),"")</f>
        <v/>
      </c>
      <c r="F868" s="28">
        <f>IF($M868&lt;&gt;"",IF(INDEX(CalcQtyA,$M868)=0,"",INDEX(CalcQtyA,$M868)),"")</f>
        <v/>
      </c>
      <c r="G868" s="28">
        <f>IF($M868&lt;&gt;"",IF(INDEX(CalcPriceA,$M868)=0,"",INDEX(CalcPriceA,$M868)),"")</f>
        <v/>
      </c>
      <c r="H868" s="28">
        <f>IF($N868&lt;&gt;"",IF(INDEX(CalcWitB,$N868)=0,"",INDEX(CalcWitB,$N868)),"")</f>
        <v/>
      </c>
      <c r="I868" s="29">
        <f>IF($M868&lt;&gt;"",INDEX(CalcAmtA,$M868),"")</f>
        <v/>
      </c>
      <c r="J868" s="29">
        <f>IF($B868="","",IF($J867="",$C$8,$J867)+IF($I868="",0,$I868)+IF($E868="",0,$E868)-IF($H868="",0,$H868))</f>
        <v/>
      </c>
      <c r="K868" s="30">
        <f>IF($M868&lt;&gt;"",IF(INDEX(CalcNoteA,$M868)="","—",INDEX(CalcNoteA,$M868)),IF($N868&lt;&gt;"",IF(INDEX(CalcNoteB,$N868)="","—",INDEX(CalcNoteB,$N868)),""))</f>
        <v/>
      </c>
      <c r="M868">
        <f>IFERROR(MATCH($C$5&amp;"|"&amp;RIGHT("000000"&amp;852,6),CalcRankKeyA,0),"")</f>
        <v/>
      </c>
      <c r="N868">
        <f>IFERROR(MATCH($C$5&amp;"|"&amp;RIGHT("000000"&amp;852,6),CalcRankKeyB,0),"")</f>
        <v/>
      </c>
    </row>
    <row r="869">
      <c r="A869" s="21" t="n">
        <v>853</v>
      </c>
      <c r="B869" s="22">
        <f>IF(AND($M869="",$N869=""),"",IF($M869&lt;&gt;"",INDEX(CalcDateA,$M869),INDEX(CalcDateB,$N869)))</f>
        <v/>
      </c>
      <c r="C869" s="22">
        <f>IF($M869&lt;&gt;"","خرید سبد",IF($N869&lt;&gt;"",IF(N(INDEX(CalcDepB,$N869))&gt;0,"دریافت بانکی","پرداخت بانکی"),""))</f>
        <v/>
      </c>
      <c r="D869" s="22">
        <f>IF($M869&lt;&gt;"",IF(INDEX(CalcDocA,$M869)="","—",INDEX(CalcDocA,$M869)),IF($N869&lt;&gt;"",INDEX(CalcBankB,$N869),""))</f>
        <v/>
      </c>
      <c r="E869" s="23">
        <f>IF($N869&lt;&gt;"",IF(INDEX(CalcDepB,$N869)=0,"",INDEX(CalcDepB,$N869)),"")</f>
        <v/>
      </c>
      <c r="F869" s="23">
        <f>IF($M869&lt;&gt;"",IF(INDEX(CalcQtyA,$M869)=0,"",INDEX(CalcQtyA,$M869)),"")</f>
        <v/>
      </c>
      <c r="G869" s="23">
        <f>IF($M869&lt;&gt;"",IF(INDEX(CalcPriceA,$M869)=0,"",INDEX(CalcPriceA,$M869)),"")</f>
        <v/>
      </c>
      <c r="H869" s="23">
        <f>IF($N869&lt;&gt;"",IF(INDEX(CalcWitB,$N869)=0,"",INDEX(CalcWitB,$N869)),"")</f>
        <v/>
      </c>
      <c r="I869" s="24">
        <f>IF($M869&lt;&gt;"",INDEX(CalcAmtA,$M869),"")</f>
        <v/>
      </c>
      <c r="J869" s="24">
        <f>IF($B869="","",IF($J868="",$C$8,$J868)+IF($I869="",0,$I869)+IF($E869="",0,$E869)-IF($H869="",0,$H869))</f>
        <v/>
      </c>
      <c r="K869" s="25">
        <f>IF($M869&lt;&gt;"",IF(INDEX(CalcNoteA,$M869)="","—",INDEX(CalcNoteA,$M869)),IF($N869&lt;&gt;"",IF(INDEX(CalcNoteB,$N869)="","—",INDEX(CalcNoteB,$N869)),""))</f>
        <v/>
      </c>
      <c r="M869">
        <f>IFERROR(MATCH($C$5&amp;"|"&amp;RIGHT("000000"&amp;853,6),CalcRankKeyA,0),"")</f>
        <v/>
      </c>
      <c r="N869">
        <f>IFERROR(MATCH($C$5&amp;"|"&amp;RIGHT("000000"&amp;853,6),CalcRankKeyB,0),"")</f>
        <v/>
      </c>
    </row>
    <row r="870">
      <c r="A870" s="26" t="n">
        <v>854</v>
      </c>
      <c r="B870" s="27">
        <f>IF(AND($M870="",$N870=""),"",IF($M870&lt;&gt;"",INDEX(CalcDateA,$M870),INDEX(CalcDateB,$N870)))</f>
        <v/>
      </c>
      <c r="C870" s="27">
        <f>IF($M870&lt;&gt;"","خرید سبد",IF($N870&lt;&gt;"",IF(N(INDEX(CalcDepB,$N870))&gt;0,"دریافت بانکی","پرداخت بانکی"),""))</f>
        <v/>
      </c>
      <c r="D870" s="27">
        <f>IF($M870&lt;&gt;"",IF(INDEX(CalcDocA,$M870)="","—",INDEX(CalcDocA,$M870)),IF($N870&lt;&gt;"",INDEX(CalcBankB,$N870),""))</f>
        <v/>
      </c>
      <c r="E870" s="28">
        <f>IF($N870&lt;&gt;"",IF(INDEX(CalcDepB,$N870)=0,"",INDEX(CalcDepB,$N870)),"")</f>
        <v/>
      </c>
      <c r="F870" s="28">
        <f>IF($M870&lt;&gt;"",IF(INDEX(CalcQtyA,$M870)=0,"",INDEX(CalcQtyA,$M870)),"")</f>
        <v/>
      </c>
      <c r="G870" s="28">
        <f>IF($M870&lt;&gt;"",IF(INDEX(CalcPriceA,$M870)=0,"",INDEX(CalcPriceA,$M870)),"")</f>
        <v/>
      </c>
      <c r="H870" s="28">
        <f>IF($N870&lt;&gt;"",IF(INDEX(CalcWitB,$N870)=0,"",INDEX(CalcWitB,$N870)),"")</f>
        <v/>
      </c>
      <c r="I870" s="29">
        <f>IF($M870&lt;&gt;"",INDEX(CalcAmtA,$M870),"")</f>
        <v/>
      </c>
      <c r="J870" s="29">
        <f>IF($B870="","",IF($J869="",$C$8,$J869)+IF($I870="",0,$I870)+IF($E870="",0,$E870)-IF($H870="",0,$H870))</f>
        <v/>
      </c>
      <c r="K870" s="30">
        <f>IF($M870&lt;&gt;"",IF(INDEX(CalcNoteA,$M870)="","—",INDEX(CalcNoteA,$M870)),IF($N870&lt;&gt;"",IF(INDEX(CalcNoteB,$N870)="","—",INDEX(CalcNoteB,$N870)),""))</f>
        <v/>
      </c>
      <c r="M870">
        <f>IFERROR(MATCH($C$5&amp;"|"&amp;RIGHT("000000"&amp;854,6),CalcRankKeyA,0),"")</f>
        <v/>
      </c>
      <c r="N870">
        <f>IFERROR(MATCH($C$5&amp;"|"&amp;RIGHT("000000"&amp;854,6),CalcRankKeyB,0),"")</f>
        <v/>
      </c>
    </row>
    <row r="871">
      <c r="A871" s="21" t="n">
        <v>855</v>
      </c>
      <c r="B871" s="22">
        <f>IF(AND($M871="",$N871=""),"",IF($M871&lt;&gt;"",INDEX(CalcDateA,$M871),INDEX(CalcDateB,$N871)))</f>
        <v/>
      </c>
      <c r="C871" s="22">
        <f>IF($M871&lt;&gt;"","خرید سبد",IF($N871&lt;&gt;"",IF(N(INDEX(CalcDepB,$N871))&gt;0,"دریافت بانکی","پرداخت بانکی"),""))</f>
        <v/>
      </c>
      <c r="D871" s="22">
        <f>IF($M871&lt;&gt;"",IF(INDEX(CalcDocA,$M871)="","—",INDEX(CalcDocA,$M871)),IF($N871&lt;&gt;"",INDEX(CalcBankB,$N871),""))</f>
        <v/>
      </c>
      <c r="E871" s="23">
        <f>IF($N871&lt;&gt;"",IF(INDEX(CalcDepB,$N871)=0,"",INDEX(CalcDepB,$N871)),"")</f>
        <v/>
      </c>
      <c r="F871" s="23">
        <f>IF($M871&lt;&gt;"",IF(INDEX(CalcQtyA,$M871)=0,"",INDEX(CalcQtyA,$M871)),"")</f>
        <v/>
      </c>
      <c r="G871" s="23">
        <f>IF($M871&lt;&gt;"",IF(INDEX(CalcPriceA,$M871)=0,"",INDEX(CalcPriceA,$M871)),"")</f>
        <v/>
      </c>
      <c r="H871" s="23">
        <f>IF($N871&lt;&gt;"",IF(INDEX(CalcWitB,$N871)=0,"",INDEX(CalcWitB,$N871)),"")</f>
        <v/>
      </c>
      <c r="I871" s="24">
        <f>IF($M871&lt;&gt;"",INDEX(CalcAmtA,$M871),"")</f>
        <v/>
      </c>
      <c r="J871" s="24">
        <f>IF($B871="","",IF($J870="",$C$8,$J870)+IF($I871="",0,$I871)+IF($E871="",0,$E871)-IF($H871="",0,$H871))</f>
        <v/>
      </c>
      <c r="K871" s="25">
        <f>IF($M871&lt;&gt;"",IF(INDEX(CalcNoteA,$M871)="","—",INDEX(CalcNoteA,$M871)),IF($N871&lt;&gt;"",IF(INDEX(CalcNoteB,$N871)="","—",INDEX(CalcNoteB,$N871)),""))</f>
        <v/>
      </c>
      <c r="M871">
        <f>IFERROR(MATCH($C$5&amp;"|"&amp;RIGHT("000000"&amp;855,6),CalcRankKeyA,0),"")</f>
        <v/>
      </c>
      <c r="N871">
        <f>IFERROR(MATCH($C$5&amp;"|"&amp;RIGHT("000000"&amp;855,6),CalcRankKeyB,0),"")</f>
        <v/>
      </c>
    </row>
    <row r="872">
      <c r="A872" s="26" t="n">
        <v>856</v>
      </c>
      <c r="B872" s="27">
        <f>IF(AND($M872="",$N872=""),"",IF($M872&lt;&gt;"",INDEX(CalcDateA,$M872),INDEX(CalcDateB,$N872)))</f>
        <v/>
      </c>
      <c r="C872" s="27">
        <f>IF($M872&lt;&gt;"","خرید سبد",IF($N872&lt;&gt;"",IF(N(INDEX(CalcDepB,$N872))&gt;0,"دریافت بانکی","پرداخت بانکی"),""))</f>
        <v/>
      </c>
      <c r="D872" s="27">
        <f>IF($M872&lt;&gt;"",IF(INDEX(CalcDocA,$M872)="","—",INDEX(CalcDocA,$M872)),IF($N872&lt;&gt;"",INDEX(CalcBankB,$N872),""))</f>
        <v/>
      </c>
      <c r="E872" s="28">
        <f>IF($N872&lt;&gt;"",IF(INDEX(CalcDepB,$N872)=0,"",INDEX(CalcDepB,$N872)),"")</f>
        <v/>
      </c>
      <c r="F872" s="28">
        <f>IF($M872&lt;&gt;"",IF(INDEX(CalcQtyA,$M872)=0,"",INDEX(CalcQtyA,$M872)),"")</f>
        <v/>
      </c>
      <c r="G872" s="28">
        <f>IF($M872&lt;&gt;"",IF(INDEX(CalcPriceA,$M872)=0,"",INDEX(CalcPriceA,$M872)),"")</f>
        <v/>
      </c>
      <c r="H872" s="28">
        <f>IF($N872&lt;&gt;"",IF(INDEX(CalcWitB,$N872)=0,"",INDEX(CalcWitB,$N872)),"")</f>
        <v/>
      </c>
      <c r="I872" s="29">
        <f>IF($M872&lt;&gt;"",INDEX(CalcAmtA,$M872),"")</f>
        <v/>
      </c>
      <c r="J872" s="29">
        <f>IF($B872="","",IF($J871="",$C$8,$J871)+IF($I872="",0,$I872)+IF($E872="",0,$E872)-IF($H872="",0,$H872))</f>
        <v/>
      </c>
      <c r="K872" s="30">
        <f>IF($M872&lt;&gt;"",IF(INDEX(CalcNoteA,$M872)="","—",INDEX(CalcNoteA,$M872)),IF($N872&lt;&gt;"",IF(INDEX(CalcNoteB,$N872)="","—",INDEX(CalcNoteB,$N872)),""))</f>
        <v/>
      </c>
      <c r="M872">
        <f>IFERROR(MATCH($C$5&amp;"|"&amp;RIGHT("000000"&amp;856,6),CalcRankKeyA,0),"")</f>
        <v/>
      </c>
      <c r="N872">
        <f>IFERROR(MATCH($C$5&amp;"|"&amp;RIGHT("000000"&amp;856,6),CalcRankKeyB,0),"")</f>
        <v/>
      </c>
    </row>
    <row r="873">
      <c r="A873" s="21" t="n">
        <v>857</v>
      </c>
      <c r="B873" s="22">
        <f>IF(AND($M873="",$N873=""),"",IF($M873&lt;&gt;"",INDEX(CalcDateA,$M873),INDEX(CalcDateB,$N873)))</f>
        <v/>
      </c>
      <c r="C873" s="22">
        <f>IF($M873&lt;&gt;"","خرید سبد",IF($N873&lt;&gt;"",IF(N(INDEX(CalcDepB,$N873))&gt;0,"دریافت بانکی","پرداخت بانکی"),""))</f>
        <v/>
      </c>
      <c r="D873" s="22">
        <f>IF($M873&lt;&gt;"",IF(INDEX(CalcDocA,$M873)="","—",INDEX(CalcDocA,$M873)),IF($N873&lt;&gt;"",INDEX(CalcBankB,$N873),""))</f>
        <v/>
      </c>
      <c r="E873" s="23">
        <f>IF($N873&lt;&gt;"",IF(INDEX(CalcDepB,$N873)=0,"",INDEX(CalcDepB,$N873)),"")</f>
        <v/>
      </c>
      <c r="F873" s="23">
        <f>IF($M873&lt;&gt;"",IF(INDEX(CalcQtyA,$M873)=0,"",INDEX(CalcQtyA,$M873)),"")</f>
        <v/>
      </c>
      <c r="G873" s="23">
        <f>IF($M873&lt;&gt;"",IF(INDEX(CalcPriceA,$M873)=0,"",INDEX(CalcPriceA,$M873)),"")</f>
        <v/>
      </c>
      <c r="H873" s="23">
        <f>IF($N873&lt;&gt;"",IF(INDEX(CalcWitB,$N873)=0,"",INDEX(CalcWitB,$N873)),"")</f>
        <v/>
      </c>
      <c r="I873" s="24">
        <f>IF($M873&lt;&gt;"",INDEX(CalcAmtA,$M873),"")</f>
        <v/>
      </c>
      <c r="J873" s="24">
        <f>IF($B873="","",IF($J872="",$C$8,$J872)+IF($I873="",0,$I873)+IF($E873="",0,$E873)-IF($H873="",0,$H873))</f>
        <v/>
      </c>
      <c r="K873" s="25">
        <f>IF($M873&lt;&gt;"",IF(INDEX(CalcNoteA,$M873)="","—",INDEX(CalcNoteA,$M873)),IF($N873&lt;&gt;"",IF(INDEX(CalcNoteB,$N873)="","—",INDEX(CalcNoteB,$N873)),""))</f>
        <v/>
      </c>
      <c r="M873">
        <f>IFERROR(MATCH($C$5&amp;"|"&amp;RIGHT("000000"&amp;857,6),CalcRankKeyA,0),"")</f>
        <v/>
      </c>
      <c r="N873">
        <f>IFERROR(MATCH($C$5&amp;"|"&amp;RIGHT("000000"&amp;857,6),CalcRankKeyB,0),"")</f>
        <v/>
      </c>
    </row>
    <row r="874">
      <c r="A874" s="26" t="n">
        <v>858</v>
      </c>
      <c r="B874" s="27">
        <f>IF(AND($M874="",$N874=""),"",IF($M874&lt;&gt;"",INDEX(CalcDateA,$M874),INDEX(CalcDateB,$N874)))</f>
        <v/>
      </c>
      <c r="C874" s="27">
        <f>IF($M874&lt;&gt;"","خرید سبد",IF($N874&lt;&gt;"",IF(N(INDEX(CalcDepB,$N874))&gt;0,"دریافت بانکی","پرداخت بانکی"),""))</f>
        <v/>
      </c>
      <c r="D874" s="27">
        <f>IF($M874&lt;&gt;"",IF(INDEX(CalcDocA,$M874)="","—",INDEX(CalcDocA,$M874)),IF($N874&lt;&gt;"",INDEX(CalcBankB,$N874),""))</f>
        <v/>
      </c>
      <c r="E874" s="28">
        <f>IF($N874&lt;&gt;"",IF(INDEX(CalcDepB,$N874)=0,"",INDEX(CalcDepB,$N874)),"")</f>
        <v/>
      </c>
      <c r="F874" s="28">
        <f>IF($M874&lt;&gt;"",IF(INDEX(CalcQtyA,$M874)=0,"",INDEX(CalcQtyA,$M874)),"")</f>
        <v/>
      </c>
      <c r="G874" s="28">
        <f>IF($M874&lt;&gt;"",IF(INDEX(CalcPriceA,$M874)=0,"",INDEX(CalcPriceA,$M874)),"")</f>
        <v/>
      </c>
      <c r="H874" s="28">
        <f>IF($N874&lt;&gt;"",IF(INDEX(CalcWitB,$N874)=0,"",INDEX(CalcWitB,$N874)),"")</f>
        <v/>
      </c>
      <c r="I874" s="29">
        <f>IF($M874&lt;&gt;"",INDEX(CalcAmtA,$M874),"")</f>
        <v/>
      </c>
      <c r="J874" s="29">
        <f>IF($B874="","",IF($J873="",$C$8,$J873)+IF($I874="",0,$I874)+IF($E874="",0,$E874)-IF($H874="",0,$H874))</f>
        <v/>
      </c>
      <c r="K874" s="30">
        <f>IF($M874&lt;&gt;"",IF(INDEX(CalcNoteA,$M874)="","—",INDEX(CalcNoteA,$M874)),IF($N874&lt;&gt;"",IF(INDEX(CalcNoteB,$N874)="","—",INDEX(CalcNoteB,$N874)),""))</f>
        <v/>
      </c>
      <c r="M874">
        <f>IFERROR(MATCH($C$5&amp;"|"&amp;RIGHT("000000"&amp;858,6),CalcRankKeyA,0),"")</f>
        <v/>
      </c>
      <c r="N874">
        <f>IFERROR(MATCH($C$5&amp;"|"&amp;RIGHT("000000"&amp;858,6),CalcRankKeyB,0),"")</f>
        <v/>
      </c>
    </row>
    <row r="875">
      <c r="A875" s="21" t="n">
        <v>859</v>
      </c>
      <c r="B875" s="22">
        <f>IF(AND($M875="",$N875=""),"",IF($M875&lt;&gt;"",INDEX(CalcDateA,$M875),INDEX(CalcDateB,$N875)))</f>
        <v/>
      </c>
      <c r="C875" s="22">
        <f>IF($M875&lt;&gt;"","خرید سبد",IF($N875&lt;&gt;"",IF(N(INDEX(CalcDepB,$N875))&gt;0,"دریافت بانکی","پرداخت بانکی"),""))</f>
        <v/>
      </c>
      <c r="D875" s="22">
        <f>IF($M875&lt;&gt;"",IF(INDEX(CalcDocA,$M875)="","—",INDEX(CalcDocA,$M875)),IF($N875&lt;&gt;"",INDEX(CalcBankB,$N875),""))</f>
        <v/>
      </c>
      <c r="E875" s="23">
        <f>IF($N875&lt;&gt;"",IF(INDEX(CalcDepB,$N875)=0,"",INDEX(CalcDepB,$N875)),"")</f>
        <v/>
      </c>
      <c r="F875" s="23">
        <f>IF($M875&lt;&gt;"",IF(INDEX(CalcQtyA,$M875)=0,"",INDEX(CalcQtyA,$M875)),"")</f>
        <v/>
      </c>
      <c r="G875" s="23">
        <f>IF($M875&lt;&gt;"",IF(INDEX(CalcPriceA,$M875)=0,"",INDEX(CalcPriceA,$M875)),"")</f>
        <v/>
      </c>
      <c r="H875" s="23">
        <f>IF($N875&lt;&gt;"",IF(INDEX(CalcWitB,$N875)=0,"",INDEX(CalcWitB,$N875)),"")</f>
        <v/>
      </c>
      <c r="I875" s="24">
        <f>IF($M875&lt;&gt;"",INDEX(CalcAmtA,$M875),"")</f>
        <v/>
      </c>
      <c r="J875" s="24">
        <f>IF($B875="","",IF($J874="",$C$8,$J874)+IF($I875="",0,$I875)+IF($E875="",0,$E875)-IF($H875="",0,$H875))</f>
        <v/>
      </c>
      <c r="K875" s="25">
        <f>IF($M875&lt;&gt;"",IF(INDEX(CalcNoteA,$M875)="","—",INDEX(CalcNoteA,$M875)),IF($N875&lt;&gt;"",IF(INDEX(CalcNoteB,$N875)="","—",INDEX(CalcNoteB,$N875)),""))</f>
        <v/>
      </c>
      <c r="M875">
        <f>IFERROR(MATCH($C$5&amp;"|"&amp;RIGHT("000000"&amp;859,6),CalcRankKeyA,0),"")</f>
        <v/>
      </c>
      <c r="N875">
        <f>IFERROR(MATCH($C$5&amp;"|"&amp;RIGHT("000000"&amp;859,6),CalcRankKeyB,0),"")</f>
        <v/>
      </c>
    </row>
    <row r="876">
      <c r="A876" s="26" t="n">
        <v>860</v>
      </c>
      <c r="B876" s="27">
        <f>IF(AND($M876="",$N876=""),"",IF($M876&lt;&gt;"",INDEX(CalcDateA,$M876),INDEX(CalcDateB,$N876)))</f>
        <v/>
      </c>
      <c r="C876" s="27">
        <f>IF($M876&lt;&gt;"","خرید سبد",IF($N876&lt;&gt;"",IF(N(INDEX(CalcDepB,$N876))&gt;0,"دریافت بانکی","پرداخت بانکی"),""))</f>
        <v/>
      </c>
      <c r="D876" s="27">
        <f>IF($M876&lt;&gt;"",IF(INDEX(CalcDocA,$M876)="","—",INDEX(CalcDocA,$M876)),IF($N876&lt;&gt;"",INDEX(CalcBankB,$N876),""))</f>
        <v/>
      </c>
      <c r="E876" s="28">
        <f>IF($N876&lt;&gt;"",IF(INDEX(CalcDepB,$N876)=0,"",INDEX(CalcDepB,$N876)),"")</f>
        <v/>
      </c>
      <c r="F876" s="28">
        <f>IF($M876&lt;&gt;"",IF(INDEX(CalcQtyA,$M876)=0,"",INDEX(CalcQtyA,$M876)),"")</f>
        <v/>
      </c>
      <c r="G876" s="28">
        <f>IF($M876&lt;&gt;"",IF(INDEX(CalcPriceA,$M876)=0,"",INDEX(CalcPriceA,$M876)),"")</f>
        <v/>
      </c>
      <c r="H876" s="28">
        <f>IF($N876&lt;&gt;"",IF(INDEX(CalcWitB,$N876)=0,"",INDEX(CalcWitB,$N876)),"")</f>
        <v/>
      </c>
      <c r="I876" s="29">
        <f>IF($M876&lt;&gt;"",INDEX(CalcAmtA,$M876),"")</f>
        <v/>
      </c>
      <c r="J876" s="29">
        <f>IF($B876="","",IF($J875="",$C$8,$J875)+IF($I876="",0,$I876)+IF($E876="",0,$E876)-IF($H876="",0,$H876))</f>
        <v/>
      </c>
      <c r="K876" s="30">
        <f>IF($M876&lt;&gt;"",IF(INDEX(CalcNoteA,$M876)="","—",INDEX(CalcNoteA,$M876)),IF($N876&lt;&gt;"",IF(INDEX(CalcNoteB,$N876)="","—",INDEX(CalcNoteB,$N876)),""))</f>
        <v/>
      </c>
      <c r="M876">
        <f>IFERROR(MATCH($C$5&amp;"|"&amp;RIGHT("000000"&amp;860,6),CalcRankKeyA,0),"")</f>
        <v/>
      </c>
      <c r="N876">
        <f>IFERROR(MATCH($C$5&amp;"|"&amp;RIGHT("000000"&amp;860,6),CalcRankKeyB,0),"")</f>
        <v/>
      </c>
    </row>
    <row r="877">
      <c r="A877" s="21" t="n">
        <v>861</v>
      </c>
      <c r="B877" s="22">
        <f>IF(AND($M877="",$N877=""),"",IF($M877&lt;&gt;"",INDEX(CalcDateA,$M877),INDEX(CalcDateB,$N877)))</f>
        <v/>
      </c>
      <c r="C877" s="22">
        <f>IF($M877&lt;&gt;"","خرید سبد",IF($N877&lt;&gt;"",IF(N(INDEX(CalcDepB,$N877))&gt;0,"دریافت بانکی","پرداخت بانکی"),""))</f>
        <v/>
      </c>
      <c r="D877" s="22">
        <f>IF($M877&lt;&gt;"",IF(INDEX(CalcDocA,$M877)="","—",INDEX(CalcDocA,$M877)),IF($N877&lt;&gt;"",INDEX(CalcBankB,$N877),""))</f>
        <v/>
      </c>
      <c r="E877" s="23">
        <f>IF($N877&lt;&gt;"",IF(INDEX(CalcDepB,$N877)=0,"",INDEX(CalcDepB,$N877)),"")</f>
        <v/>
      </c>
      <c r="F877" s="23">
        <f>IF($M877&lt;&gt;"",IF(INDEX(CalcQtyA,$M877)=0,"",INDEX(CalcQtyA,$M877)),"")</f>
        <v/>
      </c>
      <c r="G877" s="23">
        <f>IF($M877&lt;&gt;"",IF(INDEX(CalcPriceA,$M877)=0,"",INDEX(CalcPriceA,$M877)),"")</f>
        <v/>
      </c>
      <c r="H877" s="23">
        <f>IF($N877&lt;&gt;"",IF(INDEX(CalcWitB,$N877)=0,"",INDEX(CalcWitB,$N877)),"")</f>
        <v/>
      </c>
      <c r="I877" s="24">
        <f>IF($M877&lt;&gt;"",INDEX(CalcAmtA,$M877),"")</f>
        <v/>
      </c>
      <c r="J877" s="24">
        <f>IF($B877="","",IF($J876="",$C$8,$J876)+IF($I877="",0,$I877)+IF($E877="",0,$E877)-IF($H877="",0,$H877))</f>
        <v/>
      </c>
      <c r="K877" s="25">
        <f>IF($M877&lt;&gt;"",IF(INDEX(CalcNoteA,$M877)="","—",INDEX(CalcNoteA,$M877)),IF($N877&lt;&gt;"",IF(INDEX(CalcNoteB,$N877)="","—",INDEX(CalcNoteB,$N877)),""))</f>
        <v/>
      </c>
      <c r="M877">
        <f>IFERROR(MATCH($C$5&amp;"|"&amp;RIGHT("000000"&amp;861,6),CalcRankKeyA,0),"")</f>
        <v/>
      </c>
      <c r="N877">
        <f>IFERROR(MATCH($C$5&amp;"|"&amp;RIGHT("000000"&amp;861,6),CalcRankKeyB,0),"")</f>
        <v/>
      </c>
    </row>
    <row r="878">
      <c r="A878" s="26" t="n">
        <v>862</v>
      </c>
      <c r="B878" s="27">
        <f>IF(AND($M878="",$N878=""),"",IF($M878&lt;&gt;"",INDEX(CalcDateA,$M878),INDEX(CalcDateB,$N878)))</f>
        <v/>
      </c>
      <c r="C878" s="27">
        <f>IF($M878&lt;&gt;"","خرید سبد",IF($N878&lt;&gt;"",IF(N(INDEX(CalcDepB,$N878))&gt;0,"دریافت بانکی","پرداخت بانکی"),""))</f>
        <v/>
      </c>
      <c r="D878" s="27">
        <f>IF($M878&lt;&gt;"",IF(INDEX(CalcDocA,$M878)="","—",INDEX(CalcDocA,$M878)),IF($N878&lt;&gt;"",INDEX(CalcBankB,$N878),""))</f>
        <v/>
      </c>
      <c r="E878" s="28">
        <f>IF($N878&lt;&gt;"",IF(INDEX(CalcDepB,$N878)=0,"",INDEX(CalcDepB,$N878)),"")</f>
        <v/>
      </c>
      <c r="F878" s="28">
        <f>IF($M878&lt;&gt;"",IF(INDEX(CalcQtyA,$M878)=0,"",INDEX(CalcQtyA,$M878)),"")</f>
        <v/>
      </c>
      <c r="G878" s="28">
        <f>IF($M878&lt;&gt;"",IF(INDEX(CalcPriceA,$M878)=0,"",INDEX(CalcPriceA,$M878)),"")</f>
        <v/>
      </c>
      <c r="H878" s="28">
        <f>IF($N878&lt;&gt;"",IF(INDEX(CalcWitB,$N878)=0,"",INDEX(CalcWitB,$N878)),"")</f>
        <v/>
      </c>
      <c r="I878" s="29">
        <f>IF($M878&lt;&gt;"",INDEX(CalcAmtA,$M878),"")</f>
        <v/>
      </c>
      <c r="J878" s="29">
        <f>IF($B878="","",IF($J877="",$C$8,$J877)+IF($I878="",0,$I878)+IF($E878="",0,$E878)-IF($H878="",0,$H878))</f>
        <v/>
      </c>
      <c r="K878" s="30">
        <f>IF($M878&lt;&gt;"",IF(INDEX(CalcNoteA,$M878)="","—",INDEX(CalcNoteA,$M878)),IF($N878&lt;&gt;"",IF(INDEX(CalcNoteB,$N878)="","—",INDEX(CalcNoteB,$N878)),""))</f>
        <v/>
      </c>
      <c r="M878">
        <f>IFERROR(MATCH($C$5&amp;"|"&amp;RIGHT("000000"&amp;862,6),CalcRankKeyA,0),"")</f>
        <v/>
      </c>
      <c r="N878">
        <f>IFERROR(MATCH($C$5&amp;"|"&amp;RIGHT("000000"&amp;862,6),CalcRankKeyB,0),"")</f>
        <v/>
      </c>
    </row>
    <row r="879">
      <c r="A879" s="21" t="n">
        <v>863</v>
      </c>
      <c r="B879" s="22">
        <f>IF(AND($M879="",$N879=""),"",IF($M879&lt;&gt;"",INDEX(CalcDateA,$M879),INDEX(CalcDateB,$N879)))</f>
        <v/>
      </c>
      <c r="C879" s="22">
        <f>IF($M879&lt;&gt;"","خرید سبد",IF($N879&lt;&gt;"",IF(N(INDEX(CalcDepB,$N879))&gt;0,"دریافت بانکی","پرداخت بانکی"),""))</f>
        <v/>
      </c>
      <c r="D879" s="22">
        <f>IF($M879&lt;&gt;"",IF(INDEX(CalcDocA,$M879)="","—",INDEX(CalcDocA,$M879)),IF($N879&lt;&gt;"",INDEX(CalcBankB,$N879),""))</f>
        <v/>
      </c>
      <c r="E879" s="23">
        <f>IF($N879&lt;&gt;"",IF(INDEX(CalcDepB,$N879)=0,"",INDEX(CalcDepB,$N879)),"")</f>
        <v/>
      </c>
      <c r="F879" s="23">
        <f>IF($M879&lt;&gt;"",IF(INDEX(CalcQtyA,$M879)=0,"",INDEX(CalcQtyA,$M879)),"")</f>
        <v/>
      </c>
      <c r="G879" s="23">
        <f>IF($M879&lt;&gt;"",IF(INDEX(CalcPriceA,$M879)=0,"",INDEX(CalcPriceA,$M879)),"")</f>
        <v/>
      </c>
      <c r="H879" s="23">
        <f>IF($N879&lt;&gt;"",IF(INDEX(CalcWitB,$N879)=0,"",INDEX(CalcWitB,$N879)),"")</f>
        <v/>
      </c>
      <c r="I879" s="24">
        <f>IF($M879&lt;&gt;"",INDEX(CalcAmtA,$M879),"")</f>
        <v/>
      </c>
      <c r="J879" s="24">
        <f>IF($B879="","",IF($J878="",$C$8,$J878)+IF($I879="",0,$I879)+IF($E879="",0,$E879)-IF($H879="",0,$H879))</f>
        <v/>
      </c>
      <c r="K879" s="25">
        <f>IF($M879&lt;&gt;"",IF(INDEX(CalcNoteA,$M879)="","—",INDEX(CalcNoteA,$M879)),IF($N879&lt;&gt;"",IF(INDEX(CalcNoteB,$N879)="","—",INDEX(CalcNoteB,$N879)),""))</f>
        <v/>
      </c>
      <c r="M879">
        <f>IFERROR(MATCH($C$5&amp;"|"&amp;RIGHT("000000"&amp;863,6),CalcRankKeyA,0),"")</f>
        <v/>
      </c>
      <c r="N879">
        <f>IFERROR(MATCH($C$5&amp;"|"&amp;RIGHT("000000"&amp;863,6),CalcRankKeyB,0),"")</f>
        <v/>
      </c>
    </row>
    <row r="880">
      <c r="A880" s="26" t="n">
        <v>864</v>
      </c>
      <c r="B880" s="27">
        <f>IF(AND($M880="",$N880=""),"",IF($M880&lt;&gt;"",INDEX(CalcDateA,$M880),INDEX(CalcDateB,$N880)))</f>
        <v/>
      </c>
      <c r="C880" s="27">
        <f>IF($M880&lt;&gt;"","خرید سبد",IF($N880&lt;&gt;"",IF(N(INDEX(CalcDepB,$N880))&gt;0,"دریافت بانکی","پرداخت بانکی"),""))</f>
        <v/>
      </c>
      <c r="D880" s="27">
        <f>IF($M880&lt;&gt;"",IF(INDEX(CalcDocA,$M880)="","—",INDEX(CalcDocA,$M880)),IF($N880&lt;&gt;"",INDEX(CalcBankB,$N880),""))</f>
        <v/>
      </c>
      <c r="E880" s="28">
        <f>IF($N880&lt;&gt;"",IF(INDEX(CalcDepB,$N880)=0,"",INDEX(CalcDepB,$N880)),"")</f>
        <v/>
      </c>
      <c r="F880" s="28">
        <f>IF($M880&lt;&gt;"",IF(INDEX(CalcQtyA,$M880)=0,"",INDEX(CalcQtyA,$M880)),"")</f>
        <v/>
      </c>
      <c r="G880" s="28">
        <f>IF($M880&lt;&gt;"",IF(INDEX(CalcPriceA,$M880)=0,"",INDEX(CalcPriceA,$M880)),"")</f>
        <v/>
      </c>
      <c r="H880" s="28">
        <f>IF($N880&lt;&gt;"",IF(INDEX(CalcWitB,$N880)=0,"",INDEX(CalcWitB,$N880)),"")</f>
        <v/>
      </c>
      <c r="I880" s="29">
        <f>IF($M880&lt;&gt;"",INDEX(CalcAmtA,$M880),"")</f>
        <v/>
      </c>
      <c r="J880" s="29">
        <f>IF($B880="","",IF($J879="",$C$8,$J879)+IF($I880="",0,$I880)+IF($E880="",0,$E880)-IF($H880="",0,$H880))</f>
        <v/>
      </c>
      <c r="K880" s="30">
        <f>IF($M880&lt;&gt;"",IF(INDEX(CalcNoteA,$M880)="","—",INDEX(CalcNoteA,$M880)),IF($N880&lt;&gt;"",IF(INDEX(CalcNoteB,$N880)="","—",INDEX(CalcNoteB,$N880)),""))</f>
        <v/>
      </c>
      <c r="M880">
        <f>IFERROR(MATCH($C$5&amp;"|"&amp;RIGHT("000000"&amp;864,6),CalcRankKeyA,0),"")</f>
        <v/>
      </c>
      <c r="N880">
        <f>IFERROR(MATCH($C$5&amp;"|"&amp;RIGHT("000000"&amp;864,6),CalcRankKeyB,0),"")</f>
        <v/>
      </c>
    </row>
    <row r="881">
      <c r="A881" s="21" t="n">
        <v>865</v>
      </c>
      <c r="B881" s="22">
        <f>IF(AND($M881="",$N881=""),"",IF($M881&lt;&gt;"",INDEX(CalcDateA,$M881),INDEX(CalcDateB,$N881)))</f>
        <v/>
      </c>
      <c r="C881" s="22">
        <f>IF($M881&lt;&gt;"","خرید سبد",IF($N881&lt;&gt;"",IF(N(INDEX(CalcDepB,$N881))&gt;0,"دریافت بانکی","پرداخت بانکی"),""))</f>
        <v/>
      </c>
      <c r="D881" s="22">
        <f>IF($M881&lt;&gt;"",IF(INDEX(CalcDocA,$M881)="","—",INDEX(CalcDocA,$M881)),IF($N881&lt;&gt;"",INDEX(CalcBankB,$N881),""))</f>
        <v/>
      </c>
      <c r="E881" s="23">
        <f>IF($N881&lt;&gt;"",IF(INDEX(CalcDepB,$N881)=0,"",INDEX(CalcDepB,$N881)),"")</f>
        <v/>
      </c>
      <c r="F881" s="23">
        <f>IF($M881&lt;&gt;"",IF(INDEX(CalcQtyA,$M881)=0,"",INDEX(CalcQtyA,$M881)),"")</f>
        <v/>
      </c>
      <c r="G881" s="23">
        <f>IF($M881&lt;&gt;"",IF(INDEX(CalcPriceA,$M881)=0,"",INDEX(CalcPriceA,$M881)),"")</f>
        <v/>
      </c>
      <c r="H881" s="23">
        <f>IF($N881&lt;&gt;"",IF(INDEX(CalcWitB,$N881)=0,"",INDEX(CalcWitB,$N881)),"")</f>
        <v/>
      </c>
      <c r="I881" s="24">
        <f>IF($M881&lt;&gt;"",INDEX(CalcAmtA,$M881),"")</f>
        <v/>
      </c>
      <c r="J881" s="24">
        <f>IF($B881="","",IF($J880="",$C$8,$J880)+IF($I881="",0,$I881)+IF($E881="",0,$E881)-IF($H881="",0,$H881))</f>
        <v/>
      </c>
      <c r="K881" s="25">
        <f>IF($M881&lt;&gt;"",IF(INDEX(CalcNoteA,$M881)="","—",INDEX(CalcNoteA,$M881)),IF($N881&lt;&gt;"",IF(INDEX(CalcNoteB,$N881)="","—",INDEX(CalcNoteB,$N881)),""))</f>
        <v/>
      </c>
      <c r="M881">
        <f>IFERROR(MATCH($C$5&amp;"|"&amp;RIGHT("000000"&amp;865,6),CalcRankKeyA,0),"")</f>
        <v/>
      </c>
      <c r="N881">
        <f>IFERROR(MATCH($C$5&amp;"|"&amp;RIGHT("000000"&amp;865,6),CalcRankKeyB,0),"")</f>
        <v/>
      </c>
    </row>
    <row r="882">
      <c r="A882" s="26" t="n">
        <v>866</v>
      </c>
      <c r="B882" s="27">
        <f>IF(AND($M882="",$N882=""),"",IF($M882&lt;&gt;"",INDEX(CalcDateA,$M882),INDEX(CalcDateB,$N882)))</f>
        <v/>
      </c>
      <c r="C882" s="27">
        <f>IF($M882&lt;&gt;"","خرید سبد",IF($N882&lt;&gt;"",IF(N(INDEX(CalcDepB,$N882))&gt;0,"دریافت بانکی","پرداخت بانکی"),""))</f>
        <v/>
      </c>
      <c r="D882" s="27">
        <f>IF($M882&lt;&gt;"",IF(INDEX(CalcDocA,$M882)="","—",INDEX(CalcDocA,$M882)),IF($N882&lt;&gt;"",INDEX(CalcBankB,$N882),""))</f>
        <v/>
      </c>
      <c r="E882" s="28">
        <f>IF($N882&lt;&gt;"",IF(INDEX(CalcDepB,$N882)=0,"",INDEX(CalcDepB,$N882)),"")</f>
        <v/>
      </c>
      <c r="F882" s="28">
        <f>IF($M882&lt;&gt;"",IF(INDEX(CalcQtyA,$M882)=0,"",INDEX(CalcQtyA,$M882)),"")</f>
        <v/>
      </c>
      <c r="G882" s="28">
        <f>IF($M882&lt;&gt;"",IF(INDEX(CalcPriceA,$M882)=0,"",INDEX(CalcPriceA,$M882)),"")</f>
        <v/>
      </c>
      <c r="H882" s="28">
        <f>IF($N882&lt;&gt;"",IF(INDEX(CalcWitB,$N882)=0,"",INDEX(CalcWitB,$N882)),"")</f>
        <v/>
      </c>
      <c r="I882" s="29">
        <f>IF($M882&lt;&gt;"",INDEX(CalcAmtA,$M882),"")</f>
        <v/>
      </c>
      <c r="J882" s="29">
        <f>IF($B882="","",IF($J881="",$C$8,$J881)+IF($I882="",0,$I882)+IF($E882="",0,$E882)-IF($H882="",0,$H882))</f>
        <v/>
      </c>
      <c r="K882" s="30">
        <f>IF($M882&lt;&gt;"",IF(INDEX(CalcNoteA,$M882)="","—",INDEX(CalcNoteA,$M882)),IF($N882&lt;&gt;"",IF(INDEX(CalcNoteB,$N882)="","—",INDEX(CalcNoteB,$N882)),""))</f>
        <v/>
      </c>
      <c r="M882">
        <f>IFERROR(MATCH($C$5&amp;"|"&amp;RIGHT("000000"&amp;866,6),CalcRankKeyA,0),"")</f>
        <v/>
      </c>
      <c r="N882">
        <f>IFERROR(MATCH($C$5&amp;"|"&amp;RIGHT("000000"&amp;866,6),CalcRankKeyB,0),"")</f>
        <v/>
      </c>
    </row>
    <row r="883">
      <c r="A883" s="21" t="n">
        <v>867</v>
      </c>
      <c r="B883" s="22">
        <f>IF(AND($M883="",$N883=""),"",IF($M883&lt;&gt;"",INDEX(CalcDateA,$M883),INDEX(CalcDateB,$N883)))</f>
        <v/>
      </c>
      <c r="C883" s="22">
        <f>IF($M883&lt;&gt;"","خرید سبد",IF($N883&lt;&gt;"",IF(N(INDEX(CalcDepB,$N883))&gt;0,"دریافت بانکی","پرداخت بانکی"),""))</f>
        <v/>
      </c>
      <c r="D883" s="22">
        <f>IF($M883&lt;&gt;"",IF(INDEX(CalcDocA,$M883)="","—",INDEX(CalcDocA,$M883)),IF($N883&lt;&gt;"",INDEX(CalcBankB,$N883),""))</f>
        <v/>
      </c>
      <c r="E883" s="23">
        <f>IF($N883&lt;&gt;"",IF(INDEX(CalcDepB,$N883)=0,"",INDEX(CalcDepB,$N883)),"")</f>
        <v/>
      </c>
      <c r="F883" s="23">
        <f>IF($M883&lt;&gt;"",IF(INDEX(CalcQtyA,$M883)=0,"",INDEX(CalcQtyA,$M883)),"")</f>
        <v/>
      </c>
      <c r="G883" s="23">
        <f>IF($M883&lt;&gt;"",IF(INDEX(CalcPriceA,$M883)=0,"",INDEX(CalcPriceA,$M883)),"")</f>
        <v/>
      </c>
      <c r="H883" s="23">
        <f>IF($N883&lt;&gt;"",IF(INDEX(CalcWitB,$N883)=0,"",INDEX(CalcWitB,$N883)),"")</f>
        <v/>
      </c>
      <c r="I883" s="24">
        <f>IF($M883&lt;&gt;"",INDEX(CalcAmtA,$M883),"")</f>
        <v/>
      </c>
      <c r="J883" s="24">
        <f>IF($B883="","",IF($J882="",$C$8,$J882)+IF($I883="",0,$I883)+IF($E883="",0,$E883)-IF($H883="",0,$H883))</f>
        <v/>
      </c>
      <c r="K883" s="25">
        <f>IF($M883&lt;&gt;"",IF(INDEX(CalcNoteA,$M883)="","—",INDEX(CalcNoteA,$M883)),IF($N883&lt;&gt;"",IF(INDEX(CalcNoteB,$N883)="","—",INDEX(CalcNoteB,$N883)),""))</f>
        <v/>
      </c>
      <c r="M883">
        <f>IFERROR(MATCH($C$5&amp;"|"&amp;RIGHT("000000"&amp;867,6),CalcRankKeyA,0),"")</f>
        <v/>
      </c>
      <c r="N883">
        <f>IFERROR(MATCH($C$5&amp;"|"&amp;RIGHT("000000"&amp;867,6),CalcRankKeyB,0),"")</f>
        <v/>
      </c>
    </row>
    <row r="884">
      <c r="A884" s="26" t="n">
        <v>868</v>
      </c>
      <c r="B884" s="27">
        <f>IF(AND($M884="",$N884=""),"",IF($M884&lt;&gt;"",INDEX(CalcDateA,$M884),INDEX(CalcDateB,$N884)))</f>
        <v/>
      </c>
      <c r="C884" s="27">
        <f>IF($M884&lt;&gt;"","خرید سبد",IF($N884&lt;&gt;"",IF(N(INDEX(CalcDepB,$N884))&gt;0,"دریافت بانکی","پرداخت بانکی"),""))</f>
        <v/>
      </c>
      <c r="D884" s="27">
        <f>IF($M884&lt;&gt;"",IF(INDEX(CalcDocA,$M884)="","—",INDEX(CalcDocA,$M884)),IF($N884&lt;&gt;"",INDEX(CalcBankB,$N884),""))</f>
        <v/>
      </c>
      <c r="E884" s="28">
        <f>IF($N884&lt;&gt;"",IF(INDEX(CalcDepB,$N884)=0,"",INDEX(CalcDepB,$N884)),"")</f>
        <v/>
      </c>
      <c r="F884" s="28">
        <f>IF($M884&lt;&gt;"",IF(INDEX(CalcQtyA,$M884)=0,"",INDEX(CalcQtyA,$M884)),"")</f>
        <v/>
      </c>
      <c r="G884" s="28">
        <f>IF($M884&lt;&gt;"",IF(INDEX(CalcPriceA,$M884)=0,"",INDEX(CalcPriceA,$M884)),"")</f>
        <v/>
      </c>
      <c r="H884" s="28">
        <f>IF($N884&lt;&gt;"",IF(INDEX(CalcWitB,$N884)=0,"",INDEX(CalcWitB,$N884)),"")</f>
        <v/>
      </c>
      <c r="I884" s="29">
        <f>IF($M884&lt;&gt;"",INDEX(CalcAmtA,$M884),"")</f>
        <v/>
      </c>
      <c r="J884" s="29">
        <f>IF($B884="","",IF($J883="",$C$8,$J883)+IF($I884="",0,$I884)+IF($E884="",0,$E884)-IF($H884="",0,$H884))</f>
        <v/>
      </c>
      <c r="K884" s="30">
        <f>IF($M884&lt;&gt;"",IF(INDEX(CalcNoteA,$M884)="","—",INDEX(CalcNoteA,$M884)),IF($N884&lt;&gt;"",IF(INDEX(CalcNoteB,$N884)="","—",INDEX(CalcNoteB,$N884)),""))</f>
        <v/>
      </c>
      <c r="M884">
        <f>IFERROR(MATCH($C$5&amp;"|"&amp;RIGHT("000000"&amp;868,6),CalcRankKeyA,0),"")</f>
        <v/>
      </c>
      <c r="N884">
        <f>IFERROR(MATCH($C$5&amp;"|"&amp;RIGHT("000000"&amp;868,6),CalcRankKeyB,0),"")</f>
        <v/>
      </c>
    </row>
    <row r="885">
      <c r="A885" s="21" t="n">
        <v>869</v>
      </c>
      <c r="B885" s="22">
        <f>IF(AND($M885="",$N885=""),"",IF($M885&lt;&gt;"",INDEX(CalcDateA,$M885),INDEX(CalcDateB,$N885)))</f>
        <v/>
      </c>
      <c r="C885" s="22">
        <f>IF($M885&lt;&gt;"","خرید سبد",IF($N885&lt;&gt;"",IF(N(INDEX(CalcDepB,$N885))&gt;0,"دریافت بانکی","پرداخت بانکی"),""))</f>
        <v/>
      </c>
      <c r="D885" s="22">
        <f>IF($M885&lt;&gt;"",IF(INDEX(CalcDocA,$M885)="","—",INDEX(CalcDocA,$M885)),IF($N885&lt;&gt;"",INDEX(CalcBankB,$N885),""))</f>
        <v/>
      </c>
      <c r="E885" s="23">
        <f>IF($N885&lt;&gt;"",IF(INDEX(CalcDepB,$N885)=0,"",INDEX(CalcDepB,$N885)),"")</f>
        <v/>
      </c>
      <c r="F885" s="23">
        <f>IF($M885&lt;&gt;"",IF(INDEX(CalcQtyA,$M885)=0,"",INDEX(CalcQtyA,$M885)),"")</f>
        <v/>
      </c>
      <c r="G885" s="23">
        <f>IF($M885&lt;&gt;"",IF(INDEX(CalcPriceA,$M885)=0,"",INDEX(CalcPriceA,$M885)),"")</f>
        <v/>
      </c>
      <c r="H885" s="23">
        <f>IF($N885&lt;&gt;"",IF(INDEX(CalcWitB,$N885)=0,"",INDEX(CalcWitB,$N885)),"")</f>
        <v/>
      </c>
      <c r="I885" s="24">
        <f>IF($M885&lt;&gt;"",INDEX(CalcAmtA,$M885),"")</f>
        <v/>
      </c>
      <c r="J885" s="24">
        <f>IF($B885="","",IF($J884="",$C$8,$J884)+IF($I885="",0,$I885)+IF($E885="",0,$E885)-IF($H885="",0,$H885))</f>
        <v/>
      </c>
      <c r="K885" s="25">
        <f>IF($M885&lt;&gt;"",IF(INDEX(CalcNoteA,$M885)="","—",INDEX(CalcNoteA,$M885)),IF($N885&lt;&gt;"",IF(INDEX(CalcNoteB,$N885)="","—",INDEX(CalcNoteB,$N885)),""))</f>
        <v/>
      </c>
      <c r="M885">
        <f>IFERROR(MATCH($C$5&amp;"|"&amp;RIGHT("000000"&amp;869,6),CalcRankKeyA,0),"")</f>
        <v/>
      </c>
      <c r="N885">
        <f>IFERROR(MATCH($C$5&amp;"|"&amp;RIGHT("000000"&amp;869,6),CalcRankKeyB,0),"")</f>
        <v/>
      </c>
    </row>
    <row r="886">
      <c r="A886" s="26" t="n">
        <v>870</v>
      </c>
      <c r="B886" s="27">
        <f>IF(AND($M886="",$N886=""),"",IF($M886&lt;&gt;"",INDEX(CalcDateA,$M886),INDEX(CalcDateB,$N886)))</f>
        <v/>
      </c>
      <c r="C886" s="27">
        <f>IF($M886&lt;&gt;"","خرید سبد",IF($N886&lt;&gt;"",IF(N(INDEX(CalcDepB,$N886))&gt;0,"دریافت بانکی","پرداخت بانکی"),""))</f>
        <v/>
      </c>
      <c r="D886" s="27">
        <f>IF($M886&lt;&gt;"",IF(INDEX(CalcDocA,$M886)="","—",INDEX(CalcDocA,$M886)),IF($N886&lt;&gt;"",INDEX(CalcBankB,$N886),""))</f>
        <v/>
      </c>
      <c r="E886" s="28">
        <f>IF($N886&lt;&gt;"",IF(INDEX(CalcDepB,$N886)=0,"",INDEX(CalcDepB,$N886)),"")</f>
        <v/>
      </c>
      <c r="F886" s="28">
        <f>IF($M886&lt;&gt;"",IF(INDEX(CalcQtyA,$M886)=0,"",INDEX(CalcQtyA,$M886)),"")</f>
        <v/>
      </c>
      <c r="G886" s="28">
        <f>IF($M886&lt;&gt;"",IF(INDEX(CalcPriceA,$M886)=0,"",INDEX(CalcPriceA,$M886)),"")</f>
        <v/>
      </c>
      <c r="H886" s="28">
        <f>IF($N886&lt;&gt;"",IF(INDEX(CalcWitB,$N886)=0,"",INDEX(CalcWitB,$N886)),"")</f>
        <v/>
      </c>
      <c r="I886" s="29">
        <f>IF($M886&lt;&gt;"",INDEX(CalcAmtA,$M886),"")</f>
        <v/>
      </c>
      <c r="J886" s="29">
        <f>IF($B886="","",IF($J885="",$C$8,$J885)+IF($I886="",0,$I886)+IF($E886="",0,$E886)-IF($H886="",0,$H886))</f>
        <v/>
      </c>
      <c r="K886" s="30">
        <f>IF($M886&lt;&gt;"",IF(INDEX(CalcNoteA,$M886)="","—",INDEX(CalcNoteA,$M886)),IF($N886&lt;&gt;"",IF(INDEX(CalcNoteB,$N886)="","—",INDEX(CalcNoteB,$N886)),""))</f>
        <v/>
      </c>
      <c r="M886">
        <f>IFERROR(MATCH($C$5&amp;"|"&amp;RIGHT("000000"&amp;870,6),CalcRankKeyA,0),"")</f>
        <v/>
      </c>
      <c r="N886">
        <f>IFERROR(MATCH($C$5&amp;"|"&amp;RIGHT("000000"&amp;870,6),CalcRankKeyB,0),"")</f>
        <v/>
      </c>
    </row>
    <row r="887">
      <c r="A887" s="21" t="n">
        <v>871</v>
      </c>
      <c r="B887" s="22">
        <f>IF(AND($M887="",$N887=""),"",IF($M887&lt;&gt;"",INDEX(CalcDateA,$M887),INDEX(CalcDateB,$N887)))</f>
        <v/>
      </c>
      <c r="C887" s="22">
        <f>IF($M887&lt;&gt;"","خرید سبد",IF($N887&lt;&gt;"",IF(N(INDEX(CalcDepB,$N887))&gt;0,"دریافت بانکی","پرداخت بانکی"),""))</f>
        <v/>
      </c>
      <c r="D887" s="22">
        <f>IF($M887&lt;&gt;"",IF(INDEX(CalcDocA,$M887)="","—",INDEX(CalcDocA,$M887)),IF($N887&lt;&gt;"",INDEX(CalcBankB,$N887),""))</f>
        <v/>
      </c>
      <c r="E887" s="23">
        <f>IF($N887&lt;&gt;"",IF(INDEX(CalcDepB,$N887)=0,"",INDEX(CalcDepB,$N887)),"")</f>
        <v/>
      </c>
      <c r="F887" s="23">
        <f>IF($M887&lt;&gt;"",IF(INDEX(CalcQtyA,$M887)=0,"",INDEX(CalcQtyA,$M887)),"")</f>
        <v/>
      </c>
      <c r="G887" s="23">
        <f>IF($M887&lt;&gt;"",IF(INDEX(CalcPriceA,$M887)=0,"",INDEX(CalcPriceA,$M887)),"")</f>
        <v/>
      </c>
      <c r="H887" s="23">
        <f>IF($N887&lt;&gt;"",IF(INDEX(CalcWitB,$N887)=0,"",INDEX(CalcWitB,$N887)),"")</f>
        <v/>
      </c>
      <c r="I887" s="24">
        <f>IF($M887&lt;&gt;"",INDEX(CalcAmtA,$M887),"")</f>
        <v/>
      </c>
      <c r="J887" s="24">
        <f>IF($B887="","",IF($J886="",$C$8,$J886)+IF($I887="",0,$I887)+IF($E887="",0,$E887)-IF($H887="",0,$H887))</f>
        <v/>
      </c>
      <c r="K887" s="25">
        <f>IF($M887&lt;&gt;"",IF(INDEX(CalcNoteA,$M887)="","—",INDEX(CalcNoteA,$M887)),IF($N887&lt;&gt;"",IF(INDEX(CalcNoteB,$N887)="","—",INDEX(CalcNoteB,$N887)),""))</f>
        <v/>
      </c>
      <c r="M887">
        <f>IFERROR(MATCH($C$5&amp;"|"&amp;RIGHT("000000"&amp;871,6),CalcRankKeyA,0),"")</f>
        <v/>
      </c>
      <c r="N887">
        <f>IFERROR(MATCH($C$5&amp;"|"&amp;RIGHT("000000"&amp;871,6),CalcRankKeyB,0),"")</f>
        <v/>
      </c>
    </row>
    <row r="888">
      <c r="A888" s="26" t="n">
        <v>872</v>
      </c>
      <c r="B888" s="27">
        <f>IF(AND($M888="",$N888=""),"",IF($M888&lt;&gt;"",INDEX(CalcDateA,$M888),INDEX(CalcDateB,$N888)))</f>
        <v/>
      </c>
      <c r="C888" s="27">
        <f>IF($M888&lt;&gt;"","خرید سبد",IF($N888&lt;&gt;"",IF(N(INDEX(CalcDepB,$N888))&gt;0,"دریافت بانکی","پرداخت بانکی"),""))</f>
        <v/>
      </c>
      <c r="D888" s="27">
        <f>IF($M888&lt;&gt;"",IF(INDEX(CalcDocA,$M888)="","—",INDEX(CalcDocA,$M888)),IF($N888&lt;&gt;"",INDEX(CalcBankB,$N888),""))</f>
        <v/>
      </c>
      <c r="E888" s="28">
        <f>IF($N888&lt;&gt;"",IF(INDEX(CalcDepB,$N888)=0,"",INDEX(CalcDepB,$N888)),"")</f>
        <v/>
      </c>
      <c r="F888" s="28">
        <f>IF($M888&lt;&gt;"",IF(INDEX(CalcQtyA,$M888)=0,"",INDEX(CalcQtyA,$M888)),"")</f>
        <v/>
      </c>
      <c r="G888" s="28">
        <f>IF($M888&lt;&gt;"",IF(INDEX(CalcPriceA,$M888)=0,"",INDEX(CalcPriceA,$M888)),"")</f>
        <v/>
      </c>
      <c r="H888" s="28">
        <f>IF($N888&lt;&gt;"",IF(INDEX(CalcWitB,$N888)=0,"",INDEX(CalcWitB,$N888)),"")</f>
        <v/>
      </c>
      <c r="I888" s="29">
        <f>IF($M888&lt;&gt;"",INDEX(CalcAmtA,$M888),"")</f>
        <v/>
      </c>
      <c r="J888" s="29">
        <f>IF($B888="","",IF($J887="",$C$8,$J887)+IF($I888="",0,$I888)+IF($E888="",0,$E888)-IF($H888="",0,$H888))</f>
        <v/>
      </c>
      <c r="K888" s="30">
        <f>IF($M888&lt;&gt;"",IF(INDEX(CalcNoteA,$M888)="","—",INDEX(CalcNoteA,$M888)),IF($N888&lt;&gt;"",IF(INDEX(CalcNoteB,$N888)="","—",INDEX(CalcNoteB,$N888)),""))</f>
        <v/>
      </c>
      <c r="M888">
        <f>IFERROR(MATCH($C$5&amp;"|"&amp;RIGHT("000000"&amp;872,6),CalcRankKeyA,0),"")</f>
        <v/>
      </c>
      <c r="N888">
        <f>IFERROR(MATCH($C$5&amp;"|"&amp;RIGHT("000000"&amp;872,6),CalcRankKeyB,0),"")</f>
        <v/>
      </c>
    </row>
    <row r="889">
      <c r="A889" s="21" t="n">
        <v>873</v>
      </c>
      <c r="B889" s="22">
        <f>IF(AND($M889="",$N889=""),"",IF($M889&lt;&gt;"",INDEX(CalcDateA,$M889),INDEX(CalcDateB,$N889)))</f>
        <v/>
      </c>
      <c r="C889" s="22">
        <f>IF($M889&lt;&gt;"","خرید سبد",IF($N889&lt;&gt;"",IF(N(INDEX(CalcDepB,$N889))&gt;0,"دریافت بانکی","پرداخت بانکی"),""))</f>
        <v/>
      </c>
      <c r="D889" s="22">
        <f>IF($M889&lt;&gt;"",IF(INDEX(CalcDocA,$M889)="","—",INDEX(CalcDocA,$M889)),IF($N889&lt;&gt;"",INDEX(CalcBankB,$N889),""))</f>
        <v/>
      </c>
      <c r="E889" s="23">
        <f>IF($N889&lt;&gt;"",IF(INDEX(CalcDepB,$N889)=0,"",INDEX(CalcDepB,$N889)),"")</f>
        <v/>
      </c>
      <c r="F889" s="23">
        <f>IF($M889&lt;&gt;"",IF(INDEX(CalcQtyA,$M889)=0,"",INDEX(CalcQtyA,$M889)),"")</f>
        <v/>
      </c>
      <c r="G889" s="23">
        <f>IF($M889&lt;&gt;"",IF(INDEX(CalcPriceA,$M889)=0,"",INDEX(CalcPriceA,$M889)),"")</f>
        <v/>
      </c>
      <c r="H889" s="23">
        <f>IF($N889&lt;&gt;"",IF(INDEX(CalcWitB,$N889)=0,"",INDEX(CalcWitB,$N889)),"")</f>
        <v/>
      </c>
      <c r="I889" s="24">
        <f>IF($M889&lt;&gt;"",INDEX(CalcAmtA,$M889),"")</f>
        <v/>
      </c>
      <c r="J889" s="24">
        <f>IF($B889="","",IF($J888="",$C$8,$J888)+IF($I889="",0,$I889)+IF($E889="",0,$E889)-IF($H889="",0,$H889))</f>
        <v/>
      </c>
      <c r="K889" s="25">
        <f>IF($M889&lt;&gt;"",IF(INDEX(CalcNoteA,$M889)="","—",INDEX(CalcNoteA,$M889)),IF($N889&lt;&gt;"",IF(INDEX(CalcNoteB,$N889)="","—",INDEX(CalcNoteB,$N889)),""))</f>
        <v/>
      </c>
      <c r="M889">
        <f>IFERROR(MATCH($C$5&amp;"|"&amp;RIGHT("000000"&amp;873,6),CalcRankKeyA,0),"")</f>
        <v/>
      </c>
      <c r="N889">
        <f>IFERROR(MATCH($C$5&amp;"|"&amp;RIGHT("000000"&amp;873,6),CalcRankKeyB,0),"")</f>
        <v/>
      </c>
    </row>
    <row r="890">
      <c r="A890" s="26" t="n">
        <v>874</v>
      </c>
      <c r="B890" s="27">
        <f>IF(AND($M890="",$N890=""),"",IF($M890&lt;&gt;"",INDEX(CalcDateA,$M890),INDEX(CalcDateB,$N890)))</f>
        <v/>
      </c>
      <c r="C890" s="27">
        <f>IF($M890&lt;&gt;"","خرید سبد",IF($N890&lt;&gt;"",IF(N(INDEX(CalcDepB,$N890))&gt;0,"دریافت بانکی","پرداخت بانکی"),""))</f>
        <v/>
      </c>
      <c r="D890" s="27">
        <f>IF($M890&lt;&gt;"",IF(INDEX(CalcDocA,$M890)="","—",INDEX(CalcDocA,$M890)),IF($N890&lt;&gt;"",INDEX(CalcBankB,$N890),""))</f>
        <v/>
      </c>
      <c r="E890" s="28">
        <f>IF($N890&lt;&gt;"",IF(INDEX(CalcDepB,$N890)=0,"",INDEX(CalcDepB,$N890)),"")</f>
        <v/>
      </c>
      <c r="F890" s="28">
        <f>IF($M890&lt;&gt;"",IF(INDEX(CalcQtyA,$M890)=0,"",INDEX(CalcQtyA,$M890)),"")</f>
        <v/>
      </c>
      <c r="G890" s="28">
        <f>IF($M890&lt;&gt;"",IF(INDEX(CalcPriceA,$M890)=0,"",INDEX(CalcPriceA,$M890)),"")</f>
        <v/>
      </c>
      <c r="H890" s="28">
        <f>IF($N890&lt;&gt;"",IF(INDEX(CalcWitB,$N890)=0,"",INDEX(CalcWitB,$N890)),"")</f>
        <v/>
      </c>
      <c r="I890" s="29">
        <f>IF($M890&lt;&gt;"",INDEX(CalcAmtA,$M890),"")</f>
        <v/>
      </c>
      <c r="J890" s="29">
        <f>IF($B890="","",IF($J889="",$C$8,$J889)+IF($I890="",0,$I890)+IF($E890="",0,$E890)-IF($H890="",0,$H890))</f>
        <v/>
      </c>
      <c r="K890" s="30">
        <f>IF($M890&lt;&gt;"",IF(INDEX(CalcNoteA,$M890)="","—",INDEX(CalcNoteA,$M890)),IF($N890&lt;&gt;"",IF(INDEX(CalcNoteB,$N890)="","—",INDEX(CalcNoteB,$N890)),""))</f>
        <v/>
      </c>
      <c r="M890">
        <f>IFERROR(MATCH($C$5&amp;"|"&amp;RIGHT("000000"&amp;874,6),CalcRankKeyA,0),"")</f>
        <v/>
      </c>
      <c r="N890">
        <f>IFERROR(MATCH($C$5&amp;"|"&amp;RIGHT("000000"&amp;874,6),CalcRankKeyB,0),"")</f>
        <v/>
      </c>
    </row>
    <row r="891">
      <c r="A891" s="21" t="n">
        <v>875</v>
      </c>
      <c r="B891" s="22">
        <f>IF(AND($M891="",$N891=""),"",IF($M891&lt;&gt;"",INDEX(CalcDateA,$M891),INDEX(CalcDateB,$N891)))</f>
        <v/>
      </c>
      <c r="C891" s="22">
        <f>IF($M891&lt;&gt;"","خرید سبد",IF($N891&lt;&gt;"",IF(N(INDEX(CalcDepB,$N891))&gt;0,"دریافت بانکی","پرداخت بانکی"),""))</f>
        <v/>
      </c>
      <c r="D891" s="22">
        <f>IF($M891&lt;&gt;"",IF(INDEX(CalcDocA,$M891)="","—",INDEX(CalcDocA,$M891)),IF($N891&lt;&gt;"",INDEX(CalcBankB,$N891),""))</f>
        <v/>
      </c>
      <c r="E891" s="23">
        <f>IF($N891&lt;&gt;"",IF(INDEX(CalcDepB,$N891)=0,"",INDEX(CalcDepB,$N891)),"")</f>
        <v/>
      </c>
      <c r="F891" s="23">
        <f>IF($M891&lt;&gt;"",IF(INDEX(CalcQtyA,$M891)=0,"",INDEX(CalcQtyA,$M891)),"")</f>
        <v/>
      </c>
      <c r="G891" s="23">
        <f>IF($M891&lt;&gt;"",IF(INDEX(CalcPriceA,$M891)=0,"",INDEX(CalcPriceA,$M891)),"")</f>
        <v/>
      </c>
      <c r="H891" s="23">
        <f>IF($N891&lt;&gt;"",IF(INDEX(CalcWitB,$N891)=0,"",INDEX(CalcWitB,$N891)),"")</f>
        <v/>
      </c>
      <c r="I891" s="24">
        <f>IF($M891&lt;&gt;"",INDEX(CalcAmtA,$M891),"")</f>
        <v/>
      </c>
      <c r="J891" s="24">
        <f>IF($B891="","",IF($J890="",$C$8,$J890)+IF($I891="",0,$I891)+IF($E891="",0,$E891)-IF($H891="",0,$H891))</f>
        <v/>
      </c>
      <c r="K891" s="25">
        <f>IF($M891&lt;&gt;"",IF(INDEX(CalcNoteA,$M891)="","—",INDEX(CalcNoteA,$M891)),IF($N891&lt;&gt;"",IF(INDEX(CalcNoteB,$N891)="","—",INDEX(CalcNoteB,$N891)),""))</f>
        <v/>
      </c>
      <c r="M891">
        <f>IFERROR(MATCH($C$5&amp;"|"&amp;RIGHT("000000"&amp;875,6),CalcRankKeyA,0),"")</f>
        <v/>
      </c>
      <c r="N891">
        <f>IFERROR(MATCH($C$5&amp;"|"&amp;RIGHT("000000"&amp;875,6),CalcRankKeyB,0),"")</f>
        <v/>
      </c>
    </row>
    <row r="892">
      <c r="A892" s="26" t="n">
        <v>876</v>
      </c>
      <c r="B892" s="27">
        <f>IF(AND($M892="",$N892=""),"",IF($M892&lt;&gt;"",INDEX(CalcDateA,$M892),INDEX(CalcDateB,$N892)))</f>
        <v/>
      </c>
      <c r="C892" s="27">
        <f>IF($M892&lt;&gt;"","خرید سبد",IF($N892&lt;&gt;"",IF(N(INDEX(CalcDepB,$N892))&gt;0,"دریافت بانکی","پرداخت بانکی"),""))</f>
        <v/>
      </c>
      <c r="D892" s="27">
        <f>IF($M892&lt;&gt;"",IF(INDEX(CalcDocA,$M892)="","—",INDEX(CalcDocA,$M892)),IF($N892&lt;&gt;"",INDEX(CalcBankB,$N892),""))</f>
        <v/>
      </c>
      <c r="E892" s="28">
        <f>IF($N892&lt;&gt;"",IF(INDEX(CalcDepB,$N892)=0,"",INDEX(CalcDepB,$N892)),"")</f>
        <v/>
      </c>
      <c r="F892" s="28">
        <f>IF($M892&lt;&gt;"",IF(INDEX(CalcQtyA,$M892)=0,"",INDEX(CalcQtyA,$M892)),"")</f>
        <v/>
      </c>
      <c r="G892" s="28">
        <f>IF($M892&lt;&gt;"",IF(INDEX(CalcPriceA,$M892)=0,"",INDEX(CalcPriceA,$M892)),"")</f>
        <v/>
      </c>
      <c r="H892" s="28">
        <f>IF($N892&lt;&gt;"",IF(INDEX(CalcWitB,$N892)=0,"",INDEX(CalcWitB,$N892)),"")</f>
        <v/>
      </c>
      <c r="I892" s="29">
        <f>IF($M892&lt;&gt;"",INDEX(CalcAmtA,$M892),"")</f>
        <v/>
      </c>
      <c r="J892" s="29">
        <f>IF($B892="","",IF($J891="",$C$8,$J891)+IF($I892="",0,$I892)+IF($E892="",0,$E892)-IF($H892="",0,$H892))</f>
        <v/>
      </c>
      <c r="K892" s="30">
        <f>IF($M892&lt;&gt;"",IF(INDEX(CalcNoteA,$M892)="","—",INDEX(CalcNoteA,$M892)),IF($N892&lt;&gt;"",IF(INDEX(CalcNoteB,$N892)="","—",INDEX(CalcNoteB,$N892)),""))</f>
        <v/>
      </c>
      <c r="M892">
        <f>IFERROR(MATCH($C$5&amp;"|"&amp;RIGHT("000000"&amp;876,6),CalcRankKeyA,0),"")</f>
        <v/>
      </c>
      <c r="N892">
        <f>IFERROR(MATCH($C$5&amp;"|"&amp;RIGHT("000000"&amp;876,6),CalcRankKeyB,0),"")</f>
        <v/>
      </c>
    </row>
    <row r="893">
      <c r="A893" s="21" t="n">
        <v>877</v>
      </c>
      <c r="B893" s="22">
        <f>IF(AND($M893="",$N893=""),"",IF($M893&lt;&gt;"",INDEX(CalcDateA,$M893),INDEX(CalcDateB,$N893)))</f>
        <v/>
      </c>
      <c r="C893" s="22">
        <f>IF($M893&lt;&gt;"","خرید سبد",IF($N893&lt;&gt;"",IF(N(INDEX(CalcDepB,$N893))&gt;0,"دریافت بانکی","پرداخت بانکی"),""))</f>
        <v/>
      </c>
      <c r="D893" s="22">
        <f>IF($M893&lt;&gt;"",IF(INDEX(CalcDocA,$M893)="","—",INDEX(CalcDocA,$M893)),IF($N893&lt;&gt;"",INDEX(CalcBankB,$N893),""))</f>
        <v/>
      </c>
      <c r="E893" s="23">
        <f>IF($N893&lt;&gt;"",IF(INDEX(CalcDepB,$N893)=0,"",INDEX(CalcDepB,$N893)),"")</f>
        <v/>
      </c>
      <c r="F893" s="23">
        <f>IF($M893&lt;&gt;"",IF(INDEX(CalcQtyA,$M893)=0,"",INDEX(CalcQtyA,$M893)),"")</f>
        <v/>
      </c>
      <c r="G893" s="23">
        <f>IF($M893&lt;&gt;"",IF(INDEX(CalcPriceA,$M893)=0,"",INDEX(CalcPriceA,$M893)),"")</f>
        <v/>
      </c>
      <c r="H893" s="23">
        <f>IF($N893&lt;&gt;"",IF(INDEX(CalcWitB,$N893)=0,"",INDEX(CalcWitB,$N893)),"")</f>
        <v/>
      </c>
      <c r="I893" s="24">
        <f>IF($M893&lt;&gt;"",INDEX(CalcAmtA,$M893),"")</f>
        <v/>
      </c>
      <c r="J893" s="24">
        <f>IF($B893="","",IF($J892="",$C$8,$J892)+IF($I893="",0,$I893)+IF($E893="",0,$E893)-IF($H893="",0,$H893))</f>
        <v/>
      </c>
      <c r="K893" s="25">
        <f>IF($M893&lt;&gt;"",IF(INDEX(CalcNoteA,$M893)="","—",INDEX(CalcNoteA,$M893)),IF($N893&lt;&gt;"",IF(INDEX(CalcNoteB,$N893)="","—",INDEX(CalcNoteB,$N893)),""))</f>
        <v/>
      </c>
      <c r="M893">
        <f>IFERROR(MATCH($C$5&amp;"|"&amp;RIGHT("000000"&amp;877,6),CalcRankKeyA,0),"")</f>
        <v/>
      </c>
      <c r="N893">
        <f>IFERROR(MATCH($C$5&amp;"|"&amp;RIGHT("000000"&amp;877,6),CalcRankKeyB,0),"")</f>
        <v/>
      </c>
    </row>
    <row r="894">
      <c r="A894" s="26" t="n">
        <v>878</v>
      </c>
      <c r="B894" s="27">
        <f>IF(AND($M894="",$N894=""),"",IF($M894&lt;&gt;"",INDEX(CalcDateA,$M894),INDEX(CalcDateB,$N894)))</f>
        <v/>
      </c>
      <c r="C894" s="27">
        <f>IF($M894&lt;&gt;"","خرید سبد",IF($N894&lt;&gt;"",IF(N(INDEX(CalcDepB,$N894))&gt;0,"دریافت بانکی","پرداخت بانکی"),""))</f>
        <v/>
      </c>
      <c r="D894" s="27">
        <f>IF($M894&lt;&gt;"",IF(INDEX(CalcDocA,$M894)="","—",INDEX(CalcDocA,$M894)),IF($N894&lt;&gt;"",INDEX(CalcBankB,$N894),""))</f>
        <v/>
      </c>
      <c r="E894" s="28">
        <f>IF($N894&lt;&gt;"",IF(INDEX(CalcDepB,$N894)=0,"",INDEX(CalcDepB,$N894)),"")</f>
        <v/>
      </c>
      <c r="F894" s="28">
        <f>IF($M894&lt;&gt;"",IF(INDEX(CalcQtyA,$M894)=0,"",INDEX(CalcQtyA,$M894)),"")</f>
        <v/>
      </c>
      <c r="G894" s="28">
        <f>IF($M894&lt;&gt;"",IF(INDEX(CalcPriceA,$M894)=0,"",INDEX(CalcPriceA,$M894)),"")</f>
        <v/>
      </c>
      <c r="H894" s="28">
        <f>IF($N894&lt;&gt;"",IF(INDEX(CalcWitB,$N894)=0,"",INDEX(CalcWitB,$N894)),"")</f>
        <v/>
      </c>
      <c r="I894" s="29">
        <f>IF($M894&lt;&gt;"",INDEX(CalcAmtA,$M894),"")</f>
        <v/>
      </c>
      <c r="J894" s="29">
        <f>IF($B894="","",IF($J893="",$C$8,$J893)+IF($I894="",0,$I894)+IF($E894="",0,$E894)-IF($H894="",0,$H894))</f>
        <v/>
      </c>
      <c r="K894" s="30">
        <f>IF($M894&lt;&gt;"",IF(INDEX(CalcNoteA,$M894)="","—",INDEX(CalcNoteA,$M894)),IF($N894&lt;&gt;"",IF(INDEX(CalcNoteB,$N894)="","—",INDEX(CalcNoteB,$N894)),""))</f>
        <v/>
      </c>
      <c r="M894">
        <f>IFERROR(MATCH($C$5&amp;"|"&amp;RIGHT("000000"&amp;878,6),CalcRankKeyA,0),"")</f>
        <v/>
      </c>
      <c r="N894">
        <f>IFERROR(MATCH($C$5&amp;"|"&amp;RIGHT("000000"&amp;878,6),CalcRankKeyB,0),"")</f>
        <v/>
      </c>
    </row>
    <row r="895">
      <c r="A895" s="21" t="n">
        <v>879</v>
      </c>
      <c r="B895" s="22">
        <f>IF(AND($M895="",$N895=""),"",IF($M895&lt;&gt;"",INDEX(CalcDateA,$M895),INDEX(CalcDateB,$N895)))</f>
        <v/>
      </c>
      <c r="C895" s="22">
        <f>IF($M895&lt;&gt;"","خرید سبد",IF($N895&lt;&gt;"",IF(N(INDEX(CalcDepB,$N895))&gt;0,"دریافت بانکی","پرداخت بانکی"),""))</f>
        <v/>
      </c>
      <c r="D895" s="22">
        <f>IF($M895&lt;&gt;"",IF(INDEX(CalcDocA,$M895)="","—",INDEX(CalcDocA,$M895)),IF($N895&lt;&gt;"",INDEX(CalcBankB,$N895),""))</f>
        <v/>
      </c>
      <c r="E895" s="23">
        <f>IF($N895&lt;&gt;"",IF(INDEX(CalcDepB,$N895)=0,"",INDEX(CalcDepB,$N895)),"")</f>
        <v/>
      </c>
      <c r="F895" s="23">
        <f>IF($M895&lt;&gt;"",IF(INDEX(CalcQtyA,$M895)=0,"",INDEX(CalcQtyA,$M895)),"")</f>
        <v/>
      </c>
      <c r="G895" s="23">
        <f>IF($M895&lt;&gt;"",IF(INDEX(CalcPriceA,$M895)=0,"",INDEX(CalcPriceA,$M895)),"")</f>
        <v/>
      </c>
      <c r="H895" s="23">
        <f>IF($N895&lt;&gt;"",IF(INDEX(CalcWitB,$N895)=0,"",INDEX(CalcWitB,$N895)),"")</f>
        <v/>
      </c>
      <c r="I895" s="24">
        <f>IF($M895&lt;&gt;"",INDEX(CalcAmtA,$M895),"")</f>
        <v/>
      </c>
      <c r="J895" s="24">
        <f>IF($B895="","",IF($J894="",$C$8,$J894)+IF($I895="",0,$I895)+IF($E895="",0,$E895)-IF($H895="",0,$H895))</f>
        <v/>
      </c>
      <c r="K895" s="25">
        <f>IF($M895&lt;&gt;"",IF(INDEX(CalcNoteA,$M895)="","—",INDEX(CalcNoteA,$M895)),IF($N895&lt;&gt;"",IF(INDEX(CalcNoteB,$N895)="","—",INDEX(CalcNoteB,$N895)),""))</f>
        <v/>
      </c>
      <c r="M895">
        <f>IFERROR(MATCH($C$5&amp;"|"&amp;RIGHT("000000"&amp;879,6),CalcRankKeyA,0),"")</f>
        <v/>
      </c>
      <c r="N895">
        <f>IFERROR(MATCH($C$5&amp;"|"&amp;RIGHT("000000"&amp;879,6),CalcRankKeyB,0),"")</f>
        <v/>
      </c>
    </row>
    <row r="896">
      <c r="A896" s="26" t="n">
        <v>880</v>
      </c>
      <c r="B896" s="27">
        <f>IF(AND($M896="",$N896=""),"",IF($M896&lt;&gt;"",INDEX(CalcDateA,$M896),INDEX(CalcDateB,$N896)))</f>
        <v/>
      </c>
      <c r="C896" s="27">
        <f>IF($M896&lt;&gt;"","خرید سبد",IF($N896&lt;&gt;"",IF(N(INDEX(CalcDepB,$N896))&gt;0,"دریافت بانکی","پرداخت بانکی"),""))</f>
        <v/>
      </c>
      <c r="D896" s="27">
        <f>IF($M896&lt;&gt;"",IF(INDEX(CalcDocA,$M896)="","—",INDEX(CalcDocA,$M896)),IF($N896&lt;&gt;"",INDEX(CalcBankB,$N896),""))</f>
        <v/>
      </c>
      <c r="E896" s="28">
        <f>IF($N896&lt;&gt;"",IF(INDEX(CalcDepB,$N896)=0,"",INDEX(CalcDepB,$N896)),"")</f>
        <v/>
      </c>
      <c r="F896" s="28">
        <f>IF($M896&lt;&gt;"",IF(INDEX(CalcQtyA,$M896)=0,"",INDEX(CalcQtyA,$M896)),"")</f>
        <v/>
      </c>
      <c r="G896" s="28">
        <f>IF($M896&lt;&gt;"",IF(INDEX(CalcPriceA,$M896)=0,"",INDEX(CalcPriceA,$M896)),"")</f>
        <v/>
      </c>
      <c r="H896" s="28">
        <f>IF($N896&lt;&gt;"",IF(INDEX(CalcWitB,$N896)=0,"",INDEX(CalcWitB,$N896)),"")</f>
        <v/>
      </c>
      <c r="I896" s="29">
        <f>IF($M896&lt;&gt;"",INDEX(CalcAmtA,$M896),"")</f>
        <v/>
      </c>
      <c r="J896" s="29">
        <f>IF($B896="","",IF($J895="",$C$8,$J895)+IF($I896="",0,$I896)+IF($E896="",0,$E896)-IF($H896="",0,$H896))</f>
        <v/>
      </c>
      <c r="K896" s="30">
        <f>IF($M896&lt;&gt;"",IF(INDEX(CalcNoteA,$M896)="","—",INDEX(CalcNoteA,$M896)),IF($N896&lt;&gt;"",IF(INDEX(CalcNoteB,$N896)="","—",INDEX(CalcNoteB,$N896)),""))</f>
        <v/>
      </c>
      <c r="M896">
        <f>IFERROR(MATCH($C$5&amp;"|"&amp;RIGHT("000000"&amp;880,6),CalcRankKeyA,0),"")</f>
        <v/>
      </c>
      <c r="N896">
        <f>IFERROR(MATCH($C$5&amp;"|"&amp;RIGHT("000000"&amp;880,6),CalcRankKeyB,0),"")</f>
        <v/>
      </c>
    </row>
    <row r="897">
      <c r="A897" s="21" t="n">
        <v>881</v>
      </c>
      <c r="B897" s="22">
        <f>IF(AND($M897="",$N897=""),"",IF($M897&lt;&gt;"",INDEX(CalcDateA,$M897),INDEX(CalcDateB,$N897)))</f>
        <v/>
      </c>
      <c r="C897" s="22">
        <f>IF($M897&lt;&gt;"","خرید سبد",IF($N897&lt;&gt;"",IF(N(INDEX(CalcDepB,$N897))&gt;0,"دریافت بانکی","پرداخت بانکی"),""))</f>
        <v/>
      </c>
      <c r="D897" s="22">
        <f>IF($M897&lt;&gt;"",IF(INDEX(CalcDocA,$M897)="","—",INDEX(CalcDocA,$M897)),IF($N897&lt;&gt;"",INDEX(CalcBankB,$N897),""))</f>
        <v/>
      </c>
      <c r="E897" s="23">
        <f>IF($N897&lt;&gt;"",IF(INDEX(CalcDepB,$N897)=0,"",INDEX(CalcDepB,$N897)),"")</f>
        <v/>
      </c>
      <c r="F897" s="23">
        <f>IF($M897&lt;&gt;"",IF(INDEX(CalcQtyA,$M897)=0,"",INDEX(CalcQtyA,$M897)),"")</f>
        <v/>
      </c>
      <c r="G897" s="23">
        <f>IF($M897&lt;&gt;"",IF(INDEX(CalcPriceA,$M897)=0,"",INDEX(CalcPriceA,$M897)),"")</f>
        <v/>
      </c>
      <c r="H897" s="23">
        <f>IF($N897&lt;&gt;"",IF(INDEX(CalcWitB,$N897)=0,"",INDEX(CalcWitB,$N897)),"")</f>
        <v/>
      </c>
      <c r="I897" s="24">
        <f>IF($M897&lt;&gt;"",INDEX(CalcAmtA,$M897),"")</f>
        <v/>
      </c>
      <c r="J897" s="24">
        <f>IF($B897="","",IF($J896="",$C$8,$J896)+IF($I897="",0,$I897)+IF($E897="",0,$E897)-IF($H897="",0,$H897))</f>
        <v/>
      </c>
      <c r="K897" s="25">
        <f>IF($M897&lt;&gt;"",IF(INDEX(CalcNoteA,$M897)="","—",INDEX(CalcNoteA,$M897)),IF($N897&lt;&gt;"",IF(INDEX(CalcNoteB,$N897)="","—",INDEX(CalcNoteB,$N897)),""))</f>
        <v/>
      </c>
      <c r="M897">
        <f>IFERROR(MATCH($C$5&amp;"|"&amp;RIGHT("000000"&amp;881,6),CalcRankKeyA,0),"")</f>
        <v/>
      </c>
      <c r="N897">
        <f>IFERROR(MATCH($C$5&amp;"|"&amp;RIGHT("000000"&amp;881,6),CalcRankKeyB,0),"")</f>
        <v/>
      </c>
    </row>
    <row r="898">
      <c r="A898" s="26" t="n">
        <v>882</v>
      </c>
      <c r="B898" s="27">
        <f>IF(AND($M898="",$N898=""),"",IF($M898&lt;&gt;"",INDEX(CalcDateA,$M898),INDEX(CalcDateB,$N898)))</f>
        <v/>
      </c>
      <c r="C898" s="27">
        <f>IF($M898&lt;&gt;"","خرید سبد",IF($N898&lt;&gt;"",IF(N(INDEX(CalcDepB,$N898))&gt;0,"دریافت بانکی","پرداخت بانکی"),""))</f>
        <v/>
      </c>
      <c r="D898" s="27">
        <f>IF($M898&lt;&gt;"",IF(INDEX(CalcDocA,$M898)="","—",INDEX(CalcDocA,$M898)),IF($N898&lt;&gt;"",INDEX(CalcBankB,$N898),""))</f>
        <v/>
      </c>
      <c r="E898" s="28">
        <f>IF($N898&lt;&gt;"",IF(INDEX(CalcDepB,$N898)=0,"",INDEX(CalcDepB,$N898)),"")</f>
        <v/>
      </c>
      <c r="F898" s="28">
        <f>IF($M898&lt;&gt;"",IF(INDEX(CalcQtyA,$M898)=0,"",INDEX(CalcQtyA,$M898)),"")</f>
        <v/>
      </c>
      <c r="G898" s="28">
        <f>IF($M898&lt;&gt;"",IF(INDEX(CalcPriceA,$M898)=0,"",INDEX(CalcPriceA,$M898)),"")</f>
        <v/>
      </c>
      <c r="H898" s="28">
        <f>IF($N898&lt;&gt;"",IF(INDEX(CalcWitB,$N898)=0,"",INDEX(CalcWitB,$N898)),"")</f>
        <v/>
      </c>
      <c r="I898" s="29">
        <f>IF($M898&lt;&gt;"",INDEX(CalcAmtA,$M898),"")</f>
        <v/>
      </c>
      <c r="J898" s="29">
        <f>IF($B898="","",IF($J897="",$C$8,$J897)+IF($I898="",0,$I898)+IF($E898="",0,$E898)-IF($H898="",0,$H898))</f>
        <v/>
      </c>
      <c r="K898" s="30">
        <f>IF($M898&lt;&gt;"",IF(INDEX(CalcNoteA,$M898)="","—",INDEX(CalcNoteA,$M898)),IF($N898&lt;&gt;"",IF(INDEX(CalcNoteB,$N898)="","—",INDEX(CalcNoteB,$N898)),""))</f>
        <v/>
      </c>
      <c r="M898">
        <f>IFERROR(MATCH($C$5&amp;"|"&amp;RIGHT("000000"&amp;882,6),CalcRankKeyA,0),"")</f>
        <v/>
      </c>
      <c r="N898">
        <f>IFERROR(MATCH($C$5&amp;"|"&amp;RIGHT("000000"&amp;882,6),CalcRankKeyB,0),"")</f>
        <v/>
      </c>
    </row>
    <row r="899">
      <c r="A899" s="21" t="n">
        <v>883</v>
      </c>
      <c r="B899" s="22">
        <f>IF(AND($M899="",$N899=""),"",IF($M899&lt;&gt;"",INDEX(CalcDateA,$M899),INDEX(CalcDateB,$N899)))</f>
        <v/>
      </c>
      <c r="C899" s="22">
        <f>IF($M899&lt;&gt;"","خرید سبد",IF($N899&lt;&gt;"",IF(N(INDEX(CalcDepB,$N899))&gt;0,"دریافت بانکی","پرداخت بانکی"),""))</f>
        <v/>
      </c>
      <c r="D899" s="22">
        <f>IF($M899&lt;&gt;"",IF(INDEX(CalcDocA,$M899)="","—",INDEX(CalcDocA,$M899)),IF($N899&lt;&gt;"",INDEX(CalcBankB,$N899),""))</f>
        <v/>
      </c>
      <c r="E899" s="23">
        <f>IF($N899&lt;&gt;"",IF(INDEX(CalcDepB,$N899)=0,"",INDEX(CalcDepB,$N899)),"")</f>
        <v/>
      </c>
      <c r="F899" s="23">
        <f>IF($M899&lt;&gt;"",IF(INDEX(CalcQtyA,$M899)=0,"",INDEX(CalcQtyA,$M899)),"")</f>
        <v/>
      </c>
      <c r="G899" s="23">
        <f>IF($M899&lt;&gt;"",IF(INDEX(CalcPriceA,$M899)=0,"",INDEX(CalcPriceA,$M899)),"")</f>
        <v/>
      </c>
      <c r="H899" s="23">
        <f>IF($N899&lt;&gt;"",IF(INDEX(CalcWitB,$N899)=0,"",INDEX(CalcWitB,$N899)),"")</f>
        <v/>
      </c>
      <c r="I899" s="24">
        <f>IF($M899&lt;&gt;"",INDEX(CalcAmtA,$M899),"")</f>
        <v/>
      </c>
      <c r="J899" s="24">
        <f>IF($B899="","",IF($J898="",$C$8,$J898)+IF($I899="",0,$I899)+IF($E899="",0,$E899)-IF($H899="",0,$H899))</f>
        <v/>
      </c>
      <c r="K899" s="25">
        <f>IF($M899&lt;&gt;"",IF(INDEX(CalcNoteA,$M899)="","—",INDEX(CalcNoteA,$M899)),IF($N899&lt;&gt;"",IF(INDEX(CalcNoteB,$N899)="","—",INDEX(CalcNoteB,$N899)),""))</f>
        <v/>
      </c>
      <c r="M899">
        <f>IFERROR(MATCH($C$5&amp;"|"&amp;RIGHT("000000"&amp;883,6),CalcRankKeyA,0),"")</f>
        <v/>
      </c>
      <c r="N899">
        <f>IFERROR(MATCH($C$5&amp;"|"&amp;RIGHT("000000"&amp;883,6),CalcRankKeyB,0),"")</f>
        <v/>
      </c>
    </row>
    <row r="900">
      <c r="A900" s="26" t="n">
        <v>884</v>
      </c>
      <c r="B900" s="27">
        <f>IF(AND($M900="",$N900=""),"",IF($M900&lt;&gt;"",INDEX(CalcDateA,$M900),INDEX(CalcDateB,$N900)))</f>
        <v/>
      </c>
      <c r="C900" s="27">
        <f>IF($M900&lt;&gt;"","خرید سبد",IF($N900&lt;&gt;"",IF(N(INDEX(CalcDepB,$N900))&gt;0,"دریافت بانکی","پرداخت بانکی"),""))</f>
        <v/>
      </c>
      <c r="D900" s="27">
        <f>IF($M900&lt;&gt;"",IF(INDEX(CalcDocA,$M900)="","—",INDEX(CalcDocA,$M900)),IF($N900&lt;&gt;"",INDEX(CalcBankB,$N900),""))</f>
        <v/>
      </c>
      <c r="E900" s="28">
        <f>IF($N900&lt;&gt;"",IF(INDEX(CalcDepB,$N900)=0,"",INDEX(CalcDepB,$N900)),"")</f>
        <v/>
      </c>
      <c r="F900" s="28">
        <f>IF($M900&lt;&gt;"",IF(INDEX(CalcQtyA,$M900)=0,"",INDEX(CalcQtyA,$M900)),"")</f>
        <v/>
      </c>
      <c r="G900" s="28">
        <f>IF($M900&lt;&gt;"",IF(INDEX(CalcPriceA,$M900)=0,"",INDEX(CalcPriceA,$M900)),"")</f>
        <v/>
      </c>
      <c r="H900" s="28">
        <f>IF($N900&lt;&gt;"",IF(INDEX(CalcWitB,$N900)=0,"",INDEX(CalcWitB,$N900)),"")</f>
        <v/>
      </c>
      <c r="I900" s="29">
        <f>IF($M900&lt;&gt;"",INDEX(CalcAmtA,$M900),"")</f>
        <v/>
      </c>
      <c r="J900" s="29">
        <f>IF($B900="","",IF($J899="",$C$8,$J899)+IF($I900="",0,$I900)+IF($E900="",0,$E900)-IF($H900="",0,$H900))</f>
        <v/>
      </c>
      <c r="K900" s="30">
        <f>IF($M900&lt;&gt;"",IF(INDEX(CalcNoteA,$M900)="","—",INDEX(CalcNoteA,$M900)),IF($N900&lt;&gt;"",IF(INDEX(CalcNoteB,$N900)="","—",INDEX(CalcNoteB,$N900)),""))</f>
        <v/>
      </c>
      <c r="M900">
        <f>IFERROR(MATCH($C$5&amp;"|"&amp;RIGHT("000000"&amp;884,6),CalcRankKeyA,0),"")</f>
        <v/>
      </c>
      <c r="N900">
        <f>IFERROR(MATCH($C$5&amp;"|"&amp;RIGHT("000000"&amp;884,6),CalcRankKeyB,0),"")</f>
        <v/>
      </c>
    </row>
    <row r="901">
      <c r="A901" s="21" t="n">
        <v>885</v>
      </c>
      <c r="B901" s="22">
        <f>IF(AND($M901="",$N901=""),"",IF($M901&lt;&gt;"",INDEX(CalcDateA,$M901),INDEX(CalcDateB,$N901)))</f>
        <v/>
      </c>
      <c r="C901" s="22">
        <f>IF($M901&lt;&gt;"","خرید سبد",IF($N901&lt;&gt;"",IF(N(INDEX(CalcDepB,$N901))&gt;0,"دریافت بانکی","پرداخت بانکی"),""))</f>
        <v/>
      </c>
      <c r="D901" s="22">
        <f>IF($M901&lt;&gt;"",IF(INDEX(CalcDocA,$M901)="","—",INDEX(CalcDocA,$M901)),IF($N901&lt;&gt;"",INDEX(CalcBankB,$N901),""))</f>
        <v/>
      </c>
      <c r="E901" s="23">
        <f>IF($N901&lt;&gt;"",IF(INDEX(CalcDepB,$N901)=0,"",INDEX(CalcDepB,$N901)),"")</f>
        <v/>
      </c>
      <c r="F901" s="23">
        <f>IF($M901&lt;&gt;"",IF(INDEX(CalcQtyA,$M901)=0,"",INDEX(CalcQtyA,$M901)),"")</f>
        <v/>
      </c>
      <c r="G901" s="23">
        <f>IF($M901&lt;&gt;"",IF(INDEX(CalcPriceA,$M901)=0,"",INDEX(CalcPriceA,$M901)),"")</f>
        <v/>
      </c>
      <c r="H901" s="23">
        <f>IF($N901&lt;&gt;"",IF(INDEX(CalcWitB,$N901)=0,"",INDEX(CalcWitB,$N901)),"")</f>
        <v/>
      </c>
      <c r="I901" s="24">
        <f>IF($M901&lt;&gt;"",INDEX(CalcAmtA,$M901),"")</f>
        <v/>
      </c>
      <c r="J901" s="24">
        <f>IF($B901="","",IF($J900="",$C$8,$J900)+IF($I901="",0,$I901)+IF($E901="",0,$E901)-IF($H901="",0,$H901))</f>
        <v/>
      </c>
      <c r="K901" s="25">
        <f>IF($M901&lt;&gt;"",IF(INDEX(CalcNoteA,$M901)="","—",INDEX(CalcNoteA,$M901)),IF($N901&lt;&gt;"",IF(INDEX(CalcNoteB,$N901)="","—",INDEX(CalcNoteB,$N901)),""))</f>
        <v/>
      </c>
      <c r="M901">
        <f>IFERROR(MATCH($C$5&amp;"|"&amp;RIGHT("000000"&amp;885,6),CalcRankKeyA,0),"")</f>
        <v/>
      </c>
      <c r="N901">
        <f>IFERROR(MATCH($C$5&amp;"|"&amp;RIGHT("000000"&amp;885,6),CalcRankKeyB,0),"")</f>
        <v/>
      </c>
    </row>
    <row r="902">
      <c r="A902" s="26" t="n">
        <v>886</v>
      </c>
      <c r="B902" s="27">
        <f>IF(AND($M902="",$N902=""),"",IF($M902&lt;&gt;"",INDEX(CalcDateA,$M902),INDEX(CalcDateB,$N902)))</f>
        <v/>
      </c>
      <c r="C902" s="27">
        <f>IF($M902&lt;&gt;"","خرید سبد",IF($N902&lt;&gt;"",IF(N(INDEX(CalcDepB,$N902))&gt;0,"دریافت بانکی","پرداخت بانکی"),""))</f>
        <v/>
      </c>
      <c r="D902" s="27">
        <f>IF($M902&lt;&gt;"",IF(INDEX(CalcDocA,$M902)="","—",INDEX(CalcDocA,$M902)),IF($N902&lt;&gt;"",INDEX(CalcBankB,$N902),""))</f>
        <v/>
      </c>
      <c r="E902" s="28">
        <f>IF($N902&lt;&gt;"",IF(INDEX(CalcDepB,$N902)=0,"",INDEX(CalcDepB,$N902)),"")</f>
        <v/>
      </c>
      <c r="F902" s="28">
        <f>IF($M902&lt;&gt;"",IF(INDEX(CalcQtyA,$M902)=0,"",INDEX(CalcQtyA,$M902)),"")</f>
        <v/>
      </c>
      <c r="G902" s="28">
        <f>IF($M902&lt;&gt;"",IF(INDEX(CalcPriceA,$M902)=0,"",INDEX(CalcPriceA,$M902)),"")</f>
        <v/>
      </c>
      <c r="H902" s="28">
        <f>IF($N902&lt;&gt;"",IF(INDEX(CalcWitB,$N902)=0,"",INDEX(CalcWitB,$N902)),"")</f>
        <v/>
      </c>
      <c r="I902" s="29">
        <f>IF($M902&lt;&gt;"",INDEX(CalcAmtA,$M902),"")</f>
        <v/>
      </c>
      <c r="J902" s="29">
        <f>IF($B902="","",IF($J901="",$C$8,$J901)+IF($I902="",0,$I902)+IF($E902="",0,$E902)-IF($H902="",0,$H902))</f>
        <v/>
      </c>
      <c r="K902" s="30">
        <f>IF($M902&lt;&gt;"",IF(INDEX(CalcNoteA,$M902)="","—",INDEX(CalcNoteA,$M902)),IF($N902&lt;&gt;"",IF(INDEX(CalcNoteB,$N902)="","—",INDEX(CalcNoteB,$N902)),""))</f>
        <v/>
      </c>
      <c r="M902">
        <f>IFERROR(MATCH($C$5&amp;"|"&amp;RIGHT("000000"&amp;886,6),CalcRankKeyA,0),"")</f>
        <v/>
      </c>
      <c r="N902">
        <f>IFERROR(MATCH($C$5&amp;"|"&amp;RIGHT("000000"&amp;886,6),CalcRankKeyB,0),"")</f>
        <v/>
      </c>
    </row>
    <row r="903">
      <c r="A903" s="21" t="n">
        <v>887</v>
      </c>
      <c r="B903" s="22">
        <f>IF(AND($M903="",$N903=""),"",IF($M903&lt;&gt;"",INDEX(CalcDateA,$M903),INDEX(CalcDateB,$N903)))</f>
        <v/>
      </c>
      <c r="C903" s="22">
        <f>IF($M903&lt;&gt;"","خرید سبد",IF($N903&lt;&gt;"",IF(N(INDEX(CalcDepB,$N903))&gt;0,"دریافت بانکی","پرداخت بانکی"),""))</f>
        <v/>
      </c>
      <c r="D903" s="22">
        <f>IF($M903&lt;&gt;"",IF(INDEX(CalcDocA,$M903)="","—",INDEX(CalcDocA,$M903)),IF($N903&lt;&gt;"",INDEX(CalcBankB,$N903),""))</f>
        <v/>
      </c>
      <c r="E903" s="23">
        <f>IF($N903&lt;&gt;"",IF(INDEX(CalcDepB,$N903)=0,"",INDEX(CalcDepB,$N903)),"")</f>
        <v/>
      </c>
      <c r="F903" s="23">
        <f>IF($M903&lt;&gt;"",IF(INDEX(CalcQtyA,$M903)=0,"",INDEX(CalcQtyA,$M903)),"")</f>
        <v/>
      </c>
      <c r="G903" s="23">
        <f>IF($M903&lt;&gt;"",IF(INDEX(CalcPriceA,$M903)=0,"",INDEX(CalcPriceA,$M903)),"")</f>
        <v/>
      </c>
      <c r="H903" s="23">
        <f>IF($N903&lt;&gt;"",IF(INDEX(CalcWitB,$N903)=0,"",INDEX(CalcWitB,$N903)),"")</f>
        <v/>
      </c>
      <c r="I903" s="24">
        <f>IF($M903&lt;&gt;"",INDEX(CalcAmtA,$M903),"")</f>
        <v/>
      </c>
      <c r="J903" s="24">
        <f>IF($B903="","",IF($J902="",$C$8,$J902)+IF($I903="",0,$I903)+IF($E903="",0,$E903)-IF($H903="",0,$H903))</f>
        <v/>
      </c>
      <c r="K903" s="25">
        <f>IF($M903&lt;&gt;"",IF(INDEX(CalcNoteA,$M903)="","—",INDEX(CalcNoteA,$M903)),IF($N903&lt;&gt;"",IF(INDEX(CalcNoteB,$N903)="","—",INDEX(CalcNoteB,$N903)),""))</f>
        <v/>
      </c>
      <c r="M903">
        <f>IFERROR(MATCH($C$5&amp;"|"&amp;RIGHT("000000"&amp;887,6),CalcRankKeyA,0),"")</f>
        <v/>
      </c>
      <c r="N903">
        <f>IFERROR(MATCH($C$5&amp;"|"&amp;RIGHT("000000"&amp;887,6),CalcRankKeyB,0),"")</f>
        <v/>
      </c>
    </row>
    <row r="904">
      <c r="A904" s="26" t="n">
        <v>888</v>
      </c>
      <c r="B904" s="27">
        <f>IF(AND($M904="",$N904=""),"",IF($M904&lt;&gt;"",INDEX(CalcDateA,$M904),INDEX(CalcDateB,$N904)))</f>
        <v/>
      </c>
      <c r="C904" s="27">
        <f>IF($M904&lt;&gt;"","خرید سبد",IF($N904&lt;&gt;"",IF(N(INDEX(CalcDepB,$N904))&gt;0,"دریافت بانکی","پرداخت بانکی"),""))</f>
        <v/>
      </c>
      <c r="D904" s="27">
        <f>IF($M904&lt;&gt;"",IF(INDEX(CalcDocA,$M904)="","—",INDEX(CalcDocA,$M904)),IF($N904&lt;&gt;"",INDEX(CalcBankB,$N904),""))</f>
        <v/>
      </c>
      <c r="E904" s="28">
        <f>IF($N904&lt;&gt;"",IF(INDEX(CalcDepB,$N904)=0,"",INDEX(CalcDepB,$N904)),"")</f>
        <v/>
      </c>
      <c r="F904" s="28">
        <f>IF($M904&lt;&gt;"",IF(INDEX(CalcQtyA,$M904)=0,"",INDEX(CalcQtyA,$M904)),"")</f>
        <v/>
      </c>
      <c r="G904" s="28">
        <f>IF($M904&lt;&gt;"",IF(INDEX(CalcPriceA,$M904)=0,"",INDEX(CalcPriceA,$M904)),"")</f>
        <v/>
      </c>
      <c r="H904" s="28">
        <f>IF($N904&lt;&gt;"",IF(INDEX(CalcWitB,$N904)=0,"",INDEX(CalcWitB,$N904)),"")</f>
        <v/>
      </c>
      <c r="I904" s="29">
        <f>IF($M904&lt;&gt;"",INDEX(CalcAmtA,$M904),"")</f>
        <v/>
      </c>
      <c r="J904" s="29">
        <f>IF($B904="","",IF($J903="",$C$8,$J903)+IF($I904="",0,$I904)+IF($E904="",0,$E904)-IF($H904="",0,$H904))</f>
        <v/>
      </c>
      <c r="K904" s="30">
        <f>IF($M904&lt;&gt;"",IF(INDEX(CalcNoteA,$M904)="","—",INDEX(CalcNoteA,$M904)),IF($N904&lt;&gt;"",IF(INDEX(CalcNoteB,$N904)="","—",INDEX(CalcNoteB,$N904)),""))</f>
        <v/>
      </c>
      <c r="M904">
        <f>IFERROR(MATCH($C$5&amp;"|"&amp;RIGHT("000000"&amp;888,6),CalcRankKeyA,0),"")</f>
        <v/>
      </c>
      <c r="N904">
        <f>IFERROR(MATCH($C$5&amp;"|"&amp;RIGHT("000000"&amp;888,6),CalcRankKeyB,0),"")</f>
        <v/>
      </c>
    </row>
    <row r="905">
      <c r="A905" s="21" t="n">
        <v>889</v>
      </c>
      <c r="B905" s="22">
        <f>IF(AND($M905="",$N905=""),"",IF($M905&lt;&gt;"",INDEX(CalcDateA,$M905),INDEX(CalcDateB,$N905)))</f>
        <v/>
      </c>
      <c r="C905" s="22">
        <f>IF($M905&lt;&gt;"","خرید سبد",IF($N905&lt;&gt;"",IF(N(INDEX(CalcDepB,$N905))&gt;0,"دریافت بانکی","پرداخت بانکی"),""))</f>
        <v/>
      </c>
      <c r="D905" s="22">
        <f>IF($M905&lt;&gt;"",IF(INDEX(CalcDocA,$M905)="","—",INDEX(CalcDocA,$M905)),IF($N905&lt;&gt;"",INDEX(CalcBankB,$N905),""))</f>
        <v/>
      </c>
      <c r="E905" s="23">
        <f>IF($N905&lt;&gt;"",IF(INDEX(CalcDepB,$N905)=0,"",INDEX(CalcDepB,$N905)),"")</f>
        <v/>
      </c>
      <c r="F905" s="23">
        <f>IF($M905&lt;&gt;"",IF(INDEX(CalcQtyA,$M905)=0,"",INDEX(CalcQtyA,$M905)),"")</f>
        <v/>
      </c>
      <c r="G905" s="23">
        <f>IF($M905&lt;&gt;"",IF(INDEX(CalcPriceA,$M905)=0,"",INDEX(CalcPriceA,$M905)),"")</f>
        <v/>
      </c>
      <c r="H905" s="23">
        <f>IF($N905&lt;&gt;"",IF(INDEX(CalcWitB,$N905)=0,"",INDEX(CalcWitB,$N905)),"")</f>
        <v/>
      </c>
      <c r="I905" s="24">
        <f>IF($M905&lt;&gt;"",INDEX(CalcAmtA,$M905),"")</f>
        <v/>
      </c>
      <c r="J905" s="24">
        <f>IF($B905="","",IF($J904="",$C$8,$J904)+IF($I905="",0,$I905)+IF($E905="",0,$E905)-IF($H905="",0,$H905))</f>
        <v/>
      </c>
      <c r="K905" s="25">
        <f>IF($M905&lt;&gt;"",IF(INDEX(CalcNoteA,$M905)="","—",INDEX(CalcNoteA,$M905)),IF($N905&lt;&gt;"",IF(INDEX(CalcNoteB,$N905)="","—",INDEX(CalcNoteB,$N905)),""))</f>
        <v/>
      </c>
      <c r="M905">
        <f>IFERROR(MATCH($C$5&amp;"|"&amp;RIGHT("000000"&amp;889,6),CalcRankKeyA,0),"")</f>
        <v/>
      </c>
      <c r="N905">
        <f>IFERROR(MATCH($C$5&amp;"|"&amp;RIGHT("000000"&amp;889,6),CalcRankKeyB,0),"")</f>
        <v/>
      </c>
    </row>
    <row r="906">
      <c r="A906" s="26" t="n">
        <v>890</v>
      </c>
      <c r="B906" s="27">
        <f>IF(AND($M906="",$N906=""),"",IF($M906&lt;&gt;"",INDEX(CalcDateA,$M906),INDEX(CalcDateB,$N906)))</f>
        <v/>
      </c>
      <c r="C906" s="27">
        <f>IF($M906&lt;&gt;"","خرید سبد",IF($N906&lt;&gt;"",IF(N(INDEX(CalcDepB,$N906))&gt;0,"دریافت بانکی","پرداخت بانکی"),""))</f>
        <v/>
      </c>
      <c r="D906" s="27">
        <f>IF($M906&lt;&gt;"",IF(INDEX(CalcDocA,$M906)="","—",INDEX(CalcDocA,$M906)),IF($N906&lt;&gt;"",INDEX(CalcBankB,$N906),""))</f>
        <v/>
      </c>
      <c r="E906" s="28">
        <f>IF($N906&lt;&gt;"",IF(INDEX(CalcDepB,$N906)=0,"",INDEX(CalcDepB,$N906)),"")</f>
        <v/>
      </c>
      <c r="F906" s="28">
        <f>IF($M906&lt;&gt;"",IF(INDEX(CalcQtyA,$M906)=0,"",INDEX(CalcQtyA,$M906)),"")</f>
        <v/>
      </c>
      <c r="G906" s="28">
        <f>IF($M906&lt;&gt;"",IF(INDEX(CalcPriceA,$M906)=0,"",INDEX(CalcPriceA,$M906)),"")</f>
        <v/>
      </c>
      <c r="H906" s="28">
        <f>IF($N906&lt;&gt;"",IF(INDEX(CalcWitB,$N906)=0,"",INDEX(CalcWitB,$N906)),"")</f>
        <v/>
      </c>
      <c r="I906" s="29">
        <f>IF($M906&lt;&gt;"",INDEX(CalcAmtA,$M906),"")</f>
        <v/>
      </c>
      <c r="J906" s="29">
        <f>IF($B906="","",IF($J905="",$C$8,$J905)+IF($I906="",0,$I906)+IF($E906="",0,$E906)-IF($H906="",0,$H906))</f>
        <v/>
      </c>
      <c r="K906" s="30">
        <f>IF($M906&lt;&gt;"",IF(INDEX(CalcNoteA,$M906)="","—",INDEX(CalcNoteA,$M906)),IF($N906&lt;&gt;"",IF(INDEX(CalcNoteB,$N906)="","—",INDEX(CalcNoteB,$N906)),""))</f>
        <v/>
      </c>
      <c r="M906">
        <f>IFERROR(MATCH($C$5&amp;"|"&amp;RIGHT("000000"&amp;890,6),CalcRankKeyA,0),"")</f>
        <v/>
      </c>
      <c r="N906">
        <f>IFERROR(MATCH($C$5&amp;"|"&amp;RIGHT("000000"&amp;890,6),CalcRankKeyB,0),"")</f>
        <v/>
      </c>
    </row>
    <row r="907">
      <c r="A907" s="21" t="n">
        <v>891</v>
      </c>
      <c r="B907" s="22">
        <f>IF(AND($M907="",$N907=""),"",IF($M907&lt;&gt;"",INDEX(CalcDateA,$M907),INDEX(CalcDateB,$N907)))</f>
        <v/>
      </c>
      <c r="C907" s="22">
        <f>IF($M907&lt;&gt;"","خرید سبد",IF($N907&lt;&gt;"",IF(N(INDEX(CalcDepB,$N907))&gt;0,"دریافت بانکی","پرداخت بانکی"),""))</f>
        <v/>
      </c>
      <c r="D907" s="22">
        <f>IF($M907&lt;&gt;"",IF(INDEX(CalcDocA,$M907)="","—",INDEX(CalcDocA,$M907)),IF($N907&lt;&gt;"",INDEX(CalcBankB,$N907),""))</f>
        <v/>
      </c>
      <c r="E907" s="23">
        <f>IF($N907&lt;&gt;"",IF(INDEX(CalcDepB,$N907)=0,"",INDEX(CalcDepB,$N907)),"")</f>
        <v/>
      </c>
      <c r="F907" s="23">
        <f>IF($M907&lt;&gt;"",IF(INDEX(CalcQtyA,$M907)=0,"",INDEX(CalcQtyA,$M907)),"")</f>
        <v/>
      </c>
      <c r="G907" s="23">
        <f>IF($M907&lt;&gt;"",IF(INDEX(CalcPriceA,$M907)=0,"",INDEX(CalcPriceA,$M907)),"")</f>
        <v/>
      </c>
      <c r="H907" s="23">
        <f>IF($N907&lt;&gt;"",IF(INDEX(CalcWitB,$N907)=0,"",INDEX(CalcWitB,$N907)),"")</f>
        <v/>
      </c>
      <c r="I907" s="24">
        <f>IF($M907&lt;&gt;"",INDEX(CalcAmtA,$M907),"")</f>
        <v/>
      </c>
      <c r="J907" s="24">
        <f>IF($B907="","",IF($J906="",$C$8,$J906)+IF($I907="",0,$I907)+IF($E907="",0,$E907)-IF($H907="",0,$H907))</f>
        <v/>
      </c>
      <c r="K907" s="25">
        <f>IF($M907&lt;&gt;"",IF(INDEX(CalcNoteA,$M907)="","—",INDEX(CalcNoteA,$M907)),IF($N907&lt;&gt;"",IF(INDEX(CalcNoteB,$N907)="","—",INDEX(CalcNoteB,$N907)),""))</f>
        <v/>
      </c>
      <c r="M907">
        <f>IFERROR(MATCH($C$5&amp;"|"&amp;RIGHT("000000"&amp;891,6),CalcRankKeyA,0),"")</f>
        <v/>
      </c>
      <c r="N907">
        <f>IFERROR(MATCH($C$5&amp;"|"&amp;RIGHT("000000"&amp;891,6),CalcRankKeyB,0),"")</f>
        <v/>
      </c>
    </row>
    <row r="908">
      <c r="A908" s="26" t="n">
        <v>892</v>
      </c>
      <c r="B908" s="27">
        <f>IF(AND($M908="",$N908=""),"",IF($M908&lt;&gt;"",INDEX(CalcDateA,$M908),INDEX(CalcDateB,$N908)))</f>
        <v/>
      </c>
      <c r="C908" s="27">
        <f>IF($M908&lt;&gt;"","خرید سبد",IF($N908&lt;&gt;"",IF(N(INDEX(CalcDepB,$N908))&gt;0,"دریافت بانکی","پرداخت بانکی"),""))</f>
        <v/>
      </c>
      <c r="D908" s="27">
        <f>IF($M908&lt;&gt;"",IF(INDEX(CalcDocA,$M908)="","—",INDEX(CalcDocA,$M908)),IF($N908&lt;&gt;"",INDEX(CalcBankB,$N908),""))</f>
        <v/>
      </c>
      <c r="E908" s="28">
        <f>IF($N908&lt;&gt;"",IF(INDEX(CalcDepB,$N908)=0,"",INDEX(CalcDepB,$N908)),"")</f>
        <v/>
      </c>
      <c r="F908" s="28">
        <f>IF($M908&lt;&gt;"",IF(INDEX(CalcQtyA,$M908)=0,"",INDEX(CalcQtyA,$M908)),"")</f>
        <v/>
      </c>
      <c r="G908" s="28">
        <f>IF($M908&lt;&gt;"",IF(INDEX(CalcPriceA,$M908)=0,"",INDEX(CalcPriceA,$M908)),"")</f>
        <v/>
      </c>
      <c r="H908" s="28">
        <f>IF($N908&lt;&gt;"",IF(INDEX(CalcWitB,$N908)=0,"",INDEX(CalcWitB,$N908)),"")</f>
        <v/>
      </c>
      <c r="I908" s="29">
        <f>IF($M908&lt;&gt;"",INDEX(CalcAmtA,$M908),"")</f>
        <v/>
      </c>
      <c r="J908" s="29">
        <f>IF($B908="","",IF($J907="",$C$8,$J907)+IF($I908="",0,$I908)+IF($E908="",0,$E908)-IF($H908="",0,$H908))</f>
        <v/>
      </c>
      <c r="K908" s="30">
        <f>IF($M908&lt;&gt;"",IF(INDEX(CalcNoteA,$M908)="","—",INDEX(CalcNoteA,$M908)),IF($N908&lt;&gt;"",IF(INDEX(CalcNoteB,$N908)="","—",INDEX(CalcNoteB,$N908)),""))</f>
        <v/>
      </c>
      <c r="M908">
        <f>IFERROR(MATCH($C$5&amp;"|"&amp;RIGHT("000000"&amp;892,6),CalcRankKeyA,0),"")</f>
        <v/>
      </c>
      <c r="N908">
        <f>IFERROR(MATCH($C$5&amp;"|"&amp;RIGHT("000000"&amp;892,6),CalcRankKeyB,0),"")</f>
        <v/>
      </c>
    </row>
    <row r="909">
      <c r="A909" s="21" t="n">
        <v>893</v>
      </c>
      <c r="B909" s="22">
        <f>IF(AND($M909="",$N909=""),"",IF($M909&lt;&gt;"",INDEX(CalcDateA,$M909),INDEX(CalcDateB,$N909)))</f>
        <v/>
      </c>
      <c r="C909" s="22">
        <f>IF($M909&lt;&gt;"","خرید سبد",IF($N909&lt;&gt;"",IF(N(INDEX(CalcDepB,$N909))&gt;0,"دریافت بانکی","پرداخت بانکی"),""))</f>
        <v/>
      </c>
      <c r="D909" s="22">
        <f>IF($M909&lt;&gt;"",IF(INDEX(CalcDocA,$M909)="","—",INDEX(CalcDocA,$M909)),IF($N909&lt;&gt;"",INDEX(CalcBankB,$N909),""))</f>
        <v/>
      </c>
      <c r="E909" s="23">
        <f>IF($N909&lt;&gt;"",IF(INDEX(CalcDepB,$N909)=0,"",INDEX(CalcDepB,$N909)),"")</f>
        <v/>
      </c>
      <c r="F909" s="23">
        <f>IF($M909&lt;&gt;"",IF(INDEX(CalcQtyA,$M909)=0,"",INDEX(CalcQtyA,$M909)),"")</f>
        <v/>
      </c>
      <c r="G909" s="23">
        <f>IF($M909&lt;&gt;"",IF(INDEX(CalcPriceA,$M909)=0,"",INDEX(CalcPriceA,$M909)),"")</f>
        <v/>
      </c>
      <c r="H909" s="23">
        <f>IF($N909&lt;&gt;"",IF(INDEX(CalcWitB,$N909)=0,"",INDEX(CalcWitB,$N909)),"")</f>
        <v/>
      </c>
      <c r="I909" s="24">
        <f>IF($M909&lt;&gt;"",INDEX(CalcAmtA,$M909),"")</f>
        <v/>
      </c>
      <c r="J909" s="24">
        <f>IF($B909="","",IF($J908="",$C$8,$J908)+IF($I909="",0,$I909)+IF($E909="",0,$E909)-IF($H909="",0,$H909))</f>
        <v/>
      </c>
      <c r="K909" s="25">
        <f>IF($M909&lt;&gt;"",IF(INDEX(CalcNoteA,$M909)="","—",INDEX(CalcNoteA,$M909)),IF($N909&lt;&gt;"",IF(INDEX(CalcNoteB,$N909)="","—",INDEX(CalcNoteB,$N909)),""))</f>
        <v/>
      </c>
      <c r="M909">
        <f>IFERROR(MATCH($C$5&amp;"|"&amp;RIGHT("000000"&amp;893,6),CalcRankKeyA,0),"")</f>
        <v/>
      </c>
      <c r="N909">
        <f>IFERROR(MATCH($C$5&amp;"|"&amp;RIGHT("000000"&amp;893,6),CalcRankKeyB,0),"")</f>
        <v/>
      </c>
    </row>
    <row r="910">
      <c r="A910" s="26" t="n">
        <v>894</v>
      </c>
      <c r="B910" s="27">
        <f>IF(AND($M910="",$N910=""),"",IF($M910&lt;&gt;"",INDEX(CalcDateA,$M910),INDEX(CalcDateB,$N910)))</f>
        <v/>
      </c>
      <c r="C910" s="27">
        <f>IF($M910&lt;&gt;"","خرید سبد",IF($N910&lt;&gt;"",IF(N(INDEX(CalcDepB,$N910))&gt;0,"دریافت بانکی","پرداخت بانکی"),""))</f>
        <v/>
      </c>
      <c r="D910" s="27">
        <f>IF($M910&lt;&gt;"",IF(INDEX(CalcDocA,$M910)="","—",INDEX(CalcDocA,$M910)),IF($N910&lt;&gt;"",INDEX(CalcBankB,$N910),""))</f>
        <v/>
      </c>
      <c r="E910" s="28">
        <f>IF($N910&lt;&gt;"",IF(INDEX(CalcDepB,$N910)=0,"",INDEX(CalcDepB,$N910)),"")</f>
        <v/>
      </c>
      <c r="F910" s="28">
        <f>IF($M910&lt;&gt;"",IF(INDEX(CalcQtyA,$M910)=0,"",INDEX(CalcQtyA,$M910)),"")</f>
        <v/>
      </c>
      <c r="G910" s="28">
        <f>IF($M910&lt;&gt;"",IF(INDEX(CalcPriceA,$M910)=0,"",INDEX(CalcPriceA,$M910)),"")</f>
        <v/>
      </c>
      <c r="H910" s="28">
        <f>IF($N910&lt;&gt;"",IF(INDEX(CalcWitB,$N910)=0,"",INDEX(CalcWitB,$N910)),"")</f>
        <v/>
      </c>
      <c r="I910" s="29">
        <f>IF($M910&lt;&gt;"",INDEX(CalcAmtA,$M910),"")</f>
        <v/>
      </c>
      <c r="J910" s="29">
        <f>IF($B910="","",IF($J909="",$C$8,$J909)+IF($I910="",0,$I910)+IF($E910="",0,$E910)-IF($H910="",0,$H910))</f>
        <v/>
      </c>
      <c r="K910" s="30">
        <f>IF($M910&lt;&gt;"",IF(INDEX(CalcNoteA,$M910)="","—",INDEX(CalcNoteA,$M910)),IF($N910&lt;&gt;"",IF(INDEX(CalcNoteB,$N910)="","—",INDEX(CalcNoteB,$N910)),""))</f>
        <v/>
      </c>
      <c r="M910">
        <f>IFERROR(MATCH($C$5&amp;"|"&amp;RIGHT("000000"&amp;894,6),CalcRankKeyA,0),"")</f>
        <v/>
      </c>
      <c r="N910">
        <f>IFERROR(MATCH($C$5&amp;"|"&amp;RIGHT("000000"&amp;894,6),CalcRankKeyB,0),"")</f>
        <v/>
      </c>
    </row>
    <row r="911">
      <c r="A911" s="21" t="n">
        <v>895</v>
      </c>
      <c r="B911" s="22">
        <f>IF(AND($M911="",$N911=""),"",IF($M911&lt;&gt;"",INDEX(CalcDateA,$M911),INDEX(CalcDateB,$N911)))</f>
        <v/>
      </c>
      <c r="C911" s="22">
        <f>IF($M911&lt;&gt;"","خرید سبد",IF($N911&lt;&gt;"",IF(N(INDEX(CalcDepB,$N911))&gt;0,"دریافت بانکی","پرداخت بانکی"),""))</f>
        <v/>
      </c>
      <c r="D911" s="22">
        <f>IF($M911&lt;&gt;"",IF(INDEX(CalcDocA,$M911)="","—",INDEX(CalcDocA,$M911)),IF($N911&lt;&gt;"",INDEX(CalcBankB,$N911),""))</f>
        <v/>
      </c>
      <c r="E911" s="23">
        <f>IF($N911&lt;&gt;"",IF(INDEX(CalcDepB,$N911)=0,"",INDEX(CalcDepB,$N911)),"")</f>
        <v/>
      </c>
      <c r="F911" s="23">
        <f>IF($M911&lt;&gt;"",IF(INDEX(CalcQtyA,$M911)=0,"",INDEX(CalcQtyA,$M911)),"")</f>
        <v/>
      </c>
      <c r="G911" s="23">
        <f>IF($M911&lt;&gt;"",IF(INDEX(CalcPriceA,$M911)=0,"",INDEX(CalcPriceA,$M911)),"")</f>
        <v/>
      </c>
      <c r="H911" s="23">
        <f>IF($N911&lt;&gt;"",IF(INDEX(CalcWitB,$N911)=0,"",INDEX(CalcWitB,$N911)),"")</f>
        <v/>
      </c>
      <c r="I911" s="24">
        <f>IF($M911&lt;&gt;"",INDEX(CalcAmtA,$M911),"")</f>
        <v/>
      </c>
      <c r="J911" s="24">
        <f>IF($B911="","",IF($J910="",$C$8,$J910)+IF($I911="",0,$I911)+IF($E911="",0,$E911)-IF($H911="",0,$H911))</f>
        <v/>
      </c>
      <c r="K911" s="25">
        <f>IF($M911&lt;&gt;"",IF(INDEX(CalcNoteA,$M911)="","—",INDEX(CalcNoteA,$M911)),IF($N911&lt;&gt;"",IF(INDEX(CalcNoteB,$N911)="","—",INDEX(CalcNoteB,$N911)),""))</f>
        <v/>
      </c>
      <c r="M911">
        <f>IFERROR(MATCH($C$5&amp;"|"&amp;RIGHT("000000"&amp;895,6),CalcRankKeyA,0),"")</f>
        <v/>
      </c>
      <c r="N911">
        <f>IFERROR(MATCH($C$5&amp;"|"&amp;RIGHT("000000"&amp;895,6),CalcRankKeyB,0),"")</f>
        <v/>
      </c>
    </row>
    <row r="912">
      <c r="A912" s="26" t="n">
        <v>896</v>
      </c>
      <c r="B912" s="27">
        <f>IF(AND($M912="",$N912=""),"",IF($M912&lt;&gt;"",INDEX(CalcDateA,$M912),INDEX(CalcDateB,$N912)))</f>
        <v/>
      </c>
      <c r="C912" s="27">
        <f>IF($M912&lt;&gt;"","خرید سبد",IF($N912&lt;&gt;"",IF(N(INDEX(CalcDepB,$N912))&gt;0,"دریافت بانکی","پرداخت بانکی"),""))</f>
        <v/>
      </c>
      <c r="D912" s="27">
        <f>IF($M912&lt;&gt;"",IF(INDEX(CalcDocA,$M912)="","—",INDEX(CalcDocA,$M912)),IF($N912&lt;&gt;"",INDEX(CalcBankB,$N912),""))</f>
        <v/>
      </c>
      <c r="E912" s="28">
        <f>IF($N912&lt;&gt;"",IF(INDEX(CalcDepB,$N912)=0,"",INDEX(CalcDepB,$N912)),"")</f>
        <v/>
      </c>
      <c r="F912" s="28">
        <f>IF($M912&lt;&gt;"",IF(INDEX(CalcQtyA,$M912)=0,"",INDEX(CalcQtyA,$M912)),"")</f>
        <v/>
      </c>
      <c r="G912" s="28">
        <f>IF($M912&lt;&gt;"",IF(INDEX(CalcPriceA,$M912)=0,"",INDEX(CalcPriceA,$M912)),"")</f>
        <v/>
      </c>
      <c r="H912" s="28">
        <f>IF($N912&lt;&gt;"",IF(INDEX(CalcWitB,$N912)=0,"",INDEX(CalcWitB,$N912)),"")</f>
        <v/>
      </c>
      <c r="I912" s="29">
        <f>IF($M912&lt;&gt;"",INDEX(CalcAmtA,$M912),"")</f>
        <v/>
      </c>
      <c r="J912" s="29">
        <f>IF($B912="","",IF($J911="",$C$8,$J911)+IF($I912="",0,$I912)+IF($E912="",0,$E912)-IF($H912="",0,$H912))</f>
        <v/>
      </c>
      <c r="K912" s="30">
        <f>IF($M912&lt;&gt;"",IF(INDEX(CalcNoteA,$M912)="","—",INDEX(CalcNoteA,$M912)),IF($N912&lt;&gt;"",IF(INDEX(CalcNoteB,$N912)="","—",INDEX(CalcNoteB,$N912)),""))</f>
        <v/>
      </c>
      <c r="M912">
        <f>IFERROR(MATCH($C$5&amp;"|"&amp;RIGHT("000000"&amp;896,6),CalcRankKeyA,0),"")</f>
        <v/>
      </c>
      <c r="N912">
        <f>IFERROR(MATCH($C$5&amp;"|"&amp;RIGHT("000000"&amp;896,6),CalcRankKeyB,0),"")</f>
        <v/>
      </c>
    </row>
    <row r="913">
      <c r="A913" s="21" t="n">
        <v>897</v>
      </c>
      <c r="B913" s="22">
        <f>IF(AND($M913="",$N913=""),"",IF($M913&lt;&gt;"",INDEX(CalcDateA,$M913),INDEX(CalcDateB,$N913)))</f>
        <v/>
      </c>
      <c r="C913" s="22">
        <f>IF($M913&lt;&gt;"","خرید سبد",IF($N913&lt;&gt;"",IF(N(INDEX(CalcDepB,$N913))&gt;0,"دریافت بانکی","پرداخت بانکی"),""))</f>
        <v/>
      </c>
      <c r="D913" s="22">
        <f>IF($M913&lt;&gt;"",IF(INDEX(CalcDocA,$M913)="","—",INDEX(CalcDocA,$M913)),IF($N913&lt;&gt;"",INDEX(CalcBankB,$N913),""))</f>
        <v/>
      </c>
      <c r="E913" s="23">
        <f>IF($N913&lt;&gt;"",IF(INDEX(CalcDepB,$N913)=0,"",INDEX(CalcDepB,$N913)),"")</f>
        <v/>
      </c>
      <c r="F913" s="23">
        <f>IF($M913&lt;&gt;"",IF(INDEX(CalcQtyA,$M913)=0,"",INDEX(CalcQtyA,$M913)),"")</f>
        <v/>
      </c>
      <c r="G913" s="23">
        <f>IF($M913&lt;&gt;"",IF(INDEX(CalcPriceA,$M913)=0,"",INDEX(CalcPriceA,$M913)),"")</f>
        <v/>
      </c>
      <c r="H913" s="23">
        <f>IF($N913&lt;&gt;"",IF(INDEX(CalcWitB,$N913)=0,"",INDEX(CalcWitB,$N913)),"")</f>
        <v/>
      </c>
      <c r="I913" s="24">
        <f>IF($M913&lt;&gt;"",INDEX(CalcAmtA,$M913),"")</f>
        <v/>
      </c>
      <c r="J913" s="24">
        <f>IF($B913="","",IF($J912="",$C$8,$J912)+IF($I913="",0,$I913)+IF($E913="",0,$E913)-IF($H913="",0,$H913))</f>
        <v/>
      </c>
      <c r="K913" s="25">
        <f>IF($M913&lt;&gt;"",IF(INDEX(CalcNoteA,$M913)="","—",INDEX(CalcNoteA,$M913)),IF($N913&lt;&gt;"",IF(INDEX(CalcNoteB,$N913)="","—",INDEX(CalcNoteB,$N913)),""))</f>
        <v/>
      </c>
      <c r="M913">
        <f>IFERROR(MATCH($C$5&amp;"|"&amp;RIGHT("000000"&amp;897,6),CalcRankKeyA,0),"")</f>
        <v/>
      </c>
      <c r="N913">
        <f>IFERROR(MATCH($C$5&amp;"|"&amp;RIGHT("000000"&amp;897,6),CalcRankKeyB,0),"")</f>
        <v/>
      </c>
    </row>
    <row r="914">
      <c r="A914" s="26" t="n">
        <v>898</v>
      </c>
      <c r="B914" s="27">
        <f>IF(AND($M914="",$N914=""),"",IF($M914&lt;&gt;"",INDEX(CalcDateA,$M914),INDEX(CalcDateB,$N914)))</f>
        <v/>
      </c>
      <c r="C914" s="27">
        <f>IF($M914&lt;&gt;"","خرید سبد",IF($N914&lt;&gt;"",IF(N(INDEX(CalcDepB,$N914))&gt;0,"دریافت بانکی","پرداخت بانکی"),""))</f>
        <v/>
      </c>
      <c r="D914" s="27">
        <f>IF($M914&lt;&gt;"",IF(INDEX(CalcDocA,$M914)="","—",INDEX(CalcDocA,$M914)),IF($N914&lt;&gt;"",INDEX(CalcBankB,$N914),""))</f>
        <v/>
      </c>
      <c r="E914" s="28">
        <f>IF($N914&lt;&gt;"",IF(INDEX(CalcDepB,$N914)=0,"",INDEX(CalcDepB,$N914)),"")</f>
        <v/>
      </c>
      <c r="F914" s="28">
        <f>IF($M914&lt;&gt;"",IF(INDEX(CalcQtyA,$M914)=0,"",INDEX(CalcQtyA,$M914)),"")</f>
        <v/>
      </c>
      <c r="G914" s="28">
        <f>IF($M914&lt;&gt;"",IF(INDEX(CalcPriceA,$M914)=0,"",INDEX(CalcPriceA,$M914)),"")</f>
        <v/>
      </c>
      <c r="H914" s="28">
        <f>IF($N914&lt;&gt;"",IF(INDEX(CalcWitB,$N914)=0,"",INDEX(CalcWitB,$N914)),"")</f>
        <v/>
      </c>
      <c r="I914" s="29">
        <f>IF($M914&lt;&gt;"",INDEX(CalcAmtA,$M914),"")</f>
        <v/>
      </c>
      <c r="J914" s="29">
        <f>IF($B914="","",IF($J913="",$C$8,$J913)+IF($I914="",0,$I914)+IF($E914="",0,$E914)-IF($H914="",0,$H914))</f>
        <v/>
      </c>
      <c r="K914" s="30">
        <f>IF($M914&lt;&gt;"",IF(INDEX(CalcNoteA,$M914)="","—",INDEX(CalcNoteA,$M914)),IF($N914&lt;&gt;"",IF(INDEX(CalcNoteB,$N914)="","—",INDEX(CalcNoteB,$N914)),""))</f>
        <v/>
      </c>
      <c r="M914">
        <f>IFERROR(MATCH($C$5&amp;"|"&amp;RIGHT("000000"&amp;898,6),CalcRankKeyA,0),"")</f>
        <v/>
      </c>
      <c r="N914">
        <f>IFERROR(MATCH($C$5&amp;"|"&amp;RIGHT("000000"&amp;898,6),CalcRankKeyB,0),"")</f>
        <v/>
      </c>
    </row>
    <row r="915">
      <c r="A915" s="21" t="n">
        <v>899</v>
      </c>
      <c r="B915" s="22">
        <f>IF(AND($M915="",$N915=""),"",IF($M915&lt;&gt;"",INDEX(CalcDateA,$M915),INDEX(CalcDateB,$N915)))</f>
        <v/>
      </c>
      <c r="C915" s="22">
        <f>IF($M915&lt;&gt;"","خرید سبد",IF($N915&lt;&gt;"",IF(N(INDEX(CalcDepB,$N915))&gt;0,"دریافت بانکی","پرداخت بانکی"),""))</f>
        <v/>
      </c>
      <c r="D915" s="22">
        <f>IF($M915&lt;&gt;"",IF(INDEX(CalcDocA,$M915)="","—",INDEX(CalcDocA,$M915)),IF($N915&lt;&gt;"",INDEX(CalcBankB,$N915),""))</f>
        <v/>
      </c>
      <c r="E915" s="23">
        <f>IF($N915&lt;&gt;"",IF(INDEX(CalcDepB,$N915)=0,"",INDEX(CalcDepB,$N915)),"")</f>
        <v/>
      </c>
      <c r="F915" s="23">
        <f>IF($M915&lt;&gt;"",IF(INDEX(CalcQtyA,$M915)=0,"",INDEX(CalcQtyA,$M915)),"")</f>
        <v/>
      </c>
      <c r="G915" s="23">
        <f>IF($M915&lt;&gt;"",IF(INDEX(CalcPriceA,$M915)=0,"",INDEX(CalcPriceA,$M915)),"")</f>
        <v/>
      </c>
      <c r="H915" s="23">
        <f>IF($N915&lt;&gt;"",IF(INDEX(CalcWitB,$N915)=0,"",INDEX(CalcWitB,$N915)),"")</f>
        <v/>
      </c>
      <c r="I915" s="24">
        <f>IF($M915&lt;&gt;"",INDEX(CalcAmtA,$M915),"")</f>
        <v/>
      </c>
      <c r="J915" s="24">
        <f>IF($B915="","",IF($J914="",$C$8,$J914)+IF($I915="",0,$I915)+IF($E915="",0,$E915)-IF($H915="",0,$H915))</f>
        <v/>
      </c>
      <c r="K915" s="25">
        <f>IF($M915&lt;&gt;"",IF(INDEX(CalcNoteA,$M915)="","—",INDEX(CalcNoteA,$M915)),IF($N915&lt;&gt;"",IF(INDEX(CalcNoteB,$N915)="","—",INDEX(CalcNoteB,$N915)),""))</f>
        <v/>
      </c>
      <c r="M915">
        <f>IFERROR(MATCH($C$5&amp;"|"&amp;RIGHT("000000"&amp;899,6),CalcRankKeyA,0),"")</f>
        <v/>
      </c>
      <c r="N915">
        <f>IFERROR(MATCH($C$5&amp;"|"&amp;RIGHT("000000"&amp;899,6),CalcRankKeyB,0),"")</f>
        <v/>
      </c>
    </row>
    <row r="916">
      <c r="A916" s="26" t="n">
        <v>900</v>
      </c>
      <c r="B916" s="27">
        <f>IF(AND($M916="",$N916=""),"",IF($M916&lt;&gt;"",INDEX(CalcDateA,$M916),INDEX(CalcDateB,$N916)))</f>
        <v/>
      </c>
      <c r="C916" s="27">
        <f>IF($M916&lt;&gt;"","خرید سبد",IF($N916&lt;&gt;"",IF(N(INDEX(CalcDepB,$N916))&gt;0,"دریافت بانکی","پرداخت بانکی"),""))</f>
        <v/>
      </c>
      <c r="D916" s="27">
        <f>IF($M916&lt;&gt;"",IF(INDEX(CalcDocA,$M916)="","—",INDEX(CalcDocA,$M916)),IF($N916&lt;&gt;"",INDEX(CalcBankB,$N916),""))</f>
        <v/>
      </c>
      <c r="E916" s="28">
        <f>IF($N916&lt;&gt;"",IF(INDEX(CalcDepB,$N916)=0,"",INDEX(CalcDepB,$N916)),"")</f>
        <v/>
      </c>
      <c r="F916" s="28">
        <f>IF($M916&lt;&gt;"",IF(INDEX(CalcQtyA,$M916)=0,"",INDEX(CalcQtyA,$M916)),"")</f>
        <v/>
      </c>
      <c r="G916" s="28">
        <f>IF($M916&lt;&gt;"",IF(INDEX(CalcPriceA,$M916)=0,"",INDEX(CalcPriceA,$M916)),"")</f>
        <v/>
      </c>
      <c r="H916" s="28">
        <f>IF($N916&lt;&gt;"",IF(INDEX(CalcWitB,$N916)=0,"",INDEX(CalcWitB,$N916)),"")</f>
        <v/>
      </c>
      <c r="I916" s="29">
        <f>IF($M916&lt;&gt;"",INDEX(CalcAmtA,$M916),"")</f>
        <v/>
      </c>
      <c r="J916" s="29">
        <f>IF($B916="","",IF($J915="",$C$8,$J915)+IF($I916="",0,$I916)+IF($E916="",0,$E916)-IF($H916="",0,$H916))</f>
        <v/>
      </c>
      <c r="K916" s="30">
        <f>IF($M916&lt;&gt;"",IF(INDEX(CalcNoteA,$M916)="","—",INDEX(CalcNoteA,$M916)),IF($N916&lt;&gt;"",IF(INDEX(CalcNoteB,$N916)="","—",INDEX(CalcNoteB,$N916)),""))</f>
        <v/>
      </c>
      <c r="M916">
        <f>IFERROR(MATCH($C$5&amp;"|"&amp;RIGHT("000000"&amp;900,6),CalcRankKeyA,0),"")</f>
        <v/>
      </c>
      <c r="N916">
        <f>IFERROR(MATCH($C$5&amp;"|"&amp;RIGHT("000000"&amp;900,6),CalcRankKeyB,0),"")</f>
        <v/>
      </c>
    </row>
    <row r="917">
      <c r="A917" s="21" t="n">
        <v>901</v>
      </c>
      <c r="B917" s="22">
        <f>IF(AND($M917="",$N917=""),"",IF($M917&lt;&gt;"",INDEX(CalcDateA,$M917),INDEX(CalcDateB,$N917)))</f>
        <v/>
      </c>
      <c r="C917" s="22">
        <f>IF($M917&lt;&gt;"","خرید سبد",IF($N917&lt;&gt;"",IF(N(INDEX(CalcDepB,$N917))&gt;0,"دریافت بانکی","پرداخت بانکی"),""))</f>
        <v/>
      </c>
      <c r="D917" s="22">
        <f>IF($M917&lt;&gt;"",IF(INDEX(CalcDocA,$M917)="","—",INDEX(CalcDocA,$M917)),IF($N917&lt;&gt;"",INDEX(CalcBankB,$N917),""))</f>
        <v/>
      </c>
      <c r="E917" s="23">
        <f>IF($N917&lt;&gt;"",IF(INDEX(CalcDepB,$N917)=0,"",INDEX(CalcDepB,$N917)),"")</f>
        <v/>
      </c>
      <c r="F917" s="23">
        <f>IF($M917&lt;&gt;"",IF(INDEX(CalcQtyA,$M917)=0,"",INDEX(CalcQtyA,$M917)),"")</f>
        <v/>
      </c>
      <c r="G917" s="23">
        <f>IF($M917&lt;&gt;"",IF(INDEX(CalcPriceA,$M917)=0,"",INDEX(CalcPriceA,$M917)),"")</f>
        <v/>
      </c>
      <c r="H917" s="23">
        <f>IF($N917&lt;&gt;"",IF(INDEX(CalcWitB,$N917)=0,"",INDEX(CalcWitB,$N917)),"")</f>
        <v/>
      </c>
      <c r="I917" s="24">
        <f>IF($M917&lt;&gt;"",INDEX(CalcAmtA,$M917),"")</f>
        <v/>
      </c>
      <c r="J917" s="24">
        <f>IF($B917="","",IF($J916="",$C$8,$J916)+IF($I917="",0,$I917)+IF($E917="",0,$E917)-IF($H917="",0,$H917))</f>
        <v/>
      </c>
      <c r="K917" s="25">
        <f>IF($M917&lt;&gt;"",IF(INDEX(CalcNoteA,$M917)="","—",INDEX(CalcNoteA,$M917)),IF($N917&lt;&gt;"",IF(INDEX(CalcNoteB,$N917)="","—",INDEX(CalcNoteB,$N917)),""))</f>
        <v/>
      </c>
      <c r="M917">
        <f>IFERROR(MATCH($C$5&amp;"|"&amp;RIGHT("000000"&amp;901,6),CalcRankKeyA,0),"")</f>
        <v/>
      </c>
      <c r="N917">
        <f>IFERROR(MATCH($C$5&amp;"|"&amp;RIGHT("000000"&amp;901,6),CalcRankKeyB,0),"")</f>
        <v/>
      </c>
    </row>
    <row r="918">
      <c r="A918" s="26" t="n">
        <v>902</v>
      </c>
      <c r="B918" s="27">
        <f>IF(AND($M918="",$N918=""),"",IF($M918&lt;&gt;"",INDEX(CalcDateA,$M918),INDEX(CalcDateB,$N918)))</f>
        <v/>
      </c>
      <c r="C918" s="27">
        <f>IF($M918&lt;&gt;"","خرید سبد",IF($N918&lt;&gt;"",IF(N(INDEX(CalcDepB,$N918))&gt;0,"دریافت بانکی","پرداخت بانکی"),""))</f>
        <v/>
      </c>
      <c r="D918" s="27">
        <f>IF($M918&lt;&gt;"",IF(INDEX(CalcDocA,$M918)="","—",INDEX(CalcDocA,$M918)),IF($N918&lt;&gt;"",INDEX(CalcBankB,$N918),""))</f>
        <v/>
      </c>
      <c r="E918" s="28">
        <f>IF($N918&lt;&gt;"",IF(INDEX(CalcDepB,$N918)=0,"",INDEX(CalcDepB,$N918)),"")</f>
        <v/>
      </c>
      <c r="F918" s="28">
        <f>IF($M918&lt;&gt;"",IF(INDEX(CalcQtyA,$M918)=0,"",INDEX(CalcQtyA,$M918)),"")</f>
        <v/>
      </c>
      <c r="G918" s="28">
        <f>IF($M918&lt;&gt;"",IF(INDEX(CalcPriceA,$M918)=0,"",INDEX(CalcPriceA,$M918)),"")</f>
        <v/>
      </c>
      <c r="H918" s="28">
        <f>IF($N918&lt;&gt;"",IF(INDEX(CalcWitB,$N918)=0,"",INDEX(CalcWitB,$N918)),"")</f>
        <v/>
      </c>
      <c r="I918" s="29">
        <f>IF($M918&lt;&gt;"",INDEX(CalcAmtA,$M918),"")</f>
        <v/>
      </c>
      <c r="J918" s="29">
        <f>IF($B918="","",IF($J917="",$C$8,$J917)+IF($I918="",0,$I918)+IF($E918="",0,$E918)-IF($H918="",0,$H918))</f>
        <v/>
      </c>
      <c r="K918" s="30">
        <f>IF($M918&lt;&gt;"",IF(INDEX(CalcNoteA,$M918)="","—",INDEX(CalcNoteA,$M918)),IF($N918&lt;&gt;"",IF(INDEX(CalcNoteB,$N918)="","—",INDEX(CalcNoteB,$N918)),""))</f>
        <v/>
      </c>
      <c r="M918">
        <f>IFERROR(MATCH($C$5&amp;"|"&amp;RIGHT("000000"&amp;902,6),CalcRankKeyA,0),"")</f>
        <v/>
      </c>
      <c r="N918">
        <f>IFERROR(MATCH($C$5&amp;"|"&amp;RIGHT("000000"&amp;902,6),CalcRankKeyB,0),"")</f>
        <v/>
      </c>
    </row>
    <row r="919">
      <c r="A919" s="21" t="n">
        <v>903</v>
      </c>
      <c r="B919" s="22">
        <f>IF(AND($M919="",$N919=""),"",IF($M919&lt;&gt;"",INDEX(CalcDateA,$M919),INDEX(CalcDateB,$N919)))</f>
        <v/>
      </c>
      <c r="C919" s="22">
        <f>IF($M919&lt;&gt;"","خرید سبد",IF($N919&lt;&gt;"",IF(N(INDEX(CalcDepB,$N919))&gt;0,"دریافت بانکی","پرداخت بانکی"),""))</f>
        <v/>
      </c>
      <c r="D919" s="22">
        <f>IF($M919&lt;&gt;"",IF(INDEX(CalcDocA,$M919)="","—",INDEX(CalcDocA,$M919)),IF($N919&lt;&gt;"",INDEX(CalcBankB,$N919),""))</f>
        <v/>
      </c>
      <c r="E919" s="23">
        <f>IF($N919&lt;&gt;"",IF(INDEX(CalcDepB,$N919)=0,"",INDEX(CalcDepB,$N919)),"")</f>
        <v/>
      </c>
      <c r="F919" s="23">
        <f>IF($M919&lt;&gt;"",IF(INDEX(CalcQtyA,$M919)=0,"",INDEX(CalcQtyA,$M919)),"")</f>
        <v/>
      </c>
      <c r="G919" s="23">
        <f>IF($M919&lt;&gt;"",IF(INDEX(CalcPriceA,$M919)=0,"",INDEX(CalcPriceA,$M919)),"")</f>
        <v/>
      </c>
      <c r="H919" s="23">
        <f>IF($N919&lt;&gt;"",IF(INDEX(CalcWitB,$N919)=0,"",INDEX(CalcWitB,$N919)),"")</f>
        <v/>
      </c>
      <c r="I919" s="24">
        <f>IF($M919&lt;&gt;"",INDEX(CalcAmtA,$M919),"")</f>
        <v/>
      </c>
      <c r="J919" s="24">
        <f>IF($B919="","",IF($J918="",$C$8,$J918)+IF($I919="",0,$I919)+IF($E919="",0,$E919)-IF($H919="",0,$H919))</f>
        <v/>
      </c>
      <c r="K919" s="25">
        <f>IF($M919&lt;&gt;"",IF(INDEX(CalcNoteA,$M919)="","—",INDEX(CalcNoteA,$M919)),IF($N919&lt;&gt;"",IF(INDEX(CalcNoteB,$N919)="","—",INDEX(CalcNoteB,$N919)),""))</f>
        <v/>
      </c>
      <c r="M919">
        <f>IFERROR(MATCH($C$5&amp;"|"&amp;RIGHT("000000"&amp;903,6),CalcRankKeyA,0),"")</f>
        <v/>
      </c>
      <c r="N919">
        <f>IFERROR(MATCH($C$5&amp;"|"&amp;RIGHT("000000"&amp;903,6),CalcRankKeyB,0),"")</f>
        <v/>
      </c>
    </row>
    <row r="920">
      <c r="A920" s="26" t="n">
        <v>904</v>
      </c>
      <c r="B920" s="27">
        <f>IF(AND($M920="",$N920=""),"",IF($M920&lt;&gt;"",INDEX(CalcDateA,$M920),INDEX(CalcDateB,$N920)))</f>
        <v/>
      </c>
      <c r="C920" s="27">
        <f>IF($M920&lt;&gt;"","خرید سبد",IF($N920&lt;&gt;"",IF(N(INDEX(CalcDepB,$N920))&gt;0,"دریافت بانکی","پرداخت بانکی"),""))</f>
        <v/>
      </c>
      <c r="D920" s="27">
        <f>IF($M920&lt;&gt;"",IF(INDEX(CalcDocA,$M920)="","—",INDEX(CalcDocA,$M920)),IF($N920&lt;&gt;"",INDEX(CalcBankB,$N920),""))</f>
        <v/>
      </c>
      <c r="E920" s="28">
        <f>IF($N920&lt;&gt;"",IF(INDEX(CalcDepB,$N920)=0,"",INDEX(CalcDepB,$N920)),"")</f>
        <v/>
      </c>
      <c r="F920" s="28">
        <f>IF($M920&lt;&gt;"",IF(INDEX(CalcQtyA,$M920)=0,"",INDEX(CalcQtyA,$M920)),"")</f>
        <v/>
      </c>
      <c r="G920" s="28">
        <f>IF($M920&lt;&gt;"",IF(INDEX(CalcPriceA,$M920)=0,"",INDEX(CalcPriceA,$M920)),"")</f>
        <v/>
      </c>
      <c r="H920" s="28">
        <f>IF($N920&lt;&gt;"",IF(INDEX(CalcWitB,$N920)=0,"",INDEX(CalcWitB,$N920)),"")</f>
        <v/>
      </c>
      <c r="I920" s="29">
        <f>IF($M920&lt;&gt;"",INDEX(CalcAmtA,$M920),"")</f>
        <v/>
      </c>
      <c r="J920" s="29">
        <f>IF($B920="","",IF($J919="",$C$8,$J919)+IF($I920="",0,$I920)+IF($E920="",0,$E920)-IF($H920="",0,$H920))</f>
        <v/>
      </c>
      <c r="K920" s="30">
        <f>IF($M920&lt;&gt;"",IF(INDEX(CalcNoteA,$M920)="","—",INDEX(CalcNoteA,$M920)),IF($N920&lt;&gt;"",IF(INDEX(CalcNoteB,$N920)="","—",INDEX(CalcNoteB,$N920)),""))</f>
        <v/>
      </c>
      <c r="M920">
        <f>IFERROR(MATCH($C$5&amp;"|"&amp;RIGHT("000000"&amp;904,6),CalcRankKeyA,0),"")</f>
        <v/>
      </c>
      <c r="N920">
        <f>IFERROR(MATCH($C$5&amp;"|"&amp;RIGHT("000000"&amp;904,6),CalcRankKeyB,0),"")</f>
        <v/>
      </c>
    </row>
    <row r="921">
      <c r="A921" s="21" t="n">
        <v>905</v>
      </c>
      <c r="B921" s="22">
        <f>IF(AND($M921="",$N921=""),"",IF($M921&lt;&gt;"",INDEX(CalcDateA,$M921),INDEX(CalcDateB,$N921)))</f>
        <v/>
      </c>
      <c r="C921" s="22">
        <f>IF($M921&lt;&gt;"","خرید سبد",IF($N921&lt;&gt;"",IF(N(INDEX(CalcDepB,$N921))&gt;0,"دریافت بانکی","پرداخت بانکی"),""))</f>
        <v/>
      </c>
      <c r="D921" s="22">
        <f>IF($M921&lt;&gt;"",IF(INDEX(CalcDocA,$M921)="","—",INDEX(CalcDocA,$M921)),IF($N921&lt;&gt;"",INDEX(CalcBankB,$N921),""))</f>
        <v/>
      </c>
      <c r="E921" s="23">
        <f>IF($N921&lt;&gt;"",IF(INDEX(CalcDepB,$N921)=0,"",INDEX(CalcDepB,$N921)),"")</f>
        <v/>
      </c>
      <c r="F921" s="23">
        <f>IF($M921&lt;&gt;"",IF(INDEX(CalcQtyA,$M921)=0,"",INDEX(CalcQtyA,$M921)),"")</f>
        <v/>
      </c>
      <c r="G921" s="23">
        <f>IF($M921&lt;&gt;"",IF(INDEX(CalcPriceA,$M921)=0,"",INDEX(CalcPriceA,$M921)),"")</f>
        <v/>
      </c>
      <c r="H921" s="23">
        <f>IF($N921&lt;&gt;"",IF(INDEX(CalcWitB,$N921)=0,"",INDEX(CalcWitB,$N921)),"")</f>
        <v/>
      </c>
      <c r="I921" s="24">
        <f>IF($M921&lt;&gt;"",INDEX(CalcAmtA,$M921),"")</f>
        <v/>
      </c>
      <c r="J921" s="24">
        <f>IF($B921="","",IF($J920="",$C$8,$J920)+IF($I921="",0,$I921)+IF($E921="",0,$E921)-IF($H921="",0,$H921))</f>
        <v/>
      </c>
      <c r="K921" s="25">
        <f>IF($M921&lt;&gt;"",IF(INDEX(CalcNoteA,$M921)="","—",INDEX(CalcNoteA,$M921)),IF($N921&lt;&gt;"",IF(INDEX(CalcNoteB,$N921)="","—",INDEX(CalcNoteB,$N921)),""))</f>
        <v/>
      </c>
      <c r="M921">
        <f>IFERROR(MATCH($C$5&amp;"|"&amp;RIGHT("000000"&amp;905,6),CalcRankKeyA,0),"")</f>
        <v/>
      </c>
      <c r="N921">
        <f>IFERROR(MATCH($C$5&amp;"|"&amp;RIGHT("000000"&amp;905,6),CalcRankKeyB,0),"")</f>
        <v/>
      </c>
    </row>
    <row r="922">
      <c r="A922" s="26" t="n">
        <v>906</v>
      </c>
      <c r="B922" s="27">
        <f>IF(AND($M922="",$N922=""),"",IF($M922&lt;&gt;"",INDEX(CalcDateA,$M922),INDEX(CalcDateB,$N922)))</f>
        <v/>
      </c>
      <c r="C922" s="27">
        <f>IF($M922&lt;&gt;"","خرید سبد",IF($N922&lt;&gt;"",IF(N(INDEX(CalcDepB,$N922))&gt;0,"دریافت بانکی","پرداخت بانکی"),""))</f>
        <v/>
      </c>
      <c r="D922" s="27">
        <f>IF($M922&lt;&gt;"",IF(INDEX(CalcDocA,$M922)="","—",INDEX(CalcDocA,$M922)),IF($N922&lt;&gt;"",INDEX(CalcBankB,$N922),""))</f>
        <v/>
      </c>
      <c r="E922" s="28">
        <f>IF($N922&lt;&gt;"",IF(INDEX(CalcDepB,$N922)=0,"",INDEX(CalcDepB,$N922)),"")</f>
        <v/>
      </c>
      <c r="F922" s="28">
        <f>IF($M922&lt;&gt;"",IF(INDEX(CalcQtyA,$M922)=0,"",INDEX(CalcQtyA,$M922)),"")</f>
        <v/>
      </c>
      <c r="G922" s="28">
        <f>IF($M922&lt;&gt;"",IF(INDEX(CalcPriceA,$M922)=0,"",INDEX(CalcPriceA,$M922)),"")</f>
        <v/>
      </c>
      <c r="H922" s="28">
        <f>IF($N922&lt;&gt;"",IF(INDEX(CalcWitB,$N922)=0,"",INDEX(CalcWitB,$N922)),"")</f>
        <v/>
      </c>
      <c r="I922" s="29">
        <f>IF($M922&lt;&gt;"",INDEX(CalcAmtA,$M922),"")</f>
        <v/>
      </c>
      <c r="J922" s="29">
        <f>IF($B922="","",IF($J921="",$C$8,$J921)+IF($I922="",0,$I922)+IF($E922="",0,$E922)-IF($H922="",0,$H922))</f>
        <v/>
      </c>
      <c r="K922" s="30">
        <f>IF($M922&lt;&gt;"",IF(INDEX(CalcNoteA,$M922)="","—",INDEX(CalcNoteA,$M922)),IF($N922&lt;&gt;"",IF(INDEX(CalcNoteB,$N922)="","—",INDEX(CalcNoteB,$N922)),""))</f>
        <v/>
      </c>
      <c r="M922">
        <f>IFERROR(MATCH($C$5&amp;"|"&amp;RIGHT("000000"&amp;906,6),CalcRankKeyA,0),"")</f>
        <v/>
      </c>
      <c r="N922">
        <f>IFERROR(MATCH($C$5&amp;"|"&amp;RIGHT("000000"&amp;906,6),CalcRankKeyB,0),"")</f>
        <v/>
      </c>
    </row>
    <row r="923">
      <c r="A923" s="21" t="n">
        <v>907</v>
      </c>
      <c r="B923" s="22">
        <f>IF(AND($M923="",$N923=""),"",IF($M923&lt;&gt;"",INDEX(CalcDateA,$M923),INDEX(CalcDateB,$N923)))</f>
        <v/>
      </c>
      <c r="C923" s="22">
        <f>IF($M923&lt;&gt;"","خرید سبد",IF($N923&lt;&gt;"",IF(N(INDEX(CalcDepB,$N923))&gt;0,"دریافت بانکی","پرداخت بانکی"),""))</f>
        <v/>
      </c>
      <c r="D923" s="22">
        <f>IF($M923&lt;&gt;"",IF(INDEX(CalcDocA,$M923)="","—",INDEX(CalcDocA,$M923)),IF($N923&lt;&gt;"",INDEX(CalcBankB,$N923),""))</f>
        <v/>
      </c>
      <c r="E923" s="23">
        <f>IF($N923&lt;&gt;"",IF(INDEX(CalcDepB,$N923)=0,"",INDEX(CalcDepB,$N923)),"")</f>
        <v/>
      </c>
      <c r="F923" s="23">
        <f>IF($M923&lt;&gt;"",IF(INDEX(CalcQtyA,$M923)=0,"",INDEX(CalcQtyA,$M923)),"")</f>
        <v/>
      </c>
      <c r="G923" s="23">
        <f>IF($M923&lt;&gt;"",IF(INDEX(CalcPriceA,$M923)=0,"",INDEX(CalcPriceA,$M923)),"")</f>
        <v/>
      </c>
      <c r="H923" s="23">
        <f>IF($N923&lt;&gt;"",IF(INDEX(CalcWitB,$N923)=0,"",INDEX(CalcWitB,$N923)),"")</f>
        <v/>
      </c>
      <c r="I923" s="24">
        <f>IF($M923&lt;&gt;"",INDEX(CalcAmtA,$M923),"")</f>
        <v/>
      </c>
      <c r="J923" s="24">
        <f>IF($B923="","",IF($J922="",$C$8,$J922)+IF($I923="",0,$I923)+IF($E923="",0,$E923)-IF($H923="",0,$H923))</f>
        <v/>
      </c>
      <c r="K923" s="25">
        <f>IF($M923&lt;&gt;"",IF(INDEX(CalcNoteA,$M923)="","—",INDEX(CalcNoteA,$M923)),IF($N923&lt;&gt;"",IF(INDEX(CalcNoteB,$N923)="","—",INDEX(CalcNoteB,$N923)),""))</f>
        <v/>
      </c>
      <c r="M923">
        <f>IFERROR(MATCH($C$5&amp;"|"&amp;RIGHT("000000"&amp;907,6),CalcRankKeyA,0),"")</f>
        <v/>
      </c>
      <c r="N923">
        <f>IFERROR(MATCH($C$5&amp;"|"&amp;RIGHT("000000"&amp;907,6),CalcRankKeyB,0),"")</f>
        <v/>
      </c>
    </row>
    <row r="924">
      <c r="A924" s="26" t="n">
        <v>908</v>
      </c>
      <c r="B924" s="27">
        <f>IF(AND($M924="",$N924=""),"",IF($M924&lt;&gt;"",INDEX(CalcDateA,$M924),INDEX(CalcDateB,$N924)))</f>
        <v/>
      </c>
      <c r="C924" s="27">
        <f>IF($M924&lt;&gt;"","خرید سبد",IF($N924&lt;&gt;"",IF(N(INDEX(CalcDepB,$N924))&gt;0,"دریافت بانکی","پرداخت بانکی"),""))</f>
        <v/>
      </c>
      <c r="D924" s="27">
        <f>IF($M924&lt;&gt;"",IF(INDEX(CalcDocA,$M924)="","—",INDEX(CalcDocA,$M924)),IF($N924&lt;&gt;"",INDEX(CalcBankB,$N924),""))</f>
        <v/>
      </c>
      <c r="E924" s="28">
        <f>IF($N924&lt;&gt;"",IF(INDEX(CalcDepB,$N924)=0,"",INDEX(CalcDepB,$N924)),"")</f>
        <v/>
      </c>
      <c r="F924" s="28">
        <f>IF($M924&lt;&gt;"",IF(INDEX(CalcQtyA,$M924)=0,"",INDEX(CalcQtyA,$M924)),"")</f>
        <v/>
      </c>
      <c r="G924" s="28">
        <f>IF($M924&lt;&gt;"",IF(INDEX(CalcPriceA,$M924)=0,"",INDEX(CalcPriceA,$M924)),"")</f>
        <v/>
      </c>
      <c r="H924" s="28">
        <f>IF($N924&lt;&gt;"",IF(INDEX(CalcWitB,$N924)=0,"",INDEX(CalcWitB,$N924)),"")</f>
        <v/>
      </c>
      <c r="I924" s="29">
        <f>IF($M924&lt;&gt;"",INDEX(CalcAmtA,$M924),"")</f>
        <v/>
      </c>
      <c r="J924" s="29">
        <f>IF($B924="","",IF($J923="",$C$8,$J923)+IF($I924="",0,$I924)+IF($E924="",0,$E924)-IF($H924="",0,$H924))</f>
        <v/>
      </c>
      <c r="K924" s="30">
        <f>IF($M924&lt;&gt;"",IF(INDEX(CalcNoteA,$M924)="","—",INDEX(CalcNoteA,$M924)),IF($N924&lt;&gt;"",IF(INDEX(CalcNoteB,$N924)="","—",INDEX(CalcNoteB,$N924)),""))</f>
        <v/>
      </c>
      <c r="M924">
        <f>IFERROR(MATCH($C$5&amp;"|"&amp;RIGHT("000000"&amp;908,6),CalcRankKeyA,0),"")</f>
        <v/>
      </c>
      <c r="N924">
        <f>IFERROR(MATCH($C$5&amp;"|"&amp;RIGHT("000000"&amp;908,6),CalcRankKeyB,0),"")</f>
        <v/>
      </c>
    </row>
    <row r="925">
      <c r="A925" s="21" t="n">
        <v>909</v>
      </c>
      <c r="B925" s="22">
        <f>IF(AND($M925="",$N925=""),"",IF($M925&lt;&gt;"",INDEX(CalcDateA,$M925),INDEX(CalcDateB,$N925)))</f>
        <v/>
      </c>
      <c r="C925" s="22">
        <f>IF($M925&lt;&gt;"","خرید سبد",IF($N925&lt;&gt;"",IF(N(INDEX(CalcDepB,$N925))&gt;0,"دریافت بانکی","پرداخت بانکی"),""))</f>
        <v/>
      </c>
      <c r="D925" s="22">
        <f>IF($M925&lt;&gt;"",IF(INDEX(CalcDocA,$M925)="","—",INDEX(CalcDocA,$M925)),IF($N925&lt;&gt;"",INDEX(CalcBankB,$N925),""))</f>
        <v/>
      </c>
      <c r="E925" s="23">
        <f>IF($N925&lt;&gt;"",IF(INDEX(CalcDepB,$N925)=0,"",INDEX(CalcDepB,$N925)),"")</f>
        <v/>
      </c>
      <c r="F925" s="23">
        <f>IF($M925&lt;&gt;"",IF(INDEX(CalcQtyA,$M925)=0,"",INDEX(CalcQtyA,$M925)),"")</f>
        <v/>
      </c>
      <c r="G925" s="23">
        <f>IF($M925&lt;&gt;"",IF(INDEX(CalcPriceA,$M925)=0,"",INDEX(CalcPriceA,$M925)),"")</f>
        <v/>
      </c>
      <c r="H925" s="23">
        <f>IF($N925&lt;&gt;"",IF(INDEX(CalcWitB,$N925)=0,"",INDEX(CalcWitB,$N925)),"")</f>
        <v/>
      </c>
      <c r="I925" s="24">
        <f>IF($M925&lt;&gt;"",INDEX(CalcAmtA,$M925),"")</f>
        <v/>
      </c>
      <c r="J925" s="24">
        <f>IF($B925="","",IF($J924="",$C$8,$J924)+IF($I925="",0,$I925)+IF($E925="",0,$E925)-IF($H925="",0,$H925))</f>
        <v/>
      </c>
      <c r="K925" s="25">
        <f>IF($M925&lt;&gt;"",IF(INDEX(CalcNoteA,$M925)="","—",INDEX(CalcNoteA,$M925)),IF($N925&lt;&gt;"",IF(INDEX(CalcNoteB,$N925)="","—",INDEX(CalcNoteB,$N925)),""))</f>
        <v/>
      </c>
      <c r="M925">
        <f>IFERROR(MATCH($C$5&amp;"|"&amp;RIGHT("000000"&amp;909,6),CalcRankKeyA,0),"")</f>
        <v/>
      </c>
      <c r="N925">
        <f>IFERROR(MATCH($C$5&amp;"|"&amp;RIGHT("000000"&amp;909,6),CalcRankKeyB,0),"")</f>
        <v/>
      </c>
    </row>
    <row r="926">
      <c r="A926" s="26" t="n">
        <v>910</v>
      </c>
      <c r="B926" s="27">
        <f>IF(AND($M926="",$N926=""),"",IF($M926&lt;&gt;"",INDEX(CalcDateA,$M926),INDEX(CalcDateB,$N926)))</f>
        <v/>
      </c>
      <c r="C926" s="27">
        <f>IF($M926&lt;&gt;"","خرید سبد",IF($N926&lt;&gt;"",IF(N(INDEX(CalcDepB,$N926))&gt;0,"دریافت بانکی","پرداخت بانکی"),""))</f>
        <v/>
      </c>
      <c r="D926" s="27">
        <f>IF($M926&lt;&gt;"",IF(INDEX(CalcDocA,$M926)="","—",INDEX(CalcDocA,$M926)),IF($N926&lt;&gt;"",INDEX(CalcBankB,$N926),""))</f>
        <v/>
      </c>
      <c r="E926" s="28">
        <f>IF($N926&lt;&gt;"",IF(INDEX(CalcDepB,$N926)=0,"",INDEX(CalcDepB,$N926)),"")</f>
        <v/>
      </c>
      <c r="F926" s="28">
        <f>IF($M926&lt;&gt;"",IF(INDEX(CalcQtyA,$M926)=0,"",INDEX(CalcQtyA,$M926)),"")</f>
        <v/>
      </c>
      <c r="G926" s="28">
        <f>IF($M926&lt;&gt;"",IF(INDEX(CalcPriceA,$M926)=0,"",INDEX(CalcPriceA,$M926)),"")</f>
        <v/>
      </c>
      <c r="H926" s="28">
        <f>IF($N926&lt;&gt;"",IF(INDEX(CalcWitB,$N926)=0,"",INDEX(CalcWitB,$N926)),"")</f>
        <v/>
      </c>
      <c r="I926" s="29">
        <f>IF($M926&lt;&gt;"",INDEX(CalcAmtA,$M926),"")</f>
        <v/>
      </c>
      <c r="J926" s="29">
        <f>IF($B926="","",IF($J925="",$C$8,$J925)+IF($I926="",0,$I926)+IF($E926="",0,$E926)-IF($H926="",0,$H926))</f>
        <v/>
      </c>
      <c r="K926" s="30">
        <f>IF($M926&lt;&gt;"",IF(INDEX(CalcNoteA,$M926)="","—",INDEX(CalcNoteA,$M926)),IF($N926&lt;&gt;"",IF(INDEX(CalcNoteB,$N926)="","—",INDEX(CalcNoteB,$N926)),""))</f>
        <v/>
      </c>
      <c r="M926">
        <f>IFERROR(MATCH($C$5&amp;"|"&amp;RIGHT("000000"&amp;910,6),CalcRankKeyA,0),"")</f>
        <v/>
      </c>
      <c r="N926">
        <f>IFERROR(MATCH($C$5&amp;"|"&amp;RIGHT("000000"&amp;910,6),CalcRankKeyB,0),"")</f>
        <v/>
      </c>
    </row>
    <row r="927">
      <c r="A927" s="21" t="n">
        <v>911</v>
      </c>
      <c r="B927" s="22">
        <f>IF(AND($M927="",$N927=""),"",IF($M927&lt;&gt;"",INDEX(CalcDateA,$M927),INDEX(CalcDateB,$N927)))</f>
        <v/>
      </c>
      <c r="C927" s="22">
        <f>IF($M927&lt;&gt;"","خرید سبد",IF($N927&lt;&gt;"",IF(N(INDEX(CalcDepB,$N927))&gt;0,"دریافت بانکی","پرداخت بانکی"),""))</f>
        <v/>
      </c>
      <c r="D927" s="22">
        <f>IF($M927&lt;&gt;"",IF(INDEX(CalcDocA,$M927)="","—",INDEX(CalcDocA,$M927)),IF($N927&lt;&gt;"",INDEX(CalcBankB,$N927),""))</f>
        <v/>
      </c>
      <c r="E927" s="23">
        <f>IF($N927&lt;&gt;"",IF(INDEX(CalcDepB,$N927)=0,"",INDEX(CalcDepB,$N927)),"")</f>
        <v/>
      </c>
      <c r="F927" s="23">
        <f>IF($M927&lt;&gt;"",IF(INDEX(CalcQtyA,$M927)=0,"",INDEX(CalcQtyA,$M927)),"")</f>
        <v/>
      </c>
      <c r="G927" s="23">
        <f>IF($M927&lt;&gt;"",IF(INDEX(CalcPriceA,$M927)=0,"",INDEX(CalcPriceA,$M927)),"")</f>
        <v/>
      </c>
      <c r="H927" s="23">
        <f>IF($N927&lt;&gt;"",IF(INDEX(CalcWitB,$N927)=0,"",INDEX(CalcWitB,$N927)),"")</f>
        <v/>
      </c>
      <c r="I927" s="24">
        <f>IF($M927&lt;&gt;"",INDEX(CalcAmtA,$M927),"")</f>
        <v/>
      </c>
      <c r="J927" s="24">
        <f>IF($B927="","",IF($J926="",$C$8,$J926)+IF($I927="",0,$I927)+IF($E927="",0,$E927)-IF($H927="",0,$H927))</f>
        <v/>
      </c>
      <c r="K927" s="25">
        <f>IF($M927&lt;&gt;"",IF(INDEX(CalcNoteA,$M927)="","—",INDEX(CalcNoteA,$M927)),IF($N927&lt;&gt;"",IF(INDEX(CalcNoteB,$N927)="","—",INDEX(CalcNoteB,$N927)),""))</f>
        <v/>
      </c>
      <c r="M927">
        <f>IFERROR(MATCH($C$5&amp;"|"&amp;RIGHT("000000"&amp;911,6),CalcRankKeyA,0),"")</f>
        <v/>
      </c>
      <c r="N927">
        <f>IFERROR(MATCH($C$5&amp;"|"&amp;RIGHT("000000"&amp;911,6),CalcRankKeyB,0),"")</f>
        <v/>
      </c>
    </row>
    <row r="928">
      <c r="A928" s="26" t="n">
        <v>912</v>
      </c>
      <c r="B928" s="27">
        <f>IF(AND($M928="",$N928=""),"",IF($M928&lt;&gt;"",INDEX(CalcDateA,$M928),INDEX(CalcDateB,$N928)))</f>
        <v/>
      </c>
      <c r="C928" s="27">
        <f>IF($M928&lt;&gt;"","خرید سبد",IF($N928&lt;&gt;"",IF(N(INDEX(CalcDepB,$N928))&gt;0,"دریافت بانکی","پرداخت بانکی"),""))</f>
        <v/>
      </c>
      <c r="D928" s="27">
        <f>IF($M928&lt;&gt;"",IF(INDEX(CalcDocA,$M928)="","—",INDEX(CalcDocA,$M928)),IF($N928&lt;&gt;"",INDEX(CalcBankB,$N928),""))</f>
        <v/>
      </c>
      <c r="E928" s="28">
        <f>IF($N928&lt;&gt;"",IF(INDEX(CalcDepB,$N928)=0,"",INDEX(CalcDepB,$N928)),"")</f>
        <v/>
      </c>
      <c r="F928" s="28">
        <f>IF($M928&lt;&gt;"",IF(INDEX(CalcQtyA,$M928)=0,"",INDEX(CalcQtyA,$M928)),"")</f>
        <v/>
      </c>
      <c r="G928" s="28">
        <f>IF($M928&lt;&gt;"",IF(INDEX(CalcPriceA,$M928)=0,"",INDEX(CalcPriceA,$M928)),"")</f>
        <v/>
      </c>
      <c r="H928" s="28">
        <f>IF($N928&lt;&gt;"",IF(INDEX(CalcWitB,$N928)=0,"",INDEX(CalcWitB,$N928)),"")</f>
        <v/>
      </c>
      <c r="I928" s="29">
        <f>IF($M928&lt;&gt;"",INDEX(CalcAmtA,$M928),"")</f>
        <v/>
      </c>
      <c r="J928" s="29">
        <f>IF($B928="","",IF($J927="",$C$8,$J927)+IF($I928="",0,$I928)+IF($E928="",0,$E928)-IF($H928="",0,$H928))</f>
        <v/>
      </c>
      <c r="K928" s="30">
        <f>IF($M928&lt;&gt;"",IF(INDEX(CalcNoteA,$M928)="","—",INDEX(CalcNoteA,$M928)),IF($N928&lt;&gt;"",IF(INDEX(CalcNoteB,$N928)="","—",INDEX(CalcNoteB,$N928)),""))</f>
        <v/>
      </c>
      <c r="M928">
        <f>IFERROR(MATCH($C$5&amp;"|"&amp;RIGHT("000000"&amp;912,6),CalcRankKeyA,0),"")</f>
        <v/>
      </c>
      <c r="N928">
        <f>IFERROR(MATCH($C$5&amp;"|"&amp;RIGHT("000000"&amp;912,6),CalcRankKeyB,0),"")</f>
        <v/>
      </c>
    </row>
    <row r="929">
      <c r="A929" s="21" t="n">
        <v>913</v>
      </c>
      <c r="B929" s="22">
        <f>IF(AND($M929="",$N929=""),"",IF($M929&lt;&gt;"",INDEX(CalcDateA,$M929),INDEX(CalcDateB,$N929)))</f>
        <v/>
      </c>
      <c r="C929" s="22">
        <f>IF($M929&lt;&gt;"","خرید سبد",IF($N929&lt;&gt;"",IF(N(INDEX(CalcDepB,$N929))&gt;0,"دریافت بانکی","پرداخت بانکی"),""))</f>
        <v/>
      </c>
      <c r="D929" s="22">
        <f>IF($M929&lt;&gt;"",IF(INDEX(CalcDocA,$M929)="","—",INDEX(CalcDocA,$M929)),IF($N929&lt;&gt;"",INDEX(CalcBankB,$N929),""))</f>
        <v/>
      </c>
      <c r="E929" s="23">
        <f>IF($N929&lt;&gt;"",IF(INDEX(CalcDepB,$N929)=0,"",INDEX(CalcDepB,$N929)),"")</f>
        <v/>
      </c>
      <c r="F929" s="23">
        <f>IF($M929&lt;&gt;"",IF(INDEX(CalcQtyA,$M929)=0,"",INDEX(CalcQtyA,$M929)),"")</f>
        <v/>
      </c>
      <c r="G929" s="23">
        <f>IF($M929&lt;&gt;"",IF(INDEX(CalcPriceA,$M929)=0,"",INDEX(CalcPriceA,$M929)),"")</f>
        <v/>
      </c>
      <c r="H929" s="23">
        <f>IF($N929&lt;&gt;"",IF(INDEX(CalcWitB,$N929)=0,"",INDEX(CalcWitB,$N929)),"")</f>
        <v/>
      </c>
      <c r="I929" s="24">
        <f>IF($M929&lt;&gt;"",INDEX(CalcAmtA,$M929),"")</f>
        <v/>
      </c>
      <c r="J929" s="24">
        <f>IF($B929="","",IF($J928="",$C$8,$J928)+IF($I929="",0,$I929)+IF($E929="",0,$E929)-IF($H929="",0,$H929))</f>
        <v/>
      </c>
      <c r="K929" s="25">
        <f>IF($M929&lt;&gt;"",IF(INDEX(CalcNoteA,$M929)="","—",INDEX(CalcNoteA,$M929)),IF($N929&lt;&gt;"",IF(INDEX(CalcNoteB,$N929)="","—",INDEX(CalcNoteB,$N929)),""))</f>
        <v/>
      </c>
      <c r="M929">
        <f>IFERROR(MATCH($C$5&amp;"|"&amp;RIGHT("000000"&amp;913,6),CalcRankKeyA,0),"")</f>
        <v/>
      </c>
      <c r="N929">
        <f>IFERROR(MATCH($C$5&amp;"|"&amp;RIGHT("000000"&amp;913,6),CalcRankKeyB,0),"")</f>
        <v/>
      </c>
    </row>
    <row r="930">
      <c r="A930" s="26" t="n">
        <v>914</v>
      </c>
      <c r="B930" s="27">
        <f>IF(AND($M930="",$N930=""),"",IF($M930&lt;&gt;"",INDEX(CalcDateA,$M930),INDEX(CalcDateB,$N930)))</f>
        <v/>
      </c>
      <c r="C930" s="27">
        <f>IF($M930&lt;&gt;"","خرید سبد",IF($N930&lt;&gt;"",IF(N(INDEX(CalcDepB,$N930))&gt;0,"دریافت بانکی","پرداخت بانکی"),""))</f>
        <v/>
      </c>
      <c r="D930" s="27">
        <f>IF($M930&lt;&gt;"",IF(INDEX(CalcDocA,$M930)="","—",INDEX(CalcDocA,$M930)),IF($N930&lt;&gt;"",INDEX(CalcBankB,$N930),""))</f>
        <v/>
      </c>
      <c r="E930" s="28">
        <f>IF($N930&lt;&gt;"",IF(INDEX(CalcDepB,$N930)=0,"",INDEX(CalcDepB,$N930)),"")</f>
        <v/>
      </c>
      <c r="F930" s="28">
        <f>IF($M930&lt;&gt;"",IF(INDEX(CalcQtyA,$M930)=0,"",INDEX(CalcQtyA,$M930)),"")</f>
        <v/>
      </c>
      <c r="G930" s="28">
        <f>IF($M930&lt;&gt;"",IF(INDEX(CalcPriceA,$M930)=0,"",INDEX(CalcPriceA,$M930)),"")</f>
        <v/>
      </c>
      <c r="H930" s="28">
        <f>IF($N930&lt;&gt;"",IF(INDEX(CalcWitB,$N930)=0,"",INDEX(CalcWitB,$N930)),"")</f>
        <v/>
      </c>
      <c r="I930" s="29">
        <f>IF($M930&lt;&gt;"",INDEX(CalcAmtA,$M930),"")</f>
        <v/>
      </c>
      <c r="J930" s="29">
        <f>IF($B930="","",IF($J929="",$C$8,$J929)+IF($I930="",0,$I930)+IF($E930="",0,$E930)-IF($H930="",0,$H930))</f>
        <v/>
      </c>
      <c r="K930" s="30">
        <f>IF($M930&lt;&gt;"",IF(INDEX(CalcNoteA,$M930)="","—",INDEX(CalcNoteA,$M930)),IF($N930&lt;&gt;"",IF(INDEX(CalcNoteB,$N930)="","—",INDEX(CalcNoteB,$N930)),""))</f>
        <v/>
      </c>
      <c r="M930">
        <f>IFERROR(MATCH($C$5&amp;"|"&amp;RIGHT("000000"&amp;914,6),CalcRankKeyA,0),"")</f>
        <v/>
      </c>
      <c r="N930">
        <f>IFERROR(MATCH($C$5&amp;"|"&amp;RIGHT("000000"&amp;914,6),CalcRankKeyB,0),"")</f>
        <v/>
      </c>
    </row>
    <row r="931">
      <c r="A931" s="21" t="n">
        <v>915</v>
      </c>
      <c r="B931" s="22">
        <f>IF(AND($M931="",$N931=""),"",IF($M931&lt;&gt;"",INDEX(CalcDateA,$M931),INDEX(CalcDateB,$N931)))</f>
        <v/>
      </c>
      <c r="C931" s="22">
        <f>IF($M931&lt;&gt;"","خرید سبد",IF($N931&lt;&gt;"",IF(N(INDEX(CalcDepB,$N931))&gt;0,"دریافت بانکی","پرداخت بانکی"),""))</f>
        <v/>
      </c>
      <c r="D931" s="22">
        <f>IF($M931&lt;&gt;"",IF(INDEX(CalcDocA,$M931)="","—",INDEX(CalcDocA,$M931)),IF($N931&lt;&gt;"",INDEX(CalcBankB,$N931),""))</f>
        <v/>
      </c>
      <c r="E931" s="23">
        <f>IF($N931&lt;&gt;"",IF(INDEX(CalcDepB,$N931)=0,"",INDEX(CalcDepB,$N931)),"")</f>
        <v/>
      </c>
      <c r="F931" s="23">
        <f>IF($M931&lt;&gt;"",IF(INDEX(CalcQtyA,$M931)=0,"",INDEX(CalcQtyA,$M931)),"")</f>
        <v/>
      </c>
      <c r="G931" s="23">
        <f>IF($M931&lt;&gt;"",IF(INDEX(CalcPriceA,$M931)=0,"",INDEX(CalcPriceA,$M931)),"")</f>
        <v/>
      </c>
      <c r="H931" s="23">
        <f>IF($N931&lt;&gt;"",IF(INDEX(CalcWitB,$N931)=0,"",INDEX(CalcWitB,$N931)),"")</f>
        <v/>
      </c>
      <c r="I931" s="24">
        <f>IF($M931&lt;&gt;"",INDEX(CalcAmtA,$M931),"")</f>
        <v/>
      </c>
      <c r="J931" s="24">
        <f>IF($B931="","",IF($J930="",$C$8,$J930)+IF($I931="",0,$I931)+IF($E931="",0,$E931)-IF($H931="",0,$H931))</f>
        <v/>
      </c>
      <c r="K931" s="25">
        <f>IF($M931&lt;&gt;"",IF(INDEX(CalcNoteA,$M931)="","—",INDEX(CalcNoteA,$M931)),IF($N931&lt;&gt;"",IF(INDEX(CalcNoteB,$N931)="","—",INDEX(CalcNoteB,$N931)),""))</f>
        <v/>
      </c>
      <c r="M931">
        <f>IFERROR(MATCH($C$5&amp;"|"&amp;RIGHT("000000"&amp;915,6),CalcRankKeyA,0),"")</f>
        <v/>
      </c>
      <c r="N931">
        <f>IFERROR(MATCH($C$5&amp;"|"&amp;RIGHT("000000"&amp;915,6),CalcRankKeyB,0),"")</f>
        <v/>
      </c>
    </row>
    <row r="932">
      <c r="A932" s="26" t="n">
        <v>916</v>
      </c>
      <c r="B932" s="27">
        <f>IF(AND($M932="",$N932=""),"",IF($M932&lt;&gt;"",INDEX(CalcDateA,$M932),INDEX(CalcDateB,$N932)))</f>
        <v/>
      </c>
      <c r="C932" s="27">
        <f>IF($M932&lt;&gt;"","خرید سبد",IF($N932&lt;&gt;"",IF(N(INDEX(CalcDepB,$N932))&gt;0,"دریافت بانکی","پرداخت بانکی"),""))</f>
        <v/>
      </c>
      <c r="D932" s="27">
        <f>IF($M932&lt;&gt;"",IF(INDEX(CalcDocA,$M932)="","—",INDEX(CalcDocA,$M932)),IF($N932&lt;&gt;"",INDEX(CalcBankB,$N932),""))</f>
        <v/>
      </c>
      <c r="E932" s="28">
        <f>IF($N932&lt;&gt;"",IF(INDEX(CalcDepB,$N932)=0,"",INDEX(CalcDepB,$N932)),"")</f>
        <v/>
      </c>
      <c r="F932" s="28">
        <f>IF($M932&lt;&gt;"",IF(INDEX(CalcQtyA,$M932)=0,"",INDEX(CalcQtyA,$M932)),"")</f>
        <v/>
      </c>
      <c r="G932" s="28">
        <f>IF($M932&lt;&gt;"",IF(INDEX(CalcPriceA,$M932)=0,"",INDEX(CalcPriceA,$M932)),"")</f>
        <v/>
      </c>
      <c r="H932" s="28">
        <f>IF($N932&lt;&gt;"",IF(INDEX(CalcWitB,$N932)=0,"",INDEX(CalcWitB,$N932)),"")</f>
        <v/>
      </c>
      <c r="I932" s="29">
        <f>IF($M932&lt;&gt;"",INDEX(CalcAmtA,$M932),"")</f>
        <v/>
      </c>
      <c r="J932" s="29">
        <f>IF($B932="","",IF($J931="",$C$8,$J931)+IF($I932="",0,$I932)+IF($E932="",0,$E932)-IF($H932="",0,$H932))</f>
        <v/>
      </c>
      <c r="K932" s="30">
        <f>IF($M932&lt;&gt;"",IF(INDEX(CalcNoteA,$M932)="","—",INDEX(CalcNoteA,$M932)),IF($N932&lt;&gt;"",IF(INDEX(CalcNoteB,$N932)="","—",INDEX(CalcNoteB,$N932)),""))</f>
        <v/>
      </c>
      <c r="M932">
        <f>IFERROR(MATCH($C$5&amp;"|"&amp;RIGHT("000000"&amp;916,6),CalcRankKeyA,0),"")</f>
        <v/>
      </c>
      <c r="N932">
        <f>IFERROR(MATCH($C$5&amp;"|"&amp;RIGHT("000000"&amp;916,6),CalcRankKeyB,0),"")</f>
        <v/>
      </c>
    </row>
    <row r="933">
      <c r="A933" s="21" t="n">
        <v>917</v>
      </c>
      <c r="B933" s="22">
        <f>IF(AND($M933="",$N933=""),"",IF($M933&lt;&gt;"",INDEX(CalcDateA,$M933),INDEX(CalcDateB,$N933)))</f>
        <v/>
      </c>
      <c r="C933" s="22">
        <f>IF($M933&lt;&gt;"","خرید سبد",IF($N933&lt;&gt;"",IF(N(INDEX(CalcDepB,$N933))&gt;0,"دریافت بانکی","پرداخت بانکی"),""))</f>
        <v/>
      </c>
      <c r="D933" s="22">
        <f>IF($M933&lt;&gt;"",IF(INDEX(CalcDocA,$M933)="","—",INDEX(CalcDocA,$M933)),IF($N933&lt;&gt;"",INDEX(CalcBankB,$N933),""))</f>
        <v/>
      </c>
      <c r="E933" s="23">
        <f>IF($N933&lt;&gt;"",IF(INDEX(CalcDepB,$N933)=0,"",INDEX(CalcDepB,$N933)),"")</f>
        <v/>
      </c>
      <c r="F933" s="23">
        <f>IF($M933&lt;&gt;"",IF(INDEX(CalcQtyA,$M933)=0,"",INDEX(CalcQtyA,$M933)),"")</f>
        <v/>
      </c>
      <c r="G933" s="23">
        <f>IF($M933&lt;&gt;"",IF(INDEX(CalcPriceA,$M933)=0,"",INDEX(CalcPriceA,$M933)),"")</f>
        <v/>
      </c>
      <c r="H933" s="23">
        <f>IF($N933&lt;&gt;"",IF(INDEX(CalcWitB,$N933)=0,"",INDEX(CalcWitB,$N933)),"")</f>
        <v/>
      </c>
      <c r="I933" s="24">
        <f>IF($M933&lt;&gt;"",INDEX(CalcAmtA,$M933),"")</f>
        <v/>
      </c>
      <c r="J933" s="24">
        <f>IF($B933="","",IF($J932="",$C$8,$J932)+IF($I933="",0,$I933)+IF($E933="",0,$E933)-IF($H933="",0,$H933))</f>
        <v/>
      </c>
      <c r="K933" s="25">
        <f>IF($M933&lt;&gt;"",IF(INDEX(CalcNoteA,$M933)="","—",INDEX(CalcNoteA,$M933)),IF($N933&lt;&gt;"",IF(INDEX(CalcNoteB,$N933)="","—",INDEX(CalcNoteB,$N933)),""))</f>
        <v/>
      </c>
      <c r="M933">
        <f>IFERROR(MATCH($C$5&amp;"|"&amp;RIGHT("000000"&amp;917,6),CalcRankKeyA,0),"")</f>
        <v/>
      </c>
      <c r="N933">
        <f>IFERROR(MATCH($C$5&amp;"|"&amp;RIGHT("000000"&amp;917,6),CalcRankKeyB,0),"")</f>
        <v/>
      </c>
    </row>
    <row r="934">
      <c r="A934" s="26" t="n">
        <v>918</v>
      </c>
      <c r="B934" s="27">
        <f>IF(AND($M934="",$N934=""),"",IF($M934&lt;&gt;"",INDEX(CalcDateA,$M934),INDEX(CalcDateB,$N934)))</f>
        <v/>
      </c>
      <c r="C934" s="27">
        <f>IF($M934&lt;&gt;"","خرید سبد",IF($N934&lt;&gt;"",IF(N(INDEX(CalcDepB,$N934))&gt;0,"دریافت بانکی","پرداخت بانکی"),""))</f>
        <v/>
      </c>
      <c r="D934" s="27">
        <f>IF($M934&lt;&gt;"",IF(INDEX(CalcDocA,$M934)="","—",INDEX(CalcDocA,$M934)),IF($N934&lt;&gt;"",INDEX(CalcBankB,$N934),""))</f>
        <v/>
      </c>
      <c r="E934" s="28">
        <f>IF($N934&lt;&gt;"",IF(INDEX(CalcDepB,$N934)=0,"",INDEX(CalcDepB,$N934)),"")</f>
        <v/>
      </c>
      <c r="F934" s="28">
        <f>IF($M934&lt;&gt;"",IF(INDEX(CalcQtyA,$M934)=0,"",INDEX(CalcQtyA,$M934)),"")</f>
        <v/>
      </c>
      <c r="G934" s="28">
        <f>IF($M934&lt;&gt;"",IF(INDEX(CalcPriceA,$M934)=0,"",INDEX(CalcPriceA,$M934)),"")</f>
        <v/>
      </c>
      <c r="H934" s="28">
        <f>IF($N934&lt;&gt;"",IF(INDEX(CalcWitB,$N934)=0,"",INDEX(CalcWitB,$N934)),"")</f>
        <v/>
      </c>
      <c r="I934" s="29">
        <f>IF($M934&lt;&gt;"",INDEX(CalcAmtA,$M934),"")</f>
        <v/>
      </c>
      <c r="J934" s="29">
        <f>IF($B934="","",IF($J933="",$C$8,$J933)+IF($I934="",0,$I934)+IF($E934="",0,$E934)-IF($H934="",0,$H934))</f>
        <v/>
      </c>
      <c r="K934" s="30">
        <f>IF($M934&lt;&gt;"",IF(INDEX(CalcNoteA,$M934)="","—",INDEX(CalcNoteA,$M934)),IF($N934&lt;&gt;"",IF(INDEX(CalcNoteB,$N934)="","—",INDEX(CalcNoteB,$N934)),""))</f>
        <v/>
      </c>
      <c r="M934">
        <f>IFERROR(MATCH($C$5&amp;"|"&amp;RIGHT("000000"&amp;918,6),CalcRankKeyA,0),"")</f>
        <v/>
      </c>
      <c r="N934">
        <f>IFERROR(MATCH($C$5&amp;"|"&amp;RIGHT("000000"&amp;918,6),CalcRankKeyB,0),"")</f>
        <v/>
      </c>
    </row>
    <row r="935">
      <c r="A935" s="21" t="n">
        <v>919</v>
      </c>
      <c r="B935" s="22">
        <f>IF(AND($M935="",$N935=""),"",IF($M935&lt;&gt;"",INDEX(CalcDateA,$M935),INDEX(CalcDateB,$N935)))</f>
        <v/>
      </c>
      <c r="C935" s="22">
        <f>IF($M935&lt;&gt;"","خرید سبد",IF($N935&lt;&gt;"",IF(N(INDEX(CalcDepB,$N935))&gt;0,"دریافت بانکی","پرداخت بانکی"),""))</f>
        <v/>
      </c>
      <c r="D935" s="22">
        <f>IF($M935&lt;&gt;"",IF(INDEX(CalcDocA,$M935)="","—",INDEX(CalcDocA,$M935)),IF($N935&lt;&gt;"",INDEX(CalcBankB,$N935),""))</f>
        <v/>
      </c>
      <c r="E935" s="23">
        <f>IF($N935&lt;&gt;"",IF(INDEX(CalcDepB,$N935)=0,"",INDEX(CalcDepB,$N935)),"")</f>
        <v/>
      </c>
      <c r="F935" s="23">
        <f>IF($M935&lt;&gt;"",IF(INDEX(CalcQtyA,$M935)=0,"",INDEX(CalcQtyA,$M935)),"")</f>
        <v/>
      </c>
      <c r="G935" s="23">
        <f>IF($M935&lt;&gt;"",IF(INDEX(CalcPriceA,$M935)=0,"",INDEX(CalcPriceA,$M935)),"")</f>
        <v/>
      </c>
      <c r="H935" s="23">
        <f>IF($N935&lt;&gt;"",IF(INDEX(CalcWitB,$N935)=0,"",INDEX(CalcWitB,$N935)),"")</f>
        <v/>
      </c>
      <c r="I935" s="24">
        <f>IF($M935&lt;&gt;"",INDEX(CalcAmtA,$M935),"")</f>
        <v/>
      </c>
      <c r="J935" s="24">
        <f>IF($B935="","",IF($J934="",$C$8,$J934)+IF($I935="",0,$I935)+IF($E935="",0,$E935)-IF($H935="",0,$H935))</f>
        <v/>
      </c>
      <c r="K935" s="25">
        <f>IF($M935&lt;&gt;"",IF(INDEX(CalcNoteA,$M935)="","—",INDEX(CalcNoteA,$M935)),IF($N935&lt;&gt;"",IF(INDEX(CalcNoteB,$N935)="","—",INDEX(CalcNoteB,$N935)),""))</f>
        <v/>
      </c>
      <c r="M935">
        <f>IFERROR(MATCH($C$5&amp;"|"&amp;RIGHT("000000"&amp;919,6),CalcRankKeyA,0),"")</f>
        <v/>
      </c>
      <c r="N935">
        <f>IFERROR(MATCH($C$5&amp;"|"&amp;RIGHT("000000"&amp;919,6),CalcRankKeyB,0),"")</f>
        <v/>
      </c>
    </row>
    <row r="936">
      <c r="A936" s="26" t="n">
        <v>920</v>
      </c>
      <c r="B936" s="27">
        <f>IF(AND($M936="",$N936=""),"",IF($M936&lt;&gt;"",INDEX(CalcDateA,$M936),INDEX(CalcDateB,$N936)))</f>
        <v/>
      </c>
      <c r="C936" s="27">
        <f>IF($M936&lt;&gt;"","خرید سبد",IF($N936&lt;&gt;"",IF(N(INDEX(CalcDepB,$N936))&gt;0,"دریافت بانکی","پرداخت بانکی"),""))</f>
        <v/>
      </c>
      <c r="D936" s="27">
        <f>IF($M936&lt;&gt;"",IF(INDEX(CalcDocA,$M936)="","—",INDEX(CalcDocA,$M936)),IF($N936&lt;&gt;"",INDEX(CalcBankB,$N936),""))</f>
        <v/>
      </c>
      <c r="E936" s="28">
        <f>IF($N936&lt;&gt;"",IF(INDEX(CalcDepB,$N936)=0,"",INDEX(CalcDepB,$N936)),"")</f>
        <v/>
      </c>
      <c r="F936" s="28">
        <f>IF($M936&lt;&gt;"",IF(INDEX(CalcQtyA,$M936)=0,"",INDEX(CalcQtyA,$M936)),"")</f>
        <v/>
      </c>
      <c r="G936" s="28">
        <f>IF($M936&lt;&gt;"",IF(INDEX(CalcPriceA,$M936)=0,"",INDEX(CalcPriceA,$M936)),"")</f>
        <v/>
      </c>
      <c r="H936" s="28">
        <f>IF($N936&lt;&gt;"",IF(INDEX(CalcWitB,$N936)=0,"",INDEX(CalcWitB,$N936)),"")</f>
        <v/>
      </c>
      <c r="I936" s="29">
        <f>IF($M936&lt;&gt;"",INDEX(CalcAmtA,$M936),"")</f>
        <v/>
      </c>
      <c r="J936" s="29">
        <f>IF($B936="","",IF($J935="",$C$8,$J935)+IF($I936="",0,$I936)+IF($E936="",0,$E936)-IF($H936="",0,$H936))</f>
        <v/>
      </c>
      <c r="K936" s="30">
        <f>IF($M936&lt;&gt;"",IF(INDEX(CalcNoteA,$M936)="","—",INDEX(CalcNoteA,$M936)),IF($N936&lt;&gt;"",IF(INDEX(CalcNoteB,$N936)="","—",INDEX(CalcNoteB,$N936)),""))</f>
        <v/>
      </c>
      <c r="M936">
        <f>IFERROR(MATCH($C$5&amp;"|"&amp;RIGHT("000000"&amp;920,6),CalcRankKeyA,0),"")</f>
        <v/>
      </c>
      <c r="N936">
        <f>IFERROR(MATCH($C$5&amp;"|"&amp;RIGHT("000000"&amp;920,6),CalcRankKeyB,0),"")</f>
        <v/>
      </c>
    </row>
    <row r="937">
      <c r="A937" s="21" t="n">
        <v>921</v>
      </c>
      <c r="B937" s="22">
        <f>IF(AND($M937="",$N937=""),"",IF($M937&lt;&gt;"",INDEX(CalcDateA,$M937),INDEX(CalcDateB,$N937)))</f>
        <v/>
      </c>
      <c r="C937" s="22">
        <f>IF($M937&lt;&gt;"","خرید سبد",IF($N937&lt;&gt;"",IF(N(INDEX(CalcDepB,$N937))&gt;0,"دریافت بانکی","پرداخت بانکی"),""))</f>
        <v/>
      </c>
      <c r="D937" s="22">
        <f>IF($M937&lt;&gt;"",IF(INDEX(CalcDocA,$M937)="","—",INDEX(CalcDocA,$M937)),IF($N937&lt;&gt;"",INDEX(CalcBankB,$N937),""))</f>
        <v/>
      </c>
      <c r="E937" s="23">
        <f>IF($N937&lt;&gt;"",IF(INDEX(CalcDepB,$N937)=0,"",INDEX(CalcDepB,$N937)),"")</f>
        <v/>
      </c>
      <c r="F937" s="23">
        <f>IF($M937&lt;&gt;"",IF(INDEX(CalcQtyA,$M937)=0,"",INDEX(CalcQtyA,$M937)),"")</f>
        <v/>
      </c>
      <c r="G937" s="23">
        <f>IF($M937&lt;&gt;"",IF(INDEX(CalcPriceA,$M937)=0,"",INDEX(CalcPriceA,$M937)),"")</f>
        <v/>
      </c>
      <c r="H937" s="23">
        <f>IF($N937&lt;&gt;"",IF(INDEX(CalcWitB,$N937)=0,"",INDEX(CalcWitB,$N937)),"")</f>
        <v/>
      </c>
      <c r="I937" s="24">
        <f>IF($M937&lt;&gt;"",INDEX(CalcAmtA,$M937),"")</f>
        <v/>
      </c>
      <c r="J937" s="24">
        <f>IF($B937="","",IF($J936="",$C$8,$J936)+IF($I937="",0,$I937)+IF($E937="",0,$E937)-IF($H937="",0,$H937))</f>
        <v/>
      </c>
      <c r="K937" s="25">
        <f>IF($M937&lt;&gt;"",IF(INDEX(CalcNoteA,$M937)="","—",INDEX(CalcNoteA,$M937)),IF($N937&lt;&gt;"",IF(INDEX(CalcNoteB,$N937)="","—",INDEX(CalcNoteB,$N937)),""))</f>
        <v/>
      </c>
      <c r="M937">
        <f>IFERROR(MATCH($C$5&amp;"|"&amp;RIGHT("000000"&amp;921,6),CalcRankKeyA,0),"")</f>
        <v/>
      </c>
      <c r="N937">
        <f>IFERROR(MATCH($C$5&amp;"|"&amp;RIGHT("000000"&amp;921,6),CalcRankKeyB,0),"")</f>
        <v/>
      </c>
    </row>
    <row r="938">
      <c r="A938" s="26" t="n">
        <v>922</v>
      </c>
      <c r="B938" s="27">
        <f>IF(AND($M938="",$N938=""),"",IF($M938&lt;&gt;"",INDEX(CalcDateA,$M938),INDEX(CalcDateB,$N938)))</f>
        <v/>
      </c>
      <c r="C938" s="27">
        <f>IF($M938&lt;&gt;"","خرید سبد",IF($N938&lt;&gt;"",IF(N(INDEX(CalcDepB,$N938))&gt;0,"دریافت بانکی","پرداخت بانکی"),""))</f>
        <v/>
      </c>
      <c r="D938" s="27">
        <f>IF($M938&lt;&gt;"",IF(INDEX(CalcDocA,$M938)="","—",INDEX(CalcDocA,$M938)),IF($N938&lt;&gt;"",INDEX(CalcBankB,$N938),""))</f>
        <v/>
      </c>
      <c r="E938" s="28">
        <f>IF($N938&lt;&gt;"",IF(INDEX(CalcDepB,$N938)=0,"",INDEX(CalcDepB,$N938)),"")</f>
        <v/>
      </c>
      <c r="F938" s="28">
        <f>IF($M938&lt;&gt;"",IF(INDEX(CalcQtyA,$M938)=0,"",INDEX(CalcQtyA,$M938)),"")</f>
        <v/>
      </c>
      <c r="G938" s="28">
        <f>IF($M938&lt;&gt;"",IF(INDEX(CalcPriceA,$M938)=0,"",INDEX(CalcPriceA,$M938)),"")</f>
        <v/>
      </c>
      <c r="H938" s="28">
        <f>IF($N938&lt;&gt;"",IF(INDEX(CalcWitB,$N938)=0,"",INDEX(CalcWitB,$N938)),"")</f>
        <v/>
      </c>
      <c r="I938" s="29">
        <f>IF($M938&lt;&gt;"",INDEX(CalcAmtA,$M938),"")</f>
        <v/>
      </c>
      <c r="J938" s="29">
        <f>IF($B938="","",IF($J937="",$C$8,$J937)+IF($I938="",0,$I938)+IF($E938="",0,$E938)-IF($H938="",0,$H938))</f>
        <v/>
      </c>
      <c r="K938" s="30">
        <f>IF($M938&lt;&gt;"",IF(INDEX(CalcNoteA,$M938)="","—",INDEX(CalcNoteA,$M938)),IF($N938&lt;&gt;"",IF(INDEX(CalcNoteB,$N938)="","—",INDEX(CalcNoteB,$N938)),""))</f>
        <v/>
      </c>
      <c r="M938">
        <f>IFERROR(MATCH($C$5&amp;"|"&amp;RIGHT("000000"&amp;922,6),CalcRankKeyA,0),"")</f>
        <v/>
      </c>
      <c r="N938">
        <f>IFERROR(MATCH($C$5&amp;"|"&amp;RIGHT("000000"&amp;922,6),CalcRankKeyB,0),"")</f>
        <v/>
      </c>
    </row>
    <row r="939">
      <c r="A939" s="21" t="n">
        <v>923</v>
      </c>
      <c r="B939" s="22">
        <f>IF(AND($M939="",$N939=""),"",IF($M939&lt;&gt;"",INDEX(CalcDateA,$M939),INDEX(CalcDateB,$N939)))</f>
        <v/>
      </c>
      <c r="C939" s="22">
        <f>IF($M939&lt;&gt;"","خرید سبد",IF($N939&lt;&gt;"",IF(N(INDEX(CalcDepB,$N939))&gt;0,"دریافت بانکی","پرداخت بانکی"),""))</f>
        <v/>
      </c>
      <c r="D939" s="22">
        <f>IF($M939&lt;&gt;"",IF(INDEX(CalcDocA,$M939)="","—",INDEX(CalcDocA,$M939)),IF($N939&lt;&gt;"",INDEX(CalcBankB,$N939),""))</f>
        <v/>
      </c>
      <c r="E939" s="23">
        <f>IF($N939&lt;&gt;"",IF(INDEX(CalcDepB,$N939)=0,"",INDEX(CalcDepB,$N939)),"")</f>
        <v/>
      </c>
      <c r="F939" s="23">
        <f>IF($M939&lt;&gt;"",IF(INDEX(CalcQtyA,$M939)=0,"",INDEX(CalcQtyA,$M939)),"")</f>
        <v/>
      </c>
      <c r="G939" s="23">
        <f>IF($M939&lt;&gt;"",IF(INDEX(CalcPriceA,$M939)=0,"",INDEX(CalcPriceA,$M939)),"")</f>
        <v/>
      </c>
      <c r="H939" s="23">
        <f>IF($N939&lt;&gt;"",IF(INDEX(CalcWitB,$N939)=0,"",INDEX(CalcWitB,$N939)),"")</f>
        <v/>
      </c>
      <c r="I939" s="24">
        <f>IF($M939&lt;&gt;"",INDEX(CalcAmtA,$M939),"")</f>
        <v/>
      </c>
      <c r="J939" s="24">
        <f>IF($B939="","",IF($J938="",$C$8,$J938)+IF($I939="",0,$I939)+IF($E939="",0,$E939)-IF($H939="",0,$H939))</f>
        <v/>
      </c>
      <c r="K939" s="25">
        <f>IF($M939&lt;&gt;"",IF(INDEX(CalcNoteA,$M939)="","—",INDEX(CalcNoteA,$M939)),IF($N939&lt;&gt;"",IF(INDEX(CalcNoteB,$N939)="","—",INDEX(CalcNoteB,$N939)),""))</f>
        <v/>
      </c>
      <c r="M939">
        <f>IFERROR(MATCH($C$5&amp;"|"&amp;RIGHT("000000"&amp;923,6),CalcRankKeyA,0),"")</f>
        <v/>
      </c>
      <c r="N939">
        <f>IFERROR(MATCH($C$5&amp;"|"&amp;RIGHT("000000"&amp;923,6),CalcRankKeyB,0),"")</f>
        <v/>
      </c>
    </row>
    <row r="940">
      <c r="A940" s="26" t="n">
        <v>924</v>
      </c>
      <c r="B940" s="27">
        <f>IF(AND($M940="",$N940=""),"",IF($M940&lt;&gt;"",INDEX(CalcDateA,$M940),INDEX(CalcDateB,$N940)))</f>
        <v/>
      </c>
      <c r="C940" s="27">
        <f>IF($M940&lt;&gt;"","خرید سبد",IF($N940&lt;&gt;"",IF(N(INDEX(CalcDepB,$N940))&gt;0,"دریافت بانکی","پرداخت بانکی"),""))</f>
        <v/>
      </c>
      <c r="D940" s="27">
        <f>IF($M940&lt;&gt;"",IF(INDEX(CalcDocA,$M940)="","—",INDEX(CalcDocA,$M940)),IF($N940&lt;&gt;"",INDEX(CalcBankB,$N940),""))</f>
        <v/>
      </c>
      <c r="E940" s="28">
        <f>IF($N940&lt;&gt;"",IF(INDEX(CalcDepB,$N940)=0,"",INDEX(CalcDepB,$N940)),"")</f>
        <v/>
      </c>
      <c r="F940" s="28">
        <f>IF($M940&lt;&gt;"",IF(INDEX(CalcQtyA,$M940)=0,"",INDEX(CalcQtyA,$M940)),"")</f>
        <v/>
      </c>
      <c r="G940" s="28">
        <f>IF($M940&lt;&gt;"",IF(INDEX(CalcPriceA,$M940)=0,"",INDEX(CalcPriceA,$M940)),"")</f>
        <v/>
      </c>
      <c r="H940" s="28">
        <f>IF($N940&lt;&gt;"",IF(INDEX(CalcWitB,$N940)=0,"",INDEX(CalcWitB,$N940)),"")</f>
        <v/>
      </c>
      <c r="I940" s="29">
        <f>IF($M940&lt;&gt;"",INDEX(CalcAmtA,$M940),"")</f>
        <v/>
      </c>
      <c r="J940" s="29">
        <f>IF($B940="","",IF($J939="",$C$8,$J939)+IF($I940="",0,$I940)+IF($E940="",0,$E940)-IF($H940="",0,$H940))</f>
        <v/>
      </c>
      <c r="K940" s="30">
        <f>IF($M940&lt;&gt;"",IF(INDEX(CalcNoteA,$M940)="","—",INDEX(CalcNoteA,$M940)),IF($N940&lt;&gt;"",IF(INDEX(CalcNoteB,$N940)="","—",INDEX(CalcNoteB,$N940)),""))</f>
        <v/>
      </c>
      <c r="M940">
        <f>IFERROR(MATCH($C$5&amp;"|"&amp;RIGHT("000000"&amp;924,6),CalcRankKeyA,0),"")</f>
        <v/>
      </c>
      <c r="N940">
        <f>IFERROR(MATCH($C$5&amp;"|"&amp;RIGHT("000000"&amp;924,6),CalcRankKeyB,0),"")</f>
        <v/>
      </c>
    </row>
    <row r="941">
      <c r="A941" s="21" t="n">
        <v>925</v>
      </c>
      <c r="B941" s="22">
        <f>IF(AND($M941="",$N941=""),"",IF($M941&lt;&gt;"",INDEX(CalcDateA,$M941),INDEX(CalcDateB,$N941)))</f>
        <v/>
      </c>
      <c r="C941" s="22">
        <f>IF($M941&lt;&gt;"","خرید سبد",IF($N941&lt;&gt;"",IF(N(INDEX(CalcDepB,$N941))&gt;0,"دریافت بانکی","پرداخت بانکی"),""))</f>
        <v/>
      </c>
      <c r="D941" s="22">
        <f>IF($M941&lt;&gt;"",IF(INDEX(CalcDocA,$M941)="","—",INDEX(CalcDocA,$M941)),IF($N941&lt;&gt;"",INDEX(CalcBankB,$N941),""))</f>
        <v/>
      </c>
      <c r="E941" s="23">
        <f>IF($N941&lt;&gt;"",IF(INDEX(CalcDepB,$N941)=0,"",INDEX(CalcDepB,$N941)),"")</f>
        <v/>
      </c>
      <c r="F941" s="23">
        <f>IF($M941&lt;&gt;"",IF(INDEX(CalcQtyA,$M941)=0,"",INDEX(CalcQtyA,$M941)),"")</f>
        <v/>
      </c>
      <c r="G941" s="23">
        <f>IF($M941&lt;&gt;"",IF(INDEX(CalcPriceA,$M941)=0,"",INDEX(CalcPriceA,$M941)),"")</f>
        <v/>
      </c>
      <c r="H941" s="23">
        <f>IF($N941&lt;&gt;"",IF(INDEX(CalcWitB,$N941)=0,"",INDEX(CalcWitB,$N941)),"")</f>
        <v/>
      </c>
      <c r="I941" s="24">
        <f>IF($M941&lt;&gt;"",INDEX(CalcAmtA,$M941),"")</f>
        <v/>
      </c>
      <c r="J941" s="24">
        <f>IF($B941="","",IF($J940="",$C$8,$J940)+IF($I941="",0,$I941)+IF($E941="",0,$E941)-IF($H941="",0,$H941))</f>
        <v/>
      </c>
      <c r="K941" s="25">
        <f>IF($M941&lt;&gt;"",IF(INDEX(CalcNoteA,$M941)="","—",INDEX(CalcNoteA,$M941)),IF($N941&lt;&gt;"",IF(INDEX(CalcNoteB,$N941)="","—",INDEX(CalcNoteB,$N941)),""))</f>
        <v/>
      </c>
      <c r="M941">
        <f>IFERROR(MATCH($C$5&amp;"|"&amp;RIGHT("000000"&amp;925,6),CalcRankKeyA,0),"")</f>
        <v/>
      </c>
      <c r="N941">
        <f>IFERROR(MATCH($C$5&amp;"|"&amp;RIGHT("000000"&amp;925,6),CalcRankKeyB,0),"")</f>
        <v/>
      </c>
    </row>
    <row r="942">
      <c r="A942" s="26" t="n">
        <v>926</v>
      </c>
      <c r="B942" s="27">
        <f>IF(AND($M942="",$N942=""),"",IF($M942&lt;&gt;"",INDEX(CalcDateA,$M942),INDEX(CalcDateB,$N942)))</f>
        <v/>
      </c>
      <c r="C942" s="27">
        <f>IF($M942&lt;&gt;"","خرید سبد",IF($N942&lt;&gt;"",IF(N(INDEX(CalcDepB,$N942))&gt;0,"دریافت بانکی","پرداخت بانکی"),""))</f>
        <v/>
      </c>
      <c r="D942" s="27">
        <f>IF($M942&lt;&gt;"",IF(INDEX(CalcDocA,$M942)="","—",INDEX(CalcDocA,$M942)),IF($N942&lt;&gt;"",INDEX(CalcBankB,$N942),""))</f>
        <v/>
      </c>
      <c r="E942" s="28">
        <f>IF($N942&lt;&gt;"",IF(INDEX(CalcDepB,$N942)=0,"",INDEX(CalcDepB,$N942)),"")</f>
        <v/>
      </c>
      <c r="F942" s="28">
        <f>IF($M942&lt;&gt;"",IF(INDEX(CalcQtyA,$M942)=0,"",INDEX(CalcQtyA,$M942)),"")</f>
        <v/>
      </c>
      <c r="G942" s="28">
        <f>IF($M942&lt;&gt;"",IF(INDEX(CalcPriceA,$M942)=0,"",INDEX(CalcPriceA,$M942)),"")</f>
        <v/>
      </c>
      <c r="H942" s="28">
        <f>IF($N942&lt;&gt;"",IF(INDEX(CalcWitB,$N942)=0,"",INDEX(CalcWitB,$N942)),"")</f>
        <v/>
      </c>
      <c r="I942" s="29">
        <f>IF($M942&lt;&gt;"",INDEX(CalcAmtA,$M942),"")</f>
        <v/>
      </c>
      <c r="J942" s="29">
        <f>IF($B942="","",IF($J941="",$C$8,$J941)+IF($I942="",0,$I942)+IF($E942="",0,$E942)-IF($H942="",0,$H942))</f>
        <v/>
      </c>
      <c r="K942" s="30">
        <f>IF($M942&lt;&gt;"",IF(INDEX(CalcNoteA,$M942)="","—",INDEX(CalcNoteA,$M942)),IF($N942&lt;&gt;"",IF(INDEX(CalcNoteB,$N942)="","—",INDEX(CalcNoteB,$N942)),""))</f>
        <v/>
      </c>
      <c r="M942">
        <f>IFERROR(MATCH($C$5&amp;"|"&amp;RIGHT("000000"&amp;926,6),CalcRankKeyA,0),"")</f>
        <v/>
      </c>
      <c r="N942">
        <f>IFERROR(MATCH($C$5&amp;"|"&amp;RIGHT("000000"&amp;926,6),CalcRankKeyB,0),"")</f>
        <v/>
      </c>
    </row>
    <row r="943">
      <c r="A943" s="21" t="n">
        <v>927</v>
      </c>
      <c r="B943" s="22">
        <f>IF(AND($M943="",$N943=""),"",IF($M943&lt;&gt;"",INDEX(CalcDateA,$M943),INDEX(CalcDateB,$N943)))</f>
        <v/>
      </c>
      <c r="C943" s="22">
        <f>IF($M943&lt;&gt;"","خرید سبد",IF($N943&lt;&gt;"",IF(N(INDEX(CalcDepB,$N943))&gt;0,"دریافت بانکی","پرداخت بانکی"),""))</f>
        <v/>
      </c>
      <c r="D943" s="22">
        <f>IF($M943&lt;&gt;"",IF(INDEX(CalcDocA,$M943)="","—",INDEX(CalcDocA,$M943)),IF($N943&lt;&gt;"",INDEX(CalcBankB,$N943),""))</f>
        <v/>
      </c>
      <c r="E943" s="23">
        <f>IF($N943&lt;&gt;"",IF(INDEX(CalcDepB,$N943)=0,"",INDEX(CalcDepB,$N943)),"")</f>
        <v/>
      </c>
      <c r="F943" s="23">
        <f>IF($M943&lt;&gt;"",IF(INDEX(CalcQtyA,$M943)=0,"",INDEX(CalcQtyA,$M943)),"")</f>
        <v/>
      </c>
      <c r="G943" s="23">
        <f>IF($M943&lt;&gt;"",IF(INDEX(CalcPriceA,$M943)=0,"",INDEX(CalcPriceA,$M943)),"")</f>
        <v/>
      </c>
      <c r="H943" s="23">
        <f>IF($N943&lt;&gt;"",IF(INDEX(CalcWitB,$N943)=0,"",INDEX(CalcWitB,$N943)),"")</f>
        <v/>
      </c>
      <c r="I943" s="24">
        <f>IF($M943&lt;&gt;"",INDEX(CalcAmtA,$M943),"")</f>
        <v/>
      </c>
      <c r="J943" s="24">
        <f>IF($B943="","",IF($J942="",$C$8,$J942)+IF($I943="",0,$I943)+IF($E943="",0,$E943)-IF($H943="",0,$H943))</f>
        <v/>
      </c>
      <c r="K943" s="25">
        <f>IF($M943&lt;&gt;"",IF(INDEX(CalcNoteA,$M943)="","—",INDEX(CalcNoteA,$M943)),IF($N943&lt;&gt;"",IF(INDEX(CalcNoteB,$N943)="","—",INDEX(CalcNoteB,$N943)),""))</f>
        <v/>
      </c>
      <c r="M943">
        <f>IFERROR(MATCH($C$5&amp;"|"&amp;RIGHT("000000"&amp;927,6),CalcRankKeyA,0),"")</f>
        <v/>
      </c>
      <c r="N943">
        <f>IFERROR(MATCH($C$5&amp;"|"&amp;RIGHT("000000"&amp;927,6),CalcRankKeyB,0),"")</f>
        <v/>
      </c>
    </row>
    <row r="944">
      <c r="A944" s="26" t="n">
        <v>928</v>
      </c>
      <c r="B944" s="27">
        <f>IF(AND($M944="",$N944=""),"",IF($M944&lt;&gt;"",INDEX(CalcDateA,$M944),INDEX(CalcDateB,$N944)))</f>
        <v/>
      </c>
      <c r="C944" s="27">
        <f>IF($M944&lt;&gt;"","خرید سبد",IF($N944&lt;&gt;"",IF(N(INDEX(CalcDepB,$N944))&gt;0,"دریافت بانکی","پرداخت بانکی"),""))</f>
        <v/>
      </c>
      <c r="D944" s="27">
        <f>IF($M944&lt;&gt;"",IF(INDEX(CalcDocA,$M944)="","—",INDEX(CalcDocA,$M944)),IF($N944&lt;&gt;"",INDEX(CalcBankB,$N944),""))</f>
        <v/>
      </c>
      <c r="E944" s="28">
        <f>IF($N944&lt;&gt;"",IF(INDEX(CalcDepB,$N944)=0,"",INDEX(CalcDepB,$N944)),"")</f>
        <v/>
      </c>
      <c r="F944" s="28">
        <f>IF($M944&lt;&gt;"",IF(INDEX(CalcQtyA,$M944)=0,"",INDEX(CalcQtyA,$M944)),"")</f>
        <v/>
      </c>
      <c r="G944" s="28">
        <f>IF($M944&lt;&gt;"",IF(INDEX(CalcPriceA,$M944)=0,"",INDEX(CalcPriceA,$M944)),"")</f>
        <v/>
      </c>
      <c r="H944" s="28">
        <f>IF($N944&lt;&gt;"",IF(INDEX(CalcWitB,$N944)=0,"",INDEX(CalcWitB,$N944)),"")</f>
        <v/>
      </c>
      <c r="I944" s="29">
        <f>IF($M944&lt;&gt;"",INDEX(CalcAmtA,$M944),"")</f>
        <v/>
      </c>
      <c r="J944" s="29">
        <f>IF($B944="","",IF($J943="",$C$8,$J943)+IF($I944="",0,$I944)+IF($E944="",0,$E944)-IF($H944="",0,$H944))</f>
        <v/>
      </c>
      <c r="K944" s="30">
        <f>IF($M944&lt;&gt;"",IF(INDEX(CalcNoteA,$M944)="","—",INDEX(CalcNoteA,$M944)),IF($N944&lt;&gt;"",IF(INDEX(CalcNoteB,$N944)="","—",INDEX(CalcNoteB,$N944)),""))</f>
        <v/>
      </c>
      <c r="M944">
        <f>IFERROR(MATCH($C$5&amp;"|"&amp;RIGHT("000000"&amp;928,6),CalcRankKeyA,0),"")</f>
        <v/>
      </c>
      <c r="N944">
        <f>IFERROR(MATCH($C$5&amp;"|"&amp;RIGHT("000000"&amp;928,6),CalcRankKeyB,0),"")</f>
        <v/>
      </c>
    </row>
    <row r="945">
      <c r="A945" s="21" t="n">
        <v>929</v>
      </c>
      <c r="B945" s="22">
        <f>IF(AND($M945="",$N945=""),"",IF($M945&lt;&gt;"",INDEX(CalcDateA,$M945),INDEX(CalcDateB,$N945)))</f>
        <v/>
      </c>
      <c r="C945" s="22">
        <f>IF($M945&lt;&gt;"","خرید سبد",IF($N945&lt;&gt;"",IF(N(INDEX(CalcDepB,$N945))&gt;0,"دریافت بانکی","پرداخت بانکی"),""))</f>
        <v/>
      </c>
      <c r="D945" s="22">
        <f>IF($M945&lt;&gt;"",IF(INDEX(CalcDocA,$M945)="","—",INDEX(CalcDocA,$M945)),IF($N945&lt;&gt;"",INDEX(CalcBankB,$N945),""))</f>
        <v/>
      </c>
      <c r="E945" s="23">
        <f>IF($N945&lt;&gt;"",IF(INDEX(CalcDepB,$N945)=0,"",INDEX(CalcDepB,$N945)),"")</f>
        <v/>
      </c>
      <c r="F945" s="23">
        <f>IF($M945&lt;&gt;"",IF(INDEX(CalcQtyA,$M945)=0,"",INDEX(CalcQtyA,$M945)),"")</f>
        <v/>
      </c>
      <c r="G945" s="23">
        <f>IF($M945&lt;&gt;"",IF(INDEX(CalcPriceA,$M945)=0,"",INDEX(CalcPriceA,$M945)),"")</f>
        <v/>
      </c>
      <c r="H945" s="23">
        <f>IF($N945&lt;&gt;"",IF(INDEX(CalcWitB,$N945)=0,"",INDEX(CalcWitB,$N945)),"")</f>
        <v/>
      </c>
      <c r="I945" s="24">
        <f>IF($M945&lt;&gt;"",INDEX(CalcAmtA,$M945),"")</f>
        <v/>
      </c>
      <c r="J945" s="24">
        <f>IF($B945="","",IF($J944="",$C$8,$J944)+IF($I945="",0,$I945)+IF($E945="",0,$E945)-IF($H945="",0,$H945))</f>
        <v/>
      </c>
      <c r="K945" s="25">
        <f>IF($M945&lt;&gt;"",IF(INDEX(CalcNoteA,$M945)="","—",INDEX(CalcNoteA,$M945)),IF($N945&lt;&gt;"",IF(INDEX(CalcNoteB,$N945)="","—",INDEX(CalcNoteB,$N945)),""))</f>
        <v/>
      </c>
      <c r="M945">
        <f>IFERROR(MATCH($C$5&amp;"|"&amp;RIGHT("000000"&amp;929,6),CalcRankKeyA,0),"")</f>
        <v/>
      </c>
      <c r="N945">
        <f>IFERROR(MATCH($C$5&amp;"|"&amp;RIGHT("000000"&amp;929,6),CalcRankKeyB,0),"")</f>
        <v/>
      </c>
    </row>
    <row r="946">
      <c r="A946" s="26" t="n">
        <v>930</v>
      </c>
      <c r="B946" s="27">
        <f>IF(AND($M946="",$N946=""),"",IF($M946&lt;&gt;"",INDEX(CalcDateA,$M946),INDEX(CalcDateB,$N946)))</f>
        <v/>
      </c>
      <c r="C946" s="27">
        <f>IF($M946&lt;&gt;"","خرید سبد",IF($N946&lt;&gt;"",IF(N(INDEX(CalcDepB,$N946))&gt;0,"دریافت بانکی","پرداخت بانکی"),""))</f>
        <v/>
      </c>
      <c r="D946" s="27">
        <f>IF($M946&lt;&gt;"",IF(INDEX(CalcDocA,$M946)="","—",INDEX(CalcDocA,$M946)),IF($N946&lt;&gt;"",INDEX(CalcBankB,$N946),""))</f>
        <v/>
      </c>
      <c r="E946" s="28">
        <f>IF($N946&lt;&gt;"",IF(INDEX(CalcDepB,$N946)=0,"",INDEX(CalcDepB,$N946)),"")</f>
        <v/>
      </c>
      <c r="F946" s="28">
        <f>IF($M946&lt;&gt;"",IF(INDEX(CalcQtyA,$M946)=0,"",INDEX(CalcQtyA,$M946)),"")</f>
        <v/>
      </c>
      <c r="G946" s="28">
        <f>IF($M946&lt;&gt;"",IF(INDEX(CalcPriceA,$M946)=0,"",INDEX(CalcPriceA,$M946)),"")</f>
        <v/>
      </c>
      <c r="H946" s="28">
        <f>IF($N946&lt;&gt;"",IF(INDEX(CalcWitB,$N946)=0,"",INDEX(CalcWitB,$N946)),"")</f>
        <v/>
      </c>
      <c r="I946" s="29">
        <f>IF($M946&lt;&gt;"",INDEX(CalcAmtA,$M946),"")</f>
        <v/>
      </c>
      <c r="J946" s="29">
        <f>IF($B946="","",IF($J945="",$C$8,$J945)+IF($I946="",0,$I946)+IF($E946="",0,$E946)-IF($H946="",0,$H946))</f>
        <v/>
      </c>
      <c r="K946" s="30">
        <f>IF($M946&lt;&gt;"",IF(INDEX(CalcNoteA,$M946)="","—",INDEX(CalcNoteA,$M946)),IF($N946&lt;&gt;"",IF(INDEX(CalcNoteB,$N946)="","—",INDEX(CalcNoteB,$N946)),""))</f>
        <v/>
      </c>
      <c r="M946">
        <f>IFERROR(MATCH($C$5&amp;"|"&amp;RIGHT("000000"&amp;930,6),CalcRankKeyA,0),"")</f>
        <v/>
      </c>
      <c r="N946">
        <f>IFERROR(MATCH($C$5&amp;"|"&amp;RIGHT("000000"&amp;930,6),CalcRankKeyB,0),"")</f>
        <v/>
      </c>
    </row>
    <row r="947">
      <c r="A947" s="21" t="n">
        <v>931</v>
      </c>
      <c r="B947" s="22">
        <f>IF(AND($M947="",$N947=""),"",IF($M947&lt;&gt;"",INDEX(CalcDateA,$M947),INDEX(CalcDateB,$N947)))</f>
        <v/>
      </c>
      <c r="C947" s="22">
        <f>IF($M947&lt;&gt;"","خرید سبد",IF($N947&lt;&gt;"",IF(N(INDEX(CalcDepB,$N947))&gt;0,"دریافت بانکی","پرداخت بانکی"),""))</f>
        <v/>
      </c>
      <c r="D947" s="22">
        <f>IF($M947&lt;&gt;"",IF(INDEX(CalcDocA,$M947)="","—",INDEX(CalcDocA,$M947)),IF($N947&lt;&gt;"",INDEX(CalcBankB,$N947),""))</f>
        <v/>
      </c>
      <c r="E947" s="23">
        <f>IF($N947&lt;&gt;"",IF(INDEX(CalcDepB,$N947)=0,"",INDEX(CalcDepB,$N947)),"")</f>
        <v/>
      </c>
      <c r="F947" s="23">
        <f>IF($M947&lt;&gt;"",IF(INDEX(CalcQtyA,$M947)=0,"",INDEX(CalcQtyA,$M947)),"")</f>
        <v/>
      </c>
      <c r="G947" s="23">
        <f>IF($M947&lt;&gt;"",IF(INDEX(CalcPriceA,$M947)=0,"",INDEX(CalcPriceA,$M947)),"")</f>
        <v/>
      </c>
      <c r="H947" s="23">
        <f>IF($N947&lt;&gt;"",IF(INDEX(CalcWitB,$N947)=0,"",INDEX(CalcWitB,$N947)),"")</f>
        <v/>
      </c>
      <c r="I947" s="24">
        <f>IF($M947&lt;&gt;"",INDEX(CalcAmtA,$M947),"")</f>
        <v/>
      </c>
      <c r="J947" s="24">
        <f>IF($B947="","",IF($J946="",$C$8,$J946)+IF($I947="",0,$I947)+IF($E947="",0,$E947)-IF($H947="",0,$H947))</f>
        <v/>
      </c>
      <c r="K947" s="25">
        <f>IF($M947&lt;&gt;"",IF(INDEX(CalcNoteA,$M947)="","—",INDEX(CalcNoteA,$M947)),IF($N947&lt;&gt;"",IF(INDEX(CalcNoteB,$N947)="","—",INDEX(CalcNoteB,$N947)),""))</f>
        <v/>
      </c>
      <c r="M947">
        <f>IFERROR(MATCH($C$5&amp;"|"&amp;RIGHT("000000"&amp;931,6),CalcRankKeyA,0),"")</f>
        <v/>
      </c>
      <c r="N947">
        <f>IFERROR(MATCH($C$5&amp;"|"&amp;RIGHT("000000"&amp;931,6),CalcRankKeyB,0),"")</f>
        <v/>
      </c>
    </row>
    <row r="948">
      <c r="A948" s="26" t="n">
        <v>932</v>
      </c>
      <c r="B948" s="27">
        <f>IF(AND($M948="",$N948=""),"",IF($M948&lt;&gt;"",INDEX(CalcDateA,$M948),INDEX(CalcDateB,$N948)))</f>
        <v/>
      </c>
      <c r="C948" s="27">
        <f>IF($M948&lt;&gt;"","خرید سبد",IF($N948&lt;&gt;"",IF(N(INDEX(CalcDepB,$N948))&gt;0,"دریافت بانکی","پرداخت بانکی"),""))</f>
        <v/>
      </c>
      <c r="D948" s="27">
        <f>IF($M948&lt;&gt;"",IF(INDEX(CalcDocA,$M948)="","—",INDEX(CalcDocA,$M948)),IF($N948&lt;&gt;"",INDEX(CalcBankB,$N948),""))</f>
        <v/>
      </c>
      <c r="E948" s="28">
        <f>IF($N948&lt;&gt;"",IF(INDEX(CalcDepB,$N948)=0,"",INDEX(CalcDepB,$N948)),"")</f>
        <v/>
      </c>
      <c r="F948" s="28">
        <f>IF($M948&lt;&gt;"",IF(INDEX(CalcQtyA,$M948)=0,"",INDEX(CalcQtyA,$M948)),"")</f>
        <v/>
      </c>
      <c r="G948" s="28">
        <f>IF($M948&lt;&gt;"",IF(INDEX(CalcPriceA,$M948)=0,"",INDEX(CalcPriceA,$M948)),"")</f>
        <v/>
      </c>
      <c r="H948" s="28">
        <f>IF($N948&lt;&gt;"",IF(INDEX(CalcWitB,$N948)=0,"",INDEX(CalcWitB,$N948)),"")</f>
        <v/>
      </c>
      <c r="I948" s="29">
        <f>IF($M948&lt;&gt;"",INDEX(CalcAmtA,$M948),"")</f>
        <v/>
      </c>
      <c r="J948" s="29">
        <f>IF($B948="","",IF($J947="",$C$8,$J947)+IF($I948="",0,$I948)+IF($E948="",0,$E948)-IF($H948="",0,$H948))</f>
        <v/>
      </c>
      <c r="K948" s="30">
        <f>IF($M948&lt;&gt;"",IF(INDEX(CalcNoteA,$M948)="","—",INDEX(CalcNoteA,$M948)),IF($N948&lt;&gt;"",IF(INDEX(CalcNoteB,$N948)="","—",INDEX(CalcNoteB,$N948)),""))</f>
        <v/>
      </c>
      <c r="M948">
        <f>IFERROR(MATCH($C$5&amp;"|"&amp;RIGHT("000000"&amp;932,6),CalcRankKeyA,0),"")</f>
        <v/>
      </c>
      <c r="N948">
        <f>IFERROR(MATCH($C$5&amp;"|"&amp;RIGHT("000000"&amp;932,6),CalcRankKeyB,0),"")</f>
        <v/>
      </c>
    </row>
    <row r="949">
      <c r="A949" s="21" t="n">
        <v>933</v>
      </c>
      <c r="B949" s="22">
        <f>IF(AND($M949="",$N949=""),"",IF($M949&lt;&gt;"",INDEX(CalcDateA,$M949),INDEX(CalcDateB,$N949)))</f>
        <v/>
      </c>
      <c r="C949" s="22">
        <f>IF($M949&lt;&gt;"","خرید سبد",IF($N949&lt;&gt;"",IF(N(INDEX(CalcDepB,$N949))&gt;0,"دریافت بانکی","پرداخت بانکی"),""))</f>
        <v/>
      </c>
      <c r="D949" s="22">
        <f>IF($M949&lt;&gt;"",IF(INDEX(CalcDocA,$M949)="","—",INDEX(CalcDocA,$M949)),IF($N949&lt;&gt;"",INDEX(CalcBankB,$N949),""))</f>
        <v/>
      </c>
      <c r="E949" s="23">
        <f>IF($N949&lt;&gt;"",IF(INDEX(CalcDepB,$N949)=0,"",INDEX(CalcDepB,$N949)),"")</f>
        <v/>
      </c>
      <c r="F949" s="23">
        <f>IF($M949&lt;&gt;"",IF(INDEX(CalcQtyA,$M949)=0,"",INDEX(CalcQtyA,$M949)),"")</f>
        <v/>
      </c>
      <c r="G949" s="23">
        <f>IF($M949&lt;&gt;"",IF(INDEX(CalcPriceA,$M949)=0,"",INDEX(CalcPriceA,$M949)),"")</f>
        <v/>
      </c>
      <c r="H949" s="23">
        <f>IF($N949&lt;&gt;"",IF(INDEX(CalcWitB,$N949)=0,"",INDEX(CalcWitB,$N949)),"")</f>
        <v/>
      </c>
      <c r="I949" s="24">
        <f>IF($M949&lt;&gt;"",INDEX(CalcAmtA,$M949),"")</f>
        <v/>
      </c>
      <c r="J949" s="24">
        <f>IF($B949="","",IF($J948="",$C$8,$J948)+IF($I949="",0,$I949)+IF($E949="",0,$E949)-IF($H949="",0,$H949))</f>
        <v/>
      </c>
      <c r="K949" s="25">
        <f>IF($M949&lt;&gt;"",IF(INDEX(CalcNoteA,$M949)="","—",INDEX(CalcNoteA,$M949)),IF($N949&lt;&gt;"",IF(INDEX(CalcNoteB,$N949)="","—",INDEX(CalcNoteB,$N949)),""))</f>
        <v/>
      </c>
      <c r="M949">
        <f>IFERROR(MATCH($C$5&amp;"|"&amp;RIGHT("000000"&amp;933,6),CalcRankKeyA,0),"")</f>
        <v/>
      </c>
      <c r="N949">
        <f>IFERROR(MATCH($C$5&amp;"|"&amp;RIGHT("000000"&amp;933,6),CalcRankKeyB,0),"")</f>
        <v/>
      </c>
    </row>
    <row r="950">
      <c r="A950" s="26" t="n">
        <v>934</v>
      </c>
      <c r="B950" s="27">
        <f>IF(AND($M950="",$N950=""),"",IF($M950&lt;&gt;"",INDEX(CalcDateA,$M950),INDEX(CalcDateB,$N950)))</f>
        <v/>
      </c>
      <c r="C950" s="27">
        <f>IF($M950&lt;&gt;"","خرید سبد",IF($N950&lt;&gt;"",IF(N(INDEX(CalcDepB,$N950))&gt;0,"دریافت بانکی","پرداخت بانکی"),""))</f>
        <v/>
      </c>
      <c r="D950" s="27">
        <f>IF($M950&lt;&gt;"",IF(INDEX(CalcDocA,$M950)="","—",INDEX(CalcDocA,$M950)),IF($N950&lt;&gt;"",INDEX(CalcBankB,$N950),""))</f>
        <v/>
      </c>
      <c r="E950" s="28">
        <f>IF($N950&lt;&gt;"",IF(INDEX(CalcDepB,$N950)=0,"",INDEX(CalcDepB,$N950)),"")</f>
        <v/>
      </c>
      <c r="F950" s="28">
        <f>IF($M950&lt;&gt;"",IF(INDEX(CalcQtyA,$M950)=0,"",INDEX(CalcQtyA,$M950)),"")</f>
        <v/>
      </c>
      <c r="G950" s="28">
        <f>IF($M950&lt;&gt;"",IF(INDEX(CalcPriceA,$M950)=0,"",INDEX(CalcPriceA,$M950)),"")</f>
        <v/>
      </c>
      <c r="H950" s="28">
        <f>IF($N950&lt;&gt;"",IF(INDEX(CalcWitB,$N950)=0,"",INDEX(CalcWitB,$N950)),"")</f>
        <v/>
      </c>
      <c r="I950" s="29">
        <f>IF($M950&lt;&gt;"",INDEX(CalcAmtA,$M950),"")</f>
        <v/>
      </c>
      <c r="J950" s="29">
        <f>IF($B950="","",IF($J949="",$C$8,$J949)+IF($I950="",0,$I950)+IF($E950="",0,$E950)-IF($H950="",0,$H950))</f>
        <v/>
      </c>
      <c r="K950" s="30">
        <f>IF($M950&lt;&gt;"",IF(INDEX(CalcNoteA,$M950)="","—",INDEX(CalcNoteA,$M950)),IF($N950&lt;&gt;"",IF(INDEX(CalcNoteB,$N950)="","—",INDEX(CalcNoteB,$N950)),""))</f>
        <v/>
      </c>
      <c r="M950">
        <f>IFERROR(MATCH($C$5&amp;"|"&amp;RIGHT("000000"&amp;934,6),CalcRankKeyA,0),"")</f>
        <v/>
      </c>
      <c r="N950">
        <f>IFERROR(MATCH($C$5&amp;"|"&amp;RIGHT("000000"&amp;934,6),CalcRankKeyB,0),"")</f>
        <v/>
      </c>
    </row>
    <row r="951">
      <c r="A951" s="21" t="n">
        <v>935</v>
      </c>
      <c r="B951" s="22">
        <f>IF(AND($M951="",$N951=""),"",IF($M951&lt;&gt;"",INDEX(CalcDateA,$M951),INDEX(CalcDateB,$N951)))</f>
        <v/>
      </c>
      <c r="C951" s="22">
        <f>IF($M951&lt;&gt;"","خرید سبد",IF($N951&lt;&gt;"",IF(N(INDEX(CalcDepB,$N951))&gt;0,"دریافت بانکی","پرداخت بانکی"),""))</f>
        <v/>
      </c>
      <c r="D951" s="22">
        <f>IF($M951&lt;&gt;"",IF(INDEX(CalcDocA,$M951)="","—",INDEX(CalcDocA,$M951)),IF($N951&lt;&gt;"",INDEX(CalcBankB,$N951),""))</f>
        <v/>
      </c>
      <c r="E951" s="23">
        <f>IF($N951&lt;&gt;"",IF(INDEX(CalcDepB,$N951)=0,"",INDEX(CalcDepB,$N951)),"")</f>
        <v/>
      </c>
      <c r="F951" s="23">
        <f>IF($M951&lt;&gt;"",IF(INDEX(CalcQtyA,$M951)=0,"",INDEX(CalcQtyA,$M951)),"")</f>
        <v/>
      </c>
      <c r="G951" s="23">
        <f>IF($M951&lt;&gt;"",IF(INDEX(CalcPriceA,$M951)=0,"",INDEX(CalcPriceA,$M951)),"")</f>
        <v/>
      </c>
      <c r="H951" s="23">
        <f>IF($N951&lt;&gt;"",IF(INDEX(CalcWitB,$N951)=0,"",INDEX(CalcWitB,$N951)),"")</f>
        <v/>
      </c>
      <c r="I951" s="24">
        <f>IF($M951&lt;&gt;"",INDEX(CalcAmtA,$M951),"")</f>
        <v/>
      </c>
      <c r="J951" s="24">
        <f>IF($B951="","",IF($J950="",$C$8,$J950)+IF($I951="",0,$I951)+IF($E951="",0,$E951)-IF($H951="",0,$H951))</f>
        <v/>
      </c>
      <c r="K951" s="25">
        <f>IF($M951&lt;&gt;"",IF(INDEX(CalcNoteA,$M951)="","—",INDEX(CalcNoteA,$M951)),IF($N951&lt;&gt;"",IF(INDEX(CalcNoteB,$N951)="","—",INDEX(CalcNoteB,$N951)),""))</f>
        <v/>
      </c>
      <c r="M951">
        <f>IFERROR(MATCH($C$5&amp;"|"&amp;RIGHT("000000"&amp;935,6),CalcRankKeyA,0),"")</f>
        <v/>
      </c>
      <c r="N951">
        <f>IFERROR(MATCH($C$5&amp;"|"&amp;RIGHT("000000"&amp;935,6),CalcRankKeyB,0),"")</f>
        <v/>
      </c>
    </row>
    <row r="952">
      <c r="A952" s="26" t="n">
        <v>936</v>
      </c>
      <c r="B952" s="27">
        <f>IF(AND($M952="",$N952=""),"",IF($M952&lt;&gt;"",INDEX(CalcDateA,$M952),INDEX(CalcDateB,$N952)))</f>
        <v/>
      </c>
      <c r="C952" s="27">
        <f>IF($M952&lt;&gt;"","خرید سبد",IF($N952&lt;&gt;"",IF(N(INDEX(CalcDepB,$N952))&gt;0,"دریافت بانکی","پرداخت بانکی"),""))</f>
        <v/>
      </c>
      <c r="D952" s="27">
        <f>IF($M952&lt;&gt;"",IF(INDEX(CalcDocA,$M952)="","—",INDEX(CalcDocA,$M952)),IF($N952&lt;&gt;"",INDEX(CalcBankB,$N952),""))</f>
        <v/>
      </c>
      <c r="E952" s="28">
        <f>IF($N952&lt;&gt;"",IF(INDEX(CalcDepB,$N952)=0,"",INDEX(CalcDepB,$N952)),"")</f>
        <v/>
      </c>
      <c r="F952" s="28">
        <f>IF($M952&lt;&gt;"",IF(INDEX(CalcQtyA,$M952)=0,"",INDEX(CalcQtyA,$M952)),"")</f>
        <v/>
      </c>
      <c r="G952" s="28">
        <f>IF($M952&lt;&gt;"",IF(INDEX(CalcPriceA,$M952)=0,"",INDEX(CalcPriceA,$M952)),"")</f>
        <v/>
      </c>
      <c r="H952" s="28">
        <f>IF($N952&lt;&gt;"",IF(INDEX(CalcWitB,$N952)=0,"",INDEX(CalcWitB,$N952)),"")</f>
        <v/>
      </c>
      <c r="I952" s="29">
        <f>IF($M952&lt;&gt;"",INDEX(CalcAmtA,$M952),"")</f>
        <v/>
      </c>
      <c r="J952" s="29">
        <f>IF($B952="","",IF($J951="",$C$8,$J951)+IF($I952="",0,$I952)+IF($E952="",0,$E952)-IF($H952="",0,$H952))</f>
        <v/>
      </c>
      <c r="K952" s="30">
        <f>IF($M952&lt;&gt;"",IF(INDEX(CalcNoteA,$M952)="","—",INDEX(CalcNoteA,$M952)),IF($N952&lt;&gt;"",IF(INDEX(CalcNoteB,$N952)="","—",INDEX(CalcNoteB,$N952)),""))</f>
        <v/>
      </c>
      <c r="M952">
        <f>IFERROR(MATCH($C$5&amp;"|"&amp;RIGHT("000000"&amp;936,6),CalcRankKeyA,0),"")</f>
        <v/>
      </c>
      <c r="N952">
        <f>IFERROR(MATCH($C$5&amp;"|"&amp;RIGHT("000000"&amp;936,6),CalcRankKeyB,0),"")</f>
        <v/>
      </c>
    </row>
    <row r="953">
      <c r="A953" s="21" t="n">
        <v>937</v>
      </c>
      <c r="B953" s="22">
        <f>IF(AND($M953="",$N953=""),"",IF($M953&lt;&gt;"",INDEX(CalcDateA,$M953),INDEX(CalcDateB,$N953)))</f>
        <v/>
      </c>
      <c r="C953" s="22">
        <f>IF($M953&lt;&gt;"","خرید سبد",IF($N953&lt;&gt;"",IF(N(INDEX(CalcDepB,$N953))&gt;0,"دریافت بانکی","پرداخت بانکی"),""))</f>
        <v/>
      </c>
      <c r="D953" s="22">
        <f>IF($M953&lt;&gt;"",IF(INDEX(CalcDocA,$M953)="","—",INDEX(CalcDocA,$M953)),IF($N953&lt;&gt;"",INDEX(CalcBankB,$N953),""))</f>
        <v/>
      </c>
      <c r="E953" s="23">
        <f>IF($N953&lt;&gt;"",IF(INDEX(CalcDepB,$N953)=0,"",INDEX(CalcDepB,$N953)),"")</f>
        <v/>
      </c>
      <c r="F953" s="23">
        <f>IF($M953&lt;&gt;"",IF(INDEX(CalcQtyA,$M953)=0,"",INDEX(CalcQtyA,$M953)),"")</f>
        <v/>
      </c>
      <c r="G953" s="23">
        <f>IF($M953&lt;&gt;"",IF(INDEX(CalcPriceA,$M953)=0,"",INDEX(CalcPriceA,$M953)),"")</f>
        <v/>
      </c>
      <c r="H953" s="23">
        <f>IF($N953&lt;&gt;"",IF(INDEX(CalcWitB,$N953)=0,"",INDEX(CalcWitB,$N953)),"")</f>
        <v/>
      </c>
      <c r="I953" s="24">
        <f>IF($M953&lt;&gt;"",INDEX(CalcAmtA,$M953),"")</f>
        <v/>
      </c>
      <c r="J953" s="24">
        <f>IF($B953="","",IF($J952="",$C$8,$J952)+IF($I953="",0,$I953)+IF($E953="",0,$E953)-IF($H953="",0,$H953))</f>
        <v/>
      </c>
      <c r="K953" s="25">
        <f>IF($M953&lt;&gt;"",IF(INDEX(CalcNoteA,$M953)="","—",INDEX(CalcNoteA,$M953)),IF($N953&lt;&gt;"",IF(INDEX(CalcNoteB,$N953)="","—",INDEX(CalcNoteB,$N953)),""))</f>
        <v/>
      </c>
      <c r="M953">
        <f>IFERROR(MATCH($C$5&amp;"|"&amp;RIGHT("000000"&amp;937,6),CalcRankKeyA,0),"")</f>
        <v/>
      </c>
      <c r="N953">
        <f>IFERROR(MATCH($C$5&amp;"|"&amp;RIGHT("000000"&amp;937,6),CalcRankKeyB,0),"")</f>
        <v/>
      </c>
    </row>
    <row r="954">
      <c r="A954" s="26" t="n">
        <v>938</v>
      </c>
      <c r="B954" s="27">
        <f>IF(AND($M954="",$N954=""),"",IF($M954&lt;&gt;"",INDEX(CalcDateA,$M954),INDEX(CalcDateB,$N954)))</f>
        <v/>
      </c>
      <c r="C954" s="27">
        <f>IF($M954&lt;&gt;"","خرید سبد",IF($N954&lt;&gt;"",IF(N(INDEX(CalcDepB,$N954))&gt;0,"دریافت بانکی","پرداخت بانکی"),""))</f>
        <v/>
      </c>
      <c r="D954" s="27">
        <f>IF($M954&lt;&gt;"",IF(INDEX(CalcDocA,$M954)="","—",INDEX(CalcDocA,$M954)),IF($N954&lt;&gt;"",INDEX(CalcBankB,$N954),""))</f>
        <v/>
      </c>
      <c r="E954" s="28">
        <f>IF($N954&lt;&gt;"",IF(INDEX(CalcDepB,$N954)=0,"",INDEX(CalcDepB,$N954)),"")</f>
        <v/>
      </c>
      <c r="F954" s="28">
        <f>IF($M954&lt;&gt;"",IF(INDEX(CalcQtyA,$M954)=0,"",INDEX(CalcQtyA,$M954)),"")</f>
        <v/>
      </c>
      <c r="G954" s="28">
        <f>IF($M954&lt;&gt;"",IF(INDEX(CalcPriceA,$M954)=0,"",INDEX(CalcPriceA,$M954)),"")</f>
        <v/>
      </c>
      <c r="H954" s="28">
        <f>IF($N954&lt;&gt;"",IF(INDEX(CalcWitB,$N954)=0,"",INDEX(CalcWitB,$N954)),"")</f>
        <v/>
      </c>
      <c r="I954" s="29">
        <f>IF($M954&lt;&gt;"",INDEX(CalcAmtA,$M954),"")</f>
        <v/>
      </c>
      <c r="J954" s="29">
        <f>IF($B954="","",IF($J953="",$C$8,$J953)+IF($I954="",0,$I954)+IF($E954="",0,$E954)-IF($H954="",0,$H954))</f>
        <v/>
      </c>
      <c r="K954" s="30">
        <f>IF($M954&lt;&gt;"",IF(INDEX(CalcNoteA,$M954)="","—",INDEX(CalcNoteA,$M954)),IF($N954&lt;&gt;"",IF(INDEX(CalcNoteB,$N954)="","—",INDEX(CalcNoteB,$N954)),""))</f>
        <v/>
      </c>
      <c r="M954">
        <f>IFERROR(MATCH($C$5&amp;"|"&amp;RIGHT("000000"&amp;938,6),CalcRankKeyA,0),"")</f>
        <v/>
      </c>
      <c r="N954">
        <f>IFERROR(MATCH($C$5&amp;"|"&amp;RIGHT("000000"&amp;938,6),CalcRankKeyB,0),"")</f>
        <v/>
      </c>
    </row>
    <row r="955">
      <c r="A955" s="21" t="n">
        <v>939</v>
      </c>
      <c r="B955" s="22">
        <f>IF(AND($M955="",$N955=""),"",IF($M955&lt;&gt;"",INDEX(CalcDateA,$M955),INDEX(CalcDateB,$N955)))</f>
        <v/>
      </c>
      <c r="C955" s="22">
        <f>IF($M955&lt;&gt;"","خرید سبد",IF($N955&lt;&gt;"",IF(N(INDEX(CalcDepB,$N955))&gt;0,"دریافت بانکی","پرداخت بانکی"),""))</f>
        <v/>
      </c>
      <c r="D955" s="22">
        <f>IF($M955&lt;&gt;"",IF(INDEX(CalcDocA,$M955)="","—",INDEX(CalcDocA,$M955)),IF($N955&lt;&gt;"",INDEX(CalcBankB,$N955),""))</f>
        <v/>
      </c>
      <c r="E955" s="23">
        <f>IF($N955&lt;&gt;"",IF(INDEX(CalcDepB,$N955)=0,"",INDEX(CalcDepB,$N955)),"")</f>
        <v/>
      </c>
      <c r="F955" s="23">
        <f>IF($M955&lt;&gt;"",IF(INDEX(CalcQtyA,$M955)=0,"",INDEX(CalcQtyA,$M955)),"")</f>
        <v/>
      </c>
      <c r="G955" s="23">
        <f>IF($M955&lt;&gt;"",IF(INDEX(CalcPriceA,$M955)=0,"",INDEX(CalcPriceA,$M955)),"")</f>
        <v/>
      </c>
      <c r="H955" s="23">
        <f>IF($N955&lt;&gt;"",IF(INDEX(CalcWitB,$N955)=0,"",INDEX(CalcWitB,$N955)),"")</f>
        <v/>
      </c>
      <c r="I955" s="24">
        <f>IF($M955&lt;&gt;"",INDEX(CalcAmtA,$M955),"")</f>
        <v/>
      </c>
      <c r="J955" s="24">
        <f>IF($B955="","",IF($J954="",$C$8,$J954)+IF($I955="",0,$I955)+IF($E955="",0,$E955)-IF($H955="",0,$H955))</f>
        <v/>
      </c>
      <c r="K955" s="25">
        <f>IF($M955&lt;&gt;"",IF(INDEX(CalcNoteA,$M955)="","—",INDEX(CalcNoteA,$M955)),IF($N955&lt;&gt;"",IF(INDEX(CalcNoteB,$N955)="","—",INDEX(CalcNoteB,$N955)),""))</f>
        <v/>
      </c>
      <c r="M955">
        <f>IFERROR(MATCH($C$5&amp;"|"&amp;RIGHT("000000"&amp;939,6),CalcRankKeyA,0),"")</f>
        <v/>
      </c>
      <c r="N955">
        <f>IFERROR(MATCH($C$5&amp;"|"&amp;RIGHT("000000"&amp;939,6),CalcRankKeyB,0),"")</f>
        <v/>
      </c>
    </row>
    <row r="956">
      <c r="A956" s="26" t="n">
        <v>940</v>
      </c>
      <c r="B956" s="27">
        <f>IF(AND($M956="",$N956=""),"",IF($M956&lt;&gt;"",INDEX(CalcDateA,$M956),INDEX(CalcDateB,$N956)))</f>
        <v/>
      </c>
      <c r="C956" s="27">
        <f>IF($M956&lt;&gt;"","خرید سبد",IF($N956&lt;&gt;"",IF(N(INDEX(CalcDepB,$N956))&gt;0,"دریافت بانکی","پرداخت بانکی"),""))</f>
        <v/>
      </c>
      <c r="D956" s="27">
        <f>IF($M956&lt;&gt;"",IF(INDEX(CalcDocA,$M956)="","—",INDEX(CalcDocA,$M956)),IF($N956&lt;&gt;"",INDEX(CalcBankB,$N956),""))</f>
        <v/>
      </c>
      <c r="E956" s="28">
        <f>IF($N956&lt;&gt;"",IF(INDEX(CalcDepB,$N956)=0,"",INDEX(CalcDepB,$N956)),"")</f>
        <v/>
      </c>
      <c r="F956" s="28">
        <f>IF($M956&lt;&gt;"",IF(INDEX(CalcQtyA,$M956)=0,"",INDEX(CalcQtyA,$M956)),"")</f>
        <v/>
      </c>
      <c r="G956" s="28">
        <f>IF($M956&lt;&gt;"",IF(INDEX(CalcPriceA,$M956)=0,"",INDEX(CalcPriceA,$M956)),"")</f>
        <v/>
      </c>
      <c r="H956" s="28">
        <f>IF($N956&lt;&gt;"",IF(INDEX(CalcWitB,$N956)=0,"",INDEX(CalcWitB,$N956)),"")</f>
        <v/>
      </c>
      <c r="I956" s="29">
        <f>IF($M956&lt;&gt;"",INDEX(CalcAmtA,$M956),"")</f>
        <v/>
      </c>
      <c r="J956" s="29">
        <f>IF($B956="","",IF($J955="",$C$8,$J955)+IF($I956="",0,$I956)+IF($E956="",0,$E956)-IF($H956="",0,$H956))</f>
        <v/>
      </c>
      <c r="K956" s="30">
        <f>IF($M956&lt;&gt;"",IF(INDEX(CalcNoteA,$M956)="","—",INDEX(CalcNoteA,$M956)),IF($N956&lt;&gt;"",IF(INDEX(CalcNoteB,$N956)="","—",INDEX(CalcNoteB,$N956)),""))</f>
        <v/>
      </c>
      <c r="M956">
        <f>IFERROR(MATCH($C$5&amp;"|"&amp;RIGHT("000000"&amp;940,6),CalcRankKeyA,0),"")</f>
        <v/>
      </c>
      <c r="N956">
        <f>IFERROR(MATCH($C$5&amp;"|"&amp;RIGHT("000000"&amp;940,6),CalcRankKeyB,0),"")</f>
        <v/>
      </c>
    </row>
    <row r="957">
      <c r="A957" s="21" t="n">
        <v>941</v>
      </c>
      <c r="B957" s="22">
        <f>IF(AND($M957="",$N957=""),"",IF($M957&lt;&gt;"",INDEX(CalcDateA,$M957),INDEX(CalcDateB,$N957)))</f>
        <v/>
      </c>
      <c r="C957" s="22">
        <f>IF($M957&lt;&gt;"","خرید سبد",IF($N957&lt;&gt;"",IF(N(INDEX(CalcDepB,$N957))&gt;0,"دریافت بانکی","پرداخت بانکی"),""))</f>
        <v/>
      </c>
      <c r="D957" s="22">
        <f>IF($M957&lt;&gt;"",IF(INDEX(CalcDocA,$M957)="","—",INDEX(CalcDocA,$M957)),IF($N957&lt;&gt;"",INDEX(CalcBankB,$N957),""))</f>
        <v/>
      </c>
      <c r="E957" s="23">
        <f>IF($N957&lt;&gt;"",IF(INDEX(CalcDepB,$N957)=0,"",INDEX(CalcDepB,$N957)),"")</f>
        <v/>
      </c>
      <c r="F957" s="23">
        <f>IF($M957&lt;&gt;"",IF(INDEX(CalcQtyA,$M957)=0,"",INDEX(CalcQtyA,$M957)),"")</f>
        <v/>
      </c>
      <c r="G957" s="23">
        <f>IF($M957&lt;&gt;"",IF(INDEX(CalcPriceA,$M957)=0,"",INDEX(CalcPriceA,$M957)),"")</f>
        <v/>
      </c>
      <c r="H957" s="23">
        <f>IF($N957&lt;&gt;"",IF(INDEX(CalcWitB,$N957)=0,"",INDEX(CalcWitB,$N957)),"")</f>
        <v/>
      </c>
      <c r="I957" s="24">
        <f>IF($M957&lt;&gt;"",INDEX(CalcAmtA,$M957),"")</f>
        <v/>
      </c>
      <c r="J957" s="24">
        <f>IF($B957="","",IF($J956="",$C$8,$J956)+IF($I957="",0,$I957)+IF($E957="",0,$E957)-IF($H957="",0,$H957))</f>
        <v/>
      </c>
      <c r="K957" s="25">
        <f>IF($M957&lt;&gt;"",IF(INDEX(CalcNoteA,$M957)="","—",INDEX(CalcNoteA,$M957)),IF($N957&lt;&gt;"",IF(INDEX(CalcNoteB,$N957)="","—",INDEX(CalcNoteB,$N957)),""))</f>
        <v/>
      </c>
      <c r="M957">
        <f>IFERROR(MATCH($C$5&amp;"|"&amp;RIGHT("000000"&amp;941,6),CalcRankKeyA,0),"")</f>
        <v/>
      </c>
      <c r="N957">
        <f>IFERROR(MATCH($C$5&amp;"|"&amp;RIGHT("000000"&amp;941,6),CalcRankKeyB,0),"")</f>
        <v/>
      </c>
    </row>
    <row r="958">
      <c r="A958" s="26" t="n">
        <v>942</v>
      </c>
      <c r="B958" s="27">
        <f>IF(AND($M958="",$N958=""),"",IF($M958&lt;&gt;"",INDEX(CalcDateA,$M958),INDEX(CalcDateB,$N958)))</f>
        <v/>
      </c>
      <c r="C958" s="27">
        <f>IF($M958&lt;&gt;"","خرید سبد",IF($N958&lt;&gt;"",IF(N(INDEX(CalcDepB,$N958))&gt;0,"دریافت بانکی","پرداخت بانکی"),""))</f>
        <v/>
      </c>
      <c r="D958" s="27">
        <f>IF($M958&lt;&gt;"",IF(INDEX(CalcDocA,$M958)="","—",INDEX(CalcDocA,$M958)),IF($N958&lt;&gt;"",INDEX(CalcBankB,$N958),""))</f>
        <v/>
      </c>
      <c r="E958" s="28">
        <f>IF($N958&lt;&gt;"",IF(INDEX(CalcDepB,$N958)=0,"",INDEX(CalcDepB,$N958)),"")</f>
        <v/>
      </c>
      <c r="F958" s="28">
        <f>IF($M958&lt;&gt;"",IF(INDEX(CalcQtyA,$M958)=0,"",INDEX(CalcQtyA,$M958)),"")</f>
        <v/>
      </c>
      <c r="G958" s="28">
        <f>IF($M958&lt;&gt;"",IF(INDEX(CalcPriceA,$M958)=0,"",INDEX(CalcPriceA,$M958)),"")</f>
        <v/>
      </c>
      <c r="H958" s="28">
        <f>IF($N958&lt;&gt;"",IF(INDEX(CalcWitB,$N958)=0,"",INDEX(CalcWitB,$N958)),"")</f>
        <v/>
      </c>
      <c r="I958" s="29">
        <f>IF($M958&lt;&gt;"",INDEX(CalcAmtA,$M958),"")</f>
        <v/>
      </c>
      <c r="J958" s="29">
        <f>IF($B958="","",IF($J957="",$C$8,$J957)+IF($I958="",0,$I958)+IF($E958="",0,$E958)-IF($H958="",0,$H958))</f>
        <v/>
      </c>
      <c r="K958" s="30">
        <f>IF($M958&lt;&gt;"",IF(INDEX(CalcNoteA,$M958)="","—",INDEX(CalcNoteA,$M958)),IF($N958&lt;&gt;"",IF(INDEX(CalcNoteB,$N958)="","—",INDEX(CalcNoteB,$N958)),""))</f>
        <v/>
      </c>
      <c r="M958">
        <f>IFERROR(MATCH($C$5&amp;"|"&amp;RIGHT("000000"&amp;942,6),CalcRankKeyA,0),"")</f>
        <v/>
      </c>
      <c r="N958">
        <f>IFERROR(MATCH($C$5&amp;"|"&amp;RIGHT("000000"&amp;942,6),CalcRankKeyB,0),"")</f>
        <v/>
      </c>
    </row>
    <row r="959">
      <c r="A959" s="21" t="n">
        <v>943</v>
      </c>
      <c r="B959" s="22">
        <f>IF(AND($M959="",$N959=""),"",IF($M959&lt;&gt;"",INDEX(CalcDateA,$M959),INDEX(CalcDateB,$N959)))</f>
        <v/>
      </c>
      <c r="C959" s="22">
        <f>IF($M959&lt;&gt;"","خرید سبد",IF($N959&lt;&gt;"",IF(N(INDEX(CalcDepB,$N959))&gt;0,"دریافت بانکی","پرداخت بانکی"),""))</f>
        <v/>
      </c>
      <c r="D959" s="22">
        <f>IF($M959&lt;&gt;"",IF(INDEX(CalcDocA,$M959)="","—",INDEX(CalcDocA,$M959)),IF($N959&lt;&gt;"",INDEX(CalcBankB,$N959),""))</f>
        <v/>
      </c>
      <c r="E959" s="23">
        <f>IF($N959&lt;&gt;"",IF(INDEX(CalcDepB,$N959)=0,"",INDEX(CalcDepB,$N959)),"")</f>
        <v/>
      </c>
      <c r="F959" s="23">
        <f>IF($M959&lt;&gt;"",IF(INDEX(CalcQtyA,$M959)=0,"",INDEX(CalcQtyA,$M959)),"")</f>
        <v/>
      </c>
      <c r="G959" s="23">
        <f>IF($M959&lt;&gt;"",IF(INDEX(CalcPriceA,$M959)=0,"",INDEX(CalcPriceA,$M959)),"")</f>
        <v/>
      </c>
      <c r="H959" s="23">
        <f>IF($N959&lt;&gt;"",IF(INDEX(CalcWitB,$N959)=0,"",INDEX(CalcWitB,$N959)),"")</f>
        <v/>
      </c>
      <c r="I959" s="24">
        <f>IF($M959&lt;&gt;"",INDEX(CalcAmtA,$M959),"")</f>
        <v/>
      </c>
      <c r="J959" s="24">
        <f>IF($B959="","",IF($J958="",$C$8,$J958)+IF($I959="",0,$I959)+IF($E959="",0,$E959)-IF($H959="",0,$H959))</f>
        <v/>
      </c>
      <c r="K959" s="25">
        <f>IF($M959&lt;&gt;"",IF(INDEX(CalcNoteA,$M959)="","—",INDEX(CalcNoteA,$M959)),IF($N959&lt;&gt;"",IF(INDEX(CalcNoteB,$N959)="","—",INDEX(CalcNoteB,$N959)),""))</f>
        <v/>
      </c>
      <c r="M959">
        <f>IFERROR(MATCH($C$5&amp;"|"&amp;RIGHT("000000"&amp;943,6),CalcRankKeyA,0),"")</f>
        <v/>
      </c>
      <c r="N959">
        <f>IFERROR(MATCH($C$5&amp;"|"&amp;RIGHT("000000"&amp;943,6),CalcRankKeyB,0),"")</f>
        <v/>
      </c>
    </row>
    <row r="960">
      <c r="A960" s="26" t="n">
        <v>944</v>
      </c>
      <c r="B960" s="27">
        <f>IF(AND($M960="",$N960=""),"",IF($M960&lt;&gt;"",INDEX(CalcDateA,$M960),INDEX(CalcDateB,$N960)))</f>
        <v/>
      </c>
      <c r="C960" s="27">
        <f>IF($M960&lt;&gt;"","خرید سبد",IF($N960&lt;&gt;"",IF(N(INDEX(CalcDepB,$N960))&gt;0,"دریافت بانکی","پرداخت بانکی"),""))</f>
        <v/>
      </c>
      <c r="D960" s="27">
        <f>IF($M960&lt;&gt;"",IF(INDEX(CalcDocA,$M960)="","—",INDEX(CalcDocA,$M960)),IF($N960&lt;&gt;"",INDEX(CalcBankB,$N960),""))</f>
        <v/>
      </c>
      <c r="E960" s="28">
        <f>IF($N960&lt;&gt;"",IF(INDEX(CalcDepB,$N960)=0,"",INDEX(CalcDepB,$N960)),"")</f>
        <v/>
      </c>
      <c r="F960" s="28">
        <f>IF($M960&lt;&gt;"",IF(INDEX(CalcQtyA,$M960)=0,"",INDEX(CalcQtyA,$M960)),"")</f>
        <v/>
      </c>
      <c r="G960" s="28">
        <f>IF($M960&lt;&gt;"",IF(INDEX(CalcPriceA,$M960)=0,"",INDEX(CalcPriceA,$M960)),"")</f>
        <v/>
      </c>
      <c r="H960" s="28">
        <f>IF($N960&lt;&gt;"",IF(INDEX(CalcWitB,$N960)=0,"",INDEX(CalcWitB,$N960)),"")</f>
        <v/>
      </c>
      <c r="I960" s="29">
        <f>IF($M960&lt;&gt;"",INDEX(CalcAmtA,$M960),"")</f>
        <v/>
      </c>
      <c r="J960" s="29">
        <f>IF($B960="","",IF($J959="",$C$8,$J959)+IF($I960="",0,$I960)+IF($E960="",0,$E960)-IF($H960="",0,$H960))</f>
        <v/>
      </c>
      <c r="K960" s="30">
        <f>IF($M960&lt;&gt;"",IF(INDEX(CalcNoteA,$M960)="","—",INDEX(CalcNoteA,$M960)),IF($N960&lt;&gt;"",IF(INDEX(CalcNoteB,$N960)="","—",INDEX(CalcNoteB,$N960)),""))</f>
        <v/>
      </c>
      <c r="M960">
        <f>IFERROR(MATCH($C$5&amp;"|"&amp;RIGHT("000000"&amp;944,6),CalcRankKeyA,0),"")</f>
        <v/>
      </c>
      <c r="N960">
        <f>IFERROR(MATCH($C$5&amp;"|"&amp;RIGHT("000000"&amp;944,6),CalcRankKeyB,0),"")</f>
        <v/>
      </c>
    </row>
    <row r="961">
      <c r="A961" s="21" t="n">
        <v>945</v>
      </c>
      <c r="B961" s="22">
        <f>IF(AND($M961="",$N961=""),"",IF($M961&lt;&gt;"",INDEX(CalcDateA,$M961),INDEX(CalcDateB,$N961)))</f>
        <v/>
      </c>
      <c r="C961" s="22">
        <f>IF($M961&lt;&gt;"","خرید سبد",IF($N961&lt;&gt;"",IF(N(INDEX(CalcDepB,$N961))&gt;0,"دریافت بانکی","پرداخت بانکی"),""))</f>
        <v/>
      </c>
      <c r="D961" s="22">
        <f>IF($M961&lt;&gt;"",IF(INDEX(CalcDocA,$M961)="","—",INDEX(CalcDocA,$M961)),IF($N961&lt;&gt;"",INDEX(CalcBankB,$N961),""))</f>
        <v/>
      </c>
      <c r="E961" s="23">
        <f>IF($N961&lt;&gt;"",IF(INDEX(CalcDepB,$N961)=0,"",INDEX(CalcDepB,$N961)),"")</f>
        <v/>
      </c>
      <c r="F961" s="23">
        <f>IF($M961&lt;&gt;"",IF(INDEX(CalcQtyA,$M961)=0,"",INDEX(CalcQtyA,$M961)),"")</f>
        <v/>
      </c>
      <c r="G961" s="23">
        <f>IF($M961&lt;&gt;"",IF(INDEX(CalcPriceA,$M961)=0,"",INDEX(CalcPriceA,$M961)),"")</f>
        <v/>
      </c>
      <c r="H961" s="23">
        <f>IF($N961&lt;&gt;"",IF(INDEX(CalcWitB,$N961)=0,"",INDEX(CalcWitB,$N961)),"")</f>
        <v/>
      </c>
      <c r="I961" s="24">
        <f>IF($M961&lt;&gt;"",INDEX(CalcAmtA,$M961),"")</f>
        <v/>
      </c>
      <c r="J961" s="24">
        <f>IF($B961="","",IF($J960="",$C$8,$J960)+IF($I961="",0,$I961)+IF($E961="",0,$E961)-IF($H961="",0,$H961))</f>
        <v/>
      </c>
      <c r="K961" s="25">
        <f>IF($M961&lt;&gt;"",IF(INDEX(CalcNoteA,$M961)="","—",INDEX(CalcNoteA,$M961)),IF($N961&lt;&gt;"",IF(INDEX(CalcNoteB,$N961)="","—",INDEX(CalcNoteB,$N961)),""))</f>
        <v/>
      </c>
      <c r="M961">
        <f>IFERROR(MATCH($C$5&amp;"|"&amp;RIGHT("000000"&amp;945,6),CalcRankKeyA,0),"")</f>
        <v/>
      </c>
      <c r="N961">
        <f>IFERROR(MATCH($C$5&amp;"|"&amp;RIGHT("000000"&amp;945,6),CalcRankKeyB,0),"")</f>
        <v/>
      </c>
    </row>
    <row r="962">
      <c r="A962" s="26" t="n">
        <v>946</v>
      </c>
      <c r="B962" s="27">
        <f>IF(AND($M962="",$N962=""),"",IF($M962&lt;&gt;"",INDEX(CalcDateA,$M962),INDEX(CalcDateB,$N962)))</f>
        <v/>
      </c>
      <c r="C962" s="27">
        <f>IF($M962&lt;&gt;"","خرید سبد",IF($N962&lt;&gt;"",IF(N(INDEX(CalcDepB,$N962))&gt;0,"دریافت بانکی","پرداخت بانکی"),""))</f>
        <v/>
      </c>
      <c r="D962" s="27">
        <f>IF($M962&lt;&gt;"",IF(INDEX(CalcDocA,$M962)="","—",INDEX(CalcDocA,$M962)),IF($N962&lt;&gt;"",INDEX(CalcBankB,$N962),""))</f>
        <v/>
      </c>
      <c r="E962" s="28">
        <f>IF($N962&lt;&gt;"",IF(INDEX(CalcDepB,$N962)=0,"",INDEX(CalcDepB,$N962)),"")</f>
        <v/>
      </c>
      <c r="F962" s="28">
        <f>IF($M962&lt;&gt;"",IF(INDEX(CalcQtyA,$M962)=0,"",INDEX(CalcQtyA,$M962)),"")</f>
        <v/>
      </c>
      <c r="G962" s="28">
        <f>IF($M962&lt;&gt;"",IF(INDEX(CalcPriceA,$M962)=0,"",INDEX(CalcPriceA,$M962)),"")</f>
        <v/>
      </c>
      <c r="H962" s="28">
        <f>IF($N962&lt;&gt;"",IF(INDEX(CalcWitB,$N962)=0,"",INDEX(CalcWitB,$N962)),"")</f>
        <v/>
      </c>
      <c r="I962" s="29">
        <f>IF($M962&lt;&gt;"",INDEX(CalcAmtA,$M962),"")</f>
        <v/>
      </c>
      <c r="J962" s="29">
        <f>IF($B962="","",IF($J961="",$C$8,$J961)+IF($I962="",0,$I962)+IF($E962="",0,$E962)-IF($H962="",0,$H962))</f>
        <v/>
      </c>
      <c r="K962" s="30">
        <f>IF($M962&lt;&gt;"",IF(INDEX(CalcNoteA,$M962)="","—",INDEX(CalcNoteA,$M962)),IF($N962&lt;&gt;"",IF(INDEX(CalcNoteB,$N962)="","—",INDEX(CalcNoteB,$N962)),""))</f>
        <v/>
      </c>
      <c r="M962">
        <f>IFERROR(MATCH($C$5&amp;"|"&amp;RIGHT("000000"&amp;946,6),CalcRankKeyA,0),"")</f>
        <v/>
      </c>
      <c r="N962">
        <f>IFERROR(MATCH($C$5&amp;"|"&amp;RIGHT("000000"&amp;946,6),CalcRankKeyB,0),"")</f>
        <v/>
      </c>
    </row>
    <row r="963">
      <c r="A963" s="21" t="n">
        <v>947</v>
      </c>
      <c r="B963" s="22">
        <f>IF(AND($M963="",$N963=""),"",IF($M963&lt;&gt;"",INDEX(CalcDateA,$M963),INDEX(CalcDateB,$N963)))</f>
        <v/>
      </c>
      <c r="C963" s="22">
        <f>IF($M963&lt;&gt;"","خرید سبد",IF($N963&lt;&gt;"",IF(N(INDEX(CalcDepB,$N963))&gt;0,"دریافت بانکی","پرداخت بانکی"),""))</f>
        <v/>
      </c>
      <c r="D963" s="22">
        <f>IF($M963&lt;&gt;"",IF(INDEX(CalcDocA,$M963)="","—",INDEX(CalcDocA,$M963)),IF($N963&lt;&gt;"",INDEX(CalcBankB,$N963),""))</f>
        <v/>
      </c>
      <c r="E963" s="23">
        <f>IF($N963&lt;&gt;"",IF(INDEX(CalcDepB,$N963)=0,"",INDEX(CalcDepB,$N963)),"")</f>
        <v/>
      </c>
      <c r="F963" s="23">
        <f>IF($M963&lt;&gt;"",IF(INDEX(CalcQtyA,$M963)=0,"",INDEX(CalcQtyA,$M963)),"")</f>
        <v/>
      </c>
      <c r="G963" s="23">
        <f>IF($M963&lt;&gt;"",IF(INDEX(CalcPriceA,$M963)=0,"",INDEX(CalcPriceA,$M963)),"")</f>
        <v/>
      </c>
      <c r="H963" s="23">
        <f>IF($N963&lt;&gt;"",IF(INDEX(CalcWitB,$N963)=0,"",INDEX(CalcWitB,$N963)),"")</f>
        <v/>
      </c>
      <c r="I963" s="24">
        <f>IF($M963&lt;&gt;"",INDEX(CalcAmtA,$M963),"")</f>
        <v/>
      </c>
      <c r="J963" s="24">
        <f>IF($B963="","",IF($J962="",$C$8,$J962)+IF($I963="",0,$I963)+IF($E963="",0,$E963)-IF($H963="",0,$H963))</f>
        <v/>
      </c>
      <c r="K963" s="25">
        <f>IF($M963&lt;&gt;"",IF(INDEX(CalcNoteA,$M963)="","—",INDEX(CalcNoteA,$M963)),IF($N963&lt;&gt;"",IF(INDEX(CalcNoteB,$N963)="","—",INDEX(CalcNoteB,$N963)),""))</f>
        <v/>
      </c>
      <c r="M963">
        <f>IFERROR(MATCH($C$5&amp;"|"&amp;RIGHT("000000"&amp;947,6),CalcRankKeyA,0),"")</f>
        <v/>
      </c>
      <c r="N963">
        <f>IFERROR(MATCH($C$5&amp;"|"&amp;RIGHT("000000"&amp;947,6),CalcRankKeyB,0),"")</f>
        <v/>
      </c>
    </row>
    <row r="964">
      <c r="A964" s="26" t="n">
        <v>948</v>
      </c>
      <c r="B964" s="27">
        <f>IF(AND($M964="",$N964=""),"",IF($M964&lt;&gt;"",INDEX(CalcDateA,$M964),INDEX(CalcDateB,$N964)))</f>
        <v/>
      </c>
      <c r="C964" s="27">
        <f>IF($M964&lt;&gt;"","خرید سبد",IF($N964&lt;&gt;"",IF(N(INDEX(CalcDepB,$N964))&gt;0,"دریافت بانکی","پرداخت بانکی"),""))</f>
        <v/>
      </c>
      <c r="D964" s="27">
        <f>IF($M964&lt;&gt;"",IF(INDEX(CalcDocA,$M964)="","—",INDEX(CalcDocA,$M964)),IF($N964&lt;&gt;"",INDEX(CalcBankB,$N964),""))</f>
        <v/>
      </c>
      <c r="E964" s="28">
        <f>IF($N964&lt;&gt;"",IF(INDEX(CalcDepB,$N964)=0,"",INDEX(CalcDepB,$N964)),"")</f>
        <v/>
      </c>
      <c r="F964" s="28">
        <f>IF($M964&lt;&gt;"",IF(INDEX(CalcQtyA,$M964)=0,"",INDEX(CalcQtyA,$M964)),"")</f>
        <v/>
      </c>
      <c r="G964" s="28">
        <f>IF($M964&lt;&gt;"",IF(INDEX(CalcPriceA,$M964)=0,"",INDEX(CalcPriceA,$M964)),"")</f>
        <v/>
      </c>
      <c r="H964" s="28">
        <f>IF($N964&lt;&gt;"",IF(INDEX(CalcWitB,$N964)=0,"",INDEX(CalcWitB,$N964)),"")</f>
        <v/>
      </c>
      <c r="I964" s="29">
        <f>IF($M964&lt;&gt;"",INDEX(CalcAmtA,$M964),"")</f>
        <v/>
      </c>
      <c r="J964" s="29">
        <f>IF($B964="","",IF($J963="",$C$8,$J963)+IF($I964="",0,$I964)+IF($E964="",0,$E964)-IF($H964="",0,$H964))</f>
        <v/>
      </c>
      <c r="K964" s="30">
        <f>IF($M964&lt;&gt;"",IF(INDEX(CalcNoteA,$M964)="","—",INDEX(CalcNoteA,$M964)),IF($N964&lt;&gt;"",IF(INDEX(CalcNoteB,$N964)="","—",INDEX(CalcNoteB,$N964)),""))</f>
        <v/>
      </c>
      <c r="M964">
        <f>IFERROR(MATCH($C$5&amp;"|"&amp;RIGHT("000000"&amp;948,6),CalcRankKeyA,0),"")</f>
        <v/>
      </c>
      <c r="N964">
        <f>IFERROR(MATCH($C$5&amp;"|"&amp;RIGHT("000000"&amp;948,6),CalcRankKeyB,0),"")</f>
        <v/>
      </c>
    </row>
    <row r="965">
      <c r="A965" s="21" t="n">
        <v>949</v>
      </c>
      <c r="B965" s="22">
        <f>IF(AND($M965="",$N965=""),"",IF($M965&lt;&gt;"",INDEX(CalcDateA,$M965),INDEX(CalcDateB,$N965)))</f>
        <v/>
      </c>
      <c r="C965" s="22">
        <f>IF($M965&lt;&gt;"","خرید سبد",IF($N965&lt;&gt;"",IF(N(INDEX(CalcDepB,$N965))&gt;0,"دریافت بانکی","پرداخت بانکی"),""))</f>
        <v/>
      </c>
      <c r="D965" s="22">
        <f>IF($M965&lt;&gt;"",IF(INDEX(CalcDocA,$M965)="","—",INDEX(CalcDocA,$M965)),IF($N965&lt;&gt;"",INDEX(CalcBankB,$N965),""))</f>
        <v/>
      </c>
      <c r="E965" s="23">
        <f>IF($N965&lt;&gt;"",IF(INDEX(CalcDepB,$N965)=0,"",INDEX(CalcDepB,$N965)),"")</f>
        <v/>
      </c>
      <c r="F965" s="23">
        <f>IF($M965&lt;&gt;"",IF(INDEX(CalcQtyA,$M965)=0,"",INDEX(CalcQtyA,$M965)),"")</f>
        <v/>
      </c>
      <c r="G965" s="23">
        <f>IF($M965&lt;&gt;"",IF(INDEX(CalcPriceA,$M965)=0,"",INDEX(CalcPriceA,$M965)),"")</f>
        <v/>
      </c>
      <c r="H965" s="23">
        <f>IF($N965&lt;&gt;"",IF(INDEX(CalcWitB,$N965)=0,"",INDEX(CalcWitB,$N965)),"")</f>
        <v/>
      </c>
      <c r="I965" s="24">
        <f>IF($M965&lt;&gt;"",INDEX(CalcAmtA,$M965),"")</f>
        <v/>
      </c>
      <c r="J965" s="24">
        <f>IF($B965="","",IF($J964="",$C$8,$J964)+IF($I965="",0,$I965)+IF($E965="",0,$E965)-IF($H965="",0,$H965))</f>
        <v/>
      </c>
      <c r="K965" s="25">
        <f>IF($M965&lt;&gt;"",IF(INDEX(CalcNoteA,$M965)="","—",INDEX(CalcNoteA,$M965)),IF($N965&lt;&gt;"",IF(INDEX(CalcNoteB,$N965)="","—",INDEX(CalcNoteB,$N965)),""))</f>
        <v/>
      </c>
      <c r="M965">
        <f>IFERROR(MATCH($C$5&amp;"|"&amp;RIGHT("000000"&amp;949,6),CalcRankKeyA,0),"")</f>
        <v/>
      </c>
      <c r="N965">
        <f>IFERROR(MATCH($C$5&amp;"|"&amp;RIGHT("000000"&amp;949,6),CalcRankKeyB,0),"")</f>
        <v/>
      </c>
    </row>
    <row r="966">
      <c r="A966" s="26" t="n">
        <v>950</v>
      </c>
      <c r="B966" s="27">
        <f>IF(AND($M966="",$N966=""),"",IF($M966&lt;&gt;"",INDEX(CalcDateA,$M966),INDEX(CalcDateB,$N966)))</f>
        <v/>
      </c>
      <c r="C966" s="27">
        <f>IF($M966&lt;&gt;"","خرید سبد",IF($N966&lt;&gt;"",IF(N(INDEX(CalcDepB,$N966))&gt;0,"دریافت بانکی","پرداخت بانکی"),""))</f>
        <v/>
      </c>
      <c r="D966" s="27">
        <f>IF($M966&lt;&gt;"",IF(INDEX(CalcDocA,$M966)="","—",INDEX(CalcDocA,$M966)),IF($N966&lt;&gt;"",INDEX(CalcBankB,$N966),""))</f>
        <v/>
      </c>
      <c r="E966" s="28">
        <f>IF($N966&lt;&gt;"",IF(INDEX(CalcDepB,$N966)=0,"",INDEX(CalcDepB,$N966)),"")</f>
        <v/>
      </c>
      <c r="F966" s="28">
        <f>IF($M966&lt;&gt;"",IF(INDEX(CalcQtyA,$M966)=0,"",INDEX(CalcQtyA,$M966)),"")</f>
        <v/>
      </c>
      <c r="G966" s="28">
        <f>IF($M966&lt;&gt;"",IF(INDEX(CalcPriceA,$M966)=0,"",INDEX(CalcPriceA,$M966)),"")</f>
        <v/>
      </c>
      <c r="H966" s="28">
        <f>IF($N966&lt;&gt;"",IF(INDEX(CalcWitB,$N966)=0,"",INDEX(CalcWitB,$N966)),"")</f>
        <v/>
      </c>
      <c r="I966" s="29">
        <f>IF($M966&lt;&gt;"",INDEX(CalcAmtA,$M966),"")</f>
        <v/>
      </c>
      <c r="J966" s="29">
        <f>IF($B966="","",IF($J965="",$C$8,$J965)+IF($I966="",0,$I966)+IF($E966="",0,$E966)-IF($H966="",0,$H966))</f>
        <v/>
      </c>
      <c r="K966" s="30">
        <f>IF($M966&lt;&gt;"",IF(INDEX(CalcNoteA,$M966)="","—",INDEX(CalcNoteA,$M966)),IF($N966&lt;&gt;"",IF(INDEX(CalcNoteB,$N966)="","—",INDEX(CalcNoteB,$N966)),""))</f>
        <v/>
      </c>
      <c r="M966">
        <f>IFERROR(MATCH($C$5&amp;"|"&amp;RIGHT("000000"&amp;950,6),CalcRankKeyA,0),"")</f>
        <v/>
      </c>
      <c r="N966">
        <f>IFERROR(MATCH($C$5&amp;"|"&amp;RIGHT("000000"&amp;950,6),CalcRankKeyB,0),"")</f>
        <v/>
      </c>
    </row>
    <row r="967">
      <c r="A967" s="21" t="n">
        <v>951</v>
      </c>
      <c r="B967" s="22">
        <f>IF(AND($M967="",$N967=""),"",IF($M967&lt;&gt;"",INDEX(CalcDateA,$M967),INDEX(CalcDateB,$N967)))</f>
        <v/>
      </c>
      <c r="C967" s="22">
        <f>IF($M967&lt;&gt;"","خرید سبد",IF($N967&lt;&gt;"",IF(N(INDEX(CalcDepB,$N967))&gt;0,"دریافت بانکی","پرداخت بانکی"),""))</f>
        <v/>
      </c>
      <c r="D967" s="22">
        <f>IF($M967&lt;&gt;"",IF(INDEX(CalcDocA,$M967)="","—",INDEX(CalcDocA,$M967)),IF($N967&lt;&gt;"",INDEX(CalcBankB,$N967),""))</f>
        <v/>
      </c>
      <c r="E967" s="23">
        <f>IF($N967&lt;&gt;"",IF(INDEX(CalcDepB,$N967)=0,"",INDEX(CalcDepB,$N967)),"")</f>
        <v/>
      </c>
      <c r="F967" s="23">
        <f>IF($M967&lt;&gt;"",IF(INDEX(CalcQtyA,$M967)=0,"",INDEX(CalcQtyA,$M967)),"")</f>
        <v/>
      </c>
      <c r="G967" s="23">
        <f>IF($M967&lt;&gt;"",IF(INDEX(CalcPriceA,$M967)=0,"",INDEX(CalcPriceA,$M967)),"")</f>
        <v/>
      </c>
      <c r="H967" s="23">
        <f>IF($N967&lt;&gt;"",IF(INDEX(CalcWitB,$N967)=0,"",INDEX(CalcWitB,$N967)),"")</f>
        <v/>
      </c>
      <c r="I967" s="24">
        <f>IF($M967&lt;&gt;"",INDEX(CalcAmtA,$M967),"")</f>
        <v/>
      </c>
      <c r="J967" s="24">
        <f>IF($B967="","",IF($J966="",$C$8,$J966)+IF($I967="",0,$I967)+IF($E967="",0,$E967)-IF($H967="",0,$H967))</f>
        <v/>
      </c>
      <c r="K967" s="25">
        <f>IF($M967&lt;&gt;"",IF(INDEX(CalcNoteA,$M967)="","—",INDEX(CalcNoteA,$M967)),IF($N967&lt;&gt;"",IF(INDEX(CalcNoteB,$N967)="","—",INDEX(CalcNoteB,$N967)),""))</f>
        <v/>
      </c>
      <c r="M967">
        <f>IFERROR(MATCH($C$5&amp;"|"&amp;RIGHT("000000"&amp;951,6),CalcRankKeyA,0),"")</f>
        <v/>
      </c>
      <c r="N967">
        <f>IFERROR(MATCH($C$5&amp;"|"&amp;RIGHT("000000"&amp;951,6),CalcRankKeyB,0),"")</f>
        <v/>
      </c>
    </row>
    <row r="968">
      <c r="A968" s="26" t="n">
        <v>952</v>
      </c>
      <c r="B968" s="27">
        <f>IF(AND($M968="",$N968=""),"",IF($M968&lt;&gt;"",INDEX(CalcDateA,$M968),INDEX(CalcDateB,$N968)))</f>
        <v/>
      </c>
      <c r="C968" s="27">
        <f>IF($M968&lt;&gt;"","خرید سبد",IF($N968&lt;&gt;"",IF(N(INDEX(CalcDepB,$N968))&gt;0,"دریافت بانکی","پرداخت بانکی"),""))</f>
        <v/>
      </c>
      <c r="D968" s="27">
        <f>IF($M968&lt;&gt;"",IF(INDEX(CalcDocA,$M968)="","—",INDEX(CalcDocA,$M968)),IF($N968&lt;&gt;"",INDEX(CalcBankB,$N968),""))</f>
        <v/>
      </c>
      <c r="E968" s="28">
        <f>IF($N968&lt;&gt;"",IF(INDEX(CalcDepB,$N968)=0,"",INDEX(CalcDepB,$N968)),"")</f>
        <v/>
      </c>
      <c r="F968" s="28">
        <f>IF($M968&lt;&gt;"",IF(INDEX(CalcQtyA,$M968)=0,"",INDEX(CalcQtyA,$M968)),"")</f>
        <v/>
      </c>
      <c r="G968" s="28">
        <f>IF($M968&lt;&gt;"",IF(INDEX(CalcPriceA,$M968)=0,"",INDEX(CalcPriceA,$M968)),"")</f>
        <v/>
      </c>
      <c r="H968" s="28">
        <f>IF($N968&lt;&gt;"",IF(INDEX(CalcWitB,$N968)=0,"",INDEX(CalcWitB,$N968)),"")</f>
        <v/>
      </c>
      <c r="I968" s="29">
        <f>IF($M968&lt;&gt;"",INDEX(CalcAmtA,$M968),"")</f>
        <v/>
      </c>
      <c r="J968" s="29">
        <f>IF($B968="","",IF($J967="",$C$8,$J967)+IF($I968="",0,$I968)+IF($E968="",0,$E968)-IF($H968="",0,$H968))</f>
        <v/>
      </c>
      <c r="K968" s="30">
        <f>IF($M968&lt;&gt;"",IF(INDEX(CalcNoteA,$M968)="","—",INDEX(CalcNoteA,$M968)),IF($N968&lt;&gt;"",IF(INDEX(CalcNoteB,$N968)="","—",INDEX(CalcNoteB,$N968)),""))</f>
        <v/>
      </c>
      <c r="M968">
        <f>IFERROR(MATCH($C$5&amp;"|"&amp;RIGHT("000000"&amp;952,6),CalcRankKeyA,0),"")</f>
        <v/>
      </c>
      <c r="N968">
        <f>IFERROR(MATCH($C$5&amp;"|"&amp;RIGHT("000000"&amp;952,6),CalcRankKeyB,0),"")</f>
        <v/>
      </c>
    </row>
    <row r="969">
      <c r="A969" s="21" t="n">
        <v>953</v>
      </c>
      <c r="B969" s="22">
        <f>IF(AND($M969="",$N969=""),"",IF($M969&lt;&gt;"",INDEX(CalcDateA,$M969),INDEX(CalcDateB,$N969)))</f>
        <v/>
      </c>
      <c r="C969" s="22">
        <f>IF($M969&lt;&gt;"","خرید سبد",IF($N969&lt;&gt;"",IF(N(INDEX(CalcDepB,$N969))&gt;0,"دریافت بانکی","پرداخت بانکی"),""))</f>
        <v/>
      </c>
      <c r="D969" s="22">
        <f>IF($M969&lt;&gt;"",IF(INDEX(CalcDocA,$M969)="","—",INDEX(CalcDocA,$M969)),IF($N969&lt;&gt;"",INDEX(CalcBankB,$N969),""))</f>
        <v/>
      </c>
      <c r="E969" s="23">
        <f>IF($N969&lt;&gt;"",IF(INDEX(CalcDepB,$N969)=0,"",INDEX(CalcDepB,$N969)),"")</f>
        <v/>
      </c>
      <c r="F969" s="23">
        <f>IF($M969&lt;&gt;"",IF(INDEX(CalcQtyA,$M969)=0,"",INDEX(CalcQtyA,$M969)),"")</f>
        <v/>
      </c>
      <c r="G969" s="23">
        <f>IF($M969&lt;&gt;"",IF(INDEX(CalcPriceA,$M969)=0,"",INDEX(CalcPriceA,$M969)),"")</f>
        <v/>
      </c>
      <c r="H969" s="23">
        <f>IF($N969&lt;&gt;"",IF(INDEX(CalcWitB,$N969)=0,"",INDEX(CalcWitB,$N969)),"")</f>
        <v/>
      </c>
      <c r="I969" s="24">
        <f>IF($M969&lt;&gt;"",INDEX(CalcAmtA,$M969),"")</f>
        <v/>
      </c>
      <c r="J969" s="24">
        <f>IF($B969="","",IF($J968="",$C$8,$J968)+IF($I969="",0,$I969)+IF($E969="",0,$E969)-IF($H969="",0,$H969))</f>
        <v/>
      </c>
      <c r="K969" s="25">
        <f>IF($M969&lt;&gt;"",IF(INDEX(CalcNoteA,$M969)="","—",INDEX(CalcNoteA,$M969)),IF($N969&lt;&gt;"",IF(INDEX(CalcNoteB,$N969)="","—",INDEX(CalcNoteB,$N969)),""))</f>
        <v/>
      </c>
      <c r="M969">
        <f>IFERROR(MATCH($C$5&amp;"|"&amp;RIGHT("000000"&amp;953,6),CalcRankKeyA,0),"")</f>
        <v/>
      </c>
      <c r="N969">
        <f>IFERROR(MATCH($C$5&amp;"|"&amp;RIGHT("000000"&amp;953,6),CalcRankKeyB,0),"")</f>
        <v/>
      </c>
    </row>
    <row r="970">
      <c r="A970" s="26" t="n">
        <v>954</v>
      </c>
      <c r="B970" s="27">
        <f>IF(AND($M970="",$N970=""),"",IF($M970&lt;&gt;"",INDEX(CalcDateA,$M970),INDEX(CalcDateB,$N970)))</f>
        <v/>
      </c>
      <c r="C970" s="27">
        <f>IF($M970&lt;&gt;"","خرید سبد",IF($N970&lt;&gt;"",IF(N(INDEX(CalcDepB,$N970))&gt;0,"دریافت بانکی","پرداخت بانکی"),""))</f>
        <v/>
      </c>
      <c r="D970" s="27">
        <f>IF($M970&lt;&gt;"",IF(INDEX(CalcDocA,$M970)="","—",INDEX(CalcDocA,$M970)),IF($N970&lt;&gt;"",INDEX(CalcBankB,$N970),""))</f>
        <v/>
      </c>
      <c r="E970" s="28">
        <f>IF($N970&lt;&gt;"",IF(INDEX(CalcDepB,$N970)=0,"",INDEX(CalcDepB,$N970)),"")</f>
        <v/>
      </c>
      <c r="F970" s="28">
        <f>IF($M970&lt;&gt;"",IF(INDEX(CalcQtyA,$M970)=0,"",INDEX(CalcQtyA,$M970)),"")</f>
        <v/>
      </c>
      <c r="G970" s="28">
        <f>IF($M970&lt;&gt;"",IF(INDEX(CalcPriceA,$M970)=0,"",INDEX(CalcPriceA,$M970)),"")</f>
        <v/>
      </c>
      <c r="H970" s="28">
        <f>IF($N970&lt;&gt;"",IF(INDEX(CalcWitB,$N970)=0,"",INDEX(CalcWitB,$N970)),"")</f>
        <v/>
      </c>
      <c r="I970" s="29">
        <f>IF($M970&lt;&gt;"",INDEX(CalcAmtA,$M970),"")</f>
        <v/>
      </c>
      <c r="J970" s="29">
        <f>IF($B970="","",IF($J969="",$C$8,$J969)+IF($I970="",0,$I970)+IF($E970="",0,$E970)-IF($H970="",0,$H970))</f>
        <v/>
      </c>
      <c r="K970" s="30">
        <f>IF($M970&lt;&gt;"",IF(INDEX(CalcNoteA,$M970)="","—",INDEX(CalcNoteA,$M970)),IF($N970&lt;&gt;"",IF(INDEX(CalcNoteB,$N970)="","—",INDEX(CalcNoteB,$N970)),""))</f>
        <v/>
      </c>
      <c r="M970">
        <f>IFERROR(MATCH($C$5&amp;"|"&amp;RIGHT("000000"&amp;954,6),CalcRankKeyA,0),"")</f>
        <v/>
      </c>
      <c r="N970">
        <f>IFERROR(MATCH($C$5&amp;"|"&amp;RIGHT("000000"&amp;954,6),CalcRankKeyB,0),"")</f>
        <v/>
      </c>
    </row>
    <row r="971">
      <c r="A971" s="21" t="n">
        <v>955</v>
      </c>
      <c r="B971" s="22">
        <f>IF(AND($M971="",$N971=""),"",IF($M971&lt;&gt;"",INDEX(CalcDateA,$M971),INDEX(CalcDateB,$N971)))</f>
        <v/>
      </c>
      <c r="C971" s="22">
        <f>IF($M971&lt;&gt;"","خرید سبد",IF($N971&lt;&gt;"",IF(N(INDEX(CalcDepB,$N971))&gt;0,"دریافت بانکی","پرداخت بانکی"),""))</f>
        <v/>
      </c>
      <c r="D971" s="22">
        <f>IF($M971&lt;&gt;"",IF(INDEX(CalcDocA,$M971)="","—",INDEX(CalcDocA,$M971)),IF($N971&lt;&gt;"",INDEX(CalcBankB,$N971),""))</f>
        <v/>
      </c>
      <c r="E971" s="23">
        <f>IF($N971&lt;&gt;"",IF(INDEX(CalcDepB,$N971)=0,"",INDEX(CalcDepB,$N971)),"")</f>
        <v/>
      </c>
      <c r="F971" s="23">
        <f>IF($M971&lt;&gt;"",IF(INDEX(CalcQtyA,$M971)=0,"",INDEX(CalcQtyA,$M971)),"")</f>
        <v/>
      </c>
      <c r="G971" s="23">
        <f>IF($M971&lt;&gt;"",IF(INDEX(CalcPriceA,$M971)=0,"",INDEX(CalcPriceA,$M971)),"")</f>
        <v/>
      </c>
      <c r="H971" s="23">
        <f>IF($N971&lt;&gt;"",IF(INDEX(CalcWitB,$N971)=0,"",INDEX(CalcWitB,$N971)),"")</f>
        <v/>
      </c>
      <c r="I971" s="24">
        <f>IF($M971&lt;&gt;"",INDEX(CalcAmtA,$M971),"")</f>
        <v/>
      </c>
      <c r="J971" s="24">
        <f>IF($B971="","",IF($J970="",$C$8,$J970)+IF($I971="",0,$I971)+IF($E971="",0,$E971)-IF($H971="",0,$H971))</f>
        <v/>
      </c>
      <c r="K971" s="25">
        <f>IF($M971&lt;&gt;"",IF(INDEX(CalcNoteA,$M971)="","—",INDEX(CalcNoteA,$M971)),IF($N971&lt;&gt;"",IF(INDEX(CalcNoteB,$N971)="","—",INDEX(CalcNoteB,$N971)),""))</f>
        <v/>
      </c>
      <c r="M971">
        <f>IFERROR(MATCH($C$5&amp;"|"&amp;RIGHT("000000"&amp;955,6),CalcRankKeyA,0),"")</f>
        <v/>
      </c>
      <c r="N971">
        <f>IFERROR(MATCH($C$5&amp;"|"&amp;RIGHT("000000"&amp;955,6),CalcRankKeyB,0),"")</f>
        <v/>
      </c>
    </row>
    <row r="972">
      <c r="A972" s="26" t="n">
        <v>956</v>
      </c>
      <c r="B972" s="27">
        <f>IF(AND($M972="",$N972=""),"",IF($M972&lt;&gt;"",INDEX(CalcDateA,$M972),INDEX(CalcDateB,$N972)))</f>
        <v/>
      </c>
      <c r="C972" s="27">
        <f>IF($M972&lt;&gt;"","خرید سبد",IF($N972&lt;&gt;"",IF(N(INDEX(CalcDepB,$N972))&gt;0,"دریافت بانکی","پرداخت بانکی"),""))</f>
        <v/>
      </c>
      <c r="D972" s="27">
        <f>IF($M972&lt;&gt;"",IF(INDEX(CalcDocA,$M972)="","—",INDEX(CalcDocA,$M972)),IF($N972&lt;&gt;"",INDEX(CalcBankB,$N972),""))</f>
        <v/>
      </c>
      <c r="E972" s="28">
        <f>IF($N972&lt;&gt;"",IF(INDEX(CalcDepB,$N972)=0,"",INDEX(CalcDepB,$N972)),"")</f>
        <v/>
      </c>
      <c r="F972" s="28">
        <f>IF($M972&lt;&gt;"",IF(INDEX(CalcQtyA,$M972)=0,"",INDEX(CalcQtyA,$M972)),"")</f>
        <v/>
      </c>
      <c r="G972" s="28">
        <f>IF($M972&lt;&gt;"",IF(INDEX(CalcPriceA,$M972)=0,"",INDEX(CalcPriceA,$M972)),"")</f>
        <v/>
      </c>
      <c r="H972" s="28">
        <f>IF($N972&lt;&gt;"",IF(INDEX(CalcWitB,$N972)=0,"",INDEX(CalcWitB,$N972)),"")</f>
        <v/>
      </c>
      <c r="I972" s="29">
        <f>IF($M972&lt;&gt;"",INDEX(CalcAmtA,$M972),"")</f>
        <v/>
      </c>
      <c r="J972" s="29">
        <f>IF($B972="","",IF($J971="",$C$8,$J971)+IF($I972="",0,$I972)+IF($E972="",0,$E972)-IF($H972="",0,$H972))</f>
        <v/>
      </c>
      <c r="K972" s="30">
        <f>IF($M972&lt;&gt;"",IF(INDEX(CalcNoteA,$M972)="","—",INDEX(CalcNoteA,$M972)),IF($N972&lt;&gt;"",IF(INDEX(CalcNoteB,$N972)="","—",INDEX(CalcNoteB,$N972)),""))</f>
        <v/>
      </c>
      <c r="M972">
        <f>IFERROR(MATCH($C$5&amp;"|"&amp;RIGHT("000000"&amp;956,6),CalcRankKeyA,0),"")</f>
        <v/>
      </c>
      <c r="N972">
        <f>IFERROR(MATCH($C$5&amp;"|"&amp;RIGHT("000000"&amp;956,6),CalcRankKeyB,0),"")</f>
        <v/>
      </c>
    </row>
    <row r="973">
      <c r="A973" s="21" t="n">
        <v>957</v>
      </c>
      <c r="B973" s="22">
        <f>IF(AND($M973="",$N973=""),"",IF($M973&lt;&gt;"",INDEX(CalcDateA,$M973),INDEX(CalcDateB,$N973)))</f>
        <v/>
      </c>
      <c r="C973" s="22">
        <f>IF($M973&lt;&gt;"","خرید سبد",IF($N973&lt;&gt;"",IF(N(INDEX(CalcDepB,$N973))&gt;0,"دریافت بانکی","پرداخت بانکی"),""))</f>
        <v/>
      </c>
      <c r="D973" s="22">
        <f>IF($M973&lt;&gt;"",IF(INDEX(CalcDocA,$M973)="","—",INDEX(CalcDocA,$M973)),IF($N973&lt;&gt;"",INDEX(CalcBankB,$N973),""))</f>
        <v/>
      </c>
      <c r="E973" s="23">
        <f>IF($N973&lt;&gt;"",IF(INDEX(CalcDepB,$N973)=0,"",INDEX(CalcDepB,$N973)),"")</f>
        <v/>
      </c>
      <c r="F973" s="23">
        <f>IF($M973&lt;&gt;"",IF(INDEX(CalcQtyA,$M973)=0,"",INDEX(CalcQtyA,$M973)),"")</f>
        <v/>
      </c>
      <c r="G973" s="23">
        <f>IF($M973&lt;&gt;"",IF(INDEX(CalcPriceA,$M973)=0,"",INDEX(CalcPriceA,$M973)),"")</f>
        <v/>
      </c>
      <c r="H973" s="23">
        <f>IF($N973&lt;&gt;"",IF(INDEX(CalcWitB,$N973)=0,"",INDEX(CalcWitB,$N973)),"")</f>
        <v/>
      </c>
      <c r="I973" s="24">
        <f>IF($M973&lt;&gt;"",INDEX(CalcAmtA,$M973),"")</f>
        <v/>
      </c>
      <c r="J973" s="24">
        <f>IF($B973="","",IF($J972="",$C$8,$J972)+IF($I973="",0,$I973)+IF($E973="",0,$E973)-IF($H973="",0,$H973))</f>
        <v/>
      </c>
      <c r="K973" s="25">
        <f>IF($M973&lt;&gt;"",IF(INDEX(CalcNoteA,$M973)="","—",INDEX(CalcNoteA,$M973)),IF($N973&lt;&gt;"",IF(INDEX(CalcNoteB,$N973)="","—",INDEX(CalcNoteB,$N973)),""))</f>
        <v/>
      </c>
      <c r="M973">
        <f>IFERROR(MATCH($C$5&amp;"|"&amp;RIGHT("000000"&amp;957,6),CalcRankKeyA,0),"")</f>
        <v/>
      </c>
      <c r="N973">
        <f>IFERROR(MATCH($C$5&amp;"|"&amp;RIGHT("000000"&amp;957,6),CalcRankKeyB,0),"")</f>
        <v/>
      </c>
    </row>
    <row r="974">
      <c r="A974" s="26" t="n">
        <v>958</v>
      </c>
      <c r="B974" s="27">
        <f>IF(AND($M974="",$N974=""),"",IF($M974&lt;&gt;"",INDEX(CalcDateA,$M974),INDEX(CalcDateB,$N974)))</f>
        <v/>
      </c>
      <c r="C974" s="27">
        <f>IF($M974&lt;&gt;"","خرید سبد",IF($N974&lt;&gt;"",IF(N(INDEX(CalcDepB,$N974))&gt;0,"دریافت بانکی","پرداخت بانکی"),""))</f>
        <v/>
      </c>
      <c r="D974" s="27">
        <f>IF($M974&lt;&gt;"",IF(INDEX(CalcDocA,$M974)="","—",INDEX(CalcDocA,$M974)),IF($N974&lt;&gt;"",INDEX(CalcBankB,$N974),""))</f>
        <v/>
      </c>
      <c r="E974" s="28">
        <f>IF($N974&lt;&gt;"",IF(INDEX(CalcDepB,$N974)=0,"",INDEX(CalcDepB,$N974)),"")</f>
        <v/>
      </c>
      <c r="F974" s="28">
        <f>IF($M974&lt;&gt;"",IF(INDEX(CalcQtyA,$M974)=0,"",INDEX(CalcQtyA,$M974)),"")</f>
        <v/>
      </c>
      <c r="G974" s="28">
        <f>IF($M974&lt;&gt;"",IF(INDEX(CalcPriceA,$M974)=0,"",INDEX(CalcPriceA,$M974)),"")</f>
        <v/>
      </c>
      <c r="H974" s="28">
        <f>IF($N974&lt;&gt;"",IF(INDEX(CalcWitB,$N974)=0,"",INDEX(CalcWitB,$N974)),"")</f>
        <v/>
      </c>
      <c r="I974" s="29">
        <f>IF($M974&lt;&gt;"",INDEX(CalcAmtA,$M974),"")</f>
        <v/>
      </c>
      <c r="J974" s="29">
        <f>IF($B974="","",IF($J973="",$C$8,$J973)+IF($I974="",0,$I974)+IF($E974="",0,$E974)-IF($H974="",0,$H974))</f>
        <v/>
      </c>
      <c r="K974" s="30">
        <f>IF($M974&lt;&gt;"",IF(INDEX(CalcNoteA,$M974)="","—",INDEX(CalcNoteA,$M974)),IF($N974&lt;&gt;"",IF(INDEX(CalcNoteB,$N974)="","—",INDEX(CalcNoteB,$N974)),""))</f>
        <v/>
      </c>
      <c r="M974">
        <f>IFERROR(MATCH($C$5&amp;"|"&amp;RIGHT("000000"&amp;958,6),CalcRankKeyA,0),"")</f>
        <v/>
      </c>
      <c r="N974">
        <f>IFERROR(MATCH($C$5&amp;"|"&amp;RIGHT("000000"&amp;958,6),CalcRankKeyB,0),"")</f>
        <v/>
      </c>
    </row>
    <row r="975">
      <c r="A975" s="21" t="n">
        <v>959</v>
      </c>
      <c r="B975" s="22">
        <f>IF(AND($M975="",$N975=""),"",IF($M975&lt;&gt;"",INDEX(CalcDateA,$M975),INDEX(CalcDateB,$N975)))</f>
        <v/>
      </c>
      <c r="C975" s="22">
        <f>IF($M975&lt;&gt;"","خرید سبد",IF($N975&lt;&gt;"",IF(N(INDEX(CalcDepB,$N975))&gt;0,"دریافت بانکی","پرداخت بانکی"),""))</f>
        <v/>
      </c>
      <c r="D975" s="22">
        <f>IF($M975&lt;&gt;"",IF(INDEX(CalcDocA,$M975)="","—",INDEX(CalcDocA,$M975)),IF($N975&lt;&gt;"",INDEX(CalcBankB,$N975),""))</f>
        <v/>
      </c>
      <c r="E975" s="23">
        <f>IF($N975&lt;&gt;"",IF(INDEX(CalcDepB,$N975)=0,"",INDEX(CalcDepB,$N975)),"")</f>
        <v/>
      </c>
      <c r="F975" s="23">
        <f>IF($M975&lt;&gt;"",IF(INDEX(CalcQtyA,$M975)=0,"",INDEX(CalcQtyA,$M975)),"")</f>
        <v/>
      </c>
      <c r="G975" s="23">
        <f>IF($M975&lt;&gt;"",IF(INDEX(CalcPriceA,$M975)=0,"",INDEX(CalcPriceA,$M975)),"")</f>
        <v/>
      </c>
      <c r="H975" s="23">
        <f>IF($N975&lt;&gt;"",IF(INDEX(CalcWitB,$N975)=0,"",INDEX(CalcWitB,$N975)),"")</f>
        <v/>
      </c>
      <c r="I975" s="24">
        <f>IF($M975&lt;&gt;"",INDEX(CalcAmtA,$M975),"")</f>
        <v/>
      </c>
      <c r="J975" s="24">
        <f>IF($B975="","",IF($J974="",$C$8,$J974)+IF($I975="",0,$I975)+IF($E975="",0,$E975)-IF($H975="",0,$H975))</f>
        <v/>
      </c>
      <c r="K975" s="25">
        <f>IF($M975&lt;&gt;"",IF(INDEX(CalcNoteA,$M975)="","—",INDEX(CalcNoteA,$M975)),IF($N975&lt;&gt;"",IF(INDEX(CalcNoteB,$N975)="","—",INDEX(CalcNoteB,$N975)),""))</f>
        <v/>
      </c>
      <c r="M975">
        <f>IFERROR(MATCH($C$5&amp;"|"&amp;RIGHT("000000"&amp;959,6),CalcRankKeyA,0),"")</f>
        <v/>
      </c>
      <c r="N975">
        <f>IFERROR(MATCH($C$5&amp;"|"&amp;RIGHT("000000"&amp;959,6),CalcRankKeyB,0),"")</f>
        <v/>
      </c>
    </row>
    <row r="976">
      <c r="A976" s="26" t="n">
        <v>960</v>
      </c>
      <c r="B976" s="27">
        <f>IF(AND($M976="",$N976=""),"",IF($M976&lt;&gt;"",INDEX(CalcDateA,$M976),INDEX(CalcDateB,$N976)))</f>
        <v/>
      </c>
      <c r="C976" s="27">
        <f>IF($M976&lt;&gt;"","خرید سبد",IF($N976&lt;&gt;"",IF(N(INDEX(CalcDepB,$N976))&gt;0,"دریافت بانکی","پرداخت بانکی"),""))</f>
        <v/>
      </c>
      <c r="D976" s="27">
        <f>IF($M976&lt;&gt;"",IF(INDEX(CalcDocA,$M976)="","—",INDEX(CalcDocA,$M976)),IF($N976&lt;&gt;"",INDEX(CalcBankB,$N976),""))</f>
        <v/>
      </c>
      <c r="E976" s="28">
        <f>IF($N976&lt;&gt;"",IF(INDEX(CalcDepB,$N976)=0,"",INDEX(CalcDepB,$N976)),"")</f>
        <v/>
      </c>
      <c r="F976" s="28">
        <f>IF($M976&lt;&gt;"",IF(INDEX(CalcQtyA,$M976)=0,"",INDEX(CalcQtyA,$M976)),"")</f>
        <v/>
      </c>
      <c r="G976" s="28">
        <f>IF($M976&lt;&gt;"",IF(INDEX(CalcPriceA,$M976)=0,"",INDEX(CalcPriceA,$M976)),"")</f>
        <v/>
      </c>
      <c r="H976" s="28">
        <f>IF($N976&lt;&gt;"",IF(INDEX(CalcWitB,$N976)=0,"",INDEX(CalcWitB,$N976)),"")</f>
        <v/>
      </c>
      <c r="I976" s="29">
        <f>IF($M976&lt;&gt;"",INDEX(CalcAmtA,$M976),"")</f>
        <v/>
      </c>
      <c r="J976" s="29">
        <f>IF($B976="","",IF($J975="",$C$8,$J975)+IF($I976="",0,$I976)+IF($E976="",0,$E976)-IF($H976="",0,$H976))</f>
        <v/>
      </c>
      <c r="K976" s="30">
        <f>IF($M976&lt;&gt;"",IF(INDEX(CalcNoteA,$M976)="","—",INDEX(CalcNoteA,$M976)),IF($N976&lt;&gt;"",IF(INDEX(CalcNoteB,$N976)="","—",INDEX(CalcNoteB,$N976)),""))</f>
        <v/>
      </c>
      <c r="M976">
        <f>IFERROR(MATCH($C$5&amp;"|"&amp;RIGHT("000000"&amp;960,6),CalcRankKeyA,0),"")</f>
        <v/>
      </c>
      <c r="N976">
        <f>IFERROR(MATCH($C$5&amp;"|"&amp;RIGHT("000000"&amp;960,6),CalcRankKeyB,0),"")</f>
        <v/>
      </c>
    </row>
    <row r="977">
      <c r="A977" s="21" t="n">
        <v>961</v>
      </c>
      <c r="B977" s="22">
        <f>IF(AND($M977="",$N977=""),"",IF($M977&lt;&gt;"",INDEX(CalcDateA,$M977),INDEX(CalcDateB,$N977)))</f>
        <v/>
      </c>
      <c r="C977" s="22">
        <f>IF($M977&lt;&gt;"","خرید سبد",IF($N977&lt;&gt;"",IF(N(INDEX(CalcDepB,$N977))&gt;0,"دریافت بانکی","پرداخت بانکی"),""))</f>
        <v/>
      </c>
      <c r="D977" s="22">
        <f>IF($M977&lt;&gt;"",IF(INDEX(CalcDocA,$M977)="","—",INDEX(CalcDocA,$M977)),IF($N977&lt;&gt;"",INDEX(CalcBankB,$N977),""))</f>
        <v/>
      </c>
      <c r="E977" s="23">
        <f>IF($N977&lt;&gt;"",IF(INDEX(CalcDepB,$N977)=0,"",INDEX(CalcDepB,$N977)),"")</f>
        <v/>
      </c>
      <c r="F977" s="23">
        <f>IF($M977&lt;&gt;"",IF(INDEX(CalcQtyA,$M977)=0,"",INDEX(CalcQtyA,$M977)),"")</f>
        <v/>
      </c>
      <c r="G977" s="23">
        <f>IF($M977&lt;&gt;"",IF(INDEX(CalcPriceA,$M977)=0,"",INDEX(CalcPriceA,$M977)),"")</f>
        <v/>
      </c>
      <c r="H977" s="23">
        <f>IF($N977&lt;&gt;"",IF(INDEX(CalcWitB,$N977)=0,"",INDEX(CalcWitB,$N977)),"")</f>
        <v/>
      </c>
      <c r="I977" s="24">
        <f>IF($M977&lt;&gt;"",INDEX(CalcAmtA,$M977),"")</f>
        <v/>
      </c>
      <c r="J977" s="24">
        <f>IF($B977="","",IF($J976="",$C$8,$J976)+IF($I977="",0,$I977)+IF($E977="",0,$E977)-IF($H977="",0,$H977))</f>
        <v/>
      </c>
      <c r="K977" s="25">
        <f>IF($M977&lt;&gt;"",IF(INDEX(CalcNoteA,$M977)="","—",INDEX(CalcNoteA,$M977)),IF($N977&lt;&gt;"",IF(INDEX(CalcNoteB,$N977)="","—",INDEX(CalcNoteB,$N977)),""))</f>
        <v/>
      </c>
      <c r="M977">
        <f>IFERROR(MATCH($C$5&amp;"|"&amp;RIGHT("000000"&amp;961,6),CalcRankKeyA,0),"")</f>
        <v/>
      </c>
      <c r="N977">
        <f>IFERROR(MATCH($C$5&amp;"|"&amp;RIGHT("000000"&amp;961,6),CalcRankKeyB,0),"")</f>
        <v/>
      </c>
    </row>
    <row r="978">
      <c r="A978" s="26" t="n">
        <v>962</v>
      </c>
      <c r="B978" s="27">
        <f>IF(AND($M978="",$N978=""),"",IF($M978&lt;&gt;"",INDEX(CalcDateA,$M978),INDEX(CalcDateB,$N978)))</f>
        <v/>
      </c>
      <c r="C978" s="27">
        <f>IF($M978&lt;&gt;"","خرید سبد",IF($N978&lt;&gt;"",IF(N(INDEX(CalcDepB,$N978))&gt;0,"دریافت بانکی","پرداخت بانکی"),""))</f>
        <v/>
      </c>
      <c r="D978" s="27">
        <f>IF($M978&lt;&gt;"",IF(INDEX(CalcDocA,$M978)="","—",INDEX(CalcDocA,$M978)),IF($N978&lt;&gt;"",INDEX(CalcBankB,$N978),""))</f>
        <v/>
      </c>
      <c r="E978" s="28">
        <f>IF($N978&lt;&gt;"",IF(INDEX(CalcDepB,$N978)=0,"",INDEX(CalcDepB,$N978)),"")</f>
        <v/>
      </c>
      <c r="F978" s="28">
        <f>IF($M978&lt;&gt;"",IF(INDEX(CalcQtyA,$M978)=0,"",INDEX(CalcQtyA,$M978)),"")</f>
        <v/>
      </c>
      <c r="G978" s="28">
        <f>IF($M978&lt;&gt;"",IF(INDEX(CalcPriceA,$M978)=0,"",INDEX(CalcPriceA,$M978)),"")</f>
        <v/>
      </c>
      <c r="H978" s="28">
        <f>IF($N978&lt;&gt;"",IF(INDEX(CalcWitB,$N978)=0,"",INDEX(CalcWitB,$N978)),"")</f>
        <v/>
      </c>
      <c r="I978" s="29">
        <f>IF($M978&lt;&gt;"",INDEX(CalcAmtA,$M978),"")</f>
        <v/>
      </c>
      <c r="J978" s="29">
        <f>IF($B978="","",IF($J977="",$C$8,$J977)+IF($I978="",0,$I978)+IF($E978="",0,$E978)-IF($H978="",0,$H978))</f>
        <v/>
      </c>
      <c r="K978" s="30">
        <f>IF($M978&lt;&gt;"",IF(INDEX(CalcNoteA,$M978)="","—",INDEX(CalcNoteA,$M978)),IF($N978&lt;&gt;"",IF(INDEX(CalcNoteB,$N978)="","—",INDEX(CalcNoteB,$N978)),""))</f>
        <v/>
      </c>
      <c r="M978">
        <f>IFERROR(MATCH($C$5&amp;"|"&amp;RIGHT("000000"&amp;962,6),CalcRankKeyA,0),"")</f>
        <v/>
      </c>
      <c r="N978">
        <f>IFERROR(MATCH($C$5&amp;"|"&amp;RIGHT("000000"&amp;962,6),CalcRankKeyB,0),"")</f>
        <v/>
      </c>
    </row>
    <row r="979">
      <c r="A979" s="21" t="n">
        <v>963</v>
      </c>
      <c r="B979" s="22">
        <f>IF(AND($M979="",$N979=""),"",IF($M979&lt;&gt;"",INDEX(CalcDateA,$M979),INDEX(CalcDateB,$N979)))</f>
        <v/>
      </c>
      <c r="C979" s="22">
        <f>IF($M979&lt;&gt;"","خرید سبد",IF($N979&lt;&gt;"",IF(N(INDEX(CalcDepB,$N979))&gt;0,"دریافت بانکی","پرداخت بانکی"),""))</f>
        <v/>
      </c>
      <c r="D979" s="22">
        <f>IF($M979&lt;&gt;"",IF(INDEX(CalcDocA,$M979)="","—",INDEX(CalcDocA,$M979)),IF($N979&lt;&gt;"",INDEX(CalcBankB,$N979),""))</f>
        <v/>
      </c>
      <c r="E979" s="23">
        <f>IF($N979&lt;&gt;"",IF(INDEX(CalcDepB,$N979)=0,"",INDEX(CalcDepB,$N979)),"")</f>
        <v/>
      </c>
      <c r="F979" s="23">
        <f>IF($M979&lt;&gt;"",IF(INDEX(CalcQtyA,$M979)=0,"",INDEX(CalcQtyA,$M979)),"")</f>
        <v/>
      </c>
      <c r="G979" s="23">
        <f>IF($M979&lt;&gt;"",IF(INDEX(CalcPriceA,$M979)=0,"",INDEX(CalcPriceA,$M979)),"")</f>
        <v/>
      </c>
      <c r="H979" s="23">
        <f>IF($N979&lt;&gt;"",IF(INDEX(CalcWitB,$N979)=0,"",INDEX(CalcWitB,$N979)),"")</f>
        <v/>
      </c>
      <c r="I979" s="24">
        <f>IF($M979&lt;&gt;"",INDEX(CalcAmtA,$M979),"")</f>
        <v/>
      </c>
      <c r="J979" s="24">
        <f>IF($B979="","",IF($J978="",$C$8,$J978)+IF($I979="",0,$I979)+IF($E979="",0,$E979)-IF($H979="",0,$H979))</f>
        <v/>
      </c>
      <c r="K979" s="25">
        <f>IF($M979&lt;&gt;"",IF(INDEX(CalcNoteA,$M979)="","—",INDEX(CalcNoteA,$M979)),IF($N979&lt;&gt;"",IF(INDEX(CalcNoteB,$N979)="","—",INDEX(CalcNoteB,$N979)),""))</f>
        <v/>
      </c>
      <c r="M979">
        <f>IFERROR(MATCH($C$5&amp;"|"&amp;RIGHT("000000"&amp;963,6),CalcRankKeyA,0),"")</f>
        <v/>
      </c>
      <c r="N979">
        <f>IFERROR(MATCH($C$5&amp;"|"&amp;RIGHT("000000"&amp;963,6),CalcRankKeyB,0),"")</f>
        <v/>
      </c>
    </row>
    <row r="980">
      <c r="A980" s="26" t="n">
        <v>964</v>
      </c>
      <c r="B980" s="27">
        <f>IF(AND($M980="",$N980=""),"",IF($M980&lt;&gt;"",INDEX(CalcDateA,$M980),INDEX(CalcDateB,$N980)))</f>
        <v/>
      </c>
      <c r="C980" s="27">
        <f>IF($M980&lt;&gt;"","خرید سبد",IF($N980&lt;&gt;"",IF(N(INDEX(CalcDepB,$N980))&gt;0,"دریافت بانکی","پرداخت بانکی"),""))</f>
        <v/>
      </c>
      <c r="D980" s="27">
        <f>IF($M980&lt;&gt;"",IF(INDEX(CalcDocA,$M980)="","—",INDEX(CalcDocA,$M980)),IF($N980&lt;&gt;"",INDEX(CalcBankB,$N980),""))</f>
        <v/>
      </c>
      <c r="E980" s="28">
        <f>IF($N980&lt;&gt;"",IF(INDEX(CalcDepB,$N980)=0,"",INDEX(CalcDepB,$N980)),"")</f>
        <v/>
      </c>
      <c r="F980" s="28">
        <f>IF($M980&lt;&gt;"",IF(INDEX(CalcQtyA,$M980)=0,"",INDEX(CalcQtyA,$M980)),"")</f>
        <v/>
      </c>
      <c r="G980" s="28">
        <f>IF($M980&lt;&gt;"",IF(INDEX(CalcPriceA,$M980)=0,"",INDEX(CalcPriceA,$M980)),"")</f>
        <v/>
      </c>
      <c r="H980" s="28">
        <f>IF($N980&lt;&gt;"",IF(INDEX(CalcWitB,$N980)=0,"",INDEX(CalcWitB,$N980)),"")</f>
        <v/>
      </c>
      <c r="I980" s="29">
        <f>IF($M980&lt;&gt;"",INDEX(CalcAmtA,$M980),"")</f>
        <v/>
      </c>
      <c r="J980" s="29">
        <f>IF($B980="","",IF($J979="",$C$8,$J979)+IF($I980="",0,$I980)+IF($E980="",0,$E980)-IF($H980="",0,$H980))</f>
        <v/>
      </c>
      <c r="K980" s="30">
        <f>IF($M980&lt;&gt;"",IF(INDEX(CalcNoteA,$M980)="","—",INDEX(CalcNoteA,$M980)),IF($N980&lt;&gt;"",IF(INDEX(CalcNoteB,$N980)="","—",INDEX(CalcNoteB,$N980)),""))</f>
        <v/>
      </c>
      <c r="M980">
        <f>IFERROR(MATCH($C$5&amp;"|"&amp;RIGHT("000000"&amp;964,6),CalcRankKeyA,0),"")</f>
        <v/>
      </c>
      <c r="N980">
        <f>IFERROR(MATCH($C$5&amp;"|"&amp;RIGHT("000000"&amp;964,6),CalcRankKeyB,0),"")</f>
        <v/>
      </c>
    </row>
    <row r="981">
      <c r="A981" s="21" t="n">
        <v>965</v>
      </c>
      <c r="B981" s="22">
        <f>IF(AND($M981="",$N981=""),"",IF($M981&lt;&gt;"",INDEX(CalcDateA,$M981),INDEX(CalcDateB,$N981)))</f>
        <v/>
      </c>
      <c r="C981" s="22">
        <f>IF($M981&lt;&gt;"","خرید سبد",IF($N981&lt;&gt;"",IF(N(INDEX(CalcDepB,$N981))&gt;0,"دریافت بانکی","پرداخت بانکی"),""))</f>
        <v/>
      </c>
      <c r="D981" s="22">
        <f>IF($M981&lt;&gt;"",IF(INDEX(CalcDocA,$M981)="","—",INDEX(CalcDocA,$M981)),IF($N981&lt;&gt;"",INDEX(CalcBankB,$N981),""))</f>
        <v/>
      </c>
      <c r="E981" s="23">
        <f>IF($N981&lt;&gt;"",IF(INDEX(CalcDepB,$N981)=0,"",INDEX(CalcDepB,$N981)),"")</f>
        <v/>
      </c>
      <c r="F981" s="23">
        <f>IF($M981&lt;&gt;"",IF(INDEX(CalcQtyA,$M981)=0,"",INDEX(CalcQtyA,$M981)),"")</f>
        <v/>
      </c>
      <c r="G981" s="23">
        <f>IF($M981&lt;&gt;"",IF(INDEX(CalcPriceA,$M981)=0,"",INDEX(CalcPriceA,$M981)),"")</f>
        <v/>
      </c>
      <c r="H981" s="23">
        <f>IF($N981&lt;&gt;"",IF(INDEX(CalcWitB,$N981)=0,"",INDEX(CalcWitB,$N981)),"")</f>
        <v/>
      </c>
      <c r="I981" s="24">
        <f>IF($M981&lt;&gt;"",INDEX(CalcAmtA,$M981),"")</f>
        <v/>
      </c>
      <c r="J981" s="24">
        <f>IF($B981="","",IF($J980="",$C$8,$J980)+IF($I981="",0,$I981)+IF($E981="",0,$E981)-IF($H981="",0,$H981))</f>
        <v/>
      </c>
      <c r="K981" s="25">
        <f>IF($M981&lt;&gt;"",IF(INDEX(CalcNoteA,$M981)="","—",INDEX(CalcNoteA,$M981)),IF($N981&lt;&gt;"",IF(INDEX(CalcNoteB,$N981)="","—",INDEX(CalcNoteB,$N981)),""))</f>
        <v/>
      </c>
      <c r="M981">
        <f>IFERROR(MATCH($C$5&amp;"|"&amp;RIGHT("000000"&amp;965,6),CalcRankKeyA,0),"")</f>
        <v/>
      </c>
      <c r="N981">
        <f>IFERROR(MATCH($C$5&amp;"|"&amp;RIGHT("000000"&amp;965,6),CalcRankKeyB,0),"")</f>
        <v/>
      </c>
    </row>
    <row r="982">
      <c r="A982" s="26" t="n">
        <v>966</v>
      </c>
      <c r="B982" s="27">
        <f>IF(AND($M982="",$N982=""),"",IF($M982&lt;&gt;"",INDEX(CalcDateA,$M982),INDEX(CalcDateB,$N982)))</f>
        <v/>
      </c>
      <c r="C982" s="27">
        <f>IF($M982&lt;&gt;"","خرید سبد",IF($N982&lt;&gt;"",IF(N(INDEX(CalcDepB,$N982))&gt;0,"دریافت بانکی","پرداخت بانکی"),""))</f>
        <v/>
      </c>
      <c r="D982" s="27">
        <f>IF($M982&lt;&gt;"",IF(INDEX(CalcDocA,$M982)="","—",INDEX(CalcDocA,$M982)),IF($N982&lt;&gt;"",INDEX(CalcBankB,$N982),""))</f>
        <v/>
      </c>
      <c r="E982" s="28">
        <f>IF($N982&lt;&gt;"",IF(INDEX(CalcDepB,$N982)=0,"",INDEX(CalcDepB,$N982)),"")</f>
        <v/>
      </c>
      <c r="F982" s="28">
        <f>IF($M982&lt;&gt;"",IF(INDEX(CalcQtyA,$M982)=0,"",INDEX(CalcQtyA,$M982)),"")</f>
        <v/>
      </c>
      <c r="G982" s="28">
        <f>IF($M982&lt;&gt;"",IF(INDEX(CalcPriceA,$M982)=0,"",INDEX(CalcPriceA,$M982)),"")</f>
        <v/>
      </c>
      <c r="H982" s="28">
        <f>IF($N982&lt;&gt;"",IF(INDEX(CalcWitB,$N982)=0,"",INDEX(CalcWitB,$N982)),"")</f>
        <v/>
      </c>
      <c r="I982" s="29">
        <f>IF($M982&lt;&gt;"",INDEX(CalcAmtA,$M982),"")</f>
        <v/>
      </c>
      <c r="J982" s="29">
        <f>IF($B982="","",IF($J981="",$C$8,$J981)+IF($I982="",0,$I982)+IF($E982="",0,$E982)-IF($H982="",0,$H982))</f>
        <v/>
      </c>
      <c r="K982" s="30">
        <f>IF($M982&lt;&gt;"",IF(INDEX(CalcNoteA,$M982)="","—",INDEX(CalcNoteA,$M982)),IF($N982&lt;&gt;"",IF(INDEX(CalcNoteB,$N982)="","—",INDEX(CalcNoteB,$N982)),""))</f>
        <v/>
      </c>
      <c r="M982">
        <f>IFERROR(MATCH($C$5&amp;"|"&amp;RIGHT("000000"&amp;966,6),CalcRankKeyA,0),"")</f>
        <v/>
      </c>
      <c r="N982">
        <f>IFERROR(MATCH($C$5&amp;"|"&amp;RIGHT("000000"&amp;966,6),CalcRankKeyB,0),"")</f>
        <v/>
      </c>
    </row>
    <row r="983">
      <c r="A983" s="21" t="n">
        <v>967</v>
      </c>
      <c r="B983" s="22">
        <f>IF(AND($M983="",$N983=""),"",IF($M983&lt;&gt;"",INDEX(CalcDateA,$M983),INDEX(CalcDateB,$N983)))</f>
        <v/>
      </c>
      <c r="C983" s="22">
        <f>IF($M983&lt;&gt;"","خرید سبد",IF($N983&lt;&gt;"",IF(N(INDEX(CalcDepB,$N983))&gt;0,"دریافت بانکی","پرداخت بانکی"),""))</f>
        <v/>
      </c>
      <c r="D983" s="22">
        <f>IF($M983&lt;&gt;"",IF(INDEX(CalcDocA,$M983)="","—",INDEX(CalcDocA,$M983)),IF($N983&lt;&gt;"",INDEX(CalcBankB,$N983),""))</f>
        <v/>
      </c>
      <c r="E983" s="23">
        <f>IF($N983&lt;&gt;"",IF(INDEX(CalcDepB,$N983)=0,"",INDEX(CalcDepB,$N983)),"")</f>
        <v/>
      </c>
      <c r="F983" s="23">
        <f>IF($M983&lt;&gt;"",IF(INDEX(CalcQtyA,$M983)=0,"",INDEX(CalcQtyA,$M983)),"")</f>
        <v/>
      </c>
      <c r="G983" s="23">
        <f>IF($M983&lt;&gt;"",IF(INDEX(CalcPriceA,$M983)=0,"",INDEX(CalcPriceA,$M983)),"")</f>
        <v/>
      </c>
      <c r="H983" s="23">
        <f>IF($N983&lt;&gt;"",IF(INDEX(CalcWitB,$N983)=0,"",INDEX(CalcWitB,$N983)),"")</f>
        <v/>
      </c>
      <c r="I983" s="24">
        <f>IF($M983&lt;&gt;"",INDEX(CalcAmtA,$M983),"")</f>
        <v/>
      </c>
      <c r="J983" s="24">
        <f>IF($B983="","",IF($J982="",$C$8,$J982)+IF($I983="",0,$I983)+IF($E983="",0,$E983)-IF($H983="",0,$H983))</f>
        <v/>
      </c>
      <c r="K983" s="25">
        <f>IF($M983&lt;&gt;"",IF(INDEX(CalcNoteA,$M983)="","—",INDEX(CalcNoteA,$M983)),IF($N983&lt;&gt;"",IF(INDEX(CalcNoteB,$N983)="","—",INDEX(CalcNoteB,$N983)),""))</f>
        <v/>
      </c>
      <c r="M983">
        <f>IFERROR(MATCH($C$5&amp;"|"&amp;RIGHT("000000"&amp;967,6),CalcRankKeyA,0),"")</f>
        <v/>
      </c>
      <c r="N983">
        <f>IFERROR(MATCH($C$5&amp;"|"&amp;RIGHT("000000"&amp;967,6),CalcRankKeyB,0),"")</f>
        <v/>
      </c>
    </row>
    <row r="984">
      <c r="A984" s="26" t="n">
        <v>968</v>
      </c>
      <c r="B984" s="27">
        <f>IF(AND($M984="",$N984=""),"",IF($M984&lt;&gt;"",INDEX(CalcDateA,$M984),INDEX(CalcDateB,$N984)))</f>
        <v/>
      </c>
      <c r="C984" s="27">
        <f>IF($M984&lt;&gt;"","خرید سبد",IF($N984&lt;&gt;"",IF(N(INDEX(CalcDepB,$N984))&gt;0,"دریافت بانکی","پرداخت بانکی"),""))</f>
        <v/>
      </c>
      <c r="D984" s="27">
        <f>IF($M984&lt;&gt;"",IF(INDEX(CalcDocA,$M984)="","—",INDEX(CalcDocA,$M984)),IF($N984&lt;&gt;"",INDEX(CalcBankB,$N984),""))</f>
        <v/>
      </c>
      <c r="E984" s="28">
        <f>IF($N984&lt;&gt;"",IF(INDEX(CalcDepB,$N984)=0,"",INDEX(CalcDepB,$N984)),"")</f>
        <v/>
      </c>
      <c r="F984" s="28">
        <f>IF($M984&lt;&gt;"",IF(INDEX(CalcQtyA,$M984)=0,"",INDEX(CalcQtyA,$M984)),"")</f>
        <v/>
      </c>
      <c r="G984" s="28">
        <f>IF($M984&lt;&gt;"",IF(INDEX(CalcPriceA,$M984)=0,"",INDEX(CalcPriceA,$M984)),"")</f>
        <v/>
      </c>
      <c r="H984" s="28">
        <f>IF($N984&lt;&gt;"",IF(INDEX(CalcWitB,$N984)=0,"",INDEX(CalcWitB,$N984)),"")</f>
        <v/>
      </c>
      <c r="I984" s="29">
        <f>IF($M984&lt;&gt;"",INDEX(CalcAmtA,$M984),"")</f>
        <v/>
      </c>
      <c r="J984" s="29">
        <f>IF($B984="","",IF($J983="",$C$8,$J983)+IF($I984="",0,$I984)+IF($E984="",0,$E984)-IF($H984="",0,$H984))</f>
        <v/>
      </c>
      <c r="K984" s="30">
        <f>IF($M984&lt;&gt;"",IF(INDEX(CalcNoteA,$M984)="","—",INDEX(CalcNoteA,$M984)),IF($N984&lt;&gt;"",IF(INDEX(CalcNoteB,$N984)="","—",INDEX(CalcNoteB,$N984)),""))</f>
        <v/>
      </c>
      <c r="M984">
        <f>IFERROR(MATCH($C$5&amp;"|"&amp;RIGHT("000000"&amp;968,6),CalcRankKeyA,0),"")</f>
        <v/>
      </c>
      <c r="N984">
        <f>IFERROR(MATCH($C$5&amp;"|"&amp;RIGHT("000000"&amp;968,6),CalcRankKeyB,0),"")</f>
        <v/>
      </c>
    </row>
    <row r="985">
      <c r="A985" s="21" t="n">
        <v>969</v>
      </c>
      <c r="B985" s="22">
        <f>IF(AND($M985="",$N985=""),"",IF($M985&lt;&gt;"",INDEX(CalcDateA,$M985),INDEX(CalcDateB,$N985)))</f>
        <v/>
      </c>
      <c r="C985" s="22">
        <f>IF($M985&lt;&gt;"","خرید سبد",IF($N985&lt;&gt;"",IF(N(INDEX(CalcDepB,$N985))&gt;0,"دریافت بانکی","پرداخت بانکی"),""))</f>
        <v/>
      </c>
      <c r="D985" s="22">
        <f>IF($M985&lt;&gt;"",IF(INDEX(CalcDocA,$M985)="","—",INDEX(CalcDocA,$M985)),IF($N985&lt;&gt;"",INDEX(CalcBankB,$N985),""))</f>
        <v/>
      </c>
      <c r="E985" s="23">
        <f>IF($N985&lt;&gt;"",IF(INDEX(CalcDepB,$N985)=0,"",INDEX(CalcDepB,$N985)),"")</f>
        <v/>
      </c>
      <c r="F985" s="23">
        <f>IF($M985&lt;&gt;"",IF(INDEX(CalcQtyA,$M985)=0,"",INDEX(CalcQtyA,$M985)),"")</f>
        <v/>
      </c>
      <c r="G985" s="23">
        <f>IF($M985&lt;&gt;"",IF(INDEX(CalcPriceA,$M985)=0,"",INDEX(CalcPriceA,$M985)),"")</f>
        <v/>
      </c>
      <c r="H985" s="23">
        <f>IF($N985&lt;&gt;"",IF(INDEX(CalcWitB,$N985)=0,"",INDEX(CalcWitB,$N985)),"")</f>
        <v/>
      </c>
      <c r="I985" s="24">
        <f>IF($M985&lt;&gt;"",INDEX(CalcAmtA,$M985),"")</f>
        <v/>
      </c>
      <c r="J985" s="24">
        <f>IF($B985="","",IF($J984="",$C$8,$J984)+IF($I985="",0,$I985)+IF($E985="",0,$E985)-IF($H985="",0,$H985))</f>
        <v/>
      </c>
      <c r="K985" s="25">
        <f>IF($M985&lt;&gt;"",IF(INDEX(CalcNoteA,$M985)="","—",INDEX(CalcNoteA,$M985)),IF($N985&lt;&gt;"",IF(INDEX(CalcNoteB,$N985)="","—",INDEX(CalcNoteB,$N985)),""))</f>
        <v/>
      </c>
      <c r="M985">
        <f>IFERROR(MATCH($C$5&amp;"|"&amp;RIGHT("000000"&amp;969,6),CalcRankKeyA,0),"")</f>
        <v/>
      </c>
      <c r="N985">
        <f>IFERROR(MATCH($C$5&amp;"|"&amp;RIGHT("000000"&amp;969,6),CalcRankKeyB,0),"")</f>
        <v/>
      </c>
    </row>
    <row r="986">
      <c r="A986" s="26" t="n">
        <v>970</v>
      </c>
      <c r="B986" s="27">
        <f>IF(AND($M986="",$N986=""),"",IF($M986&lt;&gt;"",INDEX(CalcDateA,$M986),INDEX(CalcDateB,$N986)))</f>
        <v/>
      </c>
      <c r="C986" s="27">
        <f>IF($M986&lt;&gt;"","خرید سبد",IF($N986&lt;&gt;"",IF(N(INDEX(CalcDepB,$N986))&gt;0,"دریافت بانکی","پرداخت بانکی"),""))</f>
        <v/>
      </c>
      <c r="D986" s="27">
        <f>IF($M986&lt;&gt;"",IF(INDEX(CalcDocA,$M986)="","—",INDEX(CalcDocA,$M986)),IF($N986&lt;&gt;"",INDEX(CalcBankB,$N986),""))</f>
        <v/>
      </c>
      <c r="E986" s="28">
        <f>IF($N986&lt;&gt;"",IF(INDEX(CalcDepB,$N986)=0,"",INDEX(CalcDepB,$N986)),"")</f>
        <v/>
      </c>
      <c r="F986" s="28">
        <f>IF($M986&lt;&gt;"",IF(INDEX(CalcQtyA,$M986)=0,"",INDEX(CalcQtyA,$M986)),"")</f>
        <v/>
      </c>
      <c r="G986" s="28">
        <f>IF($M986&lt;&gt;"",IF(INDEX(CalcPriceA,$M986)=0,"",INDEX(CalcPriceA,$M986)),"")</f>
        <v/>
      </c>
      <c r="H986" s="28">
        <f>IF($N986&lt;&gt;"",IF(INDEX(CalcWitB,$N986)=0,"",INDEX(CalcWitB,$N986)),"")</f>
        <v/>
      </c>
      <c r="I986" s="29">
        <f>IF($M986&lt;&gt;"",INDEX(CalcAmtA,$M986),"")</f>
        <v/>
      </c>
      <c r="J986" s="29">
        <f>IF($B986="","",IF($J985="",$C$8,$J985)+IF($I986="",0,$I986)+IF($E986="",0,$E986)-IF($H986="",0,$H986))</f>
        <v/>
      </c>
      <c r="K986" s="30">
        <f>IF($M986&lt;&gt;"",IF(INDEX(CalcNoteA,$M986)="","—",INDEX(CalcNoteA,$M986)),IF($N986&lt;&gt;"",IF(INDEX(CalcNoteB,$N986)="","—",INDEX(CalcNoteB,$N986)),""))</f>
        <v/>
      </c>
      <c r="M986">
        <f>IFERROR(MATCH($C$5&amp;"|"&amp;RIGHT("000000"&amp;970,6),CalcRankKeyA,0),"")</f>
        <v/>
      </c>
      <c r="N986">
        <f>IFERROR(MATCH($C$5&amp;"|"&amp;RIGHT("000000"&amp;970,6),CalcRankKeyB,0),"")</f>
        <v/>
      </c>
    </row>
    <row r="987">
      <c r="A987" s="21" t="n">
        <v>971</v>
      </c>
      <c r="B987" s="22">
        <f>IF(AND($M987="",$N987=""),"",IF($M987&lt;&gt;"",INDEX(CalcDateA,$M987),INDEX(CalcDateB,$N987)))</f>
        <v/>
      </c>
      <c r="C987" s="22">
        <f>IF($M987&lt;&gt;"","خرید سبد",IF($N987&lt;&gt;"",IF(N(INDEX(CalcDepB,$N987))&gt;0,"دریافت بانکی","پرداخت بانکی"),""))</f>
        <v/>
      </c>
      <c r="D987" s="22">
        <f>IF($M987&lt;&gt;"",IF(INDEX(CalcDocA,$M987)="","—",INDEX(CalcDocA,$M987)),IF($N987&lt;&gt;"",INDEX(CalcBankB,$N987),""))</f>
        <v/>
      </c>
      <c r="E987" s="23">
        <f>IF($N987&lt;&gt;"",IF(INDEX(CalcDepB,$N987)=0,"",INDEX(CalcDepB,$N987)),"")</f>
        <v/>
      </c>
      <c r="F987" s="23">
        <f>IF($M987&lt;&gt;"",IF(INDEX(CalcQtyA,$M987)=0,"",INDEX(CalcQtyA,$M987)),"")</f>
        <v/>
      </c>
      <c r="G987" s="23">
        <f>IF($M987&lt;&gt;"",IF(INDEX(CalcPriceA,$M987)=0,"",INDEX(CalcPriceA,$M987)),"")</f>
        <v/>
      </c>
      <c r="H987" s="23">
        <f>IF($N987&lt;&gt;"",IF(INDEX(CalcWitB,$N987)=0,"",INDEX(CalcWitB,$N987)),"")</f>
        <v/>
      </c>
      <c r="I987" s="24">
        <f>IF($M987&lt;&gt;"",INDEX(CalcAmtA,$M987),"")</f>
        <v/>
      </c>
      <c r="J987" s="24">
        <f>IF($B987="","",IF($J986="",$C$8,$J986)+IF($I987="",0,$I987)+IF($E987="",0,$E987)-IF($H987="",0,$H987))</f>
        <v/>
      </c>
      <c r="K987" s="25">
        <f>IF($M987&lt;&gt;"",IF(INDEX(CalcNoteA,$M987)="","—",INDEX(CalcNoteA,$M987)),IF($N987&lt;&gt;"",IF(INDEX(CalcNoteB,$N987)="","—",INDEX(CalcNoteB,$N987)),""))</f>
        <v/>
      </c>
      <c r="M987">
        <f>IFERROR(MATCH($C$5&amp;"|"&amp;RIGHT("000000"&amp;971,6),CalcRankKeyA,0),"")</f>
        <v/>
      </c>
      <c r="N987">
        <f>IFERROR(MATCH($C$5&amp;"|"&amp;RIGHT("000000"&amp;971,6),CalcRankKeyB,0),"")</f>
        <v/>
      </c>
    </row>
    <row r="988">
      <c r="A988" s="26" t="n">
        <v>972</v>
      </c>
      <c r="B988" s="27">
        <f>IF(AND($M988="",$N988=""),"",IF($M988&lt;&gt;"",INDEX(CalcDateA,$M988),INDEX(CalcDateB,$N988)))</f>
        <v/>
      </c>
      <c r="C988" s="27">
        <f>IF($M988&lt;&gt;"","خرید سبد",IF($N988&lt;&gt;"",IF(N(INDEX(CalcDepB,$N988))&gt;0,"دریافت بانکی","پرداخت بانکی"),""))</f>
        <v/>
      </c>
      <c r="D988" s="27">
        <f>IF($M988&lt;&gt;"",IF(INDEX(CalcDocA,$M988)="","—",INDEX(CalcDocA,$M988)),IF($N988&lt;&gt;"",INDEX(CalcBankB,$N988),""))</f>
        <v/>
      </c>
      <c r="E988" s="28">
        <f>IF($N988&lt;&gt;"",IF(INDEX(CalcDepB,$N988)=0,"",INDEX(CalcDepB,$N988)),"")</f>
        <v/>
      </c>
      <c r="F988" s="28">
        <f>IF($M988&lt;&gt;"",IF(INDEX(CalcQtyA,$M988)=0,"",INDEX(CalcQtyA,$M988)),"")</f>
        <v/>
      </c>
      <c r="G988" s="28">
        <f>IF($M988&lt;&gt;"",IF(INDEX(CalcPriceA,$M988)=0,"",INDEX(CalcPriceA,$M988)),"")</f>
        <v/>
      </c>
      <c r="H988" s="28">
        <f>IF($N988&lt;&gt;"",IF(INDEX(CalcWitB,$N988)=0,"",INDEX(CalcWitB,$N988)),"")</f>
        <v/>
      </c>
      <c r="I988" s="29">
        <f>IF($M988&lt;&gt;"",INDEX(CalcAmtA,$M988),"")</f>
        <v/>
      </c>
      <c r="J988" s="29">
        <f>IF($B988="","",IF($J987="",$C$8,$J987)+IF($I988="",0,$I988)+IF($E988="",0,$E988)-IF($H988="",0,$H988))</f>
        <v/>
      </c>
      <c r="K988" s="30">
        <f>IF($M988&lt;&gt;"",IF(INDEX(CalcNoteA,$M988)="","—",INDEX(CalcNoteA,$M988)),IF($N988&lt;&gt;"",IF(INDEX(CalcNoteB,$N988)="","—",INDEX(CalcNoteB,$N988)),""))</f>
        <v/>
      </c>
      <c r="M988">
        <f>IFERROR(MATCH($C$5&amp;"|"&amp;RIGHT("000000"&amp;972,6),CalcRankKeyA,0),"")</f>
        <v/>
      </c>
      <c r="N988">
        <f>IFERROR(MATCH($C$5&amp;"|"&amp;RIGHT("000000"&amp;972,6),CalcRankKeyB,0),"")</f>
        <v/>
      </c>
    </row>
    <row r="989">
      <c r="A989" s="21" t="n">
        <v>973</v>
      </c>
      <c r="B989" s="22">
        <f>IF(AND($M989="",$N989=""),"",IF($M989&lt;&gt;"",INDEX(CalcDateA,$M989),INDEX(CalcDateB,$N989)))</f>
        <v/>
      </c>
      <c r="C989" s="22">
        <f>IF($M989&lt;&gt;"","خرید سبد",IF($N989&lt;&gt;"",IF(N(INDEX(CalcDepB,$N989))&gt;0,"دریافت بانکی","پرداخت بانکی"),""))</f>
        <v/>
      </c>
      <c r="D989" s="22">
        <f>IF($M989&lt;&gt;"",IF(INDEX(CalcDocA,$M989)="","—",INDEX(CalcDocA,$M989)),IF($N989&lt;&gt;"",INDEX(CalcBankB,$N989),""))</f>
        <v/>
      </c>
      <c r="E989" s="23">
        <f>IF($N989&lt;&gt;"",IF(INDEX(CalcDepB,$N989)=0,"",INDEX(CalcDepB,$N989)),"")</f>
        <v/>
      </c>
      <c r="F989" s="23">
        <f>IF($M989&lt;&gt;"",IF(INDEX(CalcQtyA,$M989)=0,"",INDEX(CalcQtyA,$M989)),"")</f>
        <v/>
      </c>
      <c r="G989" s="23">
        <f>IF($M989&lt;&gt;"",IF(INDEX(CalcPriceA,$M989)=0,"",INDEX(CalcPriceA,$M989)),"")</f>
        <v/>
      </c>
      <c r="H989" s="23">
        <f>IF($N989&lt;&gt;"",IF(INDEX(CalcWitB,$N989)=0,"",INDEX(CalcWitB,$N989)),"")</f>
        <v/>
      </c>
      <c r="I989" s="24">
        <f>IF($M989&lt;&gt;"",INDEX(CalcAmtA,$M989),"")</f>
        <v/>
      </c>
      <c r="J989" s="24">
        <f>IF($B989="","",IF($J988="",$C$8,$J988)+IF($I989="",0,$I989)+IF($E989="",0,$E989)-IF($H989="",0,$H989))</f>
        <v/>
      </c>
      <c r="K989" s="25">
        <f>IF($M989&lt;&gt;"",IF(INDEX(CalcNoteA,$M989)="","—",INDEX(CalcNoteA,$M989)),IF($N989&lt;&gt;"",IF(INDEX(CalcNoteB,$N989)="","—",INDEX(CalcNoteB,$N989)),""))</f>
        <v/>
      </c>
      <c r="M989">
        <f>IFERROR(MATCH($C$5&amp;"|"&amp;RIGHT("000000"&amp;973,6),CalcRankKeyA,0),"")</f>
        <v/>
      </c>
      <c r="N989">
        <f>IFERROR(MATCH($C$5&amp;"|"&amp;RIGHT("000000"&amp;973,6),CalcRankKeyB,0),"")</f>
        <v/>
      </c>
    </row>
    <row r="990">
      <c r="A990" s="26" t="n">
        <v>974</v>
      </c>
      <c r="B990" s="27">
        <f>IF(AND($M990="",$N990=""),"",IF($M990&lt;&gt;"",INDEX(CalcDateA,$M990),INDEX(CalcDateB,$N990)))</f>
        <v/>
      </c>
      <c r="C990" s="27">
        <f>IF($M990&lt;&gt;"","خرید سبد",IF($N990&lt;&gt;"",IF(N(INDEX(CalcDepB,$N990))&gt;0,"دریافت بانکی","پرداخت بانکی"),""))</f>
        <v/>
      </c>
      <c r="D990" s="27">
        <f>IF($M990&lt;&gt;"",IF(INDEX(CalcDocA,$M990)="","—",INDEX(CalcDocA,$M990)),IF($N990&lt;&gt;"",INDEX(CalcBankB,$N990),""))</f>
        <v/>
      </c>
      <c r="E990" s="28">
        <f>IF($N990&lt;&gt;"",IF(INDEX(CalcDepB,$N990)=0,"",INDEX(CalcDepB,$N990)),"")</f>
        <v/>
      </c>
      <c r="F990" s="28">
        <f>IF($M990&lt;&gt;"",IF(INDEX(CalcQtyA,$M990)=0,"",INDEX(CalcQtyA,$M990)),"")</f>
        <v/>
      </c>
      <c r="G990" s="28">
        <f>IF($M990&lt;&gt;"",IF(INDEX(CalcPriceA,$M990)=0,"",INDEX(CalcPriceA,$M990)),"")</f>
        <v/>
      </c>
      <c r="H990" s="28">
        <f>IF($N990&lt;&gt;"",IF(INDEX(CalcWitB,$N990)=0,"",INDEX(CalcWitB,$N990)),"")</f>
        <v/>
      </c>
      <c r="I990" s="29">
        <f>IF($M990&lt;&gt;"",INDEX(CalcAmtA,$M990),"")</f>
        <v/>
      </c>
      <c r="J990" s="29">
        <f>IF($B990="","",IF($J989="",$C$8,$J989)+IF($I990="",0,$I990)+IF($E990="",0,$E990)-IF($H990="",0,$H990))</f>
        <v/>
      </c>
      <c r="K990" s="30">
        <f>IF($M990&lt;&gt;"",IF(INDEX(CalcNoteA,$M990)="","—",INDEX(CalcNoteA,$M990)),IF($N990&lt;&gt;"",IF(INDEX(CalcNoteB,$N990)="","—",INDEX(CalcNoteB,$N990)),""))</f>
        <v/>
      </c>
      <c r="M990">
        <f>IFERROR(MATCH($C$5&amp;"|"&amp;RIGHT("000000"&amp;974,6),CalcRankKeyA,0),"")</f>
        <v/>
      </c>
      <c r="N990">
        <f>IFERROR(MATCH($C$5&amp;"|"&amp;RIGHT("000000"&amp;974,6),CalcRankKeyB,0),"")</f>
        <v/>
      </c>
    </row>
    <row r="991">
      <c r="A991" s="21" t="n">
        <v>975</v>
      </c>
      <c r="B991" s="22">
        <f>IF(AND($M991="",$N991=""),"",IF($M991&lt;&gt;"",INDEX(CalcDateA,$M991),INDEX(CalcDateB,$N991)))</f>
        <v/>
      </c>
      <c r="C991" s="22">
        <f>IF($M991&lt;&gt;"","خرید سبد",IF($N991&lt;&gt;"",IF(N(INDEX(CalcDepB,$N991))&gt;0,"دریافت بانکی","پرداخت بانکی"),""))</f>
        <v/>
      </c>
      <c r="D991" s="22">
        <f>IF($M991&lt;&gt;"",IF(INDEX(CalcDocA,$M991)="","—",INDEX(CalcDocA,$M991)),IF($N991&lt;&gt;"",INDEX(CalcBankB,$N991),""))</f>
        <v/>
      </c>
      <c r="E991" s="23">
        <f>IF($N991&lt;&gt;"",IF(INDEX(CalcDepB,$N991)=0,"",INDEX(CalcDepB,$N991)),"")</f>
        <v/>
      </c>
      <c r="F991" s="23">
        <f>IF($M991&lt;&gt;"",IF(INDEX(CalcQtyA,$M991)=0,"",INDEX(CalcQtyA,$M991)),"")</f>
        <v/>
      </c>
      <c r="G991" s="23">
        <f>IF($M991&lt;&gt;"",IF(INDEX(CalcPriceA,$M991)=0,"",INDEX(CalcPriceA,$M991)),"")</f>
        <v/>
      </c>
      <c r="H991" s="23">
        <f>IF($N991&lt;&gt;"",IF(INDEX(CalcWitB,$N991)=0,"",INDEX(CalcWitB,$N991)),"")</f>
        <v/>
      </c>
      <c r="I991" s="24">
        <f>IF($M991&lt;&gt;"",INDEX(CalcAmtA,$M991),"")</f>
        <v/>
      </c>
      <c r="J991" s="24">
        <f>IF($B991="","",IF($J990="",$C$8,$J990)+IF($I991="",0,$I991)+IF($E991="",0,$E991)-IF($H991="",0,$H991))</f>
        <v/>
      </c>
      <c r="K991" s="25">
        <f>IF($M991&lt;&gt;"",IF(INDEX(CalcNoteA,$M991)="","—",INDEX(CalcNoteA,$M991)),IF($N991&lt;&gt;"",IF(INDEX(CalcNoteB,$N991)="","—",INDEX(CalcNoteB,$N991)),""))</f>
        <v/>
      </c>
      <c r="M991">
        <f>IFERROR(MATCH($C$5&amp;"|"&amp;RIGHT("000000"&amp;975,6),CalcRankKeyA,0),"")</f>
        <v/>
      </c>
      <c r="N991">
        <f>IFERROR(MATCH($C$5&amp;"|"&amp;RIGHT("000000"&amp;975,6),CalcRankKeyB,0),"")</f>
        <v/>
      </c>
    </row>
    <row r="992">
      <c r="A992" s="26" t="n">
        <v>976</v>
      </c>
      <c r="B992" s="27">
        <f>IF(AND($M992="",$N992=""),"",IF($M992&lt;&gt;"",INDEX(CalcDateA,$M992),INDEX(CalcDateB,$N992)))</f>
        <v/>
      </c>
      <c r="C992" s="27">
        <f>IF($M992&lt;&gt;"","خرید سبد",IF($N992&lt;&gt;"",IF(N(INDEX(CalcDepB,$N992))&gt;0,"دریافت بانکی","پرداخت بانکی"),""))</f>
        <v/>
      </c>
      <c r="D992" s="27">
        <f>IF($M992&lt;&gt;"",IF(INDEX(CalcDocA,$M992)="","—",INDEX(CalcDocA,$M992)),IF($N992&lt;&gt;"",INDEX(CalcBankB,$N992),""))</f>
        <v/>
      </c>
      <c r="E992" s="28">
        <f>IF($N992&lt;&gt;"",IF(INDEX(CalcDepB,$N992)=0,"",INDEX(CalcDepB,$N992)),"")</f>
        <v/>
      </c>
      <c r="F992" s="28">
        <f>IF($M992&lt;&gt;"",IF(INDEX(CalcQtyA,$M992)=0,"",INDEX(CalcQtyA,$M992)),"")</f>
        <v/>
      </c>
      <c r="G992" s="28">
        <f>IF($M992&lt;&gt;"",IF(INDEX(CalcPriceA,$M992)=0,"",INDEX(CalcPriceA,$M992)),"")</f>
        <v/>
      </c>
      <c r="H992" s="28">
        <f>IF($N992&lt;&gt;"",IF(INDEX(CalcWitB,$N992)=0,"",INDEX(CalcWitB,$N992)),"")</f>
        <v/>
      </c>
      <c r="I992" s="29">
        <f>IF($M992&lt;&gt;"",INDEX(CalcAmtA,$M992),"")</f>
        <v/>
      </c>
      <c r="J992" s="29">
        <f>IF($B992="","",IF($J991="",$C$8,$J991)+IF($I992="",0,$I992)+IF($E992="",0,$E992)-IF($H992="",0,$H992))</f>
        <v/>
      </c>
      <c r="K992" s="30">
        <f>IF($M992&lt;&gt;"",IF(INDEX(CalcNoteA,$M992)="","—",INDEX(CalcNoteA,$M992)),IF($N992&lt;&gt;"",IF(INDEX(CalcNoteB,$N992)="","—",INDEX(CalcNoteB,$N992)),""))</f>
        <v/>
      </c>
      <c r="M992">
        <f>IFERROR(MATCH($C$5&amp;"|"&amp;RIGHT("000000"&amp;976,6),CalcRankKeyA,0),"")</f>
        <v/>
      </c>
      <c r="N992">
        <f>IFERROR(MATCH($C$5&amp;"|"&amp;RIGHT("000000"&amp;976,6),CalcRankKeyB,0),"")</f>
        <v/>
      </c>
    </row>
    <row r="993">
      <c r="A993" s="21" t="n">
        <v>977</v>
      </c>
      <c r="B993" s="22">
        <f>IF(AND($M993="",$N993=""),"",IF($M993&lt;&gt;"",INDEX(CalcDateA,$M993),INDEX(CalcDateB,$N993)))</f>
        <v/>
      </c>
      <c r="C993" s="22">
        <f>IF($M993&lt;&gt;"","خرید سبد",IF($N993&lt;&gt;"",IF(N(INDEX(CalcDepB,$N993))&gt;0,"دریافت بانکی","پرداخت بانکی"),""))</f>
        <v/>
      </c>
      <c r="D993" s="22">
        <f>IF($M993&lt;&gt;"",IF(INDEX(CalcDocA,$M993)="","—",INDEX(CalcDocA,$M993)),IF($N993&lt;&gt;"",INDEX(CalcBankB,$N993),""))</f>
        <v/>
      </c>
      <c r="E993" s="23">
        <f>IF($N993&lt;&gt;"",IF(INDEX(CalcDepB,$N993)=0,"",INDEX(CalcDepB,$N993)),"")</f>
        <v/>
      </c>
      <c r="F993" s="23">
        <f>IF($M993&lt;&gt;"",IF(INDEX(CalcQtyA,$M993)=0,"",INDEX(CalcQtyA,$M993)),"")</f>
        <v/>
      </c>
      <c r="G993" s="23">
        <f>IF($M993&lt;&gt;"",IF(INDEX(CalcPriceA,$M993)=0,"",INDEX(CalcPriceA,$M993)),"")</f>
        <v/>
      </c>
      <c r="H993" s="23">
        <f>IF($N993&lt;&gt;"",IF(INDEX(CalcWitB,$N993)=0,"",INDEX(CalcWitB,$N993)),"")</f>
        <v/>
      </c>
      <c r="I993" s="24">
        <f>IF($M993&lt;&gt;"",INDEX(CalcAmtA,$M993),"")</f>
        <v/>
      </c>
      <c r="J993" s="24">
        <f>IF($B993="","",IF($J992="",$C$8,$J992)+IF($I993="",0,$I993)+IF($E993="",0,$E993)-IF($H993="",0,$H993))</f>
        <v/>
      </c>
      <c r="K993" s="25">
        <f>IF($M993&lt;&gt;"",IF(INDEX(CalcNoteA,$M993)="","—",INDEX(CalcNoteA,$M993)),IF($N993&lt;&gt;"",IF(INDEX(CalcNoteB,$N993)="","—",INDEX(CalcNoteB,$N993)),""))</f>
        <v/>
      </c>
      <c r="M993">
        <f>IFERROR(MATCH($C$5&amp;"|"&amp;RIGHT("000000"&amp;977,6),CalcRankKeyA,0),"")</f>
        <v/>
      </c>
      <c r="N993">
        <f>IFERROR(MATCH($C$5&amp;"|"&amp;RIGHT("000000"&amp;977,6),CalcRankKeyB,0),"")</f>
        <v/>
      </c>
    </row>
    <row r="994">
      <c r="A994" s="26" t="n">
        <v>978</v>
      </c>
      <c r="B994" s="27">
        <f>IF(AND($M994="",$N994=""),"",IF($M994&lt;&gt;"",INDEX(CalcDateA,$M994),INDEX(CalcDateB,$N994)))</f>
        <v/>
      </c>
      <c r="C994" s="27">
        <f>IF($M994&lt;&gt;"","خرید سبد",IF($N994&lt;&gt;"",IF(N(INDEX(CalcDepB,$N994))&gt;0,"دریافت بانکی","پرداخت بانکی"),""))</f>
        <v/>
      </c>
      <c r="D994" s="27">
        <f>IF($M994&lt;&gt;"",IF(INDEX(CalcDocA,$M994)="","—",INDEX(CalcDocA,$M994)),IF($N994&lt;&gt;"",INDEX(CalcBankB,$N994),""))</f>
        <v/>
      </c>
      <c r="E994" s="28">
        <f>IF($N994&lt;&gt;"",IF(INDEX(CalcDepB,$N994)=0,"",INDEX(CalcDepB,$N994)),"")</f>
        <v/>
      </c>
      <c r="F994" s="28">
        <f>IF($M994&lt;&gt;"",IF(INDEX(CalcQtyA,$M994)=0,"",INDEX(CalcQtyA,$M994)),"")</f>
        <v/>
      </c>
      <c r="G994" s="28">
        <f>IF($M994&lt;&gt;"",IF(INDEX(CalcPriceA,$M994)=0,"",INDEX(CalcPriceA,$M994)),"")</f>
        <v/>
      </c>
      <c r="H994" s="28">
        <f>IF($N994&lt;&gt;"",IF(INDEX(CalcWitB,$N994)=0,"",INDEX(CalcWitB,$N994)),"")</f>
        <v/>
      </c>
      <c r="I994" s="29">
        <f>IF($M994&lt;&gt;"",INDEX(CalcAmtA,$M994),"")</f>
        <v/>
      </c>
      <c r="J994" s="29">
        <f>IF($B994="","",IF($J993="",$C$8,$J993)+IF($I994="",0,$I994)+IF($E994="",0,$E994)-IF($H994="",0,$H994))</f>
        <v/>
      </c>
      <c r="K994" s="30">
        <f>IF($M994&lt;&gt;"",IF(INDEX(CalcNoteA,$M994)="","—",INDEX(CalcNoteA,$M994)),IF($N994&lt;&gt;"",IF(INDEX(CalcNoteB,$N994)="","—",INDEX(CalcNoteB,$N994)),""))</f>
        <v/>
      </c>
      <c r="M994">
        <f>IFERROR(MATCH($C$5&amp;"|"&amp;RIGHT("000000"&amp;978,6),CalcRankKeyA,0),"")</f>
        <v/>
      </c>
      <c r="N994">
        <f>IFERROR(MATCH($C$5&amp;"|"&amp;RIGHT("000000"&amp;978,6),CalcRankKeyB,0),"")</f>
        <v/>
      </c>
    </row>
    <row r="995">
      <c r="A995" s="21" t="n">
        <v>979</v>
      </c>
      <c r="B995" s="22">
        <f>IF(AND($M995="",$N995=""),"",IF($M995&lt;&gt;"",INDEX(CalcDateA,$M995),INDEX(CalcDateB,$N995)))</f>
        <v/>
      </c>
      <c r="C995" s="22">
        <f>IF($M995&lt;&gt;"","خرید سبد",IF($N995&lt;&gt;"",IF(N(INDEX(CalcDepB,$N995))&gt;0,"دریافت بانکی","پرداخت بانکی"),""))</f>
        <v/>
      </c>
      <c r="D995" s="22">
        <f>IF($M995&lt;&gt;"",IF(INDEX(CalcDocA,$M995)="","—",INDEX(CalcDocA,$M995)),IF($N995&lt;&gt;"",INDEX(CalcBankB,$N995),""))</f>
        <v/>
      </c>
      <c r="E995" s="23">
        <f>IF($N995&lt;&gt;"",IF(INDEX(CalcDepB,$N995)=0,"",INDEX(CalcDepB,$N995)),"")</f>
        <v/>
      </c>
      <c r="F995" s="23">
        <f>IF($M995&lt;&gt;"",IF(INDEX(CalcQtyA,$M995)=0,"",INDEX(CalcQtyA,$M995)),"")</f>
        <v/>
      </c>
      <c r="G995" s="23">
        <f>IF($M995&lt;&gt;"",IF(INDEX(CalcPriceA,$M995)=0,"",INDEX(CalcPriceA,$M995)),"")</f>
        <v/>
      </c>
      <c r="H995" s="23">
        <f>IF($N995&lt;&gt;"",IF(INDEX(CalcWitB,$N995)=0,"",INDEX(CalcWitB,$N995)),"")</f>
        <v/>
      </c>
      <c r="I995" s="24">
        <f>IF($M995&lt;&gt;"",INDEX(CalcAmtA,$M995),"")</f>
        <v/>
      </c>
      <c r="J995" s="24">
        <f>IF($B995="","",IF($J994="",$C$8,$J994)+IF($I995="",0,$I995)+IF($E995="",0,$E995)-IF($H995="",0,$H995))</f>
        <v/>
      </c>
      <c r="K995" s="25">
        <f>IF($M995&lt;&gt;"",IF(INDEX(CalcNoteA,$M995)="","—",INDEX(CalcNoteA,$M995)),IF($N995&lt;&gt;"",IF(INDEX(CalcNoteB,$N995)="","—",INDEX(CalcNoteB,$N995)),""))</f>
        <v/>
      </c>
      <c r="M995">
        <f>IFERROR(MATCH($C$5&amp;"|"&amp;RIGHT("000000"&amp;979,6),CalcRankKeyA,0),"")</f>
        <v/>
      </c>
      <c r="N995">
        <f>IFERROR(MATCH($C$5&amp;"|"&amp;RIGHT("000000"&amp;979,6),CalcRankKeyB,0),"")</f>
        <v/>
      </c>
    </row>
    <row r="996">
      <c r="A996" s="26" t="n">
        <v>980</v>
      </c>
      <c r="B996" s="27">
        <f>IF(AND($M996="",$N996=""),"",IF($M996&lt;&gt;"",INDEX(CalcDateA,$M996),INDEX(CalcDateB,$N996)))</f>
        <v/>
      </c>
      <c r="C996" s="27">
        <f>IF($M996&lt;&gt;"","خرید سبد",IF($N996&lt;&gt;"",IF(N(INDEX(CalcDepB,$N996))&gt;0,"دریافت بانکی","پرداخت بانکی"),""))</f>
        <v/>
      </c>
      <c r="D996" s="27">
        <f>IF($M996&lt;&gt;"",IF(INDEX(CalcDocA,$M996)="","—",INDEX(CalcDocA,$M996)),IF($N996&lt;&gt;"",INDEX(CalcBankB,$N996),""))</f>
        <v/>
      </c>
      <c r="E996" s="28">
        <f>IF($N996&lt;&gt;"",IF(INDEX(CalcDepB,$N996)=0,"",INDEX(CalcDepB,$N996)),"")</f>
        <v/>
      </c>
      <c r="F996" s="28">
        <f>IF($M996&lt;&gt;"",IF(INDEX(CalcQtyA,$M996)=0,"",INDEX(CalcQtyA,$M996)),"")</f>
        <v/>
      </c>
      <c r="G996" s="28">
        <f>IF($M996&lt;&gt;"",IF(INDEX(CalcPriceA,$M996)=0,"",INDEX(CalcPriceA,$M996)),"")</f>
        <v/>
      </c>
      <c r="H996" s="28">
        <f>IF($N996&lt;&gt;"",IF(INDEX(CalcWitB,$N996)=0,"",INDEX(CalcWitB,$N996)),"")</f>
        <v/>
      </c>
      <c r="I996" s="29">
        <f>IF($M996&lt;&gt;"",INDEX(CalcAmtA,$M996),"")</f>
        <v/>
      </c>
      <c r="J996" s="29">
        <f>IF($B996="","",IF($J995="",$C$8,$J995)+IF($I996="",0,$I996)+IF($E996="",0,$E996)-IF($H996="",0,$H996))</f>
        <v/>
      </c>
      <c r="K996" s="30">
        <f>IF($M996&lt;&gt;"",IF(INDEX(CalcNoteA,$M996)="","—",INDEX(CalcNoteA,$M996)),IF($N996&lt;&gt;"",IF(INDEX(CalcNoteB,$N996)="","—",INDEX(CalcNoteB,$N996)),""))</f>
        <v/>
      </c>
      <c r="M996">
        <f>IFERROR(MATCH($C$5&amp;"|"&amp;RIGHT("000000"&amp;980,6),CalcRankKeyA,0),"")</f>
        <v/>
      </c>
      <c r="N996">
        <f>IFERROR(MATCH($C$5&amp;"|"&amp;RIGHT("000000"&amp;980,6),CalcRankKeyB,0),"")</f>
        <v/>
      </c>
    </row>
    <row r="997">
      <c r="A997" s="21" t="n">
        <v>981</v>
      </c>
      <c r="B997" s="22">
        <f>IF(AND($M997="",$N997=""),"",IF($M997&lt;&gt;"",INDEX(CalcDateA,$M997),INDEX(CalcDateB,$N997)))</f>
        <v/>
      </c>
      <c r="C997" s="22">
        <f>IF($M997&lt;&gt;"","خرید سبد",IF($N997&lt;&gt;"",IF(N(INDEX(CalcDepB,$N997))&gt;0,"دریافت بانکی","پرداخت بانکی"),""))</f>
        <v/>
      </c>
      <c r="D997" s="22">
        <f>IF($M997&lt;&gt;"",IF(INDEX(CalcDocA,$M997)="","—",INDEX(CalcDocA,$M997)),IF($N997&lt;&gt;"",INDEX(CalcBankB,$N997),""))</f>
        <v/>
      </c>
      <c r="E997" s="23">
        <f>IF($N997&lt;&gt;"",IF(INDEX(CalcDepB,$N997)=0,"",INDEX(CalcDepB,$N997)),"")</f>
        <v/>
      </c>
      <c r="F997" s="23">
        <f>IF($M997&lt;&gt;"",IF(INDEX(CalcQtyA,$M997)=0,"",INDEX(CalcQtyA,$M997)),"")</f>
        <v/>
      </c>
      <c r="G997" s="23">
        <f>IF($M997&lt;&gt;"",IF(INDEX(CalcPriceA,$M997)=0,"",INDEX(CalcPriceA,$M997)),"")</f>
        <v/>
      </c>
      <c r="H997" s="23">
        <f>IF($N997&lt;&gt;"",IF(INDEX(CalcWitB,$N997)=0,"",INDEX(CalcWitB,$N997)),"")</f>
        <v/>
      </c>
      <c r="I997" s="24">
        <f>IF($M997&lt;&gt;"",INDEX(CalcAmtA,$M997),"")</f>
        <v/>
      </c>
      <c r="J997" s="24">
        <f>IF($B997="","",IF($J996="",$C$8,$J996)+IF($I997="",0,$I997)+IF($E997="",0,$E997)-IF($H997="",0,$H997))</f>
        <v/>
      </c>
      <c r="K997" s="25">
        <f>IF($M997&lt;&gt;"",IF(INDEX(CalcNoteA,$M997)="","—",INDEX(CalcNoteA,$M997)),IF($N997&lt;&gt;"",IF(INDEX(CalcNoteB,$N997)="","—",INDEX(CalcNoteB,$N997)),""))</f>
        <v/>
      </c>
      <c r="M997">
        <f>IFERROR(MATCH($C$5&amp;"|"&amp;RIGHT("000000"&amp;981,6),CalcRankKeyA,0),"")</f>
        <v/>
      </c>
      <c r="N997">
        <f>IFERROR(MATCH($C$5&amp;"|"&amp;RIGHT("000000"&amp;981,6),CalcRankKeyB,0),"")</f>
        <v/>
      </c>
    </row>
    <row r="998">
      <c r="A998" s="26" t="n">
        <v>982</v>
      </c>
      <c r="B998" s="27">
        <f>IF(AND($M998="",$N998=""),"",IF($M998&lt;&gt;"",INDEX(CalcDateA,$M998),INDEX(CalcDateB,$N998)))</f>
        <v/>
      </c>
      <c r="C998" s="27">
        <f>IF($M998&lt;&gt;"","خرید سبد",IF($N998&lt;&gt;"",IF(N(INDEX(CalcDepB,$N998))&gt;0,"دریافت بانکی","پرداخت بانکی"),""))</f>
        <v/>
      </c>
      <c r="D998" s="27">
        <f>IF($M998&lt;&gt;"",IF(INDEX(CalcDocA,$M998)="","—",INDEX(CalcDocA,$M998)),IF($N998&lt;&gt;"",INDEX(CalcBankB,$N998),""))</f>
        <v/>
      </c>
      <c r="E998" s="28">
        <f>IF($N998&lt;&gt;"",IF(INDEX(CalcDepB,$N998)=0,"",INDEX(CalcDepB,$N998)),"")</f>
        <v/>
      </c>
      <c r="F998" s="28">
        <f>IF($M998&lt;&gt;"",IF(INDEX(CalcQtyA,$M998)=0,"",INDEX(CalcQtyA,$M998)),"")</f>
        <v/>
      </c>
      <c r="G998" s="28">
        <f>IF($M998&lt;&gt;"",IF(INDEX(CalcPriceA,$M998)=0,"",INDEX(CalcPriceA,$M998)),"")</f>
        <v/>
      </c>
      <c r="H998" s="28">
        <f>IF($N998&lt;&gt;"",IF(INDEX(CalcWitB,$N998)=0,"",INDEX(CalcWitB,$N998)),"")</f>
        <v/>
      </c>
      <c r="I998" s="29">
        <f>IF($M998&lt;&gt;"",INDEX(CalcAmtA,$M998),"")</f>
        <v/>
      </c>
      <c r="J998" s="29">
        <f>IF($B998="","",IF($J997="",$C$8,$J997)+IF($I998="",0,$I998)+IF($E998="",0,$E998)-IF($H998="",0,$H998))</f>
        <v/>
      </c>
      <c r="K998" s="30">
        <f>IF($M998&lt;&gt;"",IF(INDEX(CalcNoteA,$M998)="","—",INDEX(CalcNoteA,$M998)),IF($N998&lt;&gt;"",IF(INDEX(CalcNoteB,$N998)="","—",INDEX(CalcNoteB,$N998)),""))</f>
        <v/>
      </c>
      <c r="M998">
        <f>IFERROR(MATCH($C$5&amp;"|"&amp;RIGHT("000000"&amp;982,6),CalcRankKeyA,0),"")</f>
        <v/>
      </c>
      <c r="N998">
        <f>IFERROR(MATCH($C$5&amp;"|"&amp;RIGHT("000000"&amp;982,6),CalcRankKeyB,0),"")</f>
        <v/>
      </c>
    </row>
    <row r="999">
      <c r="A999" s="21" t="n">
        <v>983</v>
      </c>
      <c r="B999" s="22">
        <f>IF(AND($M999="",$N999=""),"",IF($M999&lt;&gt;"",INDEX(CalcDateA,$M999),INDEX(CalcDateB,$N999)))</f>
        <v/>
      </c>
      <c r="C999" s="22">
        <f>IF($M999&lt;&gt;"","خرید سبد",IF($N999&lt;&gt;"",IF(N(INDEX(CalcDepB,$N999))&gt;0,"دریافت بانکی","پرداخت بانکی"),""))</f>
        <v/>
      </c>
      <c r="D999" s="22">
        <f>IF($M999&lt;&gt;"",IF(INDEX(CalcDocA,$M999)="","—",INDEX(CalcDocA,$M999)),IF($N999&lt;&gt;"",INDEX(CalcBankB,$N999),""))</f>
        <v/>
      </c>
      <c r="E999" s="23">
        <f>IF($N999&lt;&gt;"",IF(INDEX(CalcDepB,$N999)=0,"",INDEX(CalcDepB,$N999)),"")</f>
        <v/>
      </c>
      <c r="F999" s="23">
        <f>IF($M999&lt;&gt;"",IF(INDEX(CalcQtyA,$M999)=0,"",INDEX(CalcQtyA,$M999)),"")</f>
        <v/>
      </c>
      <c r="G999" s="23">
        <f>IF($M999&lt;&gt;"",IF(INDEX(CalcPriceA,$M999)=0,"",INDEX(CalcPriceA,$M999)),"")</f>
        <v/>
      </c>
      <c r="H999" s="23">
        <f>IF($N999&lt;&gt;"",IF(INDEX(CalcWitB,$N999)=0,"",INDEX(CalcWitB,$N999)),"")</f>
        <v/>
      </c>
      <c r="I999" s="24">
        <f>IF($M999&lt;&gt;"",INDEX(CalcAmtA,$M999),"")</f>
        <v/>
      </c>
      <c r="J999" s="24">
        <f>IF($B999="","",IF($J998="",$C$8,$J998)+IF($I999="",0,$I999)+IF($E999="",0,$E999)-IF($H999="",0,$H999))</f>
        <v/>
      </c>
      <c r="K999" s="25">
        <f>IF($M999&lt;&gt;"",IF(INDEX(CalcNoteA,$M999)="","—",INDEX(CalcNoteA,$M999)),IF($N999&lt;&gt;"",IF(INDEX(CalcNoteB,$N999)="","—",INDEX(CalcNoteB,$N999)),""))</f>
        <v/>
      </c>
      <c r="M999">
        <f>IFERROR(MATCH($C$5&amp;"|"&amp;RIGHT("000000"&amp;983,6),CalcRankKeyA,0),"")</f>
        <v/>
      </c>
      <c r="N999">
        <f>IFERROR(MATCH($C$5&amp;"|"&amp;RIGHT("000000"&amp;983,6),CalcRankKeyB,0),"")</f>
        <v/>
      </c>
    </row>
    <row r="1000">
      <c r="A1000" s="26" t="n">
        <v>984</v>
      </c>
      <c r="B1000" s="27">
        <f>IF(AND($M1000="",$N1000=""),"",IF($M1000&lt;&gt;"",INDEX(CalcDateA,$M1000),INDEX(CalcDateB,$N1000)))</f>
        <v/>
      </c>
      <c r="C1000" s="27">
        <f>IF($M1000&lt;&gt;"","خرید سبد",IF($N1000&lt;&gt;"",IF(N(INDEX(CalcDepB,$N1000))&gt;0,"دریافت بانکی","پرداخت بانکی"),""))</f>
        <v/>
      </c>
      <c r="D1000" s="27">
        <f>IF($M1000&lt;&gt;"",IF(INDEX(CalcDocA,$M1000)="","—",INDEX(CalcDocA,$M1000)),IF($N1000&lt;&gt;"",INDEX(CalcBankB,$N1000),""))</f>
        <v/>
      </c>
      <c r="E1000" s="28">
        <f>IF($N1000&lt;&gt;"",IF(INDEX(CalcDepB,$N1000)=0,"",INDEX(CalcDepB,$N1000)),"")</f>
        <v/>
      </c>
      <c r="F1000" s="28">
        <f>IF($M1000&lt;&gt;"",IF(INDEX(CalcQtyA,$M1000)=0,"",INDEX(CalcQtyA,$M1000)),"")</f>
        <v/>
      </c>
      <c r="G1000" s="28">
        <f>IF($M1000&lt;&gt;"",IF(INDEX(CalcPriceA,$M1000)=0,"",INDEX(CalcPriceA,$M1000)),"")</f>
        <v/>
      </c>
      <c r="H1000" s="28">
        <f>IF($N1000&lt;&gt;"",IF(INDEX(CalcWitB,$N1000)=0,"",INDEX(CalcWitB,$N1000)),"")</f>
        <v/>
      </c>
      <c r="I1000" s="29">
        <f>IF($M1000&lt;&gt;"",INDEX(CalcAmtA,$M1000),"")</f>
        <v/>
      </c>
      <c r="J1000" s="29">
        <f>IF($B1000="","",IF($J999="",$C$8,$J999)+IF($I1000="",0,$I1000)+IF($E1000="",0,$E1000)-IF($H1000="",0,$H1000))</f>
        <v/>
      </c>
      <c r="K1000" s="30">
        <f>IF($M1000&lt;&gt;"",IF(INDEX(CalcNoteA,$M1000)="","—",INDEX(CalcNoteA,$M1000)),IF($N1000&lt;&gt;"",IF(INDEX(CalcNoteB,$N1000)="","—",INDEX(CalcNoteB,$N1000)),""))</f>
        <v/>
      </c>
      <c r="M1000">
        <f>IFERROR(MATCH($C$5&amp;"|"&amp;RIGHT("000000"&amp;984,6),CalcRankKeyA,0),"")</f>
        <v/>
      </c>
      <c r="N1000">
        <f>IFERROR(MATCH($C$5&amp;"|"&amp;RIGHT("000000"&amp;984,6),CalcRankKeyB,0),"")</f>
        <v/>
      </c>
    </row>
    <row r="1001">
      <c r="A1001" s="21" t="n">
        <v>985</v>
      </c>
      <c r="B1001" s="22">
        <f>IF(AND($M1001="",$N1001=""),"",IF($M1001&lt;&gt;"",INDEX(CalcDateA,$M1001),INDEX(CalcDateB,$N1001)))</f>
        <v/>
      </c>
      <c r="C1001" s="22">
        <f>IF($M1001&lt;&gt;"","خرید سبد",IF($N1001&lt;&gt;"",IF(N(INDEX(CalcDepB,$N1001))&gt;0,"دریافت بانکی","پرداخت بانکی"),""))</f>
        <v/>
      </c>
      <c r="D1001" s="22">
        <f>IF($M1001&lt;&gt;"",IF(INDEX(CalcDocA,$M1001)="","—",INDEX(CalcDocA,$M1001)),IF($N1001&lt;&gt;"",INDEX(CalcBankB,$N1001),""))</f>
        <v/>
      </c>
      <c r="E1001" s="23">
        <f>IF($N1001&lt;&gt;"",IF(INDEX(CalcDepB,$N1001)=0,"",INDEX(CalcDepB,$N1001)),"")</f>
        <v/>
      </c>
      <c r="F1001" s="23">
        <f>IF($M1001&lt;&gt;"",IF(INDEX(CalcQtyA,$M1001)=0,"",INDEX(CalcQtyA,$M1001)),"")</f>
        <v/>
      </c>
      <c r="G1001" s="23">
        <f>IF($M1001&lt;&gt;"",IF(INDEX(CalcPriceA,$M1001)=0,"",INDEX(CalcPriceA,$M1001)),"")</f>
        <v/>
      </c>
      <c r="H1001" s="23">
        <f>IF($N1001&lt;&gt;"",IF(INDEX(CalcWitB,$N1001)=0,"",INDEX(CalcWitB,$N1001)),"")</f>
        <v/>
      </c>
      <c r="I1001" s="24">
        <f>IF($M1001&lt;&gt;"",INDEX(CalcAmtA,$M1001),"")</f>
        <v/>
      </c>
      <c r="J1001" s="24">
        <f>IF($B1001="","",IF($J1000="",$C$8,$J1000)+IF($I1001="",0,$I1001)+IF($E1001="",0,$E1001)-IF($H1001="",0,$H1001))</f>
        <v/>
      </c>
      <c r="K1001" s="25">
        <f>IF($M1001&lt;&gt;"",IF(INDEX(CalcNoteA,$M1001)="","—",INDEX(CalcNoteA,$M1001)),IF($N1001&lt;&gt;"",IF(INDEX(CalcNoteB,$N1001)="","—",INDEX(CalcNoteB,$N1001)),""))</f>
        <v/>
      </c>
      <c r="M1001">
        <f>IFERROR(MATCH($C$5&amp;"|"&amp;RIGHT("000000"&amp;985,6),CalcRankKeyA,0),"")</f>
        <v/>
      </c>
      <c r="N1001">
        <f>IFERROR(MATCH($C$5&amp;"|"&amp;RIGHT("000000"&amp;985,6),CalcRankKeyB,0),"")</f>
        <v/>
      </c>
    </row>
    <row r="1002">
      <c r="A1002" s="26" t="n">
        <v>986</v>
      </c>
      <c r="B1002" s="27">
        <f>IF(AND($M1002="",$N1002=""),"",IF($M1002&lt;&gt;"",INDEX(CalcDateA,$M1002),INDEX(CalcDateB,$N1002)))</f>
        <v/>
      </c>
      <c r="C1002" s="27">
        <f>IF($M1002&lt;&gt;"","خرید سبد",IF($N1002&lt;&gt;"",IF(N(INDEX(CalcDepB,$N1002))&gt;0,"دریافت بانکی","پرداخت بانکی"),""))</f>
        <v/>
      </c>
      <c r="D1002" s="27">
        <f>IF($M1002&lt;&gt;"",IF(INDEX(CalcDocA,$M1002)="","—",INDEX(CalcDocA,$M1002)),IF($N1002&lt;&gt;"",INDEX(CalcBankB,$N1002),""))</f>
        <v/>
      </c>
      <c r="E1002" s="28">
        <f>IF($N1002&lt;&gt;"",IF(INDEX(CalcDepB,$N1002)=0,"",INDEX(CalcDepB,$N1002)),"")</f>
        <v/>
      </c>
      <c r="F1002" s="28">
        <f>IF($M1002&lt;&gt;"",IF(INDEX(CalcQtyA,$M1002)=0,"",INDEX(CalcQtyA,$M1002)),"")</f>
        <v/>
      </c>
      <c r="G1002" s="28">
        <f>IF($M1002&lt;&gt;"",IF(INDEX(CalcPriceA,$M1002)=0,"",INDEX(CalcPriceA,$M1002)),"")</f>
        <v/>
      </c>
      <c r="H1002" s="28">
        <f>IF($N1002&lt;&gt;"",IF(INDEX(CalcWitB,$N1002)=0,"",INDEX(CalcWitB,$N1002)),"")</f>
        <v/>
      </c>
      <c r="I1002" s="29">
        <f>IF($M1002&lt;&gt;"",INDEX(CalcAmtA,$M1002),"")</f>
        <v/>
      </c>
      <c r="J1002" s="29">
        <f>IF($B1002="","",IF($J1001="",$C$8,$J1001)+IF($I1002="",0,$I1002)+IF($E1002="",0,$E1002)-IF($H1002="",0,$H1002))</f>
        <v/>
      </c>
      <c r="K1002" s="30">
        <f>IF($M1002&lt;&gt;"",IF(INDEX(CalcNoteA,$M1002)="","—",INDEX(CalcNoteA,$M1002)),IF($N1002&lt;&gt;"",IF(INDEX(CalcNoteB,$N1002)="","—",INDEX(CalcNoteB,$N1002)),""))</f>
        <v/>
      </c>
      <c r="M1002">
        <f>IFERROR(MATCH($C$5&amp;"|"&amp;RIGHT("000000"&amp;986,6),CalcRankKeyA,0),"")</f>
        <v/>
      </c>
      <c r="N1002">
        <f>IFERROR(MATCH($C$5&amp;"|"&amp;RIGHT("000000"&amp;986,6),CalcRankKeyB,0),"")</f>
        <v/>
      </c>
    </row>
    <row r="1003">
      <c r="A1003" s="21" t="n">
        <v>987</v>
      </c>
      <c r="B1003" s="22">
        <f>IF(AND($M1003="",$N1003=""),"",IF($M1003&lt;&gt;"",INDEX(CalcDateA,$M1003),INDEX(CalcDateB,$N1003)))</f>
        <v/>
      </c>
      <c r="C1003" s="22">
        <f>IF($M1003&lt;&gt;"","خرید سبد",IF($N1003&lt;&gt;"",IF(N(INDEX(CalcDepB,$N1003))&gt;0,"دریافت بانکی","پرداخت بانکی"),""))</f>
        <v/>
      </c>
      <c r="D1003" s="22">
        <f>IF($M1003&lt;&gt;"",IF(INDEX(CalcDocA,$M1003)="","—",INDEX(CalcDocA,$M1003)),IF($N1003&lt;&gt;"",INDEX(CalcBankB,$N1003),""))</f>
        <v/>
      </c>
      <c r="E1003" s="23">
        <f>IF($N1003&lt;&gt;"",IF(INDEX(CalcDepB,$N1003)=0,"",INDEX(CalcDepB,$N1003)),"")</f>
        <v/>
      </c>
      <c r="F1003" s="23">
        <f>IF($M1003&lt;&gt;"",IF(INDEX(CalcQtyA,$M1003)=0,"",INDEX(CalcQtyA,$M1003)),"")</f>
        <v/>
      </c>
      <c r="G1003" s="23">
        <f>IF($M1003&lt;&gt;"",IF(INDEX(CalcPriceA,$M1003)=0,"",INDEX(CalcPriceA,$M1003)),"")</f>
        <v/>
      </c>
      <c r="H1003" s="23">
        <f>IF($N1003&lt;&gt;"",IF(INDEX(CalcWitB,$N1003)=0,"",INDEX(CalcWitB,$N1003)),"")</f>
        <v/>
      </c>
      <c r="I1003" s="24">
        <f>IF($M1003&lt;&gt;"",INDEX(CalcAmtA,$M1003),"")</f>
        <v/>
      </c>
      <c r="J1003" s="24">
        <f>IF($B1003="","",IF($J1002="",$C$8,$J1002)+IF($I1003="",0,$I1003)+IF($E1003="",0,$E1003)-IF($H1003="",0,$H1003))</f>
        <v/>
      </c>
      <c r="K1003" s="25">
        <f>IF($M1003&lt;&gt;"",IF(INDEX(CalcNoteA,$M1003)="","—",INDEX(CalcNoteA,$M1003)),IF($N1003&lt;&gt;"",IF(INDEX(CalcNoteB,$N1003)="","—",INDEX(CalcNoteB,$N1003)),""))</f>
        <v/>
      </c>
      <c r="M1003">
        <f>IFERROR(MATCH($C$5&amp;"|"&amp;RIGHT("000000"&amp;987,6),CalcRankKeyA,0),"")</f>
        <v/>
      </c>
      <c r="N1003">
        <f>IFERROR(MATCH($C$5&amp;"|"&amp;RIGHT("000000"&amp;987,6),CalcRankKeyB,0),"")</f>
        <v/>
      </c>
    </row>
    <row r="1004">
      <c r="A1004" s="26" t="n">
        <v>988</v>
      </c>
      <c r="B1004" s="27">
        <f>IF(AND($M1004="",$N1004=""),"",IF($M1004&lt;&gt;"",INDEX(CalcDateA,$M1004),INDEX(CalcDateB,$N1004)))</f>
        <v/>
      </c>
      <c r="C1004" s="27">
        <f>IF($M1004&lt;&gt;"","خرید سبد",IF($N1004&lt;&gt;"",IF(N(INDEX(CalcDepB,$N1004))&gt;0,"دریافت بانکی","پرداخت بانکی"),""))</f>
        <v/>
      </c>
      <c r="D1004" s="27">
        <f>IF($M1004&lt;&gt;"",IF(INDEX(CalcDocA,$M1004)="","—",INDEX(CalcDocA,$M1004)),IF($N1004&lt;&gt;"",INDEX(CalcBankB,$N1004),""))</f>
        <v/>
      </c>
      <c r="E1004" s="28">
        <f>IF($N1004&lt;&gt;"",IF(INDEX(CalcDepB,$N1004)=0,"",INDEX(CalcDepB,$N1004)),"")</f>
        <v/>
      </c>
      <c r="F1004" s="28">
        <f>IF($M1004&lt;&gt;"",IF(INDEX(CalcQtyA,$M1004)=0,"",INDEX(CalcQtyA,$M1004)),"")</f>
        <v/>
      </c>
      <c r="G1004" s="28">
        <f>IF($M1004&lt;&gt;"",IF(INDEX(CalcPriceA,$M1004)=0,"",INDEX(CalcPriceA,$M1004)),"")</f>
        <v/>
      </c>
      <c r="H1004" s="28">
        <f>IF($N1004&lt;&gt;"",IF(INDEX(CalcWitB,$N1004)=0,"",INDEX(CalcWitB,$N1004)),"")</f>
        <v/>
      </c>
      <c r="I1004" s="29">
        <f>IF($M1004&lt;&gt;"",INDEX(CalcAmtA,$M1004),"")</f>
        <v/>
      </c>
      <c r="J1004" s="29">
        <f>IF($B1004="","",IF($J1003="",$C$8,$J1003)+IF($I1004="",0,$I1004)+IF($E1004="",0,$E1004)-IF($H1004="",0,$H1004))</f>
        <v/>
      </c>
      <c r="K1004" s="30">
        <f>IF($M1004&lt;&gt;"",IF(INDEX(CalcNoteA,$M1004)="","—",INDEX(CalcNoteA,$M1004)),IF($N1004&lt;&gt;"",IF(INDEX(CalcNoteB,$N1004)="","—",INDEX(CalcNoteB,$N1004)),""))</f>
        <v/>
      </c>
      <c r="M1004">
        <f>IFERROR(MATCH($C$5&amp;"|"&amp;RIGHT("000000"&amp;988,6),CalcRankKeyA,0),"")</f>
        <v/>
      </c>
      <c r="N1004">
        <f>IFERROR(MATCH($C$5&amp;"|"&amp;RIGHT("000000"&amp;988,6),CalcRankKeyB,0),"")</f>
        <v/>
      </c>
    </row>
    <row r="1005">
      <c r="A1005" s="21" t="n">
        <v>989</v>
      </c>
      <c r="B1005" s="22">
        <f>IF(AND($M1005="",$N1005=""),"",IF($M1005&lt;&gt;"",INDEX(CalcDateA,$M1005),INDEX(CalcDateB,$N1005)))</f>
        <v/>
      </c>
      <c r="C1005" s="22">
        <f>IF($M1005&lt;&gt;"","خرید سبد",IF($N1005&lt;&gt;"",IF(N(INDEX(CalcDepB,$N1005))&gt;0,"دریافت بانکی","پرداخت بانکی"),""))</f>
        <v/>
      </c>
      <c r="D1005" s="22">
        <f>IF($M1005&lt;&gt;"",IF(INDEX(CalcDocA,$M1005)="","—",INDEX(CalcDocA,$M1005)),IF($N1005&lt;&gt;"",INDEX(CalcBankB,$N1005),""))</f>
        <v/>
      </c>
      <c r="E1005" s="23">
        <f>IF($N1005&lt;&gt;"",IF(INDEX(CalcDepB,$N1005)=0,"",INDEX(CalcDepB,$N1005)),"")</f>
        <v/>
      </c>
      <c r="F1005" s="23">
        <f>IF($M1005&lt;&gt;"",IF(INDEX(CalcQtyA,$M1005)=0,"",INDEX(CalcQtyA,$M1005)),"")</f>
        <v/>
      </c>
      <c r="G1005" s="23">
        <f>IF($M1005&lt;&gt;"",IF(INDEX(CalcPriceA,$M1005)=0,"",INDEX(CalcPriceA,$M1005)),"")</f>
        <v/>
      </c>
      <c r="H1005" s="23">
        <f>IF($N1005&lt;&gt;"",IF(INDEX(CalcWitB,$N1005)=0,"",INDEX(CalcWitB,$N1005)),"")</f>
        <v/>
      </c>
      <c r="I1005" s="24">
        <f>IF($M1005&lt;&gt;"",INDEX(CalcAmtA,$M1005),"")</f>
        <v/>
      </c>
      <c r="J1005" s="24">
        <f>IF($B1005="","",IF($J1004="",$C$8,$J1004)+IF($I1005="",0,$I1005)+IF($E1005="",0,$E1005)-IF($H1005="",0,$H1005))</f>
        <v/>
      </c>
      <c r="K1005" s="25">
        <f>IF($M1005&lt;&gt;"",IF(INDEX(CalcNoteA,$M1005)="","—",INDEX(CalcNoteA,$M1005)),IF($N1005&lt;&gt;"",IF(INDEX(CalcNoteB,$N1005)="","—",INDEX(CalcNoteB,$N1005)),""))</f>
        <v/>
      </c>
      <c r="M1005">
        <f>IFERROR(MATCH($C$5&amp;"|"&amp;RIGHT("000000"&amp;989,6),CalcRankKeyA,0),"")</f>
        <v/>
      </c>
      <c r="N1005">
        <f>IFERROR(MATCH($C$5&amp;"|"&amp;RIGHT("000000"&amp;989,6),CalcRankKeyB,0),"")</f>
        <v/>
      </c>
    </row>
    <row r="1006">
      <c r="A1006" s="26" t="n">
        <v>990</v>
      </c>
      <c r="B1006" s="27">
        <f>IF(AND($M1006="",$N1006=""),"",IF($M1006&lt;&gt;"",INDEX(CalcDateA,$M1006),INDEX(CalcDateB,$N1006)))</f>
        <v/>
      </c>
      <c r="C1006" s="27">
        <f>IF($M1006&lt;&gt;"","خرید سبد",IF($N1006&lt;&gt;"",IF(N(INDEX(CalcDepB,$N1006))&gt;0,"دریافت بانکی","پرداخت بانکی"),""))</f>
        <v/>
      </c>
      <c r="D1006" s="27">
        <f>IF($M1006&lt;&gt;"",IF(INDEX(CalcDocA,$M1006)="","—",INDEX(CalcDocA,$M1006)),IF($N1006&lt;&gt;"",INDEX(CalcBankB,$N1006),""))</f>
        <v/>
      </c>
      <c r="E1006" s="28">
        <f>IF($N1006&lt;&gt;"",IF(INDEX(CalcDepB,$N1006)=0,"",INDEX(CalcDepB,$N1006)),"")</f>
        <v/>
      </c>
      <c r="F1006" s="28">
        <f>IF($M1006&lt;&gt;"",IF(INDEX(CalcQtyA,$M1006)=0,"",INDEX(CalcQtyA,$M1006)),"")</f>
        <v/>
      </c>
      <c r="G1006" s="28">
        <f>IF($M1006&lt;&gt;"",IF(INDEX(CalcPriceA,$M1006)=0,"",INDEX(CalcPriceA,$M1006)),"")</f>
        <v/>
      </c>
      <c r="H1006" s="28">
        <f>IF($N1006&lt;&gt;"",IF(INDEX(CalcWitB,$N1006)=0,"",INDEX(CalcWitB,$N1006)),"")</f>
        <v/>
      </c>
      <c r="I1006" s="29">
        <f>IF($M1006&lt;&gt;"",INDEX(CalcAmtA,$M1006),"")</f>
        <v/>
      </c>
      <c r="J1006" s="29">
        <f>IF($B1006="","",IF($J1005="",$C$8,$J1005)+IF($I1006="",0,$I1006)+IF($E1006="",0,$E1006)-IF($H1006="",0,$H1006))</f>
        <v/>
      </c>
      <c r="K1006" s="30">
        <f>IF($M1006&lt;&gt;"",IF(INDEX(CalcNoteA,$M1006)="","—",INDEX(CalcNoteA,$M1006)),IF($N1006&lt;&gt;"",IF(INDEX(CalcNoteB,$N1006)="","—",INDEX(CalcNoteB,$N1006)),""))</f>
        <v/>
      </c>
      <c r="M1006">
        <f>IFERROR(MATCH($C$5&amp;"|"&amp;RIGHT("000000"&amp;990,6),CalcRankKeyA,0),"")</f>
        <v/>
      </c>
      <c r="N1006">
        <f>IFERROR(MATCH($C$5&amp;"|"&amp;RIGHT("000000"&amp;990,6),CalcRankKeyB,0),"")</f>
        <v/>
      </c>
    </row>
    <row r="1007">
      <c r="A1007" s="21" t="n">
        <v>991</v>
      </c>
      <c r="B1007" s="22">
        <f>IF(AND($M1007="",$N1007=""),"",IF($M1007&lt;&gt;"",INDEX(CalcDateA,$M1007),INDEX(CalcDateB,$N1007)))</f>
        <v/>
      </c>
      <c r="C1007" s="22">
        <f>IF($M1007&lt;&gt;"","خرید سبد",IF($N1007&lt;&gt;"",IF(N(INDEX(CalcDepB,$N1007))&gt;0,"دریافت بانکی","پرداخت بانکی"),""))</f>
        <v/>
      </c>
      <c r="D1007" s="22">
        <f>IF($M1007&lt;&gt;"",IF(INDEX(CalcDocA,$M1007)="","—",INDEX(CalcDocA,$M1007)),IF($N1007&lt;&gt;"",INDEX(CalcBankB,$N1007),""))</f>
        <v/>
      </c>
      <c r="E1007" s="23">
        <f>IF($N1007&lt;&gt;"",IF(INDEX(CalcDepB,$N1007)=0,"",INDEX(CalcDepB,$N1007)),"")</f>
        <v/>
      </c>
      <c r="F1007" s="23">
        <f>IF($M1007&lt;&gt;"",IF(INDEX(CalcQtyA,$M1007)=0,"",INDEX(CalcQtyA,$M1007)),"")</f>
        <v/>
      </c>
      <c r="G1007" s="23">
        <f>IF($M1007&lt;&gt;"",IF(INDEX(CalcPriceA,$M1007)=0,"",INDEX(CalcPriceA,$M1007)),"")</f>
        <v/>
      </c>
      <c r="H1007" s="23">
        <f>IF($N1007&lt;&gt;"",IF(INDEX(CalcWitB,$N1007)=0,"",INDEX(CalcWitB,$N1007)),"")</f>
        <v/>
      </c>
      <c r="I1007" s="24">
        <f>IF($M1007&lt;&gt;"",INDEX(CalcAmtA,$M1007),"")</f>
        <v/>
      </c>
      <c r="J1007" s="24">
        <f>IF($B1007="","",IF($J1006="",$C$8,$J1006)+IF($I1007="",0,$I1007)+IF($E1007="",0,$E1007)-IF($H1007="",0,$H1007))</f>
        <v/>
      </c>
      <c r="K1007" s="25">
        <f>IF($M1007&lt;&gt;"",IF(INDEX(CalcNoteA,$M1007)="","—",INDEX(CalcNoteA,$M1007)),IF($N1007&lt;&gt;"",IF(INDEX(CalcNoteB,$N1007)="","—",INDEX(CalcNoteB,$N1007)),""))</f>
        <v/>
      </c>
      <c r="M1007">
        <f>IFERROR(MATCH($C$5&amp;"|"&amp;RIGHT("000000"&amp;991,6),CalcRankKeyA,0),"")</f>
        <v/>
      </c>
      <c r="N1007">
        <f>IFERROR(MATCH($C$5&amp;"|"&amp;RIGHT("000000"&amp;991,6),CalcRankKeyB,0),"")</f>
        <v/>
      </c>
    </row>
    <row r="1008">
      <c r="A1008" s="26" t="n">
        <v>992</v>
      </c>
      <c r="B1008" s="27">
        <f>IF(AND($M1008="",$N1008=""),"",IF($M1008&lt;&gt;"",INDEX(CalcDateA,$M1008),INDEX(CalcDateB,$N1008)))</f>
        <v/>
      </c>
      <c r="C1008" s="27">
        <f>IF($M1008&lt;&gt;"","خرید سبد",IF($N1008&lt;&gt;"",IF(N(INDEX(CalcDepB,$N1008))&gt;0,"دریافت بانکی","پرداخت بانکی"),""))</f>
        <v/>
      </c>
      <c r="D1008" s="27">
        <f>IF($M1008&lt;&gt;"",IF(INDEX(CalcDocA,$M1008)="","—",INDEX(CalcDocA,$M1008)),IF($N1008&lt;&gt;"",INDEX(CalcBankB,$N1008),""))</f>
        <v/>
      </c>
      <c r="E1008" s="28">
        <f>IF($N1008&lt;&gt;"",IF(INDEX(CalcDepB,$N1008)=0,"",INDEX(CalcDepB,$N1008)),"")</f>
        <v/>
      </c>
      <c r="F1008" s="28">
        <f>IF($M1008&lt;&gt;"",IF(INDEX(CalcQtyA,$M1008)=0,"",INDEX(CalcQtyA,$M1008)),"")</f>
        <v/>
      </c>
      <c r="G1008" s="28">
        <f>IF($M1008&lt;&gt;"",IF(INDEX(CalcPriceA,$M1008)=0,"",INDEX(CalcPriceA,$M1008)),"")</f>
        <v/>
      </c>
      <c r="H1008" s="28">
        <f>IF($N1008&lt;&gt;"",IF(INDEX(CalcWitB,$N1008)=0,"",INDEX(CalcWitB,$N1008)),"")</f>
        <v/>
      </c>
      <c r="I1008" s="29">
        <f>IF($M1008&lt;&gt;"",INDEX(CalcAmtA,$M1008),"")</f>
        <v/>
      </c>
      <c r="J1008" s="29">
        <f>IF($B1008="","",IF($J1007="",$C$8,$J1007)+IF($I1008="",0,$I1008)+IF($E1008="",0,$E1008)-IF($H1008="",0,$H1008))</f>
        <v/>
      </c>
      <c r="K1008" s="30">
        <f>IF($M1008&lt;&gt;"",IF(INDEX(CalcNoteA,$M1008)="","—",INDEX(CalcNoteA,$M1008)),IF($N1008&lt;&gt;"",IF(INDEX(CalcNoteB,$N1008)="","—",INDEX(CalcNoteB,$N1008)),""))</f>
        <v/>
      </c>
      <c r="M1008">
        <f>IFERROR(MATCH($C$5&amp;"|"&amp;RIGHT("000000"&amp;992,6),CalcRankKeyA,0),"")</f>
        <v/>
      </c>
      <c r="N1008">
        <f>IFERROR(MATCH($C$5&amp;"|"&amp;RIGHT("000000"&amp;992,6),CalcRankKeyB,0),"")</f>
        <v/>
      </c>
    </row>
    <row r="1009">
      <c r="A1009" s="21" t="n">
        <v>993</v>
      </c>
      <c r="B1009" s="22">
        <f>IF(AND($M1009="",$N1009=""),"",IF($M1009&lt;&gt;"",INDEX(CalcDateA,$M1009),INDEX(CalcDateB,$N1009)))</f>
        <v/>
      </c>
      <c r="C1009" s="22">
        <f>IF($M1009&lt;&gt;"","خرید سبد",IF($N1009&lt;&gt;"",IF(N(INDEX(CalcDepB,$N1009))&gt;0,"دریافت بانکی","پرداخت بانکی"),""))</f>
        <v/>
      </c>
      <c r="D1009" s="22">
        <f>IF($M1009&lt;&gt;"",IF(INDEX(CalcDocA,$M1009)="","—",INDEX(CalcDocA,$M1009)),IF($N1009&lt;&gt;"",INDEX(CalcBankB,$N1009),""))</f>
        <v/>
      </c>
      <c r="E1009" s="23">
        <f>IF($N1009&lt;&gt;"",IF(INDEX(CalcDepB,$N1009)=0,"",INDEX(CalcDepB,$N1009)),"")</f>
        <v/>
      </c>
      <c r="F1009" s="23">
        <f>IF($M1009&lt;&gt;"",IF(INDEX(CalcQtyA,$M1009)=0,"",INDEX(CalcQtyA,$M1009)),"")</f>
        <v/>
      </c>
      <c r="G1009" s="23">
        <f>IF($M1009&lt;&gt;"",IF(INDEX(CalcPriceA,$M1009)=0,"",INDEX(CalcPriceA,$M1009)),"")</f>
        <v/>
      </c>
      <c r="H1009" s="23">
        <f>IF($N1009&lt;&gt;"",IF(INDEX(CalcWitB,$N1009)=0,"",INDEX(CalcWitB,$N1009)),"")</f>
        <v/>
      </c>
      <c r="I1009" s="24">
        <f>IF($M1009&lt;&gt;"",INDEX(CalcAmtA,$M1009),"")</f>
        <v/>
      </c>
      <c r="J1009" s="24">
        <f>IF($B1009="","",IF($J1008="",$C$8,$J1008)+IF($I1009="",0,$I1009)+IF($E1009="",0,$E1009)-IF($H1009="",0,$H1009))</f>
        <v/>
      </c>
      <c r="K1009" s="25">
        <f>IF($M1009&lt;&gt;"",IF(INDEX(CalcNoteA,$M1009)="","—",INDEX(CalcNoteA,$M1009)),IF($N1009&lt;&gt;"",IF(INDEX(CalcNoteB,$N1009)="","—",INDEX(CalcNoteB,$N1009)),""))</f>
        <v/>
      </c>
      <c r="M1009">
        <f>IFERROR(MATCH($C$5&amp;"|"&amp;RIGHT("000000"&amp;993,6),CalcRankKeyA,0),"")</f>
        <v/>
      </c>
      <c r="N1009">
        <f>IFERROR(MATCH($C$5&amp;"|"&amp;RIGHT("000000"&amp;993,6),CalcRankKeyB,0),"")</f>
        <v/>
      </c>
    </row>
    <row r="1010">
      <c r="A1010" s="26" t="n">
        <v>994</v>
      </c>
      <c r="B1010" s="27">
        <f>IF(AND($M1010="",$N1010=""),"",IF($M1010&lt;&gt;"",INDEX(CalcDateA,$M1010),INDEX(CalcDateB,$N1010)))</f>
        <v/>
      </c>
      <c r="C1010" s="27">
        <f>IF($M1010&lt;&gt;"","خرید سبد",IF($N1010&lt;&gt;"",IF(N(INDEX(CalcDepB,$N1010))&gt;0,"دریافت بانکی","پرداخت بانکی"),""))</f>
        <v/>
      </c>
      <c r="D1010" s="27">
        <f>IF($M1010&lt;&gt;"",IF(INDEX(CalcDocA,$M1010)="","—",INDEX(CalcDocA,$M1010)),IF($N1010&lt;&gt;"",INDEX(CalcBankB,$N1010),""))</f>
        <v/>
      </c>
      <c r="E1010" s="28">
        <f>IF($N1010&lt;&gt;"",IF(INDEX(CalcDepB,$N1010)=0,"",INDEX(CalcDepB,$N1010)),"")</f>
        <v/>
      </c>
      <c r="F1010" s="28">
        <f>IF($M1010&lt;&gt;"",IF(INDEX(CalcQtyA,$M1010)=0,"",INDEX(CalcQtyA,$M1010)),"")</f>
        <v/>
      </c>
      <c r="G1010" s="28">
        <f>IF($M1010&lt;&gt;"",IF(INDEX(CalcPriceA,$M1010)=0,"",INDEX(CalcPriceA,$M1010)),"")</f>
        <v/>
      </c>
      <c r="H1010" s="28">
        <f>IF($N1010&lt;&gt;"",IF(INDEX(CalcWitB,$N1010)=0,"",INDEX(CalcWitB,$N1010)),"")</f>
        <v/>
      </c>
      <c r="I1010" s="29">
        <f>IF($M1010&lt;&gt;"",INDEX(CalcAmtA,$M1010),"")</f>
        <v/>
      </c>
      <c r="J1010" s="29">
        <f>IF($B1010="","",IF($J1009="",$C$8,$J1009)+IF($I1010="",0,$I1010)+IF($E1010="",0,$E1010)-IF($H1010="",0,$H1010))</f>
        <v/>
      </c>
      <c r="K1010" s="30">
        <f>IF($M1010&lt;&gt;"",IF(INDEX(CalcNoteA,$M1010)="","—",INDEX(CalcNoteA,$M1010)),IF($N1010&lt;&gt;"",IF(INDEX(CalcNoteB,$N1010)="","—",INDEX(CalcNoteB,$N1010)),""))</f>
        <v/>
      </c>
      <c r="M1010">
        <f>IFERROR(MATCH($C$5&amp;"|"&amp;RIGHT("000000"&amp;994,6),CalcRankKeyA,0),"")</f>
        <v/>
      </c>
      <c r="N1010">
        <f>IFERROR(MATCH($C$5&amp;"|"&amp;RIGHT("000000"&amp;994,6),CalcRankKeyB,0),"")</f>
        <v/>
      </c>
    </row>
    <row r="1011">
      <c r="A1011" s="21" t="n">
        <v>995</v>
      </c>
      <c r="B1011" s="22">
        <f>IF(AND($M1011="",$N1011=""),"",IF($M1011&lt;&gt;"",INDEX(CalcDateA,$M1011),INDEX(CalcDateB,$N1011)))</f>
        <v/>
      </c>
      <c r="C1011" s="22">
        <f>IF($M1011&lt;&gt;"","خرید سبد",IF($N1011&lt;&gt;"",IF(N(INDEX(CalcDepB,$N1011))&gt;0,"دریافت بانکی","پرداخت بانکی"),""))</f>
        <v/>
      </c>
      <c r="D1011" s="22">
        <f>IF($M1011&lt;&gt;"",IF(INDEX(CalcDocA,$M1011)="","—",INDEX(CalcDocA,$M1011)),IF($N1011&lt;&gt;"",INDEX(CalcBankB,$N1011),""))</f>
        <v/>
      </c>
      <c r="E1011" s="23">
        <f>IF($N1011&lt;&gt;"",IF(INDEX(CalcDepB,$N1011)=0,"",INDEX(CalcDepB,$N1011)),"")</f>
        <v/>
      </c>
      <c r="F1011" s="23">
        <f>IF($M1011&lt;&gt;"",IF(INDEX(CalcQtyA,$M1011)=0,"",INDEX(CalcQtyA,$M1011)),"")</f>
        <v/>
      </c>
      <c r="G1011" s="23">
        <f>IF($M1011&lt;&gt;"",IF(INDEX(CalcPriceA,$M1011)=0,"",INDEX(CalcPriceA,$M1011)),"")</f>
        <v/>
      </c>
      <c r="H1011" s="23">
        <f>IF($N1011&lt;&gt;"",IF(INDEX(CalcWitB,$N1011)=0,"",INDEX(CalcWitB,$N1011)),"")</f>
        <v/>
      </c>
      <c r="I1011" s="24">
        <f>IF($M1011&lt;&gt;"",INDEX(CalcAmtA,$M1011),"")</f>
        <v/>
      </c>
      <c r="J1011" s="24">
        <f>IF($B1011="","",IF($J1010="",$C$8,$J1010)+IF($I1011="",0,$I1011)+IF($E1011="",0,$E1011)-IF($H1011="",0,$H1011))</f>
        <v/>
      </c>
      <c r="K1011" s="25">
        <f>IF($M1011&lt;&gt;"",IF(INDEX(CalcNoteA,$M1011)="","—",INDEX(CalcNoteA,$M1011)),IF($N1011&lt;&gt;"",IF(INDEX(CalcNoteB,$N1011)="","—",INDEX(CalcNoteB,$N1011)),""))</f>
        <v/>
      </c>
      <c r="M1011">
        <f>IFERROR(MATCH($C$5&amp;"|"&amp;RIGHT("000000"&amp;995,6),CalcRankKeyA,0),"")</f>
        <v/>
      </c>
      <c r="N1011">
        <f>IFERROR(MATCH($C$5&amp;"|"&amp;RIGHT("000000"&amp;995,6),CalcRankKeyB,0),"")</f>
        <v/>
      </c>
    </row>
    <row r="1012">
      <c r="A1012" s="26" t="n">
        <v>996</v>
      </c>
      <c r="B1012" s="27">
        <f>IF(AND($M1012="",$N1012=""),"",IF($M1012&lt;&gt;"",INDEX(CalcDateA,$M1012),INDEX(CalcDateB,$N1012)))</f>
        <v/>
      </c>
      <c r="C1012" s="27">
        <f>IF($M1012&lt;&gt;"","خرید سبد",IF($N1012&lt;&gt;"",IF(N(INDEX(CalcDepB,$N1012))&gt;0,"دریافت بانکی","پرداخت بانکی"),""))</f>
        <v/>
      </c>
      <c r="D1012" s="27">
        <f>IF($M1012&lt;&gt;"",IF(INDEX(CalcDocA,$M1012)="","—",INDEX(CalcDocA,$M1012)),IF($N1012&lt;&gt;"",INDEX(CalcBankB,$N1012),""))</f>
        <v/>
      </c>
      <c r="E1012" s="28">
        <f>IF($N1012&lt;&gt;"",IF(INDEX(CalcDepB,$N1012)=0,"",INDEX(CalcDepB,$N1012)),"")</f>
        <v/>
      </c>
      <c r="F1012" s="28">
        <f>IF($M1012&lt;&gt;"",IF(INDEX(CalcQtyA,$M1012)=0,"",INDEX(CalcQtyA,$M1012)),"")</f>
        <v/>
      </c>
      <c r="G1012" s="28">
        <f>IF($M1012&lt;&gt;"",IF(INDEX(CalcPriceA,$M1012)=0,"",INDEX(CalcPriceA,$M1012)),"")</f>
        <v/>
      </c>
      <c r="H1012" s="28">
        <f>IF($N1012&lt;&gt;"",IF(INDEX(CalcWitB,$N1012)=0,"",INDEX(CalcWitB,$N1012)),"")</f>
        <v/>
      </c>
      <c r="I1012" s="29">
        <f>IF($M1012&lt;&gt;"",INDEX(CalcAmtA,$M1012),"")</f>
        <v/>
      </c>
      <c r="J1012" s="29">
        <f>IF($B1012="","",IF($J1011="",$C$8,$J1011)+IF($I1012="",0,$I1012)+IF($E1012="",0,$E1012)-IF($H1012="",0,$H1012))</f>
        <v/>
      </c>
      <c r="K1012" s="30">
        <f>IF($M1012&lt;&gt;"",IF(INDEX(CalcNoteA,$M1012)="","—",INDEX(CalcNoteA,$M1012)),IF($N1012&lt;&gt;"",IF(INDEX(CalcNoteB,$N1012)="","—",INDEX(CalcNoteB,$N1012)),""))</f>
        <v/>
      </c>
      <c r="M1012">
        <f>IFERROR(MATCH($C$5&amp;"|"&amp;RIGHT("000000"&amp;996,6),CalcRankKeyA,0),"")</f>
        <v/>
      </c>
      <c r="N1012">
        <f>IFERROR(MATCH($C$5&amp;"|"&amp;RIGHT("000000"&amp;996,6),CalcRankKeyB,0),"")</f>
        <v/>
      </c>
    </row>
    <row r="1013">
      <c r="A1013" s="21" t="n">
        <v>997</v>
      </c>
      <c r="B1013" s="22">
        <f>IF(AND($M1013="",$N1013=""),"",IF($M1013&lt;&gt;"",INDEX(CalcDateA,$M1013),INDEX(CalcDateB,$N1013)))</f>
        <v/>
      </c>
      <c r="C1013" s="22">
        <f>IF($M1013&lt;&gt;"","خرید سبد",IF($N1013&lt;&gt;"",IF(N(INDEX(CalcDepB,$N1013))&gt;0,"دریافت بانکی","پرداخت بانکی"),""))</f>
        <v/>
      </c>
      <c r="D1013" s="22">
        <f>IF($M1013&lt;&gt;"",IF(INDEX(CalcDocA,$M1013)="","—",INDEX(CalcDocA,$M1013)),IF($N1013&lt;&gt;"",INDEX(CalcBankB,$N1013),""))</f>
        <v/>
      </c>
      <c r="E1013" s="23">
        <f>IF($N1013&lt;&gt;"",IF(INDEX(CalcDepB,$N1013)=0,"",INDEX(CalcDepB,$N1013)),"")</f>
        <v/>
      </c>
      <c r="F1013" s="23">
        <f>IF($M1013&lt;&gt;"",IF(INDEX(CalcQtyA,$M1013)=0,"",INDEX(CalcQtyA,$M1013)),"")</f>
        <v/>
      </c>
      <c r="G1013" s="23">
        <f>IF($M1013&lt;&gt;"",IF(INDEX(CalcPriceA,$M1013)=0,"",INDEX(CalcPriceA,$M1013)),"")</f>
        <v/>
      </c>
      <c r="H1013" s="23">
        <f>IF($N1013&lt;&gt;"",IF(INDEX(CalcWitB,$N1013)=0,"",INDEX(CalcWitB,$N1013)),"")</f>
        <v/>
      </c>
      <c r="I1013" s="24">
        <f>IF($M1013&lt;&gt;"",INDEX(CalcAmtA,$M1013),"")</f>
        <v/>
      </c>
      <c r="J1013" s="24">
        <f>IF($B1013="","",IF($J1012="",$C$8,$J1012)+IF($I1013="",0,$I1013)+IF($E1013="",0,$E1013)-IF($H1013="",0,$H1013))</f>
        <v/>
      </c>
      <c r="K1013" s="25">
        <f>IF($M1013&lt;&gt;"",IF(INDEX(CalcNoteA,$M1013)="","—",INDEX(CalcNoteA,$M1013)),IF($N1013&lt;&gt;"",IF(INDEX(CalcNoteB,$N1013)="","—",INDEX(CalcNoteB,$N1013)),""))</f>
        <v/>
      </c>
      <c r="M1013">
        <f>IFERROR(MATCH($C$5&amp;"|"&amp;RIGHT("000000"&amp;997,6),CalcRankKeyA,0),"")</f>
        <v/>
      </c>
      <c r="N1013">
        <f>IFERROR(MATCH($C$5&amp;"|"&amp;RIGHT("000000"&amp;997,6),CalcRankKeyB,0),"")</f>
        <v/>
      </c>
    </row>
    <row r="1014">
      <c r="A1014" s="26" t="n">
        <v>998</v>
      </c>
      <c r="B1014" s="27">
        <f>IF(AND($M1014="",$N1014=""),"",IF($M1014&lt;&gt;"",INDEX(CalcDateA,$M1014),INDEX(CalcDateB,$N1014)))</f>
        <v/>
      </c>
      <c r="C1014" s="27">
        <f>IF($M1014&lt;&gt;"","خرید سبد",IF($N1014&lt;&gt;"",IF(N(INDEX(CalcDepB,$N1014))&gt;0,"دریافت بانکی","پرداخت بانکی"),""))</f>
        <v/>
      </c>
      <c r="D1014" s="27">
        <f>IF($M1014&lt;&gt;"",IF(INDEX(CalcDocA,$M1014)="","—",INDEX(CalcDocA,$M1014)),IF($N1014&lt;&gt;"",INDEX(CalcBankB,$N1014),""))</f>
        <v/>
      </c>
      <c r="E1014" s="28">
        <f>IF($N1014&lt;&gt;"",IF(INDEX(CalcDepB,$N1014)=0,"",INDEX(CalcDepB,$N1014)),"")</f>
        <v/>
      </c>
      <c r="F1014" s="28">
        <f>IF($M1014&lt;&gt;"",IF(INDEX(CalcQtyA,$M1014)=0,"",INDEX(CalcQtyA,$M1014)),"")</f>
        <v/>
      </c>
      <c r="G1014" s="28">
        <f>IF($M1014&lt;&gt;"",IF(INDEX(CalcPriceA,$M1014)=0,"",INDEX(CalcPriceA,$M1014)),"")</f>
        <v/>
      </c>
      <c r="H1014" s="28">
        <f>IF($N1014&lt;&gt;"",IF(INDEX(CalcWitB,$N1014)=0,"",INDEX(CalcWitB,$N1014)),"")</f>
        <v/>
      </c>
      <c r="I1014" s="29">
        <f>IF($M1014&lt;&gt;"",INDEX(CalcAmtA,$M1014),"")</f>
        <v/>
      </c>
      <c r="J1014" s="29">
        <f>IF($B1014="","",IF($J1013="",$C$8,$J1013)+IF($I1014="",0,$I1014)+IF($E1014="",0,$E1014)-IF($H1014="",0,$H1014))</f>
        <v/>
      </c>
      <c r="K1014" s="30">
        <f>IF($M1014&lt;&gt;"",IF(INDEX(CalcNoteA,$M1014)="","—",INDEX(CalcNoteA,$M1014)),IF($N1014&lt;&gt;"",IF(INDEX(CalcNoteB,$N1014)="","—",INDEX(CalcNoteB,$N1014)),""))</f>
        <v/>
      </c>
      <c r="M1014">
        <f>IFERROR(MATCH($C$5&amp;"|"&amp;RIGHT("000000"&amp;998,6),CalcRankKeyA,0),"")</f>
        <v/>
      </c>
      <c r="N1014">
        <f>IFERROR(MATCH($C$5&amp;"|"&amp;RIGHT("000000"&amp;998,6),CalcRankKeyB,0),"")</f>
        <v/>
      </c>
    </row>
    <row r="1015">
      <c r="A1015" s="21" t="n">
        <v>999</v>
      </c>
      <c r="B1015" s="22">
        <f>IF(AND($M1015="",$N1015=""),"",IF($M1015&lt;&gt;"",INDEX(CalcDateA,$M1015),INDEX(CalcDateB,$N1015)))</f>
        <v/>
      </c>
      <c r="C1015" s="22">
        <f>IF($M1015&lt;&gt;"","خرید سبد",IF($N1015&lt;&gt;"",IF(N(INDEX(CalcDepB,$N1015))&gt;0,"دریافت بانکی","پرداخت بانکی"),""))</f>
        <v/>
      </c>
      <c r="D1015" s="22">
        <f>IF($M1015&lt;&gt;"",IF(INDEX(CalcDocA,$M1015)="","—",INDEX(CalcDocA,$M1015)),IF($N1015&lt;&gt;"",INDEX(CalcBankB,$N1015),""))</f>
        <v/>
      </c>
      <c r="E1015" s="23">
        <f>IF($N1015&lt;&gt;"",IF(INDEX(CalcDepB,$N1015)=0,"",INDEX(CalcDepB,$N1015)),"")</f>
        <v/>
      </c>
      <c r="F1015" s="23">
        <f>IF($M1015&lt;&gt;"",IF(INDEX(CalcQtyA,$M1015)=0,"",INDEX(CalcQtyA,$M1015)),"")</f>
        <v/>
      </c>
      <c r="G1015" s="23">
        <f>IF($M1015&lt;&gt;"",IF(INDEX(CalcPriceA,$M1015)=0,"",INDEX(CalcPriceA,$M1015)),"")</f>
        <v/>
      </c>
      <c r="H1015" s="23">
        <f>IF($N1015&lt;&gt;"",IF(INDEX(CalcWitB,$N1015)=0,"",INDEX(CalcWitB,$N1015)),"")</f>
        <v/>
      </c>
      <c r="I1015" s="24">
        <f>IF($M1015&lt;&gt;"",INDEX(CalcAmtA,$M1015),"")</f>
        <v/>
      </c>
      <c r="J1015" s="24">
        <f>IF($B1015="","",IF($J1014="",$C$8,$J1014)+IF($I1015="",0,$I1015)+IF($E1015="",0,$E1015)-IF($H1015="",0,$H1015))</f>
        <v/>
      </c>
      <c r="K1015" s="25">
        <f>IF($M1015&lt;&gt;"",IF(INDEX(CalcNoteA,$M1015)="","—",INDEX(CalcNoteA,$M1015)),IF($N1015&lt;&gt;"",IF(INDEX(CalcNoteB,$N1015)="","—",INDEX(CalcNoteB,$N1015)),""))</f>
        <v/>
      </c>
      <c r="M1015">
        <f>IFERROR(MATCH($C$5&amp;"|"&amp;RIGHT("000000"&amp;999,6),CalcRankKeyA,0),"")</f>
        <v/>
      </c>
      <c r="N1015">
        <f>IFERROR(MATCH($C$5&amp;"|"&amp;RIGHT("000000"&amp;999,6),CalcRankKeyB,0),"")</f>
        <v/>
      </c>
    </row>
    <row r="1016">
      <c r="A1016" s="26" t="n">
        <v>1000</v>
      </c>
      <c r="B1016" s="27">
        <f>IF(AND($M1016="",$N1016=""),"",IF($M1016&lt;&gt;"",INDEX(CalcDateA,$M1016),INDEX(CalcDateB,$N1016)))</f>
        <v/>
      </c>
      <c r="C1016" s="27">
        <f>IF($M1016&lt;&gt;"","خرید سبد",IF($N1016&lt;&gt;"",IF(N(INDEX(CalcDepB,$N1016))&gt;0,"دریافت بانکی","پرداخت بانکی"),""))</f>
        <v/>
      </c>
      <c r="D1016" s="27">
        <f>IF($M1016&lt;&gt;"",IF(INDEX(CalcDocA,$M1016)="","—",INDEX(CalcDocA,$M1016)),IF($N1016&lt;&gt;"",INDEX(CalcBankB,$N1016),""))</f>
        <v/>
      </c>
      <c r="E1016" s="28">
        <f>IF($N1016&lt;&gt;"",IF(INDEX(CalcDepB,$N1016)=0,"",INDEX(CalcDepB,$N1016)),"")</f>
        <v/>
      </c>
      <c r="F1016" s="28">
        <f>IF($M1016&lt;&gt;"",IF(INDEX(CalcQtyA,$M1016)=0,"",INDEX(CalcQtyA,$M1016)),"")</f>
        <v/>
      </c>
      <c r="G1016" s="28">
        <f>IF($M1016&lt;&gt;"",IF(INDEX(CalcPriceA,$M1016)=0,"",INDEX(CalcPriceA,$M1016)),"")</f>
        <v/>
      </c>
      <c r="H1016" s="28">
        <f>IF($N1016&lt;&gt;"",IF(INDEX(CalcWitB,$N1016)=0,"",INDEX(CalcWitB,$N1016)),"")</f>
        <v/>
      </c>
      <c r="I1016" s="29">
        <f>IF($M1016&lt;&gt;"",INDEX(CalcAmtA,$M1016),"")</f>
        <v/>
      </c>
      <c r="J1016" s="29">
        <f>IF($B1016="","",IF($J1015="",$C$8,$J1015)+IF($I1016="",0,$I1016)+IF($E1016="",0,$E1016)-IF($H1016="",0,$H1016))</f>
        <v/>
      </c>
      <c r="K1016" s="30">
        <f>IF($M1016&lt;&gt;"",IF(INDEX(CalcNoteA,$M1016)="","—",INDEX(CalcNoteA,$M1016)),IF($N1016&lt;&gt;"",IF(INDEX(CalcNoteB,$N1016)="","—",INDEX(CalcNoteB,$N1016)),""))</f>
        <v/>
      </c>
      <c r="M1016">
        <f>IFERROR(MATCH($C$5&amp;"|"&amp;RIGHT("000000"&amp;1000,6),CalcRankKeyA,0),"")</f>
        <v/>
      </c>
      <c r="N1016">
        <f>IFERROR(MATCH($C$5&amp;"|"&amp;RIGHT("000000"&amp;1000,6),CalcRankKeyB,0),"")</f>
        <v/>
      </c>
    </row>
    <row r="1017">
      <c r="A1017" s="21" t="n">
        <v>1001</v>
      </c>
      <c r="B1017" s="22">
        <f>IF(AND($M1017="",$N1017=""),"",IF($M1017&lt;&gt;"",INDEX(CalcDateA,$M1017),INDEX(CalcDateB,$N1017)))</f>
        <v/>
      </c>
      <c r="C1017" s="22">
        <f>IF($M1017&lt;&gt;"","خرید سبد",IF($N1017&lt;&gt;"",IF(N(INDEX(CalcDepB,$N1017))&gt;0,"دریافت بانکی","پرداخت بانکی"),""))</f>
        <v/>
      </c>
      <c r="D1017" s="22">
        <f>IF($M1017&lt;&gt;"",IF(INDEX(CalcDocA,$M1017)="","—",INDEX(CalcDocA,$M1017)),IF($N1017&lt;&gt;"",INDEX(CalcBankB,$N1017),""))</f>
        <v/>
      </c>
      <c r="E1017" s="23">
        <f>IF($N1017&lt;&gt;"",IF(INDEX(CalcDepB,$N1017)=0,"",INDEX(CalcDepB,$N1017)),"")</f>
        <v/>
      </c>
      <c r="F1017" s="23">
        <f>IF($M1017&lt;&gt;"",IF(INDEX(CalcQtyA,$M1017)=0,"",INDEX(CalcQtyA,$M1017)),"")</f>
        <v/>
      </c>
      <c r="G1017" s="23">
        <f>IF($M1017&lt;&gt;"",IF(INDEX(CalcPriceA,$M1017)=0,"",INDEX(CalcPriceA,$M1017)),"")</f>
        <v/>
      </c>
      <c r="H1017" s="23">
        <f>IF($N1017&lt;&gt;"",IF(INDEX(CalcWitB,$N1017)=0,"",INDEX(CalcWitB,$N1017)),"")</f>
        <v/>
      </c>
      <c r="I1017" s="24">
        <f>IF($M1017&lt;&gt;"",INDEX(CalcAmtA,$M1017),"")</f>
        <v/>
      </c>
      <c r="J1017" s="24">
        <f>IF($B1017="","",IF($J1016="",$C$8,$J1016)+IF($I1017="",0,$I1017)+IF($E1017="",0,$E1017)-IF($H1017="",0,$H1017))</f>
        <v/>
      </c>
      <c r="K1017" s="25">
        <f>IF($M1017&lt;&gt;"",IF(INDEX(CalcNoteA,$M1017)="","—",INDEX(CalcNoteA,$M1017)),IF($N1017&lt;&gt;"",IF(INDEX(CalcNoteB,$N1017)="","—",INDEX(CalcNoteB,$N1017)),""))</f>
        <v/>
      </c>
      <c r="M1017">
        <f>IFERROR(MATCH($C$5&amp;"|"&amp;RIGHT("000000"&amp;1001,6),CalcRankKeyA,0),"")</f>
        <v/>
      </c>
      <c r="N1017">
        <f>IFERROR(MATCH($C$5&amp;"|"&amp;RIGHT("000000"&amp;1001,6),CalcRankKeyB,0),"")</f>
        <v/>
      </c>
    </row>
    <row r="1018">
      <c r="A1018" s="26" t="n">
        <v>1002</v>
      </c>
      <c r="B1018" s="27">
        <f>IF(AND($M1018="",$N1018=""),"",IF($M1018&lt;&gt;"",INDEX(CalcDateA,$M1018),INDEX(CalcDateB,$N1018)))</f>
        <v/>
      </c>
      <c r="C1018" s="27">
        <f>IF($M1018&lt;&gt;"","خرید سبد",IF($N1018&lt;&gt;"",IF(N(INDEX(CalcDepB,$N1018))&gt;0,"دریافت بانکی","پرداخت بانکی"),""))</f>
        <v/>
      </c>
      <c r="D1018" s="27">
        <f>IF($M1018&lt;&gt;"",IF(INDEX(CalcDocA,$M1018)="","—",INDEX(CalcDocA,$M1018)),IF($N1018&lt;&gt;"",INDEX(CalcBankB,$N1018),""))</f>
        <v/>
      </c>
      <c r="E1018" s="28">
        <f>IF($N1018&lt;&gt;"",IF(INDEX(CalcDepB,$N1018)=0,"",INDEX(CalcDepB,$N1018)),"")</f>
        <v/>
      </c>
      <c r="F1018" s="28">
        <f>IF($M1018&lt;&gt;"",IF(INDEX(CalcQtyA,$M1018)=0,"",INDEX(CalcQtyA,$M1018)),"")</f>
        <v/>
      </c>
      <c r="G1018" s="28">
        <f>IF($M1018&lt;&gt;"",IF(INDEX(CalcPriceA,$M1018)=0,"",INDEX(CalcPriceA,$M1018)),"")</f>
        <v/>
      </c>
      <c r="H1018" s="28">
        <f>IF($N1018&lt;&gt;"",IF(INDEX(CalcWitB,$N1018)=0,"",INDEX(CalcWitB,$N1018)),"")</f>
        <v/>
      </c>
      <c r="I1018" s="29">
        <f>IF($M1018&lt;&gt;"",INDEX(CalcAmtA,$M1018),"")</f>
        <v/>
      </c>
      <c r="J1018" s="29">
        <f>IF($B1018="","",IF($J1017="",$C$8,$J1017)+IF($I1018="",0,$I1018)+IF($E1018="",0,$E1018)-IF($H1018="",0,$H1018))</f>
        <v/>
      </c>
      <c r="K1018" s="30">
        <f>IF($M1018&lt;&gt;"",IF(INDEX(CalcNoteA,$M1018)="","—",INDEX(CalcNoteA,$M1018)),IF($N1018&lt;&gt;"",IF(INDEX(CalcNoteB,$N1018)="","—",INDEX(CalcNoteB,$N1018)),""))</f>
        <v/>
      </c>
      <c r="M1018">
        <f>IFERROR(MATCH($C$5&amp;"|"&amp;RIGHT("000000"&amp;1002,6),CalcRankKeyA,0),"")</f>
        <v/>
      </c>
      <c r="N1018">
        <f>IFERROR(MATCH($C$5&amp;"|"&amp;RIGHT("000000"&amp;1002,6),CalcRankKeyB,0),"")</f>
        <v/>
      </c>
    </row>
    <row r="1019">
      <c r="A1019" s="21" t="n">
        <v>1003</v>
      </c>
      <c r="B1019" s="22">
        <f>IF(AND($M1019="",$N1019=""),"",IF($M1019&lt;&gt;"",INDEX(CalcDateA,$M1019),INDEX(CalcDateB,$N1019)))</f>
        <v/>
      </c>
      <c r="C1019" s="22">
        <f>IF($M1019&lt;&gt;"","خرید سبد",IF($N1019&lt;&gt;"",IF(N(INDEX(CalcDepB,$N1019))&gt;0,"دریافت بانکی","پرداخت بانکی"),""))</f>
        <v/>
      </c>
      <c r="D1019" s="22">
        <f>IF($M1019&lt;&gt;"",IF(INDEX(CalcDocA,$M1019)="","—",INDEX(CalcDocA,$M1019)),IF($N1019&lt;&gt;"",INDEX(CalcBankB,$N1019),""))</f>
        <v/>
      </c>
      <c r="E1019" s="23">
        <f>IF($N1019&lt;&gt;"",IF(INDEX(CalcDepB,$N1019)=0,"",INDEX(CalcDepB,$N1019)),"")</f>
        <v/>
      </c>
      <c r="F1019" s="23">
        <f>IF($M1019&lt;&gt;"",IF(INDEX(CalcQtyA,$M1019)=0,"",INDEX(CalcQtyA,$M1019)),"")</f>
        <v/>
      </c>
      <c r="G1019" s="23">
        <f>IF($M1019&lt;&gt;"",IF(INDEX(CalcPriceA,$M1019)=0,"",INDEX(CalcPriceA,$M1019)),"")</f>
        <v/>
      </c>
      <c r="H1019" s="23">
        <f>IF($N1019&lt;&gt;"",IF(INDEX(CalcWitB,$N1019)=0,"",INDEX(CalcWitB,$N1019)),"")</f>
        <v/>
      </c>
      <c r="I1019" s="24">
        <f>IF($M1019&lt;&gt;"",INDEX(CalcAmtA,$M1019),"")</f>
        <v/>
      </c>
      <c r="J1019" s="24">
        <f>IF($B1019="","",IF($J1018="",$C$8,$J1018)+IF($I1019="",0,$I1019)+IF($E1019="",0,$E1019)-IF($H1019="",0,$H1019))</f>
        <v/>
      </c>
      <c r="K1019" s="25">
        <f>IF($M1019&lt;&gt;"",IF(INDEX(CalcNoteA,$M1019)="","—",INDEX(CalcNoteA,$M1019)),IF($N1019&lt;&gt;"",IF(INDEX(CalcNoteB,$N1019)="","—",INDEX(CalcNoteB,$N1019)),""))</f>
        <v/>
      </c>
      <c r="M1019">
        <f>IFERROR(MATCH($C$5&amp;"|"&amp;RIGHT("000000"&amp;1003,6),CalcRankKeyA,0),"")</f>
        <v/>
      </c>
      <c r="N1019">
        <f>IFERROR(MATCH($C$5&amp;"|"&amp;RIGHT("000000"&amp;1003,6),CalcRankKeyB,0),"")</f>
        <v/>
      </c>
    </row>
    <row r="1020">
      <c r="A1020" s="26" t="n">
        <v>1004</v>
      </c>
      <c r="B1020" s="27">
        <f>IF(AND($M1020="",$N1020=""),"",IF($M1020&lt;&gt;"",INDEX(CalcDateA,$M1020),INDEX(CalcDateB,$N1020)))</f>
        <v/>
      </c>
      <c r="C1020" s="27">
        <f>IF($M1020&lt;&gt;"","خرید سبد",IF($N1020&lt;&gt;"",IF(N(INDEX(CalcDepB,$N1020))&gt;0,"دریافت بانکی","پرداخت بانکی"),""))</f>
        <v/>
      </c>
      <c r="D1020" s="27">
        <f>IF($M1020&lt;&gt;"",IF(INDEX(CalcDocA,$M1020)="","—",INDEX(CalcDocA,$M1020)),IF($N1020&lt;&gt;"",INDEX(CalcBankB,$N1020),""))</f>
        <v/>
      </c>
      <c r="E1020" s="28">
        <f>IF($N1020&lt;&gt;"",IF(INDEX(CalcDepB,$N1020)=0,"",INDEX(CalcDepB,$N1020)),"")</f>
        <v/>
      </c>
      <c r="F1020" s="28">
        <f>IF($M1020&lt;&gt;"",IF(INDEX(CalcQtyA,$M1020)=0,"",INDEX(CalcQtyA,$M1020)),"")</f>
        <v/>
      </c>
      <c r="G1020" s="28">
        <f>IF($M1020&lt;&gt;"",IF(INDEX(CalcPriceA,$M1020)=0,"",INDEX(CalcPriceA,$M1020)),"")</f>
        <v/>
      </c>
      <c r="H1020" s="28">
        <f>IF($N1020&lt;&gt;"",IF(INDEX(CalcWitB,$N1020)=0,"",INDEX(CalcWitB,$N1020)),"")</f>
        <v/>
      </c>
      <c r="I1020" s="29">
        <f>IF($M1020&lt;&gt;"",INDEX(CalcAmtA,$M1020),"")</f>
        <v/>
      </c>
      <c r="J1020" s="29">
        <f>IF($B1020="","",IF($J1019="",$C$8,$J1019)+IF($I1020="",0,$I1020)+IF($E1020="",0,$E1020)-IF($H1020="",0,$H1020))</f>
        <v/>
      </c>
      <c r="K1020" s="30">
        <f>IF($M1020&lt;&gt;"",IF(INDEX(CalcNoteA,$M1020)="","—",INDEX(CalcNoteA,$M1020)),IF($N1020&lt;&gt;"",IF(INDEX(CalcNoteB,$N1020)="","—",INDEX(CalcNoteB,$N1020)),""))</f>
        <v/>
      </c>
      <c r="M1020">
        <f>IFERROR(MATCH($C$5&amp;"|"&amp;RIGHT("000000"&amp;1004,6),CalcRankKeyA,0),"")</f>
        <v/>
      </c>
      <c r="N1020">
        <f>IFERROR(MATCH($C$5&amp;"|"&amp;RIGHT("000000"&amp;1004,6),CalcRankKeyB,0),"")</f>
        <v/>
      </c>
    </row>
    <row r="1021">
      <c r="A1021" s="21" t="n">
        <v>1005</v>
      </c>
      <c r="B1021" s="22">
        <f>IF(AND($M1021="",$N1021=""),"",IF($M1021&lt;&gt;"",INDEX(CalcDateA,$M1021),INDEX(CalcDateB,$N1021)))</f>
        <v/>
      </c>
      <c r="C1021" s="22">
        <f>IF($M1021&lt;&gt;"","خرید سبد",IF($N1021&lt;&gt;"",IF(N(INDEX(CalcDepB,$N1021))&gt;0,"دریافت بانکی","پرداخت بانکی"),""))</f>
        <v/>
      </c>
      <c r="D1021" s="22">
        <f>IF($M1021&lt;&gt;"",IF(INDEX(CalcDocA,$M1021)="","—",INDEX(CalcDocA,$M1021)),IF($N1021&lt;&gt;"",INDEX(CalcBankB,$N1021),""))</f>
        <v/>
      </c>
      <c r="E1021" s="23">
        <f>IF($N1021&lt;&gt;"",IF(INDEX(CalcDepB,$N1021)=0,"",INDEX(CalcDepB,$N1021)),"")</f>
        <v/>
      </c>
      <c r="F1021" s="23">
        <f>IF($M1021&lt;&gt;"",IF(INDEX(CalcQtyA,$M1021)=0,"",INDEX(CalcQtyA,$M1021)),"")</f>
        <v/>
      </c>
      <c r="G1021" s="23">
        <f>IF($M1021&lt;&gt;"",IF(INDEX(CalcPriceA,$M1021)=0,"",INDEX(CalcPriceA,$M1021)),"")</f>
        <v/>
      </c>
      <c r="H1021" s="23">
        <f>IF($N1021&lt;&gt;"",IF(INDEX(CalcWitB,$N1021)=0,"",INDEX(CalcWitB,$N1021)),"")</f>
        <v/>
      </c>
      <c r="I1021" s="24">
        <f>IF($M1021&lt;&gt;"",INDEX(CalcAmtA,$M1021),"")</f>
        <v/>
      </c>
      <c r="J1021" s="24">
        <f>IF($B1021="","",IF($J1020="",$C$8,$J1020)+IF($I1021="",0,$I1021)+IF($E1021="",0,$E1021)-IF($H1021="",0,$H1021))</f>
        <v/>
      </c>
      <c r="K1021" s="25">
        <f>IF($M1021&lt;&gt;"",IF(INDEX(CalcNoteA,$M1021)="","—",INDEX(CalcNoteA,$M1021)),IF($N1021&lt;&gt;"",IF(INDEX(CalcNoteB,$N1021)="","—",INDEX(CalcNoteB,$N1021)),""))</f>
        <v/>
      </c>
      <c r="M1021">
        <f>IFERROR(MATCH($C$5&amp;"|"&amp;RIGHT("000000"&amp;1005,6),CalcRankKeyA,0),"")</f>
        <v/>
      </c>
      <c r="N1021">
        <f>IFERROR(MATCH($C$5&amp;"|"&amp;RIGHT("000000"&amp;1005,6),CalcRankKeyB,0),"")</f>
        <v/>
      </c>
    </row>
    <row r="1022">
      <c r="A1022" s="26" t="n">
        <v>1006</v>
      </c>
      <c r="B1022" s="27">
        <f>IF(AND($M1022="",$N1022=""),"",IF($M1022&lt;&gt;"",INDEX(CalcDateA,$M1022),INDEX(CalcDateB,$N1022)))</f>
        <v/>
      </c>
      <c r="C1022" s="27">
        <f>IF($M1022&lt;&gt;"","خرید سبد",IF($N1022&lt;&gt;"",IF(N(INDEX(CalcDepB,$N1022))&gt;0,"دریافت بانکی","پرداخت بانکی"),""))</f>
        <v/>
      </c>
      <c r="D1022" s="27">
        <f>IF($M1022&lt;&gt;"",IF(INDEX(CalcDocA,$M1022)="","—",INDEX(CalcDocA,$M1022)),IF($N1022&lt;&gt;"",INDEX(CalcBankB,$N1022),""))</f>
        <v/>
      </c>
      <c r="E1022" s="28">
        <f>IF($N1022&lt;&gt;"",IF(INDEX(CalcDepB,$N1022)=0,"",INDEX(CalcDepB,$N1022)),"")</f>
        <v/>
      </c>
      <c r="F1022" s="28">
        <f>IF($M1022&lt;&gt;"",IF(INDEX(CalcQtyA,$M1022)=0,"",INDEX(CalcQtyA,$M1022)),"")</f>
        <v/>
      </c>
      <c r="G1022" s="28">
        <f>IF($M1022&lt;&gt;"",IF(INDEX(CalcPriceA,$M1022)=0,"",INDEX(CalcPriceA,$M1022)),"")</f>
        <v/>
      </c>
      <c r="H1022" s="28">
        <f>IF($N1022&lt;&gt;"",IF(INDEX(CalcWitB,$N1022)=0,"",INDEX(CalcWitB,$N1022)),"")</f>
        <v/>
      </c>
      <c r="I1022" s="29">
        <f>IF($M1022&lt;&gt;"",INDEX(CalcAmtA,$M1022),"")</f>
        <v/>
      </c>
      <c r="J1022" s="29">
        <f>IF($B1022="","",IF($J1021="",$C$8,$J1021)+IF($I1022="",0,$I1022)+IF($E1022="",0,$E1022)-IF($H1022="",0,$H1022))</f>
        <v/>
      </c>
      <c r="K1022" s="30">
        <f>IF($M1022&lt;&gt;"",IF(INDEX(CalcNoteA,$M1022)="","—",INDEX(CalcNoteA,$M1022)),IF($N1022&lt;&gt;"",IF(INDEX(CalcNoteB,$N1022)="","—",INDEX(CalcNoteB,$N1022)),""))</f>
        <v/>
      </c>
      <c r="M1022">
        <f>IFERROR(MATCH($C$5&amp;"|"&amp;RIGHT("000000"&amp;1006,6),CalcRankKeyA,0),"")</f>
        <v/>
      </c>
      <c r="N1022">
        <f>IFERROR(MATCH($C$5&amp;"|"&amp;RIGHT("000000"&amp;1006,6),CalcRankKeyB,0),"")</f>
        <v/>
      </c>
    </row>
    <row r="1023">
      <c r="A1023" s="21" t="n">
        <v>1007</v>
      </c>
      <c r="B1023" s="22">
        <f>IF(AND($M1023="",$N1023=""),"",IF($M1023&lt;&gt;"",INDEX(CalcDateA,$M1023),INDEX(CalcDateB,$N1023)))</f>
        <v/>
      </c>
      <c r="C1023" s="22">
        <f>IF($M1023&lt;&gt;"","خرید سبد",IF($N1023&lt;&gt;"",IF(N(INDEX(CalcDepB,$N1023))&gt;0,"دریافت بانکی","پرداخت بانکی"),""))</f>
        <v/>
      </c>
      <c r="D1023" s="22">
        <f>IF($M1023&lt;&gt;"",IF(INDEX(CalcDocA,$M1023)="","—",INDEX(CalcDocA,$M1023)),IF($N1023&lt;&gt;"",INDEX(CalcBankB,$N1023),""))</f>
        <v/>
      </c>
      <c r="E1023" s="23">
        <f>IF($N1023&lt;&gt;"",IF(INDEX(CalcDepB,$N1023)=0,"",INDEX(CalcDepB,$N1023)),"")</f>
        <v/>
      </c>
      <c r="F1023" s="23">
        <f>IF($M1023&lt;&gt;"",IF(INDEX(CalcQtyA,$M1023)=0,"",INDEX(CalcQtyA,$M1023)),"")</f>
        <v/>
      </c>
      <c r="G1023" s="23">
        <f>IF($M1023&lt;&gt;"",IF(INDEX(CalcPriceA,$M1023)=0,"",INDEX(CalcPriceA,$M1023)),"")</f>
        <v/>
      </c>
      <c r="H1023" s="23">
        <f>IF($N1023&lt;&gt;"",IF(INDEX(CalcWitB,$N1023)=0,"",INDEX(CalcWitB,$N1023)),"")</f>
        <v/>
      </c>
      <c r="I1023" s="24">
        <f>IF($M1023&lt;&gt;"",INDEX(CalcAmtA,$M1023),"")</f>
        <v/>
      </c>
      <c r="J1023" s="24">
        <f>IF($B1023="","",IF($J1022="",$C$8,$J1022)+IF($I1023="",0,$I1023)+IF($E1023="",0,$E1023)-IF($H1023="",0,$H1023))</f>
        <v/>
      </c>
      <c r="K1023" s="25">
        <f>IF($M1023&lt;&gt;"",IF(INDEX(CalcNoteA,$M1023)="","—",INDEX(CalcNoteA,$M1023)),IF($N1023&lt;&gt;"",IF(INDEX(CalcNoteB,$N1023)="","—",INDEX(CalcNoteB,$N1023)),""))</f>
        <v/>
      </c>
      <c r="M1023">
        <f>IFERROR(MATCH($C$5&amp;"|"&amp;RIGHT("000000"&amp;1007,6),CalcRankKeyA,0),"")</f>
        <v/>
      </c>
      <c r="N1023">
        <f>IFERROR(MATCH($C$5&amp;"|"&amp;RIGHT("000000"&amp;1007,6),CalcRankKeyB,0),"")</f>
        <v/>
      </c>
    </row>
    <row r="1024">
      <c r="A1024" s="26" t="n">
        <v>1008</v>
      </c>
      <c r="B1024" s="27">
        <f>IF(AND($M1024="",$N1024=""),"",IF($M1024&lt;&gt;"",INDEX(CalcDateA,$M1024),INDEX(CalcDateB,$N1024)))</f>
        <v/>
      </c>
      <c r="C1024" s="27">
        <f>IF($M1024&lt;&gt;"","خرید سبد",IF($N1024&lt;&gt;"",IF(N(INDEX(CalcDepB,$N1024))&gt;0,"دریافت بانکی","پرداخت بانکی"),""))</f>
        <v/>
      </c>
      <c r="D1024" s="27">
        <f>IF($M1024&lt;&gt;"",IF(INDEX(CalcDocA,$M1024)="","—",INDEX(CalcDocA,$M1024)),IF($N1024&lt;&gt;"",INDEX(CalcBankB,$N1024),""))</f>
        <v/>
      </c>
      <c r="E1024" s="28">
        <f>IF($N1024&lt;&gt;"",IF(INDEX(CalcDepB,$N1024)=0,"",INDEX(CalcDepB,$N1024)),"")</f>
        <v/>
      </c>
      <c r="F1024" s="28">
        <f>IF($M1024&lt;&gt;"",IF(INDEX(CalcQtyA,$M1024)=0,"",INDEX(CalcQtyA,$M1024)),"")</f>
        <v/>
      </c>
      <c r="G1024" s="28">
        <f>IF($M1024&lt;&gt;"",IF(INDEX(CalcPriceA,$M1024)=0,"",INDEX(CalcPriceA,$M1024)),"")</f>
        <v/>
      </c>
      <c r="H1024" s="28">
        <f>IF($N1024&lt;&gt;"",IF(INDEX(CalcWitB,$N1024)=0,"",INDEX(CalcWitB,$N1024)),"")</f>
        <v/>
      </c>
      <c r="I1024" s="29">
        <f>IF($M1024&lt;&gt;"",INDEX(CalcAmtA,$M1024),"")</f>
        <v/>
      </c>
      <c r="J1024" s="29">
        <f>IF($B1024="","",IF($J1023="",$C$8,$J1023)+IF($I1024="",0,$I1024)+IF($E1024="",0,$E1024)-IF($H1024="",0,$H1024))</f>
        <v/>
      </c>
      <c r="K1024" s="30">
        <f>IF($M1024&lt;&gt;"",IF(INDEX(CalcNoteA,$M1024)="","—",INDEX(CalcNoteA,$M1024)),IF($N1024&lt;&gt;"",IF(INDEX(CalcNoteB,$N1024)="","—",INDEX(CalcNoteB,$N1024)),""))</f>
        <v/>
      </c>
      <c r="M1024">
        <f>IFERROR(MATCH($C$5&amp;"|"&amp;RIGHT("000000"&amp;1008,6),CalcRankKeyA,0),"")</f>
        <v/>
      </c>
      <c r="N1024">
        <f>IFERROR(MATCH($C$5&amp;"|"&amp;RIGHT("000000"&amp;1008,6),CalcRankKeyB,0),"")</f>
        <v/>
      </c>
    </row>
    <row r="1025">
      <c r="A1025" s="21" t="n">
        <v>1009</v>
      </c>
      <c r="B1025" s="22">
        <f>IF(AND($M1025="",$N1025=""),"",IF($M1025&lt;&gt;"",INDEX(CalcDateA,$M1025),INDEX(CalcDateB,$N1025)))</f>
        <v/>
      </c>
      <c r="C1025" s="22">
        <f>IF($M1025&lt;&gt;"","خرید سبد",IF($N1025&lt;&gt;"",IF(N(INDEX(CalcDepB,$N1025))&gt;0,"دریافت بانکی","پرداخت بانکی"),""))</f>
        <v/>
      </c>
      <c r="D1025" s="22">
        <f>IF($M1025&lt;&gt;"",IF(INDEX(CalcDocA,$M1025)="","—",INDEX(CalcDocA,$M1025)),IF($N1025&lt;&gt;"",INDEX(CalcBankB,$N1025),""))</f>
        <v/>
      </c>
      <c r="E1025" s="23">
        <f>IF($N1025&lt;&gt;"",IF(INDEX(CalcDepB,$N1025)=0,"",INDEX(CalcDepB,$N1025)),"")</f>
        <v/>
      </c>
      <c r="F1025" s="23">
        <f>IF($M1025&lt;&gt;"",IF(INDEX(CalcQtyA,$M1025)=0,"",INDEX(CalcQtyA,$M1025)),"")</f>
        <v/>
      </c>
      <c r="G1025" s="23">
        <f>IF($M1025&lt;&gt;"",IF(INDEX(CalcPriceA,$M1025)=0,"",INDEX(CalcPriceA,$M1025)),"")</f>
        <v/>
      </c>
      <c r="H1025" s="23">
        <f>IF($N1025&lt;&gt;"",IF(INDEX(CalcWitB,$N1025)=0,"",INDEX(CalcWitB,$N1025)),"")</f>
        <v/>
      </c>
      <c r="I1025" s="24">
        <f>IF($M1025&lt;&gt;"",INDEX(CalcAmtA,$M1025),"")</f>
        <v/>
      </c>
      <c r="J1025" s="24">
        <f>IF($B1025="","",IF($J1024="",$C$8,$J1024)+IF($I1025="",0,$I1025)+IF($E1025="",0,$E1025)-IF($H1025="",0,$H1025))</f>
        <v/>
      </c>
      <c r="K1025" s="25">
        <f>IF($M1025&lt;&gt;"",IF(INDEX(CalcNoteA,$M1025)="","—",INDEX(CalcNoteA,$M1025)),IF($N1025&lt;&gt;"",IF(INDEX(CalcNoteB,$N1025)="","—",INDEX(CalcNoteB,$N1025)),""))</f>
        <v/>
      </c>
      <c r="M1025">
        <f>IFERROR(MATCH($C$5&amp;"|"&amp;RIGHT("000000"&amp;1009,6),CalcRankKeyA,0),"")</f>
        <v/>
      </c>
      <c r="N1025">
        <f>IFERROR(MATCH($C$5&amp;"|"&amp;RIGHT("000000"&amp;1009,6),CalcRankKeyB,0),"")</f>
        <v/>
      </c>
    </row>
    <row r="1026">
      <c r="A1026" s="26" t="n">
        <v>1010</v>
      </c>
      <c r="B1026" s="27">
        <f>IF(AND($M1026="",$N1026=""),"",IF($M1026&lt;&gt;"",INDEX(CalcDateA,$M1026),INDEX(CalcDateB,$N1026)))</f>
        <v/>
      </c>
      <c r="C1026" s="27">
        <f>IF($M1026&lt;&gt;"","خرید سبد",IF($N1026&lt;&gt;"",IF(N(INDEX(CalcDepB,$N1026))&gt;0,"دریافت بانکی","پرداخت بانکی"),""))</f>
        <v/>
      </c>
      <c r="D1026" s="27">
        <f>IF($M1026&lt;&gt;"",IF(INDEX(CalcDocA,$M1026)="","—",INDEX(CalcDocA,$M1026)),IF($N1026&lt;&gt;"",INDEX(CalcBankB,$N1026),""))</f>
        <v/>
      </c>
      <c r="E1026" s="28">
        <f>IF($N1026&lt;&gt;"",IF(INDEX(CalcDepB,$N1026)=0,"",INDEX(CalcDepB,$N1026)),"")</f>
        <v/>
      </c>
      <c r="F1026" s="28">
        <f>IF($M1026&lt;&gt;"",IF(INDEX(CalcQtyA,$M1026)=0,"",INDEX(CalcQtyA,$M1026)),"")</f>
        <v/>
      </c>
      <c r="G1026" s="28">
        <f>IF($M1026&lt;&gt;"",IF(INDEX(CalcPriceA,$M1026)=0,"",INDEX(CalcPriceA,$M1026)),"")</f>
        <v/>
      </c>
      <c r="H1026" s="28">
        <f>IF($N1026&lt;&gt;"",IF(INDEX(CalcWitB,$N1026)=0,"",INDEX(CalcWitB,$N1026)),"")</f>
        <v/>
      </c>
      <c r="I1026" s="29">
        <f>IF($M1026&lt;&gt;"",INDEX(CalcAmtA,$M1026),"")</f>
        <v/>
      </c>
      <c r="J1026" s="29">
        <f>IF($B1026="","",IF($J1025="",$C$8,$J1025)+IF($I1026="",0,$I1026)+IF($E1026="",0,$E1026)-IF($H1026="",0,$H1026))</f>
        <v/>
      </c>
      <c r="K1026" s="30">
        <f>IF($M1026&lt;&gt;"",IF(INDEX(CalcNoteA,$M1026)="","—",INDEX(CalcNoteA,$M1026)),IF($N1026&lt;&gt;"",IF(INDEX(CalcNoteB,$N1026)="","—",INDEX(CalcNoteB,$N1026)),""))</f>
        <v/>
      </c>
      <c r="M1026">
        <f>IFERROR(MATCH($C$5&amp;"|"&amp;RIGHT("000000"&amp;1010,6),CalcRankKeyA,0),"")</f>
        <v/>
      </c>
      <c r="N1026">
        <f>IFERROR(MATCH($C$5&amp;"|"&amp;RIGHT("000000"&amp;1010,6),CalcRankKeyB,0),"")</f>
        <v/>
      </c>
    </row>
    <row r="1027">
      <c r="A1027" s="21" t="n">
        <v>1011</v>
      </c>
      <c r="B1027" s="22">
        <f>IF(AND($M1027="",$N1027=""),"",IF($M1027&lt;&gt;"",INDEX(CalcDateA,$M1027),INDEX(CalcDateB,$N1027)))</f>
        <v/>
      </c>
      <c r="C1027" s="22">
        <f>IF($M1027&lt;&gt;"","خرید سبد",IF($N1027&lt;&gt;"",IF(N(INDEX(CalcDepB,$N1027))&gt;0,"دریافت بانکی","پرداخت بانکی"),""))</f>
        <v/>
      </c>
      <c r="D1027" s="22">
        <f>IF($M1027&lt;&gt;"",IF(INDEX(CalcDocA,$M1027)="","—",INDEX(CalcDocA,$M1027)),IF($N1027&lt;&gt;"",INDEX(CalcBankB,$N1027),""))</f>
        <v/>
      </c>
      <c r="E1027" s="23">
        <f>IF($N1027&lt;&gt;"",IF(INDEX(CalcDepB,$N1027)=0,"",INDEX(CalcDepB,$N1027)),"")</f>
        <v/>
      </c>
      <c r="F1027" s="23">
        <f>IF($M1027&lt;&gt;"",IF(INDEX(CalcQtyA,$M1027)=0,"",INDEX(CalcQtyA,$M1027)),"")</f>
        <v/>
      </c>
      <c r="G1027" s="23">
        <f>IF($M1027&lt;&gt;"",IF(INDEX(CalcPriceA,$M1027)=0,"",INDEX(CalcPriceA,$M1027)),"")</f>
        <v/>
      </c>
      <c r="H1027" s="23">
        <f>IF($N1027&lt;&gt;"",IF(INDEX(CalcWitB,$N1027)=0,"",INDEX(CalcWitB,$N1027)),"")</f>
        <v/>
      </c>
      <c r="I1027" s="24">
        <f>IF($M1027&lt;&gt;"",INDEX(CalcAmtA,$M1027),"")</f>
        <v/>
      </c>
      <c r="J1027" s="24">
        <f>IF($B1027="","",IF($J1026="",$C$8,$J1026)+IF($I1027="",0,$I1027)+IF($E1027="",0,$E1027)-IF($H1027="",0,$H1027))</f>
        <v/>
      </c>
      <c r="K1027" s="25">
        <f>IF($M1027&lt;&gt;"",IF(INDEX(CalcNoteA,$M1027)="","—",INDEX(CalcNoteA,$M1027)),IF($N1027&lt;&gt;"",IF(INDEX(CalcNoteB,$N1027)="","—",INDEX(CalcNoteB,$N1027)),""))</f>
        <v/>
      </c>
      <c r="M1027">
        <f>IFERROR(MATCH($C$5&amp;"|"&amp;RIGHT("000000"&amp;1011,6),CalcRankKeyA,0),"")</f>
        <v/>
      </c>
      <c r="N1027">
        <f>IFERROR(MATCH($C$5&amp;"|"&amp;RIGHT("000000"&amp;1011,6),CalcRankKeyB,0),"")</f>
        <v/>
      </c>
    </row>
    <row r="1028">
      <c r="A1028" s="26" t="n">
        <v>1012</v>
      </c>
      <c r="B1028" s="27">
        <f>IF(AND($M1028="",$N1028=""),"",IF($M1028&lt;&gt;"",INDEX(CalcDateA,$M1028),INDEX(CalcDateB,$N1028)))</f>
        <v/>
      </c>
      <c r="C1028" s="27">
        <f>IF($M1028&lt;&gt;"","خرید سبد",IF($N1028&lt;&gt;"",IF(N(INDEX(CalcDepB,$N1028))&gt;0,"دریافت بانکی","پرداخت بانکی"),""))</f>
        <v/>
      </c>
      <c r="D1028" s="27">
        <f>IF($M1028&lt;&gt;"",IF(INDEX(CalcDocA,$M1028)="","—",INDEX(CalcDocA,$M1028)),IF($N1028&lt;&gt;"",INDEX(CalcBankB,$N1028),""))</f>
        <v/>
      </c>
      <c r="E1028" s="28">
        <f>IF($N1028&lt;&gt;"",IF(INDEX(CalcDepB,$N1028)=0,"",INDEX(CalcDepB,$N1028)),"")</f>
        <v/>
      </c>
      <c r="F1028" s="28">
        <f>IF($M1028&lt;&gt;"",IF(INDEX(CalcQtyA,$M1028)=0,"",INDEX(CalcQtyA,$M1028)),"")</f>
        <v/>
      </c>
      <c r="G1028" s="28">
        <f>IF($M1028&lt;&gt;"",IF(INDEX(CalcPriceA,$M1028)=0,"",INDEX(CalcPriceA,$M1028)),"")</f>
        <v/>
      </c>
      <c r="H1028" s="28">
        <f>IF($N1028&lt;&gt;"",IF(INDEX(CalcWitB,$N1028)=0,"",INDEX(CalcWitB,$N1028)),"")</f>
        <v/>
      </c>
      <c r="I1028" s="29">
        <f>IF($M1028&lt;&gt;"",INDEX(CalcAmtA,$M1028),"")</f>
        <v/>
      </c>
      <c r="J1028" s="29">
        <f>IF($B1028="","",IF($J1027="",$C$8,$J1027)+IF($I1028="",0,$I1028)+IF($E1028="",0,$E1028)-IF($H1028="",0,$H1028))</f>
        <v/>
      </c>
      <c r="K1028" s="30">
        <f>IF($M1028&lt;&gt;"",IF(INDEX(CalcNoteA,$M1028)="","—",INDEX(CalcNoteA,$M1028)),IF($N1028&lt;&gt;"",IF(INDEX(CalcNoteB,$N1028)="","—",INDEX(CalcNoteB,$N1028)),""))</f>
        <v/>
      </c>
      <c r="M1028">
        <f>IFERROR(MATCH($C$5&amp;"|"&amp;RIGHT("000000"&amp;1012,6),CalcRankKeyA,0),"")</f>
        <v/>
      </c>
      <c r="N1028">
        <f>IFERROR(MATCH($C$5&amp;"|"&amp;RIGHT("000000"&amp;1012,6),CalcRankKeyB,0),"")</f>
        <v/>
      </c>
    </row>
    <row r="1029">
      <c r="A1029" s="21" t="n">
        <v>1013</v>
      </c>
      <c r="B1029" s="22">
        <f>IF(AND($M1029="",$N1029=""),"",IF($M1029&lt;&gt;"",INDEX(CalcDateA,$M1029),INDEX(CalcDateB,$N1029)))</f>
        <v/>
      </c>
      <c r="C1029" s="22">
        <f>IF($M1029&lt;&gt;"","خرید سبد",IF($N1029&lt;&gt;"",IF(N(INDEX(CalcDepB,$N1029))&gt;0,"دریافت بانکی","پرداخت بانکی"),""))</f>
        <v/>
      </c>
      <c r="D1029" s="22">
        <f>IF($M1029&lt;&gt;"",IF(INDEX(CalcDocA,$M1029)="","—",INDEX(CalcDocA,$M1029)),IF($N1029&lt;&gt;"",INDEX(CalcBankB,$N1029),""))</f>
        <v/>
      </c>
      <c r="E1029" s="23">
        <f>IF($N1029&lt;&gt;"",IF(INDEX(CalcDepB,$N1029)=0,"",INDEX(CalcDepB,$N1029)),"")</f>
        <v/>
      </c>
      <c r="F1029" s="23">
        <f>IF($M1029&lt;&gt;"",IF(INDEX(CalcQtyA,$M1029)=0,"",INDEX(CalcQtyA,$M1029)),"")</f>
        <v/>
      </c>
      <c r="G1029" s="23">
        <f>IF($M1029&lt;&gt;"",IF(INDEX(CalcPriceA,$M1029)=0,"",INDEX(CalcPriceA,$M1029)),"")</f>
        <v/>
      </c>
      <c r="H1029" s="23">
        <f>IF($N1029&lt;&gt;"",IF(INDEX(CalcWitB,$N1029)=0,"",INDEX(CalcWitB,$N1029)),"")</f>
        <v/>
      </c>
      <c r="I1029" s="24">
        <f>IF($M1029&lt;&gt;"",INDEX(CalcAmtA,$M1029),"")</f>
        <v/>
      </c>
      <c r="J1029" s="24">
        <f>IF($B1029="","",IF($J1028="",$C$8,$J1028)+IF($I1029="",0,$I1029)+IF($E1029="",0,$E1029)-IF($H1029="",0,$H1029))</f>
        <v/>
      </c>
      <c r="K1029" s="25">
        <f>IF($M1029&lt;&gt;"",IF(INDEX(CalcNoteA,$M1029)="","—",INDEX(CalcNoteA,$M1029)),IF($N1029&lt;&gt;"",IF(INDEX(CalcNoteB,$N1029)="","—",INDEX(CalcNoteB,$N1029)),""))</f>
        <v/>
      </c>
      <c r="M1029">
        <f>IFERROR(MATCH($C$5&amp;"|"&amp;RIGHT("000000"&amp;1013,6),CalcRankKeyA,0),"")</f>
        <v/>
      </c>
      <c r="N1029">
        <f>IFERROR(MATCH($C$5&amp;"|"&amp;RIGHT("000000"&amp;1013,6),CalcRankKeyB,0),"")</f>
        <v/>
      </c>
    </row>
    <row r="1030">
      <c r="A1030" s="26" t="n">
        <v>1014</v>
      </c>
      <c r="B1030" s="27">
        <f>IF(AND($M1030="",$N1030=""),"",IF($M1030&lt;&gt;"",INDEX(CalcDateA,$M1030),INDEX(CalcDateB,$N1030)))</f>
        <v/>
      </c>
      <c r="C1030" s="27">
        <f>IF($M1030&lt;&gt;"","خرید سبد",IF($N1030&lt;&gt;"",IF(N(INDEX(CalcDepB,$N1030))&gt;0,"دریافت بانکی","پرداخت بانکی"),""))</f>
        <v/>
      </c>
      <c r="D1030" s="27">
        <f>IF($M1030&lt;&gt;"",IF(INDEX(CalcDocA,$M1030)="","—",INDEX(CalcDocA,$M1030)),IF($N1030&lt;&gt;"",INDEX(CalcBankB,$N1030),""))</f>
        <v/>
      </c>
      <c r="E1030" s="28">
        <f>IF($N1030&lt;&gt;"",IF(INDEX(CalcDepB,$N1030)=0,"",INDEX(CalcDepB,$N1030)),"")</f>
        <v/>
      </c>
      <c r="F1030" s="28">
        <f>IF($M1030&lt;&gt;"",IF(INDEX(CalcQtyA,$M1030)=0,"",INDEX(CalcQtyA,$M1030)),"")</f>
        <v/>
      </c>
      <c r="G1030" s="28">
        <f>IF($M1030&lt;&gt;"",IF(INDEX(CalcPriceA,$M1030)=0,"",INDEX(CalcPriceA,$M1030)),"")</f>
        <v/>
      </c>
      <c r="H1030" s="28">
        <f>IF($N1030&lt;&gt;"",IF(INDEX(CalcWitB,$N1030)=0,"",INDEX(CalcWitB,$N1030)),"")</f>
        <v/>
      </c>
      <c r="I1030" s="29">
        <f>IF($M1030&lt;&gt;"",INDEX(CalcAmtA,$M1030),"")</f>
        <v/>
      </c>
      <c r="J1030" s="29">
        <f>IF($B1030="","",IF($J1029="",$C$8,$J1029)+IF($I1030="",0,$I1030)+IF($E1030="",0,$E1030)-IF($H1030="",0,$H1030))</f>
        <v/>
      </c>
      <c r="K1030" s="30">
        <f>IF($M1030&lt;&gt;"",IF(INDEX(CalcNoteA,$M1030)="","—",INDEX(CalcNoteA,$M1030)),IF($N1030&lt;&gt;"",IF(INDEX(CalcNoteB,$N1030)="","—",INDEX(CalcNoteB,$N1030)),""))</f>
        <v/>
      </c>
      <c r="M1030">
        <f>IFERROR(MATCH($C$5&amp;"|"&amp;RIGHT("000000"&amp;1014,6),CalcRankKeyA,0),"")</f>
        <v/>
      </c>
      <c r="N1030">
        <f>IFERROR(MATCH($C$5&amp;"|"&amp;RIGHT("000000"&amp;1014,6),CalcRankKeyB,0),"")</f>
        <v/>
      </c>
    </row>
    <row r="1031">
      <c r="A1031" s="21" t="n">
        <v>1015</v>
      </c>
      <c r="B1031" s="22">
        <f>IF(AND($M1031="",$N1031=""),"",IF($M1031&lt;&gt;"",INDEX(CalcDateA,$M1031),INDEX(CalcDateB,$N1031)))</f>
        <v/>
      </c>
      <c r="C1031" s="22">
        <f>IF($M1031&lt;&gt;"","خرید سبد",IF($N1031&lt;&gt;"",IF(N(INDEX(CalcDepB,$N1031))&gt;0,"دریافت بانکی","پرداخت بانکی"),""))</f>
        <v/>
      </c>
      <c r="D1031" s="22">
        <f>IF($M1031&lt;&gt;"",IF(INDEX(CalcDocA,$M1031)="","—",INDEX(CalcDocA,$M1031)),IF($N1031&lt;&gt;"",INDEX(CalcBankB,$N1031),""))</f>
        <v/>
      </c>
      <c r="E1031" s="23">
        <f>IF($N1031&lt;&gt;"",IF(INDEX(CalcDepB,$N1031)=0,"",INDEX(CalcDepB,$N1031)),"")</f>
        <v/>
      </c>
      <c r="F1031" s="23">
        <f>IF($M1031&lt;&gt;"",IF(INDEX(CalcQtyA,$M1031)=0,"",INDEX(CalcQtyA,$M1031)),"")</f>
        <v/>
      </c>
      <c r="G1031" s="23">
        <f>IF($M1031&lt;&gt;"",IF(INDEX(CalcPriceA,$M1031)=0,"",INDEX(CalcPriceA,$M1031)),"")</f>
        <v/>
      </c>
      <c r="H1031" s="23">
        <f>IF($N1031&lt;&gt;"",IF(INDEX(CalcWitB,$N1031)=0,"",INDEX(CalcWitB,$N1031)),"")</f>
        <v/>
      </c>
      <c r="I1031" s="24">
        <f>IF($M1031&lt;&gt;"",INDEX(CalcAmtA,$M1031),"")</f>
        <v/>
      </c>
      <c r="J1031" s="24">
        <f>IF($B1031="","",IF($J1030="",$C$8,$J1030)+IF($I1031="",0,$I1031)+IF($E1031="",0,$E1031)-IF($H1031="",0,$H1031))</f>
        <v/>
      </c>
      <c r="K1031" s="25">
        <f>IF($M1031&lt;&gt;"",IF(INDEX(CalcNoteA,$M1031)="","—",INDEX(CalcNoteA,$M1031)),IF($N1031&lt;&gt;"",IF(INDEX(CalcNoteB,$N1031)="","—",INDEX(CalcNoteB,$N1031)),""))</f>
        <v/>
      </c>
      <c r="M1031">
        <f>IFERROR(MATCH($C$5&amp;"|"&amp;RIGHT("000000"&amp;1015,6),CalcRankKeyA,0),"")</f>
        <v/>
      </c>
      <c r="N1031">
        <f>IFERROR(MATCH($C$5&amp;"|"&amp;RIGHT("000000"&amp;1015,6),CalcRankKeyB,0),"")</f>
        <v/>
      </c>
    </row>
    <row r="1032">
      <c r="A1032" s="26" t="n">
        <v>1016</v>
      </c>
      <c r="B1032" s="27">
        <f>IF(AND($M1032="",$N1032=""),"",IF($M1032&lt;&gt;"",INDEX(CalcDateA,$M1032),INDEX(CalcDateB,$N1032)))</f>
        <v/>
      </c>
      <c r="C1032" s="27">
        <f>IF($M1032&lt;&gt;"","خرید سبد",IF($N1032&lt;&gt;"",IF(N(INDEX(CalcDepB,$N1032))&gt;0,"دریافت بانکی","پرداخت بانکی"),""))</f>
        <v/>
      </c>
      <c r="D1032" s="27">
        <f>IF($M1032&lt;&gt;"",IF(INDEX(CalcDocA,$M1032)="","—",INDEX(CalcDocA,$M1032)),IF($N1032&lt;&gt;"",INDEX(CalcBankB,$N1032),""))</f>
        <v/>
      </c>
      <c r="E1032" s="28">
        <f>IF($N1032&lt;&gt;"",IF(INDEX(CalcDepB,$N1032)=0,"",INDEX(CalcDepB,$N1032)),"")</f>
        <v/>
      </c>
      <c r="F1032" s="28">
        <f>IF($M1032&lt;&gt;"",IF(INDEX(CalcQtyA,$M1032)=0,"",INDEX(CalcQtyA,$M1032)),"")</f>
        <v/>
      </c>
      <c r="G1032" s="28">
        <f>IF($M1032&lt;&gt;"",IF(INDEX(CalcPriceA,$M1032)=0,"",INDEX(CalcPriceA,$M1032)),"")</f>
        <v/>
      </c>
      <c r="H1032" s="28">
        <f>IF($N1032&lt;&gt;"",IF(INDEX(CalcWitB,$N1032)=0,"",INDEX(CalcWitB,$N1032)),"")</f>
        <v/>
      </c>
      <c r="I1032" s="29">
        <f>IF($M1032&lt;&gt;"",INDEX(CalcAmtA,$M1032),"")</f>
        <v/>
      </c>
      <c r="J1032" s="29">
        <f>IF($B1032="","",IF($J1031="",$C$8,$J1031)+IF($I1032="",0,$I1032)+IF($E1032="",0,$E1032)-IF($H1032="",0,$H1032))</f>
        <v/>
      </c>
      <c r="K1032" s="30">
        <f>IF($M1032&lt;&gt;"",IF(INDEX(CalcNoteA,$M1032)="","—",INDEX(CalcNoteA,$M1032)),IF($N1032&lt;&gt;"",IF(INDEX(CalcNoteB,$N1032)="","—",INDEX(CalcNoteB,$N1032)),""))</f>
        <v/>
      </c>
      <c r="M1032">
        <f>IFERROR(MATCH($C$5&amp;"|"&amp;RIGHT("000000"&amp;1016,6),CalcRankKeyA,0),"")</f>
        <v/>
      </c>
      <c r="N1032">
        <f>IFERROR(MATCH($C$5&amp;"|"&amp;RIGHT("000000"&amp;1016,6),CalcRankKeyB,0),"")</f>
        <v/>
      </c>
    </row>
    <row r="1033">
      <c r="A1033" s="21" t="n">
        <v>1017</v>
      </c>
      <c r="B1033" s="22">
        <f>IF(AND($M1033="",$N1033=""),"",IF($M1033&lt;&gt;"",INDEX(CalcDateA,$M1033),INDEX(CalcDateB,$N1033)))</f>
        <v/>
      </c>
      <c r="C1033" s="22">
        <f>IF($M1033&lt;&gt;"","خرید سبد",IF($N1033&lt;&gt;"",IF(N(INDEX(CalcDepB,$N1033))&gt;0,"دریافت بانکی","پرداخت بانکی"),""))</f>
        <v/>
      </c>
      <c r="D1033" s="22">
        <f>IF($M1033&lt;&gt;"",IF(INDEX(CalcDocA,$M1033)="","—",INDEX(CalcDocA,$M1033)),IF($N1033&lt;&gt;"",INDEX(CalcBankB,$N1033),""))</f>
        <v/>
      </c>
      <c r="E1033" s="23">
        <f>IF($N1033&lt;&gt;"",IF(INDEX(CalcDepB,$N1033)=0,"",INDEX(CalcDepB,$N1033)),"")</f>
        <v/>
      </c>
      <c r="F1033" s="23">
        <f>IF($M1033&lt;&gt;"",IF(INDEX(CalcQtyA,$M1033)=0,"",INDEX(CalcQtyA,$M1033)),"")</f>
        <v/>
      </c>
      <c r="G1033" s="23">
        <f>IF($M1033&lt;&gt;"",IF(INDEX(CalcPriceA,$M1033)=0,"",INDEX(CalcPriceA,$M1033)),"")</f>
        <v/>
      </c>
      <c r="H1033" s="23">
        <f>IF($N1033&lt;&gt;"",IF(INDEX(CalcWitB,$N1033)=0,"",INDEX(CalcWitB,$N1033)),"")</f>
        <v/>
      </c>
      <c r="I1033" s="24">
        <f>IF($M1033&lt;&gt;"",INDEX(CalcAmtA,$M1033),"")</f>
        <v/>
      </c>
      <c r="J1033" s="24">
        <f>IF($B1033="","",IF($J1032="",$C$8,$J1032)+IF($I1033="",0,$I1033)+IF($E1033="",0,$E1033)-IF($H1033="",0,$H1033))</f>
        <v/>
      </c>
      <c r="K1033" s="25">
        <f>IF($M1033&lt;&gt;"",IF(INDEX(CalcNoteA,$M1033)="","—",INDEX(CalcNoteA,$M1033)),IF($N1033&lt;&gt;"",IF(INDEX(CalcNoteB,$N1033)="","—",INDEX(CalcNoteB,$N1033)),""))</f>
        <v/>
      </c>
      <c r="M1033">
        <f>IFERROR(MATCH($C$5&amp;"|"&amp;RIGHT("000000"&amp;1017,6),CalcRankKeyA,0),"")</f>
        <v/>
      </c>
      <c r="N1033">
        <f>IFERROR(MATCH($C$5&amp;"|"&amp;RIGHT("000000"&amp;1017,6),CalcRankKeyB,0),"")</f>
        <v/>
      </c>
    </row>
    <row r="1034">
      <c r="A1034" s="26" t="n">
        <v>1018</v>
      </c>
      <c r="B1034" s="27">
        <f>IF(AND($M1034="",$N1034=""),"",IF($M1034&lt;&gt;"",INDEX(CalcDateA,$M1034),INDEX(CalcDateB,$N1034)))</f>
        <v/>
      </c>
      <c r="C1034" s="27">
        <f>IF($M1034&lt;&gt;"","خرید سبد",IF($N1034&lt;&gt;"",IF(N(INDEX(CalcDepB,$N1034))&gt;0,"دریافت بانکی","پرداخت بانکی"),""))</f>
        <v/>
      </c>
      <c r="D1034" s="27">
        <f>IF($M1034&lt;&gt;"",IF(INDEX(CalcDocA,$M1034)="","—",INDEX(CalcDocA,$M1034)),IF($N1034&lt;&gt;"",INDEX(CalcBankB,$N1034),""))</f>
        <v/>
      </c>
      <c r="E1034" s="28">
        <f>IF($N1034&lt;&gt;"",IF(INDEX(CalcDepB,$N1034)=0,"",INDEX(CalcDepB,$N1034)),"")</f>
        <v/>
      </c>
      <c r="F1034" s="28">
        <f>IF($M1034&lt;&gt;"",IF(INDEX(CalcQtyA,$M1034)=0,"",INDEX(CalcQtyA,$M1034)),"")</f>
        <v/>
      </c>
      <c r="G1034" s="28">
        <f>IF($M1034&lt;&gt;"",IF(INDEX(CalcPriceA,$M1034)=0,"",INDEX(CalcPriceA,$M1034)),"")</f>
        <v/>
      </c>
      <c r="H1034" s="28">
        <f>IF($N1034&lt;&gt;"",IF(INDEX(CalcWitB,$N1034)=0,"",INDEX(CalcWitB,$N1034)),"")</f>
        <v/>
      </c>
      <c r="I1034" s="29">
        <f>IF($M1034&lt;&gt;"",INDEX(CalcAmtA,$M1034),"")</f>
        <v/>
      </c>
      <c r="J1034" s="29">
        <f>IF($B1034="","",IF($J1033="",$C$8,$J1033)+IF($I1034="",0,$I1034)+IF($E1034="",0,$E1034)-IF($H1034="",0,$H1034))</f>
        <v/>
      </c>
      <c r="K1034" s="30">
        <f>IF($M1034&lt;&gt;"",IF(INDEX(CalcNoteA,$M1034)="","—",INDEX(CalcNoteA,$M1034)),IF($N1034&lt;&gt;"",IF(INDEX(CalcNoteB,$N1034)="","—",INDEX(CalcNoteB,$N1034)),""))</f>
        <v/>
      </c>
      <c r="M1034">
        <f>IFERROR(MATCH($C$5&amp;"|"&amp;RIGHT("000000"&amp;1018,6),CalcRankKeyA,0),"")</f>
        <v/>
      </c>
      <c r="N1034">
        <f>IFERROR(MATCH($C$5&amp;"|"&amp;RIGHT("000000"&amp;1018,6),CalcRankKeyB,0),"")</f>
        <v/>
      </c>
    </row>
    <row r="1035">
      <c r="A1035" s="21" t="n">
        <v>1019</v>
      </c>
      <c r="B1035" s="22">
        <f>IF(AND($M1035="",$N1035=""),"",IF($M1035&lt;&gt;"",INDEX(CalcDateA,$M1035),INDEX(CalcDateB,$N1035)))</f>
        <v/>
      </c>
      <c r="C1035" s="22">
        <f>IF($M1035&lt;&gt;"","خرید سبد",IF($N1035&lt;&gt;"",IF(N(INDEX(CalcDepB,$N1035))&gt;0,"دریافت بانکی","پرداخت بانکی"),""))</f>
        <v/>
      </c>
      <c r="D1035" s="22">
        <f>IF($M1035&lt;&gt;"",IF(INDEX(CalcDocA,$M1035)="","—",INDEX(CalcDocA,$M1035)),IF($N1035&lt;&gt;"",INDEX(CalcBankB,$N1035),""))</f>
        <v/>
      </c>
      <c r="E1035" s="23">
        <f>IF($N1035&lt;&gt;"",IF(INDEX(CalcDepB,$N1035)=0,"",INDEX(CalcDepB,$N1035)),"")</f>
        <v/>
      </c>
      <c r="F1035" s="23">
        <f>IF($M1035&lt;&gt;"",IF(INDEX(CalcQtyA,$M1035)=0,"",INDEX(CalcQtyA,$M1035)),"")</f>
        <v/>
      </c>
      <c r="G1035" s="23">
        <f>IF($M1035&lt;&gt;"",IF(INDEX(CalcPriceA,$M1035)=0,"",INDEX(CalcPriceA,$M1035)),"")</f>
        <v/>
      </c>
      <c r="H1035" s="23">
        <f>IF($N1035&lt;&gt;"",IF(INDEX(CalcWitB,$N1035)=0,"",INDEX(CalcWitB,$N1035)),"")</f>
        <v/>
      </c>
      <c r="I1035" s="24">
        <f>IF($M1035&lt;&gt;"",INDEX(CalcAmtA,$M1035),"")</f>
        <v/>
      </c>
      <c r="J1035" s="24">
        <f>IF($B1035="","",IF($J1034="",$C$8,$J1034)+IF($I1035="",0,$I1035)+IF($E1035="",0,$E1035)-IF($H1035="",0,$H1035))</f>
        <v/>
      </c>
      <c r="K1035" s="25">
        <f>IF($M1035&lt;&gt;"",IF(INDEX(CalcNoteA,$M1035)="","—",INDEX(CalcNoteA,$M1035)),IF($N1035&lt;&gt;"",IF(INDEX(CalcNoteB,$N1035)="","—",INDEX(CalcNoteB,$N1035)),""))</f>
        <v/>
      </c>
      <c r="M1035">
        <f>IFERROR(MATCH($C$5&amp;"|"&amp;RIGHT("000000"&amp;1019,6),CalcRankKeyA,0),"")</f>
        <v/>
      </c>
      <c r="N1035">
        <f>IFERROR(MATCH($C$5&amp;"|"&amp;RIGHT("000000"&amp;1019,6),CalcRankKeyB,0),"")</f>
        <v/>
      </c>
    </row>
    <row r="1036">
      <c r="A1036" s="26" t="n">
        <v>1020</v>
      </c>
      <c r="B1036" s="27">
        <f>IF(AND($M1036="",$N1036=""),"",IF($M1036&lt;&gt;"",INDEX(CalcDateA,$M1036),INDEX(CalcDateB,$N1036)))</f>
        <v/>
      </c>
      <c r="C1036" s="27">
        <f>IF($M1036&lt;&gt;"","خرید سبد",IF($N1036&lt;&gt;"",IF(N(INDEX(CalcDepB,$N1036))&gt;0,"دریافت بانکی","پرداخت بانکی"),""))</f>
        <v/>
      </c>
      <c r="D1036" s="27">
        <f>IF($M1036&lt;&gt;"",IF(INDEX(CalcDocA,$M1036)="","—",INDEX(CalcDocA,$M1036)),IF($N1036&lt;&gt;"",INDEX(CalcBankB,$N1036),""))</f>
        <v/>
      </c>
      <c r="E1036" s="28">
        <f>IF($N1036&lt;&gt;"",IF(INDEX(CalcDepB,$N1036)=0,"",INDEX(CalcDepB,$N1036)),"")</f>
        <v/>
      </c>
      <c r="F1036" s="28">
        <f>IF($M1036&lt;&gt;"",IF(INDEX(CalcQtyA,$M1036)=0,"",INDEX(CalcQtyA,$M1036)),"")</f>
        <v/>
      </c>
      <c r="G1036" s="28">
        <f>IF($M1036&lt;&gt;"",IF(INDEX(CalcPriceA,$M1036)=0,"",INDEX(CalcPriceA,$M1036)),"")</f>
        <v/>
      </c>
      <c r="H1036" s="28">
        <f>IF($N1036&lt;&gt;"",IF(INDEX(CalcWitB,$N1036)=0,"",INDEX(CalcWitB,$N1036)),"")</f>
        <v/>
      </c>
      <c r="I1036" s="29">
        <f>IF($M1036&lt;&gt;"",INDEX(CalcAmtA,$M1036),"")</f>
        <v/>
      </c>
      <c r="J1036" s="29">
        <f>IF($B1036="","",IF($J1035="",$C$8,$J1035)+IF($I1036="",0,$I1036)+IF($E1036="",0,$E1036)-IF($H1036="",0,$H1036))</f>
        <v/>
      </c>
      <c r="K1036" s="30">
        <f>IF($M1036&lt;&gt;"",IF(INDEX(CalcNoteA,$M1036)="","—",INDEX(CalcNoteA,$M1036)),IF($N1036&lt;&gt;"",IF(INDEX(CalcNoteB,$N1036)="","—",INDEX(CalcNoteB,$N1036)),""))</f>
        <v/>
      </c>
      <c r="M1036">
        <f>IFERROR(MATCH($C$5&amp;"|"&amp;RIGHT("000000"&amp;1020,6),CalcRankKeyA,0),"")</f>
        <v/>
      </c>
      <c r="N1036">
        <f>IFERROR(MATCH($C$5&amp;"|"&amp;RIGHT("000000"&amp;1020,6),CalcRankKeyB,0),"")</f>
        <v/>
      </c>
    </row>
    <row r="1037">
      <c r="A1037" s="21" t="n">
        <v>1021</v>
      </c>
      <c r="B1037" s="22">
        <f>IF(AND($M1037="",$N1037=""),"",IF($M1037&lt;&gt;"",INDEX(CalcDateA,$M1037),INDEX(CalcDateB,$N1037)))</f>
        <v/>
      </c>
      <c r="C1037" s="22">
        <f>IF($M1037&lt;&gt;"","خرید سبد",IF($N1037&lt;&gt;"",IF(N(INDEX(CalcDepB,$N1037))&gt;0,"دریافت بانکی","پرداخت بانکی"),""))</f>
        <v/>
      </c>
      <c r="D1037" s="22">
        <f>IF($M1037&lt;&gt;"",IF(INDEX(CalcDocA,$M1037)="","—",INDEX(CalcDocA,$M1037)),IF($N1037&lt;&gt;"",INDEX(CalcBankB,$N1037),""))</f>
        <v/>
      </c>
      <c r="E1037" s="23">
        <f>IF($N1037&lt;&gt;"",IF(INDEX(CalcDepB,$N1037)=0,"",INDEX(CalcDepB,$N1037)),"")</f>
        <v/>
      </c>
      <c r="F1037" s="23">
        <f>IF($M1037&lt;&gt;"",IF(INDEX(CalcQtyA,$M1037)=0,"",INDEX(CalcQtyA,$M1037)),"")</f>
        <v/>
      </c>
      <c r="G1037" s="23">
        <f>IF($M1037&lt;&gt;"",IF(INDEX(CalcPriceA,$M1037)=0,"",INDEX(CalcPriceA,$M1037)),"")</f>
        <v/>
      </c>
      <c r="H1037" s="23">
        <f>IF($N1037&lt;&gt;"",IF(INDEX(CalcWitB,$N1037)=0,"",INDEX(CalcWitB,$N1037)),"")</f>
        <v/>
      </c>
      <c r="I1037" s="24">
        <f>IF($M1037&lt;&gt;"",INDEX(CalcAmtA,$M1037),"")</f>
        <v/>
      </c>
      <c r="J1037" s="24">
        <f>IF($B1037="","",IF($J1036="",$C$8,$J1036)+IF($I1037="",0,$I1037)+IF($E1037="",0,$E1037)-IF($H1037="",0,$H1037))</f>
        <v/>
      </c>
      <c r="K1037" s="25">
        <f>IF($M1037&lt;&gt;"",IF(INDEX(CalcNoteA,$M1037)="","—",INDEX(CalcNoteA,$M1037)),IF($N1037&lt;&gt;"",IF(INDEX(CalcNoteB,$N1037)="","—",INDEX(CalcNoteB,$N1037)),""))</f>
        <v/>
      </c>
      <c r="M1037">
        <f>IFERROR(MATCH($C$5&amp;"|"&amp;RIGHT("000000"&amp;1021,6),CalcRankKeyA,0),"")</f>
        <v/>
      </c>
      <c r="N1037">
        <f>IFERROR(MATCH($C$5&amp;"|"&amp;RIGHT("000000"&amp;1021,6),CalcRankKeyB,0),"")</f>
        <v/>
      </c>
    </row>
    <row r="1038">
      <c r="A1038" s="26" t="n">
        <v>1022</v>
      </c>
      <c r="B1038" s="27">
        <f>IF(AND($M1038="",$N1038=""),"",IF($M1038&lt;&gt;"",INDEX(CalcDateA,$M1038),INDEX(CalcDateB,$N1038)))</f>
        <v/>
      </c>
      <c r="C1038" s="27">
        <f>IF($M1038&lt;&gt;"","خرید سبد",IF($N1038&lt;&gt;"",IF(N(INDEX(CalcDepB,$N1038))&gt;0,"دریافت بانکی","پرداخت بانکی"),""))</f>
        <v/>
      </c>
      <c r="D1038" s="27">
        <f>IF($M1038&lt;&gt;"",IF(INDEX(CalcDocA,$M1038)="","—",INDEX(CalcDocA,$M1038)),IF($N1038&lt;&gt;"",INDEX(CalcBankB,$N1038),""))</f>
        <v/>
      </c>
      <c r="E1038" s="28">
        <f>IF($N1038&lt;&gt;"",IF(INDEX(CalcDepB,$N1038)=0,"",INDEX(CalcDepB,$N1038)),"")</f>
        <v/>
      </c>
      <c r="F1038" s="28">
        <f>IF($M1038&lt;&gt;"",IF(INDEX(CalcQtyA,$M1038)=0,"",INDEX(CalcQtyA,$M1038)),"")</f>
        <v/>
      </c>
      <c r="G1038" s="28">
        <f>IF($M1038&lt;&gt;"",IF(INDEX(CalcPriceA,$M1038)=0,"",INDEX(CalcPriceA,$M1038)),"")</f>
        <v/>
      </c>
      <c r="H1038" s="28">
        <f>IF($N1038&lt;&gt;"",IF(INDEX(CalcWitB,$N1038)=0,"",INDEX(CalcWitB,$N1038)),"")</f>
        <v/>
      </c>
      <c r="I1038" s="29">
        <f>IF($M1038&lt;&gt;"",INDEX(CalcAmtA,$M1038),"")</f>
        <v/>
      </c>
      <c r="J1038" s="29">
        <f>IF($B1038="","",IF($J1037="",$C$8,$J1037)+IF($I1038="",0,$I1038)+IF($E1038="",0,$E1038)-IF($H1038="",0,$H1038))</f>
        <v/>
      </c>
      <c r="K1038" s="30">
        <f>IF($M1038&lt;&gt;"",IF(INDEX(CalcNoteA,$M1038)="","—",INDEX(CalcNoteA,$M1038)),IF($N1038&lt;&gt;"",IF(INDEX(CalcNoteB,$N1038)="","—",INDEX(CalcNoteB,$N1038)),""))</f>
        <v/>
      </c>
      <c r="M1038">
        <f>IFERROR(MATCH($C$5&amp;"|"&amp;RIGHT("000000"&amp;1022,6),CalcRankKeyA,0),"")</f>
        <v/>
      </c>
      <c r="N1038">
        <f>IFERROR(MATCH($C$5&amp;"|"&amp;RIGHT("000000"&amp;1022,6),CalcRankKeyB,0),"")</f>
        <v/>
      </c>
    </row>
    <row r="1039">
      <c r="A1039" s="21" t="n">
        <v>1023</v>
      </c>
      <c r="B1039" s="22">
        <f>IF(AND($M1039="",$N1039=""),"",IF($M1039&lt;&gt;"",INDEX(CalcDateA,$M1039),INDEX(CalcDateB,$N1039)))</f>
        <v/>
      </c>
      <c r="C1039" s="22">
        <f>IF($M1039&lt;&gt;"","خرید سبد",IF($N1039&lt;&gt;"",IF(N(INDEX(CalcDepB,$N1039))&gt;0,"دریافت بانکی","پرداخت بانکی"),""))</f>
        <v/>
      </c>
      <c r="D1039" s="22">
        <f>IF($M1039&lt;&gt;"",IF(INDEX(CalcDocA,$M1039)="","—",INDEX(CalcDocA,$M1039)),IF($N1039&lt;&gt;"",INDEX(CalcBankB,$N1039),""))</f>
        <v/>
      </c>
      <c r="E1039" s="23">
        <f>IF($N1039&lt;&gt;"",IF(INDEX(CalcDepB,$N1039)=0,"",INDEX(CalcDepB,$N1039)),"")</f>
        <v/>
      </c>
      <c r="F1039" s="23">
        <f>IF($M1039&lt;&gt;"",IF(INDEX(CalcQtyA,$M1039)=0,"",INDEX(CalcQtyA,$M1039)),"")</f>
        <v/>
      </c>
      <c r="G1039" s="23">
        <f>IF($M1039&lt;&gt;"",IF(INDEX(CalcPriceA,$M1039)=0,"",INDEX(CalcPriceA,$M1039)),"")</f>
        <v/>
      </c>
      <c r="H1039" s="23">
        <f>IF($N1039&lt;&gt;"",IF(INDEX(CalcWitB,$N1039)=0,"",INDEX(CalcWitB,$N1039)),"")</f>
        <v/>
      </c>
      <c r="I1039" s="24">
        <f>IF($M1039&lt;&gt;"",INDEX(CalcAmtA,$M1039),"")</f>
        <v/>
      </c>
      <c r="J1039" s="24">
        <f>IF($B1039="","",IF($J1038="",$C$8,$J1038)+IF($I1039="",0,$I1039)+IF($E1039="",0,$E1039)-IF($H1039="",0,$H1039))</f>
        <v/>
      </c>
      <c r="K1039" s="25">
        <f>IF($M1039&lt;&gt;"",IF(INDEX(CalcNoteA,$M1039)="","—",INDEX(CalcNoteA,$M1039)),IF($N1039&lt;&gt;"",IF(INDEX(CalcNoteB,$N1039)="","—",INDEX(CalcNoteB,$N1039)),""))</f>
        <v/>
      </c>
      <c r="M1039">
        <f>IFERROR(MATCH($C$5&amp;"|"&amp;RIGHT("000000"&amp;1023,6),CalcRankKeyA,0),"")</f>
        <v/>
      </c>
      <c r="N1039">
        <f>IFERROR(MATCH($C$5&amp;"|"&amp;RIGHT("000000"&amp;1023,6),CalcRankKeyB,0),"")</f>
        <v/>
      </c>
    </row>
    <row r="1040">
      <c r="A1040" s="26" t="n">
        <v>1024</v>
      </c>
      <c r="B1040" s="27">
        <f>IF(AND($M1040="",$N1040=""),"",IF($M1040&lt;&gt;"",INDEX(CalcDateA,$M1040),INDEX(CalcDateB,$N1040)))</f>
        <v/>
      </c>
      <c r="C1040" s="27">
        <f>IF($M1040&lt;&gt;"","خرید سبد",IF($N1040&lt;&gt;"",IF(N(INDEX(CalcDepB,$N1040))&gt;0,"دریافت بانکی","پرداخت بانکی"),""))</f>
        <v/>
      </c>
      <c r="D1040" s="27">
        <f>IF($M1040&lt;&gt;"",IF(INDEX(CalcDocA,$M1040)="","—",INDEX(CalcDocA,$M1040)),IF($N1040&lt;&gt;"",INDEX(CalcBankB,$N1040),""))</f>
        <v/>
      </c>
      <c r="E1040" s="28">
        <f>IF($N1040&lt;&gt;"",IF(INDEX(CalcDepB,$N1040)=0,"",INDEX(CalcDepB,$N1040)),"")</f>
        <v/>
      </c>
      <c r="F1040" s="28">
        <f>IF($M1040&lt;&gt;"",IF(INDEX(CalcQtyA,$M1040)=0,"",INDEX(CalcQtyA,$M1040)),"")</f>
        <v/>
      </c>
      <c r="G1040" s="28">
        <f>IF($M1040&lt;&gt;"",IF(INDEX(CalcPriceA,$M1040)=0,"",INDEX(CalcPriceA,$M1040)),"")</f>
        <v/>
      </c>
      <c r="H1040" s="28">
        <f>IF($N1040&lt;&gt;"",IF(INDEX(CalcWitB,$N1040)=0,"",INDEX(CalcWitB,$N1040)),"")</f>
        <v/>
      </c>
      <c r="I1040" s="29">
        <f>IF($M1040&lt;&gt;"",INDEX(CalcAmtA,$M1040),"")</f>
        <v/>
      </c>
      <c r="J1040" s="29">
        <f>IF($B1040="","",IF($J1039="",$C$8,$J1039)+IF($I1040="",0,$I1040)+IF($E1040="",0,$E1040)-IF($H1040="",0,$H1040))</f>
        <v/>
      </c>
      <c r="K1040" s="30">
        <f>IF($M1040&lt;&gt;"",IF(INDEX(CalcNoteA,$M1040)="","—",INDEX(CalcNoteA,$M1040)),IF($N1040&lt;&gt;"",IF(INDEX(CalcNoteB,$N1040)="","—",INDEX(CalcNoteB,$N1040)),""))</f>
        <v/>
      </c>
      <c r="M1040">
        <f>IFERROR(MATCH($C$5&amp;"|"&amp;RIGHT("000000"&amp;1024,6),CalcRankKeyA,0),"")</f>
        <v/>
      </c>
      <c r="N1040">
        <f>IFERROR(MATCH($C$5&amp;"|"&amp;RIGHT("000000"&amp;1024,6),CalcRankKeyB,0),"")</f>
        <v/>
      </c>
    </row>
    <row r="1041">
      <c r="A1041" s="21" t="n">
        <v>1025</v>
      </c>
      <c r="B1041" s="22">
        <f>IF(AND($M1041="",$N1041=""),"",IF($M1041&lt;&gt;"",INDEX(CalcDateA,$M1041),INDEX(CalcDateB,$N1041)))</f>
        <v/>
      </c>
      <c r="C1041" s="22">
        <f>IF($M1041&lt;&gt;"","خرید سبد",IF($N1041&lt;&gt;"",IF(N(INDEX(CalcDepB,$N1041))&gt;0,"دریافت بانکی","پرداخت بانکی"),""))</f>
        <v/>
      </c>
      <c r="D1041" s="22">
        <f>IF($M1041&lt;&gt;"",IF(INDEX(CalcDocA,$M1041)="","—",INDEX(CalcDocA,$M1041)),IF($N1041&lt;&gt;"",INDEX(CalcBankB,$N1041),""))</f>
        <v/>
      </c>
      <c r="E1041" s="23">
        <f>IF($N1041&lt;&gt;"",IF(INDEX(CalcDepB,$N1041)=0,"",INDEX(CalcDepB,$N1041)),"")</f>
        <v/>
      </c>
      <c r="F1041" s="23">
        <f>IF($M1041&lt;&gt;"",IF(INDEX(CalcQtyA,$M1041)=0,"",INDEX(CalcQtyA,$M1041)),"")</f>
        <v/>
      </c>
      <c r="G1041" s="23">
        <f>IF($M1041&lt;&gt;"",IF(INDEX(CalcPriceA,$M1041)=0,"",INDEX(CalcPriceA,$M1041)),"")</f>
        <v/>
      </c>
      <c r="H1041" s="23">
        <f>IF($N1041&lt;&gt;"",IF(INDEX(CalcWitB,$N1041)=0,"",INDEX(CalcWitB,$N1041)),"")</f>
        <v/>
      </c>
      <c r="I1041" s="24">
        <f>IF($M1041&lt;&gt;"",INDEX(CalcAmtA,$M1041),"")</f>
        <v/>
      </c>
      <c r="J1041" s="24">
        <f>IF($B1041="","",IF($J1040="",$C$8,$J1040)+IF($I1041="",0,$I1041)+IF($E1041="",0,$E1041)-IF($H1041="",0,$H1041))</f>
        <v/>
      </c>
      <c r="K1041" s="25">
        <f>IF($M1041&lt;&gt;"",IF(INDEX(CalcNoteA,$M1041)="","—",INDEX(CalcNoteA,$M1041)),IF($N1041&lt;&gt;"",IF(INDEX(CalcNoteB,$N1041)="","—",INDEX(CalcNoteB,$N1041)),""))</f>
        <v/>
      </c>
      <c r="M1041">
        <f>IFERROR(MATCH($C$5&amp;"|"&amp;RIGHT("000000"&amp;1025,6),CalcRankKeyA,0),"")</f>
        <v/>
      </c>
      <c r="N1041">
        <f>IFERROR(MATCH($C$5&amp;"|"&amp;RIGHT("000000"&amp;1025,6),CalcRankKeyB,0),"")</f>
        <v/>
      </c>
    </row>
    <row r="1042">
      <c r="A1042" s="26" t="n">
        <v>1026</v>
      </c>
      <c r="B1042" s="27">
        <f>IF(AND($M1042="",$N1042=""),"",IF($M1042&lt;&gt;"",INDEX(CalcDateA,$M1042),INDEX(CalcDateB,$N1042)))</f>
        <v/>
      </c>
      <c r="C1042" s="27">
        <f>IF($M1042&lt;&gt;"","خرید سبد",IF($N1042&lt;&gt;"",IF(N(INDEX(CalcDepB,$N1042))&gt;0,"دریافت بانکی","پرداخت بانکی"),""))</f>
        <v/>
      </c>
      <c r="D1042" s="27">
        <f>IF($M1042&lt;&gt;"",IF(INDEX(CalcDocA,$M1042)="","—",INDEX(CalcDocA,$M1042)),IF($N1042&lt;&gt;"",INDEX(CalcBankB,$N1042),""))</f>
        <v/>
      </c>
      <c r="E1042" s="28">
        <f>IF($N1042&lt;&gt;"",IF(INDEX(CalcDepB,$N1042)=0,"",INDEX(CalcDepB,$N1042)),"")</f>
        <v/>
      </c>
      <c r="F1042" s="28">
        <f>IF($M1042&lt;&gt;"",IF(INDEX(CalcQtyA,$M1042)=0,"",INDEX(CalcQtyA,$M1042)),"")</f>
        <v/>
      </c>
      <c r="G1042" s="28">
        <f>IF($M1042&lt;&gt;"",IF(INDEX(CalcPriceA,$M1042)=0,"",INDEX(CalcPriceA,$M1042)),"")</f>
        <v/>
      </c>
      <c r="H1042" s="28">
        <f>IF($N1042&lt;&gt;"",IF(INDEX(CalcWitB,$N1042)=0,"",INDEX(CalcWitB,$N1042)),"")</f>
        <v/>
      </c>
      <c r="I1042" s="29">
        <f>IF($M1042&lt;&gt;"",INDEX(CalcAmtA,$M1042),"")</f>
        <v/>
      </c>
      <c r="J1042" s="29">
        <f>IF($B1042="","",IF($J1041="",$C$8,$J1041)+IF($I1042="",0,$I1042)+IF($E1042="",0,$E1042)-IF($H1042="",0,$H1042))</f>
        <v/>
      </c>
      <c r="K1042" s="30">
        <f>IF($M1042&lt;&gt;"",IF(INDEX(CalcNoteA,$M1042)="","—",INDEX(CalcNoteA,$M1042)),IF($N1042&lt;&gt;"",IF(INDEX(CalcNoteB,$N1042)="","—",INDEX(CalcNoteB,$N1042)),""))</f>
        <v/>
      </c>
      <c r="M1042">
        <f>IFERROR(MATCH($C$5&amp;"|"&amp;RIGHT("000000"&amp;1026,6),CalcRankKeyA,0),"")</f>
        <v/>
      </c>
      <c r="N1042">
        <f>IFERROR(MATCH($C$5&amp;"|"&amp;RIGHT("000000"&amp;1026,6),CalcRankKeyB,0),"")</f>
        <v/>
      </c>
    </row>
    <row r="1043">
      <c r="A1043" s="21" t="n">
        <v>1027</v>
      </c>
      <c r="B1043" s="22">
        <f>IF(AND($M1043="",$N1043=""),"",IF($M1043&lt;&gt;"",INDEX(CalcDateA,$M1043),INDEX(CalcDateB,$N1043)))</f>
        <v/>
      </c>
      <c r="C1043" s="22">
        <f>IF($M1043&lt;&gt;"","خرید سبد",IF($N1043&lt;&gt;"",IF(N(INDEX(CalcDepB,$N1043))&gt;0,"دریافت بانکی","پرداخت بانکی"),""))</f>
        <v/>
      </c>
      <c r="D1043" s="22">
        <f>IF($M1043&lt;&gt;"",IF(INDEX(CalcDocA,$M1043)="","—",INDEX(CalcDocA,$M1043)),IF($N1043&lt;&gt;"",INDEX(CalcBankB,$N1043),""))</f>
        <v/>
      </c>
      <c r="E1043" s="23">
        <f>IF($N1043&lt;&gt;"",IF(INDEX(CalcDepB,$N1043)=0,"",INDEX(CalcDepB,$N1043)),"")</f>
        <v/>
      </c>
      <c r="F1043" s="23">
        <f>IF($M1043&lt;&gt;"",IF(INDEX(CalcQtyA,$M1043)=0,"",INDEX(CalcQtyA,$M1043)),"")</f>
        <v/>
      </c>
      <c r="G1043" s="23">
        <f>IF($M1043&lt;&gt;"",IF(INDEX(CalcPriceA,$M1043)=0,"",INDEX(CalcPriceA,$M1043)),"")</f>
        <v/>
      </c>
      <c r="H1043" s="23">
        <f>IF($N1043&lt;&gt;"",IF(INDEX(CalcWitB,$N1043)=0,"",INDEX(CalcWitB,$N1043)),"")</f>
        <v/>
      </c>
      <c r="I1043" s="24">
        <f>IF($M1043&lt;&gt;"",INDEX(CalcAmtA,$M1043),"")</f>
        <v/>
      </c>
      <c r="J1043" s="24">
        <f>IF($B1043="","",IF($J1042="",$C$8,$J1042)+IF($I1043="",0,$I1043)+IF($E1043="",0,$E1043)-IF($H1043="",0,$H1043))</f>
        <v/>
      </c>
      <c r="K1043" s="25">
        <f>IF($M1043&lt;&gt;"",IF(INDEX(CalcNoteA,$M1043)="","—",INDEX(CalcNoteA,$M1043)),IF($N1043&lt;&gt;"",IF(INDEX(CalcNoteB,$N1043)="","—",INDEX(CalcNoteB,$N1043)),""))</f>
        <v/>
      </c>
      <c r="M1043">
        <f>IFERROR(MATCH($C$5&amp;"|"&amp;RIGHT("000000"&amp;1027,6),CalcRankKeyA,0),"")</f>
        <v/>
      </c>
      <c r="N1043">
        <f>IFERROR(MATCH($C$5&amp;"|"&amp;RIGHT("000000"&amp;1027,6),CalcRankKeyB,0),"")</f>
        <v/>
      </c>
    </row>
    <row r="1044">
      <c r="A1044" s="26" t="n">
        <v>1028</v>
      </c>
      <c r="B1044" s="27">
        <f>IF(AND($M1044="",$N1044=""),"",IF($M1044&lt;&gt;"",INDEX(CalcDateA,$M1044),INDEX(CalcDateB,$N1044)))</f>
        <v/>
      </c>
      <c r="C1044" s="27">
        <f>IF($M1044&lt;&gt;"","خرید سبد",IF($N1044&lt;&gt;"",IF(N(INDEX(CalcDepB,$N1044))&gt;0,"دریافت بانکی","پرداخت بانکی"),""))</f>
        <v/>
      </c>
      <c r="D1044" s="27">
        <f>IF($M1044&lt;&gt;"",IF(INDEX(CalcDocA,$M1044)="","—",INDEX(CalcDocA,$M1044)),IF($N1044&lt;&gt;"",INDEX(CalcBankB,$N1044),""))</f>
        <v/>
      </c>
      <c r="E1044" s="28">
        <f>IF($N1044&lt;&gt;"",IF(INDEX(CalcDepB,$N1044)=0,"",INDEX(CalcDepB,$N1044)),"")</f>
        <v/>
      </c>
      <c r="F1044" s="28">
        <f>IF($M1044&lt;&gt;"",IF(INDEX(CalcQtyA,$M1044)=0,"",INDEX(CalcQtyA,$M1044)),"")</f>
        <v/>
      </c>
      <c r="G1044" s="28">
        <f>IF($M1044&lt;&gt;"",IF(INDEX(CalcPriceA,$M1044)=0,"",INDEX(CalcPriceA,$M1044)),"")</f>
        <v/>
      </c>
      <c r="H1044" s="28">
        <f>IF($N1044&lt;&gt;"",IF(INDEX(CalcWitB,$N1044)=0,"",INDEX(CalcWitB,$N1044)),"")</f>
        <v/>
      </c>
      <c r="I1044" s="29">
        <f>IF($M1044&lt;&gt;"",INDEX(CalcAmtA,$M1044),"")</f>
        <v/>
      </c>
      <c r="J1044" s="29">
        <f>IF($B1044="","",IF($J1043="",$C$8,$J1043)+IF($I1044="",0,$I1044)+IF($E1044="",0,$E1044)-IF($H1044="",0,$H1044))</f>
        <v/>
      </c>
      <c r="K1044" s="30">
        <f>IF($M1044&lt;&gt;"",IF(INDEX(CalcNoteA,$M1044)="","—",INDEX(CalcNoteA,$M1044)),IF($N1044&lt;&gt;"",IF(INDEX(CalcNoteB,$N1044)="","—",INDEX(CalcNoteB,$N1044)),""))</f>
        <v/>
      </c>
      <c r="M1044">
        <f>IFERROR(MATCH($C$5&amp;"|"&amp;RIGHT("000000"&amp;1028,6),CalcRankKeyA,0),"")</f>
        <v/>
      </c>
      <c r="N1044">
        <f>IFERROR(MATCH($C$5&amp;"|"&amp;RIGHT("000000"&amp;1028,6),CalcRankKeyB,0),"")</f>
        <v/>
      </c>
    </row>
    <row r="1045">
      <c r="A1045" s="21" t="n">
        <v>1029</v>
      </c>
      <c r="B1045" s="22">
        <f>IF(AND($M1045="",$N1045=""),"",IF($M1045&lt;&gt;"",INDEX(CalcDateA,$M1045),INDEX(CalcDateB,$N1045)))</f>
        <v/>
      </c>
      <c r="C1045" s="22">
        <f>IF($M1045&lt;&gt;"","خرید سبد",IF($N1045&lt;&gt;"",IF(N(INDEX(CalcDepB,$N1045))&gt;0,"دریافت بانکی","پرداخت بانکی"),""))</f>
        <v/>
      </c>
      <c r="D1045" s="22">
        <f>IF($M1045&lt;&gt;"",IF(INDEX(CalcDocA,$M1045)="","—",INDEX(CalcDocA,$M1045)),IF($N1045&lt;&gt;"",INDEX(CalcBankB,$N1045),""))</f>
        <v/>
      </c>
      <c r="E1045" s="23">
        <f>IF($N1045&lt;&gt;"",IF(INDEX(CalcDepB,$N1045)=0,"",INDEX(CalcDepB,$N1045)),"")</f>
        <v/>
      </c>
      <c r="F1045" s="23">
        <f>IF($M1045&lt;&gt;"",IF(INDEX(CalcQtyA,$M1045)=0,"",INDEX(CalcQtyA,$M1045)),"")</f>
        <v/>
      </c>
      <c r="G1045" s="23">
        <f>IF($M1045&lt;&gt;"",IF(INDEX(CalcPriceA,$M1045)=0,"",INDEX(CalcPriceA,$M1045)),"")</f>
        <v/>
      </c>
      <c r="H1045" s="23">
        <f>IF($N1045&lt;&gt;"",IF(INDEX(CalcWitB,$N1045)=0,"",INDEX(CalcWitB,$N1045)),"")</f>
        <v/>
      </c>
      <c r="I1045" s="24">
        <f>IF($M1045&lt;&gt;"",INDEX(CalcAmtA,$M1045),"")</f>
        <v/>
      </c>
      <c r="J1045" s="24">
        <f>IF($B1045="","",IF($J1044="",$C$8,$J1044)+IF($I1045="",0,$I1045)+IF($E1045="",0,$E1045)-IF($H1045="",0,$H1045))</f>
        <v/>
      </c>
      <c r="K1045" s="25">
        <f>IF($M1045&lt;&gt;"",IF(INDEX(CalcNoteA,$M1045)="","—",INDEX(CalcNoteA,$M1045)),IF($N1045&lt;&gt;"",IF(INDEX(CalcNoteB,$N1045)="","—",INDEX(CalcNoteB,$N1045)),""))</f>
        <v/>
      </c>
      <c r="M1045">
        <f>IFERROR(MATCH($C$5&amp;"|"&amp;RIGHT("000000"&amp;1029,6),CalcRankKeyA,0),"")</f>
        <v/>
      </c>
      <c r="N1045">
        <f>IFERROR(MATCH($C$5&amp;"|"&amp;RIGHT("000000"&amp;1029,6),CalcRankKeyB,0),"")</f>
        <v/>
      </c>
    </row>
    <row r="1046">
      <c r="A1046" s="26" t="n">
        <v>1030</v>
      </c>
      <c r="B1046" s="27">
        <f>IF(AND($M1046="",$N1046=""),"",IF($M1046&lt;&gt;"",INDEX(CalcDateA,$M1046),INDEX(CalcDateB,$N1046)))</f>
        <v/>
      </c>
      <c r="C1046" s="27">
        <f>IF($M1046&lt;&gt;"","خرید سبد",IF($N1046&lt;&gt;"",IF(N(INDEX(CalcDepB,$N1046))&gt;0,"دریافت بانکی","پرداخت بانکی"),""))</f>
        <v/>
      </c>
      <c r="D1046" s="27">
        <f>IF($M1046&lt;&gt;"",IF(INDEX(CalcDocA,$M1046)="","—",INDEX(CalcDocA,$M1046)),IF($N1046&lt;&gt;"",INDEX(CalcBankB,$N1046),""))</f>
        <v/>
      </c>
      <c r="E1046" s="28">
        <f>IF($N1046&lt;&gt;"",IF(INDEX(CalcDepB,$N1046)=0,"",INDEX(CalcDepB,$N1046)),"")</f>
        <v/>
      </c>
      <c r="F1046" s="28">
        <f>IF($M1046&lt;&gt;"",IF(INDEX(CalcQtyA,$M1046)=0,"",INDEX(CalcQtyA,$M1046)),"")</f>
        <v/>
      </c>
      <c r="G1046" s="28">
        <f>IF($M1046&lt;&gt;"",IF(INDEX(CalcPriceA,$M1046)=0,"",INDEX(CalcPriceA,$M1046)),"")</f>
        <v/>
      </c>
      <c r="H1046" s="28">
        <f>IF($N1046&lt;&gt;"",IF(INDEX(CalcWitB,$N1046)=0,"",INDEX(CalcWitB,$N1046)),"")</f>
        <v/>
      </c>
      <c r="I1046" s="29">
        <f>IF($M1046&lt;&gt;"",INDEX(CalcAmtA,$M1046),"")</f>
        <v/>
      </c>
      <c r="J1046" s="29">
        <f>IF($B1046="","",IF($J1045="",$C$8,$J1045)+IF($I1046="",0,$I1046)+IF($E1046="",0,$E1046)-IF($H1046="",0,$H1046))</f>
        <v/>
      </c>
      <c r="K1046" s="30">
        <f>IF($M1046&lt;&gt;"",IF(INDEX(CalcNoteA,$M1046)="","—",INDEX(CalcNoteA,$M1046)),IF($N1046&lt;&gt;"",IF(INDEX(CalcNoteB,$N1046)="","—",INDEX(CalcNoteB,$N1046)),""))</f>
        <v/>
      </c>
      <c r="M1046">
        <f>IFERROR(MATCH($C$5&amp;"|"&amp;RIGHT("000000"&amp;1030,6),CalcRankKeyA,0),"")</f>
        <v/>
      </c>
      <c r="N1046">
        <f>IFERROR(MATCH($C$5&amp;"|"&amp;RIGHT("000000"&amp;1030,6),CalcRankKeyB,0),"")</f>
        <v/>
      </c>
    </row>
    <row r="1047">
      <c r="A1047" s="21" t="n">
        <v>1031</v>
      </c>
      <c r="B1047" s="22">
        <f>IF(AND($M1047="",$N1047=""),"",IF($M1047&lt;&gt;"",INDEX(CalcDateA,$M1047),INDEX(CalcDateB,$N1047)))</f>
        <v/>
      </c>
      <c r="C1047" s="22">
        <f>IF($M1047&lt;&gt;"","خرید سبد",IF($N1047&lt;&gt;"",IF(N(INDEX(CalcDepB,$N1047))&gt;0,"دریافت بانکی","پرداخت بانکی"),""))</f>
        <v/>
      </c>
      <c r="D1047" s="22">
        <f>IF($M1047&lt;&gt;"",IF(INDEX(CalcDocA,$M1047)="","—",INDEX(CalcDocA,$M1047)),IF($N1047&lt;&gt;"",INDEX(CalcBankB,$N1047),""))</f>
        <v/>
      </c>
      <c r="E1047" s="23">
        <f>IF($N1047&lt;&gt;"",IF(INDEX(CalcDepB,$N1047)=0,"",INDEX(CalcDepB,$N1047)),"")</f>
        <v/>
      </c>
      <c r="F1047" s="23">
        <f>IF($M1047&lt;&gt;"",IF(INDEX(CalcQtyA,$M1047)=0,"",INDEX(CalcQtyA,$M1047)),"")</f>
        <v/>
      </c>
      <c r="G1047" s="23">
        <f>IF($M1047&lt;&gt;"",IF(INDEX(CalcPriceA,$M1047)=0,"",INDEX(CalcPriceA,$M1047)),"")</f>
        <v/>
      </c>
      <c r="H1047" s="23">
        <f>IF($N1047&lt;&gt;"",IF(INDEX(CalcWitB,$N1047)=0,"",INDEX(CalcWitB,$N1047)),"")</f>
        <v/>
      </c>
      <c r="I1047" s="24">
        <f>IF($M1047&lt;&gt;"",INDEX(CalcAmtA,$M1047),"")</f>
        <v/>
      </c>
      <c r="J1047" s="24">
        <f>IF($B1047="","",IF($J1046="",$C$8,$J1046)+IF($I1047="",0,$I1047)+IF($E1047="",0,$E1047)-IF($H1047="",0,$H1047))</f>
        <v/>
      </c>
      <c r="K1047" s="25">
        <f>IF($M1047&lt;&gt;"",IF(INDEX(CalcNoteA,$M1047)="","—",INDEX(CalcNoteA,$M1047)),IF($N1047&lt;&gt;"",IF(INDEX(CalcNoteB,$N1047)="","—",INDEX(CalcNoteB,$N1047)),""))</f>
        <v/>
      </c>
      <c r="M1047">
        <f>IFERROR(MATCH($C$5&amp;"|"&amp;RIGHT("000000"&amp;1031,6),CalcRankKeyA,0),"")</f>
        <v/>
      </c>
      <c r="N1047">
        <f>IFERROR(MATCH($C$5&amp;"|"&amp;RIGHT("000000"&amp;1031,6),CalcRankKeyB,0),"")</f>
        <v/>
      </c>
    </row>
    <row r="1048">
      <c r="A1048" s="26" t="n">
        <v>1032</v>
      </c>
      <c r="B1048" s="27">
        <f>IF(AND($M1048="",$N1048=""),"",IF($M1048&lt;&gt;"",INDEX(CalcDateA,$M1048),INDEX(CalcDateB,$N1048)))</f>
        <v/>
      </c>
      <c r="C1048" s="27">
        <f>IF($M1048&lt;&gt;"","خرید سبد",IF($N1048&lt;&gt;"",IF(N(INDEX(CalcDepB,$N1048))&gt;0,"دریافت بانکی","پرداخت بانکی"),""))</f>
        <v/>
      </c>
      <c r="D1048" s="27">
        <f>IF($M1048&lt;&gt;"",IF(INDEX(CalcDocA,$M1048)="","—",INDEX(CalcDocA,$M1048)),IF($N1048&lt;&gt;"",INDEX(CalcBankB,$N1048),""))</f>
        <v/>
      </c>
      <c r="E1048" s="28">
        <f>IF($N1048&lt;&gt;"",IF(INDEX(CalcDepB,$N1048)=0,"",INDEX(CalcDepB,$N1048)),"")</f>
        <v/>
      </c>
      <c r="F1048" s="28">
        <f>IF($M1048&lt;&gt;"",IF(INDEX(CalcQtyA,$M1048)=0,"",INDEX(CalcQtyA,$M1048)),"")</f>
        <v/>
      </c>
      <c r="G1048" s="28">
        <f>IF($M1048&lt;&gt;"",IF(INDEX(CalcPriceA,$M1048)=0,"",INDEX(CalcPriceA,$M1048)),"")</f>
        <v/>
      </c>
      <c r="H1048" s="28">
        <f>IF($N1048&lt;&gt;"",IF(INDEX(CalcWitB,$N1048)=0,"",INDEX(CalcWitB,$N1048)),"")</f>
        <v/>
      </c>
      <c r="I1048" s="29">
        <f>IF($M1048&lt;&gt;"",INDEX(CalcAmtA,$M1048),"")</f>
        <v/>
      </c>
      <c r="J1048" s="29">
        <f>IF($B1048="","",IF($J1047="",$C$8,$J1047)+IF($I1048="",0,$I1048)+IF($E1048="",0,$E1048)-IF($H1048="",0,$H1048))</f>
        <v/>
      </c>
      <c r="K1048" s="30">
        <f>IF($M1048&lt;&gt;"",IF(INDEX(CalcNoteA,$M1048)="","—",INDEX(CalcNoteA,$M1048)),IF($N1048&lt;&gt;"",IF(INDEX(CalcNoteB,$N1048)="","—",INDEX(CalcNoteB,$N1048)),""))</f>
        <v/>
      </c>
      <c r="M1048">
        <f>IFERROR(MATCH($C$5&amp;"|"&amp;RIGHT("000000"&amp;1032,6),CalcRankKeyA,0),"")</f>
        <v/>
      </c>
      <c r="N1048">
        <f>IFERROR(MATCH($C$5&amp;"|"&amp;RIGHT("000000"&amp;1032,6),CalcRankKeyB,0),"")</f>
        <v/>
      </c>
    </row>
    <row r="1049">
      <c r="A1049" s="21" t="n">
        <v>1033</v>
      </c>
      <c r="B1049" s="22">
        <f>IF(AND($M1049="",$N1049=""),"",IF($M1049&lt;&gt;"",INDEX(CalcDateA,$M1049),INDEX(CalcDateB,$N1049)))</f>
        <v/>
      </c>
      <c r="C1049" s="22">
        <f>IF($M1049&lt;&gt;"","خرید سبد",IF($N1049&lt;&gt;"",IF(N(INDEX(CalcDepB,$N1049))&gt;0,"دریافت بانکی","پرداخت بانکی"),""))</f>
        <v/>
      </c>
      <c r="D1049" s="22">
        <f>IF($M1049&lt;&gt;"",IF(INDEX(CalcDocA,$M1049)="","—",INDEX(CalcDocA,$M1049)),IF($N1049&lt;&gt;"",INDEX(CalcBankB,$N1049),""))</f>
        <v/>
      </c>
      <c r="E1049" s="23">
        <f>IF($N1049&lt;&gt;"",IF(INDEX(CalcDepB,$N1049)=0,"",INDEX(CalcDepB,$N1049)),"")</f>
        <v/>
      </c>
      <c r="F1049" s="23">
        <f>IF($M1049&lt;&gt;"",IF(INDEX(CalcQtyA,$M1049)=0,"",INDEX(CalcQtyA,$M1049)),"")</f>
        <v/>
      </c>
      <c r="G1049" s="23">
        <f>IF($M1049&lt;&gt;"",IF(INDEX(CalcPriceA,$M1049)=0,"",INDEX(CalcPriceA,$M1049)),"")</f>
        <v/>
      </c>
      <c r="H1049" s="23">
        <f>IF($N1049&lt;&gt;"",IF(INDEX(CalcWitB,$N1049)=0,"",INDEX(CalcWitB,$N1049)),"")</f>
        <v/>
      </c>
      <c r="I1049" s="24">
        <f>IF($M1049&lt;&gt;"",INDEX(CalcAmtA,$M1049),"")</f>
        <v/>
      </c>
      <c r="J1049" s="24">
        <f>IF($B1049="","",IF($J1048="",$C$8,$J1048)+IF($I1049="",0,$I1049)+IF($E1049="",0,$E1049)-IF($H1049="",0,$H1049))</f>
        <v/>
      </c>
      <c r="K1049" s="25">
        <f>IF($M1049&lt;&gt;"",IF(INDEX(CalcNoteA,$M1049)="","—",INDEX(CalcNoteA,$M1049)),IF($N1049&lt;&gt;"",IF(INDEX(CalcNoteB,$N1049)="","—",INDEX(CalcNoteB,$N1049)),""))</f>
        <v/>
      </c>
      <c r="M1049">
        <f>IFERROR(MATCH($C$5&amp;"|"&amp;RIGHT("000000"&amp;1033,6),CalcRankKeyA,0),"")</f>
        <v/>
      </c>
      <c r="N1049">
        <f>IFERROR(MATCH($C$5&amp;"|"&amp;RIGHT("000000"&amp;1033,6),CalcRankKeyB,0),"")</f>
        <v/>
      </c>
    </row>
    <row r="1050">
      <c r="A1050" s="26" t="n">
        <v>1034</v>
      </c>
      <c r="B1050" s="27">
        <f>IF(AND($M1050="",$N1050=""),"",IF($M1050&lt;&gt;"",INDEX(CalcDateA,$M1050),INDEX(CalcDateB,$N1050)))</f>
        <v/>
      </c>
      <c r="C1050" s="27">
        <f>IF($M1050&lt;&gt;"","خرید سبد",IF($N1050&lt;&gt;"",IF(N(INDEX(CalcDepB,$N1050))&gt;0,"دریافت بانکی","پرداخت بانکی"),""))</f>
        <v/>
      </c>
      <c r="D1050" s="27">
        <f>IF($M1050&lt;&gt;"",IF(INDEX(CalcDocA,$M1050)="","—",INDEX(CalcDocA,$M1050)),IF($N1050&lt;&gt;"",INDEX(CalcBankB,$N1050),""))</f>
        <v/>
      </c>
      <c r="E1050" s="28">
        <f>IF($N1050&lt;&gt;"",IF(INDEX(CalcDepB,$N1050)=0,"",INDEX(CalcDepB,$N1050)),"")</f>
        <v/>
      </c>
      <c r="F1050" s="28">
        <f>IF($M1050&lt;&gt;"",IF(INDEX(CalcQtyA,$M1050)=0,"",INDEX(CalcQtyA,$M1050)),"")</f>
        <v/>
      </c>
      <c r="G1050" s="28">
        <f>IF($M1050&lt;&gt;"",IF(INDEX(CalcPriceA,$M1050)=0,"",INDEX(CalcPriceA,$M1050)),"")</f>
        <v/>
      </c>
      <c r="H1050" s="28">
        <f>IF($N1050&lt;&gt;"",IF(INDEX(CalcWitB,$N1050)=0,"",INDEX(CalcWitB,$N1050)),"")</f>
        <v/>
      </c>
      <c r="I1050" s="29">
        <f>IF($M1050&lt;&gt;"",INDEX(CalcAmtA,$M1050),"")</f>
        <v/>
      </c>
      <c r="J1050" s="29">
        <f>IF($B1050="","",IF($J1049="",$C$8,$J1049)+IF($I1050="",0,$I1050)+IF($E1050="",0,$E1050)-IF($H1050="",0,$H1050))</f>
        <v/>
      </c>
      <c r="K1050" s="30">
        <f>IF($M1050&lt;&gt;"",IF(INDEX(CalcNoteA,$M1050)="","—",INDEX(CalcNoteA,$M1050)),IF($N1050&lt;&gt;"",IF(INDEX(CalcNoteB,$N1050)="","—",INDEX(CalcNoteB,$N1050)),""))</f>
        <v/>
      </c>
      <c r="M1050">
        <f>IFERROR(MATCH($C$5&amp;"|"&amp;RIGHT("000000"&amp;1034,6),CalcRankKeyA,0),"")</f>
        <v/>
      </c>
      <c r="N1050">
        <f>IFERROR(MATCH($C$5&amp;"|"&amp;RIGHT("000000"&amp;1034,6),CalcRankKeyB,0),"")</f>
        <v/>
      </c>
    </row>
    <row r="1051">
      <c r="A1051" s="21" t="n">
        <v>1035</v>
      </c>
      <c r="B1051" s="22">
        <f>IF(AND($M1051="",$N1051=""),"",IF($M1051&lt;&gt;"",INDEX(CalcDateA,$M1051),INDEX(CalcDateB,$N1051)))</f>
        <v/>
      </c>
      <c r="C1051" s="22">
        <f>IF($M1051&lt;&gt;"","خرید سبد",IF($N1051&lt;&gt;"",IF(N(INDEX(CalcDepB,$N1051))&gt;0,"دریافت بانکی","پرداخت بانکی"),""))</f>
        <v/>
      </c>
      <c r="D1051" s="22">
        <f>IF($M1051&lt;&gt;"",IF(INDEX(CalcDocA,$M1051)="","—",INDEX(CalcDocA,$M1051)),IF($N1051&lt;&gt;"",INDEX(CalcBankB,$N1051),""))</f>
        <v/>
      </c>
      <c r="E1051" s="23">
        <f>IF($N1051&lt;&gt;"",IF(INDEX(CalcDepB,$N1051)=0,"",INDEX(CalcDepB,$N1051)),"")</f>
        <v/>
      </c>
      <c r="F1051" s="23">
        <f>IF($M1051&lt;&gt;"",IF(INDEX(CalcQtyA,$M1051)=0,"",INDEX(CalcQtyA,$M1051)),"")</f>
        <v/>
      </c>
      <c r="G1051" s="23">
        <f>IF($M1051&lt;&gt;"",IF(INDEX(CalcPriceA,$M1051)=0,"",INDEX(CalcPriceA,$M1051)),"")</f>
        <v/>
      </c>
      <c r="H1051" s="23">
        <f>IF($N1051&lt;&gt;"",IF(INDEX(CalcWitB,$N1051)=0,"",INDEX(CalcWitB,$N1051)),"")</f>
        <v/>
      </c>
      <c r="I1051" s="24">
        <f>IF($M1051&lt;&gt;"",INDEX(CalcAmtA,$M1051),"")</f>
        <v/>
      </c>
      <c r="J1051" s="24">
        <f>IF($B1051="","",IF($J1050="",$C$8,$J1050)+IF($I1051="",0,$I1051)+IF($E1051="",0,$E1051)-IF($H1051="",0,$H1051))</f>
        <v/>
      </c>
      <c r="K1051" s="25">
        <f>IF($M1051&lt;&gt;"",IF(INDEX(CalcNoteA,$M1051)="","—",INDEX(CalcNoteA,$M1051)),IF($N1051&lt;&gt;"",IF(INDEX(CalcNoteB,$N1051)="","—",INDEX(CalcNoteB,$N1051)),""))</f>
        <v/>
      </c>
      <c r="M1051">
        <f>IFERROR(MATCH($C$5&amp;"|"&amp;RIGHT("000000"&amp;1035,6),CalcRankKeyA,0),"")</f>
        <v/>
      </c>
      <c r="N1051">
        <f>IFERROR(MATCH($C$5&amp;"|"&amp;RIGHT("000000"&amp;1035,6),CalcRankKeyB,0),"")</f>
        <v/>
      </c>
    </row>
    <row r="1052">
      <c r="A1052" s="26" t="n">
        <v>1036</v>
      </c>
      <c r="B1052" s="27">
        <f>IF(AND($M1052="",$N1052=""),"",IF($M1052&lt;&gt;"",INDEX(CalcDateA,$M1052),INDEX(CalcDateB,$N1052)))</f>
        <v/>
      </c>
      <c r="C1052" s="27">
        <f>IF($M1052&lt;&gt;"","خرید سبد",IF($N1052&lt;&gt;"",IF(N(INDEX(CalcDepB,$N1052))&gt;0,"دریافت بانکی","پرداخت بانکی"),""))</f>
        <v/>
      </c>
      <c r="D1052" s="27">
        <f>IF($M1052&lt;&gt;"",IF(INDEX(CalcDocA,$M1052)="","—",INDEX(CalcDocA,$M1052)),IF($N1052&lt;&gt;"",INDEX(CalcBankB,$N1052),""))</f>
        <v/>
      </c>
      <c r="E1052" s="28">
        <f>IF($N1052&lt;&gt;"",IF(INDEX(CalcDepB,$N1052)=0,"",INDEX(CalcDepB,$N1052)),"")</f>
        <v/>
      </c>
      <c r="F1052" s="28">
        <f>IF($M1052&lt;&gt;"",IF(INDEX(CalcQtyA,$M1052)=0,"",INDEX(CalcQtyA,$M1052)),"")</f>
        <v/>
      </c>
      <c r="G1052" s="28">
        <f>IF($M1052&lt;&gt;"",IF(INDEX(CalcPriceA,$M1052)=0,"",INDEX(CalcPriceA,$M1052)),"")</f>
        <v/>
      </c>
      <c r="H1052" s="28">
        <f>IF($N1052&lt;&gt;"",IF(INDEX(CalcWitB,$N1052)=0,"",INDEX(CalcWitB,$N1052)),"")</f>
        <v/>
      </c>
      <c r="I1052" s="29">
        <f>IF($M1052&lt;&gt;"",INDEX(CalcAmtA,$M1052),"")</f>
        <v/>
      </c>
      <c r="J1052" s="29">
        <f>IF($B1052="","",IF($J1051="",$C$8,$J1051)+IF($I1052="",0,$I1052)+IF($E1052="",0,$E1052)-IF($H1052="",0,$H1052))</f>
        <v/>
      </c>
      <c r="K1052" s="30">
        <f>IF($M1052&lt;&gt;"",IF(INDEX(CalcNoteA,$M1052)="","—",INDEX(CalcNoteA,$M1052)),IF($N1052&lt;&gt;"",IF(INDEX(CalcNoteB,$N1052)="","—",INDEX(CalcNoteB,$N1052)),""))</f>
        <v/>
      </c>
      <c r="M1052">
        <f>IFERROR(MATCH($C$5&amp;"|"&amp;RIGHT("000000"&amp;1036,6),CalcRankKeyA,0),"")</f>
        <v/>
      </c>
      <c r="N1052">
        <f>IFERROR(MATCH($C$5&amp;"|"&amp;RIGHT("000000"&amp;1036,6),CalcRankKeyB,0),"")</f>
        <v/>
      </c>
    </row>
    <row r="1053">
      <c r="A1053" s="21" t="n">
        <v>1037</v>
      </c>
      <c r="B1053" s="22">
        <f>IF(AND($M1053="",$N1053=""),"",IF($M1053&lt;&gt;"",INDEX(CalcDateA,$M1053),INDEX(CalcDateB,$N1053)))</f>
        <v/>
      </c>
      <c r="C1053" s="22">
        <f>IF($M1053&lt;&gt;"","خرید سبد",IF($N1053&lt;&gt;"",IF(N(INDEX(CalcDepB,$N1053))&gt;0,"دریافت بانکی","پرداخت بانکی"),""))</f>
        <v/>
      </c>
      <c r="D1053" s="22">
        <f>IF($M1053&lt;&gt;"",IF(INDEX(CalcDocA,$M1053)="","—",INDEX(CalcDocA,$M1053)),IF($N1053&lt;&gt;"",INDEX(CalcBankB,$N1053),""))</f>
        <v/>
      </c>
      <c r="E1053" s="23">
        <f>IF($N1053&lt;&gt;"",IF(INDEX(CalcDepB,$N1053)=0,"",INDEX(CalcDepB,$N1053)),"")</f>
        <v/>
      </c>
      <c r="F1053" s="23">
        <f>IF($M1053&lt;&gt;"",IF(INDEX(CalcQtyA,$M1053)=0,"",INDEX(CalcQtyA,$M1053)),"")</f>
        <v/>
      </c>
      <c r="G1053" s="23">
        <f>IF($M1053&lt;&gt;"",IF(INDEX(CalcPriceA,$M1053)=0,"",INDEX(CalcPriceA,$M1053)),"")</f>
        <v/>
      </c>
      <c r="H1053" s="23">
        <f>IF($N1053&lt;&gt;"",IF(INDEX(CalcWitB,$N1053)=0,"",INDEX(CalcWitB,$N1053)),"")</f>
        <v/>
      </c>
      <c r="I1053" s="24">
        <f>IF($M1053&lt;&gt;"",INDEX(CalcAmtA,$M1053),"")</f>
        <v/>
      </c>
      <c r="J1053" s="24">
        <f>IF($B1053="","",IF($J1052="",$C$8,$J1052)+IF($I1053="",0,$I1053)+IF($E1053="",0,$E1053)-IF($H1053="",0,$H1053))</f>
        <v/>
      </c>
      <c r="K1053" s="25">
        <f>IF($M1053&lt;&gt;"",IF(INDEX(CalcNoteA,$M1053)="","—",INDEX(CalcNoteA,$M1053)),IF($N1053&lt;&gt;"",IF(INDEX(CalcNoteB,$N1053)="","—",INDEX(CalcNoteB,$N1053)),""))</f>
        <v/>
      </c>
      <c r="M1053">
        <f>IFERROR(MATCH($C$5&amp;"|"&amp;RIGHT("000000"&amp;1037,6),CalcRankKeyA,0),"")</f>
        <v/>
      </c>
      <c r="N1053">
        <f>IFERROR(MATCH($C$5&amp;"|"&amp;RIGHT("000000"&amp;1037,6),CalcRankKeyB,0),"")</f>
        <v/>
      </c>
    </row>
    <row r="1054">
      <c r="A1054" s="26" t="n">
        <v>1038</v>
      </c>
      <c r="B1054" s="27">
        <f>IF(AND($M1054="",$N1054=""),"",IF($M1054&lt;&gt;"",INDEX(CalcDateA,$M1054),INDEX(CalcDateB,$N1054)))</f>
        <v/>
      </c>
      <c r="C1054" s="27">
        <f>IF($M1054&lt;&gt;"","خرید سبد",IF($N1054&lt;&gt;"",IF(N(INDEX(CalcDepB,$N1054))&gt;0,"دریافت بانکی","پرداخت بانکی"),""))</f>
        <v/>
      </c>
      <c r="D1054" s="27">
        <f>IF($M1054&lt;&gt;"",IF(INDEX(CalcDocA,$M1054)="","—",INDEX(CalcDocA,$M1054)),IF($N1054&lt;&gt;"",INDEX(CalcBankB,$N1054),""))</f>
        <v/>
      </c>
      <c r="E1054" s="28">
        <f>IF($N1054&lt;&gt;"",IF(INDEX(CalcDepB,$N1054)=0,"",INDEX(CalcDepB,$N1054)),"")</f>
        <v/>
      </c>
      <c r="F1054" s="28">
        <f>IF($M1054&lt;&gt;"",IF(INDEX(CalcQtyA,$M1054)=0,"",INDEX(CalcQtyA,$M1054)),"")</f>
        <v/>
      </c>
      <c r="G1054" s="28">
        <f>IF($M1054&lt;&gt;"",IF(INDEX(CalcPriceA,$M1054)=0,"",INDEX(CalcPriceA,$M1054)),"")</f>
        <v/>
      </c>
      <c r="H1054" s="28">
        <f>IF($N1054&lt;&gt;"",IF(INDEX(CalcWitB,$N1054)=0,"",INDEX(CalcWitB,$N1054)),"")</f>
        <v/>
      </c>
      <c r="I1054" s="29">
        <f>IF($M1054&lt;&gt;"",INDEX(CalcAmtA,$M1054),"")</f>
        <v/>
      </c>
      <c r="J1054" s="29">
        <f>IF($B1054="","",IF($J1053="",$C$8,$J1053)+IF($I1054="",0,$I1054)+IF($E1054="",0,$E1054)-IF($H1054="",0,$H1054))</f>
        <v/>
      </c>
      <c r="K1054" s="30">
        <f>IF($M1054&lt;&gt;"",IF(INDEX(CalcNoteA,$M1054)="","—",INDEX(CalcNoteA,$M1054)),IF($N1054&lt;&gt;"",IF(INDEX(CalcNoteB,$N1054)="","—",INDEX(CalcNoteB,$N1054)),""))</f>
        <v/>
      </c>
      <c r="M1054">
        <f>IFERROR(MATCH($C$5&amp;"|"&amp;RIGHT("000000"&amp;1038,6),CalcRankKeyA,0),"")</f>
        <v/>
      </c>
      <c r="N1054">
        <f>IFERROR(MATCH($C$5&amp;"|"&amp;RIGHT("000000"&amp;1038,6),CalcRankKeyB,0),"")</f>
        <v/>
      </c>
    </row>
    <row r="1055">
      <c r="A1055" s="21" t="n">
        <v>1039</v>
      </c>
      <c r="B1055" s="22">
        <f>IF(AND($M1055="",$N1055=""),"",IF($M1055&lt;&gt;"",INDEX(CalcDateA,$M1055),INDEX(CalcDateB,$N1055)))</f>
        <v/>
      </c>
      <c r="C1055" s="22">
        <f>IF($M1055&lt;&gt;"","خرید سبد",IF($N1055&lt;&gt;"",IF(N(INDEX(CalcDepB,$N1055))&gt;0,"دریافت بانکی","پرداخت بانکی"),""))</f>
        <v/>
      </c>
      <c r="D1055" s="22">
        <f>IF($M1055&lt;&gt;"",IF(INDEX(CalcDocA,$M1055)="","—",INDEX(CalcDocA,$M1055)),IF($N1055&lt;&gt;"",INDEX(CalcBankB,$N1055),""))</f>
        <v/>
      </c>
      <c r="E1055" s="23">
        <f>IF($N1055&lt;&gt;"",IF(INDEX(CalcDepB,$N1055)=0,"",INDEX(CalcDepB,$N1055)),"")</f>
        <v/>
      </c>
      <c r="F1055" s="23">
        <f>IF($M1055&lt;&gt;"",IF(INDEX(CalcQtyA,$M1055)=0,"",INDEX(CalcQtyA,$M1055)),"")</f>
        <v/>
      </c>
      <c r="G1055" s="23">
        <f>IF($M1055&lt;&gt;"",IF(INDEX(CalcPriceA,$M1055)=0,"",INDEX(CalcPriceA,$M1055)),"")</f>
        <v/>
      </c>
      <c r="H1055" s="23">
        <f>IF($N1055&lt;&gt;"",IF(INDEX(CalcWitB,$N1055)=0,"",INDEX(CalcWitB,$N1055)),"")</f>
        <v/>
      </c>
      <c r="I1055" s="24">
        <f>IF($M1055&lt;&gt;"",INDEX(CalcAmtA,$M1055),"")</f>
        <v/>
      </c>
      <c r="J1055" s="24">
        <f>IF($B1055="","",IF($J1054="",$C$8,$J1054)+IF($I1055="",0,$I1055)+IF($E1055="",0,$E1055)-IF($H1055="",0,$H1055))</f>
        <v/>
      </c>
      <c r="K1055" s="25">
        <f>IF($M1055&lt;&gt;"",IF(INDEX(CalcNoteA,$M1055)="","—",INDEX(CalcNoteA,$M1055)),IF($N1055&lt;&gt;"",IF(INDEX(CalcNoteB,$N1055)="","—",INDEX(CalcNoteB,$N1055)),""))</f>
        <v/>
      </c>
      <c r="M1055">
        <f>IFERROR(MATCH($C$5&amp;"|"&amp;RIGHT("000000"&amp;1039,6),CalcRankKeyA,0),"")</f>
        <v/>
      </c>
      <c r="N1055">
        <f>IFERROR(MATCH($C$5&amp;"|"&amp;RIGHT("000000"&amp;1039,6),CalcRankKeyB,0),"")</f>
        <v/>
      </c>
    </row>
    <row r="1056">
      <c r="A1056" s="26" t="n">
        <v>1040</v>
      </c>
      <c r="B1056" s="27">
        <f>IF(AND($M1056="",$N1056=""),"",IF($M1056&lt;&gt;"",INDEX(CalcDateA,$M1056),INDEX(CalcDateB,$N1056)))</f>
        <v/>
      </c>
      <c r="C1056" s="27">
        <f>IF($M1056&lt;&gt;"","خرید سبد",IF($N1056&lt;&gt;"",IF(N(INDEX(CalcDepB,$N1056))&gt;0,"دریافت بانکی","پرداخت بانکی"),""))</f>
        <v/>
      </c>
      <c r="D1056" s="27">
        <f>IF($M1056&lt;&gt;"",IF(INDEX(CalcDocA,$M1056)="","—",INDEX(CalcDocA,$M1056)),IF($N1056&lt;&gt;"",INDEX(CalcBankB,$N1056),""))</f>
        <v/>
      </c>
      <c r="E1056" s="28">
        <f>IF($N1056&lt;&gt;"",IF(INDEX(CalcDepB,$N1056)=0,"",INDEX(CalcDepB,$N1056)),"")</f>
        <v/>
      </c>
      <c r="F1056" s="28">
        <f>IF($M1056&lt;&gt;"",IF(INDEX(CalcQtyA,$M1056)=0,"",INDEX(CalcQtyA,$M1056)),"")</f>
        <v/>
      </c>
      <c r="G1056" s="28">
        <f>IF($M1056&lt;&gt;"",IF(INDEX(CalcPriceA,$M1056)=0,"",INDEX(CalcPriceA,$M1056)),"")</f>
        <v/>
      </c>
      <c r="H1056" s="28">
        <f>IF($N1056&lt;&gt;"",IF(INDEX(CalcWitB,$N1056)=0,"",INDEX(CalcWitB,$N1056)),"")</f>
        <v/>
      </c>
      <c r="I1056" s="29">
        <f>IF($M1056&lt;&gt;"",INDEX(CalcAmtA,$M1056),"")</f>
        <v/>
      </c>
      <c r="J1056" s="29">
        <f>IF($B1056="","",IF($J1055="",$C$8,$J1055)+IF($I1056="",0,$I1056)+IF($E1056="",0,$E1056)-IF($H1056="",0,$H1056))</f>
        <v/>
      </c>
      <c r="K1056" s="30">
        <f>IF($M1056&lt;&gt;"",IF(INDEX(CalcNoteA,$M1056)="","—",INDEX(CalcNoteA,$M1056)),IF($N1056&lt;&gt;"",IF(INDEX(CalcNoteB,$N1056)="","—",INDEX(CalcNoteB,$N1056)),""))</f>
        <v/>
      </c>
      <c r="M1056">
        <f>IFERROR(MATCH($C$5&amp;"|"&amp;RIGHT("000000"&amp;1040,6),CalcRankKeyA,0),"")</f>
        <v/>
      </c>
      <c r="N1056">
        <f>IFERROR(MATCH($C$5&amp;"|"&amp;RIGHT("000000"&amp;1040,6),CalcRankKeyB,0),"")</f>
        <v/>
      </c>
    </row>
    <row r="1057">
      <c r="A1057" s="21" t="n">
        <v>1041</v>
      </c>
      <c r="B1057" s="22">
        <f>IF(AND($M1057="",$N1057=""),"",IF($M1057&lt;&gt;"",INDEX(CalcDateA,$M1057),INDEX(CalcDateB,$N1057)))</f>
        <v/>
      </c>
      <c r="C1057" s="22">
        <f>IF($M1057&lt;&gt;"","خرید سبد",IF($N1057&lt;&gt;"",IF(N(INDEX(CalcDepB,$N1057))&gt;0,"دریافت بانکی","پرداخت بانکی"),""))</f>
        <v/>
      </c>
      <c r="D1057" s="22">
        <f>IF($M1057&lt;&gt;"",IF(INDEX(CalcDocA,$M1057)="","—",INDEX(CalcDocA,$M1057)),IF($N1057&lt;&gt;"",INDEX(CalcBankB,$N1057),""))</f>
        <v/>
      </c>
      <c r="E1057" s="23">
        <f>IF($N1057&lt;&gt;"",IF(INDEX(CalcDepB,$N1057)=0,"",INDEX(CalcDepB,$N1057)),"")</f>
        <v/>
      </c>
      <c r="F1057" s="23">
        <f>IF($M1057&lt;&gt;"",IF(INDEX(CalcQtyA,$M1057)=0,"",INDEX(CalcQtyA,$M1057)),"")</f>
        <v/>
      </c>
      <c r="G1057" s="23">
        <f>IF($M1057&lt;&gt;"",IF(INDEX(CalcPriceA,$M1057)=0,"",INDEX(CalcPriceA,$M1057)),"")</f>
        <v/>
      </c>
      <c r="H1057" s="23">
        <f>IF($N1057&lt;&gt;"",IF(INDEX(CalcWitB,$N1057)=0,"",INDEX(CalcWitB,$N1057)),"")</f>
        <v/>
      </c>
      <c r="I1057" s="24">
        <f>IF($M1057&lt;&gt;"",INDEX(CalcAmtA,$M1057),"")</f>
        <v/>
      </c>
      <c r="J1057" s="24">
        <f>IF($B1057="","",IF($J1056="",$C$8,$J1056)+IF($I1057="",0,$I1057)+IF($E1057="",0,$E1057)-IF($H1057="",0,$H1057))</f>
        <v/>
      </c>
      <c r="K1057" s="25">
        <f>IF($M1057&lt;&gt;"",IF(INDEX(CalcNoteA,$M1057)="","—",INDEX(CalcNoteA,$M1057)),IF($N1057&lt;&gt;"",IF(INDEX(CalcNoteB,$N1057)="","—",INDEX(CalcNoteB,$N1057)),""))</f>
        <v/>
      </c>
      <c r="M1057">
        <f>IFERROR(MATCH($C$5&amp;"|"&amp;RIGHT("000000"&amp;1041,6),CalcRankKeyA,0),"")</f>
        <v/>
      </c>
      <c r="N1057">
        <f>IFERROR(MATCH($C$5&amp;"|"&amp;RIGHT("000000"&amp;1041,6),CalcRankKeyB,0),"")</f>
        <v/>
      </c>
    </row>
    <row r="1058">
      <c r="A1058" s="26" t="n">
        <v>1042</v>
      </c>
      <c r="B1058" s="27">
        <f>IF(AND($M1058="",$N1058=""),"",IF($M1058&lt;&gt;"",INDEX(CalcDateA,$M1058),INDEX(CalcDateB,$N1058)))</f>
        <v/>
      </c>
      <c r="C1058" s="27">
        <f>IF($M1058&lt;&gt;"","خرید سبد",IF($N1058&lt;&gt;"",IF(N(INDEX(CalcDepB,$N1058))&gt;0,"دریافت بانکی","پرداخت بانکی"),""))</f>
        <v/>
      </c>
      <c r="D1058" s="27">
        <f>IF($M1058&lt;&gt;"",IF(INDEX(CalcDocA,$M1058)="","—",INDEX(CalcDocA,$M1058)),IF($N1058&lt;&gt;"",INDEX(CalcBankB,$N1058),""))</f>
        <v/>
      </c>
      <c r="E1058" s="28">
        <f>IF($N1058&lt;&gt;"",IF(INDEX(CalcDepB,$N1058)=0,"",INDEX(CalcDepB,$N1058)),"")</f>
        <v/>
      </c>
      <c r="F1058" s="28">
        <f>IF($M1058&lt;&gt;"",IF(INDEX(CalcQtyA,$M1058)=0,"",INDEX(CalcQtyA,$M1058)),"")</f>
        <v/>
      </c>
      <c r="G1058" s="28">
        <f>IF($M1058&lt;&gt;"",IF(INDEX(CalcPriceA,$M1058)=0,"",INDEX(CalcPriceA,$M1058)),"")</f>
        <v/>
      </c>
      <c r="H1058" s="28">
        <f>IF($N1058&lt;&gt;"",IF(INDEX(CalcWitB,$N1058)=0,"",INDEX(CalcWitB,$N1058)),"")</f>
        <v/>
      </c>
      <c r="I1058" s="29">
        <f>IF($M1058&lt;&gt;"",INDEX(CalcAmtA,$M1058),"")</f>
        <v/>
      </c>
      <c r="J1058" s="29">
        <f>IF($B1058="","",IF($J1057="",$C$8,$J1057)+IF($I1058="",0,$I1058)+IF($E1058="",0,$E1058)-IF($H1058="",0,$H1058))</f>
        <v/>
      </c>
      <c r="K1058" s="30">
        <f>IF($M1058&lt;&gt;"",IF(INDEX(CalcNoteA,$M1058)="","—",INDEX(CalcNoteA,$M1058)),IF($N1058&lt;&gt;"",IF(INDEX(CalcNoteB,$N1058)="","—",INDEX(CalcNoteB,$N1058)),""))</f>
        <v/>
      </c>
      <c r="M1058">
        <f>IFERROR(MATCH($C$5&amp;"|"&amp;RIGHT("000000"&amp;1042,6),CalcRankKeyA,0),"")</f>
        <v/>
      </c>
      <c r="N1058">
        <f>IFERROR(MATCH($C$5&amp;"|"&amp;RIGHT("000000"&amp;1042,6),CalcRankKeyB,0),"")</f>
        <v/>
      </c>
    </row>
    <row r="1059">
      <c r="A1059" s="21" t="n">
        <v>1043</v>
      </c>
      <c r="B1059" s="22">
        <f>IF(AND($M1059="",$N1059=""),"",IF($M1059&lt;&gt;"",INDEX(CalcDateA,$M1059),INDEX(CalcDateB,$N1059)))</f>
        <v/>
      </c>
      <c r="C1059" s="22">
        <f>IF($M1059&lt;&gt;"","خرید سبد",IF($N1059&lt;&gt;"",IF(N(INDEX(CalcDepB,$N1059))&gt;0,"دریافت بانکی","پرداخت بانکی"),""))</f>
        <v/>
      </c>
      <c r="D1059" s="22">
        <f>IF($M1059&lt;&gt;"",IF(INDEX(CalcDocA,$M1059)="","—",INDEX(CalcDocA,$M1059)),IF($N1059&lt;&gt;"",INDEX(CalcBankB,$N1059),""))</f>
        <v/>
      </c>
      <c r="E1059" s="23">
        <f>IF($N1059&lt;&gt;"",IF(INDEX(CalcDepB,$N1059)=0,"",INDEX(CalcDepB,$N1059)),"")</f>
        <v/>
      </c>
      <c r="F1059" s="23">
        <f>IF($M1059&lt;&gt;"",IF(INDEX(CalcQtyA,$M1059)=0,"",INDEX(CalcQtyA,$M1059)),"")</f>
        <v/>
      </c>
      <c r="G1059" s="23">
        <f>IF($M1059&lt;&gt;"",IF(INDEX(CalcPriceA,$M1059)=0,"",INDEX(CalcPriceA,$M1059)),"")</f>
        <v/>
      </c>
      <c r="H1059" s="23">
        <f>IF($N1059&lt;&gt;"",IF(INDEX(CalcWitB,$N1059)=0,"",INDEX(CalcWitB,$N1059)),"")</f>
        <v/>
      </c>
      <c r="I1059" s="24">
        <f>IF($M1059&lt;&gt;"",INDEX(CalcAmtA,$M1059),"")</f>
        <v/>
      </c>
      <c r="J1059" s="24">
        <f>IF($B1059="","",IF($J1058="",$C$8,$J1058)+IF($I1059="",0,$I1059)+IF($E1059="",0,$E1059)-IF($H1059="",0,$H1059))</f>
        <v/>
      </c>
      <c r="K1059" s="25">
        <f>IF($M1059&lt;&gt;"",IF(INDEX(CalcNoteA,$M1059)="","—",INDEX(CalcNoteA,$M1059)),IF($N1059&lt;&gt;"",IF(INDEX(CalcNoteB,$N1059)="","—",INDEX(CalcNoteB,$N1059)),""))</f>
        <v/>
      </c>
      <c r="M1059">
        <f>IFERROR(MATCH($C$5&amp;"|"&amp;RIGHT("000000"&amp;1043,6),CalcRankKeyA,0),"")</f>
        <v/>
      </c>
      <c r="N1059">
        <f>IFERROR(MATCH($C$5&amp;"|"&amp;RIGHT("000000"&amp;1043,6),CalcRankKeyB,0),"")</f>
        <v/>
      </c>
    </row>
    <row r="1060">
      <c r="A1060" s="26" t="n">
        <v>1044</v>
      </c>
      <c r="B1060" s="27">
        <f>IF(AND($M1060="",$N1060=""),"",IF($M1060&lt;&gt;"",INDEX(CalcDateA,$M1060),INDEX(CalcDateB,$N1060)))</f>
        <v/>
      </c>
      <c r="C1060" s="27">
        <f>IF($M1060&lt;&gt;"","خرید سبد",IF($N1060&lt;&gt;"",IF(N(INDEX(CalcDepB,$N1060))&gt;0,"دریافت بانکی","پرداخت بانکی"),""))</f>
        <v/>
      </c>
      <c r="D1060" s="27">
        <f>IF($M1060&lt;&gt;"",IF(INDEX(CalcDocA,$M1060)="","—",INDEX(CalcDocA,$M1060)),IF($N1060&lt;&gt;"",INDEX(CalcBankB,$N1060),""))</f>
        <v/>
      </c>
      <c r="E1060" s="28">
        <f>IF($N1060&lt;&gt;"",IF(INDEX(CalcDepB,$N1060)=0,"",INDEX(CalcDepB,$N1060)),"")</f>
        <v/>
      </c>
      <c r="F1060" s="28">
        <f>IF($M1060&lt;&gt;"",IF(INDEX(CalcQtyA,$M1060)=0,"",INDEX(CalcQtyA,$M1060)),"")</f>
        <v/>
      </c>
      <c r="G1060" s="28">
        <f>IF($M1060&lt;&gt;"",IF(INDEX(CalcPriceA,$M1060)=0,"",INDEX(CalcPriceA,$M1060)),"")</f>
        <v/>
      </c>
      <c r="H1060" s="28">
        <f>IF($N1060&lt;&gt;"",IF(INDEX(CalcWitB,$N1060)=0,"",INDEX(CalcWitB,$N1060)),"")</f>
        <v/>
      </c>
      <c r="I1060" s="29">
        <f>IF($M1060&lt;&gt;"",INDEX(CalcAmtA,$M1060),"")</f>
        <v/>
      </c>
      <c r="J1060" s="29">
        <f>IF($B1060="","",IF($J1059="",$C$8,$J1059)+IF($I1060="",0,$I1060)+IF($E1060="",0,$E1060)-IF($H1060="",0,$H1060))</f>
        <v/>
      </c>
      <c r="K1060" s="30">
        <f>IF($M1060&lt;&gt;"",IF(INDEX(CalcNoteA,$M1060)="","—",INDEX(CalcNoteA,$M1060)),IF($N1060&lt;&gt;"",IF(INDEX(CalcNoteB,$N1060)="","—",INDEX(CalcNoteB,$N1060)),""))</f>
        <v/>
      </c>
      <c r="M1060">
        <f>IFERROR(MATCH($C$5&amp;"|"&amp;RIGHT("000000"&amp;1044,6),CalcRankKeyA,0),"")</f>
        <v/>
      </c>
      <c r="N1060">
        <f>IFERROR(MATCH($C$5&amp;"|"&amp;RIGHT("000000"&amp;1044,6),CalcRankKeyB,0),"")</f>
        <v/>
      </c>
    </row>
    <row r="1061">
      <c r="A1061" s="21" t="n">
        <v>1045</v>
      </c>
      <c r="B1061" s="22">
        <f>IF(AND($M1061="",$N1061=""),"",IF($M1061&lt;&gt;"",INDEX(CalcDateA,$M1061),INDEX(CalcDateB,$N1061)))</f>
        <v/>
      </c>
      <c r="C1061" s="22">
        <f>IF($M1061&lt;&gt;"","خرید سبد",IF($N1061&lt;&gt;"",IF(N(INDEX(CalcDepB,$N1061))&gt;0,"دریافت بانکی","پرداخت بانکی"),""))</f>
        <v/>
      </c>
      <c r="D1061" s="22">
        <f>IF($M1061&lt;&gt;"",IF(INDEX(CalcDocA,$M1061)="","—",INDEX(CalcDocA,$M1061)),IF($N1061&lt;&gt;"",INDEX(CalcBankB,$N1061),""))</f>
        <v/>
      </c>
      <c r="E1061" s="23">
        <f>IF($N1061&lt;&gt;"",IF(INDEX(CalcDepB,$N1061)=0,"",INDEX(CalcDepB,$N1061)),"")</f>
        <v/>
      </c>
      <c r="F1061" s="23">
        <f>IF($M1061&lt;&gt;"",IF(INDEX(CalcQtyA,$M1061)=0,"",INDEX(CalcQtyA,$M1061)),"")</f>
        <v/>
      </c>
      <c r="G1061" s="23">
        <f>IF($M1061&lt;&gt;"",IF(INDEX(CalcPriceA,$M1061)=0,"",INDEX(CalcPriceA,$M1061)),"")</f>
        <v/>
      </c>
      <c r="H1061" s="23">
        <f>IF($N1061&lt;&gt;"",IF(INDEX(CalcWitB,$N1061)=0,"",INDEX(CalcWitB,$N1061)),"")</f>
        <v/>
      </c>
      <c r="I1061" s="24">
        <f>IF($M1061&lt;&gt;"",INDEX(CalcAmtA,$M1061),"")</f>
        <v/>
      </c>
      <c r="J1061" s="24">
        <f>IF($B1061="","",IF($J1060="",$C$8,$J1060)+IF($I1061="",0,$I1061)+IF($E1061="",0,$E1061)-IF($H1061="",0,$H1061))</f>
        <v/>
      </c>
      <c r="K1061" s="25">
        <f>IF($M1061&lt;&gt;"",IF(INDEX(CalcNoteA,$M1061)="","—",INDEX(CalcNoteA,$M1061)),IF($N1061&lt;&gt;"",IF(INDEX(CalcNoteB,$N1061)="","—",INDEX(CalcNoteB,$N1061)),""))</f>
        <v/>
      </c>
      <c r="M1061">
        <f>IFERROR(MATCH($C$5&amp;"|"&amp;RIGHT("000000"&amp;1045,6),CalcRankKeyA,0),"")</f>
        <v/>
      </c>
      <c r="N1061">
        <f>IFERROR(MATCH($C$5&amp;"|"&amp;RIGHT("000000"&amp;1045,6),CalcRankKeyB,0),"")</f>
        <v/>
      </c>
    </row>
    <row r="1062">
      <c r="A1062" s="26" t="n">
        <v>1046</v>
      </c>
      <c r="B1062" s="27">
        <f>IF(AND($M1062="",$N1062=""),"",IF($M1062&lt;&gt;"",INDEX(CalcDateA,$M1062),INDEX(CalcDateB,$N1062)))</f>
        <v/>
      </c>
      <c r="C1062" s="27">
        <f>IF($M1062&lt;&gt;"","خرید سبد",IF($N1062&lt;&gt;"",IF(N(INDEX(CalcDepB,$N1062))&gt;0,"دریافت بانکی","پرداخت بانکی"),""))</f>
        <v/>
      </c>
      <c r="D1062" s="27">
        <f>IF($M1062&lt;&gt;"",IF(INDEX(CalcDocA,$M1062)="","—",INDEX(CalcDocA,$M1062)),IF($N1062&lt;&gt;"",INDEX(CalcBankB,$N1062),""))</f>
        <v/>
      </c>
      <c r="E1062" s="28">
        <f>IF($N1062&lt;&gt;"",IF(INDEX(CalcDepB,$N1062)=0,"",INDEX(CalcDepB,$N1062)),"")</f>
        <v/>
      </c>
      <c r="F1062" s="28">
        <f>IF($M1062&lt;&gt;"",IF(INDEX(CalcQtyA,$M1062)=0,"",INDEX(CalcQtyA,$M1062)),"")</f>
        <v/>
      </c>
      <c r="G1062" s="28">
        <f>IF($M1062&lt;&gt;"",IF(INDEX(CalcPriceA,$M1062)=0,"",INDEX(CalcPriceA,$M1062)),"")</f>
        <v/>
      </c>
      <c r="H1062" s="28">
        <f>IF($N1062&lt;&gt;"",IF(INDEX(CalcWitB,$N1062)=0,"",INDEX(CalcWitB,$N1062)),"")</f>
        <v/>
      </c>
      <c r="I1062" s="29">
        <f>IF($M1062&lt;&gt;"",INDEX(CalcAmtA,$M1062),"")</f>
        <v/>
      </c>
      <c r="J1062" s="29">
        <f>IF($B1062="","",IF($J1061="",$C$8,$J1061)+IF($I1062="",0,$I1062)+IF($E1062="",0,$E1062)-IF($H1062="",0,$H1062))</f>
        <v/>
      </c>
      <c r="K1062" s="30">
        <f>IF($M1062&lt;&gt;"",IF(INDEX(CalcNoteA,$M1062)="","—",INDEX(CalcNoteA,$M1062)),IF($N1062&lt;&gt;"",IF(INDEX(CalcNoteB,$N1062)="","—",INDEX(CalcNoteB,$N1062)),""))</f>
        <v/>
      </c>
      <c r="M1062">
        <f>IFERROR(MATCH($C$5&amp;"|"&amp;RIGHT("000000"&amp;1046,6),CalcRankKeyA,0),"")</f>
        <v/>
      </c>
      <c r="N1062">
        <f>IFERROR(MATCH($C$5&amp;"|"&amp;RIGHT("000000"&amp;1046,6),CalcRankKeyB,0),"")</f>
        <v/>
      </c>
    </row>
    <row r="1063">
      <c r="A1063" s="21" t="n">
        <v>1047</v>
      </c>
      <c r="B1063" s="22">
        <f>IF(AND($M1063="",$N1063=""),"",IF($M1063&lt;&gt;"",INDEX(CalcDateA,$M1063),INDEX(CalcDateB,$N1063)))</f>
        <v/>
      </c>
      <c r="C1063" s="22">
        <f>IF($M1063&lt;&gt;"","خرید سبد",IF($N1063&lt;&gt;"",IF(N(INDEX(CalcDepB,$N1063))&gt;0,"دریافت بانکی","پرداخت بانکی"),""))</f>
        <v/>
      </c>
      <c r="D1063" s="22">
        <f>IF($M1063&lt;&gt;"",IF(INDEX(CalcDocA,$M1063)="","—",INDEX(CalcDocA,$M1063)),IF($N1063&lt;&gt;"",INDEX(CalcBankB,$N1063),""))</f>
        <v/>
      </c>
      <c r="E1063" s="23">
        <f>IF($N1063&lt;&gt;"",IF(INDEX(CalcDepB,$N1063)=0,"",INDEX(CalcDepB,$N1063)),"")</f>
        <v/>
      </c>
      <c r="F1063" s="23">
        <f>IF($M1063&lt;&gt;"",IF(INDEX(CalcQtyA,$M1063)=0,"",INDEX(CalcQtyA,$M1063)),"")</f>
        <v/>
      </c>
      <c r="G1063" s="23">
        <f>IF($M1063&lt;&gt;"",IF(INDEX(CalcPriceA,$M1063)=0,"",INDEX(CalcPriceA,$M1063)),"")</f>
        <v/>
      </c>
      <c r="H1063" s="23">
        <f>IF($N1063&lt;&gt;"",IF(INDEX(CalcWitB,$N1063)=0,"",INDEX(CalcWitB,$N1063)),"")</f>
        <v/>
      </c>
      <c r="I1063" s="24">
        <f>IF($M1063&lt;&gt;"",INDEX(CalcAmtA,$M1063),"")</f>
        <v/>
      </c>
      <c r="J1063" s="24">
        <f>IF($B1063="","",IF($J1062="",$C$8,$J1062)+IF($I1063="",0,$I1063)+IF($E1063="",0,$E1063)-IF($H1063="",0,$H1063))</f>
        <v/>
      </c>
      <c r="K1063" s="25">
        <f>IF($M1063&lt;&gt;"",IF(INDEX(CalcNoteA,$M1063)="","—",INDEX(CalcNoteA,$M1063)),IF($N1063&lt;&gt;"",IF(INDEX(CalcNoteB,$N1063)="","—",INDEX(CalcNoteB,$N1063)),""))</f>
        <v/>
      </c>
      <c r="M1063">
        <f>IFERROR(MATCH($C$5&amp;"|"&amp;RIGHT("000000"&amp;1047,6),CalcRankKeyA,0),"")</f>
        <v/>
      </c>
      <c r="N1063">
        <f>IFERROR(MATCH($C$5&amp;"|"&amp;RIGHT("000000"&amp;1047,6),CalcRankKeyB,0),"")</f>
        <v/>
      </c>
    </row>
    <row r="1064">
      <c r="A1064" s="26" t="n">
        <v>1048</v>
      </c>
      <c r="B1064" s="27">
        <f>IF(AND($M1064="",$N1064=""),"",IF($M1064&lt;&gt;"",INDEX(CalcDateA,$M1064),INDEX(CalcDateB,$N1064)))</f>
        <v/>
      </c>
      <c r="C1064" s="27">
        <f>IF($M1064&lt;&gt;"","خرید سبد",IF($N1064&lt;&gt;"",IF(N(INDEX(CalcDepB,$N1064))&gt;0,"دریافت بانکی","پرداخت بانکی"),""))</f>
        <v/>
      </c>
      <c r="D1064" s="27">
        <f>IF($M1064&lt;&gt;"",IF(INDEX(CalcDocA,$M1064)="","—",INDEX(CalcDocA,$M1064)),IF($N1064&lt;&gt;"",INDEX(CalcBankB,$N1064),""))</f>
        <v/>
      </c>
      <c r="E1064" s="28">
        <f>IF($N1064&lt;&gt;"",IF(INDEX(CalcDepB,$N1064)=0,"",INDEX(CalcDepB,$N1064)),"")</f>
        <v/>
      </c>
      <c r="F1064" s="28">
        <f>IF($M1064&lt;&gt;"",IF(INDEX(CalcQtyA,$M1064)=0,"",INDEX(CalcQtyA,$M1064)),"")</f>
        <v/>
      </c>
      <c r="G1064" s="28">
        <f>IF($M1064&lt;&gt;"",IF(INDEX(CalcPriceA,$M1064)=0,"",INDEX(CalcPriceA,$M1064)),"")</f>
        <v/>
      </c>
      <c r="H1064" s="28">
        <f>IF($N1064&lt;&gt;"",IF(INDEX(CalcWitB,$N1064)=0,"",INDEX(CalcWitB,$N1064)),"")</f>
        <v/>
      </c>
      <c r="I1064" s="29">
        <f>IF($M1064&lt;&gt;"",INDEX(CalcAmtA,$M1064),"")</f>
        <v/>
      </c>
      <c r="J1064" s="29">
        <f>IF($B1064="","",IF($J1063="",$C$8,$J1063)+IF($I1064="",0,$I1064)+IF($E1064="",0,$E1064)-IF($H1064="",0,$H1064))</f>
        <v/>
      </c>
      <c r="K1064" s="30">
        <f>IF($M1064&lt;&gt;"",IF(INDEX(CalcNoteA,$M1064)="","—",INDEX(CalcNoteA,$M1064)),IF($N1064&lt;&gt;"",IF(INDEX(CalcNoteB,$N1064)="","—",INDEX(CalcNoteB,$N1064)),""))</f>
        <v/>
      </c>
      <c r="M1064">
        <f>IFERROR(MATCH($C$5&amp;"|"&amp;RIGHT("000000"&amp;1048,6),CalcRankKeyA,0),"")</f>
        <v/>
      </c>
      <c r="N1064">
        <f>IFERROR(MATCH($C$5&amp;"|"&amp;RIGHT("000000"&amp;1048,6),CalcRankKeyB,0),"")</f>
        <v/>
      </c>
    </row>
    <row r="1065">
      <c r="A1065" s="21" t="n">
        <v>1049</v>
      </c>
      <c r="B1065" s="22">
        <f>IF(AND($M1065="",$N1065=""),"",IF($M1065&lt;&gt;"",INDEX(CalcDateA,$M1065),INDEX(CalcDateB,$N1065)))</f>
        <v/>
      </c>
      <c r="C1065" s="22">
        <f>IF($M1065&lt;&gt;"","خرید سبد",IF($N1065&lt;&gt;"",IF(N(INDEX(CalcDepB,$N1065))&gt;0,"دریافت بانکی","پرداخت بانکی"),""))</f>
        <v/>
      </c>
      <c r="D1065" s="22">
        <f>IF($M1065&lt;&gt;"",IF(INDEX(CalcDocA,$M1065)="","—",INDEX(CalcDocA,$M1065)),IF($N1065&lt;&gt;"",INDEX(CalcBankB,$N1065),""))</f>
        <v/>
      </c>
      <c r="E1065" s="23">
        <f>IF($N1065&lt;&gt;"",IF(INDEX(CalcDepB,$N1065)=0,"",INDEX(CalcDepB,$N1065)),"")</f>
        <v/>
      </c>
      <c r="F1065" s="23">
        <f>IF($M1065&lt;&gt;"",IF(INDEX(CalcQtyA,$M1065)=0,"",INDEX(CalcQtyA,$M1065)),"")</f>
        <v/>
      </c>
      <c r="G1065" s="23">
        <f>IF($M1065&lt;&gt;"",IF(INDEX(CalcPriceA,$M1065)=0,"",INDEX(CalcPriceA,$M1065)),"")</f>
        <v/>
      </c>
      <c r="H1065" s="23">
        <f>IF($N1065&lt;&gt;"",IF(INDEX(CalcWitB,$N1065)=0,"",INDEX(CalcWitB,$N1065)),"")</f>
        <v/>
      </c>
      <c r="I1065" s="24">
        <f>IF($M1065&lt;&gt;"",INDEX(CalcAmtA,$M1065),"")</f>
        <v/>
      </c>
      <c r="J1065" s="24">
        <f>IF($B1065="","",IF($J1064="",$C$8,$J1064)+IF($I1065="",0,$I1065)+IF($E1065="",0,$E1065)-IF($H1065="",0,$H1065))</f>
        <v/>
      </c>
      <c r="K1065" s="25">
        <f>IF($M1065&lt;&gt;"",IF(INDEX(CalcNoteA,$M1065)="","—",INDEX(CalcNoteA,$M1065)),IF($N1065&lt;&gt;"",IF(INDEX(CalcNoteB,$N1065)="","—",INDEX(CalcNoteB,$N1065)),""))</f>
        <v/>
      </c>
      <c r="M1065">
        <f>IFERROR(MATCH($C$5&amp;"|"&amp;RIGHT("000000"&amp;1049,6),CalcRankKeyA,0),"")</f>
        <v/>
      </c>
      <c r="N1065">
        <f>IFERROR(MATCH($C$5&amp;"|"&amp;RIGHT("000000"&amp;1049,6),CalcRankKeyB,0),"")</f>
        <v/>
      </c>
    </row>
    <row r="1066">
      <c r="A1066" s="26" t="n">
        <v>1050</v>
      </c>
      <c r="B1066" s="27">
        <f>IF(AND($M1066="",$N1066=""),"",IF($M1066&lt;&gt;"",INDEX(CalcDateA,$M1066),INDEX(CalcDateB,$N1066)))</f>
        <v/>
      </c>
      <c r="C1066" s="27">
        <f>IF($M1066&lt;&gt;"","خرید سبد",IF($N1066&lt;&gt;"",IF(N(INDEX(CalcDepB,$N1066))&gt;0,"دریافت بانکی","پرداخت بانکی"),""))</f>
        <v/>
      </c>
      <c r="D1066" s="27">
        <f>IF($M1066&lt;&gt;"",IF(INDEX(CalcDocA,$M1066)="","—",INDEX(CalcDocA,$M1066)),IF($N1066&lt;&gt;"",INDEX(CalcBankB,$N1066),""))</f>
        <v/>
      </c>
      <c r="E1066" s="28">
        <f>IF($N1066&lt;&gt;"",IF(INDEX(CalcDepB,$N1066)=0,"",INDEX(CalcDepB,$N1066)),"")</f>
        <v/>
      </c>
      <c r="F1066" s="28">
        <f>IF($M1066&lt;&gt;"",IF(INDEX(CalcQtyA,$M1066)=0,"",INDEX(CalcQtyA,$M1066)),"")</f>
        <v/>
      </c>
      <c r="G1066" s="28">
        <f>IF($M1066&lt;&gt;"",IF(INDEX(CalcPriceA,$M1066)=0,"",INDEX(CalcPriceA,$M1066)),"")</f>
        <v/>
      </c>
      <c r="H1066" s="28">
        <f>IF($N1066&lt;&gt;"",IF(INDEX(CalcWitB,$N1066)=0,"",INDEX(CalcWitB,$N1066)),"")</f>
        <v/>
      </c>
      <c r="I1066" s="29">
        <f>IF($M1066&lt;&gt;"",INDEX(CalcAmtA,$M1066),"")</f>
        <v/>
      </c>
      <c r="J1066" s="29">
        <f>IF($B1066="","",IF($J1065="",$C$8,$J1065)+IF($I1066="",0,$I1066)+IF($E1066="",0,$E1066)-IF($H1066="",0,$H1066))</f>
        <v/>
      </c>
      <c r="K1066" s="30">
        <f>IF($M1066&lt;&gt;"",IF(INDEX(CalcNoteA,$M1066)="","—",INDEX(CalcNoteA,$M1066)),IF($N1066&lt;&gt;"",IF(INDEX(CalcNoteB,$N1066)="","—",INDEX(CalcNoteB,$N1066)),""))</f>
        <v/>
      </c>
      <c r="M1066">
        <f>IFERROR(MATCH($C$5&amp;"|"&amp;RIGHT("000000"&amp;1050,6),CalcRankKeyA,0),"")</f>
        <v/>
      </c>
      <c r="N1066">
        <f>IFERROR(MATCH($C$5&amp;"|"&amp;RIGHT("000000"&amp;1050,6),CalcRankKeyB,0),"")</f>
        <v/>
      </c>
    </row>
    <row r="1067">
      <c r="A1067" s="21" t="n">
        <v>1051</v>
      </c>
      <c r="B1067" s="22">
        <f>IF(AND($M1067="",$N1067=""),"",IF($M1067&lt;&gt;"",INDEX(CalcDateA,$M1067),INDEX(CalcDateB,$N1067)))</f>
        <v/>
      </c>
      <c r="C1067" s="22">
        <f>IF($M1067&lt;&gt;"","خرید سبد",IF($N1067&lt;&gt;"",IF(N(INDEX(CalcDepB,$N1067))&gt;0,"دریافت بانکی","پرداخت بانکی"),""))</f>
        <v/>
      </c>
      <c r="D1067" s="22">
        <f>IF($M1067&lt;&gt;"",IF(INDEX(CalcDocA,$M1067)="","—",INDEX(CalcDocA,$M1067)),IF($N1067&lt;&gt;"",INDEX(CalcBankB,$N1067),""))</f>
        <v/>
      </c>
      <c r="E1067" s="23">
        <f>IF($N1067&lt;&gt;"",IF(INDEX(CalcDepB,$N1067)=0,"",INDEX(CalcDepB,$N1067)),"")</f>
        <v/>
      </c>
      <c r="F1067" s="23">
        <f>IF($M1067&lt;&gt;"",IF(INDEX(CalcQtyA,$M1067)=0,"",INDEX(CalcQtyA,$M1067)),"")</f>
        <v/>
      </c>
      <c r="G1067" s="23">
        <f>IF($M1067&lt;&gt;"",IF(INDEX(CalcPriceA,$M1067)=0,"",INDEX(CalcPriceA,$M1067)),"")</f>
        <v/>
      </c>
      <c r="H1067" s="23">
        <f>IF($N1067&lt;&gt;"",IF(INDEX(CalcWitB,$N1067)=0,"",INDEX(CalcWitB,$N1067)),"")</f>
        <v/>
      </c>
      <c r="I1067" s="24">
        <f>IF($M1067&lt;&gt;"",INDEX(CalcAmtA,$M1067),"")</f>
        <v/>
      </c>
      <c r="J1067" s="24">
        <f>IF($B1067="","",IF($J1066="",$C$8,$J1066)+IF($I1067="",0,$I1067)+IF($E1067="",0,$E1067)-IF($H1067="",0,$H1067))</f>
        <v/>
      </c>
      <c r="K1067" s="25">
        <f>IF($M1067&lt;&gt;"",IF(INDEX(CalcNoteA,$M1067)="","—",INDEX(CalcNoteA,$M1067)),IF($N1067&lt;&gt;"",IF(INDEX(CalcNoteB,$N1067)="","—",INDEX(CalcNoteB,$N1067)),""))</f>
        <v/>
      </c>
      <c r="M1067">
        <f>IFERROR(MATCH($C$5&amp;"|"&amp;RIGHT("000000"&amp;1051,6),CalcRankKeyA,0),"")</f>
        <v/>
      </c>
      <c r="N1067">
        <f>IFERROR(MATCH($C$5&amp;"|"&amp;RIGHT("000000"&amp;1051,6),CalcRankKeyB,0),"")</f>
        <v/>
      </c>
    </row>
    <row r="1068">
      <c r="A1068" s="26" t="n">
        <v>1052</v>
      </c>
      <c r="B1068" s="27">
        <f>IF(AND($M1068="",$N1068=""),"",IF($M1068&lt;&gt;"",INDEX(CalcDateA,$M1068),INDEX(CalcDateB,$N1068)))</f>
        <v/>
      </c>
      <c r="C1068" s="27">
        <f>IF($M1068&lt;&gt;"","خرید سبد",IF($N1068&lt;&gt;"",IF(N(INDEX(CalcDepB,$N1068))&gt;0,"دریافت بانکی","پرداخت بانکی"),""))</f>
        <v/>
      </c>
      <c r="D1068" s="27">
        <f>IF($M1068&lt;&gt;"",IF(INDEX(CalcDocA,$M1068)="","—",INDEX(CalcDocA,$M1068)),IF($N1068&lt;&gt;"",INDEX(CalcBankB,$N1068),""))</f>
        <v/>
      </c>
      <c r="E1068" s="28">
        <f>IF($N1068&lt;&gt;"",IF(INDEX(CalcDepB,$N1068)=0,"",INDEX(CalcDepB,$N1068)),"")</f>
        <v/>
      </c>
      <c r="F1068" s="28">
        <f>IF($M1068&lt;&gt;"",IF(INDEX(CalcQtyA,$M1068)=0,"",INDEX(CalcQtyA,$M1068)),"")</f>
        <v/>
      </c>
      <c r="G1068" s="28">
        <f>IF($M1068&lt;&gt;"",IF(INDEX(CalcPriceA,$M1068)=0,"",INDEX(CalcPriceA,$M1068)),"")</f>
        <v/>
      </c>
      <c r="H1068" s="28">
        <f>IF($N1068&lt;&gt;"",IF(INDEX(CalcWitB,$N1068)=0,"",INDEX(CalcWitB,$N1068)),"")</f>
        <v/>
      </c>
      <c r="I1068" s="29">
        <f>IF($M1068&lt;&gt;"",INDEX(CalcAmtA,$M1068),"")</f>
        <v/>
      </c>
      <c r="J1068" s="29">
        <f>IF($B1068="","",IF($J1067="",$C$8,$J1067)+IF($I1068="",0,$I1068)+IF($E1068="",0,$E1068)-IF($H1068="",0,$H1068))</f>
        <v/>
      </c>
      <c r="K1068" s="30">
        <f>IF($M1068&lt;&gt;"",IF(INDEX(CalcNoteA,$M1068)="","—",INDEX(CalcNoteA,$M1068)),IF($N1068&lt;&gt;"",IF(INDEX(CalcNoteB,$N1068)="","—",INDEX(CalcNoteB,$N1068)),""))</f>
        <v/>
      </c>
      <c r="M1068">
        <f>IFERROR(MATCH($C$5&amp;"|"&amp;RIGHT("000000"&amp;1052,6),CalcRankKeyA,0),"")</f>
        <v/>
      </c>
      <c r="N1068">
        <f>IFERROR(MATCH($C$5&amp;"|"&amp;RIGHT("000000"&amp;1052,6),CalcRankKeyB,0),"")</f>
        <v/>
      </c>
    </row>
    <row r="1069">
      <c r="A1069" s="21" t="n">
        <v>1053</v>
      </c>
      <c r="B1069" s="22">
        <f>IF(AND($M1069="",$N1069=""),"",IF($M1069&lt;&gt;"",INDEX(CalcDateA,$M1069),INDEX(CalcDateB,$N1069)))</f>
        <v/>
      </c>
      <c r="C1069" s="22">
        <f>IF($M1069&lt;&gt;"","خرید سبد",IF($N1069&lt;&gt;"",IF(N(INDEX(CalcDepB,$N1069))&gt;0,"دریافت بانکی","پرداخت بانکی"),""))</f>
        <v/>
      </c>
      <c r="D1069" s="22">
        <f>IF($M1069&lt;&gt;"",IF(INDEX(CalcDocA,$M1069)="","—",INDEX(CalcDocA,$M1069)),IF($N1069&lt;&gt;"",INDEX(CalcBankB,$N1069),""))</f>
        <v/>
      </c>
      <c r="E1069" s="23">
        <f>IF($N1069&lt;&gt;"",IF(INDEX(CalcDepB,$N1069)=0,"",INDEX(CalcDepB,$N1069)),"")</f>
        <v/>
      </c>
      <c r="F1069" s="23">
        <f>IF($M1069&lt;&gt;"",IF(INDEX(CalcQtyA,$M1069)=0,"",INDEX(CalcQtyA,$M1069)),"")</f>
        <v/>
      </c>
      <c r="G1069" s="23">
        <f>IF($M1069&lt;&gt;"",IF(INDEX(CalcPriceA,$M1069)=0,"",INDEX(CalcPriceA,$M1069)),"")</f>
        <v/>
      </c>
      <c r="H1069" s="23">
        <f>IF($N1069&lt;&gt;"",IF(INDEX(CalcWitB,$N1069)=0,"",INDEX(CalcWitB,$N1069)),"")</f>
        <v/>
      </c>
      <c r="I1069" s="24">
        <f>IF($M1069&lt;&gt;"",INDEX(CalcAmtA,$M1069),"")</f>
        <v/>
      </c>
      <c r="J1069" s="24">
        <f>IF($B1069="","",IF($J1068="",$C$8,$J1068)+IF($I1069="",0,$I1069)+IF($E1069="",0,$E1069)-IF($H1069="",0,$H1069))</f>
        <v/>
      </c>
      <c r="K1069" s="25">
        <f>IF($M1069&lt;&gt;"",IF(INDEX(CalcNoteA,$M1069)="","—",INDEX(CalcNoteA,$M1069)),IF($N1069&lt;&gt;"",IF(INDEX(CalcNoteB,$N1069)="","—",INDEX(CalcNoteB,$N1069)),""))</f>
        <v/>
      </c>
      <c r="M1069">
        <f>IFERROR(MATCH($C$5&amp;"|"&amp;RIGHT("000000"&amp;1053,6),CalcRankKeyA,0),"")</f>
        <v/>
      </c>
      <c r="N1069">
        <f>IFERROR(MATCH($C$5&amp;"|"&amp;RIGHT("000000"&amp;1053,6),CalcRankKeyB,0),"")</f>
        <v/>
      </c>
    </row>
    <row r="1070">
      <c r="A1070" s="26" t="n">
        <v>1054</v>
      </c>
      <c r="B1070" s="27">
        <f>IF(AND($M1070="",$N1070=""),"",IF($M1070&lt;&gt;"",INDEX(CalcDateA,$M1070),INDEX(CalcDateB,$N1070)))</f>
        <v/>
      </c>
      <c r="C1070" s="27">
        <f>IF($M1070&lt;&gt;"","خرید سبد",IF($N1070&lt;&gt;"",IF(N(INDEX(CalcDepB,$N1070))&gt;0,"دریافت بانکی","پرداخت بانکی"),""))</f>
        <v/>
      </c>
      <c r="D1070" s="27">
        <f>IF($M1070&lt;&gt;"",IF(INDEX(CalcDocA,$M1070)="","—",INDEX(CalcDocA,$M1070)),IF($N1070&lt;&gt;"",INDEX(CalcBankB,$N1070),""))</f>
        <v/>
      </c>
      <c r="E1070" s="28">
        <f>IF($N1070&lt;&gt;"",IF(INDEX(CalcDepB,$N1070)=0,"",INDEX(CalcDepB,$N1070)),"")</f>
        <v/>
      </c>
      <c r="F1070" s="28">
        <f>IF($M1070&lt;&gt;"",IF(INDEX(CalcQtyA,$M1070)=0,"",INDEX(CalcQtyA,$M1070)),"")</f>
        <v/>
      </c>
      <c r="G1070" s="28">
        <f>IF($M1070&lt;&gt;"",IF(INDEX(CalcPriceA,$M1070)=0,"",INDEX(CalcPriceA,$M1070)),"")</f>
        <v/>
      </c>
      <c r="H1070" s="28">
        <f>IF($N1070&lt;&gt;"",IF(INDEX(CalcWitB,$N1070)=0,"",INDEX(CalcWitB,$N1070)),"")</f>
        <v/>
      </c>
      <c r="I1070" s="29">
        <f>IF($M1070&lt;&gt;"",INDEX(CalcAmtA,$M1070),"")</f>
        <v/>
      </c>
      <c r="J1070" s="29">
        <f>IF($B1070="","",IF($J1069="",$C$8,$J1069)+IF($I1070="",0,$I1070)+IF($E1070="",0,$E1070)-IF($H1070="",0,$H1070))</f>
        <v/>
      </c>
      <c r="K1070" s="30">
        <f>IF($M1070&lt;&gt;"",IF(INDEX(CalcNoteA,$M1070)="","—",INDEX(CalcNoteA,$M1070)),IF($N1070&lt;&gt;"",IF(INDEX(CalcNoteB,$N1070)="","—",INDEX(CalcNoteB,$N1070)),""))</f>
        <v/>
      </c>
      <c r="M1070">
        <f>IFERROR(MATCH($C$5&amp;"|"&amp;RIGHT("000000"&amp;1054,6),CalcRankKeyA,0),"")</f>
        <v/>
      </c>
      <c r="N1070">
        <f>IFERROR(MATCH($C$5&amp;"|"&amp;RIGHT("000000"&amp;1054,6),CalcRankKeyB,0),"")</f>
        <v/>
      </c>
    </row>
    <row r="1071">
      <c r="A1071" s="21" t="n">
        <v>1055</v>
      </c>
      <c r="B1071" s="22">
        <f>IF(AND($M1071="",$N1071=""),"",IF($M1071&lt;&gt;"",INDEX(CalcDateA,$M1071),INDEX(CalcDateB,$N1071)))</f>
        <v/>
      </c>
      <c r="C1071" s="22">
        <f>IF($M1071&lt;&gt;"","خرید سبد",IF($N1071&lt;&gt;"",IF(N(INDEX(CalcDepB,$N1071))&gt;0,"دریافت بانکی","پرداخت بانکی"),""))</f>
        <v/>
      </c>
      <c r="D1071" s="22">
        <f>IF($M1071&lt;&gt;"",IF(INDEX(CalcDocA,$M1071)="","—",INDEX(CalcDocA,$M1071)),IF($N1071&lt;&gt;"",INDEX(CalcBankB,$N1071),""))</f>
        <v/>
      </c>
      <c r="E1071" s="23">
        <f>IF($N1071&lt;&gt;"",IF(INDEX(CalcDepB,$N1071)=0,"",INDEX(CalcDepB,$N1071)),"")</f>
        <v/>
      </c>
      <c r="F1071" s="23">
        <f>IF($M1071&lt;&gt;"",IF(INDEX(CalcQtyA,$M1071)=0,"",INDEX(CalcQtyA,$M1071)),"")</f>
        <v/>
      </c>
      <c r="G1071" s="23">
        <f>IF($M1071&lt;&gt;"",IF(INDEX(CalcPriceA,$M1071)=0,"",INDEX(CalcPriceA,$M1071)),"")</f>
        <v/>
      </c>
      <c r="H1071" s="23">
        <f>IF($N1071&lt;&gt;"",IF(INDEX(CalcWitB,$N1071)=0,"",INDEX(CalcWitB,$N1071)),"")</f>
        <v/>
      </c>
      <c r="I1071" s="24">
        <f>IF($M1071&lt;&gt;"",INDEX(CalcAmtA,$M1071),"")</f>
        <v/>
      </c>
      <c r="J1071" s="24">
        <f>IF($B1071="","",IF($J1070="",$C$8,$J1070)+IF($I1071="",0,$I1071)+IF($E1071="",0,$E1071)-IF($H1071="",0,$H1071))</f>
        <v/>
      </c>
      <c r="K1071" s="25">
        <f>IF($M1071&lt;&gt;"",IF(INDEX(CalcNoteA,$M1071)="","—",INDEX(CalcNoteA,$M1071)),IF($N1071&lt;&gt;"",IF(INDEX(CalcNoteB,$N1071)="","—",INDEX(CalcNoteB,$N1071)),""))</f>
        <v/>
      </c>
      <c r="M1071">
        <f>IFERROR(MATCH($C$5&amp;"|"&amp;RIGHT("000000"&amp;1055,6),CalcRankKeyA,0),"")</f>
        <v/>
      </c>
      <c r="N1071">
        <f>IFERROR(MATCH($C$5&amp;"|"&amp;RIGHT("000000"&amp;1055,6),CalcRankKeyB,0),"")</f>
        <v/>
      </c>
    </row>
    <row r="1072">
      <c r="A1072" s="26" t="n">
        <v>1056</v>
      </c>
      <c r="B1072" s="27">
        <f>IF(AND($M1072="",$N1072=""),"",IF($M1072&lt;&gt;"",INDEX(CalcDateA,$M1072),INDEX(CalcDateB,$N1072)))</f>
        <v/>
      </c>
      <c r="C1072" s="27">
        <f>IF($M1072&lt;&gt;"","خرید سبد",IF($N1072&lt;&gt;"",IF(N(INDEX(CalcDepB,$N1072))&gt;0,"دریافت بانکی","پرداخت بانکی"),""))</f>
        <v/>
      </c>
      <c r="D1072" s="27">
        <f>IF($M1072&lt;&gt;"",IF(INDEX(CalcDocA,$M1072)="","—",INDEX(CalcDocA,$M1072)),IF($N1072&lt;&gt;"",INDEX(CalcBankB,$N1072),""))</f>
        <v/>
      </c>
      <c r="E1072" s="28">
        <f>IF($N1072&lt;&gt;"",IF(INDEX(CalcDepB,$N1072)=0,"",INDEX(CalcDepB,$N1072)),"")</f>
        <v/>
      </c>
      <c r="F1072" s="28">
        <f>IF($M1072&lt;&gt;"",IF(INDEX(CalcQtyA,$M1072)=0,"",INDEX(CalcQtyA,$M1072)),"")</f>
        <v/>
      </c>
      <c r="G1072" s="28">
        <f>IF($M1072&lt;&gt;"",IF(INDEX(CalcPriceA,$M1072)=0,"",INDEX(CalcPriceA,$M1072)),"")</f>
        <v/>
      </c>
      <c r="H1072" s="28">
        <f>IF($N1072&lt;&gt;"",IF(INDEX(CalcWitB,$N1072)=0,"",INDEX(CalcWitB,$N1072)),"")</f>
        <v/>
      </c>
      <c r="I1072" s="29">
        <f>IF($M1072&lt;&gt;"",INDEX(CalcAmtA,$M1072),"")</f>
        <v/>
      </c>
      <c r="J1072" s="29">
        <f>IF($B1072="","",IF($J1071="",$C$8,$J1071)+IF($I1072="",0,$I1072)+IF($E1072="",0,$E1072)-IF($H1072="",0,$H1072))</f>
        <v/>
      </c>
      <c r="K1072" s="30">
        <f>IF($M1072&lt;&gt;"",IF(INDEX(CalcNoteA,$M1072)="","—",INDEX(CalcNoteA,$M1072)),IF($N1072&lt;&gt;"",IF(INDEX(CalcNoteB,$N1072)="","—",INDEX(CalcNoteB,$N1072)),""))</f>
        <v/>
      </c>
      <c r="M1072">
        <f>IFERROR(MATCH($C$5&amp;"|"&amp;RIGHT("000000"&amp;1056,6),CalcRankKeyA,0),"")</f>
        <v/>
      </c>
      <c r="N1072">
        <f>IFERROR(MATCH($C$5&amp;"|"&amp;RIGHT("000000"&amp;1056,6),CalcRankKeyB,0),"")</f>
        <v/>
      </c>
    </row>
    <row r="1073">
      <c r="A1073" s="21" t="n">
        <v>1057</v>
      </c>
      <c r="B1073" s="22">
        <f>IF(AND($M1073="",$N1073=""),"",IF($M1073&lt;&gt;"",INDEX(CalcDateA,$M1073),INDEX(CalcDateB,$N1073)))</f>
        <v/>
      </c>
      <c r="C1073" s="22">
        <f>IF($M1073&lt;&gt;"","خرید سبد",IF($N1073&lt;&gt;"",IF(N(INDEX(CalcDepB,$N1073))&gt;0,"دریافت بانکی","پرداخت بانکی"),""))</f>
        <v/>
      </c>
      <c r="D1073" s="22">
        <f>IF($M1073&lt;&gt;"",IF(INDEX(CalcDocA,$M1073)="","—",INDEX(CalcDocA,$M1073)),IF($N1073&lt;&gt;"",INDEX(CalcBankB,$N1073),""))</f>
        <v/>
      </c>
      <c r="E1073" s="23">
        <f>IF($N1073&lt;&gt;"",IF(INDEX(CalcDepB,$N1073)=0,"",INDEX(CalcDepB,$N1073)),"")</f>
        <v/>
      </c>
      <c r="F1073" s="23">
        <f>IF($M1073&lt;&gt;"",IF(INDEX(CalcQtyA,$M1073)=0,"",INDEX(CalcQtyA,$M1073)),"")</f>
        <v/>
      </c>
      <c r="G1073" s="23">
        <f>IF($M1073&lt;&gt;"",IF(INDEX(CalcPriceA,$M1073)=0,"",INDEX(CalcPriceA,$M1073)),"")</f>
        <v/>
      </c>
      <c r="H1073" s="23">
        <f>IF($N1073&lt;&gt;"",IF(INDEX(CalcWitB,$N1073)=0,"",INDEX(CalcWitB,$N1073)),"")</f>
        <v/>
      </c>
      <c r="I1073" s="24">
        <f>IF($M1073&lt;&gt;"",INDEX(CalcAmtA,$M1073),"")</f>
        <v/>
      </c>
      <c r="J1073" s="24">
        <f>IF($B1073="","",IF($J1072="",$C$8,$J1072)+IF($I1073="",0,$I1073)+IF($E1073="",0,$E1073)-IF($H1073="",0,$H1073))</f>
        <v/>
      </c>
      <c r="K1073" s="25">
        <f>IF($M1073&lt;&gt;"",IF(INDEX(CalcNoteA,$M1073)="","—",INDEX(CalcNoteA,$M1073)),IF($N1073&lt;&gt;"",IF(INDEX(CalcNoteB,$N1073)="","—",INDEX(CalcNoteB,$N1073)),""))</f>
        <v/>
      </c>
      <c r="M1073">
        <f>IFERROR(MATCH($C$5&amp;"|"&amp;RIGHT("000000"&amp;1057,6),CalcRankKeyA,0),"")</f>
        <v/>
      </c>
      <c r="N1073">
        <f>IFERROR(MATCH($C$5&amp;"|"&amp;RIGHT("000000"&amp;1057,6),CalcRankKeyB,0),"")</f>
        <v/>
      </c>
    </row>
    <row r="1074">
      <c r="A1074" s="26" t="n">
        <v>1058</v>
      </c>
      <c r="B1074" s="27">
        <f>IF(AND($M1074="",$N1074=""),"",IF($M1074&lt;&gt;"",INDEX(CalcDateA,$M1074),INDEX(CalcDateB,$N1074)))</f>
        <v/>
      </c>
      <c r="C1074" s="27">
        <f>IF($M1074&lt;&gt;"","خرید سبد",IF($N1074&lt;&gt;"",IF(N(INDEX(CalcDepB,$N1074))&gt;0,"دریافت بانکی","پرداخت بانکی"),""))</f>
        <v/>
      </c>
      <c r="D1074" s="27">
        <f>IF($M1074&lt;&gt;"",IF(INDEX(CalcDocA,$M1074)="","—",INDEX(CalcDocA,$M1074)),IF($N1074&lt;&gt;"",INDEX(CalcBankB,$N1074),""))</f>
        <v/>
      </c>
      <c r="E1074" s="28">
        <f>IF($N1074&lt;&gt;"",IF(INDEX(CalcDepB,$N1074)=0,"",INDEX(CalcDepB,$N1074)),"")</f>
        <v/>
      </c>
      <c r="F1074" s="28">
        <f>IF($M1074&lt;&gt;"",IF(INDEX(CalcQtyA,$M1074)=0,"",INDEX(CalcQtyA,$M1074)),"")</f>
        <v/>
      </c>
      <c r="G1074" s="28">
        <f>IF($M1074&lt;&gt;"",IF(INDEX(CalcPriceA,$M1074)=0,"",INDEX(CalcPriceA,$M1074)),"")</f>
        <v/>
      </c>
      <c r="H1074" s="28">
        <f>IF($N1074&lt;&gt;"",IF(INDEX(CalcWitB,$N1074)=0,"",INDEX(CalcWitB,$N1074)),"")</f>
        <v/>
      </c>
      <c r="I1074" s="29">
        <f>IF($M1074&lt;&gt;"",INDEX(CalcAmtA,$M1074),"")</f>
        <v/>
      </c>
      <c r="J1074" s="29">
        <f>IF($B1074="","",IF($J1073="",$C$8,$J1073)+IF($I1074="",0,$I1074)+IF($E1074="",0,$E1074)-IF($H1074="",0,$H1074))</f>
        <v/>
      </c>
      <c r="K1074" s="30">
        <f>IF($M1074&lt;&gt;"",IF(INDEX(CalcNoteA,$M1074)="","—",INDEX(CalcNoteA,$M1074)),IF($N1074&lt;&gt;"",IF(INDEX(CalcNoteB,$N1074)="","—",INDEX(CalcNoteB,$N1074)),""))</f>
        <v/>
      </c>
      <c r="M1074">
        <f>IFERROR(MATCH($C$5&amp;"|"&amp;RIGHT("000000"&amp;1058,6),CalcRankKeyA,0),"")</f>
        <v/>
      </c>
      <c r="N1074">
        <f>IFERROR(MATCH($C$5&amp;"|"&amp;RIGHT("000000"&amp;1058,6),CalcRankKeyB,0),"")</f>
        <v/>
      </c>
    </row>
    <row r="1075">
      <c r="A1075" s="21" t="n">
        <v>1059</v>
      </c>
      <c r="B1075" s="22">
        <f>IF(AND($M1075="",$N1075=""),"",IF($M1075&lt;&gt;"",INDEX(CalcDateA,$M1075),INDEX(CalcDateB,$N1075)))</f>
        <v/>
      </c>
      <c r="C1075" s="22">
        <f>IF($M1075&lt;&gt;"","خرید سبد",IF($N1075&lt;&gt;"",IF(N(INDEX(CalcDepB,$N1075))&gt;0,"دریافت بانکی","پرداخت بانکی"),""))</f>
        <v/>
      </c>
      <c r="D1075" s="22">
        <f>IF($M1075&lt;&gt;"",IF(INDEX(CalcDocA,$M1075)="","—",INDEX(CalcDocA,$M1075)),IF($N1075&lt;&gt;"",INDEX(CalcBankB,$N1075),""))</f>
        <v/>
      </c>
      <c r="E1075" s="23">
        <f>IF($N1075&lt;&gt;"",IF(INDEX(CalcDepB,$N1075)=0,"",INDEX(CalcDepB,$N1075)),"")</f>
        <v/>
      </c>
      <c r="F1075" s="23">
        <f>IF($M1075&lt;&gt;"",IF(INDEX(CalcQtyA,$M1075)=0,"",INDEX(CalcQtyA,$M1075)),"")</f>
        <v/>
      </c>
      <c r="G1075" s="23">
        <f>IF($M1075&lt;&gt;"",IF(INDEX(CalcPriceA,$M1075)=0,"",INDEX(CalcPriceA,$M1075)),"")</f>
        <v/>
      </c>
      <c r="H1075" s="23">
        <f>IF($N1075&lt;&gt;"",IF(INDEX(CalcWitB,$N1075)=0,"",INDEX(CalcWitB,$N1075)),"")</f>
        <v/>
      </c>
      <c r="I1075" s="24">
        <f>IF($M1075&lt;&gt;"",INDEX(CalcAmtA,$M1075),"")</f>
        <v/>
      </c>
      <c r="J1075" s="24">
        <f>IF($B1075="","",IF($J1074="",$C$8,$J1074)+IF($I1075="",0,$I1075)+IF($E1075="",0,$E1075)-IF($H1075="",0,$H1075))</f>
        <v/>
      </c>
      <c r="K1075" s="25">
        <f>IF($M1075&lt;&gt;"",IF(INDEX(CalcNoteA,$M1075)="","—",INDEX(CalcNoteA,$M1075)),IF($N1075&lt;&gt;"",IF(INDEX(CalcNoteB,$N1075)="","—",INDEX(CalcNoteB,$N1075)),""))</f>
        <v/>
      </c>
      <c r="M1075">
        <f>IFERROR(MATCH($C$5&amp;"|"&amp;RIGHT("000000"&amp;1059,6),CalcRankKeyA,0),"")</f>
        <v/>
      </c>
      <c r="N1075">
        <f>IFERROR(MATCH($C$5&amp;"|"&amp;RIGHT("000000"&amp;1059,6),CalcRankKeyB,0),"")</f>
        <v/>
      </c>
    </row>
    <row r="1076">
      <c r="A1076" s="26" t="n">
        <v>1060</v>
      </c>
      <c r="B1076" s="27">
        <f>IF(AND($M1076="",$N1076=""),"",IF($M1076&lt;&gt;"",INDEX(CalcDateA,$M1076),INDEX(CalcDateB,$N1076)))</f>
        <v/>
      </c>
      <c r="C1076" s="27">
        <f>IF($M1076&lt;&gt;"","خرید سبد",IF($N1076&lt;&gt;"",IF(N(INDEX(CalcDepB,$N1076))&gt;0,"دریافت بانکی","پرداخت بانکی"),""))</f>
        <v/>
      </c>
      <c r="D1076" s="27">
        <f>IF($M1076&lt;&gt;"",IF(INDEX(CalcDocA,$M1076)="","—",INDEX(CalcDocA,$M1076)),IF($N1076&lt;&gt;"",INDEX(CalcBankB,$N1076),""))</f>
        <v/>
      </c>
      <c r="E1076" s="28">
        <f>IF($N1076&lt;&gt;"",IF(INDEX(CalcDepB,$N1076)=0,"",INDEX(CalcDepB,$N1076)),"")</f>
        <v/>
      </c>
      <c r="F1076" s="28">
        <f>IF($M1076&lt;&gt;"",IF(INDEX(CalcQtyA,$M1076)=0,"",INDEX(CalcQtyA,$M1076)),"")</f>
        <v/>
      </c>
      <c r="G1076" s="28">
        <f>IF($M1076&lt;&gt;"",IF(INDEX(CalcPriceA,$M1076)=0,"",INDEX(CalcPriceA,$M1076)),"")</f>
        <v/>
      </c>
      <c r="H1076" s="28">
        <f>IF($N1076&lt;&gt;"",IF(INDEX(CalcWitB,$N1076)=0,"",INDEX(CalcWitB,$N1076)),"")</f>
        <v/>
      </c>
      <c r="I1076" s="29">
        <f>IF($M1076&lt;&gt;"",INDEX(CalcAmtA,$M1076),"")</f>
        <v/>
      </c>
      <c r="J1076" s="29">
        <f>IF($B1076="","",IF($J1075="",$C$8,$J1075)+IF($I1076="",0,$I1076)+IF($E1076="",0,$E1076)-IF($H1076="",0,$H1076))</f>
        <v/>
      </c>
      <c r="K1076" s="30">
        <f>IF($M1076&lt;&gt;"",IF(INDEX(CalcNoteA,$M1076)="","—",INDEX(CalcNoteA,$M1076)),IF($N1076&lt;&gt;"",IF(INDEX(CalcNoteB,$N1076)="","—",INDEX(CalcNoteB,$N1076)),""))</f>
        <v/>
      </c>
      <c r="M1076">
        <f>IFERROR(MATCH($C$5&amp;"|"&amp;RIGHT("000000"&amp;1060,6),CalcRankKeyA,0),"")</f>
        <v/>
      </c>
      <c r="N1076">
        <f>IFERROR(MATCH($C$5&amp;"|"&amp;RIGHT("000000"&amp;1060,6),CalcRankKeyB,0),"")</f>
        <v/>
      </c>
    </row>
    <row r="1077">
      <c r="A1077" s="21" t="n">
        <v>1061</v>
      </c>
      <c r="B1077" s="22">
        <f>IF(AND($M1077="",$N1077=""),"",IF($M1077&lt;&gt;"",INDEX(CalcDateA,$M1077),INDEX(CalcDateB,$N1077)))</f>
        <v/>
      </c>
      <c r="C1077" s="22">
        <f>IF($M1077&lt;&gt;"","خرید سبد",IF($N1077&lt;&gt;"",IF(N(INDEX(CalcDepB,$N1077))&gt;0,"دریافت بانکی","پرداخت بانکی"),""))</f>
        <v/>
      </c>
      <c r="D1077" s="22">
        <f>IF($M1077&lt;&gt;"",IF(INDEX(CalcDocA,$M1077)="","—",INDEX(CalcDocA,$M1077)),IF($N1077&lt;&gt;"",INDEX(CalcBankB,$N1077),""))</f>
        <v/>
      </c>
      <c r="E1077" s="23">
        <f>IF($N1077&lt;&gt;"",IF(INDEX(CalcDepB,$N1077)=0,"",INDEX(CalcDepB,$N1077)),"")</f>
        <v/>
      </c>
      <c r="F1077" s="23">
        <f>IF($M1077&lt;&gt;"",IF(INDEX(CalcQtyA,$M1077)=0,"",INDEX(CalcQtyA,$M1077)),"")</f>
        <v/>
      </c>
      <c r="G1077" s="23">
        <f>IF($M1077&lt;&gt;"",IF(INDEX(CalcPriceA,$M1077)=0,"",INDEX(CalcPriceA,$M1077)),"")</f>
        <v/>
      </c>
      <c r="H1077" s="23">
        <f>IF($N1077&lt;&gt;"",IF(INDEX(CalcWitB,$N1077)=0,"",INDEX(CalcWitB,$N1077)),"")</f>
        <v/>
      </c>
      <c r="I1077" s="24">
        <f>IF($M1077&lt;&gt;"",INDEX(CalcAmtA,$M1077),"")</f>
        <v/>
      </c>
      <c r="J1077" s="24">
        <f>IF($B1077="","",IF($J1076="",$C$8,$J1076)+IF($I1077="",0,$I1077)+IF($E1077="",0,$E1077)-IF($H1077="",0,$H1077))</f>
        <v/>
      </c>
      <c r="K1077" s="25">
        <f>IF($M1077&lt;&gt;"",IF(INDEX(CalcNoteA,$M1077)="","—",INDEX(CalcNoteA,$M1077)),IF($N1077&lt;&gt;"",IF(INDEX(CalcNoteB,$N1077)="","—",INDEX(CalcNoteB,$N1077)),""))</f>
        <v/>
      </c>
      <c r="M1077">
        <f>IFERROR(MATCH($C$5&amp;"|"&amp;RIGHT("000000"&amp;1061,6),CalcRankKeyA,0),"")</f>
        <v/>
      </c>
      <c r="N1077">
        <f>IFERROR(MATCH($C$5&amp;"|"&amp;RIGHT("000000"&amp;1061,6),CalcRankKeyB,0),"")</f>
        <v/>
      </c>
    </row>
    <row r="1078">
      <c r="A1078" s="26" t="n">
        <v>1062</v>
      </c>
      <c r="B1078" s="27">
        <f>IF(AND($M1078="",$N1078=""),"",IF($M1078&lt;&gt;"",INDEX(CalcDateA,$M1078),INDEX(CalcDateB,$N1078)))</f>
        <v/>
      </c>
      <c r="C1078" s="27">
        <f>IF($M1078&lt;&gt;"","خرید سبد",IF($N1078&lt;&gt;"",IF(N(INDEX(CalcDepB,$N1078))&gt;0,"دریافت بانکی","پرداخت بانکی"),""))</f>
        <v/>
      </c>
      <c r="D1078" s="27">
        <f>IF($M1078&lt;&gt;"",IF(INDEX(CalcDocA,$M1078)="","—",INDEX(CalcDocA,$M1078)),IF($N1078&lt;&gt;"",INDEX(CalcBankB,$N1078),""))</f>
        <v/>
      </c>
      <c r="E1078" s="28">
        <f>IF($N1078&lt;&gt;"",IF(INDEX(CalcDepB,$N1078)=0,"",INDEX(CalcDepB,$N1078)),"")</f>
        <v/>
      </c>
      <c r="F1078" s="28">
        <f>IF($M1078&lt;&gt;"",IF(INDEX(CalcQtyA,$M1078)=0,"",INDEX(CalcQtyA,$M1078)),"")</f>
        <v/>
      </c>
      <c r="G1078" s="28">
        <f>IF($M1078&lt;&gt;"",IF(INDEX(CalcPriceA,$M1078)=0,"",INDEX(CalcPriceA,$M1078)),"")</f>
        <v/>
      </c>
      <c r="H1078" s="28">
        <f>IF($N1078&lt;&gt;"",IF(INDEX(CalcWitB,$N1078)=0,"",INDEX(CalcWitB,$N1078)),"")</f>
        <v/>
      </c>
      <c r="I1078" s="29">
        <f>IF($M1078&lt;&gt;"",INDEX(CalcAmtA,$M1078),"")</f>
        <v/>
      </c>
      <c r="J1078" s="29">
        <f>IF($B1078="","",IF($J1077="",$C$8,$J1077)+IF($I1078="",0,$I1078)+IF($E1078="",0,$E1078)-IF($H1078="",0,$H1078))</f>
        <v/>
      </c>
      <c r="K1078" s="30">
        <f>IF($M1078&lt;&gt;"",IF(INDEX(CalcNoteA,$M1078)="","—",INDEX(CalcNoteA,$M1078)),IF($N1078&lt;&gt;"",IF(INDEX(CalcNoteB,$N1078)="","—",INDEX(CalcNoteB,$N1078)),""))</f>
        <v/>
      </c>
      <c r="M1078">
        <f>IFERROR(MATCH($C$5&amp;"|"&amp;RIGHT("000000"&amp;1062,6),CalcRankKeyA,0),"")</f>
        <v/>
      </c>
      <c r="N1078">
        <f>IFERROR(MATCH($C$5&amp;"|"&amp;RIGHT("000000"&amp;1062,6),CalcRankKeyB,0),"")</f>
        <v/>
      </c>
    </row>
    <row r="1079">
      <c r="A1079" s="21" t="n">
        <v>1063</v>
      </c>
      <c r="B1079" s="22">
        <f>IF(AND($M1079="",$N1079=""),"",IF($M1079&lt;&gt;"",INDEX(CalcDateA,$M1079),INDEX(CalcDateB,$N1079)))</f>
        <v/>
      </c>
      <c r="C1079" s="22">
        <f>IF($M1079&lt;&gt;"","خرید سبد",IF($N1079&lt;&gt;"",IF(N(INDEX(CalcDepB,$N1079))&gt;0,"دریافت بانکی","پرداخت بانکی"),""))</f>
        <v/>
      </c>
      <c r="D1079" s="22">
        <f>IF($M1079&lt;&gt;"",IF(INDEX(CalcDocA,$M1079)="","—",INDEX(CalcDocA,$M1079)),IF($N1079&lt;&gt;"",INDEX(CalcBankB,$N1079),""))</f>
        <v/>
      </c>
      <c r="E1079" s="23">
        <f>IF($N1079&lt;&gt;"",IF(INDEX(CalcDepB,$N1079)=0,"",INDEX(CalcDepB,$N1079)),"")</f>
        <v/>
      </c>
      <c r="F1079" s="23">
        <f>IF($M1079&lt;&gt;"",IF(INDEX(CalcQtyA,$M1079)=0,"",INDEX(CalcQtyA,$M1079)),"")</f>
        <v/>
      </c>
      <c r="G1079" s="23">
        <f>IF($M1079&lt;&gt;"",IF(INDEX(CalcPriceA,$M1079)=0,"",INDEX(CalcPriceA,$M1079)),"")</f>
        <v/>
      </c>
      <c r="H1079" s="23">
        <f>IF($N1079&lt;&gt;"",IF(INDEX(CalcWitB,$N1079)=0,"",INDEX(CalcWitB,$N1079)),"")</f>
        <v/>
      </c>
      <c r="I1079" s="24">
        <f>IF($M1079&lt;&gt;"",INDEX(CalcAmtA,$M1079),"")</f>
        <v/>
      </c>
      <c r="J1079" s="24">
        <f>IF($B1079="","",IF($J1078="",$C$8,$J1078)+IF($I1079="",0,$I1079)+IF($E1079="",0,$E1079)-IF($H1079="",0,$H1079))</f>
        <v/>
      </c>
      <c r="K1079" s="25">
        <f>IF($M1079&lt;&gt;"",IF(INDEX(CalcNoteA,$M1079)="","—",INDEX(CalcNoteA,$M1079)),IF($N1079&lt;&gt;"",IF(INDEX(CalcNoteB,$N1079)="","—",INDEX(CalcNoteB,$N1079)),""))</f>
        <v/>
      </c>
      <c r="M1079">
        <f>IFERROR(MATCH($C$5&amp;"|"&amp;RIGHT("000000"&amp;1063,6),CalcRankKeyA,0),"")</f>
        <v/>
      </c>
      <c r="N1079">
        <f>IFERROR(MATCH($C$5&amp;"|"&amp;RIGHT("000000"&amp;1063,6),CalcRankKeyB,0),"")</f>
        <v/>
      </c>
    </row>
    <row r="1080">
      <c r="A1080" s="26" t="n">
        <v>1064</v>
      </c>
      <c r="B1080" s="27">
        <f>IF(AND($M1080="",$N1080=""),"",IF($M1080&lt;&gt;"",INDEX(CalcDateA,$M1080),INDEX(CalcDateB,$N1080)))</f>
        <v/>
      </c>
      <c r="C1080" s="27">
        <f>IF($M1080&lt;&gt;"","خرید سبد",IF($N1080&lt;&gt;"",IF(N(INDEX(CalcDepB,$N1080))&gt;0,"دریافت بانکی","پرداخت بانکی"),""))</f>
        <v/>
      </c>
      <c r="D1080" s="27">
        <f>IF($M1080&lt;&gt;"",IF(INDEX(CalcDocA,$M1080)="","—",INDEX(CalcDocA,$M1080)),IF($N1080&lt;&gt;"",INDEX(CalcBankB,$N1080),""))</f>
        <v/>
      </c>
      <c r="E1080" s="28">
        <f>IF($N1080&lt;&gt;"",IF(INDEX(CalcDepB,$N1080)=0,"",INDEX(CalcDepB,$N1080)),"")</f>
        <v/>
      </c>
      <c r="F1080" s="28">
        <f>IF($M1080&lt;&gt;"",IF(INDEX(CalcQtyA,$M1080)=0,"",INDEX(CalcQtyA,$M1080)),"")</f>
        <v/>
      </c>
      <c r="G1080" s="28">
        <f>IF($M1080&lt;&gt;"",IF(INDEX(CalcPriceA,$M1080)=0,"",INDEX(CalcPriceA,$M1080)),"")</f>
        <v/>
      </c>
      <c r="H1080" s="28">
        <f>IF($N1080&lt;&gt;"",IF(INDEX(CalcWitB,$N1080)=0,"",INDEX(CalcWitB,$N1080)),"")</f>
        <v/>
      </c>
      <c r="I1080" s="29">
        <f>IF($M1080&lt;&gt;"",INDEX(CalcAmtA,$M1080),"")</f>
        <v/>
      </c>
      <c r="J1080" s="29">
        <f>IF($B1080="","",IF($J1079="",$C$8,$J1079)+IF($I1080="",0,$I1080)+IF($E1080="",0,$E1080)-IF($H1080="",0,$H1080))</f>
        <v/>
      </c>
      <c r="K1080" s="30">
        <f>IF($M1080&lt;&gt;"",IF(INDEX(CalcNoteA,$M1080)="","—",INDEX(CalcNoteA,$M1080)),IF($N1080&lt;&gt;"",IF(INDEX(CalcNoteB,$N1080)="","—",INDEX(CalcNoteB,$N1080)),""))</f>
        <v/>
      </c>
      <c r="M1080">
        <f>IFERROR(MATCH($C$5&amp;"|"&amp;RIGHT("000000"&amp;1064,6),CalcRankKeyA,0),"")</f>
        <v/>
      </c>
      <c r="N1080">
        <f>IFERROR(MATCH($C$5&amp;"|"&amp;RIGHT("000000"&amp;1064,6),CalcRankKeyB,0),"")</f>
        <v/>
      </c>
    </row>
    <row r="1081">
      <c r="A1081" s="21" t="n">
        <v>1065</v>
      </c>
      <c r="B1081" s="22">
        <f>IF(AND($M1081="",$N1081=""),"",IF($M1081&lt;&gt;"",INDEX(CalcDateA,$M1081),INDEX(CalcDateB,$N1081)))</f>
        <v/>
      </c>
      <c r="C1081" s="22">
        <f>IF($M1081&lt;&gt;"","خرید سبد",IF($N1081&lt;&gt;"",IF(N(INDEX(CalcDepB,$N1081))&gt;0,"دریافت بانکی","پرداخت بانکی"),""))</f>
        <v/>
      </c>
      <c r="D1081" s="22">
        <f>IF($M1081&lt;&gt;"",IF(INDEX(CalcDocA,$M1081)="","—",INDEX(CalcDocA,$M1081)),IF($N1081&lt;&gt;"",INDEX(CalcBankB,$N1081),""))</f>
        <v/>
      </c>
      <c r="E1081" s="23">
        <f>IF($N1081&lt;&gt;"",IF(INDEX(CalcDepB,$N1081)=0,"",INDEX(CalcDepB,$N1081)),"")</f>
        <v/>
      </c>
      <c r="F1081" s="23">
        <f>IF($M1081&lt;&gt;"",IF(INDEX(CalcQtyA,$M1081)=0,"",INDEX(CalcQtyA,$M1081)),"")</f>
        <v/>
      </c>
      <c r="G1081" s="23">
        <f>IF($M1081&lt;&gt;"",IF(INDEX(CalcPriceA,$M1081)=0,"",INDEX(CalcPriceA,$M1081)),"")</f>
        <v/>
      </c>
      <c r="H1081" s="23">
        <f>IF($N1081&lt;&gt;"",IF(INDEX(CalcWitB,$N1081)=0,"",INDEX(CalcWitB,$N1081)),"")</f>
        <v/>
      </c>
      <c r="I1081" s="24">
        <f>IF($M1081&lt;&gt;"",INDEX(CalcAmtA,$M1081),"")</f>
        <v/>
      </c>
      <c r="J1081" s="24">
        <f>IF($B1081="","",IF($J1080="",$C$8,$J1080)+IF($I1081="",0,$I1081)+IF($E1081="",0,$E1081)-IF($H1081="",0,$H1081))</f>
        <v/>
      </c>
      <c r="K1081" s="25">
        <f>IF($M1081&lt;&gt;"",IF(INDEX(CalcNoteA,$M1081)="","—",INDEX(CalcNoteA,$M1081)),IF($N1081&lt;&gt;"",IF(INDEX(CalcNoteB,$N1081)="","—",INDEX(CalcNoteB,$N1081)),""))</f>
        <v/>
      </c>
      <c r="M1081">
        <f>IFERROR(MATCH($C$5&amp;"|"&amp;RIGHT("000000"&amp;1065,6),CalcRankKeyA,0),"")</f>
        <v/>
      </c>
      <c r="N1081">
        <f>IFERROR(MATCH($C$5&amp;"|"&amp;RIGHT("000000"&amp;1065,6),CalcRankKeyB,0),"")</f>
        <v/>
      </c>
    </row>
    <row r="1082">
      <c r="A1082" s="26" t="n">
        <v>1066</v>
      </c>
      <c r="B1082" s="27">
        <f>IF(AND($M1082="",$N1082=""),"",IF($M1082&lt;&gt;"",INDEX(CalcDateA,$M1082),INDEX(CalcDateB,$N1082)))</f>
        <v/>
      </c>
      <c r="C1082" s="27">
        <f>IF($M1082&lt;&gt;"","خرید سبد",IF($N1082&lt;&gt;"",IF(N(INDEX(CalcDepB,$N1082))&gt;0,"دریافت بانکی","پرداخت بانکی"),""))</f>
        <v/>
      </c>
      <c r="D1082" s="27">
        <f>IF($M1082&lt;&gt;"",IF(INDEX(CalcDocA,$M1082)="","—",INDEX(CalcDocA,$M1082)),IF($N1082&lt;&gt;"",INDEX(CalcBankB,$N1082),""))</f>
        <v/>
      </c>
      <c r="E1082" s="28">
        <f>IF($N1082&lt;&gt;"",IF(INDEX(CalcDepB,$N1082)=0,"",INDEX(CalcDepB,$N1082)),"")</f>
        <v/>
      </c>
      <c r="F1082" s="28">
        <f>IF($M1082&lt;&gt;"",IF(INDEX(CalcQtyA,$M1082)=0,"",INDEX(CalcQtyA,$M1082)),"")</f>
        <v/>
      </c>
      <c r="G1082" s="28">
        <f>IF($M1082&lt;&gt;"",IF(INDEX(CalcPriceA,$M1082)=0,"",INDEX(CalcPriceA,$M1082)),"")</f>
        <v/>
      </c>
      <c r="H1082" s="28">
        <f>IF($N1082&lt;&gt;"",IF(INDEX(CalcWitB,$N1082)=0,"",INDEX(CalcWitB,$N1082)),"")</f>
        <v/>
      </c>
      <c r="I1082" s="29">
        <f>IF($M1082&lt;&gt;"",INDEX(CalcAmtA,$M1082),"")</f>
        <v/>
      </c>
      <c r="J1082" s="29">
        <f>IF($B1082="","",IF($J1081="",$C$8,$J1081)+IF($I1082="",0,$I1082)+IF($E1082="",0,$E1082)-IF($H1082="",0,$H1082))</f>
        <v/>
      </c>
      <c r="K1082" s="30">
        <f>IF($M1082&lt;&gt;"",IF(INDEX(CalcNoteA,$M1082)="","—",INDEX(CalcNoteA,$M1082)),IF($N1082&lt;&gt;"",IF(INDEX(CalcNoteB,$N1082)="","—",INDEX(CalcNoteB,$N1082)),""))</f>
        <v/>
      </c>
      <c r="M1082">
        <f>IFERROR(MATCH($C$5&amp;"|"&amp;RIGHT("000000"&amp;1066,6),CalcRankKeyA,0),"")</f>
        <v/>
      </c>
      <c r="N1082">
        <f>IFERROR(MATCH($C$5&amp;"|"&amp;RIGHT("000000"&amp;1066,6),CalcRankKeyB,0),"")</f>
        <v/>
      </c>
    </row>
    <row r="1083">
      <c r="A1083" s="21" t="n">
        <v>1067</v>
      </c>
      <c r="B1083" s="22">
        <f>IF(AND($M1083="",$N1083=""),"",IF($M1083&lt;&gt;"",INDEX(CalcDateA,$M1083),INDEX(CalcDateB,$N1083)))</f>
        <v/>
      </c>
      <c r="C1083" s="22">
        <f>IF($M1083&lt;&gt;"","خرید سبد",IF($N1083&lt;&gt;"",IF(N(INDEX(CalcDepB,$N1083))&gt;0,"دریافت بانکی","پرداخت بانکی"),""))</f>
        <v/>
      </c>
      <c r="D1083" s="22">
        <f>IF($M1083&lt;&gt;"",IF(INDEX(CalcDocA,$M1083)="","—",INDEX(CalcDocA,$M1083)),IF($N1083&lt;&gt;"",INDEX(CalcBankB,$N1083),""))</f>
        <v/>
      </c>
      <c r="E1083" s="23">
        <f>IF($N1083&lt;&gt;"",IF(INDEX(CalcDepB,$N1083)=0,"",INDEX(CalcDepB,$N1083)),"")</f>
        <v/>
      </c>
      <c r="F1083" s="23">
        <f>IF($M1083&lt;&gt;"",IF(INDEX(CalcQtyA,$M1083)=0,"",INDEX(CalcQtyA,$M1083)),"")</f>
        <v/>
      </c>
      <c r="G1083" s="23">
        <f>IF($M1083&lt;&gt;"",IF(INDEX(CalcPriceA,$M1083)=0,"",INDEX(CalcPriceA,$M1083)),"")</f>
        <v/>
      </c>
      <c r="H1083" s="23">
        <f>IF($N1083&lt;&gt;"",IF(INDEX(CalcWitB,$N1083)=0,"",INDEX(CalcWitB,$N1083)),"")</f>
        <v/>
      </c>
      <c r="I1083" s="24">
        <f>IF($M1083&lt;&gt;"",INDEX(CalcAmtA,$M1083),"")</f>
        <v/>
      </c>
      <c r="J1083" s="24">
        <f>IF($B1083="","",IF($J1082="",$C$8,$J1082)+IF($I1083="",0,$I1083)+IF($E1083="",0,$E1083)-IF($H1083="",0,$H1083))</f>
        <v/>
      </c>
      <c r="K1083" s="25">
        <f>IF($M1083&lt;&gt;"",IF(INDEX(CalcNoteA,$M1083)="","—",INDEX(CalcNoteA,$M1083)),IF($N1083&lt;&gt;"",IF(INDEX(CalcNoteB,$N1083)="","—",INDEX(CalcNoteB,$N1083)),""))</f>
        <v/>
      </c>
      <c r="M1083">
        <f>IFERROR(MATCH($C$5&amp;"|"&amp;RIGHT("000000"&amp;1067,6),CalcRankKeyA,0),"")</f>
        <v/>
      </c>
      <c r="N1083">
        <f>IFERROR(MATCH($C$5&amp;"|"&amp;RIGHT("000000"&amp;1067,6),CalcRankKeyB,0),"")</f>
        <v/>
      </c>
    </row>
    <row r="1084">
      <c r="A1084" s="26" t="n">
        <v>1068</v>
      </c>
      <c r="B1084" s="27">
        <f>IF(AND($M1084="",$N1084=""),"",IF($M1084&lt;&gt;"",INDEX(CalcDateA,$M1084),INDEX(CalcDateB,$N1084)))</f>
        <v/>
      </c>
      <c r="C1084" s="27">
        <f>IF($M1084&lt;&gt;"","خرید سبد",IF($N1084&lt;&gt;"",IF(N(INDEX(CalcDepB,$N1084))&gt;0,"دریافت بانکی","پرداخت بانکی"),""))</f>
        <v/>
      </c>
      <c r="D1084" s="27">
        <f>IF($M1084&lt;&gt;"",IF(INDEX(CalcDocA,$M1084)="","—",INDEX(CalcDocA,$M1084)),IF($N1084&lt;&gt;"",INDEX(CalcBankB,$N1084),""))</f>
        <v/>
      </c>
      <c r="E1084" s="28">
        <f>IF($N1084&lt;&gt;"",IF(INDEX(CalcDepB,$N1084)=0,"",INDEX(CalcDepB,$N1084)),"")</f>
        <v/>
      </c>
      <c r="F1084" s="28">
        <f>IF($M1084&lt;&gt;"",IF(INDEX(CalcQtyA,$M1084)=0,"",INDEX(CalcQtyA,$M1084)),"")</f>
        <v/>
      </c>
      <c r="G1084" s="28">
        <f>IF($M1084&lt;&gt;"",IF(INDEX(CalcPriceA,$M1084)=0,"",INDEX(CalcPriceA,$M1084)),"")</f>
        <v/>
      </c>
      <c r="H1084" s="28">
        <f>IF($N1084&lt;&gt;"",IF(INDEX(CalcWitB,$N1084)=0,"",INDEX(CalcWitB,$N1084)),"")</f>
        <v/>
      </c>
      <c r="I1084" s="29">
        <f>IF($M1084&lt;&gt;"",INDEX(CalcAmtA,$M1084),"")</f>
        <v/>
      </c>
      <c r="J1084" s="29">
        <f>IF($B1084="","",IF($J1083="",$C$8,$J1083)+IF($I1084="",0,$I1084)+IF($E1084="",0,$E1084)-IF($H1084="",0,$H1084))</f>
        <v/>
      </c>
      <c r="K1084" s="30">
        <f>IF($M1084&lt;&gt;"",IF(INDEX(CalcNoteA,$M1084)="","—",INDEX(CalcNoteA,$M1084)),IF($N1084&lt;&gt;"",IF(INDEX(CalcNoteB,$N1084)="","—",INDEX(CalcNoteB,$N1084)),""))</f>
        <v/>
      </c>
      <c r="M1084">
        <f>IFERROR(MATCH($C$5&amp;"|"&amp;RIGHT("000000"&amp;1068,6),CalcRankKeyA,0),"")</f>
        <v/>
      </c>
      <c r="N1084">
        <f>IFERROR(MATCH($C$5&amp;"|"&amp;RIGHT("000000"&amp;1068,6),CalcRankKeyB,0),"")</f>
        <v/>
      </c>
    </row>
    <row r="1085">
      <c r="A1085" s="21" t="n">
        <v>1069</v>
      </c>
      <c r="B1085" s="22">
        <f>IF(AND($M1085="",$N1085=""),"",IF($M1085&lt;&gt;"",INDEX(CalcDateA,$M1085),INDEX(CalcDateB,$N1085)))</f>
        <v/>
      </c>
      <c r="C1085" s="22">
        <f>IF($M1085&lt;&gt;"","خرید سبد",IF($N1085&lt;&gt;"",IF(N(INDEX(CalcDepB,$N1085))&gt;0,"دریافت بانکی","پرداخت بانکی"),""))</f>
        <v/>
      </c>
      <c r="D1085" s="22">
        <f>IF($M1085&lt;&gt;"",IF(INDEX(CalcDocA,$M1085)="","—",INDEX(CalcDocA,$M1085)),IF($N1085&lt;&gt;"",INDEX(CalcBankB,$N1085),""))</f>
        <v/>
      </c>
      <c r="E1085" s="23">
        <f>IF($N1085&lt;&gt;"",IF(INDEX(CalcDepB,$N1085)=0,"",INDEX(CalcDepB,$N1085)),"")</f>
        <v/>
      </c>
      <c r="F1085" s="23">
        <f>IF($M1085&lt;&gt;"",IF(INDEX(CalcQtyA,$M1085)=0,"",INDEX(CalcQtyA,$M1085)),"")</f>
        <v/>
      </c>
      <c r="G1085" s="23">
        <f>IF($M1085&lt;&gt;"",IF(INDEX(CalcPriceA,$M1085)=0,"",INDEX(CalcPriceA,$M1085)),"")</f>
        <v/>
      </c>
      <c r="H1085" s="23">
        <f>IF($N1085&lt;&gt;"",IF(INDEX(CalcWitB,$N1085)=0,"",INDEX(CalcWitB,$N1085)),"")</f>
        <v/>
      </c>
      <c r="I1085" s="24">
        <f>IF($M1085&lt;&gt;"",INDEX(CalcAmtA,$M1085),"")</f>
        <v/>
      </c>
      <c r="J1085" s="24">
        <f>IF($B1085="","",IF($J1084="",$C$8,$J1084)+IF($I1085="",0,$I1085)+IF($E1085="",0,$E1085)-IF($H1085="",0,$H1085))</f>
        <v/>
      </c>
      <c r="K1085" s="25">
        <f>IF($M1085&lt;&gt;"",IF(INDEX(CalcNoteA,$M1085)="","—",INDEX(CalcNoteA,$M1085)),IF($N1085&lt;&gt;"",IF(INDEX(CalcNoteB,$N1085)="","—",INDEX(CalcNoteB,$N1085)),""))</f>
        <v/>
      </c>
      <c r="M1085">
        <f>IFERROR(MATCH($C$5&amp;"|"&amp;RIGHT("000000"&amp;1069,6),CalcRankKeyA,0),"")</f>
        <v/>
      </c>
      <c r="N1085">
        <f>IFERROR(MATCH($C$5&amp;"|"&amp;RIGHT("000000"&amp;1069,6),CalcRankKeyB,0),"")</f>
        <v/>
      </c>
    </row>
    <row r="1086">
      <c r="A1086" s="26" t="n">
        <v>1070</v>
      </c>
      <c r="B1086" s="27">
        <f>IF(AND($M1086="",$N1086=""),"",IF($M1086&lt;&gt;"",INDEX(CalcDateA,$M1086),INDEX(CalcDateB,$N1086)))</f>
        <v/>
      </c>
      <c r="C1086" s="27">
        <f>IF($M1086&lt;&gt;"","خرید سبد",IF($N1086&lt;&gt;"",IF(N(INDEX(CalcDepB,$N1086))&gt;0,"دریافت بانکی","پرداخت بانکی"),""))</f>
        <v/>
      </c>
      <c r="D1086" s="27">
        <f>IF($M1086&lt;&gt;"",IF(INDEX(CalcDocA,$M1086)="","—",INDEX(CalcDocA,$M1086)),IF($N1086&lt;&gt;"",INDEX(CalcBankB,$N1086),""))</f>
        <v/>
      </c>
      <c r="E1086" s="28">
        <f>IF($N1086&lt;&gt;"",IF(INDEX(CalcDepB,$N1086)=0,"",INDEX(CalcDepB,$N1086)),"")</f>
        <v/>
      </c>
      <c r="F1086" s="28">
        <f>IF($M1086&lt;&gt;"",IF(INDEX(CalcQtyA,$M1086)=0,"",INDEX(CalcQtyA,$M1086)),"")</f>
        <v/>
      </c>
      <c r="G1086" s="28">
        <f>IF($M1086&lt;&gt;"",IF(INDEX(CalcPriceA,$M1086)=0,"",INDEX(CalcPriceA,$M1086)),"")</f>
        <v/>
      </c>
      <c r="H1086" s="28">
        <f>IF($N1086&lt;&gt;"",IF(INDEX(CalcWitB,$N1086)=0,"",INDEX(CalcWitB,$N1086)),"")</f>
        <v/>
      </c>
      <c r="I1086" s="29">
        <f>IF($M1086&lt;&gt;"",INDEX(CalcAmtA,$M1086),"")</f>
        <v/>
      </c>
      <c r="J1086" s="29">
        <f>IF($B1086="","",IF($J1085="",$C$8,$J1085)+IF($I1086="",0,$I1086)+IF($E1086="",0,$E1086)-IF($H1086="",0,$H1086))</f>
        <v/>
      </c>
      <c r="K1086" s="30">
        <f>IF($M1086&lt;&gt;"",IF(INDEX(CalcNoteA,$M1086)="","—",INDEX(CalcNoteA,$M1086)),IF($N1086&lt;&gt;"",IF(INDEX(CalcNoteB,$N1086)="","—",INDEX(CalcNoteB,$N1086)),""))</f>
        <v/>
      </c>
      <c r="M1086">
        <f>IFERROR(MATCH($C$5&amp;"|"&amp;RIGHT("000000"&amp;1070,6),CalcRankKeyA,0),"")</f>
        <v/>
      </c>
      <c r="N1086">
        <f>IFERROR(MATCH($C$5&amp;"|"&amp;RIGHT("000000"&amp;1070,6),CalcRankKeyB,0),"")</f>
        <v/>
      </c>
    </row>
    <row r="1087">
      <c r="A1087" s="21" t="n">
        <v>1071</v>
      </c>
      <c r="B1087" s="22">
        <f>IF(AND($M1087="",$N1087=""),"",IF($M1087&lt;&gt;"",INDEX(CalcDateA,$M1087),INDEX(CalcDateB,$N1087)))</f>
        <v/>
      </c>
      <c r="C1087" s="22">
        <f>IF($M1087&lt;&gt;"","خرید سبد",IF($N1087&lt;&gt;"",IF(N(INDEX(CalcDepB,$N1087))&gt;0,"دریافت بانکی","پرداخت بانکی"),""))</f>
        <v/>
      </c>
      <c r="D1087" s="22">
        <f>IF($M1087&lt;&gt;"",IF(INDEX(CalcDocA,$M1087)="","—",INDEX(CalcDocA,$M1087)),IF($N1087&lt;&gt;"",INDEX(CalcBankB,$N1087),""))</f>
        <v/>
      </c>
      <c r="E1087" s="23">
        <f>IF($N1087&lt;&gt;"",IF(INDEX(CalcDepB,$N1087)=0,"",INDEX(CalcDepB,$N1087)),"")</f>
        <v/>
      </c>
      <c r="F1087" s="23">
        <f>IF($M1087&lt;&gt;"",IF(INDEX(CalcQtyA,$M1087)=0,"",INDEX(CalcQtyA,$M1087)),"")</f>
        <v/>
      </c>
      <c r="G1087" s="23">
        <f>IF($M1087&lt;&gt;"",IF(INDEX(CalcPriceA,$M1087)=0,"",INDEX(CalcPriceA,$M1087)),"")</f>
        <v/>
      </c>
      <c r="H1087" s="23">
        <f>IF($N1087&lt;&gt;"",IF(INDEX(CalcWitB,$N1087)=0,"",INDEX(CalcWitB,$N1087)),"")</f>
        <v/>
      </c>
      <c r="I1087" s="24">
        <f>IF($M1087&lt;&gt;"",INDEX(CalcAmtA,$M1087),"")</f>
        <v/>
      </c>
      <c r="J1087" s="24">
        <f>IF($B1087="","",IF($J1086="",$C$8,$J1086)+IF($I1087="",0,$I1087)+IF($E1087="",0,$E1087)-IF($H1087="",0,$H1087))</f>
        <v/>
      </c>
      <c r="K1087" s="25">
        <f>IF($M1087&lt;&gt;"",IF(INDEX(CalcNoteA,$M1087)="","—",INDEX(CalcNoteA,$M1087)),IF($N1087&lt;&gt;"",IF(INDEX(CalcNoteB,$N1087)="","—",INDEX(CalcNoteB,$N1087)),""))</f>
        <v/>
      </c>
      <c r="M1087">
        <f>IFERROR(MATCH($C$5&amp;"|"&amp;RIGHT("000000"&amp;1071,6),CalcRankKeyA,0),"")</f>
        <v/>
      </c>
      <c r="N1087">
        <f>IFERROR(MATCH($C$5&amp;"|"&amp;RIGHT("000000"&amp;1071,6),CalcRankKeyB,0),"")</f>
        <v/>
      </c>
    </row>
    <row r="1088">
      <c r="A1088" s="26" t="n">
        <v>1072</v>
      </c>
      <c r="B1088" s="27">
        <f>IF(AND($M1088="",$N1088=""),"",IF($M1088&lt;&gt;"",INDEX(CalcDateA,$M1088),INDEX(CalcDateB,$N1088)))</f>
        <v/>
      </c>
      <c r="C1088" s="27">
        <f>IF($M1088&lt;&gt;"","خرید سبد",IF($N1088&lt;&gt;"",IF(N(INDEX(CalcDepB,$N1088))&gt;0,"دریافت بانکی","پرداخت بانکی"),""))</f>
        <v/>
      </c>
      <c r="D1088" s="27">
        <f>IF($M1088&lt;&gt;"",IF(INDEX(CalcDocA,$M1088)="","—",INDEX(CalcDocA,$M1088)),IF($N1088&lt;&gt;"",INDEX(CalcBankB,$N1088),""))</f>
        <v/>
      </c>
      <c r="E1088" s="28">
        <f>IF($N1088&lt;&gt;"",IF(INDEX(CalcDepB,$N1088)=0,"",INDEX(CalcDepB,$N1088)),"")</f>
        <v/>
      </c>
      <c r="F1088" s="28">
        <f>IF($M1088&lt;&gt;"",IF(INDEX(CalcQtyA,$M1088)=0,"",INDEX(CalcQtyA,$M1088)),"")</f>
        <v/>
      </c>
      <c r="G1088" s="28">
        <f>IF($M1088&lt;&gt;"",IF(INDEX(CalcPriceA,$M1088)=0,"",INDEX(CalcPriceA,$M1088)),"")</f>
        <v/>
      </c>
      <c r="H1088" s="28">
        <f>IF($N1088&lt;&gt;"",IF(INDEX(CalcWitB,$N1088)=0,"",INDEX(CalcWitB,$N1088)),"")</f>
        <v/>
      </c>
      <c r="I1088" s="29">
        <f>IF($M1088&lt;&gt;"",INDEX(CalcAmtA,$M1088),"")</f>
        <v/>
      </c>
      <c r="J1088" s="29">
        <f>IF($B1088="","",IF($J1087="",$C$8,$J1087)+IF($I1088="",0,$I1088)+IF($E1088="",0,$E1088)-IF($H1088="",0,$H1088))</f>
        <v/>
      </c>
      <c r="K1088" s="30">
        <f>IF($M1088&lt;&gt;"",IF(INDEX(CalcNoteA,$M1088)="","—",INDEX(CalcNoteA,$M1088)),IF($N1088&lt;&gt;"",IF(INDEX(CalcNoteB,$N1088)="","—",INDEX(CalcNoteB,$N1088)),""))</f>
        <v/>
      </c>
      <c r="M1088">
        <f>IFERROR(MATCH($C$5&amp;"|"&amp;RIGHT("000000"&amp;1072,6),CalcRankKeyA,0),"")</f>
        <v/>
      </c>
      <c r="N1088">
        <f>IFERROR(MATCH($C$5&amp;"|"&amp;RIGHT("000000"&amp;1072,6),CalcRankKeyB,0),"")</f>
        <v/>
      </c>
    </row>
    <row r="1089">
      <c r="A1089" s="21" t="n">
        <v>1073</v>
      </c>
      <c r="B1089" s="22">
        <f>IF(AND($M1089="",$N1089=""),"",IF($M1089&lt;&gt;"",INDEX(CalcDateA,$M1089),INDEX(CalcDateB,$N1089)))</f>
        <v/>
      </c>
      <c r="C1089" s="22">
        <f>IF($M1089&lt;&gt;"","خرید سبد",IF($N1089&lt;&gt;"",IF(N(INDEX(CalcDepB,$N1089))&gt;0,"دریافت بانکی","پرداخت بانکی"),""))</f>
        <v/>
      </c>
      <c r="D1089" s="22">
        <f>IF($M1089&lt;&gt;"",IF(INDEX(CalcDocA,$M1089)="","—",INDEX(CalcDocA,$M1089)),IF($N1089&lt;&gt;"",INDEX(CalcBankB,$N1089),""))</f>
        <v/>
      </c>
      <c r="E1089" s="23">
        <f>IF($N1089&lt;&gt;"",IF(INDEX(CalcDepB,$N1089)=0,"",INDEX(CalcDepB,$N1089)),"")</f>
        <v/>
      </c>
      <c r="F1089" s="23">
        <f>IF($M1089&lt;&gt;"",IF(INDEX(CalcQtyA,$M1089)=0,"",INDEX(CalcQtyA,$M1089)),"")</f>
        <v/>
      </c>
      <c r="G1089" s="23">
        <f>IF($M1089&lt;&gt;"",IF(INDEX(CalcPriceA,$M1089)=0,"",INDEX(CalcPriceA,$M1089)),"")</f>
        <v/>
      </c>
      <c r="H1089" s="23">
        <f>IF($N1089&lt;&gt;"",IF(INDEX(CalcWitB,$N1089)=0,"",INDEX(CalcWitB,$N1089)),"")</f>
        <v/>
      </c>
      <c r="I1089" s="24">
        <f>IF($M1089&lt;&gt;"",INDEX(CalcAmtA,$M1089),"")</f>
        <v/>
      </c>
      <c r="J1089" s="24">
        <f>IF($B1089="","",IF($J1088="",$C$8,$J1088)+IF($I1089="",0,$I1089)+IF($E1089="",0,$E1089)-IF($H1089="",0,$H1089))</f>
        <v/>
      </c>
      <c r="K1089" s="25">
        <f>IF($M1089&lt;&gt;"",IF(INDEX(CalcNoteA,$M1089)="","—",INDEX(CalcNoteA,$M1089)),IF($N1089&lt;&gt;"",IF(INDEX(CalcNoteB,$N1089)="","—",INDEX(CalcNoteB,$N1089)),""))</f>
        <v/>
      </c>
      <c r="M1089">
        <f>IFERROR(MATCH($C$5&amp;"|"&amp;RIGHT("000000"&amp;1073,6),CalcRankKeyA,0),"")</f>
        <v/>
      </c>
      <c r="N1089">
        <f>IFERROR(MATCH($C$5&amp;"|"&amp;RIGHT("000000"&amp;1073,6),CalcRankKeyB,0),"")</f>
        <v/>
      </c>
    </row>
    <row r="1090">
      <c r="A1090" s="26" t="n">
        <v>1074</v>
      </c>
      <c r="B1090" s="27">
        <f>IF(AND($M1090="",$N1090=""),"",IF($M1090&lt;&gt;"",INDEX(CalcDateA,$M1090),INDEX(CalcDateB,$N1090)))</f>
        <v/>
      </c>
      <c r="C1090" s="27">
        <f>IF($M1090&lt;&gt;"","خرید سبد",IF($N1090&lt;&gt;"",IF(N(INDEX(CalcDepB,$N1090))&gt;0,"دریافت بانکی","پرداخت بانکی"),""))</f>
        <v/>
      </c>
      <c r="D1090" s="27">
        <f>IF($M1090&lt;&gt;"",IF(INDEX(CalcDocA,$M1090)="","—",INDEX(CalcDocA,$M1090)),IF($N1090&lt;&gt;"",INDEX(CalcBankB,$N1090),""))</f>
        <v/>
      </c>
      <c r="E1090" s="28">
        <f>IF($N1090&lt;&gt;"",IF(INDEX(CalcDepB,$N1090)=0,"",INDEX(CalcDepB,$N1090)),"")</f>
        <v/>
      </c>
      <c r="F1090" s="28">
        <f>IF($M1090&lt;&gt;"",IF(INDEX(CalcQtyA,$M1090)=0,"",INDEX(CalcQtyA,$M1090)),"")</f>
        <v/>
      </c>
      <c r="G1090" s="28">
        <f>IF($M1090&lt;&gt;"",IF(INDEX(CalcPriceA,$M1090)=0,"",INDEX(CalcPriceA,$M1090)),"")</f>
        <v/>
      </c>
      <c r="H1090" s="28">
        <f>IF($N1090&lt;&gt;"",IF(INDEX(CalcWitB,$N1090)=0,"",INDEX(CalcWitB,$N1090)),"")</f>
        <v/>
      </c>
      <c r="I1090" s="29">
        <f>IF($M1090&lt;&gt;"",INDEX(CalcAmtA,$M1090),"")</f>
        <v/>
      </c>
      <c r="J1090" s="29">
        <f>IF($B1090="","",IF($J1089="",$C$8,$J1089)+IF($I1090="",0,$I1090)+IF($E1090="",0,$E1090)-IF($H1090="",0,$H1090))</f>
        <v/>
      </c>
      <c r="K1090" s="30">
        <f>IF($M1090&lt;&gt;"",IF(INDEX(CalcNoteA,$M1090)="","—",INDEX(CalcNoteA,$M1090)),IF($N1090&lt;&gt;"",IF(INDEX(CalcNoteB,$N1090)="","—",INDEX(CalcNoteB,$N1090)),""))</f>
        <v/>
      </c>
      <c r="M1090">
        <f>IFERROR(MATCH($C$5&amp;"|"&amp;RIGHT("000000"&amp;1074,6),CalcRankKeyA,0),"")</f>
        <v/>
      </c>
      <c r="N1090">
        <f>IFERROR(MATCH($C$5&amp;"|"&amp;RIGHT("000000"&amp;1074,6),CalcRankKeyB,0),"")</f>
        <v/>
      </c>
    </row>
    <row r="1091">
      <c r="A1091" s="21" t="n">
        <v>1075</v>
      </c>
      <c r="B1091" s="22">
        <f>IF(AND($M1091="",$N1091=""),"",IF($M1091&lt;&gt;"",INDEX(CalcDateA,$M1091),INDEX(CalcDateB,$N1091)))</f>
        <v/>
      </c>
      <c r="C1091" s="22">
        <f>IF($M1091&lt;&gt;"","خرید سبد",IF($N1091&lt;&gt;"",IF(N(INDEX(CalcDepB,$N1091))&gt;0,"دریافت بانکی","پرداخت بانکی"),""))</f>
        <v/>
      </c>
      <c r="D1091" s="22">
        <f>IF($M1091&lt;&gt;"",IF(INDEX(CalcDocA,$M1091)="","—",INDEX(CalcDocA,$M1091)),IF($N1091&lt;&gt;"",INDEX(CalcBankB,$N1091),""))</f>
        <v/>
      </c>
      <c r="E1091" s="23">
        <f>IF($N1091&lt;&gt;"",IF(INDEX(CalcDepB,$N1091)=0,"",INDEX(CalcDepB,$N1091)),"")</f>
        <v/>
      </c>
      <c r="F1091" s="23">
        <f>IF($M1091&lt;&gt;"",IF(INDEX(CalcQtyA,$M1091)=0,"",INDEX(CalcQtyA,$M1091)),"")</f>
        <v/>
      </c>
      <c r="G1091" s="23">
        <f>IF($M1091&lt;&gt;"",IF(INDEX(CalcPriceA,$M1091)=0,"",INDEX(CalcPriceA,$M1091)),"")</f>
        <v/>
      </c>
      <c r="H1091" s="23">
        <f>IF($N1091&lt;&gt;"",IF(INDEX(CalcWitB,$N1091)=0,"",INDEX(CalcWitB,$N1091)),"")</f>
        <v/>
      </c>
      <c r="I1091" s="24">
        <f>IF($M1091&lt;&gt;"",INDEX(CalcAmtA,$M1091),"")</f>
        <v/>
      </c>
      <c r="J1091" s="24">
        <f>IF($B1091="","",IF($J1090="",$C$8,$J1090)+IF($I1091="",0,$I1091)+IF($E1091="",0,$E1091)-IF($H1091="",0,$H1091))</f>
        <v/>
      </c>
      <c r="K1091" s="25">
        <f>IF($M1091&lt;&gt;"",IF(INDEX(CalcNoteA,$M1091)="","—",INDEX(CalcNoteA,$M1091)),IF($N1091&lt;&gt;"",IF(INDEX(CalcNoteB,$N1091)="","—",INDEX(CalcNoteB,$N1091)),""))</f>
        <v/>
      </c>
      <c r="M1091">
        <f>IFERROR(MATCH($C$5&amp;"|"&amp;RIGHT("000000"&amp;1075,6),CalcRankKeyA,0),"")</f>
        <v/>
      </c>
      <c r="N1091">
        <f>IFERROR(MATCH($C$5&amp;"|"&amp;RIGHT("000000"&amp;1075,6),CalcRankKeyB,0),"")</f>
        <v/>
      </c>
    </row>
    <row r="1092">
      <c r="A1092" s="26" t="n">
        <v>1076</v>
      </c>
      <c r="B1092" s="27">
        <f>IF(AND($M1092="",$N1092=""),"",IF($M1092&lt;&gt;"",INDEX(CalcDateA,$M1092),INDEX(CalcDateB,$N1092)))</f>
        <v/>
      </c>
      <c r="C1092" s="27">
        <f>IF($M1092&lt;&gt;"","خرید سبد",IF($N1092&lt;&gt;"",IF(N(INDEX(CalcDepB,$N1092))&gt;0,"دریافت بانکی","پرداخت بانکی"),""))</f>
        <v/>
      </c>
      <c r="D1092" s="27">
        <f>IF($M1092&lt;&gt;"",IF(INDEX(CalcDocA,$M1092)="","—",INDEX(CalcDocA,$M1092)),IF($N1092&lt;&gt;"",INDEX(CalcBankB,$N1092),""))</f>
        <v/>
      </c>
      <c r="E1092" s="28">
        <f>IF($N1092&lt;&gt;"",IF(INDEX(CalcDepB,$N1092)=0,"",INDEX(CalcDepB,$N1092)),"")</f>
        <v/>
      </c>
      <c r="F1092" s="28">
        <f>IF($M1092&lt;&gt;"",IF(INDEX(CalcQtyA,$M1092)=0,"",INDEX(CalcQtyA,$M1092)),"")</f>
        <v/>
      </c>
      <c r="G1092" s="28">
        <f>IF($M1092&lt;&gt;"",IF(INDEX(CalcPriceA,$M1092)=0,"",INDEX(CalcPriceA,$M1092)),"")</f>
        <v/>
      </c>
      <c r="H1092" s="28">
        <f>IF($N1092&lt;&gt;"",IF(INDEX(CalcWitB,$N1092)=0,"",INDEX(CalcWitB,$N1092)),"")</f>
        <v/>
      </c>
      <c r="I1092" s="29">
        <f>IF($M1092&lt;&gt;"",INDEX(CalcAmtA,$M1092),"")</f>
        <v/>
      </c>
      <c r="J1092" s="29">
        <f>IF($B1092="","",IF($J1091="",$C$8,$J1091)+IF($I1092="",0,$I1092)+IF($E1092="",0,$E1092)-IF($H1092="",0,$H1092))</f>
        <v/>
      </c>
      <c r="K1092" s="30">
        <f>IF($M1092&lt;&gt;"",IF(INDEX(CalcNoteA,$M1092)="","—",INDEX(CalcNoteA,$M1092)),IF($N1092&lt;&gt;"",IF(INDEX(CalcNoteB,$N1092)="","—",INDEX(CalcNoteB,$N1092)),""))</f>
        <v/>
      </c>
      <c r="M1092">
        <f>IFERROR(MATCH($C$5&amp;"|"&amp;RIGHT("000000"&amp;1076,6),CalcRankKeyA,0),"")</f>
        <v/>
      </c>
      <c r="N1092">
        <f>IFERROR(MATCH($C$5&amp;"|"&amp;RIGHT("000000"&amp;1076,6),CalcRankKeyB,0),"")</f>
        <v/>
      </c>
    </row>
    <row r="1093">
      <c r="A1093" s="21" t="n">
        <v>1077</v>
      </c>
      <c r="B1093" s="22">
        <f>IF(AND($M1093="",$N1093=""),"",IF($M1093&lt;&gt;"",INDEX(CalcDateA,$M1093),INDEX(CalcDateB,$N1093)))</f>
        <v/>
      </c>
      <c r="C1093" s="22">
        <f>IF($M1093&lt;&gt;"","خرید سبد",IF($N1093&lt;&gt;"",IF(N(INDEX(CalcDepB,$N1093))&gt;0,"دریافت بانکی","پرداخت بانکی"),""))</f>
        <v/>
      </c>
      <c r="D1093" s="22">
        <f>IF($M1093&lt;&gt;"",IF(INDEX(CalcDocA,$M1093)="","—",INDEX(CalcDocA,$M1093)),IF($N1093&lt;&gt;"",INDEX(CalcBankB,$N1093),""))</f>
        <v/>
      </c>
      <c r="E1093" s="23">
        <f>IF($N1093&lt;&gt;"",IF(INDEX(CalcDepB,$N1093)=0,"",INDEX(CalcDepB,$N1093)),"")</f>
        <v/>
      </c>
      <c r="F1093" s="23">
        <f>IF($M1093&lt;&gt;"",IF(INDEX(CalcQtyA,$M1093)=0,"",INDEX(CalcQtyA,$M1093)),"")</f>
        <v/>
      </c>
      <c r="G1093" s="23">
        <f>IF($M1093&lt;&gt;"",IF(INDEX(CalcPriceA,$M1093)=0,"",INDEX(CalcPriceA,$M1093)),"")</f>
        <v/>
      </c>
      <c r="H1093" s="23">
        <f>IF($N1093&lt;&gt;"",IF(INDEX(CalcWitB,$N1093)=0,"",INDEX(CalcWitB,$N1093)),"")</f>
        <v/>
      </c>
      <c r="I1093" s="24">
        <f>IF($M1093&lt;&gt;"",INDEX(CalcAmtA,$M1093),"")</f>
        <v/>
      </c>
      <c r="J1093" s="24">
        <f>IF($B1093="","",IF($J1092="",$C$8,$J1092)+IF($I1093="",0,$I1093)+IF($E1093="",0,$E1093)-IF($H1093="",0,$H1093))</f>
        <v/>
      </c>
      <c r="K1093" s="25">
        <f>IF($M1093&lt;&gt;"",IF(INDEX(CalcNoteA,$M1093)="","—",INDEX(CalcNoteA,$M1093)),IF($N1093&lt;&gt;"",IF(INDEX(CalcNoteB,$N1093)="","—",INDEX(CalcNoteB,$N1093)),""))</f>
        <v/>
      </c>
      <c r="M1093">
        <f>IFERROR(MATCH($C$5&amp;"|"&amp;RIGHT("000000"&amp;1077,6),CalcRankKeyA,0),"")</f>
        <v/>
      </c>
      <c r="N1093">
        <f>IFERROR(MATCH($C$5&amp;"|"&amp;RIGHT("000000"&amp;1077,6),CalcRankKeyB,0),"")</f>
        <v/>
      </c>
    </row>
    <row r="1094">
      <c r="A1094" s="26" t="n">
        <v>1078</v>
      </c>
      <c r="B1094" s="27">
        <f>IF(AND($M1094="",$N1094=""),"",IF($M1094&lt;&gt;"",INDEX(CalcDateA,$M1094),INDEX(CalcDateB,$N1094)))</f>
        <v/>
      </c>
      <c r="C1094" s="27">
        <f>IF($M1094&lt;&gt;"","خرید سبد",IF($N1094&lt;&gt;"",IF(N(INDEX(CalcDepB,$N1094))&gt;0,"دریافت بانکی","پرداخت بانکی"),""))</f>
        <v/>
      </c>
      <c r="D1094" s="27">
        <f>IF($M1094&lt;&gt;"",IF(INDEX(CalcDocA,$M1094)="","—",INDEX(CalcDocA,$M1094)),IF($N1094&lt;&gt;"",INDEX(CalcBankB,$N1094),""))</f>
        <v/>
      </c>
      <c r="E1094" s="28">
        <f>IF($N1094&lt;&gt;"",IF(INDEX(CalcDepB,$N1094)=0,"",INDEX(CalcDepB,$N1094)),"")</f>
        <v/>
      </c>
      <c r="F1094" s="28">
        <f>IF($M1094&lt;&gt;"",IF(INDEX(CalcQtyA,$M1094)=0,"",INDEX(CalcQtyA,$M1094)),"")</f>
        <v/>
      </c>
      <c r="G1094" s="28">
        <f>IF($M1094&lt;&gt;"",IF(INDEX(CalcPriceA,$M1094)=0,"",INDEX(CalcPriceA,$M1094)),"")</f>
        <v/>
      </c>
      <c r="H1094" s="28">
        <f>IF($N1094&lt;&gt;"",IF(INDEX(CalcWitB,$N1094)=0,"",INDEX(CalcWitB,$N1094)),"")</f>
        <v/>
      </c>
      <c r="I1094" s="29">
        <f>IF($M1094&lt;&gt;"",INDEX(CalcAmtA,$M1094),"")</f>
        <v/>
      </c>
      <c r="J1094" s="29">
        <f>IF($B1094="","",IF($J1093="",$C$8,$J1093)+IF($I1094="",0,$I1094)+IF($E1094="",0,$E1094)-IF($H1094="",0,$H1094))</f>
        <v/>
      </c>
      <c r="K1094" s="30">
        <f>IF($M1094&lt;&gt;"",IF(INDEX(CalcNoteA,$M1094)="","—",INDEX(CalcNoteA,$M1094)),IF($N1094&lt;&gt;"",IF(INDEX(CalcNoteB,$N1094)="","—",INDEX(CalcNoteB,$N1094)),""))</f>
        <v/>
      </c>
      <c r="M1094">
        <f>IFERROR(MATCH($C$5&amp;"|"&amp;RIGHT("000000"&amp;1078,6),CalcRankKeyA,0),"")</f>
        <v/>
      </c>
      <c r="N1094">
        <f>IFERROR(MATCH($C$5&amp;"|"&amp;RIGHT("000000"&amp;1078,6),CalcRankKeyB,0),"")</f>
        <v/>
      </c>
    </row>
    <row r="1095">
      <c r="A1095" s="21" t="n">
        <v>1079</v>
      </c>
      <c r="B1095" s="22">
        <f>IF(AND($M1095="",$N1095=""),"",IF($M1095&lt;&gt;"",INDEX(CalcDateA,$M1095),INDEX(CalcDateB,$N1095)))</f>
        <v/>
      </c>
      <c r="C1095" s="22">
        <f>IF($M1095&lt;&gt;"","خرید سبد",IF($N1095&lt;&gt;"",IF(N(INDEX(CalcDepB,$N1095))&gt;0,"دریافت بانکی","پرداخت بانکی"),""))</f>
        <v/>
      </c>
      <c r="D1095" s="22">
        <f>IF($M1095&lt;&gt;"",IF(INDEX(CalcDocA,$M1095)="","—",INDEX(CalcDocA,$M1095)),IF($N1095&lt;&gt;"",INDEX(CalcBankB,$N1095),""))</f>
        <v/>
      </c>
      <c r="E1095" s="23">
        <f>IF($N1095&lt;&gt;"",IF(INDEX(CalcDepB,$N1095)=0,"",INDEX(CalcDepB,$N1095)),"")</f>
        <v/>
      </c>
      <c r="F1095" s="23">
        <f>IF($M1095&lt;&gt;"",IF(INDEX(CalcQtyA,$M1095)=0,"",INDEX(CalcQtyA,$M1095)),"")</f>
        <v/>
      </c>
      <c r="G1095" s="23">
        <f>IF($M1095&lt;&gt;"",IF(INDEX(CalcPriceA,$M1095)=0,"",INDEX(CalcPriceA,$M1095)),"")</f>
        <v/>
      </c>
      <c r="H1095" s="23">
        <f>IF($N1095&lt;&gt;"",IF(INDEX(CalcWitB,$N1095)=0,"",INDEX(CalcWitB,$N1095)),"")</f>
        <v/>
      </c>
      <c r="I1095" s="24">
        <f>IF($M1095&lt;&gt;"",INDEX(CalcAmtA,$M1095),"")</f>
        <v/>
      </c>
      <c r="J1095" s="24">
        <f>IF($B1095="","",IF($J1094="",$C$8,$J1094)+IF($I1095="",0,$I1095)+IF($E1095="",0,$E1095)-IF($H1095="",0,$H1095))</f>
        <v/>
      </c>
      <c r="K1095" s="25">
        <f>IF($M1095&lt;&gt;"",IF(INDEX(CalcNoteA,$M1095)="","—",INDEX(CalcNoteA,$M1095)),IF($N1095&lt;&gt;"",IF(INDEX(CalcNoteB,$N1095)="","—",INDEX(CalcNoteB,$N1095)),""))</f>
        <v/>
      </c>
      <c r="M1095">
        <f>IFERROR(MATCH($C$5&amp;"|"&amp;RIGHT("000000"&amp;1079,6),CalcRankKeyA,0),"")</f>
        <v/>
      </c>
      <c r="N1095">
        <f>IFERROR(MATCH($C$5&amp;"|"&amp;RIGHT("000000"&amp;1079,6),CalcRankKeyB,0),"")</f>
        <v/>
      </c>
    </row>
    <row r="1096">
      <c r="A1096" s="26" t="n">
        <v>1080</v>
      </c>
      <c r="B1096" s="27">
        <f>IF(AND($M1096="",$N1096=""),"",IF($M1096&lt;&gt;"",INDEX(CalcDateA,$M1096),INDEX(CalcDateB,$N1096)))</f>
        <v/>
      </c>
      <c r="C1096" s="27">
        <f>IF($M1096&lt;&gt;"","خرید سبد",IF($N1096&lt;&gt;"",IF(N(INDEX(CalcDepB,$N1096))&gt;0,"دریافت بانکی","پرداخت بانکی"),""))</f>
        <v/>
      </c>
      <c r="D1096" s="27">
        <f>IF($M1096&lt;&gt;"",IF(INDEX(CalcDocA,$M1096)="","—",INDEX(CalcDocA,$M1096)),IF($N1096&lt;&gt;"",INDEX(CalcBankB,$N1096),""))</f>
        <v/>
      </c>
      <c r="E1096" s="28">
        <f>IF($N1096&lt;&gt;"",IF(INDEX(CalcDepB,$N1096)=0,"",INDEX(CalcDepB,$N1096)),"")</f>
        <v/>
      </c>
      <c r="F1096" s="28">
        <f>IF($M1096&lt;&gt;"",IF(INDEX(CalcQtyA,$M1096)=0,"",INDEX(CalcQtyA,$M1096)),"")</f>
        <v/>
      </c>
      <c r="G1096" s="28">
        <f>IF($M1096&lt;&gt;"",IF(INDEX(CalcPriceA,$M1096)=0,"",INDEX(CalcPriceA,$M1096)),"")</f>
        <v/>
      </c>
      <c r="H1096" s="28">
        <f>IF($N1096&lt;&gt;"",IF(INDEX(CalcWitB,$N1096)=0,"",INDEX(CalcWitB,$N1096)),"")</f>
        <v/>
      </c>
      <c r="I1096" s="29">
        <f>IF($M1096&lt;&gt;"",INDEX(CalcAmtA,$M1096),"")</f>
        <v/>
      </c>
      <c r="J1096" s="29">
        <f>IF($B1096="","",IF($J1095="",$C$8,$J1095)+IF($I1096="",0,$I1096)+IF($E1096="",0,$E1096)-IF($H1096="",0,$H1096))</f>
        <v/>
      </c>
      <c r="K1096" s="30">
        <f>IF($M1096&lt;&gt;"",IF(INDEX(CalcNoteA,$M1096)="","—",INDEX(CalcNoteA,$M1096)),IF($N1096&lt;&gt;"",IF(INDEX(CalcNoteB,$N1096)="","—",INDEX(CalcNoteB,$N1096)),""))</f>
        <v/>
      </c>
      <c r="M1096">
        <f>IFERROR(MATCH($C$5&amp;"|"&amp;RIGHT("000000"&amp;1080,6),CalcRankKeyA,0),"")</f>
        <v/>
      </c>
      <c r="N1096">
        <f>IFERROR(MATCH($C$5&amp;"|"&amp;RIGHT("000000"&amp;1080,6),CalcRankKeyB,0),"")</f>
        <v/>
      </c>
    </row>
    <row r="1097">
      <c r="A1097" s="21" t="n">
        <v>1081</v>
      </c>
      <c r="B1097" s="22">
        <f>IF(AND($M1097="",$N1097=""),"",IF($M1097&lt;&gt;"",INDEX(CalcDateA,$M1097),INDEX(CalcDateB,$N1097)))</f>
        <v/>
      </c>
      <c r="C1097" s="22">
        <f>IF($M1097&lt;&gt;"","خرید سبد",IF($N1097&lt;&gt;"",IF(N(INDEX(CalcDepB,$N1097))&gt;0,"دریافت بانکی","پرداخت بانکی"),""))</f>
        <v/>
      </c>
      <c r="D1097" s="22">
        <f>IF($M1097&lt;&gt;"",IF(INDEX(CalcDocA,$M1097)="","—",INDEX(CalcDocA,$M1097)),IF($N1097&lt;&gt;"",INDEX(CalcBankB,$N1097),""))</f>
        <v/>
      </c>
      <c r="E1097" s="23">
        <f>IF($N1097&lt;&gt;"",IF(INDEX(CalcDepB,$N1097)=0,"",INDEX(CalcDepB,$N1097)),"")</f>
        <v/>
      </c>
      <c r="F1097" s="23">
        <f>IF($M1097&lt;&gt;"",IF(INDEX(CalcQtyA,$M1097)=0,"",INDEX(CalcQtyA,$M1097)),"")</f>
        <v/>
      </c>
      <c r="G1097" s="23">
        <f>IF($M1097&lt;&gt;"",IF(INDEX(CalcPriceA,$M1097)=0,"",INDEX(CalcPriceA,$M1097)),"")</f>
        <v/>
      </c>
      <c r="H1097" s="23">
        <f>IF($N1097&lt;&gt;"",IF(INDEX(CalcWitB,$N1097)=0,"",INDEX(CalcWitB,$N1097)),"")</f>
        <v/>
      </c>
      <c r="I1097" s="24">
        <f>IF($M1097&lt;&gt;"",INDEX(CalcAmtA,$M1097),"")</f>
        <v/>
      </c>
      <c r="J1097" s="24">
        <f>IF($B1097="","",IF($J1096="",$C$8,$J1096)+IF($I1097="",0,$I1097)+IF($E1097="",0,$E1097)-IF($H1097="",0,$H1097))</f>
        <v/>
      </c>
      <c r="K1097" s="25">
        <f>IF($M1097&lt;&gt;"",IF(INDEX(CalcNoteA,$M1097)="","—",INDEX(CalcNoteA,$M1097)),IF($N1097&lt;&gt;"",IF(INDEX(CalcNoteB,$N1097)="","—",INDEX(CalcNoteB,$N1097)),""))</f>
        <v/>
      </c>
      <c r="M1097">
        <f>IFERROR(MATCH($C$5&amp;"|"&amp;RIGHT("000000"&amp;1081,6),CalcRankKeyA,0),"")</f>
        <v/>
      </c>
      <c r="N1097">
        <f>IFERROR(MATCH($C$5&amp;"|"&amp;RIGHT("000000"&amp;1081,6),CalcRankKeyB,0),"")</f>
        <v/>
      </c>
    </row>
    <row r="1098">
      <c r="A1098" s="26" t="n">
        <v>1082</v>
      </c>
      <c r="B1098" s="27">
        <f>IF(AND($M1098="",$N1098=""),"",IF($M1098&lt;&gt;"",INDEX(CalcDateA,$M1098),INDEX(CalcDateB,$N1098)))</f>
        <v/>
      </c>
      <c r="C1098" s="27">
        <f>IF($M1098&lt;&gt;"","خرید سبد",IF($N1098&lt;&gt;"",IF(N(INDEX(CalcDepB,$N1098))&gt;0,"دریافت بانکی","پرداخت بانکی"),""))</f>
        <v/>
      </c>
      <c r="D1098" s="27">
        <f>IF($M1098&lt;&gt;"",IF(INDEX(CalcDocA,$M1098)="","—",INDEX(CalcDocA,$M1098)),IF($N1098&lt;&gt;"",INDEX(CalcBankB,$N1098),""))</f>
        <v/>
      </c>
      <c r="E1098" s="28">
        <f>IF($N1098&lt;&gt;"",IF(INDEX(CalcDepB,$N1098)=0,"",INDEX(CalcDepB,$N1098)),"")</f>
        <v/>
      </c>
      <c r="F1098" s="28">
        <f>IF($M1098&lt;&gt;"",IF(INDEX(CalcQtyA,$M1098)=0,"",INDEX(CalcQtyA,$M1098)),"")</f>
        <v/>
      </c>
      <c r="G1098" s="28">
        <f>IF($M1098&lt;&gt;"",IF(INDEX(CalcPriceA,$M1098)=0,"",INDEX(CalcPriceA,$M1098)),"")</f>
        <v/>
      </c>
      <c r="H1098" s="28">
        <f>IF($N1098&lt;&gt;"",IF(INDEX(CalcWitB,$N1098)=0,"",INDEX(CalcWitB,$N1098)),"")</f>
        <v/>
      </c>
      <c r="I1098" s="29">
        <f>IF($M1098&lt;&gt;"",INDEX(CalcAmtA,$M1098),"")</f>
        <v/>
      </c>
      <c r="J1098" s="29">
        <f>IF($B1098="","",IF($J1097="",$C$8,$J1097)+IF($I1098="",0,$I1098)+IF($E1098="",0,$E1098)-IF($H1098="",0,$H1098))</f>
        <v/>
      </c>
      <c r="K1098" s="30">
        <f>IF($M1098&lt;&gt;"",IF(INDEX(CalcNoteA,$M1098)="","—",INDEX(CalcNoteA,$M1098)),IF($N1098&lt;&gt;"",IF(INDEX(CalcNoteB,$N1098)="","—",INDEX(CalcNoteB,$N1098)),""))</f>
        <v/>
      </c>
      <c r="M1098">
        <f>IFERROR(MATCH($C$5&amp;"|"&amp;RIGHT("000000"&amp;1082,6),CalcRankKeyA,0),"")</f>
        <v/>
      </c>
      <c r="N1098">
        <f>IFERROR(MATCH($C$5&amp;"|"&amp;RIGHT("000000"&amp;1082,6),CalcRankKeyB,0),"")</f>
        <v/>
      </c>
    </row>
    <row r="1099">
      <c r="A1099" s="21" t="n">
        <v>1083</v>
      </c>
      <c r="B1099" s="22">
        <f>IF(AND($M1099="",$N1099=""),"",IF($M1099&lt;&gt;"",INDEX(CalcDateA,$M1099),INDEX(CalcDateB,$N1099)))</f>
        <v/>
      </c>
      <c r="C1099" s="22">
        <f>IF($M1099&lt;&gt;"","خرید سبد",IF($N1099&lt;&gt;"",IF(N(INDEX(CalcDepB,$N1099))&gt;0,"دریافت بانکی","پرداخت بانکی"),""))</f>
        <v/>
      </c>
      <c r="D1099" s="22">
        <f>IF($M1099&lt;&gt;"",IF(INDEX(CalcDocA,$M1099)="","—",INDEX(CalcDocA,$M1099)),IF($N1099&lt;&gt;"",INDEX(CalcBankB,$N1099),""))</f>
        <v/>
      </c>
      <c r="E1099" s="23">
        <f>IF($N1099&lt;&gt;"",IF(INDEX(CalcDepB,$N1099)=0,"",INDEX(CalcDepB,$N1099)),"")</f>
        <v/>
      </c>
      <c r="F1099" s="23">
        <f>IF($M1099&lt;&gt;"",IF(INDEX(CalcQtyA,$M1099)=0,"",INDEX(CalcQtyA,$M1099)),"")</f>
        <v/>
      </c>
      <c r="G1099" s="23">
        <f>IF($M1099&lt;&gt;"",IF(INDEX(CalcPriceA,$M1099)=0,"",INDEX(CalcPriceA,$M1099)),"")</f>
        <v/>
      </c>
      <c r="H1099" s="23">
        <f>IF($N1099&lt;&gt;"",IF(INDEX(CalcWitB,$N1099)=0,"",INDEX(CalcWitB,$N1099)),"")</f>
        <v/>
      </c>
      <c r="I1099" s="24">
        <f>IF($M1099&lt;&gt;"",INDEX(CalcAmtA,$M1099),"")</f>
        <v/>
      </c>
      <c r="J1099" s="24">
        <f>IF($B1099="","",IF($J1098="",$C$8,$J1098)+IF($I1099="",0,$I1099)+IF($E1099="",0,$E1099)-IF($H1099="",0,$H1099))</f>
        <v/>
      </c>
      <c r="K1099" s="25">
        <f>IF($M1099&lt;&gt;"",IF(INDEX(CalcNoteA,$M1099)="","—",INDEX(CalcNoteA,$M1099)),IF($N1099&lt;&gt;"",IF(INDEX(CalcNoteB,$N1099)="","—",INDEX(CalcNoteB,$N1099)),""))</f>
        <v/>
      </c>
      <c r="M1099">
        <f>IFERROR(MATCH($C$5&amp;"|"&amp;RIGHT("000000"&amp;1083,6),CalcRankKeyA,0),"")</f>
        <v/>
      </c>
      <c r="N1099">
        <f>IFERROR(MATCH($C$5&amp;"|"&amp;RIGHT("000000"&amp;1083,6),CalcRankKeyB,0),"")</f>
        <v/>
      </c>
    </row>
    <row r="1100">
      <c r="A1100" s="26" t="n">
        <v>1084</v>
      </c>
      <c r="B1100" s="27">
        <f>IF(AND($M1100="",$N1100=""),"",IF($M1100&lt;&gt;"",INDEX(CalcDateA,$M1100),INDEX(CalcDateB,$N1100)))</f>
        <v/>
      </c>
      <c r="C1100" s="27">
        <f>IF($M1100&lt;&gt;"","خرید سبد",IF($N1100&lt;&gt;"",IF(N(INDEX(CalcDepB,$N1100))&gt;0,"دریافت بانکی","پرداخت بانکی"),""))</f>
        <v/>
      </c>
      <c r="D1100" s="27">
        <f>IF($M1100&lt;&gt;"",IF(INDEX(CalcDocA,$M1100)="","—",INDEX(CalcDocA,$M1100)),IF($N1100&lt;&gt;"",INDEX(CalcBankB,$N1100),""))</f>
        <v/>
      </c>
      <c r="E1100" s="28">
        <f>IF($N1100&lt;&gt;"",IF(INDEX(CalcDepB,$N1100)=0,"",INDEX(CalcDepB,$N1100)),"")</f>
        <v/>
      </c>
      <c r="F1100" s="28">
        <f>IF($M1100&lt;&gt;"",IF(INDEX(CalcQtyA,$M1100)=0,"",INDEX(CalcQtyA,$M1100)),"")</f>
        <v/>
      </c>
      <c r="G1100" s="28">
        <f>IF($M1100&lt;&gt;"",IF(INDEX(CalcPriceA,$M1100)=0,"",INDEX(CalcPriceA,$M1100)),"")</f>
        <v/>
      </c>
      <c r="H1100" s="28">
        <f>IF($N1100&lt;&gt;"",IF(INDEX(CalcWitB,$N1100)=0,"",INDEX(CalcWitB,$N1100)),"")</f>
        <v/>
      </c>
      <c r="I1100" s="29">
        <f>IF($M1100&lt;&gt;"",INDEX(CalcAmtA,$M1100),"")</f>
        <v/>
      </c>
      <c r="J1100" s="29">
        <f>IF($B1100="","",IF($J1099="",$C$8,$J1099)+IF($I1100="",0,$I1100)+IF($E1100="",0,$E1100)-IF($H1100="",0,$H1100))</f>
        <v/>
      </c>
      <c r="K1100" s="30">
        <f>IF($M1100&lt;&gt;"",IF(INDEX(CalcNoteA,$M1100)="","—",INDEX(CalcNoteA,$M1100)),IF($N1100&lt;&gt;"",IF(INDEX(CalcNoteB,$N1100)="","—",INDEX(CalcNoteB,$N1100)),""))</f>
        <v/>
      </c>
      <c r="M1100">
        <f>IFERROR(MATCH($C$5&amp;"|"&amp;RIGHT("000000"&amp;1084,6),CalcRankKeyA,0),"")</f>
        <v/>
      </c>
      <c r="N1100">
        <f>IFERROR(MATCH($C$5&amp;"|"&amp;RIGHT("000000"&amp;1084,6),CalcRankKeyB,0),"")</f>
        <v/>
      </c>
    </row>
    <row r="1101">
      <c r="A1101" s="21" t="n">
        <v>1085</v>
      </c>
      <c r="B1101" s="22">
        <f>IF(AND($M1101="",$N1101=""),"",IF($M1101&lt;&gt;"",INDEX(CalcDateA,$M1101),INDEX(CalcDateB,$N1101)))</f>
        <v/>
      </c>
      <c r="C1101" s="22">
        <f>IF($M1101&lt;&gt;"","خرید سبد",IF($N1101&lt;&gt;"",IF(N(INDEX(CalcDepB,$N1101))&gt;0,"دریافت بانکی","پرداخت بانکی"),""))</f>
        <v/>
      </c>
      <c r="D1101" s="22">
        <f>IF($M1101&lt;&gt;"",IF(INDEX(CalcDocA,$M1101)="","—",INDEX(CalcDocA,$M1101)),IF($N1101&lt;&gt;"",INDEX(CalcBankB,$N1101),""))</f>
        <v/>
      </c>
      <c r="E1101" s="23">
        <f>IF($N1101&lt;&gt;"",IF(INDEX(CalcDepB,$N1101)=0,"",INDEX(CalcDepB,$N1101)),"")</f>
        <v/>
      </c>
      <c r="F1101" s="23">
        <f>IF($M1101&lt;&gt;"",IF(INDEX(CalcQtyA,$M1101)=0,"",INDEX(CalcQtyA,$M1101)),"")</f>
        <v/>
      </c>
      <c r="G1101" s="23">
        <f>IF($M1101&lt;&gt;"",IF(INDEX(CalcPriceA,$M1101)=0,"",INDEX(CalcPriceA,$M1101)),"")</f>
        <v/>
      </c>
      <c r="H1101" s="23">
        <f>IF($N1101&lt;&gt;"",IF(INDEX(CalcWitB,$N1101)=0,"",INDEX(CalcWitB,$N1101)),"")</f>
        <v/>
      </c>
      <c r="I1101" s="24">
        <f>IF($M1101&lt;&gt;"",INDEX(CalcAmtA,$M1101),"")</f>
        <v/>
      </c>
      <c r="J1101" s="24">
        <f>IF($B1101="","",IF($J1100="",$C$8,$J1100)+IF($I1101="",0,$I1101)+IF($E1101="",0,$E1101)-IF($H1101="",0,$H1101))</f>
        <v/>
      </c>
      <c r="K1101" s="25">
        <f>IF($M1101&lt;&gt;"",IF(INDEX(CalcNoteA,$M1101)="","—",INDEX(CalcNoteA,$M1101)),IF($N1101&lt;&gt;"",IF(INDEX(CalcNoteB,$N1101)="","—",INDEX(CalcNoteB,$N1101)),""))</f>
        <v/>
      </c>
      <c r="M1101">
        <f>IFERROR(MATCH($C$5&amp;"|"&amp;RIGHT("000000"&amp;1085,6),CalcRankKeyA,0),"")</f>
        <v/>
      </c>
      <c r="N1101">
        <f>IFERROR(MATCH($C$5&amp;"|"&amp;RIGHT("000000"&amp;1085,6),CalcRankKeyB,0),"")</f>
        <v/>
      </c>
    </row>
    <row r="1102">
      <c r="A1102" s="26" t="n">
        <v>1086</v>
      </c>
      <c r="B1102" s="27">
        <f>IF(AND($M1102="",$N1102=""),"",IF($M1102&lt;&gt;"",INDEX(CalcDateA,$M1102),INDEX(CalcDateB,$N1102)))</f>
        <v/>
      </c>
      <c r="C1102" s="27">
        <f>IF($M1102&lt;&gt;"","خرید سبد",IF($N1102&lt;&gt;"",IF(N(INDEX(CalcDepB,$N1102))&gt;0,"دریافت بانکی","پرداخت بانکی"),""))</f>
        <v/>
      </c>
      <c r="D1102" s="27">
        <f>IF($M1102&lt;&gt;"",IF(INDEX(CalcDocA,$M1102)="","—",INDEX(CalcDocA,$M1102)),IF($N1102&lt;&gt;"",INDEX(CalcBankB,$N1102),""))</f>
        <v/>
      </c>
      <c r="E1102" s="28">
        <f>IF($N1102&lt;&gt;"",IF(INDEX(CalcDepB,$N1102)=0,"",INDEX(CalcDepB,$N1102)),"")</f>
        <v/>
      </c>
      <c r="F1102" s="28">
        <f>IF($M1102&lt;&gt;"",IF(INDEX(CalcQtyA,$M1102)=0,"",INDEX(CalcQtyA,$M1102)),"")</f>
        <v/>
      </c>
      <c r="G1102" s="28">
        <f>IF($M1102&lt;&gt;"",IF(INDEX(CalcPriceA,$M1102)=0,"",INDEX(CalcPriceA,$M1102)),"")</f>
        <v/>
      </c>
      <c r="H1102" s="28">
        <f>IF($N1102&lt;&gt;"",IF(INDEX(CalcWitB,$N1102)=0,"",INDEX(CalcWitB,$N1102)),"")</f>
        <v/>
      </c>
      <c r="I1102" s="29">
        <f>IF($M1102&lt;&gt;"",INDEX(CalcAmtA,$M1102),"")</f>
        <v/>
      </c>
      <c r="J1102" s="29">
        <f>IF($B1102="","",IF($J1101="",$C$8,$J1101)+IF($I1102="",0,$I1102)+IF($E1102="",0,$E1102)-IF($H1102="",0,$H1102))</f>
        <v/>
      </c>
      <c r="K1102" s="30">
        <f>IF($M1102&lt;&gt;"",IF(INDEX(CalcNoteA,$M1102)="","—",INDEX(CalcNoteA,$M1102)),IF($N1102&lt;&gt;"",IF(INDEX(CalcNoteB,$N1102)="","—",INDEX(CalcNoteB,$N1102)),""))</f>
        <v/>
      </c>
      <c r="M1102">
        <f>IFERROR(MATCH($C$5&amp;"|"&amp;RIGHT("000000"&amp;1086,6),CalcRankKeyA,0),"")</f>
        <v/>
      </c>
      <c r="N1102">
        <f>IFERROR(MATCH($C$5&amp;"|"&amp;RIGHT("000000"&amp;1086,6),CalcRankKeyB,0),"")</f>
        <v/>
      </c>
    </row>
    <row r="1103">
      <c r="A1103" s="21" t="n">
        <v>1087</v>
      </c>
      <c r="B1103" s="22">
        <f>IF(AND($M1103="",$N1103=""),"",IF($M1103&lt;&gt;"",INDEX(CalcDateA,$M1103),INDEX(CalcDateB,$N1103)))</f>
        <v/>
      </c>
      <c r="C1103" s="22">
        <f>IF($M1103&lt;&gt;"","خرید سبد",IF($N1103&lt;&gt;"",IF(N(INDEX(CalcDepB,$N1103))&gt;0,"دریافت بانکی","پرداخت بانکی"),""))</f>
        <v/>
      </c>
      <c r="D1103" s="22">
        <f>IF($M1103&lt;&gt;"",IF(INDEX(CalcDocA,$M1103)="","—",INDEX(CalcDocA,$M1103)),IF($N1103&lt;&gt;"",INDEX(CalcBankB,$N1103),""))</f>
        <v/>
      </c>
      <c r="E1103" s="23">
        <f>IF($N1103&lt;&gt;"",IF(INDEX(CalcDepB,$N1103)=0,"",INDEX(CalcDepB,$N1103)),"")</f>
        <v/>
      </c>
      <c r="F1103" s="23">
        <f>IF($M1103&lt;&gt;"",IF(INDEX(CalcQtyA,$M1103)=0,"",INDEX(CalcQtyA,$M1103)),"")</f>
        <v/>
      </c>
      <c r="G1103" s="23">
        <f>IF($M1103&lt;&gt;"",IF(INDEX(CalcPriceA,$M1103)=0,"",INDEX(CalcPriceA,$M1103)),"")</f>
        <v/>
      </c>
      <c r="H1103" s="23">
        <f>IF($N1103&lt;&gt;"",IF(INDEX(CalcWitB,$N1103)=0,"",INDEX(CalcWitB,$N1103)),"")</f>
        <v/>
      </c>
      <c r="I1103" s="24">
        <f>IF($M1103&lt;&gt;"",INDEX(CalcAmtA,$M1103),"")</f>
        <v/>
      </c>
      <c r="J1103" s="24">
        <f>IF($B1103="","",IF($J1102="",$C$8,$J1102)+IF($I1103="",0,$I1103)+IF($E1103="",0,$E1103)-IF($H1103="",0,$H1103))</f>
        <v/>
      </c>
      <c r="K1103" s="25">
        <f>IF($M1103&lt;&gt;"",IF(INDEX(CalcNoteA,$M1103)="","—",INDEX(CalcNoteA,$M1103)),IF($N1103&lt;&gt;"",IF(INDEX(CalcNoteB,$N1103)="","—",INDEX(CalcNoteB,$N1103)),""))</f>
        <v/>
      </c>
      <c r="M1103">
        <f>IFERROR(MATCH($C$5&amp;"|"&amp;RIGHT("000000"&amp;1087,6),CalcRankKeyA,0),"")</f>
        <v/>
      </c>
      <c r="N1103">
        <f>IFERROR(MATCH($C$5&amp;"|"&amp;RIGHT("000000"&amp;1087,6),CalcRankKeyB,0),"")</f>
        <v/>
      </c>
    </row>
    <row r="1104">
      <c r="A1104" s="26" t="n">
        <v>1088</v>
      </c>
      <c r="B1104" s="27">
        <f>IF(AND($M1104="",$N1104=""),"",IF($M1104&lt;&gt;"",INDEX(CalcDateA,$M1104),INDEX(CalcDateB,$N1104)))</f>
        <v/>
      </c>
      <c r="C1104" s="27">
        <f>IF($M1104&lt;&gt;"","خرید سبد",IF($N1104&lt;&gt;"",IF(N(INDEX(CalcDepB,$N1104))&gt;0,"دریافت بانکی","پرداخت بانکی"),""))</f>
        <v/>
      </c>
      <c r="D1104" s="27">
        <f>IF($M1104&lt;&gt;"",IF(INDEX(CalcDocA,$M1104)="","—",INDEX(CalcDocA,$M1104)),IF($N1104&lt;&gt;"",INDEX(CalcBankB,$N1104),""))</f>
        <v/>
      </c>
      <c r="E1104" s="28">
        <f>IF($N1104&lt;&gt;"",IF(INDEX(CalcDepB,$N1104)=0,"",INDEX(CalcDepB,$N1104)),"")</f>
        <v/>
      </c>
      <c r="F1104" s="28">
        <f>IF($M1104&lt;&gt;"",IF(INDEX(CalcQtyA,$M1104)=0,"",INDEX(CalcQtyA,$M1104)),"")</f>
        <v/>
      </c>
      <c r="G1104" s="28">
        <f>IF($M1104&lt;&gt;"",IF(INDEX(CalcPriceA,$M1104)=0,"",INDEX(CalcPriceA,$M1104)),"")</f>
        <v/>
      </c>
      <c r="H1104" s="28">
        <f>IF($N1104&lt;&gt;"",IF(INDEX(CalcWitB,$N1104)=0,"",INDEX(CalcWitB,$N1104)),"")</f>
        <v/>
      </c>
      <c r="I1104" s="29">
        <f>IF($M1104&lt;&gt;"",INDEX(CalcAmtA,$M1104),"")</f>
        <v/>
      </c>
      <c r="J1104" s="29">
        <f>IF($B1104="","",IF($J1103="",$C$8,$J1103)+IF($I1104="",0,$I1104)+IF($E1104="",0,$E1104)-IF($H1104="",0,$H1104))</f>
        <v/>
      </c>
      <c r="K1104" s="30">
        <f>IF($M1104&lt;&gt;"",IF(INDEX(CalcNoteA,$M1104)="","—",INDEX(CalcNoteA,$M1104)),IF($N1104&lt;&gt;"",IF(INDEX(CalcNoteB,$N1104)="","—",INDEX(CalcNoteB,$N1104)),""))</f>
        <v/>
      </c>
      <c r="M1104">
        <f>IFERROR(MATCH($C$5&amp;"|"&amp;RIGHT("000000"&amp;1088,6),CalcRankKeyA,0),"")</f>
        <v/>
      </c>
      <c r="N1104">
        <f>IFERROR(MATCH($C$5&amp;"|"&amp;RIGHT("000000"&amp;1088,6),CalcRankKeyB,0),"")</f>
        <v/>
      </c>
    </row>
    <row r="1105">
      <c r="A1105" s="21" t="n">
        <v>1089</v>
      </c>
      <c r="B1105" s="22">
        <f>IF(AND($M1105="",$N1105=""),"",IF($M1105&lt;&gt;"",INDEX(CalcDateA,$M1105),INDEX(CalcDateB,$N1105)))</f>
        <v/>
      </c>
      <c r="C1105" s="22">
        <f>IF($M1105&lt;&gt;"","خرید سبد",IF($N1105&lt;&gt;"",IF(N(INDEX(CalcDepB,$N1105))&gt;0,"دریافت بانکی","پرداخت بانکی"),""))</f>
        <v/>
      </c>
      <c r="D1105" s="22">
        <f>IF($M1105&lt;&gt;"",IF(INDEX(CalcDocA,$M1105)="","—",INDEX(CalcDocA,$M1105)),IF($N1105&lt;&gt;"",INDEX(CalcBankB,$N1105),""))</f>
        <v/>
      </c>
      <c r="E1105" s="23">
        <f>IF($N1105&lt;&gt;"",IF(INDEX(CalcDepB,$N1105)=0,"",INDEX(CalcDepB,$N1105)),"")</f>
        <v/>
      </c>
      <c r="F1105" s="23">
        <f>IF($M1105&lt;&gt;"",IF(INDEX(CalcQtyA,$M1105)=0,"",INDEX(CalcQtyA,$M1105)),"")</f>
        <v/>
      </c>
      <c r="G1105" s="23">
        <f>IF($M1105&lt;&gt;"",IF(INDEX(CalcPriceA,$M1105)=0,"",INDEX(CalcPriceA,$M1105)),"")</f>
        <v/>
      </c>
      <c r="H1105" s="23">
        <f>IF($N1105&lt;&gt;"",IF(INDEX(CalcWitB,$N1105)=0,"",INDEX(CalcWitB,$N1105)),"")</f>
        <v/>
      </c>
      <c r="I1105" s="24">
        <f>IF($M1105&lt;&gt;"",INDEX(CalcAmtA,$M1105),"")</f>
        <v/>
      </c>
      <c r="J1105" s="24">
        <f>IF($B1105="","",IF($J1104="",$C$8,$J1104)+IF($I1105="",0,$I1105)+IF($E1105="",0,$E1105)-IF($H1105="",0,$H1105))</f>
        <v/>
      </c>
      <c r="K1105" s="25">
        <f>IF($M1105&lt;&gt;"",IF(INDEX(CalcNoteA,$M1105)="","—",INDEX(CalcNoteA,$M1105)),IF($N1105&lt;&gt;"",IF(INDEX(CalcNoteB,$N1105)="","—",INDEX(CalcNoteB,$N1105)),""))</f>
        <v/>
      </c>
      <c r="M1105">
        <f>IFERROR(MATCH($C$5&amp;"|"&amp;RIGHT("000000"&amp;1089,6),CalcRankKeyA,0),"")</f>
        <v/>
      </c>
      <c r="N1105">
        <f>IFERROR(MATCH($C$5&amp;"|"&amp;RIGHT("000000"&amp;1089,6),CalcRankKeyB,0),"")</f>
        <v/>
      </c>
    </row>
    <row r="1106">
      <c r="A1106" s="26" t="n">
        <v>1090</v>
      </c>
      <c r="B1106" s="27">
        <f>IF(AND($M1106="",$N1106=""),"",IF($M1106&lt;&gt;"",INDEX(CalcDateA,$M1106),INDEX(CalcDateB,$N1106)))</f>
        <v/>
      </c>
      <c r="C1106" s="27">
        <f>IF($M1106&lt;&gt;"","خرید سبد",IF($N1106&lt;&gt;"",IF(N(INDEX(CalcDepB,$N1106))&gt;0,"دریافت بانکی","پرداخت بانکی"),""))</f>
        <v/>
      </c>
      <c r="D1106" s="27">
        <f>IF($M1106&lt;&gt;"",IF(INDEX(CalcDocA,$M1106)="","—",INDEX(CalcDocA,$M1106)),IF($N1106&lt;&gt;"",INDEX(CalcBankB,$N1106),""))</f>
        <v/>
      </c>
      <c r="E1106" s="28">
        <f>IF($N1106&lt;&gt;"",IF(INDEX(CalcDepB,$N1106)=0,"",INDEX(CalcDepB,$N1106)),"")</f>
        <v/>
      </c>
      <c r="F1106" s="28">
        <f>IF($M1106&lt;&gt;"",IF(INDEX(CalcQtyA,$M1106)=0,"",INDEX(CalcQtyA,$M1106)),"")</f>
        <v/>
      </c>
      <c r="G1106" s="28">
        <f>IF($M1106&lt;&gt;"",IF(INDEX(CalcPriceA,$M1106)=0,"",INDEX(CalcPriceA,$M1106)),"")</f>
        <v/>
      </c>
      <c r="H1106" s="28">
        <f>IF($N1106&lt;&gt;"",IF(INDEX(CalcWitB,$N1106)=0,"",INDEX(CalcWitB,$N1106)),"")</f>
        <v/>
      </c>
      <c r="I1106" s="29">
        <f>IF($M1106&lt;&gt;"",INDEX(CalcAmtA,$M1106),"")</f>
        <v/>
      </c>
      <c r="J1106" s="29">
        <f>IF($B1106="","",IF($J1105="",$C$8,$J1105)+IF($I1106="",0,$I1106)+IF($E1106="",0,$E1106)-IF($H1106="",0,$H1106))</f>
        <v/>
      </c>
      <c r="K1106" s="30">
        <f>IF($M1106&lt;&gt;"",IF(INDEX(CalcNoteA,$M1106)="","—",INDEX(CalcNoteA,$M1106)),IF($N1106&lt;&gt;"",IF(INDEX(CalcNoteB,$N1106)="","—",INDEX(CalcNoteB,$N1106)),""))</f>
        <v/>
      </c>
      <c r="M1106">
        <f>IFERROR(MATCH($C$5&amp;"|"&amp;RIGHT("000000"&amp;1090,6),CalcRankKeyA,0),"")</f>
        <v/>
      </c>
      <c r="N1106">
        <f>IFERROR(MATCH($C$5&amp;"|"&amp;RIGHT("000000"&amp;1090,6),CalcRankKeyB,0),"")</f>
        <v/>
      </c>
    </row>
    <row r="1107">
      <c r="A1107" s="21" t="n">
        <v>1091</v>
      </c>
      <c r="B1107" s="22">
        <f>IF(AND($M1107="",$N1107=""),"",IF($M1107&lt;&gt;"",INDEX(CalcDateA,$M1107),INDEX(CalcDateB,$N1107)))</f>
        <v/>
      </c>
      <c r="C1107" s="22">
        <f>IF($M1107&lt;&gt;"","خرید سبد",IF($N1107&lt;&gt;"",IF(N(INDEX(CalcDepB,$N1107))&gt;0,"دریافت بانکی","پرداخت بانکی"),""))</f>
        <v/>
      </c>
      <c r="D1107" s="22">
        <f>IF($M1107&lt;&gt;"",IF(INDEX(CalcDocA,$M1107)="","—",INDEX(CalcDocA,$M1107)),IF($N1107&lt;&gt;"",INDEX(CalcBankB,$N1107),""))</f>
        <v/>
      </c>
      <c r="E1107" s="23">
        <f>IF($N1107&lt;&gt;"",IF(INDEX(CalcDepB,$N1107)=0,"",INDEX(CalcDepB,$N1107)),"")</f>
        <v/>
      </c>
      <c r="F1107" s="23">
        <f>IF($M1107&lt;&gt;"",IF(INDEX(CalcQtyA,$M1107)=0,"",INDEX(CalcQtyA,$M1107)),"")</f>
        <v/>
      </c>
      <c r="G1107" s="23">
        <f>IF($M1107&lt;&gt;"",IF(INDEX(CalcPriceA,$M1107)=0,"",INDEX(CalcPriceA,$M1107)),"")</f>
        <v/>
      </c>
      <c r="H1107" s="23">
        <f>IF($N1107&lt;&gt;"",IF(INDEX(CalcWitB,$N1107)=0,"",INDEX(CalcWitB,$N1107)),"")</f>
        <v/>
      </c>
      <c r="I1107" s="24">
        <f>IF($M1107&lt;&gt;"",INDEX(CalcAmtA,$M1107),"")</f>
        <v/>
      </c>
      <c r="J1107" s="24">
        <f>IF($B1107="","",IF($J1106="",$C$8,$J1106)+IF($I1107="",0,$I1107)+IF($E1107="",0,$E1107)-IF($H1107="",0,$H1107))</f>
        <v/>
      </c>
      <c r="K1107" s="25">
        <f>IF($M1107&lt;&gt;"",IF(INDEX(CalcNoteA,$M1107)="","—",INDEX(CalcNoteA,$M1107)),IF($N1107&lt;&gt;"",IF(INDEX(CalcNoteB,$N1107)="","—",INDEX(CalcNoteB,$N1107)),""))</f>
        <v/>
      </c>
      <c r="M1107">
        <f>IFERROR(MATCH($C$5&amp;"|"&amp;RIGHT("000000"&amp;1091,6),CalcRankKeyA,0),"")</f>
        <v/>
      </c>
      <c r="N1107">
        <f>IFERROR(MATCH($C$5&amp;"|"&amp;RIGHT("000000"&amp;1091,6),CalcRankKeyB,0),"")</f>
        <v/>
      </c>
    </row>
    <row r="1108">
      <c r="A1108" s="26" t="n">
        <v>1092</v>
      </c>
      <c r="B1108" s="27">
        <f>IF(AND($M1108="",$N1108=""),"",IF($M1108&lt;&gt;"",INDEX(CalcDateA,$M1108),INDEX(CalcDateB,$N1108)))</f>
        <v/>
      </c>
      <c r="C1108" s="27">
        <f>IF($M1108&lt;&gt;"","خرید سبد",IF($N1108&lt;&gt;"",IF(N(INDEX(CalcDepB,$N1108))&gt;0,"دریافت بانکی","پرداخت بانکی"),""))</f>
        <v/>
      </c>
      <c r="D1108" s="27">
        <f>IF($M1108&lt;&gt;"",IF(INDEX(CalcDocA,$M1108)="","—",INDEX(CalcDocA,$M1108)),IF($N1108&lt;&gt;"",INDEX(CalcBankB,$N1108),""))</f>
        <v/>
      </c>
      <c r="E1108" s="28">
        <f>IF($N1108&lt;&gt;"",IF(INDEX(CalcDepB,$N1108)=0,"",INDEX(CalcDepB,$N1108)),"")</f>
        <v/>
      </c>
      <c r="F1108" s="28">
        <f>IF($M1108&lt;&gt;"",IF(INDEX(CalcQtyA,$M1108)=0,"",INDEX(CalcQtyA,$M1108)),"")</f>
        <v/>
      </c>
      <c r="G1108" s="28">
        <f>IF($M1108&lt;&gt;"",IF(INDEX(CalcPriceA,$M1108)=0,"",INDEX(CalcPriceA,$M1108)),"")</f>
        <v/>
      </c>
      <c r="H1108" s="28">
        <f>IF($N1108&lt;&gt;"",IF(INDEX(CalcWitB,$N1108)=0,"",INDEX(CalcWitB,$N1108)),"")</f>
        <v/>
      </c>
      <c r="I1108" s="29">
        <f>IF($M1108&lt;&gt;"",INDEX(CalcAmtA,$M1108),"")</f>
        <v/>
      </c>
      <c r="J1108" s="29">
        <f>IF($B1108="","",IF($J1107="",$C$8,$J1107)+IF($I1108="",0,$I1108)+IF($E1108="",0,$E1108)-IF($H1108="",0,$H1108))</f>
        <v/>
      </c>
      <c r="K1108" s="30">
        <f>IF($M1108&lt;&gt;"",IF(INDEX(CalcNoteA,$M1108)="","—",INDEX(CalcNoteA,$M1108)),IF($N1108&lt;&gt;"",IF(INDEX(CalcNoteB,$N1108)="","—",INDEX(CalcNoteB,$N1108)),""))</f>
        <v/>
      </c>
      <c r="M1108">
        <f>IFERROR(MATCH($C$5&amp;"|"&amp;RIGHT("000000"&amp;1092,6),CalcRankKeyA,0),"")</f>
        <v/>
      </c>
      <c r="N1108">
        <f>IFERROR(MATCH($C$5&amp;"|"&amp;RIGHT("000000"&amp;1092,6),CalcRankKeyB,0),"")</f>
        <v/>
      </c>
    </row>
    <row r="1109">
      <c r="A1109" s="21" t="n">
        <v>1093</v>
      </c>
      <c r="B1109" s="22">
        <f>IF(AND($M1109="",$N1109=""),"",IF($M1109&lt;&gt;"",INDEX(CalcDateA,$M1109),INDEX(CalcDateB,$N1109)))</f>
        <v/>
      </c>
      <c r="C1109" s="22">
        <f>IF($M1109&lt;&gt;"","خرید سبد",IF($N1109&lt;&gt;"",IF(N(INDEX(CalcDepB,$N1109))&gt;0,"دریافت بانکی","پرداخت بانکی"),""))</f>
        <v/>
      </c>
      <c r="D1109" s="22">
        <f>IF($M1109&lt;&gt;"",IF(INDEX(CalcDocA,$M1109)="","—",INDEX(CalcDocA,$M1109)),IF($N1109&lt;&gt;"",INDEX(CalcBankB,$N1109),""))</f>
        <v/>
      </c>
      <c r="E1109" s="23">
        <f>IF($N1109&lt;&gt;"",IF(INDEX(CalcDepB,$N1109)=0,"",INDEX(CalcDepB,$N1109)),"")</f>
        <v/>
      </c>
      <c r="F1109" s="23">
        <f>IF($M1109&lt;&gt;"",IF(INDEX(CalcQtyA,$M1109)=0,"",INDEX(CalcQtyA,$M1109)),"")</f>
        <v/>
      </c>
      <c r="G1109" s="23">
        <f>IF($M1109&lt;&gt;"",IF(INDEX(CalcPriceA,$M1109)=0,"",INDEX(CalcPriceA,$M1109)),"")</f>
        <v/>
      </c>
      <c r="H1109" s="23">
        <f>IF($N1109&lt;&gt;"",IF(INDEX(CalcWitB,$N1109)=0,"",INDEX(CalcWitB,$N1109)),"")</f>
        <v/>
      </c>
      <c r="I1109" s="24">
        <f>IF($M1109&lt;&gt;"",INDEX(CalcAmtA,$M1109),"")</f>
        <v/>
      </c>
      <c r="J1109" s="24">
        <f>IF($B1109="","",IF($J1108="",$C$8,$J1108)+IF($I1109="",0,$I1109)+IF($E1109="",0,$E1109)-IF($H1109="",0,$H1109))</f>
        <v/>
      </c>
      <c r="K1109" s="25">
        <f>IF($M1109&lt;&gt;"",IF(INDEX(CalcNoteA,$M1109)="","—",INDEX(CalcNoteA,$M1109)),IF($N1109&lt;&gt;"",IF(INDEX(CalcNoteB,$N1109)="","—",INDEX(CalcNoteB,$N1109)),""))</f>
        <v/>
      </c>
      <c r="M1109">
        <f>IFERROR(MATCH($C$5&amp;"|"&amp;RIGHT("000000"&amp;1093,6),CalcRankKeyA,0),"")</f>
        <v/>
      </c>
      <c r="N1109">
        <f>IFERROR(MATCH($C$5&amp;"|"&amp;RIGHT("000000"&amp;1093,6),CalcRankKeyB,0),"")</f>
        <v/>
      </c>
    </row>
    <row r="1110">
      <c r="A1110" s="26" t="n">
        <v>1094</v>
      </c>
      <c r="B1110" s="27">
        <f>IF(AND($M1110="",$N1110=""),"",IF($M1110&lt;&gt;"",INDEX(CalcDateA,$M1110),INDEX(CalcDateB,$N1110)))</f>
        <v/>
      </c>
      <c r="C1110" s="27">
        <f>IF($M1110&lt;&gt;"","خرید سبد",IF($N1110&lt;&gt;"",IF(N(INDEX(CalcDepB,$N1110))&gt;0,"دریافت بانکی","پرداخت بانکی"),""))</f>
        <v/>
      </c>
      <c r="D1110" s="27">
        <f>IF($M1110&lt;&gt;"",IF(INDEX(CalcDocA,$M1110)="","—",INDEX(CalcDocA,$M1110)),IF($N1110&lt;&gt;"",INDEX(CalcBankB,$N1110),""))</f>
        <v/>
      </c>
      <c r="E1110" s="28">
        <f>IF($N1110&lt;&gt;"",IF(INDEX(CalcDepB,$N1110)=0,"",INDEX(CalcDepB,$N1110)),"")</f>
        <v/>
      </c>
      <c r="F1110" s="28">
        <f>IF($M1110&lt;&gt;"",IF(INDEX(CalcQtyA,$M1110)=0,"",INDEX(CalcQtyA,$M1110)),"")</f>
        <v/>
      </c>
      <c r="G1110" s="28">
        <f>IF($M1110&lt;&gt;"",IF(INDEX(CalcPriceA,$M1110)=0,"",INDEX(CalcPriceA,$M1110)),"")</f>
        <v/>
      </c>
      <c r="H1110" s="28">
        <f>IF($N1110&lt;&gt;"",IF(INDEX(CalcWitB,$N1110)=0,"",INDEX(CalcWitB,$N1110)),"")</f>
        <v/>
      </c>
      <c r="I1110" s="29">
        <f>IF($M1110&lt;&gt;"",INDEX(CalcAmtA,$M1110),"")</f>
        <v/>
      </c>
      <c r="J1110" s="29">
        <f>IF($B1110="","",IF($J1109="",$C$8,$J1109)+IF($I1110="",0,$I1110)+IF($E1110="",0,$E1110)-IF($H1110="",0,$H1110))</f>
        <v/>
      </c>
      <c r="K1110" s="30">
        <f>IF($M1110&lt;&gt;"",IF(INDEX(CalcNoteA,$M1110)="","—",INDEX(CalcNoteA,$M1110)),IF($N1110&lt;&gt;"",IF(INDEX(CalcNoteB,$N1110)="","—",INDEX(CalcNoteB,$N1110)),""))</f>
        <v/>
      </c>
      <c r="M1110">
        <f>IFERROR(MATCH($C$5&amp;"|"&amp;RIGHT("000000"&amp;1094,6),CalcRankKeyA,0),"")</f>
        <v/>
      </c>
      <c r="N1110">
        <f>IFERROR(MATCH($C$5&amp;"|"&amp;RIGHT("000000"&amp;1094,6),CalcRankKeyB,0),"")</f>
        <v/>
      </c>
    </row>
    <row r="1111">
      <c r="A1111" s="21" t="n">
        <v>1095</v>
      </c>
      <c r="B1111" s="22">
        <f>IF(AND($M1111="",$N1111=""),"",IF($M1111&lt;&gt;"",INDEX(CalcDateA,$M1111),INDEX(CalcDateB,$N1111)))</f>
        <v/>
      </c>
      <c r="C1111" s="22">
        <f>IF($M1111&lt;&gt;"","خرید سبد",IF($N1111&lt;&gt;"",IF(N(INDEX(CalcDepB,$N1111))&gt;0,"دریافت بانکی","پرداخت بانکی"),""))</f>
        <v/>
      </c>
      <c r="D1111" s="22">
        <f>IF($M1111&lt;&gt;"",IF(INDEX(CalcDocA,$M1111)="","—",INDEX(CalcDocA,$M1111)),IF($N1111&lt;&gt;"",INDEX(CalcBankB,$N1111),""))</f>
        <v/>
      </c>
      <c r="E1111" s="23">
        <f>IF($N1111&lt;&gt;"",IF(INDEX(CalcDepB,$N1111)=0,"",INDEX(CalcDepB,$N1111)),"")</f>
        <v/>
      </c>
      <c r="F1111" s="23">
        <f>IF($M1111&lt;&gt;"",IF(INDEX(CalcQtyA,$M1111)=0,"",INDEX(CalcQtyA,$M1111)),"")</f>
        <v/>
      </c>
      <c r="G1111" s="23">
        <f>IF($M1111&lt;&gt;"",IF(INDEX(CalcPriceA,$M1111)=0,"",INDEX(CalcPriceA,$M1111)),"")</f>
        <v/>
      </c>
      <c r="H1111" s="23">
        <f>IF($N1111&lt;&gt;"",IF(INDEX(CalcWitB,$N1111)=0,"",INDEX(CalcWitB,$N1111)),"")</f>
        <v/>
      </c>
      <c r="I1111" s="24">
        <f>IF($M1111&lt;&gt;"",INDEX(CalcAmtA,$M1111),"")</f>
        <v/>
      </c>
      <c r="J1111" s="24">
        <f>IF($B1111="","",IF($J1110="",$C$8,$J1110)+IF($I1111="",0,$I1111)+IF($E1111="",0,$E1111)-IF($H1111="",0,$H1111))</f>
        <v/>
      </c>
      <c r="K1111" s="25">
        <f>IF($M1111&lt;&gt;"",IF(INDEX(CalcNoteA,$M1111)="","—",INDEX(CalcNoteA,$M1111)),IF($N1111&lt;&gt;"",IF(INDEX(CalcNoteB,$N1111)="","—",INDEX(CalcNoteB,$N1111)),""))</f>
        <v/>
      </c>
      <c r="M1111">
        <f>IFERROR(MATCH($C$5&amp;"|"&amp;RIGHT("000000"&amp;1095,6),CalcRankKeyA,0),"")</f>
        <v/>
      </c>
      <c r="N1111">
        <f>IFERROR(MATCH($C$5&amp;"|"&amp;RIGHT("000000"&amp;1095,6),CalcRankKeyB,0),"")</f>
        <v/>
      </c>
    </row>
    <row r="1112">
      <c r="A1112" s="26" t="n">
        <v>1096</v>
      </c>
      <c r="B1112" s="27">
        <f>IF(AND($M1112="",$N1112=""),"",IF($M1112&lt;&gt;"",INDEX(CalcDateA,$M1112),INDEX(CalcDateB,$N1112)))</f>
        <v/>
      </c>
      <c r="C1112" s="27">
        <f>IF($M1112&lt;&gt;"","خرید سبد",IF($N1112&lt;&gt;"",IF(N(INDEX(CalcDepB,$N1112))&gt;0,"دریافت بانکی","پرداخت بانکی"),""))</f>
        <v/>
      </c>
      <c r="D1112" s="27">
        <f>IF($M1112&lt;&gt;"",IF(INDEX(CalcDocA,$M1112)="","—",INDEX(CalcDocA,$M1112)),IF($N1112&lt;&gt;"",INDEX(CalcBankB,$N1112),""))</f>
        <v/>
      </c>
      <c r="E1112" s="28">
        <f>IF($N1112&lt;&gt;"",IF(INDEX(CalcDepB,$N1112)=0,"",INDEX(CalcDepB,$N1112)),"")</f>
        <v/>
      </c>
      <c r="F1112" s="28">
        <f>IF($M1112&lt;&gt;"",IF(INDEX(CalcQtyA,$M1112)=0,"",INDEX(CalcQtyA,$M1112)),"")</f>
        <v/>
      </c>
      <c r="G1112" s="28">
        <f>IF($M1112&lt;&gt;"",IF(INDEX(CalcPriceA,$M1112)=0,"",INDEX(CalcPriceA,$M1112)),"")</f>
        <v/>
      </c>
      <c r="H1112" s="28">
        <f>IF($N1112&lt;&gt;"",IF(INDEX(CalcWitB,$N1112)=0,"",INDEX(CalcWitB,$N1112)),"")</f>
        <v/>
      </c>
      <c r="I1112" s="29">
        <f>IF($M1112&lt;&gt;"",INDEX(CalcAmtA,$M1112),"")</f>
        <v/>
      </c>
      <c r="J1112" s="29">
        <f>IF($B1112="","",IF($J1111="",$C$8,$J1111)+IF($I1112="",0,$I1112)+IF($E1112="",0,$E1112)-IF($H1112="",0,$H1112))</f>
        <v/>
      </c>
      <c r="K1112" s="30">
        <f>IF($M1112&lt;&gt;"",IF(INDEX(CalcNoteA,$M1112)="","—",INDEX(CalcNoteA,$M1112)),IF($N1112&lt;&gt;"",IF(INDEX(CalcNoteB,$N1112)="","—",INDEX(CalcNoteB,$N1112)),""))</f>
        <v/>
      </c>
      <c r="M1112">
        <f>IFERROR(MATCH($C$5&amp;"|"&amp;RIGHT("000000"&amp;1096,6),CalcRankKeyA,0),"")</f>
        <v/>
      </c>
      <c r="N1112">
        <f>IFERROR(MATCH($C$5&amp;"|"&amp;RIGHT("000000"&amp;1096,6),CalcRankKeyB,0),"")</f>
        <v/>
      </c>
    </row>
    <row r="1113">
      <c r="A1113" s="21" t="n">
        <v>1097</v>
      </c>
      <c r="B1113" s="22">
        <f>IF(AND($M1113="",$N1113=""),"",IF($M1113&lt;&gt;"",INDEX(CalcDateA,$M1113),INDEX(CalcDateB,$N1113)))</f>
        <v/>
      </c>
      <c r="C1113" s="22">
        <f>IF($M1113&lt;&gt;"","خرید سبد",IF($N1113&lt;&gt;"",IF(N(INDEX(CalcDepB,$N1113))&gt;0,"دریافت بانکی","پرداخت بانکی"),""))</f>
        <v/>
      </c>
      <c r="D1113" s="22">
        <f>IF($M1113&lt;&gt;"",IF(INDEX(CalcDocA,$M1113)="","—",INDEX(CalcDocA,$M1113)),IF($N1113&lt;&gt;"",INDEX(CalcBankB,$N1113),""))</f>
        <v/>
      </c>
      <c r="E1113" s="23">
        <f>IF($N1113&lt;&gt;"",IF(INDEX(CalcDepB,$N1113)=0,"",INDEX(CalcDepB,$N1113)),"")</f>
        <v/>
      </c>
      <c r="F1113" s="23">
        <f>IF($M1113&lt;&gt;"",IF(INDEX(CalcQtyA,$M1113)=0,"",INDEX(CalcQtyA,$M1113)),"")</f>
        <v/>
      </c>
      <c r="G1113" s="23">
        <f>IF($M1113&lt;&gt;"",IF(INDEX(CalcPriceA,$M1113)=0,"",INDEX(CalcPriceA,$M1113)),"")</f>
        <v/>
      </c>
      <c r="H1113" s="23">
        <f>IF($N1113&lt;&gt;"",IF(INDEX(CalcWitB,$N1113)=0,"",INDEX(CalcWitB,$N1113)),"")</f>
        <v/>
      </c>
      <c r="I1113" s="24">
        <f>IF($M1113&lt;&gt;"",INDEX(CalcAmtA,$M1113),"")</f>
        <v/>
      </c>
      <c r="J1113" s="24">
        <f>IF($B1113="","",IF($J1112="",$C$8,$J1112)+IF($I1113="",0,$I1113)+IF($E1113="",0,$E1113)-IF($H1113="",0,$H1113))</f>
        <v/>
      </c>
      <c r="K1113" s="25">
        <f>IF($M1113&lt;&gt;"",IF(INDEX(CalcNoteA,$M1113)="","—",INDEX(CalcNoteA,$M1113)),IF($N1113&lt;&gt;"",IF(INDEX(CalcNoteB,$N1113)="","—",INDEX(CalcNoteB,$N1113)),""))</f>
        <v/>
      </c>
      <c r="M1113">
        <f>IFERROR(MATCH($C$5&amp;"|"&amp;RIGHT("000000"&amp;1097,6),CalcRankKeyA,0),"")</f>
        <v/>
      </c>
      <c r="N1113">
        <f>IFERROR(MATCH($C$5&amp;"|"&amp;RIGHT("000000"&amp;1097,6),CalcRankKeyB,0),"")</f>
        <v/>
      </c>
    </row>
    <row r="1114">
      <c r="A1114" s="26" t="n">
        <v>1098</v>
      </c>
      <c r="B1114" s="27">
        <f>IF(AND($M1114="",$N1114=""),"",IF($M1114&lt;&gt;"",INDEX(CalcDateA,$M1114),INDEX(CalcDateB,$N1114)))</f>
        <v/>
      </c>
      <c r="C1114" s="27">
        <f>IF($M1114&lt;&gt;"","خرید سبد",IF($N1114&lt;&gt;"",IF(N(INDEX(CalcDepB,$N1114))&gt;0,"دریافت بانکی","پرداخت بانکی"),""))</f>
        <v/>
      </c>
      <c r="D1114" s="27">
        <f>IF($M1114&lt;&gt;"",IF(INDEX(CalcDocA,$M1114)="","—",INDEX(CalcDocA,$M1114)),IF($N1114&lt;&gt;"",INDEX(CalcBankB,$N1114),""))</f>
        <v/>
      </c>
      <c r="E1114" s="28">
        <f>IF($N1114&lt;&gt;"",IF(INDEX(CalcDepB,$N1114)=0,"",INDEX(CalcDepB,$N1114)),"")</f>
        <v/>
      </c>
      <c r="F1114" s="28">
        <f>IF($M1114&lt;&gt;"",IF(INDEX(CalcQtyA,$M1114)=0,"",INDEX(CalcQtyA,$M1114)),"")</f>
        <v/>
      </c>
      <c r="G1114" s="28">
        <f>IF($M1114&lt;&gt;"",IF(INDEX(CalcPriceA,$M1114)=0,"",INDEX(CalcPriceA,$M1114)),"")</f>
        <v/>
      </c>
      <c r="H1114" s="28">
        <f>IF($N1114&lt;&gt;"",IF(INDEX(CalcWitB,$N1114)=0,"",INDEX(CalcWitB,$N1114)),"")</f>
        <v/>
      </c>
      <c r="I1114" s="29">
        <f>IF($M1114&lt;&gt;"",INDEX(CalcAmtA,$M1114),"")</f>
        <v/>
      </c>
      <c r="J1114" s="29">
        <f>IF($B1114="","",IF($J1113="",$C$8,$J1113)+IF($I1114="",0,$I1114)+IF($E1114="",0,$E1114)-IF($H1114="",0,$H1114))</f>
        <v/>
      </c>
      <c r="K1114" s="30">
        <f>IF($M1114&lt;&gt;"",IF(INDEX(CalcNoteA,$M1114)="","—",INDEX(CalcNoteA,$M1114)),IF($N1114&lt;&gt;"",IF(INDEX(CalcNoteB,$N1114)="","—",INDEX(CalcNoteB,$N1114)),""))</f>
        <v/>
      </c>
      <c r="M1114">
        <f>IFERROR(MATCH($C$5&amp;"|"&amp;RIGHT("000000"&amp;1098,6),CalcRankKeyA,0),"")</f>
        <v/>
      </c>
      <c r="N1114">
        <f>IFERROR(MATCH($C$5&amp;"|"&amp;RIGHT("000000"&amp;1098,6),CalcRankKeyB,0),"")</f>
        <v/>
      </c>
    </row>
    <row r="1115">
      <c r="A1115" s="21" t="n">
        <v>1099</v>
      </c>
      <c r="B1115" s="22">
        <f>IF(AND($M1115="",$N1115=""),"",IF($M1115&lt;&gt;"",INDEX(CalcDateA,$M1115),INDEX(CalcDateB,$N1115)))</f>
        <v/>
      </c>
      <c r="C1115" s="22">
        <f>IF($M1115&lt;&gt;"","خرید سبد",IF($N1115&lt;&gt;"",IF(N(INDEX(CalcDepB,$N1115))&gt;0,"دریافت بانکی","پرداخت بانکی"),""))</f>
        <v/>
      </c>
      <c r="D1115" s="22">
        <f>IF($M1115&lt;&gt;"",IF(INDEX(CalcDocA,$M1115)="","—",INDEX(CalcDocA,$M1115)),IF($N1115&lt;&gt;"",INDEX(CalcBankB,$N1115),""))</f>
        <v/>
      </c>
      <c r="E1115" s="23">
        <f>IF($N1115&lt;&gt;"",IF(INDEX(CalcDepB,$N1115)=0,"",INDEX(CalcDepB,$N1115)),"")</f>
        <v/>
      </c>
      <c r="F1115" s="23">
        <f>IF($M1115&lt;&gt;"",IF(INDEX(CalcQtyA,$M1115)=0,"",INDEX(CalcQtyA,$M1115)),"")</f>
        <v/>
      </c>
      <c r="G1115" s="23">
        <f>IF($M1115&lt;&gt;"",IF(INDEX(CalcPriceA,$M1115)=0,"",INDEX(CalcPriceA,$M1115)),"")</f>
        <v/>
      </c>
      <c r="H1115" s="23">
        <f>IF($N1115&lt;&gt;"",IF(INDEX(CalcWitB,$N1115)=0,"",INDEX(CalcWitB,$N1115)),"")</f>
        <v/>
      </c>
      <c r="I1115" s="24">
        <f>IF($M1115&lt;&gt;"",INDEX(CalcAmtA,$M1115),"")</f>
        <v/>
      </c>
      <c r="J1115" s="24">
        <f>IF($B1115="","",IF($J1114="",$C$8,$J1114)+IF($I1115="",0,$I1115)+IF($E1115="",0,$E1115)-IF($H1115="",0,$H1115))</f>
        <v/>
      </c>
      <c r="K1115" s="25">
        <f>IF($M1115&lt;&gt;"",IF(INDEX(CalcNoteA,$M1115)="","—",INDEX(CalcNoteA,$M1115)),IF($N1115&lt;&gt;"",IF(INDEX(CalcNoteB,$N1115)="","—",INDEX(CalcNoteB,$N1115)),""))</f>
        <v/>
      </c>
      <c r="M1115">
        <f>IFERROR(MATCH($C$5&amp;"|"&amp;RIGHT("000000"&amp;1099,6),CalcRankKeyA,0),"")</f>
        <v/>
      </c>
      <c r="N1115">
        <f>IFERROR(MATCH($C$5&amp;"|"&amp;RIGHT("000000"&amp;1099,6),CalcRankKeyB,0),"")</f>
        <v/>
      </c>
    </row>
    <row r="1116">
      <c r="A1116" s="26" t="n">
        <v>1100</v>
      </c>
      <c r="B1116" s="27">
        <f>IF(AND($M1116="",$N1116=""),"",IF($M1116&lt;&gt;"",INDEX(CalcDateA,$M1116),INDEX(CalcDateB,$N1116)))</f>
        <v/>
      </c>
      <c r="C1116" s="27">
        <f>IF($M1116&lt;&gt;"","خرید سبد",IF($N1116&lt;&gt;"",IF(N(INDEX(CalcDepB,$N1116))&gt;0,"دریافت بانکی","پرداخت بانکی"),""))</f>
        <v/>
      </c>
      <c r="D1116" s="27">
        <f>IF($M1116&lt;&gt;"",IF(INDEX(CalcDocA,$M1116)="","—",INDEX(CalcDocA,$M1116)),IF($N1116&lt;&gt;"",INDEX(CalcBankB,$N1116),""))</f>
        <v/>
      </c>
      <c r="E1116" s="28">
        <f>IF($N1116&lt;&gt;"",IF(INDEX(CalcDepB,$N1116)=0,"",INDEX(CalcDepB,$N1116)),"")</f>
        <v/>
      </c>
      <c r="F1116" s="28">
        <f>IF($M1116&lt;&gt;"",IF(INDEX(CalcQtyA,$M1116)=0,"",INDEX(CalcQtyA,$M1116)),"")</f>
        <v/>
      </c>
      <c r="G1116" s="28">
        <f>IF($M1116&lt;&gt;"",IF(INDEX(CalcPriceA,$M1116)=0,"",INDEX(CalcPriceA,$M1116)),"")</f>
        <v/>
      </c>
      <c r="H1116" s="28">
        <f>IF($N1116&lt;&gt;"",IF(INDEX(CalcWitB,$N1116)=0,"",INDEX(CalcWitB,$N1116)),"")</f>
        <v/>
      </c>
      <c r="I1116" s="29">
        <f>IF($M1116&lt;&gt;"",INDEX(CalcAmtA,$M1116),"")</f>
        <v/>
      </c>
      <c r="J1116" s="29">
        <f>IF($B1116="","",IF($J1115="",$C$8,$J1115)+IF($I1116="",0,$I1116)+IF($E1116="",0,$E1116)-IF($H1116="",0,$H1116))</f>
        <v/>
      </c>
      <c r="K1116" s="30">
        <f>IF($M1116&lt;&gt;"",IF(INDEX(CalcNoteA,$M1116)="","—",INDEX(CalcNoteA,$M1116)),IF($N1116&lt;&gt;"",IF(INDEX(CalcNoteB,$N1116)="","—",INDEX(CalcNoteB,$N1116)),""))</f>
        <v/>
      </c>
      <c r="M1116">
        <f>IFERROR(MATCH($C$5&amp;"|"&amp;RIGHT("000000"&amp;1100,6),CalcRankKeyA,0),"")</f>
        <v/>
      </c>
      <c r="N1116">
        <f>IFERROR(MATCH($C$5&amp;"|"&amp;RIGHT("000000"&amp;1100,6),CalcRankKeyB,0),"")</f>
        <v/>
      </c>
    </row>
    <row r="1117">
      <c r="A1117" s="21" t="n">
        <v>1101</v>
      </c>
      <c r="B1117" s="22">
        <f>IF(AND($M1117="",$N1117=""),"",IF($M1117&lt;&gt;"",INDEX(CalcDateA,$M1117),INDEX(CalcDateB,$N1117)))</f>
        <v/>
      </c>
      <c r="C1117" s="22">
        <f>IF($M1117&lt;&gt;"","خرید سبد",IF($N1117&lt;&gt;"",IF(N(INDEX(CalcDepB,$N1117))&gt;0,"دریافت بانکی","پرداخت بانکی"),""))</f>
        <v/>
      </c>
      <c r="D1117" s="22">
        <f>IF($M1117&lt;&gt;"",IF(INDEX(CalcDocA,$M1117)="","—",INDEX(CalcDocA,$M1117)),IF($N1117&lt;&gt;"",INDEX(CalcBankB,$N1117),""))</f>
        <v/>
      </c>
      <c r="E1117" s="23">
        <f>IF($N1117&lt;&gt;"",IF(INDEX(CalcDepB,$N1117)=0,"",INDEX(CalcDepB,$N1117)),"")</f>
        <v/>
      </c>
      <c r="F1117" s="23">
        <f>IF($M1117&lt;&gt;"",IF(INDEX(CalcQtyA,$M1117)=0,"",INDEX(CalcQtyA,$M1117)),"")</f>
        <v/>
      </c>
      <c r="G1117" s="23">
        <f>IF($M1117&lt;&gt;"",IF(INDEX(CalcPriceA,$M1117)=0,"",INDEX(CalcPriceA,$M1117)),"")</f>
        <v/>
      </c>
      <c r="H1117" s="23">
        <f>IF($N1117&lt;&gt;"",IF(INDEX(CalcWitB,$N1117)=0,"",INDEX(CalcWitB,$N1117)),"")</f>
        <v/>
      </c>
      <c r="I1117" s="24">
        <f>IF($M1117&lt;&gt;"",INDEX(CalcAmtA,$M1117),"")</f>
        <v/>
      </c>
      <c r="J1117" s="24">
        <f>IF($B1117="","",IF($J1116="",$C$8,$J1116)+IF($I1117="",0,$I1117)+IF($E1117="",0,$E1117)-IF($H1117="",0,$H1117))</f>
        <v/>
      </c>
      <c r="K1117" s="25">
        <f>IF($M1117&lt;&gt;"",IF(INDEX(CalcNoteA,$M1117)="","—",INDEX(CalcNoteA,$M1117)),IF($N1117&lt;&gt;"",IF(INDEX(CalcNoteB,$N1117)="","—",INDEX(CalcNoteB,$N1117)),""))</f>
        <v/>
      </c>
      <c r="M1117">
        <f>IFERROR(MATCH($C$5&amp;"|"&amp;RIGHT("000000"&amp;1101,6),CalcRankKeyA,0),"")</f>
        <v/>
      </c>
      <c r="N1117">
        <f>IFERROR(MATCH($C$5&amp;"|"&amp;RIGHT("000000"&amp;1101,6),CalcRankKeyB,0),"")</f>
        <v/>
      </c>
    </row>
    <row r="1118">
      <c r="A1118" s="26" t="n">
        <v>1102</v>
      </c>
      <c r="B1118" s="27">
        <f>IF(AND($M1118="",$N1118=""),"",IF($M1118&lt;&gt;"",INDEX(CalcDateA,$M1118),INDEX(CalcDateB,$N1118)))</f>
        <v/>
      </c>
      <c r="C1118" s="27">
        <f>IF($M1118&lt;&gt;"","خرید سبد",IF($N1118&lt;&gt;"",IF(N(INDEX(CalcDepB,$N1118))&gt;0,"دریافت بانکی","پرداخت بانکی"),""))</f>
        <v/>
      </c>
      <c r="D1118" s="27">
        <f>IF($M1118&lt;&gt;"",IF(INDEX(CalcDocA,$M1118)="","—",INDEX(CalcDocA,$M1118)),IF($N1118&lt;&gt;"",INDEX(CalcBankB,$N1118),""))</f>
        <v/>
      </c>
      <c r="E1118" s="28">
        <f>IF($N1118&lt;&gt;"",IF(INDEX(CalcDepB,$N1118)=0,"",INDEX(CalcDepB,$N1118)),"")</f>
        <v/>
      </c>
      <c r="F1118" s="28">
        <f>IF($M1118&lt;&gt;"",IF(INDEX(CalcQtyA,$M1118)=0,"",INDEX(CalcQtyA,$M1118)),"")</f>
        <v/>
      </c>
      <c r="G1118" s="28">
        <f>IF($M1118&lt;&gt;"",IF(INDEX(CalcPriceA,$M1118)=0,"",INDEX(CalcPriceA,$M1118)),"")</f>
        <v/>
      </c>
      <c r="H1118" s="28">
        <f>IF($N1118&lt;&gt;"",IF(INDEX(CalcWitB,$N1118)=0,"",INDEX(CalcWitB,$N1118)),"")</f>
        <v/>
      </c>
      <c r="I1118" s="29">
        <f>IF($M1118&lt;&gt;"",INDEX(CalcAmtA,$M1118),"")</f>
        <v/>
      </c>
      <c r="J1118" s="29">
        <f>IF($B1118="","",IF($J1117="",$C$8,$J1117)+IF($I1118="",0,$I1118)+IF($E1118="",0,$E1118)-IF($H1118="",0,$H1118))</f>
        <v/>
      </c>
      <c r="K1118" s="30">
        <f>IF($M1118&lt;&gt;"",IF(INDEX(CalcNoteA,$M1118)="","—",INDEX(CalcNoteA,$M1118)),IF($N1118&lt;&gt;"",IF(INDEX(CalcNoteB,$N1118)="","—",INDEX(CalcNoteB,$N1118)),""))</f>
        <v/>
      </c>
      <c r="M1118">
        <f>IFERROR(MATCH($C$5&amp;"|"&amp;RIGHT("000000"&amp;1102,6),CalcRankKeyA,0),"")</f>
        <v/>
      </c>
      <c r="N1118">
        <f>IFERROR(MATCH($C$5&amp;"|"&amp;RIGHT("000000"&amp;1102,6),CalcRankKeyB,0),"")</f>
        <v/>
      </c>
    </row>
    <row r="1119">
      <c r="A1119" s="21" t="n">
        <v>1103</v>
      </c>
      <c r="B1119" s="22">
        <f>IF(AND($M1119="",$N1119=""),"",IF($M1119&lt;&gt;"",INDEX(CalcDateA,$M1119),INDEX(CalcDateB,$N1119)))</f>
        <v/>
      </c>
      <c r="C1119" s="22">
        <f>IF($M1119&lt;&gt;"","خرید سبد",IF($N1119&lt;&gt;"",IF(N(INDEX(CalcDepB,$N1119))&gt;0,"دریافت بانکی","پرداخت بانکی"),""))</f>
        <v/>
      </c>
      <c r="D1119" s="22">
        <f>IF($M1119&lt;&gt;"",IF(INDEX(CalcDocA,$M1119)="","—",INDEX(CalcDocA,$M1119)),IF($N1119&lt;&gt;"",INDEX(CalcBankB,$N1119),""))</f>
        <v/>
      </c>
      <c r="E1119" s="23">
        <f>IF($N1119&lt;&gt;"",IF(INDEX(CalcDepB,$N1119)=0,"",INDEX(CalcDepB,$N1119)),"")</f>
        <v/>
      </c>
      <c r="F1119" s="23">
        <f>IF($M1119&lt;&gt;"",IF(INDEX(CalcQtyA,$M1119)=0,"",INDEX(CalcQtyA,$M1119)),"")</f>
        <v/>
      </c>
      <c r="G1119" s="23">
        <f>IF($M1119&lt;&gt;"",IF(INDEX(CalcPriceA,$M1119)=0,"",INDEX(CalcPriceA,$M1119)),"")</f>
        <v/>
      </c>
      <c r="H1119" s="23">
        <f>IF($N1119&lt;&gt;"",IF(INDEX(CalcWitB,$N1119)=0,"",INDEX(CalcWitB,$N1119)),"")</f>
        <v/>
      </c>
      <c r="I1119" s="24">
        <f>IF($M1119&lt;&gt;"",INDEX(CalcAmtA,$M1119),"")</f>
        <v/>
      </c>
      <c r="J1119" s="24">
        <f>IF($B1119="","",IF($J1118="",$C$8,$J1118)+IF($I1119="",0,$I1119)+IF($E1119="",0,$E1119)-IF($H1119="",0,$H1119))</f>
        <v/>
      </c>
      <c r="K1119" s="25">
        <f>IF($M1119&lt;&gt;"",IF(INDEX(CalcNoteA,$M1119)="","—",INDEX(CalcNoteA,$M1119)),IF($N1119&lt;&gt;"",IF(INDEX(CalcNoteB,$N1119)="","—",INDEX(CalcNoteB,$N1119)),""))</f>
        <v/>
      </c>
      <c r="M1119">
        <f>IFERROR(MATCH($C$5&amp;"|"&amp;RIGHT("000000"&amp;1103,6),CalcRankKeyA,0),"")</f>
        <v/>
      </c>
      <c r="N1119">
        <f>IFERROR(MATCH($C$5&amp;"|"&amp;RIGHT("000000"&amp;1103,6),CalcRankKeyB,0),"")</f>
        <v/>
      </c>
    </row>
    <row r="1120">
      <c r="A1120" s="26" t="n">
        <v>1104</v>
      </c>
      <c r="B1120" s="27">
        <f>IF(AND($M1120="",$N1120=""),"",IF($M1120&lt;&gt;"",INDEX(CalcDateA,$M1120),INDEX(CalcDateB,$N1120)))</f>
        <v/>
      </c>
      <c r="C1120" s="27">
        <f>IF($M1120&lt;&gt;"","خرید سبد",IF($N1120&lt;&gt;"",IF(N(INDEX(CalcDepB,$N1120))&gt;0,"دریافت بانکی","پرداخت بانکی"),""))</f>
        <v/>
      </c>
      <c r="D1120" s="27">
        <f>IF($M1120&lt;&gt;"",IF(INDEX(CalcDocA,$M1120)="","—",INDEX(CalcDocA,$M1120)),IF($N1120&lt;&gt;"",INDEX(CalcBankB,$N1120),""))</f>
        <v/>
      </c>
      <c r="E1120" s="28">
        <f>IF($N1120&lt;&gt;"",IF(INDEX(CalcDepB,$N1120)=0,"",INDEX(CalcDepB,$N1120)),"")</f>
        <v/>
      </c>
      <c r="F1120" s="28">
        <f>IF($M1120&lt;&gt;"",IF(INDEX(CalcQtyA,$M1120)=0,"",INDEX(CalcQtyA,$M1120)),"")</f>
        <v/>
      </c>
      <c r="G1120" s="28">
        <f>IF($M1120&lt;&gt;"",IF(INDEX(CalcPriceA,$M1120)=0,"",INDEX(CalcPriceA,$M1120)),"")</f>
        <v/>
      </c>
      <c r="H1120" s="28">
        <f>IF($N1120&lt;&gt;"",IF(INDEX(CalcWitB,$N1120)=0,"",INDEX(CalcWitB,$N1120)),"")</f>
        <v/>
      </c>
      <c r="I1120" s="29">
        <f>IF($M1120&lt;&gt;"",INDEX(CalcAmtA,$M1120),"")</f>
        <v/>
      </c>
      <c r="J1120" s="29">
        <f>IF($B1120="","",IF($J1119="",$C$8,$J1119)+IF($I1120="",0,$I1120)+IF($E1120="",0,$E1120)-IF($H1120="",0,$H1120))</f>
        <v/>
      </c>
      <c r="K1120" s="30">
        <f>IF($M1120&lt;&gt;"",IF(INDEX(CalcNoteA,$M1120)="","—",INDEX(CalcNoteA,$M1120)),IF($N1120&lt;&gt;"",IF(INDEX(CalcNoteB,$N1120)="","—",INDEX(CalcNoteB,$N1120)),""))</f>
        <v/>
      </c>
      <c r="M1120">
        <f>IFERROR(MATCH($C$5&amp;"|"&amp;RIGHT("000000"&amp;1104,6),CalcRankKeyA,0),"")</f>
        <v/>
      </c>
      <c r="N1120">
        <f>IFERROR(MATCH($C$5&amp;"|"&amp;RIGHT("000000"&amp;1104,6),CalcRankKeyB,0),"")</f>
        <v/>
      </c>
    </row>
    <row r="1121">
      <c r="A1121" s="21" t="n">
        <v>1105</v>
      </c>
      <c r="B1121" s="22">
        <f>IF(AND($M1121="",$N1121=""),"",IF($M1121&lt;&gt;"",INDEX(CalcDateA,$M1121),INDEX(CalcDateB,$N1121)))</f>
        <v/>
      </c>
      <c r="C1121" s="22">
        <f>IF($M1121&lt;&gt;"","خرید سبد",IF($N1121&lt;&gt;"",IF(N(INDEX(CalcDepB,$N1121))&gt;0,"دریافت بانکی","پرداخت بانکی"),""))</f>
        <v/>
      </c>
      <c r="D1121" s="22">
        <f>IF($M1121&lt;&gt;"",IF(INDEX(CalcDocA,$M1121)="","—",INDEX(CalcDocA,$M1121)),IF($N1121&lt;&gt;"",INDEX(CalcBankB,$N1121),""))</f>
        <v/>
      </c>
      <c r="E1121" s="23">
        <f>IF($N1121&lt;&gt;"",IF(INDEX(CalcDepB,$N1121)=0,"",INDEX(CalcDepB,$N1121)),"")</f>
        <v/>
      </c>
      <c r="F1121" s="23">
        <f>IF($M1121&lt;&gt;"",IF(INDEX(CalcQtyA,$M1121)=0,"",INDEX(CalcQtyA,$M1121)),"")</f>
        <v/>
      </c>
      <c r="G1121" s="23">
        <f>IF($M1121&lt;&gt;"",IF(INDEX(CalcPriceA,$M1121)=0,"",INDEX(CalcPriceA,$M1121)),"")</f>
        <v/>
      </c>
      <c r="H1121" s="23">
        <f>IF($N1121&lt;&gt;"",IF(INDEX(CalcWitB,$N1121)=0,"",INDEX(CalcWitB,$N1121)),"")</f>
        <v/>
      </c>
      <c r="I1121" s="24">
        <f>IF($M1121&lt;&gt;"",INDEX(CalcAmtA,$M1121),"")</f>
        <v/>
      </c>
      <c r="J1121" s="24">
        <f>IF($B1121="","",IF($J1120="",$C$8,$J1120)+IF($I1121="",0,$I1121)+IF($E1121="",0,$E1121)-IF($H1121="",0,$H1121))</f>
        <v/>
      </c>
      <c r="K1121" s="25">
        <f>IF($M1121&lt;&gt;"",IF(INDEX(CalcNoteA,$M1121)="","—",INDEX(CalcNoteA,$M1121)),IF($N1121&lt;&gt;"",IF(INDEX(CalcNoteB,$N1121)="","—",INDEX(CalcNoteB,$N1121)),""))</f>
        <v/>
      </c>
      <c r="M1121">
        <f>IFERROR(MATCH($C$5&amp;"|"&amp;RIGHT("000000"&amp;1105,6),CalcRankKeyA,0),"")</f>
        <v/>
      </c>
      <c r="N1121">
        <f>IFERROR(MATCH($C$5&amp;"|"&amp;RIGHT("000000"&amp;1105,6),CalcRankKeyB,0),"")</f>
        <v/>
      </c>
    </row>
    <row r="1122">
      <c r="A1122" s="26" t="n">
        <v>1106</v>
      </c>
      <c r="B1122" s="27">
        <f>IF(AND($M1122="",$N1122=""),"",IF($M1122&lt;&gt;"",INDEX(CalcDateA,$M1122),INDEX(CalcDateB,$N1122)))</f>
        <v/>
      </c>
      <c r="C1122" s="27">
        <f>IF($M1122&lt;&gt;"","خرید سبد",IF($N1122&lt;&gt;"",IF(N(INDEX(CalcDepB,$N1122))&gt;0,"دریافت بانکی","پرداخت بانکی"),""))</f>
        <v/>
      </c>
      <c r="D1122" s="27">
        <f>IF($M1122&lt;&gt;"",IF(INDEX(CalcDocA,$M1122)="","—",INDEX(CalcDocA,$M1122)),IF($N1122&lt;&gt;"",INDEX(CalcBankB,$N1122),""))</f>
        <v/>
      </c>
      <c r="E1122" s="28">
        <f>IF($N1122&lt;&gt;"",IF(INDEX(CalcDepB,$N1122)=0,"",INDEX(CalcDepB,$N1122)),"")</f>
        <v/>
      </c>
      <c r="F1122" s="28">
        <f>IF($M1122&lt;&gt;"",IF(INDEX(CalcQtyA,$M1122)=0,"",INDEX(CalcQtyA,$M1122)),"")</f>
        <v/>
      </c>
      <c r="G1122" s="28">
        <f>IF($M1122&lt;&gt;"",IF(INDEX(CalcPriceA,$M1122)=0,"",INDEX(CalcPriceA,$M1122)),"")</f>
        <v/>
      </c>
      <c r="H1122" s="28">
        <f>IF($N1122&lt;&gt;"",IF(INDEX(CalcWitB,$N1122)=0,"",INDEX(CalcWitB,$N1122)),"")</f>
        <v/>
      </c>
      <c r="I1122" s="29">
        <f>IF($M1122&lt;&gt;"",INDEX(CalcAmtA,$M1122),"")</f>
        <v/>
      </c>
      <c r="J1122" s="29">
        <f>IF($B1122="","",IF($J1121="",$C$8,$J1121)+IF($I1122="",0,$I1122)+IF($E1122="",0,$E1122)-IF($H1122="",0,$H1122))</f>
        <v/>
      </c>
      <c r="K1122" s="30">
        <f>IF($M1122&lt;&gt;"",IF(INDEX(CalcNoteA,$M1122)="","—",INDEX(CalcNoteA,$M1122)),IF($N1122&lt;&gt;"",IF(INDEX(CalcNoteB,$N1122)="","—",INDEX(CalcNoteB,$N1122)),""))</f>
        <v/>
      </c>
      <c r="M1122">
        <f>IFERROR(MATCH($C$5&amp;"|"&amp;RIGHT("000000"&amp;1106,6),CalcRankKeyA,0),"")</f>
        <v/>
      </c>
      <c r="N1122">
        <f>IFERROR(MATCH($C$5&amp;"|"&amp;RIGHT("000000"&amp;1106,6),CalcRankKeyB,0),"")</f>
        <v/>
      </c>
    </row>
    <row r="1123">
      <c r="A1123" s="21" t="n">
        <v>1107</v>
      </c>
      <c r="B1123" s="22">
        <f>IF(AND($M1123="",$N1123=""),"",IF($M1123&lt;&gt;"",INDEX(CalcDateA,$M1123),INDEX(CalcDateB,$N1123)))</f>
        <v/>
      </c>
      <c r="C1123" s="22">
        <f>IF($M1123&lt;&gt;"","خرید سبد",IF($N1123&lt;&gt;"",IF(N(INDEX(CalcDepB,$N1123))&gt;0,"دریافت بانکی","پرداخت بانکی"),""))</f>
        <v/>
      </c>
      <c r="D1123" s="22">
        <f>IF($M1123&lt;&gt;"",IF(INDEX(CalcDocA,$M1123)="","—",INDEX(CalcDocA,$M1123)),IF($N1123&lt;&gt;"",INDEX(CalcBankB,$N1123),""))</f>
        <v/>
      </c>
      <c r="E1123" s="23">
        <f>IF($N1123&lt;&gt;"",IF(INDEX(CalcDepB,$N1123)=0,"",INDEX(CalcDepB,$N1123)),"")</f>
        <v/>
      </c>
      <c r="F1123" s="23">
        <f>IF($M1123&lt;&gt;"",IF(INDEX(CalcQtyA,$M1123)=0,"",INDEX(CalcQtyA,$M1123)),"")</f>
        <v/>
      </c>
      <c r="G1123" s="23">
        <f>IF($M1123&lt;&gt;"",IF(INDEX(CalcPriceA,$M1123)=0,"",INDEX(CalcPriceA,$M1123)),"")</f>
        <v/>
      </c>
      <c r="H1123" s="23">
        <f>IF($N1123&lt;&gt;"",IF(INDEX(CalcWitB,$N1123)=0,"",INDEX(CalcWitB,$N1123)),"")</f>
        <v/>
      </c>
      <c r="I1123" s="24">
        <f>IF($M1123&lt;&gt;"",INDEX(CalcAmtA,$M1123),"")</f>
        <v/>
      </c>
      <c r="J1123" s="24">
        <f>IF($B1123="","",IF($J1122="",$C$8,$J1122)+IF($I1123="",0,$I1123)+IF($E1123="",0,$E1123)-IF($H1123="",0,$H1123))</f>
        <v/>
      </c>
      <c r="K1123" s="25">
        <f>IF($M1123&lt;&gt;"",IF(INDEX(CalcNoteA,$M1123)="","—",INDEX(CalcNoteA,$M1123)),IF($N1123&lt;&gt;"",IF(INDEX(CalcNoteB,$N1123)="","—",INDEX(CalcNoteB,$N1123)),""))</f>
        <v/>
      </c>
      <c r="M1123">
        <f>IFERROR(MATCH($C$5&amp;"|"&amp;RIGHT("000000"&amp;1107,6),CalcRankKeyA,0),"")</f>
        <v/>
      </c>
      <c r="N1123">
        <f>IFERROR(MATCH($C$5&amp;"|"&amp;RIGHT("000000"&amp;1107,6),CalcRankKeyB,0),"")</f>
        <v/>
      </c>
    </row>
    <row r="1124">
      <c r="A1124" s="26" t="n">
        <v>1108</v>
      </c>
      <c r="B1124" s="27">
        <f>IF(AND($M1124="",$N1124=""),"",IF($M1124&lt;&gt;"",INDEX(CalcDateA,$M1124),INDEX(CalcDateB,$N1124)))</f>
        <v/>
      </c>
      <c r="C1124" s="27">
        <f>IF($M1124&lt;&gt;"","خرید سبد",IF($N1124&lt;&gt;"",IF(N(INDEX(CalcDepB,$N1124))&gt;0,"دریافت بانکی","پرداخت بانکی"),""))</f>
        <v/>
      </c>
      <c r="D1124" s="27">
        <f>IF($M1124&lt;&gt;"",IF(INDEX(CalcDocA,$M1124)="","—",INDEX(CalcDocA,$M1124)),IF($N1124&lt;&gt;"",INDEX(CalcBankB,$N1124),""))</f>
        <v/>
      </c>
      <c r="E1124" s="28">
        <f>IF($N1124&lt;&gt;"",IF(INDEX(CalcDepB,$N1124)=0,"",INDEX(CalcDepB,$N1124)),"")</f>
        <v/>
      </c>
      <c r="F1124" s="28">
        <f>IF($M1124&lt;&gt;"",IF(INDEX(CalcQtyA,$M1124)=0,"",INDEX(CalcQtyA,$M1124)),"")</f>
        <v/>
      </c>
      <c r="G1124" s="28">
        <f>IF($M1124&lt;&gt;"",IF(INDEX(CalcPriceA,$M1124)=0,"",INDEX(CalcPriceA,$M1124)),"")</f>
        <v/>
      </c>
      <c r="H1124" s="28">
        <f>IF($N1124&lt;&gt;"",IF(INDEX(CalcWitB,$N1124)=0,"",INDEX(CalcWitB,$N1124)),"")</f>
        <v/>
      </c>
      <c r="I1124" s="29">
        <f>IF($M1124&lt;&gt;"",INDEX(CalcAmtA,$M1124),"")</f>
        <v/>
      </c>
      <c r="J1124" s="29">
        <f>IF($B1124="","",IF($J1123="",$C$8,$J1123)+IF($I1124="",0,$I1124)+IF($E1124="",0,$E1124)-IF($H1124="",0,$H1124))</f>
        <v/>
      </c>
      <c r="K1124" s="30">
        <f>IF($M1124&lt;&gt;"",IF(INDEX(CalcNoteA,$M1124)="","—",INDEX(CalcNoteA,$M1124)),IF($N1124&lt;&gt;"",IF(INDEX(CalcNoteB,$N1124)="","—",INDEX(CalcNoteB,$N1124)),""))</f>
        <v/>
      </c>
      <c r="M1124">
        <f>IFERROR(MATCH($C$5&amp;"|"&amp;RIGHT("000000"&amp;1108,6),CalcRankKeyA,0),"")</f>
        <v/>
      </c>
      <c r="N1124">
        <f>IFERROR(MATCH($C$5&amp;"|"&amp;RIGHT("000000"&amp;1108,6),CalcRankKeyB,0),"")</f>
        <v/>
      </c>
    </row>
    <row r="1125">
      <c r="A1125" s="21" t="n">
        <v>1109</v>
      </c>
      <c r="B1125" s="22">
        <f>IF(AND($M1125="",$N1125=""),"",IF($M1125&lt;&gt;"",INDEX(CalcDateA,$M1125),INDEX(CalcDateB,$N1125)))</f>
        <v/>
      </c>
      <c r="C1125" s="22">
        <f>IF($M1125&lt;&gt;"","خرید سبد",IF($N1125&lt;&gt;"",IF(N(INDEX(CalcDepB,$N1125))&gt;0,"دریافت بانکی","پرداخت بانکی"),""))</f>
        <v/>
      </c>
      <c r="D1125" s="22">
        <f>IF($M1125&lt;&gt;"",IF(INDEX(CalcDocA,$M1125)="","—",INDEX(CalcDocA,$M1125)),IF($N1125&lt;&gt;"",INDEX(CalcBankB,$N1125),""))</f>
        <v/>
      </c>
      <c r="E1125" s="23">
        <f>IF($N1125&lt;&gt;"",IF(INDEX(CalcDepB,$N1125)=0,"",INDEX(CalcDepB,$N1125)),"")</f>
        <v/>
      </c>
      <c r="F1125" s="23">
        <f>IF($M1125&lt;&gt;"",IF(INDEX(CalcQtyA,$M1125)=0,"",INDEX(CalcQtyA,$M1125)),"")</f>
        <v/>
      </c>
      <c r="G1125" s="23">
        <f>IF($M1125&lt;&gt;"",IF(INDEX(CalcPriceA,$M1125)=0,"",INDEX(CalcPriceA,$M1125)),"")</f>
        <v/>
      </c>
      <c r="H1125" s="23">
        <f>IF($N1125&lt;&gt;"",IF(INDEX(CalcWitB,$N1125)=0,"",INDEX(CalcWitB,$N1125)),"")</f>
        <v/>
      </c>
      <c r="I1125" s="24">
        <f>IF($M1125&lt;&gt;"",INDEX(CalcAmtA,$M1125),"")</f>
        <v/>
      </c>
      <c r="J1125" s="24">
        <f>IF($B1125="","",IF($J1124="",$C$8,$J1124)+IF($I1125="",0,$I1125)+IF($E1125="",0,$E1125)-IF($H1125="",0,$H1125))</f>
        <v/>
      </c>
      <c r="K1125" s="25">
        <f>IF($M1125&lt;&gt;"",IF(INDEX(CalcNoteA,$M1125)="","—",INDEX(CalcNoteA,$M1125)),IF($N1125&lt;&gt;"",IF(INDEX(CalcNoteB,$N1125)="","—",INDEX(CalcNoteB,$N1125)),""))</f>
        <v/>
      </c>
      <c r="M1125">
        <f>IFERROR(MATCH($C$5&amp;"|"&amp;RIGHT("000000"&amp;1109,6),CalcRankKeyA,0),"")</f>
        <v/>
      </c>
      <c r="N1125">
        <f>IFERROR(MATCH($C$5&amp;"|"&amp;RIGHT("000000"&amp;1109,6),CalcRankKeyB,0),"")</f>
        <v/>
      </c>
    </row>
    <row r="1126">
      <c r="A1126" s="26" t="n">
        <v>1110</v>
      </c>
      <c r="B1126" s="27">
        <f>IF(AND($M1126="",$N1126=""),"",IF($M1126&lt;&gt;"",INDEX(CalcDateA,$M1126),INDEX(CalcDateB,$N1126)))</f>
        <v/>
      </c>
      <c r="C1126" s="27">
        <f>IF($M1126&lt;&gt;"","خرید سبد",IF($N1126&lt;&gt;"",IF(N(INDEX(CalcDepB,$N1126))&gt;0,"دریافت بانکی","پرداخت بانکی"),""))</f>
        <v/>
      </c>
      <c r="D1126" s="27">
        <f>IF($M1126&lt;&gt;"",IF(INDEX(CalcDocA,$M1126)="","—",INDEX(CalcDocA,$M1126)),IF($N1126&lt;&gt;"",INDEX(CalcBankB,$N1126),""))</f>
        <v/>
      </c>
      <c r="E1126" s="28">
        <f>IF($N1126&lt;&gt;"",IF(INDEX(CalcDepB,$N1126)=0,"",INDEX(CalcDepB,$N1126)),"")</f>
        <v/>
      </c>
      <c r="F1126" s="28">
        <f>IF($M1126&lt;&gt;"",IF(INDEX(CalcQtyA,$M1126)=0,"",INDEX(CalcQtyA,$M1126)),"")</f>
        <v/>
      </c>
      <c r="G1126" s="28">
        <f>IF($M1126&lt;&gt;"",IF(INDEX(CalcPriceA,$M1126)=0,"",INDEX(CalcPriceA,$M1126)),"")</f>
        <v/>
      </c>
      <c r="H1126" s="28">
        <f>IF($N1126&lt;&gt;"",IF(INDEX(CalcWitB,$N1126)=0,"",INDEX(CalcWitB,$N1126)),"")</f>
        <v/>
      </c>
      <c r="I1126" s="29">
        <f>IF($M1126&lt;&gt;"",INDEX(CalcAmtA,$M1126),"")</f>
        <v/>
      </c>
      <c r="J1126" s="29">
        <f>IF($B1126="","",IF($J1125="",$C$8,$J1125)+IF($I1126="",0,$I1126)+IF($E1126="",0,$E1126)-IF($H1126="",0,$H1126))</f>
        <v/>
      </c>
      <c r="K1126" s="30">
        <f>IF($M1126&lt;&gt;"",IF(INDEX(CalcNoteA,$M1126)="","—",INDEX(CalcNoteA,$M1126)),IF($N1126&lt;&gt;"",IF(INDEX(CalcNoteB,$N1126)="","—",INDEX(CalcNoteB,$N1126)),""))</f>
        <v/>
      </c>
      <c r="M1126">
        <f>IFERROR(MATCH($C$5&amp;"|"&amp;RIGHT("000000"&amp;1110,6),CalcRankKeyA,0),"")</f>
        <v/>
      </c>
      <c r="N1126">
        <f>IFERROR(MATCH($C$5&amp;"|"&amp;RIGHT("000000"&amp;1110,6),CalcRankKeyB,0),"")</f>
        <v/>
      </c>
    </row>
    <row r="1127">
      <c r="A1127" s="21" t="n">
        <v>1111</v>
      </c>
      <c r="B1127" s="22">
        <f>IF(AND($M1127="",$N1127=""),"",IF($M1127&lt;&gt;"",INDEX(CalcDateA,$M1127),INDEX(CalcDateB,$N1127)))</f>
        <v/>
      </c>
      <c r="C1127" s="22">
        <f>IF($M1127&lt;&gt;"","خرید سبد",IF($N1127&lt;&gt;"",IF(N(INDEX(CalcDepB,$N1127))&gt;0,"دریافت بانکی","پرداخت بانکی"),""))</f>
        <v/>
      </c>
      <c r="D1127" s="22">
        <f>IF($M1127&lt;&gt;"",IF(INDEX(CalcDocA,$M1127)="","—",INDEX(CalcDocA,$M1127)),IF($N1127&lt;&gt;"",INDEX(CalcBankB,$N1127),""))</f>
        <v/>
      </c>
      <c r="E1127" s="23">
        <f>IF($N1127&lt;&gt;"",IF(INDEX(CalcDepB,$N1127)=0,"",INDEX(CalcDepB,$N1127)),"")</f>
        <v/>
      </c>
      <c r="F1127" s="23">
        <f>IF($M1127&lt;&gt;"",IF(INDEX(CalcQtyA,$M1127)=0,"",INDEX(CalcQtyA,$M1127)),"")</f>
        <v/>
      </c>
      <c r="G1127" s="23">
        <f>IF($M1127&lt;&gt;"",IF(INDEX(CalcPriceA,$M1127)=0,"",INDEX(CalcPriceA,$M1127)),"")</f>
        <v/>
      </c>
      <c r="H1127" s="23">
        <f>IF($N1127&lt;&gt;"",IF(INDEX(CalcWitB,$N1127)=0,"",INDEX(CalcWitB,$N1127)),"")</f>
        <v/>
      </c>
      <c r="I1127" s="24">
        <f>IF($M1127&lt;&gt;"",INDEX(CalcAmtA,$M1127),"")</f>
        <v/>
      </c>
      <c r="J1127" s="24">
        <f>IF($B1127="","",IF($J1126="",$C$8,$J1126)+IF($I1127="",0,$I1127)+IF($E1127="",0,$E1127)-IF($H1127="",0,$H1127))</f>
        <v/>
      </c>
      <c r="K1127" s="25">
        <f>IF($M1127&lt;&gt;"",IF(INDEX(CalcNoteA,$M1127)="","—",INDEX(CalcNoteA,$M1127)),IF($N1127&lt;&gt;"",IF(INDEX(CalcNoteB,$N1127)="","—",INDEX(CalcNoteB,$N1127)),""))</f>
        <v/>
      </c>
      <c r="M1127">
        <f>IFERROR(MATCH($C$5&amp;"|"&amp;RIGHT("000000"&amp;1111,6),CalcRankKeyA,0),"")</f>
        <v/>
      </c>
      <c r="N1127">
        <f>IFERROR(MATCH($C$5&amp;"|"&amp;RIGHT("000000"&amp;1111,6),CalcRankKeyB,0),"")</f>
        <v/>
      </c>
    </row>
    <row r="1128">
      <c r="A1128" s="26" t="n">
        <v>1112</v>
      </c>
      <c r="B1128" s="27">
        <f>IF(AND($M1128="",$N1128=""),"",IF($M1128&lt;&gt;"",INDEX(CalcDateA,$M1128),INDEX(CalcDateB,$N1128)))</f>
        <v/>
      </c>
      <c r="C1128" s="27">
        <f>IF($M1128&lt;&gt;"","خرید سبد",IF($N1128&lt;&gt;"",IF(N(INDEX(CalcDepB,$N1128))&gt;0,"دریافت بانکی","پرداخت بانکی"),""))</f>
        <v/>
      </c>
      <c r="D1128" s="27">
        <f>IF($M1128&lt;&gt;"",IF(INDEX(CalcDocA,$M1128)="","—",INDEX(CalcDocA,$M1128)),IF($N1128&lt;&gt;"",INDEX(CalcBankB,$N1128),""))</f>
        <v/>
      </c>
      <c r="E1128" s="28">
        <f>IF($N1128&lt;&gt;"",IF(INDEX(CalcDepB,$N1128)=0,"",INDEX(CalcDepB,$N1128)),"")</f>
        <v/>
      </c>
      <c r="F1128" s="28">
        <f>IF($M1128&lt;&gt;"",IF(INDEX(CalcQtyA,$M1128)=0,"",INDEX(CalcQtyA,$M1128)),"")</f>
        <v/>
      </c>
      <c r="G1128" s="28">
        <f>IF($M1128&lt;&gt;"",IF(INDEX(CalcPriceA,$M1128)=0,"",INDEX(CalcPriceA,$M1128)),"")</f>
        <v/>
      </c>
      <c r="H1128" s="28">
        <f>IF($N1128&lt;&gt;"",IF(INDEX(CalcWitB,$N1128)=0,"",INDEX(CalcWitB,$N1128)),"")</f>
        <v/>
      </c>
      <c r="I1128" s="29">
        <f>IF($M1128&lt;&gt;"",INDEX(CalcAmtA,$M1128),"")</f>
        <v/>
      </c>
      <c r="J1128" s="29">
        <f>IF($B1128="","",IF($J1127="",$C$8,$J1127)+IF($I1128="",0,$I1128)+IF($E1128="",0,$E1128)-IF($H1128="",0,$H1128))</f>
        <v/>
      </c>
      <c r="K1128" s="30">
        <f>IF($M1128&lt;&gt;"",IF(INDEX(CalcNoteA,$M1128)="","—",INDEX(CalcNoteA,$M1128)),IF($N1128&lt;&gt;"",IF(INDEX(CalcNoteB,$N1128)="","—",INDEX(CalcNoteB,$N1128)),""))</f>
        <v/>
      </c>
      <c r="M1128">
        <f>IFERROR(MATCH($C$5&amp;"|"&amp;RIGHT("000000"&amp;1112,6),CalcRankKeyA,0),"")</f>
        <v/>
      </c>
      <c r="N1128">
        <f>IFERROR(MATCH($C$5&amp;"|"&amp;RIGHT("000000"&amp;1112,6),CalcRankKeyB,0),"")</f>
        <v/>
      </c>
    </row>
    <row r="1129">
      <c r="A1129" s="21" t="n">
        <v>1113</v>
      </c>
      <c r="B1129" s="22">
        <f>IF(AND($M1129="",$N1129=""),"",IF($M1129&lt;&gt;"",INDEX(CalcDateA,$M1129),INDEX(CalcDateB,$N1129)))</f>
        <v/>
      </c>
      <c r="C1129" s="22">
        <f>IF($M1129&lt;&gt;"","خرید سبد",IF($N1129&lt;&gt;"",IF(N(INDEX(CalcDepB,$N1129))&gt;0,"دریافت بانکی","پرداخت بانکی"),""))</f>
        <v/>
      </c>
      <c r="D1129" s="22">
        <f>IF($M1129&lt;&gt;"",IF(INDEX(CalcDocA,$M1129)="","—",INDEX(CalcDocA,$M1129)),IF($N1129&lt;&gt;"",INDEX(CalcBankB,$N1129),""))</f>
        <v/>
      </c>
      <c r="E1129" s="23">
        <f>IF($N1129&lt;&gt;"",IF(INDEX(CalcDepB,$N1129)=0,"",INDEX(CalcDepB,$N1129)),"")</f>
        <v/>
      </c>
      <c r="F1129" s="23">
        <f>IF($M1129&lt;&gt;"",IF(INDEX(CalcQtyA,$M1129)=0,"",INDEX(CalcQtyA,$M1129)),"")</f>
        <v/>
      </c>
      <c r="G1129" s="23">
        <f>IF($M1129&lt;&gt;"",IF(INDEX(CalcPriceA,$M1129)=0,"",INDEX(CalcPriceA,$M1129)),"")</f>
        <v/>
      </c>
      <c r="H1129" s="23">
        <f>IF($N1129&lt;&gt;"",IF(INDEX(CalcWitB,$N1129)=0,"",INDEX(CalcWitB,$N1129)),"")</f>
        <v/>
      </c>
      <c r="I1129" s="24">
        <f>IF($M1129&lt;&gt;"",INDEX(CalcAmtA,$M1129),"")</f>
        <v/>
      </c>
      <c r="J1129" s="24">
        <f>IF($B1129="","",IF($J1128="",$C$8,$J1128)+IF($I1129="",0,$I1129)+IF($E1129="",0,$E1129)-IF($H1129="",0,$H1129))</f>
        <v/>
      </c>
      <c r="K1129" s="25">
        <f>IF($M1129&lt;&gt;"",IF(INDEX(CalcNoteA,$M1129)="","—",INDEX(CalcNoteA,$M1129)),IF($N1129&lt;&gt;"",IF(INDEX(CalcNoteB,$N1129)="","—",INDEX(CalcNoteB,$N1129)),""))</f>
        <v/>
      </c>
      <c r="M1129">
        <f>IFERROR(MATCH($C$5&amp;"|"&amp;RIGHT("000000"&amp;1113,6),CalcRankKeyA,0),"")</f>
        <v/>
      </c>
      <c r="N1129">
        <f>IFERROR(MATCH($C$5&amp;"|"&amp;RIGHT("000000"&amp;1113,6),CalcRankKeyB,0),"")</f>
        <v/>
      </c>
    </row>
    <row r="1130">
      <c r="A1130" s="26" t="n">
        <v>1114</v>
      </c>
      <c r="B1130" s="27">
        <f>IF(AND($M1130="",$N1130=""),"",IF($M1130&lt;&gt;"",INDEX(CalcDateA,$M1130),INDEX(CalcDateB,$N1130)))</f>
        <v/>
      </c>
      <c r="C1130" s="27">
        <f>IF($M1130&lt;&gt;"","خرید سبد",IF($N1130&lt;&gt;"",IF(N(INDEX(CalcDepB,$N1130))&gt;0,"دریافت بانکی","پرداخت بانکی"),""))</f>
        <v/>
      </c>
      <c r="D1130" s="27">
        <f>IF($M1130&lt;&gt;"",IF(INDEX(CalcDocA,$M1130)="","—",INDEX(CalcDocA,$M1130)),IF($N1130&lt;&gt;"",INDEX(CalcBankB,$N1130),""))</f>
        <v/>
      </c>
      <c r="E1130" s="28">
        <f>IF($N1130&lt;&gt;"",IF(INDEX(CalcDepB,$N1130)=0,"",INDEX(CalcDepB,$N1130)),"")</f>
        <v/>
      </c>
      <c r="F1130" s="28">
        <f>IF($M1130&lt;&gt;"",IF(INDEX(CalcQtyA,$M1130)=0,"",INDEX(CalcQtyA,$M1130)),"")</f>
        <v/>
      </c>
      <c r="G1130" s="28">
        <f>IF($M1130&lt;&gt;"",IF(INDEX(CalcPriceA,$M1130)=0,"",INDEX(CalcPriceA,$M1130)),"")</f>
        <v/>
      </c>
      <c r="H1130" s="28">
        <f>IF($N1130&lt;&gt;"",IF(INDEX(CalcWitB,$N1130)=0,"",INDEX(CalcWitB,$N1130)),"")</f>
        <v/>
      </c>
      <c r="I1130" s="29">
        <f>IF($M1130&lt;&gt;"",INDEX(CalcAmtA,$M1130),"")</f>
        <v/>
      </c>
      <c r="J1130" s="29">
        <f>IF($B1130="","",IF($J1129="",$C$8,$J1129)+IF($I1130="",0,$I1130)+IF($E1130="",0,$E1130)-IF($H1130="",0,$H1130))</f>
        <v/>
      </c>
      <c r="K1130" s="30">
        <f>IF($M1130&lt;&gt;"",IF(INDEX(CalcNoteA,$M1130)="","—",INDEX(CalcNoteA,$M1130)),IF($N1130&lt;&gt;"",IF(INDEX(CalcNoteB,$N1130)="","—",INDEX(CalcNoteB,$N1130)),""))</f>
        <v/>
      </c>
      <c r="M1130">
        <f>IFERROR(MATCH($C$5&amp;"|"&amp;RIGHT("000000"&amp;1114,6),CalcRankKeyA,0),"")</f>
        <v/>
      </c>
      <c r="N1130">
        <f>IFERROR(MATCH($C$5&amp;"|"&amp;RIGHT("000000"&amp;1114,6),CalcRankKeyB,0),"")</f>
        <v/>
      </c>
    </row>
    <row r="1131">
      <c r="A1131" s="21" t="n">
        <v>1115</v>
      </c>
      <c r="B1131" s="22">
        <f>IF(AND($M1131="",$N1131=""),"",IF($M1131&lt;&gt;"",INDEX(CalcDateA,$M1131),INDEX(CalcDateB,$N1131)))</f>
        <v/>
      </c>
      <c r="C1131" s="22">
        <f>IF($M1131&lt;&gt;"","خرید سبد",IF($N1131&lt;&gt;"",IF(N(INDEX(CalcDepB,$N1131))&gt;0,"دریافت بانکی","پرداخت بانکی"),""))</f>
        <v/>
      </c>
      <c r="D1131" s="22">
        <f>IF($M1131&lt;&gt;"",IF(INDEX(CalcDocA,$M1131)="","—",INDEX(CalcDocA,$M1131)),IF($N1131&lt;&gt;"",INDEX(CalcBankB,$N1131),""))</f>
        <v/>
      </c>
      <c r="E1131" s="23">
        <f>IF($N1131&lt;&gt;"",IF(INDEX(CalcDepB,$N1131)=0,"",INDEX(CalcDepB,$N1131)),"")</f>
        <v/>
      </c>
      <c r="F1131" s="23">
        <f>IF($M1131&lt;&gt;"",IF(INDEX(CalcQtyA,$M1131)=0,"",INDEX(CalcQtyA,$M1131)),"")</f>
        <v/>
      </c>
      <c r="G1131" s="23">
        <f>IF($M1131&lt;&gt;"",IF(INDEX(CalcPriceA,$M1131)=0,"",INDEX(CalcPriceA,$M1131)),"")</f>
        <v/>
      </c>
      <c r="H1131" s="23">
        <f>IF($N1131&lt;&gt;"",IF(INDEX(CalcWitB,$N1131)=0,"",INDEX(CalcWitB,$N1131)),"")</f>
        <v/>
      </c>
      <c r="I1131" s="24">
        <f>IF($M1131&lt;&gt;"",INDEX(CalcAmtA,$M1131),"")</f>
        <v/>
      </c>
      <c r="J1131" s="24">
        <f>IF($B1131="","",IF($J1130="",$C$8,$J1130)+IF($I1131="",0,$I1131)+IF($E1131="",0,$E1131)-IF($H1131="",0,$H1131))</f>
        <v/>
      </c>
      <c r="K1131" s="25">
        <f>IF($M1131&lt;&gt;"",IF(INDEX(CalcNoteA,$M1131)="","—",INDEX(CalcNoteA,$M1131)),IF($N1131&lt;&gt;"",IF(INDEX(CalcNoteB,$N1131)="","—",INDEX(CalcNoteB,$N1131)),""))</f>
        <v/>
      </c>
      <c r="M1131">
        <f>IFERROR(MATCH($C$5&amp;"|"&amp;RIGHT("000000"&amp;1115,6),CalcRankKeyA,0),"")</f>
        <v/>
      </c>
      <c r="N1131">
        <f>IFERROR(MATCH($C$5&amp;"|"&amp;RIGHT("000000"&amp;1115,6),CalcRankKeyB,0),"")</f>
        <v/>
      </c>
    </row>
    <row r="1132">
      <c r="A1132" s="26" t="n">
        <v>1116</v>
      </c>
      <c r="B1132" s="27">
        <f>IF(AND($M1132="",$N1132=""),"",IF($M1132&lt;&gt;"",INDEX(CalcDateA,$M1132),INDEX(CalcDateB,$N1132)))</f>
        <v/>
      </c>
      <c r="C1132" s="27">
        <f>IF($M1132&lt;&gt;"","خرید سبد",IF($N1132&lt;&gt;"",IF(N(INDEX(CalcDepB,$N1132))&gt;0,"دریافت بانکی","پرداخت بانکی"),""))</f>
        <v/>
      </c>
      <c r="D1132" s="27">
        <f>IF($M1132&lt;&gt;"",IF(INDEX(CalcDocA,$M1132)="","—",INDEX(CalcDocA,$M1132)),IF($N1132&lt;&gt;"",INDEX(CalcBankB,$N1132),""))</f>
        <v/>
      </c>
      <c r="E1132" s="28">
        <f>IF($N1132&lt;&gt;"",IF(INDEX(CalcDepB,$N1132)=0,"",INDEX(CalcDepB,$N1132)),"")</f>
        <v/>
      </c>
      <c r="F1132" s="28">
        <f>IF($M1132&lt;&gt;"",IF(INDEX(CalcQtyA,$M1132)=0,"",INDEX(CalcQtyA,$M1132)),"")</f>
        <v/>
      </c>
      <c r="G1132" s="28">
        <f>IF($M1132&lt;&gt;"",IF(INDEX(CalcPriceA,$M1132)=0,"",INDEX(CalcPriceA,$M1132)),"")</f>
        <v/>
      </c>
      <c r="H1132" s="28">
        <f>IF($N1132&lt;&gt;"",IF(INDEX(CalcWitB,$N1132)=0,"",INDEX(CalcWitB,$N1132)),"")</f>
        <v/>
      </c>
      <c r="I1132" s="29">
        <f>IF($M1132&lt;&gt;"",INDEX(CalcAmtA,$M1132),"")</f>
        <v/>
      </c>
      <c r="J1132" s="29">
        <f>IF($B1132="","",IF($J1131="",$C$8,$J1131)+IF($I1132="",0,$I1132)+IF($E1132="",0,$E1132)-IF($H1132="",0,$H1132))</f>
        <v/>
      </c>
      <c r="K1132" s="30">
        <f>IF($M1132&lt;&gt;"",IF(INDEX(CalcNoteA,$M1132)="","—",INDEX(CalcNoteA,$M1132)),IF($N1132&lt;&gt;"",IF(INDEX(CalcNoteB,$N1132)="","—",INDEX(CalcNoteB,$N1132)),""))</f>
        <v/>
      </c>
      <c r="M1132">
        <f>IFERROR(MATCH($C$5&amp;"|"&amp;RIGHT("000000"&amp;1116,6),CalcRankKeyA,0),"")</f>
        <v/>
      </c>
      <c r="N1132">
        <f>IFERROR(MATCH($C$5&amp;"|"&amp;RIGHT("000000"&amp;1116,6),CalcRankKeyB,0),"")</f>
        <v/>
      </c>
    </row>
    <row r="1133">
      <c r="A1133" s="21" t="n">
        <v>1117</v>
      </c>
      <c r="B1133" s="22">
        <f>IF(AND($M1133="",$N1133=""),"",IF($M1133&lt;&gt;"",INDEX(CalcDateA,$M1133),INDEX(CalcDateB,$N1133)))</f>
        <v/>
      </c>
      <c r="C1133" s="22">
        <f>IF($M1133&lt;&gt;"","خرید سبد",IF($N1133&lt;&gt;"",IF(N(INDEX(CalcDepB,$N1133))&gt;0,"دریافت بانکی","پرداخت بانکی"),""))</f>
        <v/>
      </c>
      <c r="D1133" s="22">
        <f>IF($M1133&lt;&gt;"",IF(INDEX(CalcDocA,$M1133)="","—",INDEX(CalcDocA,$M1133)),IF($N1133&lt;&gt;"",INDEX(CalcBankB,$N1133),""))</f>
        <v/>
      </c>
      <c r="E1133" s="23">
        <f>IF($N1133&lt;&gt;"",IF(INDEX(CalcDepB,$N1133)=0,"",INDEX(CalcDepB,$N1133)),"")</f>
        <v/>
      </c>
      <c r="F1133" s="23">
        <f>IF($M1133&lt;&gt;"",IF(INDEX(CalcQtyA,$M1133)=0,"",INDEX(CalcQtyA,$M1133)),"")</f>
        <v/>
      </c>
      <c r="G1133" s="23">
        <f>IF($M1133&lt;&gt;"",IF(INDEX(CalcPriceA,$M1133)=0,"",INDEX(CalcPriceA,$M1133)),"")</f>
        <v/>
      </c>
      <c r="H1133" s="23">
        <f>IF($N1133&lt;&gt;"",IF(INDEX(CalcWitB,$N1133)=0,"",INDEX(CalcWitB,$N1133)),"")</f>
        <v/>
      </c>
      <c r="I1133" s="24">
        <f>IF($M1133&lt;&gt;"",INDEX(CalcAmtA,$M1133),"")</f>
        <v/>
      </c>
      <c r="J1133" s="24">
        <f>IF($B1133="","",IF($J1132="",$C$8,$J1132)+IF($I1133="",0,$I1133)+IF($E1133="",0,$E1133)-IF($H1133="",0,$H1133))</f>
        <v/>
      </c>
      <c r="K1133" s="25">
        <f>IF($M1133&lt;&gt;"",IF(INDEX(CalcNoteA,$M1133)="","—",INDEX(CalcNoteA,$M1133)),IF($N1133&lt;&gt;"",IF(INDEX(CalcNoteB,$N1133)="","—",INDEX(CalcNoteB,$N1133)),""))</f>
        <v/>
      </c>
      <c r="M1133">
        <f>IFERROR(MATCH($C$5&amp;"|"&amp;RIGHT("000000"&amp;1117,6),CalcRankKeyA,0),"")</f>
        <v/>
      </c>
      <c r="N1133">
        <f>IFERROR(MATCH($C$5&amp;"|"&amp;RIGHT("000000"&amp;1117,6),CalcRankKeyB,0),"")</f>
        <v/>
      </c>
    </row>
    <row r="1134">
      <c r="A1134" s="26" t="n">
        <v>1118</v>
      </c>
      <c r="B1134" s="27">
        <f>IF(AND($M1134="",$N1134=""),"",IF($M1134&lt;&gt;"",INDEX(CalcDateA,$M1134),INDEX(CalcDateB,$N1134)))</f>
        <v/>
      </c>
      <c r="C1134" s="27">
        <f>IF($M1134&lt;&gt;"","خرید سبد",IF($N1134&lt;&gt;"",IF(N(INDEX(CalcDepB,$N1134))&gt;0,"دریافت بانکی","پرداخت بانکی"),""))</f>
        <v/>
      </c>
      <c r="D1134" s="27">
        <f>IF($M1134&lt;&gt;"",IF(INDEX(CalcDocA,$M1134)="","—",INDEX(CalcDocA,$M1134)),IF($N1134&lt;&gt;"",INDEX(CalcBankB,$N1134),""))</f>
        <v/>
      </c>
      <c r="E1134" s="28">
        <f>IF($N1134&lt;&gt;"",IF(INDEX(CalcDepB,$N1134)=0,"",INDEX(CalcDepB,$N1134)),"")</f>
        <v/>
      </c>
      <c r="F1134" s="28">
        <f>IF($M1134&lt;&gt;"",IF(INDEX(CalcQtyA,$M1134)=0,"",INDEX(CalcQtyA,$M1134)),"")</f>
        <v/>
      </c>
      <c r="G1134" s="28">
        <f>IF($M1134&lt;&gt;"",IF(INDEX(CalcPriceA,$M1134)=0,"",INDEX(CalcPriceA,$M1134)),"")</f>
        <v/>
      </c>
      <c r="H1134" s="28">
        <f>IF($N1134&lt;&gt;"",IF(INDEX(CalcWitB,$N1134)=0,"",INDEX(CalcWitB,$N1134)),"")</f>
        <v/>
      </c>
      <c r="I1134" s="29">
        <f>IF($M1134&lt;&gt;"",INDEX(CalcAmtA,$M1134),"")</f>
        <v/>
      </c>
      <c r="J1134" s="29">
        <f>IF($B1134="","",IF($J1133="",$C$8,$J1133)+IF($I1134="",0,$I1134)+IF($E1134="",0,$E1134)-IF($H1134="",0,$H1134))</f>
        <v/>
      </c>
      <c r="K1134" s="30">
        <f>IF($M1134&lt;&gt;"",IF(INDEX(CalcNoteA,$M1134)="","—",INDEX(CalcNoteA,$M1134)),IF($N1134&lt;&gt;"",IF(INDEX(CalcNoteB,$N1134)="","—",INDEX(CalcNoteB,$N1134)),""))</f>
        <v/>
      </c>
      <c r="M1134">
        <f>IFERROR(MATCH($C$5&amp;"|"&amp;RIGHT("000000"&amp;1118,6),CalcRankKeyA,0),"")</f>
        <v/>
      </c>
      <c r="N1134">
        <f>IFERROR(MATCH($C$5&amp;"|"&amp;RIGHT("000000"&amp;1118,6),CalcRankKeyB,0),"")</f>
        <v/>
      </c>
    </row>
    <row r="1135">
      <c r="A1135" s="21" t="n">
        <v>1119</v>
      </c>
      <c r="B1135" s="22">
        <f>IF(AND($M1135="",$N1135=""),"",IF($M1135&lt;&gt;"",INDEX(CalcDateA,$M1135),INDEX(CalcDateB,$N1135)))</f>
        <v/>
      </c>
      <c r="C1135" s="22">
        <f>IF($M1135&lt;&gt;"","خرید سبد",IF($N1135&lt;&gt;"",IF(N(INDEX(CalcDepB,$N1135))&gt;0,"دریافت بانکی","پرداخت بانکی"),""))</f>
        <v/>
      </c>
      <c r="D1135" s="22">
        <f>IF($M1135&lt;&gt;"",IF(INDEX(CalcDocA,$M1135)="","—",INDEX(CalcDocA,$M1135)),IF($N1135&lt;&gt;"",INDEX(CalcBankB,$N1135),""))</f>
        <v/>
      </c>
      <c r="E1135" s="23">
        <f>IF($N1135&lt;&gt;"",IF(INDEX(CalcDepB,$N1135)=0,"",INDEX(CalcDepB,$N1135)),"")</f>
        <v/>
      </c>
      <c r="F1135" s="23">
        <f>IF($M1135&lt;&gt;"",IF(INDEX(CalcQtyA,$M1135)=0,"",INDEX(CalcQtyA,$M1135)),"")</f>
        <v/>
      </c>
      <c r="G1135" s="23">
        <f>IF($M1135&lt;&gt;"",IF(INDEX(CalcPriceA,$M1135)=0,"",INDEX(CalcPriceA,$M1135)),"")</f>
        <v/>
      </c>
      <c r="H1135" s="23">
        <f>IF($N1135&lt;&gt;"",IF(INDEX(CalcWitB,$N1135)=0,"",INDEX(CalcWitB,$N1135)),"")</f>
        <v/>
      </c>
      <c r="I1135" s="24">
        <f>IF($M1135&lt;&gt;"",INDEX(CalcAmtA,$M1135),"")</f>
        <v/>
      </c>
      <c r="J1135" s="24">
        <f>IF($B1135="","",IF($J1134="",$C$8,$J1134)+IF($I1135="",0,$I1135)+IF($E1135="",0,$E1135)-IF($H1135="",0,$H1135))</f>
        <v/>
      </c>
      <c r="K1135" s="25">
        <f>IF($M1135&lt;&gt;"",IF(INDEX(CalcNoteA,$M1135)="","—",INDEX(CalcNoteA,$M1135)),IF($N1135&lt;&gt;"",IF(INDEX(CalcNoteB,$N1135)="","—",INDEX(CalcNoteB,$N1135)),""))</f>
        <v/>
      </c>
      <c r="M1135">
        <f>IFERROR(MATCH($C$5&amp;"|"&amp;RIGHT("000000"&amp;1119,6),CalcRankKeyA,0),"")</f>
        <v/>
      </c>
      <c r="N1135">
        <f>IFERROR(MATCH($C$5&amp;"|"&amp;RIGHT("000000"&amp;1119,6),CalcRankKeyB,0),"")</f>
        <v/>
      </c>
    </row>
    <row r="1136">
      <c r="A1136" s="26" t="n">
        <v>1120</v>
      </c>
      <c r="B1136" s="27">
        <f>IF(AND($M1136="",$N1136=""),"",IF($M1136&lt;&gt;"",INDEX(CalcDateA,$M1136),INDEX(CalcDateB,$N1136)))</f>
        <v/>
      </c>
      <c r="C1136" s="27">
        <f>IF($M1136&lt;&gt;"","خرید سبد",IF($N1136&lt;&gt;"",IF(N(INDEX(CalcDepB,$N1136))&gt;0,"دریافت بانکی","پرداخت بانکی"),""))</f>
        <v/>
      </c>
      <c r="D1136" s="27">
        <f>IF($M1136&lt;&gt;"",IF(INDEX(CalcDocA,$M1136)="","—",INDEX(CalcDocA,$M1136)),IF($N1136&lt;&gt;"",INDEX(CalcBankB,$N1136),""))</f>
        <v/>
      </c>
      <c r="E1136" s="28">
        <f>IF($N1136&lt;&gt;"",IF(INDEX(CalcDepB,$N1136)=0,"",INDEX(CalcDepB,$N1136)),"")</f>
        <v/>
      </c>
      <c r="F1136" s="28">
        <f>IF($M1136&lt;&gt;"",IF(INDEX(CalcQtyA,$M1136)=0,"",INDEX(CalcQtyA,$M1136)),"")</f>
        <v/>
      </c>
      <c r="G1136" s="28">
        <f>IF($M1136&lt;&gt;"",IF(INDEX(CalcPriceA,$M1136)=0,"",INDEX(CalcPriceA,$M1136)),"")</f>
        <v/>
      </c>
      <c r="H1136" s="28">
        <f>IF($N1136&lt;&gt;"",IF(INDEX(CalcWitB,$N1136)=0,"",INDEX(CalcWitB,$N1136)),"")</f>
        <v/>
      </c>
      <c r="I1136" s="29">
        <f>IF($M1136&lt;&gt;"",INDEX(CalcAmtA,$M1136),"")</f>
        <v/>
      </c>
      <c r="J1136" s="29">
        <f>IF($B1136="","",IF($J1135="",$C$8,$J1135)+IF($I1136="",0,$I1136)+IF($E1136="",0,$E1136)-IF($H1136="",0,$H1136))</f>
        <v/>
      </c>
      <c r="K1136" s="30">
        <f>IF($M1136&lt;&gt;"",IF(INDEX(CalcNoteA,$M1136)="","—",INDEX(CalcNoteA,$M1136)),IF($N1136&lt;&gt;"",IF(INDEX(CalcNoteB,$N1136)="","—",INDEX(CalcNoteB,$N1136)),""))</f>
        <v/>
      </c>
      <c r="M1136">
        <f>IFERROR(MATCH($C$5&amp;"|"&amp;RIGHT("000000"&amp;1120,6),CalcRankKeyA,0),"")</f>
        <v/>
      </c>
      <c r="N1136">
        <f>IFERROR(MATCH($C$5&amp;"|"&amp;RIGHT("000000"&amp;1120,6),CalcRankKeyB,0),"")</f>
        <v/>
      </c>
    </row>
    <row r="1137">
      <c r="A1137" s="21" t="n">
        <v>1121</v>
      </c>
      <c r="B1137" s="22">
        <f>IF(AND($M1137="",$N1137=""),"",IF($M1137&lt;&gt;"",INDEX(CalcDateA,$M1137),INDEX(CalcDateB,$N1137)))</f>
        <v/>
      </c>
      <c r="C1137" s="22">
        <f>IF($M1137&lt;&gt;"","خرید سبد",IF($N1137&lt;&gt;"",IF(N(INDEX(CalcDepB,$N1137))&gt;0,"دریافت بانکی","پرداخت بانکی"),""))</f>
        <v/>
      </c>
      <c r="D1137" s="22">
        <f>IF($M1137&lt;&gt;"",IF(INDEX(CalcDocA,$M1137)="","—",INDEX(CalcDocA,$M1137)),IF($N1137&lt;&gt;"",INDEX(CalcBankB,$N1137),""))</f>
        <v/>
      </c>
      <c r="E1137" s="23">
        <f>IF($N1137&lt;&gt;"",IF(INDEX(CalcDepB,$N1137)=0,"",INDEX(CalcDepB,$N1137)),"")</f>
        <v/>
      </c>
      <c r="F1137" s="23">
        <f>IF($M1137&lt;&gt;"",IF(INDEX(CalcQtyA,$M1137)=0,"",INDEX(CalcQtyA,$M1137)),"")</f>
        <v/>
      </c>
      <c r="G1137" s="23">
        <f>IF($M1137&lt;&gt;"",IF(INDEX(CalcPriceA,$M1137)=0,"",INDEX(CalcPriceA,$M1137)),"")</f>
        <v/>
      </c>
      <c r="H1137" s="23">
        <f>IF($N1137&lt;&gt;"",IF(INDEX(CalcWitB,$N1137)=0,"",INDEX(CalcWitB,$N1137)),"")</f>
        <v/>
      </c>
      <c r="I1137" s="24">
        <f>IF($M1137&lt;&gt;"",INDEX(CalcAmtA,$M1137),"")</f>
        <v/>
      </c>
      <c r="J1137" s="24">
        <f>IF($B1137="","",IF($J1136="",$C$8,$J1136)+IF($I1137="",0,$I1137)+IF($E1137="",0,$E1137)-IF($H1137="",0,$H1137))</f>
        <v/>
      </c>
      <c r="K1137" s="25">
        <f>IF($M1137&lt;&gt;"",IF(INDEX(CalcNoteA,$M1137)="","—",INDEX(CalcNoteA,$M1137)),IF($N1137&lt;&gt;"",IF(INDEX(CalcNoteB,$N1137)="","—",INDEX(CalcNoteB,$N1137)),""))</f>
        <v/>
      </c>
      <c r="M1137">
        <f>IFERROR(MATCH($C$5&amp;"|"&amp;RIGHT("000000"&amp;1121,6),CalcRankKeyA,0),"")</f>
        <v/>
      </c>
      <c r="N1137">
        <f>IFERROR(MATCH($C$5&amp;"|"&amp;RIGHT("000000"&amp;1121,6),CalcRankKeyB,0),"")</f>
        <v/>
      </c>
    </row>
    <row r="1138">
      <c r="A1138" s="26" t="n">
        <v>1122</v>
      </c>
      <c r="B1138" s="27">
        <f>IF(AND($M1138="",$N1138=""),"",IF($M1138&lt;&gt;"",INDEX(CalcDateA,$M1138),INDEX(CalcDateB,$N1138)))</f>
        <v/>
      </c>
      <c r="C1138" s="27">
        <f>IF($M1138&lt;&gt;"","خرید سبد",IF($N1138&lt;&gt;"",IF(N(INDEX(CalcDepB,$N1138))&gt;0,"دریافت بانکی","پرداخت بانکی"),""))</f>
        <v/>
      </c>
      <c r="D1138" s="27">
        <f>IF($M1138&lt;&gt;"",IF(INDEX(CalcDocA,$M1138)="","—",INDEX(CalcDocA,$M1138)),IF($N1138&lt;&gt;"",INDEX(CalcBankB,$N1138),""))</f>
        <v/>
      </c>
      <c r="E1138" s="28">
        <f>IF($N1138&lt;&gt;"",IF(INDEX(CalcDepB,$N1138)=0,"",INDEX(CalcDepB,$N1138)),"")</f>
        <v/>
      </c>
      <c r="F1138" s="28">
        <f>IF($M1138&lt;&gt;"",IF(INDEX(CalcQtyA,$M1138)=0,"",INDEX(CalcQtyA,$M1138)),"")</f>
        <v/>
      </c>
      <c r="G1138" s="28">
        <f>IF($M1138&lt;&gt;"",IF(INDEX(CalcPriceA,$M1138)=0,"",INDEX(CalcPriceA,$M1138)),"")</f>
        <v/>
      </c>
      <c r="H1138" s="28">
        <f>IF($N1138&lt;&gt;"",IF(INDEX(CalcWitB,$N1138)=0,"",INDEX(CalcWitB,$N1138)),"")</f>
        <v/>
      </c>
      <c r="I1138" s="29">
        <f>IF($M1138&lt;&gt;"",INDEX(CalcAmtA,$M1138),"")</f>
        <v/>
      </c>
      <c r="J1138" s="29">
        <f>IF($B1138="","",IF($J1137="",$C$8,$J1137)+IF($I1138="",0,$I1138)+IF($E1138="",0,$E1138)-IF($H1138="",0,$H1138))</f>
        <v/>
      </c>
      <c r="K1138" s="30">
        <f>IF($M1138&lt;&gt;"",IF(INDEX(CalcNoteA,$M1138)="","—",INDEX(CalcNoteA,$M1138)),IF($N1138&lt;&gt;"",IF(INDEX(CalcNoteB,$N1138)="","—",INDEX(CalcNoteB,$N1138)),""))</f>
        <v/>
      </c>
      <c r="M1138">
        <f>IFERROR(MATCH($C$5&amp;"|"&amp;RIGHT("000000"&amp;1122,6),CalcRankKeyA,0),"")</f>
        <v/>
      </c>
      <c r="N1138">
        <f>IFERROR(MATCH($C$5&amp;"|"&amp;RIGHT("000000"&amp;1122,6),CalcRankKeyB,0),"")</f>
        <v/>
      </c>
    </row>
    <row r="1139">
      <c r="A1139" s="21" t="n">
        <v>1123</v>
      </c>
      <c r="B1139" s="22">
        <f>IF(AND($M1139="",$N1139=""),"",IF($M1139&lt;&gt;"",INDEX(CalcDateA,$M1139),INDEX(CalcDateB,$N1139)))</f>
        <v/>
      </c>
      <c r="C1139" s="22">
        <f>IF($M1139&lt;&gt;"","خرید سبد",IF($N1139&lt;&gt;"",IF(N(INDEX(CalcDepB,$N1139))&gt;0,"دریافت بانکی","پرداخت بانکی"),""))</f>
        <v/>
      </c>
      <c r="D1139" s="22">
        <f>IF($M1139&lt;&gt;"",IF(INDEX(CalcDocA,$M1139)="","—",INDEX(CalcDocA,$M1139)),IF($N1139&lt;&gt;"",INDEX(CalcBankB,$N1139),""))</f>
        <v/>
      </c>
      <c r="E1139" s="23">
        <f>IF($N1139&lt;&gt;"",IF(INDEX(CalcDepB,$N1139)=0,"",INDEX(CalcDepB,$N1139)),"")</f>
        <v/>
      </c>
      <c r="F1139" s="23">
        <f>IF($M1139&lt;&gt;"",IF(INDEX(CalcQtyA,$M1139)=0,"",INDEX(CalcQtyA,$M1139)),"")</f>
        <v/>
      </c>
      <c r="G1139" s="23">
        <f>IF($M1139&lt;&gt;"",IF(INDEX(CalcPriceA,$M1139)=0,"",INDEX(CalcPriceA,$M1139)),"")</f>
        <v/>
      </c>
      <c r="H1139" s="23">
        <f>IF($N1139&lt;&gt;"",IF(INDEX(CalcWitB,$N1139)=0,"",INDEX(CalcWitB,$N1139)),"")</f>
        <v/>
      </c>
      <c r="I1139" s="24">
        <f>IF($M1139&lt;&gt;"",INDEX(CalcAmtA,$M1139),"")</f>
        <v/>
      </c>
      <c r="J1139" s="24">
        <f>IF($B1139="","",IF($J1138="",$C$8,$J1138)+IF($I1139="",0,$I1139)+IF($E1139="",0,$E1139)-IF($H1139="",0,$H1139))</f>
        <v/>
      </c>
      <c r="K1139" s="25">
        <f>IF($M1139&lt;&gt;"",IF(INDEX(CalcNoteA,$M1139)="","—",INDEX(CalcNoteA,$M1139)),IF($N1139&lt;&gt;"",IF(INDEX(CalcNoteB,$N1139)="","—",INDEX(CalcNoteB,$N1139)),""))</f>
        <v/>
      </c>
      <c r="M1139">
        <f>IFERROR(MATCH($C$5&amp;"|"&amp;RIGHT("000000"&amp;1123,6),CalcRankKeyA,0),"")</f>
        <v/>
      </c>
      <c r="N1139">
        <f>IFERROR(MATCH($C$5&amp;"|"&amp;RIGHT("000000"&amp;1123,6),CalcRankKeyB,0),"")</f>
        <v/>
      </c>
    </row>
    <row r="1140">
      <c r="A1140" s="26" t="n">
        <v>1124</v>
      </c>
      <c r="B1140" s="27">
        <f>IF(AND($M1140="",$N1140=""),"",IF($M1140&lt;&gt;"",INDEX(CalcDateA,$M1140),INDEX(CalcDateB,$N1140)))</f>
        <v/>
      </c>
      <c r="C1140" s="27">
        <f>IF($M1140&lt;&gt;"","خرید سبد",IF($N1140&lt;&gt;"",IF(N(INDEX(CalcDepB,$N1140))&gt;0,"دریافت بانکی","پرداخت بانکی"),""))</f>
        <v/>
      </c>
      <c r="D1140" s="27">
        <f>IF($M1140&lt;&gt;"",IF(INDEX(CalcDocA,$M1140)="","—",INDEX(CalcDocA,$M1140)),IF($N1140&lt;&gt;"",INDEX(CalcBankB,$N1140),""))</f>
        <v/>
      </c>
      <c r="E1140" s="28">
        <f>IF($N1140&lt;&gt;"",IF(INDEX(CalcDepB,$N1140)=0,"",INDEX(CalcDepB,$N1140)),"")</f>
        <v/>
      </c>
      <c r="F1140" s="28">
        <f>IF($M1140&lt;&gt;"",IF(INDEX(CalcQtyA,$M1140)=0,"",INDEX(CalcQtyA,$M1140)),"")</f>
        <v/>
      </c>
      <c r="G1140" s="28">
        <f>IF($M1140&lt;&gt;"",IF(INDEX(CalcPriceA,$M1140)=0,"",INDEX(CalcPriceA,$M1140)),"")</f>
        <v/>
      </c>
      <c r="H1140" s="28">
        <f>IF($N1140&lt;&gt;"",IF(INDEX(CalcWitB,$N1140)=0,"",INDEX(CalcWitB,$N1140)),"")</f>
        <v/>
      </c>
      <c r="I1140" s="29">
        <f>IF($M1140&lt;&gt;"",INDEX(CalcAmtA,$M1140),"")</f>
        <v/>
      </c>
      <c r="J1140" s="29">
        <f>IF($B1140="","",IF($J1139="",$C$8,$J1139)+IF($I1140="",0,$I1140)+IF($E1140="",0,$E1140)-IF($H1140="",0,$H1140))</f>
        <v/>
      </c>
      <c r="K1140" s="30">
        <f>IF($M1140&lt;&gt;"",IF(INDEX(CalcNoteA,$M1140)="","—",INDEX(CalcNoteA,$M1140)),IF($N1140&lt;&gt;"",IF(INDEX(CalcNoteB,$N1140)="","—",INDEX(CalcNoteB,$N1140)),""))</f>
        <v/>
      </c>
      <c r="M1140">
        <f>IFERROR(MATCH($C$5&amp;"|"&amp;RIGHT("000000"&amp;1124,6),CalcRankKeyA,0),"")</f>
        <v/>
      </c>
      <c r="N1140">
        <f>IFERROR(MATCH($C$5&amp;"|"&amp;RIGHT("000000"&amp;1124,6),CalcRankKeyB,0),"")</f>
        <v/>
      </c>
    </row>
    <row r="1141">
      <c r="A1141" s="21" t="n">
        <v>1125</v>
      </c>
      <c r="B1141" s="22">
        <f>IF(AND($M1141="",$N1141=""),"",IF($M1141&lt;&gt;"",INDEX(CalcDateA,$M1141),INDEX(CalcDateB,$N1141)))</f>
        <v/>
      </c>
      <c r="C1141" s="22">
        <f>IF($M1141&lt;&gt;"","خرید سبد",IF($N1141&lt;&gt;"",IF(N(INDEX(CalcDepB,$N1141))&gt;0,"دریافت بانکی","پرداخت بانکی"),""))</f>
        <v/>
      </c>
      <c r="D1141" s="22">
        <f>IF($M1141&lt;&gt;"",IF(INDEX(CalcDocA,$M1141)="","—",INDEX(CalcDocA,$M1141)),IF($N1141&lt;&gt;"",INDEX(CalcBankB,$N1141),""))</f>
        <v/>
      </c>
      <c r="E1141" s="23">
        <f>IF($N1141&lt;&gt;"",IF(INDEX(CalcDepB,$N1141)=0,"",INDEX(CalcDepB,$N1141)),"")</f>
        <v/>
      </c>
      <c r="F1141" s="23">
        <f>IF($M1141&lt;&gt;"",IF(INDEX(CalcQtyA,$M1141)=0,"",INDEX(CalcQtyA,$M1141)),"")</f>
        <v/>
      </c>
      <c r="G1141" s="23">
        <f>IF($M1141&lt;&gt;"",IF(INDEX(CalcPriceA,$M1141)=0,"",INDEX(CalcPriceA,$M1141)),"")</f>
        <v/>
      </c>
      <c r="H1141" s="23">
        <f>IF($N1141&lt;&gt;"",IF(INDEX(CalcWitB,$N1141)=0,"",INDEX(CalcWitB,$N1141)),"")</f>
        <v/>
      </c>
      <c r="I1141" s="24">
        <f>IF($M1141&lt;&gt;"",INDEX(CalcAmtA,$M1141),"")</f>
        <v/>
      </c>
      <c r="J1141" s="24">
        <f>IF($B1141="","",IF($J1140="",$C$8,$J1140)+IF($I1141="",0,$I1141)+IF($E1141="",0,$E1141)-IF($H1141="",0,$H1141))</f>
        <v/>
      </c>
      <c r="K1141" s="25">
        <f>IF($M1141&lt;&gt;"",IF(INDEX(CalcNoteA,$M1141)="","—",INDEX(CalcNoteA,$M1141)),IF($N1141&lt;&gt;"",IF(INDEX(CalcNoteB,$N1141)="","—",INDEX(CalcNoteB,$N1141)),""))</f>
        <v/>
      </c>
      <c r="M1141">
        <f>IFERROR(MATCH($C$5&amp;"|"&amp;RIGHT("000000"&amp;1125,6),CalcRankKeyA,0),"")</f>
        <v/>
      </c>
      <c r="N1141">
        <f>IFERROR(MATCH($C$5&amp;"|"&amp;RIGHT("000000"&amp;1125,6),CalcRankKeyB,0),"")</f>
        <v/>
      </c>
    </row>
    <row r="1142">
      <c r="A1142" s="26" t="n">
        <v>1126</v>
      </c>
      <c r="B1142" s="27">
        <f>IF(AND($M1142="",$N1142=""),"",IF($M1142&lt;&gt;"",INDEX(CalcDateA,$M1142),INDEX(CalcDateB,$N1142)))</f>
        <v/>
      </c>
      <c r="C1142" s="27">
        <f>IF($M1142&lt;&gt;"","خرید سبد",IF($N1142&lt;&gt;"",IF(N(INDEX(CalcDepB,$N1142))&gt;0,"دریافت بانکی","پرداخت بانکی"),""))</f>
        <v/>
      </c>
      <c r="D1142" s="27">
        <f>IF($M1142&lt;&gt;"",IF(INDEX(CalcDocA,$M1142)="","—",INDEX(CalcDocA,$M1142)),IF($N1142&lt;&gt;"",INDEX(CalcBankB,$N1142),""))</f>
        <v/>
      </c>
      <c r="E1142" s="28">
        <f>IF($N1142&lt;&gt;"",IF(INDEX(CalcDepB,$N1142)=0,"",INDEX(CalcDepB,$N1142)),"")</f>
        <v/>
      </c>
      <c r="F1142" s="28">
        <f>IF($M1142&lt;&gt;"",IF(INDEX(CalcQtyA,$M1142)=0,"",INDEX(CalcQtyA,$M1142)),"")</f>
        <v/>
      </c>
      <c r="G1142" s="28">
        <f>IF($M1142&lt;&gt;"",IF(INDEX(CalcPriceA,$M1142)=0,"",INDEX(CalcPriceA,$M1142)),"")</f>
        <v/>
      </c>
      <c r="H1142" s="28">
        <f>IF($N1142&lt;&gt;"",IF(INDEX(CalcWitB,$N1142)=0,"",INDEX(CalcWitB,$N1142)),"")</f>
        <v/>
      </c>
      <c r="I1142" s="29">
        <f>IF($M1142&lt;&gt;"",INDEX(CalcAmtA,$M1142),"")</f>
        <v/>
      </c>
      <c r="J1142" s="29">
        <f>IF($B1142="","",IF($J1141="",$C$8,$J1141)+IF($I1142="",0,$I1142)+IF($E1142="",0,$E1142)-IF($H1142="",0,$H1142))</f>
        <v/>
      </c>
      <c r="K1142" s="30">
        <f>IF($M1142&lt;&gt;"",IF(INDEX(CalcNoteA,$M1142)="","—",INDEX(CalcNoteA,$M1142)),IF($N1142&lt;&gt;"",IF(INDEX(CalcNoteB,$N1142)="","—",INDEX(CalcNoteB,$N1142)),""))</f>
        <v/>
      </c>
      <c r="M1142">
        <f>IFERROR(MATCH($C$5&amp;"|"&amp;RIGHT("000000"&amp;1126,6),CalcRankKeyA,0),"")</f>
        <v/>
      </c>
      <c r="N1142">
        <f>IFERROR(MATCH($C$5&amp;"|"&amp;RIGHT("000000"&amp;1126,6),CalcRankKeyB,0),"")</f>
        <v/>
      </c>
    </row>
    <row r="1143">
      <c r="A1143" s="21" t="n">
        <v>1127</v>
      </c>
      <c r="B1143" s="22">
        <f>IF(AND($M1143="",$N1143=""),"",IF($M1143&lt;&gt;"",INDEX(CalcDateA,$M1143),INDEX(CalcDateB,$N1143)))</f>
        <v/>
      </c>
      <c r="C1143" s="22">
        <f>IF($M1143&lt;&gt;"","خرید سبد",IF($N1143&lt;&gt;"",IF(N(INDEX(CalcDepB,$N1143))&gt;0,"دریافت بانکی","پرداخت بانکی"),""))</f>
        <v/>
      </c>
      <c r="D1143" s="22">
        <f>IF($M1143&lt;&gt;"",IF(INDEX(CalcDocA,$M1143)="","—",INDEX(CalcDocA,$M1143)),IF($N1143&lt;&gt;"",INDEX(CalcBankB,$N1143),""))</f>
        <v/>
      </c>
      <c r="E1143" s="23">
        <f>IF($N1143&lt;&gt;"",IF(INDEX(CalcDepB,$N1143)=0,"",INDEX(CalcDepB,$N1143)),"")</f>
        <v/>
      </c>
      <c r="F1143" s="23">
        <f>IF($M1143&lt;&gt;"",IF(INDEX(CalcQtyA,$M1143)=0,"",INDEX(CalcQtyA,$M1143)),"")</f>
        <v/>
      </c>
      <c r="G1143" s="23">
        <f>IF($M1143&lt;&gt;"",IF(INDEX(CalcPriceA,$M1143)=0,"",INDEX(CalcPriceA,$M1143)),"")</f>
        <v/>
      </c>
      <c r="H1143" s="23">
        <f>IF($N1143&lt;&gt;"",IF(INDEX(CalcWitB,$N1143)=0,"",INDEX(CalcWitB,$N1143)),"")</f>
        <v/>
      </c>
      <c r="I1143" s="24">
        <f>IF($M1143&lt;&gt;"",INDEX(CalcAmtA,$M1143),"")</f>
        <v/>
      </c>
      <c r="J1143" s="24">
        <f>IF($B1143="","",IF($J1142="",$C$8,$J1142)+IF($I1143="",0,$I1143)+IF($E1143="",0,$E1143)-IF($H1143="",0,$H1143))</f>
        <v/>
      </c>
      <c r="K1143" s="25">
        <f>IF($M1143&lt;&gt;"",IF(INDEX(CalcNoteA,$M1143)="","—",INDEX(CalcNoteA,$M1143)),IF($N1143&lt;&gt;"",IF(INDEX(CalcNoteB,$N1143)="","—",INDEX(CalcNoteB,$N1143)),""))</f>
        <v/>
      </c>
      <c r="M1143">
        <f>IFERROR(MATCH($C$5&amp;"|"&amp;RIGHT("000000"&amp;1127,6),CalcRankKeyA,0),"")</f>
        <v/>
      </c>
      <c r="N1143">
        <f>IFERROR(MATCH($C$5&amp;"|"&amp;RIGHT("000000"&amp;1127,6),CalcRankKeyB,0),"")</f>
        <v/>
      </c>
    </row>
    <row r="1144">
      <c r="A1144" s="26" t="n">
        <v>1128</v>
      </c>
      <c r="B1144" s="27">
        <f>IF(AND($M1144="",$N1144=""),"",IF($M1144&lt;&gt;"",INDEX(CalcDateA,$M1144),INDEX(CalcDateB,$N1144)))</f>
        <v/>
      </c>
      <c r="C1144" s="27">
        <f>IF($M1144&lt;&gt;"","خرید سبد",IF($N1144&lt;&gt;"",IF(N(INDEX(CalcDepB,$N1144))&gt;0,"دریافت بانکی","پرداخت بانکی"),""))</f>
        <v/>
      </c>
      <c r="D1144" s="27">
        <f>IF($M1144&lt;&gt;"",IF(INDEX(CalcDocA,$M1144)="","—",INDEX(CalcDocA,$M1144)),IF($N1144&lt;&gt;"",INDEX(CalcBankB,$N1144),""))</f>
        <v/>
      </c>
      <c r="E1144" s="28">
        <f>IF($N1144&lt;&gt;"",IF(INDEX(CalcDepB,$N1144)=0,"",INDEX(CalcDepB,$N1144)),"")</f>
        <v/>
      </c>
      <c r="F1144" s="28">
        <f>IF($M1144&lt;&gt;"",IF(INDEX(CalcQtyA,$M1144)=0,"",INDEX(CalcQtyA,$M1144)),"")</f>
        <v/>
      </c>
      <c r="G1144" s="28">
        <f>IF($M1144&lt;&gt;"",IF(INDEX(CalcPriceA,$M1144)=0,"",INDEX(CalcPriceA,$M1144)),"")</f>
        <v/>
      </c>
      <c r="H1144" s="28">
        <f>IF($N1144&lt;&gt;"",IF(INDEX(CalcWitB,$N1144)=0,"",INDEX(CalcWitB,$N1144)),"")</f>
        <v/>
      </c>
      <c r="I1144" s="29">
        <f>IF($M1144&lt;&gt;"",INDEX(CalcAmtA,$M1144),"")</f>
        <v/>
      </c>
      <c r="J1144" s="29">
        <f>IF($B1144="","",IF($J1143="",$C$8,$J1143)+IF($I1144="",0,$I1144)+IF($E1144="",0,$E1144)-IF($H1144="",0,$H1144))</f>
        <v/>
      </c>
      <c r="K1144" s="30">
        <f>IF($M1144&lt;&gt;"",IF(INDEX(CalcNoteA,$M1144)="","—",INDEX(CalcNoteA,$M1144)),IF($N1144&lt;&gt;"",IF(INDEX(CalcNoteB,$N1144)="","—",INDEX(CalcNoteB,$N1144)),""))</f>
        <v/>
      </c>
      <c r="M1144">
        <f>IFERROR(MATCH($C$5&amp;"|"&amp;RIGHT("000000"&amp;1128,6),CalcRankKeyA,0),"")</f>
        <v/>
      </c>
      <c r="N1144">
        <f>IFERROR(MATCH($C$5&amp;"|"&amp;RIGHT("000000"&amp;1128,6),CalcRankKeyB,0),"")</f>
        <v/>
      </c>
    </row>
    <row r="1145">
      <c r="A1145" s="21" t="n">
        <v>1129</v>
      </c>
      <c r="B1145" s="22">
        <f>IF(AND($M1145="",$N1145=""),"",IF($M1145&lt;&gt;"",INDEX(CalcDateA,$M1145),INDEX(CalcDateB,$N1145)))</f>
        <v/>
      </c>
      <c r="C1145" s="22">
        <f>IF($M1145&lt;&gt;"","خرید سبد",IF($N1145&lt;&gt;"",IF(N(INDEX(CalcDepB,$N1145))&gt;0,"دریافت بانکی","پرداخت بانکی"),""))</f>
        <v/>
      </c>
      <c r="D1145" s="22">
        <f>IF($M1145&lt;&gt;"",IF(INDEX(CalcDocA,$M1145)="","—",INDEX(CalcDocA,$M1145)),IF($N1145&lt;&gt;"",INDEX(CalcBankB,$N1145),""))</f>
        <v/>
      </c>
      <c r="E1145" s="23">
        <f>IF($N1145&lt;&gt;"",IF(INDEX(CalcDepB,$N1145)=0,"",INDEX(CalcDepB,$N1145)),"")</f>
        <v/>
      </c>
      <c r="F1145" s="23">
        <f>IF($M1145&lt;&gt;"",IF(INDEX(CalcQtyA,$M1145)=0,"",INDEX(CalcQtyA,$M1145)),"")</f>
        <v/>
      </c>
      <c r="G1145" s="23">
        <f>IF($M1145&lt;&gt;"",IF(INDEX(CalcPriceA,$M1145)=0,"",INDEX(CalcPriceA,$M1145)),"")</f>
        <v/>
      </c>
      <c r="H1145" s="23">
        <f>IF($N1145&lt;&gt;"",IF(INDEX(CalcWitB,$N1145)=0,"",INDEX(CalcWitB,$N1145)),"")</f>
        <v/>
      </c>
      <c r="I1145" s="24">
        <f>IF($M1145&lt;&gt;"",INDEX(CalcAmtA,$M1145),"")</f>
        <v/>
      </c>
      <c r="J1145" s="24">
        <f>IF($B1145="","",IF($J1144="",$C$8,$J1144)+IF($I1145="",0,$I1145)+IF($E1145="",0,$E1145)-IF($H1145="",0,$H1145))</f>
        <v/>
      </c>
      <c r="K1145" s="25">
        <f>IF($M1145&lt;&gt;"",IF(INDEX(CalcNoteA,$M1145)="","—",INDEX(CalcNoteA,$M1145)),IF($N1145&lt;&gt;"",IF(INDEX(CalcNoteB,$N1145)="","—",INDEX(CalcNoteB,$N1145)),""))</f>
        <v/>
      </c>
      <c r="M1145">
        <f>IFERROR(MATCH($C$5&amp;"|"&amp;RIGHT("000000"&amp;1129,6),CalcRankKeyA,0),"")</f>
        <v/>
      </c>
      <c r="N1145">
        <f>IFERROR(MATCH($C$5&amp;"|"&amp;RIGHT("000000"&amp;1129,6),CalcRankKeyB,0),"")</f>
        <v/>
      </c>
    </row>
    <row r="1146">
      <c r="A1146" s="26" t="n">
        <v>1130</v>
      </c>
      <c r="B1146" s="27">
        <f>IF(AND($M1146="",$N1146=""),"",IF($M1146&lt;&gt;"",INDEX(CalcDateA,$M1146),INDEX(CalcDateB,$N1146)))</f>
        <v/>
      </c>
      <c r="C1146" s="27">
        <f>IF($M1146&lt;&gt;"","خرید سبد",IF($N1146&lt;&gt;"",IF(N(INDEX(CalcDepB,$N1146))&gt;0,"دریافت بانکی","پرداخت بانکی"),""))</f>
        <v/>
      </c>
      <c r="D1146" s="27">
        <f>IF($M1146&lt;&gt;"",IF(INDEX(CalcDocA,$M1146)="","—",INDEX(CalcDocA,$M1146)),IF($N1146&lt;&gt;"",INDEX(CalcBankB,$N1146),""))</f>
        <v/>
      </c>
      <c r="E1146" s="28">
        <f>IF($N1146&lt;&gt;"",IF(INDEX(CalcDepB,$N1146)=0,"",INDEX(CalcDepB,$N1146)),"")</f>
        <v/>
      </c>
      <c r="F1146" s="28">
        <f>IF($M1146&lt;&gt;"",IF(INDEX(CalcQtyA,$M1146)=0,"",INDEX(CalcQtyA,$M1146)),"")</f>
        <v/>
      </c>
      <c r="G1146" s="28">
        <f>IF($M1146&lt;&gt;"",IF(INDEX(CalcPriceA,$M1146)=0,"",INDEX(CalcPriceA,$M1146)),"")</f>
        <v/>
      </c>
      <c r="H1146" s="28">
        <f>IF($N1146&lt;&gt;"",IF(INDEX(CalcWitB,$N1146)=0,"",INDEX(CalcWitB,$N1146)),"")</f>
        <v/>
      </c>
      <c r="I1146" s="29">
        <f>IF($M1146&lt;&gt;"",INDEX(CalcAmtA,$M1146),"")</f>
        <v/>
      </c>
      <c r="J1146" s="29">
        <f>IF($B1146="","",IF($J1145="",$C$8,$J1145)+IF($I1146="",0,$I1146)+IF($E1146="",0,$E1146)-IF($H1146="",0,$H1146))</f>
        <v/>
      </c>
      <c r="K1146" s="30">
        <f>IF($M1146&lt;&gt;"",IF(INDEX(CalcNoteA,$M1146)="","—",INDEX(CalcNoteA,$M1146)),IF($N1146&lt;&gt;"",IF(INDEX(CalcNoteB,$N1146)="","—",INDEX(CalcNoteB,$N1146)),""))</f>
        <v/>
      </c>
      <c r="M1146">
        <f>IFERROR(MATCH($C$5&amp;"|"&amp;RIGHT("000000"&amp;1130,6),CalcRankKeyA,0),"")</f>
        <v/>
      </c>
      <c r="N1146">
        <f>IFERROR(MATCH($C$5&amp;"|"&amp;RIGHT("000000"&amp;1130,6),CalcRankKeyB,0),"")</f>
        <v/>
      </c>
    </row>
    <row r="1147">
      <c r="A1147" s="21" t="n">
        <v>1131</v>
      </c>
      <c r="B1147" s="22">
        <f>IF(AND($M1147="",$N1147=""),"",IF($M1147&lt;&gt;"",INDEX(CalcDateA,$M1147),INDEX(CalcDateB,$N1147)))</f>
        <v/>
      </c>
      <c r="C1147" s="22">
        <f>IF($M1147&lt;&gt;"","خرید سبد",IF($N1147&lt;&gt;"",IF(N(INDEX(CalcDepB,$N1147))&gt;0,"دریافت بانکی","پرداخت بانکی"),""))</f>
        <v/>
      </c>
      <c r="D1147" s="22">
        <f>IF($M1147&lt;&gt;"",IF(INDEX(CalcDocA,$M1147)="","—",INDEX(CalcDocA,$M1147)),IF($N1147&lt;&gt;"",INDEX(CalcBankB,$N1147),""))</f>
        <v/>
      </c>
      <c r="E1147" s="23">
        <f>IF($N1147&lt;&gt;"",IF(INDEX(CalcDepB,$N1147)=0,"",INDEX(CalcDepB,$N1147)),"")</f>
        <v/>
      </c>
      <c r="F1147" s="23">
        <f>IF($M1147&lt;&gt;"",IF(INDEX(CalcQtyA,$M1147)=0,"",INDEX(CalcQtyA,$M1147)),"")</f>
        <v/>
      </c>
      <c r="G1147" s="23">
        <f>IF($M1147&lt;&gt;"",IF(INDEX(CalcPriceA,$M1147)=0,"",INDEX(CalcPriceA,$M1147)),"")</f>
        <v/>
      </c>
      <c r="H1147" s="23">
        <f>IF($N1147&lt;&gt;"",IF(INDEX(CalcWitB,$N1147)=0,"",INDEX(CalcWitB,$N1147)),"")</f>
        <v/>
      </c>
      <c r="I1147" s="24">
        <f>IF($M1147&lt;&gt;"",INDEX(CalcAmtA,$M1147),"")</f>
        <v/>
      </c>
      <c r="J1147" s="24">
        <f>IF($B1147="","",IF($J1146="",$C$8,$J1146)+IF($I1147="",0,$I1147)+IF($E1147="",0,$E1147)-IF($H1147="",0,$H1147))</f>
        <v/>
      </c>
      <c r="K1147" s="25">
        <f>IF($M1147&lt;&gt;"",IF(INDEX(CalcNoteA,$M1147)="","—",INDEX(CalcNoteA,$M1147)),IF($N1147&lt;&gt;"",IF(INDEX(CalcNoteB,$N1147)="","—",INDEX(CalcNoteB,$N1147)),""))</f>
        <v/>
      </c>
      <c r="M1147">
        <f>IFERROR(MATCH($C$5&amp;"|"&amp;RIGHT("000000"&amp;1131,6),CalcRankKeyA,0),"")</f>
        <v/>
      </c>
      <c r="N1147">
        <f>IFERROR(MATCH($C$5&amp;"|"&amp;RIGHT("000000"&amp;1131,6),CalcRankKeyB,0),"")</f>
        <v/>
      </c>
    </row>
    <row r="1148">
      <c r="A1148" s="26" t="n">
        <v>1132</v>
      </c>
      <c r="B1148" s="27">
        <f>IF(AND($M1148="",$N1148=""),"",IF($M1148&lt;&gt;"",INDEX(CalcDateA,$M1148),INDEX(CalcDateB,$N1148)))</f>
        <v/>
      </c>
      <c r="C1148" s="27">
        <f>IF($M1148&lt;&gt;"","خرید سبد",IF($N1148&lt;&gt;"",IF(N(INDEX(CalcDepB,$N1148))&gt;0,"دریافت بانکی","پرداخت بانکی"),""))</f>
        <v/>
      </c>
      <c r="D1148" s="27">
        <f>IF($M1148&lt;&gt;"",IF(INDEX(CalcDocA,$M1148)="","—",INDEX(CalcDocA,$M1148)),IF($N1148&lt;&gt;"",INDEX(CalcBankB,$N1148),""))</f>
        <v/>
      </c>
      <c r="E1148" s="28">
        <f>IF($N1148&lt;&gt;"",IF(INDEX(CalcDepB,$N1148)=0,"",INDEX(CalcDepB,$N1148)),"")</f>
        <v/>
      </c>
      <c r="F1148" s="28">
        <f>IF($M1148&lt;&gt;"",IF(INDEX(CalcQtyA,$M1148)=0,"",INDEX(CalcQtyA,$M1148)),"")</f>
        <v/>
      </c>
      <c r="G1148" s="28">
        <f>IF($M1148&lt;&gt;"",IF(INDEX(CalcPriceA,$M1148)=0,"",INDEX(CalcPriceA,$M1148)),"")</f>
        <v/>
      </c>
      <c r="H1148" s="28">
        <f>IF($N1148&lt;&gt;"",IF(INDEX(CalcWitB,$N1148)=0,"",INDEX(CalcWitB,$N1148)),"")</f>
        <v/>
      </c>
      <c r="I1148" s="29">
        <f>IF($M1148&lt;&gt;"",INDEX(CalcAmtA,$M1148),"")</f>
        <v/>
      </c>
      <c r="J1148" s="29">
        <f>IF($B1148="","",IF($J1147="",$C$8,$J1147)+IF($I1148="",0,$I1148)+IF($E1148="",0,$E1148)-IF($H1148="",0,$H1148))</f>
        <v/>
      </c>
      <c r="K1148" s="30">
        <f>IF($M1148&lt;&gt;"",IF(INDEX(CalcNoteA,$M1148)="","—",INDEX(CalcNoteA,$M1148)),IF($N1148&lt;&gt;"",IF(INDEX(CalcNoteB,$N1148)="","—",INDEX(CalcNoteB,$N1148)),""))</f>
        <v/>
      </c>
      <c r="M1148">
        <f>IFERROR(MATCH($C$5&amp;"|"&amp;RIGHT("000000"&amp;1132,6),CalcRankKeyA,0),"")</f>
        <v/>
      </c>
      <c r="N1148">
        <f>IFERROR(MATCH($C$5&amp;"|"&amp;RIGHT("000000"&amp;1132,6),CalcRankKeyB,0),"")</f>
        <v/>
      </c>
    </row>
    <row r="1149">
      <c r="A1149" s="21" t="n">
        <v>1133</v>
      </c>
      <c r="B1149" s="22">
        <f>IF(AND($M1149="",$N1149=""),"",IF($M1149&lt;&gt;"",INDEX(CalcDateA,$M1149),INDEX(CalcDateB,$N1149)))</f>
        <v/>
      </c>
      <c r="C1149" s="22">
        <f>IF($M1149&lt;&gt;"","خرید سبد",IF($N1149&lt;&gt;"",IF(N(INDEX(CalcDepB,$N1149))&gt;0,"دریافت بانکی","پرداخت بانکی"),""))</f>
        <v/>
      </c>
      <c r="D1149" s="22">
        <f>IF($M1149&lt;&gt;"",IF(INDEX(CalcDocA,$M1149)="","—",INDEX(CalcDocA,$M1149)),IF($N1149&lt;&gt;"",INDEX(CalcBankB,$N1149),""))</f>
        <v/>
      </c>
      <c r="E1149" s="23">
        <f>IF($N1149&lt;&gt;"",IF(INDEX(CalcDepB,$N1149)=0,"",INDEX(CalcDepB,$N1149)),"")</f>
        <v/>
      </c>
      <c r="F1149" s="23">
        <f>IF($M1149&lt;&gt;"",IF(INDEX(CalcQtyA,$M1149)=0,"",INDEX(CalcQtyA,$M1149)),"")</f>
        <v/>
      </c>
      <c r="G1149" s="23">
        <f>IF($M1149&lt;&gt;"",IF(INDEX(CalcPriceA,$M1149)=0,"",INDEX(CalcPriceA,$M1149)),"")</f>
        <v/>
      </c>
      <c r="H1149" s="23">
        <f>IF($N1149&lt;&gt;"",IF(INDEX(CalcWitB,$N1149)=0,"",INDEX(CalcWitB,$N1149)),"")</f>
        <v/>
      </c>
      <c r="I1149" s="24">
        <f>IF($M1149&lt;&gt;"",INDEX(CalcAmtA,$M1149),"")</f>
        <v/>
      </c>
      <c r="J1149" s="24">
        <f>IF($B1149="","",IF($J1148="",$C$8,$J1148)+IF($I1149="",0,$I1149)+IF($E1149="",0,$E1149)-IF($H1149="",0,$H1149))</f>
        <v/>
      </c>
      <c r="K1149" s="25">
        <f>IF($M1149&lt;&gt;"",IF(INDEX(CalcNoteA,$M1149)="","—",INDEX(CalcNoteA,$M1149)),IF($N1149&lt;&gt;"",IF(INDEX(CalcNoteB,$N1149)="","—",INDEX(CalcNoteB,$N1149)),""))</f>
        <v/>
      </c>
      <c r="M1149">
        <f>IFERROR(MATCH($C$5&amp;"|"&amp;RIGHT("000000"&amp;1133,6),CalcRankKeyA,0),"")</f>
        <v/>
      </c>
      <c r="N1149">
        <f>IFERROR(MATCH($C$5&amp;"|"&amp;RIGHT("000000"&amp;1133,6),CalcRankKeyB,0),"")</f>
        <v/>
      </c>
    </row>
    <row r="1150">
      <c r="A1150" s="26" t="n">
        <v>1134</v>
      </c>
      <c r="B1150" s="27">
        <f>IF(AND($M1150="",$N1150=""),"",IF($M1150&lt;&gt;"",INDEX(CalcDateA,$M1150),INDEX(CalcDateB,$N1150)))</f>
        <v/>
      </c>
      <c r="C1150" s="27">
        <f>IF($M1150&lt;&gt;"","خرید سبد",IF($N1150&lt;&gt;"",IF(N(INDEX(CalcDepB,$N1150))&gt;0,"دریافت بانکی","پرداخت بانکی"),""))</f>
        <v/>
      </c>
      <c r="D1150" s="27">
        <f>IF($M1150&lt;&gt;"",IF(INDEX(CalcDocA,$M1150)="","—",INDEX(CalcDocA,$M1150)),IF($N1150&lt;&gt;"",INDEX(CalcBankB,$N1150),""))</f>
        <v/>
      </c>
      <c r="E1150" s="28">
        <f>IF($N1150&lt;&gt;"",IF(INDEX(CalcDepB,$N1150)=0,"",INDEX(CalcDepB,$N1150)),"")</f>
        <v/>
      </c>
      <c r="F1150" s="28">
        <f>IF($M1150&lt;&gt;"",IF(INDEX(CalcQtyA,$M1150)=0,"",INDEX(CalcQtyA,$M1150)),"")</f>
        <v/>
      </c>
      <c r="G1150" s="28">
        <f>IF($M1150&lt;&gt;"",IF(INDEX(CalcPriceA,$M1150)=0,"",INDEX(CalcPriceA,$M1150)),"")</f>
        <v/>
      </c>
      <c r="H1150" s="28">
        <f>IF($N1150&lt;&gt;"",IF(INDEX(CalcWitB,$N1150)=0,"",INDEX(CalcWitB,$N1150)),"")</f>
        <v/>
      </c>
      <c r="I1150" s="29">
        <f>IF($M1150&lt;&gt;"",INDEX(CalcAmtA,$M1150),"")</f>
        <v/>
      </c>
      <c r="J1150" s="29">
        <f>IF($B1150="","",IF($J1149="",$C$8,$J1149)+IF($I1150="",0,$I1150)+IF($E1150="",0,$E1150)-IF($H1150="",0,$H1150))</f>
        <v/>
      </c>
      <c r="K1150" s="30">
        <f>IF($M1150&lt;&gt;"",IF(INDEX(CalcNoteA,$M1150)="","—",INDEX(CalcNoteA,$M1150)),IF($N1150&lt;&gt;"",IF(INDEX(CalcNoteB,$N1150)="","—",INDEX(CalcNoteB,$N1150)),""))</f>
        <v/>
      </c>
      <c r="M1150">
        <f>IFERROR(MATCH($C$5&amp;"|"&amp;RIGHT("000000"&amp;1134,6),CalcRankKeyA,0),"")</f>
        <v/>
      </c>
      <c r="N1150">
        <f>IFERROR(MATCH($C$5&amp;"|"&amp;RIGHT("000000"&amp;1134,6),CalcRankKeyB,0),"")</f>
        <v/>
      </c>
    </row>
    <row r="1151">
      <c r="A1151" s="21" t="n">
        <v>1135</v>
      </c>
      <c r="B1151" s="22">
        <f>IF(AND($M1151="",$N1151=""),"",IF($M1151&lt;&gt;"",INDEX(CalcDateA,$M1151),INDEX(CalcDateB,$N1151)))</f>
        <v/>
      </c>
      <c r="C1151" s="22">
        <f>IF($M1151&lt;&gt;"","خرید سبد",IF($N1151&lt;&gt;"",IF(N(INDEX(CalcDepB,$N1151))&gt;0,"دریافت بانکی","پرداخت بانکی"),""))</f>
        <v/>
      </c>
      <c r="D1151" s="22">
        <f>IF($M1151&lt;&gt;"",IF(INDEX(CalcDocA,$M1151)="","—",INDEX(CalcDocA,$M1151)),IF($N1151&lt;&gt;"",INDEX(CalcBankB,$N1151),""))</f>
        <v/>
      </c>
      <c r="E1151" s="23">
        <f>IF($N1151&lt;&gt;"",IF(INDEX(CalcDepB,$N1151)=0,"",INDEX(CalcDepB,$N1151)),"")</f>
        <v/>
      </c>
      <c r="F1151" s="23">
        <f>IF($M1151&lt;&gt;"",IF(INDEX(CalcQtyA,$M1151)=0,"",INDEX(CalcQtyA,$M1151)),"")</f>
        <v/>
      </c>
      <c r="G1151" s="23">
        <f>IF($M1151&lt;&gt;"",IF(INDEX(CalcPriceA,$M1151)=0,"",INDEX(CalcPriceA,$M1151)),"")</f>
        <v/>
      </c>
      <c r="H1151" s="23">
        <f>IF($N1151&lt;&gt;"",IF(INDEX(CalcWitB,$N1151)=0,"",INDEX(CalcWitB,$N1151)),"")</f>
        <v/>
      </c>
      <c r="I1151" s="24">
        <f>IF($M1151&lt;&gt;"",INDEX(CalcAmtA,$M1151),"")</f>
        <v/>
      </c>
      <c r="J1151" s="24">
        <f>IF($B1151="","",IF($J1150="",$C$8,$J1150)+IF($I1151="",0,$I1151)+IF($E1151="",0,$E1151)-IF($H1151="",0,$H1151))</f>
        <v/>
      </c>
      <c r="K1151" s="25">
        <f>IF($M1151&lt;&gt;"",IF(INDEX(CalcNoteA,$M1151)="","—",INDEX(CalcNoteA,$M1151)),IF($N1151&lt;&gt;"",IF(INDEX(CalcNoteB,$N1151)="","—",INDEX(CalcNoteB,$N1151)),""))</f>
        <v/>
      </c>
      <c r="M1151">
        <f>IFERROR(MATCH($C$5&amp;"|"&amp;RIGHT("000000"&amp;1135,6),CalcRankKeyA,0),"")</f>
        <v/>
      </c>
      <c r="N1151">
        <f>IFERROR(MATCH($C$5&amp;"|"&amp;RIGHT("000000"&amp;1135,6),CalcRankKeyB,0),"")</f>
        <v/>
      </c>
    </row>
    <row r="1152">
      <c r="A1152" s="26" t="n">
        <v>1136</v>
      </c>
      <c r="B1152" s="27">
        <f>IF(AND($M1152="",$N1152=""),"",IF($M1152&lt;&gt;"",INDEX(CalcDateA,$M1152),INDEX(CalcDateB,$N1152)))</f>
        <v/>
      </c>
      <c r="C1152" s="27">
        <f>IF($M1152&lt;&gt;"","خرید سبد",IF($N1152&lt;&gt;"",IF(N(INDEX(CalcDepB,$N1152))&gt;0,"دریافت بانکی","پرداخت بانکی"),""))</f>
        <v/>
      </c>
      <c r="D1152" s="27">
        <f>IF($M1152&lt;&gt;"",IF(INDEX(CalcDocA,$M1152)="","—",INDEX(CalcDocA,$M1152)),IF($N1152&lt;&gt;"",INDEX(CalcBankB,$N1152),""))</f>
        <v/>
      </c>
      <c r="E1152" s="28">
        <f>IF($N1152&lt;&gt;"",IF(INDEX(CalcDepB,$N1152)=0,"",INDEX(CalcDepB,$N1152)),"")</f>
        <v/>
      </c>
      <c r="F1152" s="28">
        <f>IF($M1152&lt;&gt;"",IF(INDEX(CalcQtyA,$M1152)=0,"",INDEX(CalcQtyA,$M1152)),"")</f>
        <v/>
      </c>
      <c r="G1152" s="28">
        <f>IF($M1152&lt;&gt;"",IF(INDEX(CalcPriceA,$M1152)=0,"",INDEX(CalcPriceA,$M1152)),"")</f>
        <v/>
      </c>
      <c r="H1152" s="28">
        <f>IF($N1152&lt;&gt;"",IF(INDEX(CalcWitB,$N1152)=0,"",INDEX(CalcWitB,$N1152)),"")</f>
        <v/>
      </c>
      <c r="I1152" s="29">
        <f>IF($M1152&lt;&gt;"",INDEX(CalcAmtA,$M1152),"")</f>
        <v/>
      </c>
      <c r="J1152" s="29">
        <f>IF($B1152="","",IF($J1151="",$C$8,$J1151)+IF($I1152="",0,$I1152)+IF($E1152="",0,$E1152)-IF($H1152="",0,$H1152))</f>
        <v/>
      </c>
      <c r="K1152" s="30">
        <f>IF($M1152&lt;&gt;"",IF(INDEX(CalcNoteA,$M1152)="","—",INDEX(CalcNoteA,$M1152)),IF($N1152&lt;&gt;"",IF(INDEX(CalcNoteB,$N1152)="","—",INDEX(CalcNoteB,$N1152)),""))</f>
        <v/>
      </c>
      <c r="M1152">
        <f>IFERROR(MATCH($C$5&amp;"|"&amp;RIGHT("000000"&amp;1136,6),CalcRankKeyA,0),"")</f>
        <v/>
      </c>
      <c r="N1152">
        <f>IFERROR(MATCH($C$5&amp;"|"&amp;RIGHT("000000"&amp;1136,6),CalcRankKeyB,0),"")</f>
        <v/>
      </c>
    </row>
    <row r="1153">
      <c r="A1153" s="21" t="n">
        <v>1137</v>
      </c>
      <c r="B1153" s="22">
        <f>IF(AND($M1153="",$N1153=""),"",IF($M1153&lt;&gt;"",INDEX(CalcDateA,$M1153),INDEX(CalcDateB,$N1153)))</f>
        <v/>
      </c>
      <c r="C1153" s="22">
        <f>IF($M1153&lt;&gt;"","خرید سبد",IF($N1153&lt;&gt;"",IF(N(INDEX(CalcDepB,$N1153))&gt;0,"دریافت بانکی","پرداخت بانکی"),""))</f>
        <v/>
      </c>
      <c r="D1153" s="22">
        <f>IF($M1153&lt;&gt;"",IF(INDEX(CalcDocA,$M1153)="","—",INDEX(CalcDocA,$M1153)),IF($N1153&lt;&gt;"",INDEX(CalcBankB,$N1153),""))</f>
        <v/>
      </c>
      <c r="E1153" s="23">
        <f>IF($N1153&lt;&gt;"",IF(INDEX(CalcDepB,$N1153)=0,"",INDEX(CalcDepB,$N1153)),"")</f>
        <v/>
      </c>
      <c r="F1153" s="23">
        <f>IF($M1153&lt;&gt;"",IF(INDEX(CalcQtyA,$M1153)=0,"",INDEX(CalcQtyA,$M1153)),"")</f>
        <v/>
      </c>
      <c r="G1153" s="23">
        <f>IF($M1153&lt;&gt;"",IF(INDEX(CalcPriceA,$M1153)=0,"",INDEX(CalcPriceA,$M1153)),"")</f>
        <v/>
      </c>
      <c r="H1153" s="23">
        <f>IF($N1153&lt;&gt;"",IF(INDEX(CalcWitB,$N1153)=0,"",INDEX(CalcWitB,$N1153)),"")</f>
        <v/>
      </c>
      <c r="I1153" s="24">
        <f>IF($M1153&lt;&gt;"",INDEX(CalcAmtA,$M1153),"")</f>
        <v/>
      </c>
      <c r="J1153" s="24">
        <f>IF($B1153="","",IF($J1152="",$C$8,$J1152)+IF($I1153="",0,$I1153)+IF($E1153="",0,$E1153)-IF($H1153="",0,$H1153))</f>
        <v/>
      </c>
      <c r="K1153" s="25">
        <f>IF($M1153&lt;&gt;"",IF(INDEX(CalcNoteA,$M1153)="","—",INDEX(CalcNoteA,$M1153)),IF($N1153&lt;&gt;"",IF(INDEX(CalcNoteB,$N1153)="","—",INDEX(CalcNoteB,$N1153)),""))</f>
        <v/>
      </c>
      <c r="M1153">
        <f>IFERROR(MATCH($C$5&amp;"|"&amp;RIGHT("000000"&amp;1137,6),CalcRankKeyA,0),"")</f>
        <v/>
      </c>
      <c r="N1153">
        <f>IFERROR(MATCH($C$5&amp;"|"&amp;RIGHT("000000"&amp;1137,6),CalcRankKeyB,0),"")</f>
        <v/>
      </c>
    </row>
    <row r="1154">
      <c r="A1154" s="26" t="n">
        <v>1138</v>
      </c>
      <c r="B1154" s="27">
        <f>IF(AND($M1154="",$N1154=""),"",IF($M1154&lt;&gt;"",INDEX(CalcDateA,$M1154),INDEX(CalcDateB,$N1154)))</f>
        <v/>
      </c>
      <c r="C1154" s="27">
        <f>IF($M1154&lt;&gt;"","خرید سبد",IF($N1154&lt;&gt;"",IF(N(INDEX(CalcDepB,$N1154))&gt;0,"دریافت بانکی","پرداخت بانکی"),""))</f>
        <v/>
      </c>
      <c r="D1154" s="27">
        <f>IF($M1154&lt;&gt;"",IF(INDEX(CalcDocA,$M1154)="","—",INDEX(CalcDocA,$M1154)),IF($N1154&lt;&gt;"",INDEX(CalcBankB,$N1154),""))</f>
        <v/>
      </c>
      <c r="E1154" s="28">
        <f>IF($N1154&lt;&gt;"",IF(INDEX(CalcDepB,$N1154)=0,"",INDEX(CalcDepB,$N1154)),"")</f>
        <v/>
      </c>
      <c r="F1154" s="28">
        <f>IF($M1154&lt;&gt;"",IF(INDEX(CalcQtyA,$M1154)=0,"",INDEX(CalcQtyA,$M1154)),"")</f>
        <v/>
      </c>
      <c r="G1154" s="28">
        <f>IF($M1154&lt;&gt;"",IF(INDEX(CalcPriceA,$M1154)=0,"",INDEX(CalcPriceA,$M1154)),"")</f>
        <v/>
      </c>
      <c r="H1154" s="28">
        <f>IF($N1154&lt;&gt;"",IF(INDEX(CalcWitB,$N1154)=0,"",INDEX(CalcWitB,$N1154)),"")</f>
        <v/>
      </c>
      <c r="I1154" s="29">
        <f>IF($M1154&lt;&gt;"",INDEX(CalcAmtA,$M1154),"")</f>
        <v/>
      </c>
      <c r="J1154" s="29">
        <f>IF($B1154="","",IF($J1153="",$C$8,$J1153)+IF($I1154="",0,$I1154)+IF($E1154="",0,$E1154)-IF($H1154="",0,$H1154))</f>
        <v/>
      </c>
      <c r="K1154" s="30">
        <f>IF($M1154&lt;&gt;"",IF(INDEX(CalcNoteA,$M1154)="","—",INDEX(CalcNoteA,$M1154)),IF($N1154&lt;&gt;"",IF(INDEX(CalcNoteB,$N1154)="","—",INDEX(CalcNoteB,$N1154)),""))</f>
        <v/>
      </c>
      <c r="M1154">
        <f>IFERROR(MATCH($C$5&amp;"|"&amp;RIGHT("000000"&amp;1138,6),CalcRankKeyA,0),"")</f>
        <v/>
      </c>
      <c r="N1154">
        <f>IFERROR(MATCH($C$5&amp;"|"&amp;RIGHT("000000"&amp;1138,6),CalcRankKeyB,0),"")</f>
        <v/>
      </c>
    </row>
    <row r="1155">
      <c r="A1155" s="21" t="n">
        <v>1139</v>
      </c>
      <c r="B1155" s="22">
        <f>IF(AND($M1155="",$N1155=""),"",IF($M1155&lt;&gt;"",INDEX(CalcDateA,$M1155),INDEX(CalcDateB,$N1155)))</f>
        <v/>
      </c>
      <c r="C1155" s="22">
        <f>IF($M1155&lt;&gt;"","خرید سبد",IF($N1155&lt;&gt;"",IF(N(INDEX(CalcDepB,$N1155))&gt;0,"دریافت بانکی","پرداخت بانکی"),""))</f>
        <v/>
      </c>
      <c r="D1155" s="22">
        <f>IF($M1155&lt;&gt;"",IF(INDEX(CalcDocA,$M1155)="","—",INDEX(CalcDocA,$M1155)),IF($N1155&lt;&gt;"",INDEX(CalcBankB,$N1155),""))</f>
        <v/>
      </c>
      <c r="E1155" s="23">
        <f>IF($N1155&lt;&gt;"",IF(INDEX(CalcDepB,$N1155)=0,"",INDEX(CalcDepB,$N1155)),"")</f>
        <v/>
      </c>
      <c r="F1155" s="23">
        <f>IF($M1155&lt;&gt;"",IF(INDEX(CalcQtyA,$M1155)=0,"",INDEX(CalcQtyA,$M1155)),"")</f>
        <v/>
      </c>
      <c r="G1155" s="23">
        <f>IF($M1155&lt;&gt;"",IF(INDEX(CalcPriceA,$M1155)=0,"",INDEX(CalcPriceA,$M1155)),"")</f>
        <v/>
      </c>
      <c r="H1155" s="23">
        <f>IF($N1155&lt;&gt;"",IF(INDEX(CalcWitB,$N1155)=0,"",INDEX(CalcWitB,$N1155)),"")</f>
        <v/>
      </c>
      <c r="I1155" s="24">
        <f>IF($M1155&lt;&gt;"",INDEX(CalcAmtA,$M1155),"")</f>
        <v/>
      </c>
      <c r="J1155" s="24">
        <f>IF($B1155="","",IF($J1154="",$C$8,$J1154)+IF($I1155="",0,$I1155)+IF($E1155="",0,$E1155)-IF($H1155="",0,$H1155))</f>
        <v/>
      </c>
      <c r="K1155" s="25">
        <f>IF($M1155&lt;&gt;"",IF(INDEX(CalcNoteA,$M1155)="","—",INDEX(CalcNoteA,$M1155)),IF($N1155&lt;&gt;"",IF(INDEX(CalcNoteB,$N1155)="","—",INDEX(CalcNoteB,$N1155)),""))</f>
        <v/>
      </c>
      <c r="M1155">
        <f>IFERROR(MATCH($C$5&amp;"|"&amp;RIGHT("000000"&amp;1139,6),CalcRankKeyA,0),"")</f>
        <v/>
      </c>
      <c r="N1155">
        <f>IFERROR(MATCH($C$5&amp;"|"&amp;RIGHT("000000"&amp;1139,6),CalcRankKeyB,0),"")</f>
        <v/>
      </c>
    </row>
    <row r="1156">
      <c r="A1156" s="26" t="n">
        <v>1140</v>
      </c>
      <c r="B1156" s="27">
        <f>IF(AND($M1156="",$N1156=""),"",IF($M1156&lt;&gt;"",INDEX(CalcDateA,$M1156),INDEX(CalcDateB,$N1156)))</f>
        <v/>
      </c>
      <c r="C1156" s="27">
        <f>IF($M1156&lt;&gt;"","خرید سبد",IF($N1156&lt;&gt;"",IF(N(INDEX(CalcDepB,$N1156))&gt;0,"دریافت بانکی","پرداخت بانکی"),""))</f>
        <v/>
      </c>
      <c r="D1156" s="27">
        <f>IF($M1156&lt;&gt;"",IF(INDEX(CalcDocA,$M1156)="","—",INDEX(CalcDocA,$M1156)),IF($N1156&lt;&gt;"",INDEX(CalcBankB,$N1156),""))</f>
        <v/>
      </c>
      <c r="E1156" s="28">
        <f>IF($N1156&lt;&gt;"",IF(INDEX(CalcDepB,$N1156)=0,"",INDEX(CalcDepB,$N1156)),"")</f>
        <v/>
      </c>
      <c r="F1156" s="28">
        <f>IF($M1156&lt;&gt;"",IF(INDEX(CalcQtyA,$M1156)=0,"",INDEX(CalcQtyA,$M1156)),"")</f>
        <v/>
      </c>
      <c r="G1156" s="28">
        <f>IF($M1156&lt;&gt;"",IF(INDEX(CalcPriceA,$M1156)=0,"",INDEX(CalcPriceA,$M1156)),"")</f>
        <v/>
      </c>
      <c r="H1156" s="28">
        <f>IF($N1156&lt;&gt;"",IF(INDEX(CalcWitB,$N1156)=0,"",INDEX(CalcWitB,$N1156)),"")</f>
        <v/>
      </c>
      <c r="I1156" s="29">
        <f>IF($M1156&lt;&gt;"",INDEX(CalcAmtA,$M1156),"")</f>
        <v/>
      </c>
      <c r="J1156" s="29">
        <f>IF($B1156="","",IF($J1155="",$C$8,$J1155)+IF($I1156="",0,$I1156)+IF($E1156="",0,$E1156)-IF($H1156="",0,$H1156))</f>
        <v/>
      </c>
      <c r="K1156" s="30">
        <f>IF($M1156&lt;&gt;"",IF(INDEX(CalcNoteA,$M1156)="","—",INDEX(CalcNoteA,$M1156)),IF($N1156&lt;&gt;"",IF(INDEX(CalcNoteB,$N1156)="","—",INDEX(CalcNoteB,$N1156)),""))</f>
        <v/>
      </c>
      <c r="M1156">
        <f>IFERROR(MATCH($C$5&amp;"|"&amp;RIGHT("000000"&amp;1140,6),CalcRankKeyA,0),"")</f>
        <v/>
      </c>
      <c r="N1156">
        <f>IFERROR(MATCH($C$5&amp;"|"&amp;RIGHT("000000"&amp;1140,6),CalcRankKeyB,0),"")</f>
        <v/>
      </c>
    </row>
    <row r="1157">
      <c r="A1157" s="21" t="n">
        <v>1141</v>
      </c>
      <c r="B1157" s="22">
        <f>IF(AND($M1157="",$N1157=""),"",IF($M1157&lt;&gt;"",INDEX(CalcDateA,$M1157),INDEX(CalcDateB,$N1157)))</f>
        <v/>
      </c>
      <c r="C1157" s="22">
        <f>IF($M1157&lt;&gt;"","خرید سبد",IF($N1157&lt;&gt;"",IF(N(INDEX(CalcDepB,$N1157))&gt;0,"دریافت بانکی","پرداخت بانکی"),""))</f>
        <v/>
      </c>
      <c r="D1157" s="22">
        <f>IF($M1157&lt;&gt;"",IF(INDEX(CalcDocA,$M1157)="","—",INDEX(CalcDocA,$M1157)),IF($N1157&lt;&gt;"",INDEX(CalcBankB,$N1157),""))</f>
        <v/>
      </c>
      <c r="E1157" s="23">
        <f>IF($N1157&lt;&gt;"",IF(INDEX(CalcDepB,$N1157)=0,"",INDEX(CalcDepB,$N1157)),"")</f>
        <v/>
      </c>
      <c r="F1157" s="23">
        <f>IF($M1157&lt;&gt;"",IF(INDEX(CalcQtyA,$M1157)=0,"",INDEX(CalcQtyA,$M1157)),"")</f>
        <v/>
      </c>
      <c r="G1157" s="23">
        <f>IF($M1157&lt;&gt;"",IF(INDEX(CalcPriceA,$M1157)=0,"",INDEX(CalcPriceA,$M1157)),"")</f>
        <v/>
      </c>
      <c r="H1157" s="23">
        <f>IF($N1157&lt;&gt;"",IF(INDEX(CalcWitB,$N1157)=0,"",INDEX(CalcWitB,$N1157)),"")</f>
        <v/>
      </c>
      <c r="I1157" s="24">
        <f>IF($M1157&lt;&gt;"",INDEX(CalcAmtA,$M1157),"")</f>
        <v/>
      </c>
      <c r="J1157" s="24">
        <f>IF($B1157="","",IF($J1156="",$C$8,$J1156)+IF($I1157="",0,$I1157)+IF($E1157="",0,$E1157)-IF($H1157="",0,$H1157))</f>
        <v/>
      </c>
      <c r="K1157" s="25">
        <f>IF($M1157&lt;&gt;"",IF(INDEX(CalcNoteA,$M1157)="","—",INDEX(CalcNoteA,$M1157)),IF($N1157&lt;&gt;"",IF(INDEX(CalcNoteB,$N1157)="","—",INDEX(CalcNoteB,$N1157)),""))</f>
        <v/>
      </c>
      <c r="M1157">
        <f>IFERROR(MATCH($C$5&amp;"|"&amp;RIGHT("000000"&amp;1141,6),CalcRankKeyA,0),"")</f>
        <v/>
      </c>
      <c r="N1157">
        <f>IFERROR(MATCH($C$5&amp;"|"&amp;RIGHT("000000"&amp;1141,6),CalcRankKeyB,0),"")</f>
        <v/>
      </c>
    </row>
    <row r="1158">
      <c r="A1158" s="26" t="n">
        <v>1142</v>
      </c>
      <c r="B1158" s="27">
        <f>IF(AND($M1158="",$N1158=""),"",IF($M1158&lt;&gt;"",INDEX(CalcDateA,$M1158),INDEX(CalcDateB,$N1158)))</f>
        <v/>
      </c>
      <c r="C1158" s="27">
        <f>IF($M1158&lt;&gt;"","خرید سبد",IF($N1158&lt;&gt;"",IF(N(INDEX(CalcDepB,$N1158))&gt;0,"دریافت بانکی","پرداخت بانکی"),""))</f>
        <v/>
      </c>
      <c r="D1158" s="27">
        <f>IF($M1158&lt;&gt;"",IF(INDEX(CalcDocA,$M1158)="","—",INDEX(CalcDocA,$M1158)),IF($N1158&lt;&gt;"",INDEX(CalcBankB,$N1158),""))</f>
        <v/>
      </c>
      <c r="E1158" s="28">
        <f>IF($N1158&lt;&gt;"",IF(INDEX(CalcDepB,$N1158)=0,"",INDEX(CalcDepB,$N1158)),"")</f>
        <v/>
      </c>
      <c r="F1158" s="28">
        <f>IF($M1158&lt;&gt;"",IF(INDEX(CalcQtyA,$M1158)=0,"",INDEX(CalcQtyA,$M1158)),"")</f>
        <v/>
      </c>
      <c r="G1158" s="28">
        <f>IF($M1158&lt;&gt;"",IF(INDEX(CalcPriceA,$M1158)=0,"",INDEX(CalcPriceA,$M1158)),"")</f>
        <v/>
      </c>
      <c r="H1158" s="28">
        <f>IF($N1158&lt;&gt;"",IF(INDEX(CalcWitB,$N1158)=0,"",INDEX(CalcWitB,$N1158)),"")</f>
        <v/>
      </c>
      <c r="I1158" s="29">
        <f>IF($M1158&lt;&gt;"",INDEX(CalcAmtA,$M1158),"")</f>
        <v/>
      </c>
      <c r="J1158" s="29">
        <f>IF($B1158="","",IF($J1157="",$C$8,$J1157)+IF($I1158="",0,$I1158)+IF($E1158="",0,$E1158)-IF($H1158="",0,$H1158))</f>
        <v/>
      </c>
      <c r="K1158" s="30">
        <f>IF($M1158&lt;&gt;"",IF(INDEX(CalcNoteA,$M1158)="","—",INDEX(CalcNoteA,$M1158)),IF($N1158&lt;&gt;"",IF(INDEX(CalcNoteB,$N1158)="","—",INDEX(CalcNoteB,$N1158)),""))</f>
        <v/>
      </c>
      <c r="M1158">
        <f>IFERROR(MATCH($C$5&amp;"|"&amp;RIGHT("000000"&amp;1142,6),CalcRankKeyA,0),"")</f>
        <v/>
      </c>
      <c r="N1158">
        <f>IFERROR(MATCH($C$5&amp;"|"&amp;RIGHT("000000"&amp;1142,6),CalcRankKeyB,0),"")</f>
        <v/>
      </c>
    </row>
    <row r="1159">
      <c r="A1159" s="21" t="n">
        <v>1143</v>
      </c>
      <c r="B1159" s="22">
        <f>IF(AND($M1159="",$N1159=""),"",IF($M1159&lt;&gt;"",INDEX(CalcDateA,$M1159),INDEX(CalcDateB,$N1159)))</f>
        <v/>
      </c>
      <c r="C1159" s="22">
        <f>IF($M1159&lt;&gt;"","خرید سبد",IF($N1159&lt;&gt;"",IF(N(INDEX(CalcDepB,$N1159))&gt;0,"دریافت بانکی","پرداخت بانکی"),""))</f>
        <v/>
      </c>
      <c r="D1159" s="22">
        <f>IF($M1159&lt;&gt;"",IF(INDEX(CalcDocA,$M1159)="","—",INDEX(CalcDocA,$M1159)),IF($N1159&lt;&gt;"",INDEX(CalcBankB,$N1159),""))</f>
        <v/>
      </c>
      <c r="E1159" s="23">
        <f>IF($N1159&lt;&gt;"",IF(INDEX(CalcDepB,$N1159)=0,"",INDEX(CalcDepB,$N1159)),"")</f>
        <v/>
      </c>
      <c r="F1159" s="23">
        <f>IF($M1159&lt;&gt;"",IF(INDEX(CalcQtyA,$M1159)=0,"",INDEX(CalcQtyA,$M1159)),"")</f>
        <v/>
      </c>
      <c r="G1159" s="23">
        <f>IF($M1159&lt;&gt;"",IF(INDEX(CalcPriceA,$M1159)=0,"",INDEX(CalcPriceA,$M1159)),"")</f>
        <v/>
      </c>
      <c r="H1159" s="23">
        <f>IF($N1159&lt;&gt;"",IF(INDEX(CalcWitB,$N1159)=0,"",INDEX(CalcWitB,$N1159)),"")</f>
        <v/>
      </c>
      <c r="I1159" s="24">
        <f>IF($M1159&lt;&gt;"",INDEX(CalcAmtA,$M1159),"")</f>
        <v/>
      </c>
      <c r="J1159" s="24">
        <f>IF($B1159="","",IF($J1158="",$C$8,$J1158)+IF($I1159="",0,$I1159)+IF($E1159="",0,$E1159)-IF($H1159="",0,$H1159))</f>
        <v/>
      </c>
      <c r="K1159" s="25">
        <f>IF($M1159&lt;&gt;"",IF(INDEX(CalcNoteA,$M1159)="","—",INDEX(CalcNoteA,$M1159)),IF($N1159&lt;&gt;"",IF(INDEX(CalcNoteB,$N1159)="","—",INDEX(CalcNoteB,$N1159)),""))</f>
        <v/>
      </c>
      <c r="M1159">
        <f>IFERROR(MATCH($C$5&amp;"|"&amp;RIGHT("000000"&amp;1143,6),CalcRankKeyA,0),"")</f>
        <v/>
      </c>
      <c r="N1159">
        <f>IFERROR(MATCH($C$5&amp;"|"&amp;RIGHT("000000"&amp;1143,6),CalcRankKeyB,0),"")</f>
        <v/>
      </c>
    </row>
    <row r="1160">
      <c r="A1160" s="26" t="n">
        <v>1144</v>
      </c>
      <c r="B1160" s="27">
        <f>IF(AND($M1160="",$N1160=""),"",IF($M1160&lt;&gt;"",INDEX(CalcDateA,$M1160),INDEX(CalcDateB,$N1160)))</f>
        <v/>
      </c>
      <c r="C1160" s="27">
        <f>IF($M1160&lt;&gt;"","خرید سبد",IF($N1160&lt;&gt;"",IF(N(INDEX(CalcDepB,$N1160))&gt;0,"دریافت بانکی","پرداخت بانکی"),""))</f>
        <v/>
      </c>
      <c r="D1160" s="27">
        <f>IF($M1160&lt;&gt;"",IF(INDEX(CalcDocA,$M1160)="","—",INDEX(CalcDocA,$M1160)),IF($N1160&lt;&gt;"",INDEX(CalcBankB,$N1160),""))</f>
        <v/>
      </c>
      <c r="E1160" s="28">
        <f>IF($N1160&lt;&gt;"",IF(INDEX(CalcDepB,$N1160)=0,"",INDEX(CalcDepB,$N1160)),"")</f>
        <v/>
      </c>
      <c r="F1160" s="28">
        <f>IF($M1160&lt;&gt;"",IF(INDEX(CalcQtyA,$M1160)=0,"",INDEX(CalcQtyA,$M1160)),"")</f>
        <v/>
      </c>
      <c r="G1160" s="28">
        <f>IF($M1160&lt;&gt;"",IF(INDEX(CalcPriceA,$M1160)=0,"",INDEX(CalcPriceA,$M1160)),"")</f>
        <v/>
      </c>
      <c r="H1160" s="28">
        <f>IF($N1160&lt;&gt;"",IF(INDEX(CalcWitB,$N1160)=0,"",INDEX(CalcWitB,$N1160)),"")</f>
        <v/>
      </c>
      <c r="I1160" s="29">
        <f>IF($M1160&lt;&gt;"",INDEX(CalcAmtA,$M1160),"")</f>
        <v/>
      </c>
      <c r="J1160" s="29">
        <f>IF($B1160="","",IF($J1159="",$C$8,$J1159)+IF($I1160="",0,$I1160)+IF($E1160="",0,$E1160)-IF($H1160="",0,$H1160))</f>
        <v/>
      </c>
      <c r="K1160" s="30">
        <f>IF($M1160&lt;&gt;"",IF(INDEX(CalcNoteA,$M1160)="","—",INDEX(CalcNoteA,$M1160)),IF($N1160&lt;&gt;"",IF(INDEX(CalcNoteB,$N1160)="","—",INDEX(CalcNoteB,$N1160)),""))</f>
        <v/>
      </c>
      <c r="M1160">
        <f>IFERROR(MATCH($C$5&amp;"|"&amp;RIGHT("000000"&amp;1144,6),CalcRankKeyA,0),"")</f>
        <v/>
      </c>
      <c r="N1160">
        <f>IFERROR(MATCH($C$5&amp;"|"&amp;RIGHT("000000"&amp;1144,6),CalcRankKeyB,0),"")</f>
        <v/>
      </c>
    </row>
    <row r="1161">
      <c r="A1161" s="21" t="n">
        <v>1145</v>
      </c>
      <c r="B1161" s="22">
        <f>IF(AND($M1161="",$N1161=""),"",IF($M1161&lt;&gt;"",INDEX(CalcDateA,$M1161),INDEX(CalcDateB,$N1161)))</f>
        <v/>
      </c>
      <c r="C1161" s="22">
        <f>IF($M1161&lt;&gt;"","خرید سبد",IF($N1161&lt;&gt;"",IF(N(INDEX(CalcDepB,$N1161))&gt;0,"دریافت بانکی","پرداخت بانکی"),""))</f>
        <v/>
      </c>
      <c r="D1161" s="22">
        <f>IF($M1161&lt;&gt;"",IF(INDEX(CalcDocA,$M1161)="","—",INDEX(CalcDocA,$M1161)),IF($N1161&lt;&gt;"",INDEX(CalcBankB,$N1161),""))</f>
        <v/>
      </c>
      <c r="E1161" s="23">
        <f>IF($N1161&lt;&gt;"",IF(INDEX(CalcDepB,$N1161)=0,"",INDEX(CalcDepB,$N1161)),"")</f>
        <v/>
      </c>
      <c r="F1161" s="23">
        <f>IF($M1161&lt;&gt;"",IF(INDEX(CalcQtyA,$M1161)=0,"",INDEX(CalcQtyA,$M1161)),"")</f>
        <v/>
      </c>
      <c r="G1161" s="23">
        <f>IF($M1161&lt;&gt;"",IF(INDEX(CalcPriceA,$M1161)=0,"",INDEX(CalcPriceA,$M1161)),"")</f>
        <v/>
      </c>
      <c r="H1161" s="23">
        <f>IF($N1161&lt;&gt;"",IF(INDEX(CalcWitB,$N1161)=0,"",INDEX(CalcWitB,$N1161)),"")</f>
        <v/>
      </c>
      <c r="I1161" s="24">
        <f>IF($M1161&lt;&gt;"",INDEX(CalcAmtA,$M1161),"")</f>
        <v/>
      </c>
      <c r="J1161" s="24">
        <f>IF($B1161="","",IF($J1160="",$C$8,$J1160)+IF($I1161="",0,$I1161)+IF($E1161="",0,$E1161)-IF($H1161="",0,$H1161))</f>
        <v/>
      </c>
      <c r="K1161" s="25">
        <f>IF($M1161&lt;&gt;"",IF(INDEX(CalcNoteA,$M1161)="","—",INDEX(CalcNoteA,$M1161)),IF($N1161&lt;&gt;"",IF(INDEX(CalcNoteB,$N1161)="","—",INDEX(CalcNoteB,$N1161)),""))</f>
        <v/>
      </c>
      <c r="M1161">
        <f>IFERROR(MATCH($C$5&amp;"|"&amp;RIGHT("000000"&amp;1145,6),CalcRankKeyA,0),"")</f>
        <v/>
      </c>
      <c r="N1161">
        <f>IFERROR(MATCH($C$5&amp;"|"&amp;RIGHT("000000"&amp;1145,6),CalcRankKeyB,0),"")</f>
        <v/>
      </c>
    </row>
    <row r="1162">
      <c r="A1162" s="26" t="n">
        <v>1146</v>
      </c>
      <c r="B1162" s="27">
        <f>IF(AND($M1162="",$N1162=""),"",IF($M1162&lt;&gt;"",INDEX(CalcDateA,$M1162),INDEX(CalcDateB,$N1162)))</f>
        <v/>
      </c>
      <c r="C1162" s="27">
        <f>IF($M1162&lt;&gt;"","خرید سبد",IF($N1162&lt;&gt;"",IF(N(INDEX(CalcDepB,$N1162))&gt;0,"دریافت بانکی","پرداخت بانکی"),""))</f>
        <v/>
      </c>
      <c r="D1162" s="27">
        <f>IF($M1162&lt;&gt;"",IF(INDEX(CalcDocA,$M1162)="","—",INDEX(CalcDocA,$M1162)),IF($N1162&lt;&gt;"",INDEX(CalcBankB,$N1162),""))</f>
        <v/>
      </c>
      <c r="E1162" s="28">
        <f>IF($N1162&lt;&gt;"",IF(INDEX(CalcDepB,$N1162)=0,"",INDEX(CalcDepB,$N1162)),"")</f>
        <v/>
      </c>
      <c r="F1162" s="28">
        <f>IF($M1162&lt;&gt;"",IF(INDEX(CalcQtyA,$M1162)=0,"",INDEX(CalcQtyA,$M1162)),"")</f>
        <v/>
      </c>
      <c r="G1162" s="28">
        <f>IF($M1162&lt;&gt;"",IF(INDEX(CalcPriceA,$M1162)=0,"",INDEX(CalcPriceA,$M1162)),"")</f>
        <v/>
      </c>
      <c r="H1162" s="28">
        <f>IF($N1162&lt;&gt;"",IF(INDEX(CalcWitB,$N1162)=0,"",INDEX(CalcWitB,$N1162)),"")</f>
        <v/>
      </c>
      <c r="I1162" s="29">
        <f>IF($M1162&lt;&gt;"",INDEX(CalcAmtA,$M1162),"")</f>
        <v/>
      </c>
      <c r="J1162" s="29">
        <f>IF($B1162="","",IF($J1161="",$C$8,$J1161)+IF($I1162="",0,$I1162)+IF($E1162="",0,$E1162)-IF($H1162="",0,$H1162))</f>
        <v/>
      </c>
      <c r="K1162" s="30">
        <f>IF($M1162&lt;&gt;"",IF(INDEX(CalcNoteA,$M1162)="","—",INDEX(CalcNoteA,$M1162)),IF($N1162&lt;&gt;"",IF(INDEX(CalcNoteB,$N1162)="","—",INDEX(CalcNoteB,$N1162)),""))</f>
        <v/>
      </c>
      <c r="M1162">
        <f>IFERROR(MATCH($C$5&amp;"|"&amp;RIGHT("000000"&amp;1146,6),CalcRankKeyA,0),"")</f>
        <v/>
      </c>
      <c r="N1162">
        <f>IFERROR(MATCH($C$5&amp;"|"&amp;RIGHT("000000"&amp;1146,6),CalcRankKeyB,0),"")</f>
        <v/>
      </c>
    </row>
    <row r="1163">
      <c r="A1163" s="21" t="n">
        <v>1147</v>
      </c>
      <c r="B1163" s="22">
        <f>IF(AND($M1163="",$N1163=""),"",IF($M1163&lt;&gt;"",INDEX(CalcDateA,$M1163),INDEX(CalcDateB,$N1163)))</f>
        <v/>
      </c>
      <c r="C1163" s="22">
        <f>IF($M1163&lt;&gt;"","خرید سبد",IF($N1163&lt;&gt;"",IF(N(INDEX(CalcDepB,$N1163))&gt;0,"دریافت بانکی","پرداخت بانکی"),""))</f>
        <v/>
      </c>
      <c r="D1163" s="22">
        <f>IF($M1163&lt;&gt;"",IF(INDEX(CalcDocA,$M1163)="","—",INDEX(CalcDocA,$M1163)),IF($N1163&lt;&gt;"",INDEX(CalcBankB,$N1163),""))</f>
        <v/>
      </c>
      <c r="E1163" s="23">
        <f>IF($N1163&lt;&gt;"",IF(INDEX(CalcDepB,$N1163)=0,"",INDEX(CalcDepB,$N1163)),"")</f>
        <v/>
      </c>
      <c r="F1163" s="23">
        <f>IF($M1163&lt;&gt;"",IF(INDEX(CalcQtyA,$M1163)=0,"",INDEX(CalcQtyA,$M1163)),"")</f>
        <v/>
      </c>
      <c r="G1163" s="23">
        <f>IF($M1163&lt;&gt;"",IF(INDEX(CalcPriceA,$M1163)=0,"",INDEX(CalcPriceA,$M1163)),"")</f>
        <v/>
      </c>
      <c r="H1163" s="23">
        <f>IF($N1163&lt;&gt;"",IF(INDEX(CalcWitB,$N1163)=0,"",INDEX(CalcWitB,$N1163)),"")</f>
        <v/>
      </c>
      <c r="I1163" s="24">
        <f>IF($M1163&lt;&gt;"",INDEX(CalcAmtA,$M1163),"")</f>
        <v/>
      </c>
      <c r="J1163" s="24">
        <f>IF($B1163="","",IF($J1162="",$C$8,$J1162)+IF($I1163="",0,$I1163)+IF($E1163="",0,$E1163)-IF($H1163="",0,$H1163))</f>
        <v/>
      </c>
      <c r="K1163" s="25">
        <f>IF($M1163&lt;&gt;"",IF(INDEX(CalcNoteA,$M1163)="","—",INDEX(CalcNoteA,$M1163)),IF($N1163&lt;&gt;"",IF(INDEX(CalcNoteB,$N1163)="","—",INDEX(CalcNoteB,$N1163)),""))</f>
        <v/>
      </c>
      <c r="M1163">
        <f>IFERROR(MATCH($C$5&amp;"|"&amp;RIGHT("000000"&amp;1147,6),CalcRankKeyA,0),"")</f>
        <v/>
      </c>
      <c r="N1163">
        <f>IFERROR(MATCH($C$5&amp;"|"&amp;RIGHT("000000"&amp;1147,6),CalcRankKeyB,0),"")</f>
        <v/>
      </c>
    </row>
    <row r="1164">
      <c r="A1164" s="26" t="n">
        <v>1148</v>
      </c>
      <c r="B1164" s="27">
        <f>IF(AND($M1164="",$N1164=""),"",IF($M1164&lt;&gt;"",INDEX(CalcDateA,$M1164),INDEX(CalcDateB,$N1164)))</f>
        <v/>
      </c>
      <c r="C1164" s="27">
        <f>IF($M1164&lt;&gt;"","خرید سبد",IF($N1164&lt;&gt;"",IF(N(INDEX(CalcDepB,$N1164))&gt;0,"دریافت بانکی","پرداخت بانکی"),""))</f>
        <v/>
      </c>
      <c r="D1164" s="27">
        <f>IF($M1164&lt;&gt;"",IF(INDEX(CalcDocA,$M1164)="","—",INDEX(CalcDocA,$M1164)),IF($N1164&lt;&gt;"",INDEX(CalcBankB,$N1164),""))</f>
        <v/>
      </c>
      <c r="E1164" s="28">
        <f>IF($N1164&lt;&gt;"",IF(INDEX(CalcDepB,$N1164)=0,"",INDEX(CalcDepB,$N1164)),"")</f>
        <v/>
      </c>
      <c r="F1164" s="28">
        <f>IF($M1164&lt;&gt;"",IF(INDEX(CalcQtyA,$M1164)=0,"",INDEX(CalcQtyA,$M1164)),"")</f>
        <v/>
      </c>
      <c r="G1164" s="28">
        <f>IF($M1164&lt;&gt;"",IF(INDEX(CalcPriceA,$M1164)=0,"",INDEX(CalcPriceA,$M1164)),"")</f>
        <v/>
      </c>
      <c r="H1164" s="28">
        <f>IF($N1164&lt;&gt;"",IF(INDEX(CalcWitB,$N1164)=0,"",INDEX(CalcWitB,$N1164)),"")</f>
        <v/>
      </c>
      <c r="I1164" s="29">
        <f>IF($M1164&lt;&gt;"",INDEX(CalcAmtA,$M1164),"")</f>
        <v/>
      </c>
      <c r="J1164" s="29">
        <f>IF($B1164="","",IF($J1163="",$C$8,$J1163)+IF($I1164="",0,$I1164)+IF($E1164="",0,$E1164)-IF($H1164="",0,$H1164))</f>
        <v/>
      </c>
      <c r="K1164" s="30">
        <f>IF($M1164&lt;&gt;"",IF(INDEX(CalcNoteA,$M1164)="","—",INDEX(CalcNoteA,$M1164)),IF($N1164&lt;&gt;"",IF(INDEX(CalcNoteB,$N1164)="","—",INDEX(CalcNoteB,$N1164)),""))</f>
        <v/>
      </c>
      <c r="M1164">
        <f>IFERROR(MATCH($C$5&amp;"|"&amp;RIGHT("000000"&amp;1148,6),CalcRankKeyA,0),"")</f>
        <v/>
      </c>
      <c r="N1164">
        <f>IFERROR(MATCH($C$5&amp;"|"&amp;RIGHT("000000"&amp;1148,6),CalcRankKeyB,0),"")</f>
        <v/>
      </c>
    </row>
    <row r="1165">
      <c r="A1165" s="21" t="n">
        <v>1149</v>
      </c>
      <c r="B1165" s="22">
        <f>IF(AND($M1165="",$N1165=""),"",IF($M1165&lt;&gt;"",INDEX(CalcDateA,$M1165),INDEX(CalcDateB,$N1165)))</f>
        <v/>
      </c>
      <c r="C1165" s="22">
        <f>IF($M1165&lt;&gt;"","خرید سبد",IF($N1165&lt;&gt;"",IF(N(INDEX(CalcDepB,$N1165))&gt;0,"دریافت بانکی","پرداخت بانکی"),""))</f>
        <v/>
      </c>
      <c r="D1165" s="22">
        <f>IF($M1165&lt;&gt;"",IF(INDEX(CalcDocA,$M1165)="","—",INDEX(CalcDocA,$M1165)),IF($N1165&lt;&gt;"",INDEX(CalcBankB,$N1165),""))</f>
        <v/>
      </c>
      <c r="E1165" s="23">
        <f>IF($N1165&lt;&gt;"",IF(INDEX(CalcDepB,$N1165)=0,"",INDEX(CalcDepB,$N1165)),"")</f>
        <v/>
      </c>
      <c r="F1165" s="23">
        <f>IF($M1165&lt;&gt;"",IF(INDEX(CalcQtyA,$M1165)=0,"",INDEX(CalcQtyA,$M1165)),"")</f>
        <v/>
      </c>
      <c r="G1165" s="23">
        <f>IF($M1165&lt;&gt;"",IF(INDEX(CalcPriceA,$M1165)=0,"",INDEX(CalcPriceA,$M1165)),"")</f>
        <v/>
      </c>
      <c r="H1165" s="23">
        <f>IF($N1165&lt;&gt;"",IF(INDEX(CalcWitB,$N1165)=0,"",INDEX(CalcWitB,$N1165)),"")</f>
        <v/>
      </c>
      <c r="I1165" s="24">
        <f>IF($M1165&lt;&gt;"",INDEX(CalcAmtA,$M1165),"")</f>
        <v/>
      </c>
      <c r="J1165" s="24">
        <f>IF($B1165="","",IF($J1164="",$C$8,$J1164)+IF($I1165="",0,$I1165)+IF($E1165="",0,$E1165)-IF($H1165="",0,$H1165))</f>
        <v/>
      </c>
      <c r="K1165" s="25">
        <f>IF($M1165&lt;&gt;"",IF(INDEX(CalcNoteA,$M1165)="","—",INDEX(CalcNoteA,$M1165)),IF($N1165&lt;&gt;"",IF(INDEX(CalcNoteB,$N1165)="","—",INDEX(CalcNoteB,$N1165)),""))</f>
        <v/>
      </c>
      <c r="M1165">
        <f>IFERROR(MATCH($C$5&amp;"|"&amp;RIGHT("000000"&amp;1149,6),CalcRankKeyA,0),"")</f>
        <v/>
      </c>
      <c r="N1165">
        <f>IFERROR(MATCH($C$5&amp;"|"&amp;RIGHT("000000"&amp;1149,6),CalcRankKeyB,0),"")</f>
        <v/>
      </c>
    </row>
    <row r="1166">
      <c r="A1166" s="26" t="n">
        <v>1150</v>
      </c>
      <c r="B1166" s="27">
        <f>IF(AND($M1166="",$N1166=""),"",IF($M1166&lt;&gt;"",INDEX(CalcDateA,$M1166),INDEX(CalcDateB,$N1166)))</f>
        <v/>
      </c>
      <c r="C1166" s="27">
        <f>IF($M1166&lt;&gt;"","خرید سبد",IF($N1166&lt;&gt;"",IF(N(INDEX(CalcDepB,$N1166))&gt;0,"دریافت بانکی","پرداخت بانکی"),""))</f>
        <v/>
      </c>
      <c r="D1166" s="27">
        <f>IF($M1166&lt;&gt;"",IF(INDEX(CalcDocA,$M1166)="","—",INDEX(CalcDocA,$M1166)),IF($N1166&lt;&gt;"",INDEX(CalcBankB,$N1166),""))</f>
        <v/>
      </c>
      <c r="E1166" s="28">
        <f>IF($N1166&lt;&gt;"",IF(INDEX(CalcDepB,$N1166)=0,"",INDEX(CalcDepB,$N1166)),"")</f>
        <v/>
      </c>
      <c r="F1166" s="28">
        <f>IF($M1166&lt;&gt;"",IF(INDEX(CalcQtyA,$M1166)=0,"",INDEX(CalcQtyA,$M1166)),"")</f>
        <v/>
      </c>
      <c r="G1166" s="28">
        <f>IF($M1166&lt;&gt;"",IF(INDEX(CalcPriceA,$M1166)=0,"",INDEX(CalcPriceA,$M1166)),"")</f>
        <v/>
      </c>
      <c r="H1166" s="28">
        <f>IF($N1166&lt;&gt;"",IF(INDEX(CalcWitB,$N1166)=0,"",INDEX(CalcWitB,$N1166)),"")</f>
        <v/>
      </c>
      <c r="I1166" s="29">
        <f>IF($M1166&lt;&gt;"",INDEX(CalcAmtA,$M1166),"")</f>
        <v/>
      </c>
      <c r="J1166" s="29">
        <f>IF($B1166="","",IF($J1165="",$C$8,$J1165)+IF($I1166="",0,$I1166)+IF($E1166="",0,$E1166)-IF($H1166="",0,$H1166))</f>
        <v/>
      </c>
      <c r="K1166" s="30">
        <f>IF($M1166&lt;&gt;"",IF(INDEX(CalcNoteA,$M1166)="","—",INDEX(CalcNoteA,$M1166)),IF($N1166&lt;&gt;"",IF(INDEX(CalcNoteB,$N1166)="","—",INDEX(CalcNoteB,$N1166)),""))</f>
        <v/>
      </c>
      <c r="M1166">
        <f>IFERROR(MATCH($C$5&amp;"|"&amp;RIGHT("000000"&amp;1150,6),CalcRankKeyA,0),"")</f>
        <v/>
      </c>
      <c r="N1166">
        <f>IFERROR(MATCH($C$5&amp;"|"&amp;RIGHT("000000"&amp;1150,6),CalcRankKeyB,0),"")</f>
        <v/>
      </c>
    </row>
    <row r="1167">
      <c r="A1167" s="21" t="n">
        <v>1151</v>
      </c>
      <c r="B1167" s="22">
        <f>IF(AND($M1167="",$N1167=""),"",IF($M1167&lt;&gt;"",INDEX(CalcDateA,$M1167),INDEX(CalcDateB,$N1167)))</f>
        <v/>
      </c>
      <c r="C1167" s="22">
        <f>IF($M1167&lt;&gt;"","خرید سبد",IF($N1167&lt;&gt;"",IF(N(INDEX(CalcDepB,$N1167))&gt;0,"دریافت بانکی","پرداخت بانکی"),""))</f>
        <v/>
      </c>
      <c r="D1167" s="22">
        <f>IF($M1167&lt;&gt;"",IF(INDEX(CalcDocA,$M1167)="","—",INDEX(CalcDocA,$M1167)),IF($N1167&lt;&gt;"",INDEX(CalcBankB,$N1167),""))</f>
        <v/>
      </c>
      <c r="E1167" s="23">
        <f>IF($N1167&lt;&gt;"",IF(INDEX(CalcDepB,$N1167)=0,"",INDEX(CalcDepB,$N1167)),"")</f>
        <v/>
      </c>
      <c r="F1167" s="23">
        <f>IF($M1167&lt;&gt;"",IF(INDEX(CalcQtyA,$M1167)=0,"",INDEX(CalcQtyA,$M1167)),"")</f>
        <v/>
      </c>
      <c r="G1167" s="23">
        <f>IF($M1167&lt;&gt;"",IF(INDEX(CalcPriceA,$M1167)=0,"",INDEX(CalcPriceA,$M1167)),"")</f>
        <v/>
      </c>
      <c r="H1167" s="23">
        <f>IF($N1167&lt;&gt;"",IF(INDEX(CalcWitB,$N1167)=0,"",INDEX(CalcWitB,$N1167)),"")</f>
        <v/>
      </c>
      <c r="I1167" s="24">
        <f>IF($M1167&lt;&gt;"",INDEX(CalcAmtA,$M1167),"")</f>
        <v/>
      </c>
      <c r="J1167" s="24">
        <f>IF($B1167="","",IF($J1166="",$C$8,$J1166)+IF($I1167="",0,$I1167)+IF($E1167="",0,$E1167)-IF($H1167="",0,$H1167))</f>
        <v/>
      </c>
      <c r="K1167" s="25">
        <f>IF($M1167&lt;&gt;"",IF(INDEX(CalcNoteA,$M1167)="","—",INDEX(CalcNoteA,$M1167)),IF($N1167&lt;&gt;"",IF(INDEX(CalcNoteB,$N1167)="","—",INDEX(CalcNoteB,$N1167)),""))</f>
        <v/>
      </c>
      <c r="M1167">
        <f>IFERROR(MATCH($C$5&amp;"|"&amp;RIGHT("000000"&amp;1151,6),CalcRankKeyA,0),"")</f>
        <v/>
      </c>
      <c r="N1167">
        <f>IFERROR(MATCH($C$5&amp;"|"&amp;RIGHT("000000"&amp;1151,6),CalcRankKeyB,0),"")</f>
        <v/>
      </c>
    </row>
    <row r="1168">
      <c r="A1168" s="26" t="n">
        <v>1152</v>
      </c>
      <c r="B1168" s="27">
        <f>IF(AND($M1168="",$N1168=""),"",IF($M1168&lt;&gt;"",INDEX(CalcDateA,$M1168),INDEX(CalcDateB,$N1168)))</f>
        <v/>
      </c>
      <c r="C1168" s="27">
        <f>IF($M1168&lt;&gt;"","خرید سبد",IF($N1168&lt;&gt;"",IF(N(INDEX(CalcDepB,$N1168))&gt;0,"دریافت بانکی","پرداخت بانکی"),""))</f>
        <v/>
      </c>
      <c r="D1168" s="27">
        <f>IF($M1168&lt;&gt;"",IF(INDEX(CalcDocA,$M1168)="","—",INDEX(CalcDocA,$M1168)),IF($N1168&lt;&gt;"",INDEX(CalcBankB,$N1168),""))</f>
        <v/>
      </c>
      <c r="E1168" s="28">
        <f>IF($N1168&lt;&gt;"",IF(INDEX(CalcDepB,$N1168)=0,"",INDEX(CalcDepB,$N1168)),"")</f>
        <v/>
      </c>
      <c r="F1168" s="28">
        <f>IF($M1168&lt;&gt;"",IF(INDEX(CalcQtyA,$M1168)=0,"",INDEX(CalcQtyA,$M1168)),"")</f>
        <v/>
      </c>
      <c r="G1168" s="28">
        <f>IF($M1168&lt;&gt;"",IF(INDEX(CalcPriceA,$M1168)=0,"",INDEX(CalcPriceA,$M1168)),"")</f>
        <v/>
      </c>
      <c r="H1168" s="28">
        <f>IF($N1168&lt;&gt;"",IF(INDEX(CalcWitB,$N1168)=0,"",INDEX(CalcWitB,$N1168)),"")</f>
        <v/>
      </c>
      <c r="I1168" s="29">
        <f>IF($M1168&lt;&gt;"",INDEX(CalcAmtA,$M1168),"")</f>
        <v/>
      </c>
      <c r="J1168" s="29">
        <f>IF($B1168="","",IF($J1167="",$C$8,$J1167)+IF($I1168="",0,$I1168)+IF($E1168="",0,$E1168)-IF($H1168="",0,$H1168))</f>
        <v/>
      </c>
      <c r="K1168" s="30">
        <f>IF($M1168&lt;&gt;"",IF(INDEX(CalcNoteA,$M1168)="","—",INDEX(CalcNoteA,$M1168)),IF($N1168&lt;&gt;"",IF(INDEX(CalcNoteB,$N1168)="","—",INDEX(CalcNoteB,$N1168)),""))</f>
        <v/>
      </c>
      <c r="M1168">
        <f>IFERROR(MATCH($C$5&amp;"|"&amp;RIGHT("000000"&amp;1152,6),CalcRankKeyA,0),"")</f>
        <v/>
      </c>
      <c r="N1168">
        <f>IFERROR(MATCH($C$5&amp;"|"&amp;RIGHT("000000"&amp;1152,6),CalcRankKeyB,0),"")</f>
        <v/>
      </c>
    </row>
    <row r="1169">
      <c r="A1169" s="21" t="n">
        <v>1153</v>
      </c>
      <c r="B1169" s="22">
        <f>IF(AND($M1169="",$N1169=""),"",IF($M1169&lt;&gt;"",INDEX(CalcDateA,$M1169),INDEX(CalcDateB,$N1169)))</f>
        <v/>
      </c>
      <c r="C1169" s="22">
        <f>IF($M1169&lt;&gt;"","خرید سبد",IF($N1169&lt;&gt;"",IF(N(INDEX(CalcDepB,$N1169))&gt;0,"دریافت بانکی","پرداخت بانکی"),""))</f>
        <v/>
      </c>
      <c r="D1169" s="22">
        <f>IF($M1169&lt;&gt;"",IF(INDEX(CalcDocA,$M1169)="","—",INDEX(CalcDocA,$M1169)),IF($N1169&lt;&gt;"",INDEX(CalcBankB,$N1169),""))</f>
        <v/>
      </c>
      <c r="E1169" s="23">
        <f>IF($N1169&lt;&gt;"",IF(INDEX(CalcDepB,$N1169)=0,"",INDEX(CalcDepB,$N1169)),"")</f>
        <v/>
      </c>
      <c r="F1169" s="23">
        <f>IF($M1169&lt;&gt;"",IF(INDEX(CalcQtyA,$M1169)=0,"",INDEX(CalcQtyA,$M1169)),"")</f>
        <v/>
      </c>
      <c r="G1169" s="23">
        <f>IF($M1169&lt;&gt;"",IF(INDEX(CalcPriceA,$M1169)=0,"",INDEX(CalcPriceA,$M1169)),"")</f>
        <v/>
      </c>
      <c r="H1169" s="23">
        <f>IF($N1169&lt;&gt;"",IF(INDEX(CalcWitB,$N1169)=0,"",INDEX(CalcWitB,$N1169)),"")</f>
        <v/>
      </c>
      <c r="I1169" s="24">
        <f>IF($M1169&lt;&gt;"",INDEX(CalcAmtA,$M1169),"")</f>
        <v/>
      </c>
      <c r="J1169" s="24">
        <f>IF($B1169="","",IF($J1168="",$C$8,$J1168)+IF($I1169="",0,$I1169)+IF($E1169="",0,$E1169)-IF($H1169="",0,$H1169))</f>
        <v/>
      </c>
      <c r="K1169" s="25">
        <f>IF($M1169&lt;&gt;"",IF(INDEX(CalcNoteA,$M1169)="","—",INDEX(CalcNoteA,$M1169)),IF($N1169&lt;&gt;"",IF(INDEX(CalcNoteB,$N1169)="","—",INDEX(CalcNoteB,$N1169)),""))</f>
        <v/>
      </c>
      <c r="M1169">
        <f>IFERROR(MATCH($C$5&amp;"|"&amp;RIGHT("000000"&amp;1153,6),CalcRankKeyA,0),"")</f>
        <v/>
      </c>
      <c r="N1169">
        <f>IFERROR(MATCH($C$5&amp;"|"&amp;RIGHT("000000"&amp;1153,6),CalcRankKeyB,0),"")</f>
        <v/>
      </c>
    </row>
    <row r="1170">
      <c r="A1170" s="26" t="n">
        <v>1154</v>
      </c>
      <c r="B1170" s="27">
        <f>IF(AND($M1170="",$N1170=""),"",IF($M1170&lt;&gt;"",INDEX(CalcDateA,$M1170),INDEX(CalcDateB,$N1170)))</f>
        <v/>
      </c>
      <c r="C1170" s="27">
        <f>IF($M1170&lt;&gt;"","خرید سبد",IF($N1170&lt;&gt;"",IF(N(INDEX(CalcDepB,$N1170))&gt;0,"دریافت بانکی","پرداخت بانکی"),""))</f>
        <v/>
      </c>
      <c r="D1170" s="27">
        <f>IF($M1170&lt;&gt;"",IF(INDEX(CalcDocA,$M1170)="","—",INDEX(CalcDocA,$M1170)),IF($N1170&lt;&gt;"",INDEX(CalcBankB,$N1170),""))</f>
        <v/>
      </c>
      <c r="E1170" s="28">
        <f>IF($N1170&lt;&gt;"",IF(INDEX(CalcDepB,$N1170)=0,"",INDEX(CalcDepB,$N1170)),"")</f>
        <v/>
      </c>
      <c r="F1170" s="28">
        <f>IF($M1170&lt;&gt;"",IF(INDEX(CalcQtyA,$M1170)=0,"",INDEX(CalcQtyA,$M1170)),"")</f>
        <v/>
      </c>
      <c r="G1170" s="28">
        <f>IF($M1170&lt;&gt;"",IF(INDEX(CalcPriceA,$M1170)=0,"",INDEX(CalcPriceA,$M1170)),"")</f>
        <v/>
      </c>
      <c r="H1170" s="28">
        <f>IF($N1170&lt;&gt;"",IF(INDEX(CalcWitB,$N1170)=0,"",INDEX(CalcWitB,$N1170)),"")</f>
        <v/>
      </c>
      <c r="I1170" s="29">
        <f>IF($M1170&lt;&gt;"",INDEX(CalcAmtA,$M1170),"")</f>
        <v/>
      </c>
      <c r="J1170" s="29">
        <f>IF($B1170="","",IF($J1169="",$C$8,$J1169)+IF($I1170="",0,$I1170)+IF($E1170="",0,$E1170)-IF($H1170="",0,$H1170))</f>
        <v/>
      </c>
      <c r="K1170" s="30">
        <f>IF($M1170&lt;&gt;"",IF(INDEX(CalcNoteA,$M1170)="","—",INDEX(CalcNoteA,$M1170)),IF($N1170&lt;&gt;"",IF(INDEX(CalcNoteB,$N1170)="","—",INDEX(CalcNoteB,$N1170)),""))</f>
        <v/>
      </c>
      <c r="M1170">
        <f>IFERROR(MATCH($C$5&amp;"|"&amp;RIGHT("000000"&amp;1154,6),CalcRankKeyA,0),"")</f>
        <v/>
      </c>
      <c r="N1170">
        <f>IFERROR(MATCH($C$5&amp;"|"&amp;RIGHT("000000"&amp;1154,6),CalcRankKeyB,0),"")</f>
        <v/>
      </c>
    </row>
    <row r="1171">
      <c r="A1171" s="21" t="n">
        <v>1155</v>
      </c>
      <c r="B1171" s="22">
        <f>IF(AND($M1171="",$N1171=""),"",IF($M1171&lt;&gt;"",INDEX(CalcDateA,$M1171),INDEX(CalcDateB,$N1171)))</f>
        <v/>
      </c>
      <c r="C1171" s="22">
        <f>IF($M1171&lt;&gt;"","خرید سبد",IF($N1171&lt;&gt;"",IF(N(INDEX(CalcDepB,$N1171))&gt;0,"دریافت بانکی","پرداخت بانکی"),""))</f>
        <v/>
      </c>
      <c r="D1171" s="22">
        <f>IF($M1171&lt;&gt;"",IF(INDEX(CalcDocA,$M1171)="","—",INDEX(CalcDocA,$M1171)),IF($N1171&lt;&gt;"",INDEX(CalcBankB,$N1171),""))</f>
        <v/>
      </c>
      <c r="E1171" s="23">
        <f>IF($N1171&lt;&gt;"",IF(INDEX(CalcDepB,$N1171)=0,"",INDEX(CalcDepB,$N1171)),"")</f>
        <v/>
      </c>
      <c r="F1171" s="23">
        <f>IF($M1171&lt;&gt;"",IF(INDEX(CalcQtyA,$M1171)=0,"",INDEX(CalcQtyA,$M1171)),"")</f>
        <v/>
      </c>
      <c r="G1171" s="23">
        <f>IF($M1171&lt;&gt;"",IF(INDEX(CalcPriceA,$M1171)=0,"",INDEX(CalcPriceA,$M1171)),"")</f>
        <v/>
      </c>
      <c r="H1171" s="23">
        <f>IF($N1171&lt;&gt;"",IF(INDEX(CalcWitB,$N1171)=0,"",INDEX(CalcWitB,$N1171)),"")</f>
        <v/>
      </c>
      <c r="I1171" s="24">
        <f>IF($M1171&lt;&gt;"",INDEX(CalcAmtA,$M1171),"")</f>
        <v/>
      </c>
      <c r="J1171" s="24">
        <f>IF($B1171="","",IF($J1170="",$C$8,$J1170)+IF($I1171="",0,$I1171)+IF($E1171="",0,$E1171)-IF($H1171="",0,$H1171))</f>
        <v/>
      </c>
      <c r="K1171" s="25">
        <f>IF($M1171&lt;&gt;"",IF(INDEX(CalcNoteA,$M1171)="","—",INDEX(CalcNoteA,$M1171)),IF($N1171&lt;&gt;"",IF(INDEX(CalcNoteB,$N1171)="","—",INDEX(CalcNoteB,$N1171)),""))</f>
        <v/>
      </c>
      <c r="M1171">
        <f>IFERROR(MATCH($C$5&amp;"|"&amp;RIGHT("000000"&amp;1155,6),CalcRankKeyA,0),"")</f>
        <v/>
      </c>
      <c r="N1171">
        <f>IFERROR(MATCH($C$5&amp;"|"&amp;RIGHT("000000"&amp;1155,6),CalcRankKeyB,0),"")</f>
        <v/>
      </c>
    </row>
    <row r="1172">
      <c r="A1172" s="26" t="n">
        <v>1156</v>
      </c>
      <c r="B1172" s="27">
        <f>IF(AND($M1172="",$N1172=""),"",IF($M1172&lt;&gt;"",INDEX(CalcDateA,$M1172),INDEX(CalcDateB,$N1172)))</f>
        <v/>
      </c>
      <c r="C1172" s="27">
        <f>IF($M1172&lt;&gt;"","خرید سبد",IF($N1172&lt;&gt;"",IF(N(INDEX(CalcDepB,$N1172))&gt;0,"دریافت بانکی","پرداخت بانکی"),""))</f>
        <v/>
      </c>
      <c r="D1172" s="27">
        <f>IF($M1172&lt;&gt;"",IF(INDEX(CalcDocA,$M1172)="","—",INDEX(CalcDocA,$M1172)),IF($N1172&lt;&gt;"",INDEX(CalcBankB,$N1172),""))</f>
        <v/>
      </c>
      <c r="E1172" s="28">
        <f>IF($N1172&lt;&gt;"",IF(INDEX(CalcDepB,$N1172)=0,"",INDEX(CalcDepB,$N1172)),"")</f>
        <v/>
      </c>
      <c r="F1172" s="28">
        <f>IF($M1172&lt;&gt;"",IF(INDEX(CalcQtyA,$M1172)=0,"",INDEX(CalcQtyA,$M1172)),"")</f>
        <v/>
      </c>
      <c r="G1172" s="28">
        <f>IF($M1172&lt;&gt;"",IF(INDEX(CalcPriceA,$M1172)=0,"",INDEX(CalcPriceA,$M1172)),"")</f>
        <v/>
      </c>
      <c r="H1172" s="28">
        <f>IF($N1172&lt;&gt;"",IF(INDEX(CalcWitB,$N1172)=0,"",INDEX(CalcWitB,$N1172)),"")</f>
        <v/>
      </c>
      <c r="I1172" s="29">
        <f>IF($M1172&lt;&gt;"",INDEX(CalcAmtA,$M1172),"")</f>
        <v/>
      </c>
      <c r="J1172" s="29">
        <f>IF($B1172="","",IF($J1171="",$C$8,$J1171)+IF($I1172="",0,$I1172)+IF($E1172="",0,$E1172)-IF($H1172="",0,$H1172))</f>
        <v/>
      </c>
      <c r="K1172" s="30">
        <f>IF($M1172&lt;&gt;"",IF(INDEX(CalcNoteA,$M1172)="","—",INDEX(CalcNoteA,$M1172)),IF($N1172&lt;&gt;"",IF(INDEX(CalcNoteB,$N1172)="","—",INDEX(CalcNoteB,$N1172)),""))</f>
        <v/>
      </c>
      <c r="M1172">
        <f>IFERROR(MATCH($C$5&amp;"|"&amp;RIGHT("000000"&amp;1156,6),CalcRankKeyA,0),"")</f>
        <v/>
      </c>
      <c r="N1172">
        <f>IFERROR(MATCH($C$5&amp;"|"&amp;RIGHT("000000"&amp;1156,6),CalcRankKeyB,0),"")</f>
        <v/>
      </c>
    </row>
    <row r="1173">
      <c r="A1173" s="21" t="n">
        <v>1157</v>
      </c>
      <c r="B1173" s="22">
        <f>IF(AND($M1173="",$N1173=""),"",IF($M1173&lt;&gt;"",INDEX(CalcDateA,$M1173),INDEX(CalcDateB,$N1173)))</f>
        <v/>
      </c>
      <c r="C1173" s="22">
        <f>IF($M1173&lt;&gt;"","خرید سبد",IF($N1173&lt;&gt;"",IF(N(INDEX(CalcDepB,$N1173))&gt;0,"دریافت بانکی","پرداخت بانکی"),""))</f>
        <v/>
      </c>
      <c r="D1173" s="22">
        <f>IF($M1173&lt;&gt;"",IF(INDEX(CalcDocA,$M1173)="","—",INDEX(CalcDocA,$M1173)),IF($N1173&lt;&gt;"",INDEX(CalcBankB,$N1173),""))</f>
        <v/>
      </c>
      <c r="E1173" s="23">
        <f>IF($N1173&lt;&gt;"",IF(INDEX(CalcDepB,$N1173)=0,"",INDEX(CalcDepB,$N1173)),"")</f>
        <v/>
      </c>
      <c r="F1173" s="23">
        <f>IF($M1173&lt;&gt;"",IF(INDEX(CalcQtyA,$M1173)=0,"",INDEX(CalcQtyA,$M1173)),"")</f>
        <v/>
      </c>
      <c r="G1173" s="23">
        <f>IF($M1173&lt;&gt;"",IF(INDEX(CalcPriceA,$M1173)=0,"",INDEX(CalcPriceA,$M1173)),"")</f>
        <v/>
      </c>
      <c r="H1173" s="23">
        <f>IF($N1173&lt;&gt;"",IF(INDEX(CalcWitB,$N1173)=0,"",INDEX(CalcWitB,$N1173)),"")</f>
        <v/>
      </c>
      <c r="I1173" s="24">
        <f>IF($M1173&lt;&gt;"",INDEX(CalcAmtA,$M1173),"")</f>
        <v/>
      </c>
      <c r="J1173" s="24">
        <f>IF($B1173="","",IF($J1172="",$C$8,$J1172)+IF($I1173="",0,$I1173)+IF($E1173="",0,$E1173)-IF($H1173="",0,$H1173))</f>
        <v/>
      </c>
      <c r="K1173" s="25">
        <f>IF($M1173&lt;&gt;"",IF(INDEX(CalcNoteA,$M1173)="","—",INDEX(CalcNoteA,$M1173)),IF($N1173&lt;&gt;"",IF(INDEX(CalcNoteB,$N1173)="","—",INDEX(CalcNoteB,$N1173)),""))</f>
        <v/>
      </c>
      <c r="M1173">
        <f>IFERROR(MATCH($C$5&amp;"|"&amp;RIGHT("000000"&amp;1157,6),CalcRankKeyA,0),"")</f>
        <v/>
      </c>
      <c r="N1173">
        <f>IFERROR(MATCH($C$5&amp;"|"&amp;RIGHT("000000"&amp;1157,6),CalcRankKeyB,0),"")</f>
        <v/>
      </c>
    </row>
    <row r="1174">
      <c r="A1174" s="26" t="n">
        <v>1158</v>
      </c>
      <c r="B1174" s="27">
        <f>IF(AND($M1174="",$N1174=""),"",IF($M1174&lt;&gt;"",INDEX(CalcDateA,$M1174),INDEX(CalcDateB,$N1174)))</f>
        <v/>
      </c>
      <c r="C1174" s="27">
        <f>IF($M1174&lt;&gt;"","خرید سبد",IF($N1174&lt;&gt;"",IF(N(INDEX(CalcDepB,$N1174))&gt;0,"دریافت بانکی","پرداخت بانکی"),""))</f>
        <v/>
      </c>
      <c r="D1174" s="27">
        <f>IF($M1174&lt;&gt;"",IF(INDEX(CalcDocA,$M1174)="","—",INDEX(CalcDocA,$M1174)),IF($N1174&lt;&gt;"",INDEX(CalcBankB,$N1174),""))</f>
        <v/>
      </c>
      <c r="E1174" s="28">
        <f>IF($N1174&lt;&gt;"",IF(INDEX(CalcDepB,$N1174)=0,"",INDEX(CalcDepB,$N1174)),"")</f>
        <v/>
      </c>
      <c r="F1174" s="28">
        <f>IF($M1174&lt;&gt;"",IF(INDEX(CalcQtyA,$M1174)=0,"",INDEX(CalcQtyA,$M1174)),"")</f>
        <v/>
      </c>
      <c r="G1174" s="28">
        <f>IF($M1174&lt;&gt;"",IF(INDEX(CalcPriceA,$M1174)=0,"",INDEX(CalcPriceA,$M1174)),"")</f>
        <v/>
      </c>
      <c r="H1174" s="28">
        <f>IF($N1174&lt;&gt;"",IF(INDEX(CalcWitB,$N1174)=0,"",INDEX(CalcWitB,$N1174)),"")</f>
        <v/>
      </c>
      <c r="I1174" s="29">
        <f>IF($M1174&lt;&gt;"",INDEX(CalcAmtA,$M1174),"")</f>
        <v/>
      </c>
      <c r="J1174" s="29">
        <f>IF($B1174="","",IF($J1173="",$C$8,$J1173)+IF($I1174="",0,$I1174)+IF($E1174="",0,$E1174)-IF($H1174="",0,$H1174))</f>
        <v/>
      </c>
      <c r="K1174" s="30">
        <f>IF($M1174&lt;&gt;"",IF(INDEX(CalcNoteA,$M1174)="","—",INDEX(CalcNoteA,$M1174)),IF($N1174&lt;&gt;"",IF(INDEX(CalcNoteB,$N1174)="","—",INDEX(CalcNoteB,$N1174)),""))</f>
        <v/>
      </c>
      <c r="M1174">
        <f>IFERROR(MATCH($C$5&amp;"|"&amp;RIGHT("000000"&amp;1158,6),CalcRankKeyA,0),"")</f>
        <v/>
      </c>
      <c r="N1174">
        <f>IFERROR(MATCH($C$5&amp;"|"&amp;RIGHT("000000"&amp;1158,6),CalcRankKeyB,0),"")</f>
        <v/>
      </c>
    </row>
    <row r="1175">
      <c r="A1175" s="21" t="n">
        <v>1159</v>
      </c>
      <c r="B1175" s="22">
        <f>IF(AND($M1175="",$N1175=""),"",IF($M1175&lt;&gt;"",INDEX(CalcDateA,$M1175),INDEX(CalcDateB,$N1175)))</f>
        <v/>
      </c>
      <c r="C1175" s="22">
        <f>IF($M1175&lt;&gt;"","خرید سبد",IF($N1175&lt;&gt;"",IF(N(INDEX(CalcDepB,$N1175))&gt;0,"دریافت بانکی","پرداخت بانکی"),""))</f>
        <v/>
      </c>
      <c r="D1175" s="22">
        <f>IF($M1175&lt;&gt;"",IF(INDEX(CalcDocA,$M1175)="","—",INDEX(CalcDocA,$M1175)),IF($N1175&lt;&gt;"",INDEX(CalcBankB,$N1175),""))</f>
        <v/>
      </c>
      <c r="E1175" s="23">
        <f>IF($N1175&lt;&gt;"",IF(INDEX(CalcDepB,$N1175)=0,"",INDEX(CalcDepB,$N1175)),"")</f>
        <v/>
      </c>
      <c r="F1175" s="23">
        <f>IF($M1175&lt;&gt;"",IF(INDEX(CalcQtyA,$M1175)=0,"",INDEX(CalcQtyA,$M1175)),"")</f>
        <v/>
      </c>
      <c r="G1175" s="23">
        <f>IF($M1175&lt;&gt;"",IF(INDEX(CalcPriceA,$M1175)=0,"",INDEX(CalcPriceA,$M1175)),"")</f>
        <v/>
      </c>
      <c r="H1175" s="23">
        <f>IF($N1175&lt;&gt;"",IF(INDEX(CalcWitB,$N1175)=0,"",INDEX(CalcWitB,$N1175)),"")</f>
        <v/>
      </c>
      <c r="I1175" s="24">
        <f>IF($M1175&lt;&gt;"",INDEX(CalcAmtA,$M1175),"")</f>
        <v/>
      </c>
      <c r="J1175" s="24">
        <f>IF($B1175="","",IF($J1174="",$C$8,$J1174)+IF($I1175="",0,$I1175)+IF($E1175="",0,$E1175)-IF($H1175="",0,$H1175))</f>
        <v/>
      </c>
      <c r="K1175" s="25">
        <f>IF($M1175&lt;&gt;"",IF(INDEX(CalcNoteA,$M1175)="","—",INDEX(CalcNoteA,$M1175)),IF($N1175&lt;&gt;"",IF(INDEX(CalcNoteB,$N1175)="","—",INDEX(CalcNoteB,$N1175)),""))</f>
        <v/>
      </c>
      <c r="M1175">
        <f>IFERROR(MATCH($C$5&amp;"|"&amp;RIGHT("000000"&amp;1159,6),CalcRankKeyA,0),"")</f>
        <v/>
      </c>
      <c r="N1175">
        <f>IFERROR(MATCH($C$5&amp;"|"&amp;RIGHT("000000"&amp;1159,6),CalcRankKeyB,0),"")</f>
        <v/>
      </c>
    </row>
    <row r="1176">
      <c r="A1176" s="26" t="n">
        <v>1160</v>
      </c>
      <c r="B1176" s="27">
        <f>IF(AND($M1176="",$N1176=""),"",IF($M1176&lt;&gt;"",INDEX(CalcDateA,$M1176),INDEX(CalcDateB,$N1176)))</f>
        <v/>
      </c>
      <c r="C1176" s="27">
        <f>IF($M1176&lt;&gt;"","خرید سبد",IF($N1176&lt;&gt;"",IF(N(INDEX(CalcDepB,$N1176))&gt;0,"دریافت بانکی","پرداخت بانکی"),""))</f>
        <v/>
      </c>
      <c r="D1176" s="27">
        <f>IF($M1176&lt;&gt;"",IF(INDEX(CalcDocA,$M1176)="","—",INDEX(CalcDocA,$M1176)),IF($N1176&lt;&gt;"",INDEX(CalcBankB,$N1176),""))</f>
        <v/>
      </c>
      <c r="E1176" s="28">
        <f>IF($N1176&lt;&gt;"",IF(INDEX(CalcDepB,$N1176)=0,"",INDEX(CalcDepB,$N1176)),"")</f>
        <v/>
      </c>
      <c r="F1176" s="28">
        <f>IF($M1176&lt;&gt;"",IF(INDEX(CalcQtyA,$M1176)=0,"",INDEX(CalcQtyA,$M1176)),"")</f>
        <v/>
      </c>
      <c r="G1176" s="28">
        <f>IF($M1176&lt;&gt;"",IF(INDEX(CalcPriceA,$M1176)=0,"",INDEX(CalcPriceA,$M1176)),"")</f>
        <v/>
      </c>
      <c r="H1176" s="28">
        <f>IF($N1176&lt;&gt;"",IF(INDEX(CalcWitB,$N1176)=0,"",INDEX(CalcWitB,$N1176)),"")</f>
        <v/>
      </c>
      <c r="I1176" s="29">
        <f>IF($M1176&lt;&gt;"",INDEX(CalcAmtA,$M1176),"")</f>
        <v/>
      </c>
      <c r="J1176" s="29">
        <f>IF($B1176="","",IF($J1175="",$C$8,$J1175)+IF($I1176="",0,$I1176)+IF($E1176="",0,$E1176)-IF($H1176="",0,$H1176))</f>
        <v/>
      </c>
      <c r="K1176" s="30">
        <f>IF($M1176&lt;&gt;"",IF(INDEX(CalcNoteA,$M1176)="","—",INDEX(CalcNoteA,$M1176)),IF($N1176&lt;&gt;"",IF(INDEX(CalcNoteB,$N1176)="","—",INDEX(CalcNoteB,$N1176)),""))</f>
        <v/>
      </c>
      <c r="M1176">
        <f>IFERROR(MATCH($C$5&amp;"|"&amp;RIGHT("000000"&amp;1160,6),CalcRankKeyA,0),"")</f>
        <v/>
      </c>
      <c r="N1176">
        <f>IFERROR(MATCH($C$5&amp;"|"&amp;RIGHT("000000"&amp;1160,6),CalcRankKeyB,0),"")</f>
        <v/>
      </c>
    </row>
    <row r="1177">
      <c r="A1177" s="21" t="n">
        <v>1161</v>
      </c>
      <c r="B1177" s="22">
        <f>IF(AND($M1177="",$N1177=""),"",IF($M1177&lt;&gt;"",INDEX(CalcDateA,$M1177),INDEX(CalcDateB,$N1177)))</f>
        <v/>
      </c>
      <c r="C1177" s="22">
        <f>IF($M1177&lt;&gt;"","خرید سبد",IF($N1177&lt;&gt;"",IF(N(INDEX(CalcDepB,$N1177))&gt;0,"دریافت بانکی","پرداخت بانکی"),""))</f>
        <v/>
      </c>
      <c r="D1177" s="22">
        <f>IF($M1177&lt;&gt;"",IF(INDEX(CalcDocA,$M1177)="","—",INDEX(CalcDocA,$M1177)),IF($N1177&lt;&gt;"",INDEX(CalcBankB,$N1177),""))</f>
        <v/>
      </c>
      <c r="E1177" s="23">
        <f>IF($N1177&lt;&gt;"",IF(INDEX(CalcDepB,$N1177)=0,"",INDEX(CalcDepB,$N1177)),"")</f>
        <v/>
      </c>
      <c r="F1177" s="23">
        <f>IF($M1177&lt;&gt;"",IF(INDEX(CalcQtyA,$M1177)=0,"",INDEX(CalcQtyA,$M1177)),"")</f>
        <v/>
      </c>
      <c r="G1177" s="23">
        <f>IF($M1177&lt;&gt;"",IF(INDEX(CalcPriceA,$M1177)=0,"",INDEX(CalcPriceA,$M1177)),"")</f>
        <v/>
      </c>
      <c r="H1177" s="23">
        <f>IF($N1177&lt;&gt;"",IF(INDEX(CalcWitB,$N1177)=0,"",INDEX(CalcWitB,$N1177)),"")</f>
        <v/>
      </c>
      <c r="I1177" s="24">
        <f>IF($M1177&lt;&gt;"",INDEX(CalcAmtA,$M1177),"")</f>
        <v/>
      </c>
      <c r="J1177" s="24">
        <f>IF($B1177="","",IF($J1176="",$C$8,$J1176)+IF($I1177="",0,$I1177)+IF($E1177="",0,$E1177)-IF($H1177="",0,$H1177))</f>
        <v/>
      </c>
      <c r="K1177" s="25">
        <f>IF($M1177&lt;&gt;"",IF(INDEX(CalcNoteA,$M1177)="","—",INDEX(CalcNoteA,$M1177)),IF($N1177&lt;&gt;"",IF(INDEX(CalcNoteB,$N1177)="","—",INDEX(CalcNoteB,$N1177)),""))</f>
        <v/>
      </c>
      <c r="M1177">
        <f>IFERROR(MATCH($C$5&amp;"|"&amp;RIGHT("000000"&amp;1161,6),CalcRankKeyA,0),"")</f>
        <v/>
      </c>
      <c r="N1177">
        <f>IFERROR(MATCH($C$5&amp;"|"&amp;RIGHT("000000"&amp;1161,6),CalcRankKeyB,0),"")</f>
        <v/>
      </c>
    </row>
    <row r="1178">
      <c r="A1178" s="26" t="n">
        <v>1162</v>
      </c>
      <c r="B1178" s="27">
        <f>IF(AND($M1178="",$N1178=""),"",IF($M1178&lt;&gt;"",INDEX(CalcDateA,$M1178),INDEX(CalcDateB,$N1178)))</f>
        <v/>
      </c>
      <c r="C1178" s="27">
        <f>IF($M1178&lt;&gt;"","خرید سبد",IF($N1178&lt;&gt;"",IF(N(INDEX(CalcDepB,$N1178))&gt;0,"دریافت بانکی","پرداخت بانکی"),""))</f>
        <v/>
      </c>
      <c r="D1178" s="27">
        <f>IF($M1178&lt;&gt;"",IF(INDEX(CalcDocA,$M1178)="","—",INDEX(CalcDocA,$M1178)),IF($N1178&lt;&gt;"",INDEX(CalcBankB,$N1178),""))</f>
        <v/>
      </c>
      <c r="E1178" s="28">
        <f>IF($N1178&lt;&gt;"",IF(INDEX(CalcDepB,$N1178)=0,"",INDEX(CalcDepB,$N1178)),"")</f>
        <v/>
      </c>
      <c r="F1178" s="28">
        <f>IF($M1178&lt;&gt;"",IF(INDEX(CalcQtyA,$M1178)=0,"",INDEX(CalcQtyA,$M1178)),"")</f>
        <v/>
      </c>
      <c r="G1178" s="28">
        <f>IF($M1178&lt;&gt;"",IF(INDEX(CalcPriceA,$M1178)=0,"",INDEX(CalcPriceA,$M1178)),"")</f>
        <v/>
      </c>
      <c r="H1178" s="28">
        <f>IF($N1178&lt;&gt;"",IF(INDEX(CalcWitB,$N1178)=0,"",INDEX(CalcWitB,$N1178)),"")</f>
        <v/>
      </c>
      <c r="I1178" s="29">
        <f>IF($M1178&lt;&gt;"",INDEX(CalcAmtA,$M1178),"")</f>
        <v/>
      </c>
      <c r="J1178" s="29">
        <f>IF($B1178="","",IF($J1177="",$C$8,$J1177)+IF($I1178="",0,$I1178)+IF($E1178="",0,$E1178)-IF($H1178="",0,$H1178))</f>
        <v/>
      </c>
      <c r="K1178" s="30">
        <f>IF($M1178&lt;&gt;"",IF(INDEX(CalcNoteA,$M1178)="","—",INDEX(CalcNoteA,$M1178)),IF($N1178&lt;&gt;"",IF(INDEX(CalcNoteB,$N1178)="","—",INDEX(CalcNoteB,$N1178)),""))</f>
        <v/>
      </c>
      <c r="M1178">
        <f>IFERROR(MATCH($C$5&amp;"|"&amp;RIGHT("000000"&amp;1162,6),CalcRankKeyA,0),"")</f>
        <v/>
      </c>
      <c r="N1178">
        <f>IFERROR(MATCH($C$5&amp;"|"&amp;RIGHT("000000"&amp;1162,6),CalcRankKeyB,0),"")</f>
        <v/>
      </c>
    </row>
    <row r="1179">
      <c r="A1179" s="21" t="n">
        <v>1163</v>
      </c>
      <c r="B1179" s="22">
        <f>IF(AND($M1179="",$N1179=""),"",IF($M1179&lt;&gt;"",INDEX(CalcDateA,$M1179),INDEX(CalcDateB,$N1179)))</f>
        <v/>
      </c>
      <c r="C1179" s="22">
        <f>IF($M1179&lt;&gt;"","خرید سبد",IF($N1179&lt;&gt;"",IF(N(INDEX(CalcDepB,$N1179))&gt;0,"دریافت بانکی","پرداخت بانکی"),""))</f>
        <v/>
      </c>
      <c r="D1179" s="22">
        <f>IF($M1179&lt;&gt;"",IF(INDEX(CalcDocA,$M1179)="","—",INDEX(CalcDocA,$M1179)),IF($N1179&lt;&gt;"",INDEX(CalcBankB,$N1179),""))</f>
        <v/>
      </c>
      <c r="E1179" s="23">
        <f>IF($N1179&lt;&gt;"",IF(INDEX(CalcDepB,$N1179)=0,"",INDEX(CalcDepB,$N1179)),"")</f>
        <v/>
      </c>
      <c r="F1179" s="23">
        <f>IF($M1179&lt;&gt;"",IF(INDEX(CalcQtyA,$M1179)=0,"",INDEX(CalcQtyA,$M1179)),"")</f>
        <v/>
      </c>
      <c r="G1179" s="23">
        <f>IF($M1179&lt;&gt;"",IF(INDEX(CalcPriceA,$M1179)=0,"",INDEX(CalcPriceA,$M1179)),"")</f>
        <v/>
      </c>
      <c r="H1179" s="23">
        <f>IF($N1179&lt;&gt;"",IF(INDEX(CalcWitB,$N1179)=0,"",INDEX(CalcWitB,$N1179)),"")</f>
        <v/>
      </c>
      <c r="I1179" s="24">
        <f>IF($M1179&lt;&gt;"",INDEX(CalcAmtA,$M1179),"")</f>
        <v/>
      </c>
      <c r="J1179" s="24">
        <f>IF($B1179="","",IF($J1178="",$C$8,$J1178)+IF($I1179="",0,$I1179)+IF($E1179="",0,$E1179)-IF($H1179="",0,$H1179))</f>
        <v/>
      </c>
      <c r="K1179" s="25">
        <f>IF($M1179&lt;&gt;"",IF(INDEX(CalcNoteA,$M1179)="","—",INDEX(CalcNoteA,$M1179)),IF($N1179&lt;&gt;"",IF(INDEX(CalcNoteB,$N1179)="","—",INDEX(CalcNoteB,$N1179)),""))</f>
        <v/>
      </c>
      <c r="M1179">
        <f>IFERROR(MATCH($C$5&amp;"|"&amp;RIGHT("000000"&amp;1163,6),CalcRankKeyA,0),"")</f>
        <v/>
      </c>
      <c r="N1179">
        <f>IFERROR(MATCH($C$5&amp;"|"&amp;RIGHT("000000"&amp;1163,6),CalcRankKeyB,0),"")</f>
        <v/>
      </c>
    </row>
    <row r="1180">
      <c r="A1180" s="26" t="n">
        <v>1164</v>
      </c>
      <c r="B1180" s="27">
        <f>IF(AND($M1180="",$N1180=""),"",IF($M1180&lt;&gt;"",INDEX(CalcDateA,$M1180),INDEX(CalcDateB,$N1180)))</f>
        <v/>
      </c>
      <c r="C1180" s="27">
        <f>IF($M1180&lt;&gt;"","خرید سبد",IF($N1180&lt;&gt;"",IF(N(INDEX(CalcDepB,$N1180))&gt;0,"دریافت بانکی","پرداخت بانکی"),""))</f>
        <v/>
      </c>
      <c r="D1180" s="27">
        <f>IF($M1180&lt;&gt;"",IF(INDEX(CalcDocA,$M1180)="","—",INDEX(CalcDocA,$M1180)),IF($N1180&lt;&gt;"",INDEX(CalcBankB,$N1180),""))</f>
        <v/>
      </c>
      <c r="E1180" s="28">
        <f>IF($N1180&lt;&gt;"",IF(INDEX(CalcDepB,$N1180)=0,"",INDEX(CalcDepB,$N1180)),"")</f>
        <v/>
      </c>
      <c r="F1180" s="28">
        <f>IF($M1180&lt;&gt;"",IF(INDEX(CalcQtyA,$M1180)=0,"",INDEX(CalcQtyA,$M1180)),"")</f>
        <v/>
      </c>
      <c r="G1180" s="28">
        <f>IF($M1180&lt;&gt;"",IF(INDEX(CalcPriceA,$M1180)=0,"",INDEX(CalcPriceA,$M1180)),"")</f>
        <v/>
      </c>
      <c r="H1180" s="28">
        <f>IF($N1180&lt;&gt;"",IF(INDEX(CalcWitB,$N1180)=0,"",INDEX(CalcWitB,$N1180)),"")</f>
        <v/>
      </c>
      <c r="I1180" s="29">
        <f>IF($M1180&lt;&gt;"",INDEX(CalcAmtA,$M1180),"")</f>
        <v/>
      </c>
      <c r="J1180" s="29">
        <f>IF($B1180="","",IF($J1179="",$C$8,$J1179)+IF($I1180="",0,$I1180)+IF($E1180="",0,$E1180)-IF($H1180="",0,$H1180))</f>
        <v/>
      </c>
      <c r="K1180" s="30">
        <f>IF($M1180&lt;&gt;"",IF(INDEX(CalcNoteA,$M1180)="","—",INDEX(CalcNoteA,$M1180)),IF($N1180&lt;&gt;"",IF(INDEX(CalcNoteB,$N1180)="","—",INDEX(CalcNoteB,$N1180)),""))</f>
        <v/>
      </c>
      <c r="M1180">
        <f>IFERROR(MATCH($C$5&amp;"|"&amp;RIGHT("000000"&amp;1164,6),CalcRankKeyA,0),"")</f>
        <v/>
      </c>
      <c r="N1180">
        <f>IFERROR(MATCH($C$5&amp;"|"&amp;RIGHT("000000"&amp;1164,6),CalcRankKeyB,0),"")</f>
        <v/>
      </c>
    </row>
    <row r="1181">
      <c r="A1181" s="21" t="n">
        <v>1165</v>
      </c>
      <c r="B1181" s="22">
        <f>IF(AND($M1181="",$N1181=""),"",IF($M1181&lt;&gt;"",INDEX(CalcDateA,$M1181),INDEX(CalcDateB,$N1181)))</f>
        <v/>
      </c>
      <c r="C1181" s="22">
        <f>IF($M1181&lt;&gt;"","خرید سبد",IF($N1181&lt;&gt;"",IF(N(INDEX(CalcDepB,$N1181))&gt;0,"دریافت بانکی","پرداخت بانکی"),""))</f>
        <v/>
      </c>
      <c r="D1181" s="22">
        <f>IF($M1181&lt;&gt;"",IF(INDEX(CalcDocA,$M1181)="","—",INDEX(CalcDocA,$M1181)),IF($N1181&lt;&gt;"",INDEX(CalcBankB,$N1181),""))</f>
        <v/>
      </c>
      <c r="E1181" s="23">
        <f>IF($N1181&lt;&gt;"",IF(INDEX(CalcDepB,$N1181)=0,"",INDEX(CalcDepB,$N1181)),"")</f>
        <v/>
      </c>
      <c r="F1181" s="23">
        <f>IF($M1181&lt;&gt;"",IF(INDEX(CalcQtyA,$M1181)=0,"",INDEX(CalcQtyA,$M1181)),"")</f>
        <v/>
      </c>
      <c r="G1181" s="23">
        <f>IF($M1181&lt;&gt;"",IF(INDEX(CalcPriceA,$M1181)=0,"",INDEX(CalcPriceA,$M1181)),"")</f>
        <v/>
      </c>
      <c r="H1181" s="23">
        <f>IF($N1181&lt;&gt;"",IF(INDEX(CalcWitB,$N1181)=0,"",INDEX(CalcWitB,$N1181)),"")</f>
        <v/>
      </c>
      <c r="I1181" s="24">
        <f>IF($M1181&lt;&gt;"",INDEX(CalcAmtA,$M1181),"")</f>
        <v/>
      </c>
      <c r="J1181" s="24">
        <f>IF($B1181="","",IF($J1180="",$C$8,$J1180)+IF($I1181="",0,$I1181)+IF($E1181="",0,$E1181)-IF($H1181="",0,$H1181))</f>
        <v/>
      </c>
      <c r="K1181" s="25">
        <f>IF($M1181&lt;&gt;"",IF(INDEX(CalcNoteA,$M1181)="","—",INDEX(CalcNoteA,$M1181)),IF($N1181&lt;&gt;"",IF(INDEX(CalcNoteB,$N1181)="","—",INDEX(CalcNoteB,$N1181)),""))</f>
        <v/>
      </c>
      <c r="M1181">
        <f>IFERROR(MATCH($C$5&amp;"|"&amp;RIGHT("000000"&amp;1165,6),CalcRankKeyA,0),"")</f>
        <v/>
      </c>
      <c r="N1181">
        <f>IFERROR(MATCH($C$5&amp;"|"&amp;RIGHT("000000"&amp;1165,6),CalcRankKeyB,0),"")</f>
        <v/>
      </c>
    </row>
    <row r="1182">
      <c r="A1182" s="26" t="n">
        <v>1166</v>
      </c>
      <c r="B1182" s="27">
        <f>IF(AND($M1182="",$N1182=""),"",IF($M1182&lt;&gt;"",INDEX(CalcDateA,$M1182),INDEX(CalcDateB,$N1182)))</f>
        <v/>
      </c>
      <c r="C1182" s="27">
        <f>IF($M1182&lt;&gt;"","خرید سبد",IF($N1182&lt;&gt;"",IF(N(INDEX(CalcDepB,$N1182))&gt;0,"دریافت بانکی","پرداخت بانکی"),""))</f>
        <v/>
      </c>
      <c r="D1182" s="27">
        <f>IF($M1182&lt;&gt;"",IF(INDEX(CalcDocA,$M1182)="","—",INDEX(CalcDocA,$M1182)),IF($N1182&lt;&gt;"",INDEX(CalcBankB,$N1182),""))</f>
        <v/>
      </c>
      <c r="E1182" s="28">
        <f>IF($N1182&lt;&gt;"",IF(INDEX(CalcDepB,$N1182)=0,"",INDEX(CalcDepB,$N1182)),"")</f>
        <v/>
      </c>
      <c r="F1182" s="28">
        <f>IF($M1182&lt;&gt;"",IF(INDEX(CalcQtyA,$M1182)=0,"",INDEX(CalcQtyA,$M1182)),"")</f>
        <v/>
      </c>
      <c r="G1182" s="28">
        <f>IF($M1182&lt;&gt;"",IF(INDEX(CalcPriceA,$M1182)=0,"",INDEX(CalcPriceA,$M1182)),"")</f>
        <v/>
      </c>
      <c r="H1182" s="28">
        <f>IF($N1182&lt;&gt;"",IF(INDEX(CalcWitB,$N1182)=0,"",INDEX(CalcWitB,$N1182)),"")</f>
        <v/>
      </c>
      <c r="I1182" s="29">
        <f>IF($M1182&lt;&gt;"",INDEX(CalcAmtA,$M1182),"")</f>
        <v/>
      </c>
      <c r="J1182" s="29">
        <f>IF($B1182="","",IF($J1181="",$C$8,$J1181)+IF($I1182="",0,$I1182)+IF($E1182="",0,$E1182)-IF($H1182="",0,$H1182))</f>
        <v/>
      </c>
      <c r="K1182" s="30">
        <f>IF($M1182&lt;&gt;"",IF(INDEX(CalcNoteA,$M1182)="","—",INDEX(CalcNoteA,$M1182)),IF($N1182&lt;&gt;"",IF(INDEX(CalcNoteB,$N1182)="","—",INDEX(CalcNoteB,$N1182)),""))</f>
        <v/>
      </c>
      <c r="M1182">
        <f>IFERROR(MATCH($C$5&amp;"|"&amp;RIGHT("000000"&amp;1166,6),CalcRankKeyA,0),"")</f>
        <v/>
      </c>
      <c r="N1182">
        <f>IFERROR(MATCH($C$5&amp;"|"&amp;RIGHT("000000"&amp;1166,6),CalcRankKeyB,0),"")</f>
        <v/>
      </c>
    </row>
    <row r="1183">
      <c r="A1183" s="21" t="n">
        <v>1167</v>
      </c>
      <c r="B1183" s="22">
        <f>IF(AND($M1183="",$N1183=""),"",IF($M1183&lt;&gt;"",INDEX(CalcDateA,$M1183),INDEX(CalcDateB,$N1183)))</f>
        <v/>
      </c>
      <c r="C1183" s="22">
        <f>IF($M1183&lt;&gt;"","خرید سبد",IF($N1183&lt;&gt;"",IF(N(INDEX(CalcDepB,$N1183))&gt;0,"دریافت بانکی","پرداخت بانکی"),""))</f>
        <v/>
      </c>
      <c r="D1183" s="22">
        <f>IF($M1183&lt;&gt;"",IF(INDEX(CalcDocA,$M1183)="","—",INDEX(CalcDocA,$M1183)),IF($N1183&lt;&gt;"",INDEX(CalcBankB,$N1183),""))</f>
        <v/>
      </c>
      <c r="E1183" s="23">
        <f>IF($N1183&lt;&gt;"",IF(INDEX(CalcDepB,$N1183)=0,"",INDEX(CalcDepB,$N1183)),"")</f>
        <v/>
      </c>
      <c r="F1183" s="23">
        <f>IF($M1183&lt;&gt;"",IF(INDEX(CalcQtyA,$M1183)=0,"",INDEX(CalcQtyA,$M1183)),"")</f>
        <v/>
      </c>
      <c r="G1183" s="23">
        <f>IF($M1183&lt;&gt;"",IF(INDEX(CalcPriceA,$M1183)=0,"",INDEX(CalcPriceA,$M1183)),"")</f>
        <v/>
      </c>
      <c r="H1183" s="23">
        <f>IF($N1183&lt;&gt;"",IF(INDEX(CalcWitB,$N1183)=0,"",INDEX(CalcWitB,$N1183)),"")</f>
        <v/>
      </c>
      <c r="I1183" s="24">
        <f>IF($M1183&lt;&gt;"",INDEX(CalcAmtA,$M1183),"")</f>
        <v/>
      </c>
      <c r="J1183" s="24">
        <f>IF($B1183="","",IF($J1182="",$C$8,$J1182)+IF($I1183="",0,$I1183)+IF($E1183="",0,$E1183)-IF($H1183="",0,$H1183))</f>
        <v/>
      </c>
      <c r="K1183" s="25">
        <f>IF($M1183&lt;&gt;"",IF(INDEX(CalcNoteA,$M1183)="","—",INDEX(CalcNoteA,$M1183)),IF($N1183&lt;&gt;"",IF(INDEX(CalcNoteB,$N1183)="","—",INDEX(CalcNoteB,$N1183)),""))</f>
        <v/>
      </c>
      <c r="M1183">
        <f>IFERROR(MATCH($C$5&amp;"|"&amp;RIGHT("000000"&amp;1167,6),CalcRankKeyA,0),"")</f>
        <v/>
      </c>
      <c r="N1183">
        <f>IFERROR(MATCH($C$5&amp;"|"&amp;RIGHT("000000"&amp;1167,6),CalcRankKeyB,0),"")</f>
        <v/>
      </c>
    </row>
    <row r="1184">
      <c r="A1184" s="26" t="n">
        <v>1168</v>
      </c>
      <c r="B1184" s="27">
        <f>IF(AND($M1184="",$N1184=""),"",IF($M1184&lt;&gt;"",INDEX(CalcDateA,$M1184),INDEX(CalcDateB,$N1184)))</f>
        <v/>
      </c>
      <c r="C1184" s="27">
        <f>IF($M1184&lt;&gt;"","خرید سبد",IF($N1184&lt;&gt;"",IF(N(INDEX(CalcDepB,$N1184))&gt;0,"دریافت بانکی","پرداخت بانکی"),""))</f>
        <v/>
      </c>
      <c r="D1184" s="27">
        <f>IF($M1184&lt;&gt;"",IF(INDEX(CalcDocA,$M1184)="","—",INDEX(CalcDocA,$M1184)),IF($N1184&lt;&gt;"",INDEX(CalcBankB,$N1184),""))</f>
        <v/>
      </c>
      <c r="E1184" s="28">
        <f>IF($N1184&lt;&gt;"",IF(INDEX(CalcDepB,$N1184)=0,"",INDEX(CalcDepB,$N1184)),"")</f>
        <v/>
      </c>
      <c r="F1184" s="28">
        <f>IF($M1184&lt;&gt;"",IF(INDEX(CalcQtyA,$M1184)=0,"",INDEX(CalcQtyA,$M1184)),"")</f>
        <v/>
      </c>
      <c r="G1184" s="28">
        <f>IF($M1184&lt;&gt;"",IF(INDEX(CalcPriceA,$M1184)=0,"",INDEX(CalcPriceA,$M1184)),"")</f>
        <v/>
      </c>
      <c r="H1184" s="28">
        <f>IF($N1184&lt;&gt;"",IF(INDEX(CalcWitB,$N1184)=0,"",INDEX(CalcWitB,$N1184)),"")</f>
        <v/>
      </c>
      <c r="I1184" s="29">
        <f>IF($M1184&lt;&gt;"",INDEX(CalcAmtA,$M1184),"")</f>
        <v/>
      </c>
      <c r="J1184" s="29">
        <f>IF($B1184="","",IF($J1183="",$C$8,$J1183)+IF($I1184="",0,$I1184)+IF($E1184="",0,$E1184)-IF($H1184="",0,$H1184))</f>
        <v/>
      </c>
      <c r="K1184" s="30">
        <f>IF($M1184&lt;&gt;"",IF(INDEX(CalcNoteA,$M1184)="","—",INDEX(CalcNoteA,$M1184)),IF($N1184&lt;&gt;"",IF(INDEX(CalcNoteB,$N1184)="","—",INDEX(CalcNoteB,$N1184)),""))</f>
        <v/>
      </c>
      <c r="M1184">
        <f>IFERROR(MATCH($C$5&amp;"|"&amp;RIGHT("000000"&amp;1168,6),CalcRankKeyA,0),"")</f>
        <v/>
      </c>
      <c r="N1184">
        <f>IFERROR(MATCH($C$5&amp;"|"&amp;RIGHT("000000"&amp;1168,6),CalcRankKeyB,0),"")</f>
        <v/>
      </c>
    </row>
    <row r="1185">
      <c r="A1185" s="21" t="n">
        <v>1169</v>
      </c>
      <c r="B1185" s="22">
        <f>IF(AND($M1185="",$N1185=""),"",IF($M1185&lt;&gt;"",INDEX(CalcDateA,$M1185),INDEX(CalcDateB,$N1185)))</f>
        <v/>
      </c>
      <c r="C1185" s="22">
        <f>IF($M1185&lt;&gt;"","خرید سبد",IF($N1185&lt;&gt;"",IF(N(INDEX(CalcDepB,$N1185))&gt;0,"دریافت بانکی","پرداخت بانکی"),""))</f>
        <v/>
      </c>
      <c r="D1185" s="22">
        <f>IF($M1185&lt;&gt;"",IF(INDEX(CalcDocA,$M1185)="","—",INDEX(CalcDocA,$M1185)),IF($N1185&lt;&gt;"",INDEX(CalcBankB,$N1185),""))</f>
        <v/>
      </c>
      <c r="E1185" s="23">
        <f>IF($N1185&lt;&gt;"",IF(INDEX(CalcDepB,$N1185)=0,"",INDEX(CalcDepB,$N1185)),"")</f>
        <v/>
      </c>
      <c r="F1185" s="23">
        <f>IF($M1185&lt;&gt;"",IF(INDEX(CalcQtyA,$M1185)=0,"",INDEX(CalcQtyA,$M1185)),"")</f>
        <v/>
      </c>
      <c r="G1185" s="23">
        <f>IF($M1185&lt;&gt;"",IF(INDEX(CalcPriceA,$M1185)=0,"",INDEX(CalcPriceA,$M1185)),"")</f>
        <v/>
      </c>
      <c r="H1185" s="23">
        <f>IF($N1185&lt;&gt;"",IF(INDEX(CalcWitB,$N1185)=0,"",INDEX(CalcWitB,$N1185)),"")</f>
        <v/>
      </c>
      <c r="I1185" s="24">
        <f>IF($M1185&lt;&gt;"",INDEX(CalcAmtA,$M1185),"")</f>
        <v/>
      </c>
      <c r="J1185" s="24">
        <f>IF($B1185="","",IF($J1184="",$C$8,$J1184)+IF($I1185="",0,$I1185)+IF($E1185="",0,$E1185)-IF($H1185="",0,$H1185))</f>
        <v/>
      </c>
      <c r="K1185" s="25">
        <f>IF($M1185&lt;&gt;"",IF(INDEX(CalcNoteA,$M1185)="","—",INDEX(CalcNoteA,$M1185)),IF($N1185&lt;&gt;"",IF(INDEX(CalcNoteB,$N1185)="","—",INDEX(CalcNoteB,$N1185)),""))</f>
        <v/>
      </c>
      <c r="M1185">
        <f>IFERROR(MATCH($C$5&amp;"|"&amp;RIGHT("000000"&amp;1169,6),CalcRankKeyA,0),"")</f>
        <v/>
      </c>
      <c r="N1185">
        <f>IFERROR(MATCH($C$5&amp;"|"&amp;RIGHT("000000"&amp;1169,6),CalcRankKeyB,0),"")</f>
        <v/>
      </c>
    </row>
    <row r="1186">
      <c r="A1186" s="26" t="n">
        <v>1170</v>
      </c>
      <c r="B1186" s="27">
        <f>IF(AND($M1186="",$N1186=""),"",IF($M1186&lt;&gt;"",INDEX(CalcDateA,$M1186),INDEX(CalcDateB,$N1186)))</f>
        <v/>
      </c>
      <c r="C1186" s="27">
        <f>IF($M1186&lt;&gt;"","خرید سبد",IF($N1186&lt;&gt;"",IF(N(INDEX(CalcDepB,$N1186))&gt;0,"دریافت بانکی","پرداخت بانکی"),""))</f>
        <v/>
      </c>
      <c r="D1186" s="27">
        <f>IF($M1186&lt;&gt;"",IF(INDEX(CalcDocA,$M1186)="","—",INDEX(CalcDocA,$M1186)),IF($N1186&lt;&gt;"",INDEX(CalcBankB,$N1186),""))</f>
        <v/>
      </c>
      <c r="E1186" s="28">
        <f>IF($N1186&lt;&gt;"",IF(INDEX(CalcDepB,$N1186)=0,"",INDEX(CalcDepB,$N1186)),"")</f>
        <v/>
      </c>
      <c r="F1186" s="28">
        <f>IF($M1186&lt;&gt;"",IF(INDEX(CalcQtyA,$M1186)=0,"",INDEX(CalcQtyA,$M1186)),"")</f>
        <v/>
      </c>
      <c r="G1186" s="28">
        <f>IF($M1186&lt;&gt;"",IF(INDEX(CalcPriceA,$M1186)=0,"",INDEX(CalcPriceA,$M1186)),"")</f>
        <v/>
      </c>
      <c r="H1186" s="28">
        <f>IF($N1186&lt;&gt;"",IF(INDEX(CalcWitB,$N1186)=0,"",INDEX(CalcWitB,$N1186)),"")</f>
        <v/>
      </c>
      <c r="I1186" s="29">
        <f>IF($M1186&lt;&gt;"",INDEX(CalcAmtA,$M1186),"")</f>
        <v/>
      </c>
      <c r="J1186" s="29">
        <f>IF($B1186="","",IF($J1185="",$C$8,$J1185)+IF($I1186="",0,$I1186)+IF($E1186="",0,$E1186)-IF($H1186="",0,$H1186))</f>
        <v/>
      </c>
      <c r="K1186" s="30">
        <f>IF($M1186&lt;&gt;"",IF(INDEX(CalcNoteA,$M1186)="","—",INDEX(CalcNoteA,$M1186)),IF($N1186&lt;&gt;"",IF(INDEX(CalcNoteB,$N1186)="","—",INDEX(CalcNoteB,$N1186)),""))</f>
        <v/>
      </c>
      <c r="M1186">
        <f>IFERROR(MATCH($C$5&amp;"|"&amp;RIGHT("000000"&amp;1170,6),CalcRankKeyA,0),"")</f>
        <v/>
      </c>
      <c r="N1186">
        <f>IFERROR(MATCH($C$5&amp;"|"&amp;RIGHT("000000"&amp;1170,6),CalcRankKeyB,0),"")</f>
        <v/>
      </c>
    </row>
    <row r="1187">
      <c r="A1187" s="21" t="n">
        <v>1171</v>
      </c>
      <c r="B1187" s="22">
        <f>IF(AND($M1187="",$N1187=""),"",IF($M1187&lt;&gt;"",INDEX(CalcDateA,$M1187),INDEX(CalcDateB,$N1187)))</f>
        <v/>
      </c>
      <c r="C1187" s="22">
        <f>IF($M1187&lt;&gt;"","خرید سبد",IF($N1187&lt;&gt;"",IF(N(INDEX(CalcDepB,$N1187))&gt;0,"دریافت بانکی","پرداخت بانکی"),""))</f>
        <v/>
      </c>
      <c r="D1187" s="22">
        <f>IF($M1187&lt;&gt;"",IF(INDEX(CalcDocA,$M1187)="","—",INDEX(CalcDocA,$M1187)),IF($N1187&lt;&gt;"",INDEX(CalcBankB,$N1187),""))</f>
        <v/>
      </c>
      <c r="E1187" s="23">
        <f>IF($N1187&lt;&gt;"",IF(INDEX(CalcDepB,$N1187)=0,"",INDEX(CalcDepB,$N1187)),"")</f>
        <v/>
      </c>
      <c r="F1187" s="23">
        <f>IF($M1187&lt;&gt;"",IF(INDEX(CalcQtyA,$M1187)=0,"",INDEX(CalcQtyA,$M1187)),"")</f>
        <v/>
      </c>
      <c r="G1187" s="23">
        <f>IF($M1187&lt;&gt;"",IF(INDEX(CalcPriceA,$M1187)=0,"",INDEX(CalcPriceA,$M1187)),"")</f>
        <v/>
      </c>
      <c r="H1187" s="23">
        <f>IF($N1187&lt;&gt;"",IF(INDEX(CalcWitB,$N1187)=0,"",INDEX(CalcWitB,$N1187)),"")</f>
        <v/>
      </c>
      <c r="I1187" s="24">
        <f>IF($M1187&lt;&gt;"",INDEX(CalcAmtA,$M1187),"")</f>
        <v/>
      </c>
      <c r="J1187" s="24">
        <f>IF($B1187="","",IF($J1186="",$C$8,$J1186)+IF($I1187="",0,$I1187)+IF($E1187="",0,$E1187)-IF($H1187="",0,$H1187))</f>
        <v/>
      </c>
      <c r="K1187" s="25">
        <f>IF($M1187&lt;&gt;"",IF(INDEX(CalcNoteA,$M1187)="","—",INDEX(CalcNoteA,$M1187)),IF($N1187&lt;&gt;"",IF(INDEX(CalcNoteB,$N1187)="","—",INDEX(CalcNoteB,$N1187)),""))</f>
        <v/>
      </c>
      <c r="M1187">
        <f>IFERROR(MATCH($C$5&amp;"|"&amp;RIGHT("000000"&amp;1171,6),CalcRankKeyA,0),"")</f>
        <v/>
      </c>
      <c r="N1187">
        <f>IFERROR(MATCH($C$5&amp;"|"&amp;RIGHT("000000"&amp;1171,6),CalcRankKeyB,0),"")</f>
        <v/>
      </c>
    </row>
    <row r="1188">
      <c r="A1188" s="26" t="n">
        <v>1172</v>
      </c>
      <c r="B1188" s="27">
        <f>IF(AND($M1188="",$N1188=""),"",IF($M1188&lt;&gt;"",INDEX(CalcDateA,$M1188),INDEX(CalcDateB,$N1188)))</f>
        <v/>
      </c>
      <c r="C1188" s="27">
        <f>IF($M1188&lt;&gt;"","خرید سبد",IF($N1188&lt;&gt;"",IF(N(INDEX(CalcDepB,$N1188))&gt;0,"دریافت بانکی","پرداخت بانکی"),""))</f>
        <v/>
      </c>
      <c r="D1188" s="27">
        <f>IF($M1188&lt;&gt;"",IF(INDEX(CalcDocA,$M1188)="","—",INDEX(CalcDocA,$M1188)),IF($N1188&lt;&gt;"",INDEX(CalcBankB,$N1188),""))</f>
        <v/>
      </c>
      <c r="E1188" s="28">
        <f>IF($N1188&lt;&gt;"",IF(INDEX(CalcDepB,$N1188)=0,"",INDEX(CalcDepB,$N1188)),"")</f>
        <v/>
      </c>
      <c r="F1188" s="28">
        <f>IF($M1188&lt;&gt;"",IF(INDEX(CalcQtyA,$M1188)=0,"",INDEX(CalcQtyA,$M1188)),"")</f>
        <v/>
      </c>
      <c r="G1188" s="28">
        <f>IF($M1188&lt;&gt;"",IF(INDEX(CalcPriceA,$M1188)=0,"",INDEX(CalcPriceA,$M1188)),"")</f>
        <v/>
      </c>
      <c r="H1188" s="28">
        <f>IF($N1188&lt;&gt;"",IF(INDEX(CalcWitB,$N1188)=0,"",INDEX(CalcWitB,$N1188)),"")</f>
        <v/>
      </c>
      <c r="I1188" s="29">
        <f>IF($M1188&lt;&gt;"",INDEX(CalcAmtA,$M1188),"")</f>
        <v/>
      </c>
      <c r="J1188" s="29">
        <f>IF($B1188="","",IF($J1187="",$C$8,$J1187)+IF($I1188="",0,$I1188)+IF($E1188="",0,$E1188)-IF($H1188="",0,$H1188))</f>
        <v/>
      </c>
      <c r="K1188" s="30">
        <f>IF($M1188&lt;&gt;"",IF(INDEX(CalcNoteA,$M1188)="","—",INDEX(CalcNoteA,$M1188)),IF($N1188&lt;&gt;"",IF(INDEX(CalcNoteB,$N1188)="","—",INDEX(CalcNoteB,$N1188)),""))</f>
        <v/>
      </c>
      <c r="M1188">
        <f>IFERROR(MATCH($C$5&amp;"|"&amp;RIGHT("000000"&amp;1172,6),CalcRankKeyA,0),"")</f>
        <v/>
      </c>
      <c r="N1188">
        <f>IFERROR(MATCH($C$5&amp;"|"&amp;RIGHT("000000"&amp;1172,6),CalcRankKeyB,0),"")</f>
        <v/>
      </c>
    </row>
    <row r="1189">
      <c r="A1189" s="21" t="n">
        <v>1173</v>
      </c>
      <c r="B1189" s="22">
        <f>IF(AND($M1189="",$N1189=""),"",IF($M1189&lt;&gt;"",INDEX(CalcDateA,$M1189),INDEX(CalcDateB,$N1189)))</f>
        <v/>
      </c>
      <c r="C1189" s="22">
        <f>IF($M1189&lt;&gt;"","خرید سبد",IF($N1189&lt;&gt;"",IF(N(INDEX(CalcDepB,$N1189))&gt;0,"دریافت بانکی","پرداخت بانکی"),""))</f>
        <v/>
      </c>
      <c r="D1189" s="22">
        <f>IF($M1189&lt;&gt;"",IF(INDEX(CalcDocA,$M1189)="","—",INDEX(CalcDocA,$M1189)),IF($N1189&lt;&gt;"",INDEX(CalcBankB,$N1189),""))</f>
        <v/>
      </c>
      <c r="E1189" s="23">
        <f>IF($N1189&lt;&gt;"",IF(INDEX(CalcDepB,$N1189)=0,"",INDEX(CalcDepB,$N1189)),"")</f>
        <v/>
      </c>
      <c r="F1189" s="23">
        <f>IF($M1189&lt;&gt;"",IF(INDEX(CalcQtyA,$M1189)=0,"",INDEX(CalcQtyA,$M1189)),"")</f>
        <v/>
      </c>
      <c r="G1189" s="23">
        <f>IF($M1189&lt;&gt;"",IF(INDEX(CalcPriceA,$M1189)=0,"",INDEX(CalcPriceA,$M1189)),"")</f>
        <v/>
      </c>
      <c r="H1189" s="23">
        <f>IF($N1189&lt;&gt;"",IF(INDEX(CalcWitB,$N1189)=0,"",INDEX(CalcWitB,$N1189)),"")</f>
        <v/>
      </c>
      <c r="I1189" s="24">
        <f>IF($M1189&lt;&gt;"",INDEX(CalcAmtA,$M1189),"")</f>
        <v/>
      </c>
      <c r="J1189" s="24">
        <f>IF($B1189="","",IF($J1188="",$C$8,$J1188)+IF($I1189="",0,$I1189)+IF($E1189="",0,$E1189)-IF($H1189="",0,$H1189))</f>
        <v/>
      </c>
      <c r="K1189" s="25">
        <f>IF($M1189&lt;&gt;"",IF(INDEX(CalcNoteA,$M1189)="","—",INDEX(CalcNoteA,$M1189)),IF($N1189&lt;&gt;"",IF(INDEX(CalcNoteB,$N1189)="","—",INDEX(CalcNoteB,$N1189)),""))</f>
        <v/>
      </c>
      <c r="M1189">
        <f>IFERROR(MATCH($C$5&amp;"|"&amp;RIGHT("000000"&amp;1173,6),CalcRankKeyA,0),"")</f>
        <v/>
      </c>
      <c r="N1189">
        <f>IFERROR(MATCH($C$5&amp;"|"&amp;RIGHT("000000"&amp;1173,6),CalcRankKeyB,0),"")</f>
        <v/>
      </c>
    </row>
    <row r="1190">
      <c r="A1190" s="26" t="n">
        <v>1174</v>
      </c>
      <c r="B1190" s="27">
        <f>IF(AND($M1190="",$N1190=""),"",IF($M1190&lt;&gt;"",INDEX(CalcDateA,$M1190),INDEX(CalcDateB,$N1190)))</f>
        <v/>
      </c>
      <c r="C1190" s="27">
        <f>IF($M1190&lt;&gt;"","خرید سبد",IF($N1190&lt;&gt;"",IF(N(INDEX(CalcDepB,$N1190))&gt;0,"دریافت بانکی","پرداخت بانکی"),""))</f>
        <v/>
      </c>
      <c r="D1190" s="27">
        <f>IF($M1190&lt;&gt;"",IF(INDEX(CalcDocA,$M1190)="","—",INDEX(CalcDocA,$M1190)),IF($N1190&lt;&gt;"",INDEX(CalcBankB,$N1190),""))</f>
        <v/>
      </c>
      <c r="E1190" s="28">
        <f>IF($N1190&lt;&gt;"",IF(INDEX(CalcDepB,$N1190)=0,"",INDEX(CalcDepB,$N1190)),"")</f>
        <v/>
      </c>
      <c r="F1190" s="28">
        <f>IF($M1190&lt;&gt;"",IF(INDEX(CalcQtyA,$M1190)=0,"",INDEX(CalcQtyA,$M1190)),"")</f>
        <v/>
      </c>
      <c r="G1190" s="28">
        <f>IF($M1190&lt;&gt;"",IF(INDEX(CalcPriceA,$M1190)=0,"",INDEX(CalcPriceA,$M1190)),"")</f>
        <v/>
      </c>
      <c r="H1190" s="28">
        <f>IF($N1190&lt;&gt;"",IF(INDEX(CalcWitB,$N1190)=0,"",INDEX(CalcWitB,$N1190)),"")</f>
        <v/>
      </c>
      <c r="I1190" s="29">
        <f>IF($M1190&lt;&gt;"",INDEX(CalcAmtA,$M1190),"")</f>
        <v/>
      </c>
      <c r="J1190" s="29">
        <f>IF($B1190="","",IF($J1189="",$C$8,$J1189)+IF($I1190="",0,$I1190)+IF($E1190="",0,$E1190)-IF($H1190="",0,$H1190))</f>
        <v/>
      </c>
      <c r="K1190" s="30">
        <f>IF($M1190&lt;&gt;"",IF(INDEX(CalcNoteA,$M1190)="","—",INDEX(CalcNoteA,$M1190)),IF($N1190&lt;&gt;"",IF(INDEX(CalcNoteB,$N1190)="","—",INDEX(CalcNoteB,$N1190)),""))</f>
        <v/>
      </c>
      <c r="M1190">
        <f>IFERROR(MATCH($C$5&amp;"|"&amp;RIGHT("000000"&amp;1174,6),CalcRankKeyA,0),"")</f>
        <v/>
      </c>
      <c r="N1190">
        <f>IFERROR(MATCH($C$5&amp;"|"&amp;RIGHT("000000"&amp;1174,6),CalcRankKeyB,0),"")</f>
        <v/>
      </c>
    </row>
    <row r="1191">
      <c r="A1191" s="21" t="n">
        <v>1175</v>
      </c>
      <c r="B1191" s="22">
        <f>IF(AND($M1191="",$N1191=""),"",IF($M1191&lt;&gt;"",INDEX(CalcDateA,$M1191),INDEX(CalcDateB,$N1191)))</f>
        <v/>
      </c>
      <c r="C1191" s="22">
        <f>IF($M1191&lt;&gt;"","خرید سبد",IF($N1191&lt;&gt;"",IF(N(INDEX(CalcDepB,$N1191))&gt;0,"دریافت بانکی","پرداخت بانکی"),""))</f>
        <v/>
      </c>
      <c r="D1191" s="22">
        <f>IF($M1191&lt;&gt;"",IF(INDEX(CalcDocA,$M1191)="","—",INDEX(CalcDocA,$M1191)),IF($N1191&lt;&gt;"",INDEX(CalcBankB,$N1191),""))</f>
        <v/>
      </c>
      <c r="E1191" s="23">
        <f>IF($N1191&lt;&gt;"",IF(INDEX(CalcDepB,$N1191)=0,"",INDEX(CalcDepB,$N1191)),"")</f>
        <v/>
      </c>
      <c r="F1191" s="23">
        <f>IF($M1191&lt;&gt;"",IF(INDEX(CalcQtyA,$M1191)=0,"",INDEX(CalcQtyA,$M1191)),"")</f>
        <v/>
      </c>
      <c r="G1191" s="23">
        <f>IF($M1191&lt;&gt;"",IF(INDEX(CalcPriceA,$M1191)=0,"",INDEX(CalcPriceA,$M1191)),"")</f>
        <v/>
      </c>
      <c r="H1191" s="23">
        <f>IF($N1191&lt;&gt;"",IF(INDEX(CalcWitB,$N1191)=0,"",INDEX(CalcWitB,$N1191)),"")</f>
        <v/>
      </c>
      <c r="I1191" s="24">
        <f>IF($M1191&lt;&gt;"",INDEX(CalcAmtA,$M1191),"")</f>
        <v/>
      </c>
      <c r="J1191" s="24">
        <f>IF($B1191="","",IF($J1190="",$C$8,$J1190)+IF($I1191="",0,$I1191)+IF($E1191="",0,$E1191)-IF($H1191="",0,$H1191))</f>
        <v/>
      </c>
      <c r="K1191" s="25">
        <f>IF($M1191&lt;&gt;"",IF(INDEX(CalcNoteA,$M1191)="","—",INDEX(CalcNoteA,$M1191)),IF($N1191&lt;&gt;"",IF(INDEX(CalcNoteB,$N1191)="","—",INDEX(CalcNoteB,$N1191)),""))</f>
        <v/>
      </c>
      <c r="M1191">
        <f>IFERROR(MATCH($C$5&amp;"|"&amp;RIGHT("000000"&amp;1175,6),CalcRankKeyA,0),"")</f>
        <v/>
      </c>
      <c r="N1191">
        <f>IFERROR(MATCH($C$5&amp;"|"&amp;RIGHT("000000"&amp;1175,6),CalcRankKeyB,0),"")</f>
        <v/>
      </c>
    </row>
    <row r="1192">
      <c r="A1192" s="26" t="n">
        <v>1176</v>
      </c>
      <c r="B1192" s="27">
        <f>IF(AND($M1192="",$N1192=""),"",IF($M1192&lt;&gt;"",INDEX(CalcDateA,$M1192),INDEX(CalcDateB,$N1192)))</f>
        <v/>
      </c>
      <c r="C1192" s="27">
        <f>IF($M1192&lt;&gt;"","خرید سبد",IF($N1192&lt;&gt;"",IF(N(INDEX(CalcDepB,$N1192))&gt;0,"دریافت بانکی","پرداخت بانکی"),""))</f>
        <v/>
      </c>
      <c r="D1192" s="27">
        <f>IF($M1192&lt;&gt;"",IF(INDEX(CalcDocA,$M1192)="","—",INDEX(CalcDocA,$M1192)),IF($N1192&lt;&gt;"",INDEX(CalcBankB,$N1192),""))</f>
        <v/>
      </c>
      <c r="E1192" s="28">
        <f>IF($N1192&lt;&gt;"",IF(INDEX(CalcDepB,$N1192)=0,"",INDEX(CalcDepB,$N1192)),"")</f>
        <v/>
      </c>
      <c r="F1192" s="28">
        <f>IF($M1192&lt;&gt;"",IF(INDEX(CalcQtyA,$M1192)=0,"",INDEX(CalcQtyA,$M1192)),"")</f>
        <v/>
      </c>
      <c r="G1192" s="28">
        <f>IF($M1192&lt;&gt;"",IF(INDEX(CalcPriceA,$M1192)=0,"",INDEX(CalcPriceA,$M1192)),"")</f>
        <v/>
      </c>
      <c r="H1192" s="28">
        <f>IF($N1192&lt;&gt;"",IF(INDEX(CalcWitB,$N1192)=0,"",INDEX(CalcWitB,$N1192)),"")</f>
        <v/>
      </c>
      <c r="I1192" s="29">
        <f>IF($M1192&lt;&gt;"",INDEX(CalcAmtA,$M1192),"")</f>
        <v/>
      </c>
      <c r="J1192" s="29">
        <f>IF($B1192="","",IF($J1191="",$C$8,$J1191)+IF($I1192="",0,$I1192)+IF($E1192="",0,$E1192)-IF($H1192="",0,$H1192))</f>
        <v/>
      </c>
      <c r="K1192" s="30">
        <f>IF($M1192&lt;&gt;"",IF(INDEX(CalcNoteA,$M1192)="","—",INDEX(CalcNoteA,$M1192)),IF($N1192&lt;&gt;"",IF(INDEX(CalcNoteB,$N1192)="","—",INDEX(CalcNoteB,$N1192)),""))</f>
        <v/>
      </c>
      <c r="M1192">
        <f>IFERROR(MATCH($C$5&amp;"|"&amp;RIGHT("000000"&amp;1176,6),CalcRankKeyA,0),"")</f>
        <v/>
      </c>
      <c r="N1192">
        <f>IFERROR(MATCH($C$5&amp;"|"&amp;RIGHT("000000"&amp;1176,6),CalcRankKeyB,0),"")</f>
        <v/>
      </c>
    </row>
    <row r="1193">
      <c r="A1193" s="21" t="n">
        <v>1177</v>
      </c>
      <c r="B1193" s="22">
        <f>IF(AND($M1193="",$N1193=""),"",IF($M1193&lt;&gt;"",INDEX(CalcDateA,$M1193),INDEX(CalcDateB,$N1193)))</f>
        <v/>
      </c>
      <c r="C1193" s="22">
        <f>IF($M1193&lt;&gt;"","خرید سبد",IF($N1193&lt;&gt;"",IF(N(INDEX(CalcDepB,$N1193))&gt;0,"دریافت بانکی","پرداخت بانکی"),""))</f>
        <v/>
      </c>
      <c r="D1193" s="22">
        <f>IF($M1193&lt;&gt;"",IF(INDEX(CalcDocA,$M1193)="","—",INDEX(CalcDocA,$M1193)),IF($N1193&lt;&gt;"",INDEX(CalcBankB,$N1193),""))</f>
        <v/>
      </c>
      <c r="E1193" s="23">
        <f>IF($N1193&lt;&gt;"",IF(INDEX(CalcDepB,$N1193)=0,"",INDEX(CalcDepB,$N1193)),"")</f>
        <v/>
      </c>
      <c r="F1193" s="23">
        <f>IF($M1193&lt;&gt;"",IF(INDEX(CalcQtyA,$M1193)=0,"",INDEX(CalcQtyA,$M1193)),"")</f>
        <v/>
      </c>
      <c r="G1193" s="23">
        <f>IF($M1193&lt;&gt;"",IF(INDEX(CalcPriceA,$M1193)=0,"",INDEX(CalcPriceA,$M1193)),"")</f>
        <v/>
      </c>
      <c r="H1193" s="23">
        <f>IF($N1193&lt;&gt;"",IF(INDEX(CalcWitB,$N1193)=0,"",INDEX(CalcWitB,$N1193)),"")</f>
        <v/>
      </c>
      <c r="I1193" s="24">
        <f>IF($M1193&lt;&gt;"",INDEX(CalcAmtA,$M1193),"")</f>
        <v/>
      </c>
      <c r="J1193" s="24">
        <f>IF($B1193="","",IF($J1192="",$C$8,$J1192)+IF($I1193="",0,$I1193)+IF($E1193="",0,$E1193)-IF($H1193="",0,$H1193))</f>
        <v/>
      </c>
      <c r="K1193" s="25">
        <f>IF($M1193&lt;&gt;"",IF(INDEX(CalcNoteA,$M1193)="","—",INDEX(CalcNoteA,$M1193)),IF($N1193&lt;&gt;"",IF(INDEX(CalcNoteB,$N1193)="","—",INDEX(CalcNoteB,$N1193)),""))</f>
        <v/>
      </c>
      <c r="M1193">
        <f>IFERROR(MATCH($C$5&amp;"|"&amp;RIGHT("000000"&amp;1177,6),CalcRankKeyA,0),"")</f>
        <v/>
      </c>
      <c r="N1193">
        <f>IFERROR(MATCH($C$5&amp;"|"&amp;RIGHT("000000"&amp;1177,6),CalcRankKeyB,0),"")</f>
        <v/>
      </c>
    </row>
    <row r="1194">
      <c r="A1194" s="26" t="n">
        <v>1178</v>
      </c>
      <c r="B1194" s="27">
        <f>IF(AND($M1194="",$N1194=""),"",IF($M1194&lt;&gt;"",INDEX(CalcDateA,$M1194),INDEX(CalcDateB,$N1194)))</f>
        <v/>
      </c>
      <c r="C1194" s="27">
        <f>IF($M1194&lt;&gt;"","خرید سبد",IF($N1194&lt;&gt;"",IF(N(INDEX(CalcDepB,$N1194))&gt;0,"دریافت بانکی","پرداخت بانکی"),""))</f>
        <v/>
      </c>
      <c r="D1194" s="27">
        <f>IF($M1194&lt;&gt;"",IF(INDEX(CalcDocA,$M1194)="","—",INDEX(CalcDocA,$M1194)),IF($N1194&lt;&gt;"",INDEX(CalcBankB,$N1194),""))</f>
        <v/>
      </c>
      <c r="E1194" s="28">
        <f>IF($N1194&lt;&gt;"",IF(INDEX(CalcDepB,$N1194)=0,"",INDEX(CalcDepB,$N1194)),"")</f>
        <v/>
      </c>
      <c r="F1194" s="28">
        <f>IF($M1194&lt;&gt;"",IF(INDEX(CalcQtyA,$M1194)=0,"",INDEX(CalcQtyA,$M1194)),"")</f>
        <v/>
      </c>
      <c r="G1194" s="28">
        <f>IF($M1194&lt;&gt;"",IF(INDEX(CalcPriceA,$M1194)=0,"",INDEX(CalcPriceA,$M1194)),"")</f>
        <v/>
      </c>
      <c r="H1194" s="28">
        <f>IF($N1194&lt;&gt;"",IF(INDEX(CalcWitB,$N1194)=0,"",INDEX(CalcWitB,$N1194)),"")</f>
        <v/>
      </c>
      <c r="I1194" s="29">
        <f>IF($M1194&lt;&gt;"",INDEX(CalcAmtA,$M1194),"")</f>
        <v/>
      </c>
      <c r="J1194" s="29">
        <f>IF($B1194="","",IF($J1193="",$C$8,$J1193)+IF($I1194="",0,$I1194)+IF($E1194="",0,$E1194)-IF($H1194="",0,$H1194))</f>
        <v/>
      </c>
      <c r="K1194" s="30">
        <f>IF($M1194&lt;&gt;"",IF(INDEX(CalcNoteA,$M1194)="","—",INDEX(CalcNoteA,$M1194)),IF($N1194&lt;&gt;"",IF(INDEX(CalcNoteB,$N1194)="","—",INDEX(CalcNoteB,$N1194)),""))</f>
        <v/>
      </c>
      <c r="M1194">
        <f>IFERROR(MATCH($C$5&amp;"|"&amp;RIGHT("000000"&amp;1178,6),CalcRankKeyA,0),"")</f>
        <v/>
      </c>
      <c r="N1194">
        <f>IFERROR(MATCH($C$5&amp;"|"&amp;RIGHT("000000"&amp;1178,6),CalcRankKeyB,0),"")</f>
        <v/>
      </c>
    </row>
    <row r="1195">
      <c r="A1195" s="21" t="n">
        <v>1179</v>
      </c>
      <c r="B1195" s="22">
        <f>IF(AND($M1195="",$N1195=""),"",IF($M1195&lt;&gt;"",INDEX(CalcDateA,$M1195),INDEX(CalcDateB,$N1195)))</f>
        <v/>
      </c>
      <c r="C1195" s="22">
        <f>IF($M1195&lt;&gt;"","خرید سبد",IF($N1195&lt;&gt;"",IF(N(INDEX(CalcDepB,$N1195))&gt;0,"دریافت بانکی","پرداخت بانکی"),""))</f>
        <v/>
      </c>
      <c r="D1195" s="22">
        <f>IF($M1195&lt;&gt;"",IF(INDEX(CalcDocA,$M1195)="","—",INDEX(CalcDocA,$M1195)),IF($N1195&lt;&gt;"",INDEX(CalcBankB,$N1195),""))</f>
        <v/>
      </c>
      <c r="E1195" s="23">
        <f>IF($N1195&lt;&gt;"",IF(INDEX(CalcDepB,$N1195)=0,"",INDEX(CalcDepB,$N1195)),"")</f>
        <v/>
      </c>
      <c r="F1195" s="23">
        <f>IF($M1195&lt;&gt;"",IF(INDEX(CalcQtyA,$M1195)=0,"",INDEX(CalcQtyA,$M1195)),"")</f>
        <v/>
      </c>
      <c r="G1195" s="23">
        <f>IF($M1195&lt;&gt;"",IF(INDEX(CalcPriceA,$M1195)=0,"",INDEX(CalcPriceA,$M1195)),"")</f>
        <v/>
      </c>
      <c r="H1195" s="23">
        <f>IF($N1195&lt;&gt;"",IF(INDEX(CalcWitB,$N1195)=0,"",INDEX(CalcWitB,$N1195)),"")</f>
        <v/>
      </c>
      <c r="I1195" s="24">
        <f>IF($M1195&lt;&gt;"",INDEX(CalcAmtA,$M1195),"")</f>
        <v/>
      </c>
      <c r="J1195" s="24">
        <f>IF($B1195="","",IF($J1194="",$C$8,$J1194)+IF($I1195="",0,$I1195)+IF($E1195="",0,$E1195)-IF($H1195="",0,$H1195))</f>
        <v/>
      </c>
      <c r="K1195" s="25">
        <f>IF($M1195&lt;&gt;"",IF(INDEX(CalcNoteA,$M1195)="","—",INDEX(CalcNoteA,$M1195)),IF($N1195&lt;&gt;"",IF(INDEX(CalcNoteB,$N1195)="","—",INDEX(CalcNoteB,$N1195)),""))</f>
        <v/>
      </c>
      <c r="M1195">
        <f>IFERROR(MATCH($C$5&amp;"|"&amp;RIGHT("000000"&amp;1179,6),CalcRankKeyA,0),"")</f>
        <v/>
      </c>
      <c r="N1195">
        <f>IFERROR(MATCH($C$5&amp;"|"&amp;RIGHT("000000"&amp;1179,6),CalcRankKeyB,0),"")</f>
        <v/>
      </c>
    </row>
    <row r="1196">
      <c r="A1196" s="26" t="n">
        <v>1180</v>
      </c>
      <c r="B1196" s="27">
        <f>IF(AND($M1196="",$N1196=""),"",IF($M1196&lt;&gt;"",INDEX(CalcDateA,$M1196),INDEX(CalcDateB,$N1196)))</f>
        <v/>
      </c>
      <c r="C1196" s="27">
        <f>IF($M1196&lt;&gt;"","خرید سبد",IF($N1196&lt;&gt;"",IF(N(INDEX(CalcDepB,$N1196))&gt;0,"دریافت بانکی","پرداخت بانکی"),""))</f>
        <v/>
      </c>
      <c r="D1196" s="27">
        <f>IF($M1196&lt;&gt;"",IF(INDEX(CalcDocA,$M1196)="","—",INDEX(CalcDocA,$M1196)),IF($N1196&lt;&gt;"",INDEX(CalcBankB,$N1196),""))</f>
        <v/>
      </c>
      <c r="E1196" s="28">
        <f>IF($N1196&lt;&gt;"",IF(INDEX(CalcDepB,$N1196)=0,"",INDEX(CalcDepB,$N1196)),"")</f>
        <v/>
      </c>
      <c r="F1196" s="28">
        <f>IF($M1196&lt;&gt;"",IF(INDEX(CalcQtyA,$M1196)=0,"",INDEX(CalcQtyA,$M1196)),"")</f>
        <v/>
      </c>
      <c r="G1196" s="28">
        <f>IF($M1196&lt;&gt;"",IF(INDEX(CalcPriceA,$M1196)=0,"",INDEX(CalcPriceA,$M1196)),"")</f>
        <v/>
      </c>
      <c r="H1196" s="28">
        <f>IF($N1196&lt;&gt;"",IF(INDEX(CalcWitB,$N1196)=0,"",INDEX(CalcWitB,$N1196)),"")</f>
        <v/>
      </c>
      <c r="I1196" s="29">
        <f>IF($M1196&lt;&gt;"",INDEX(CalcAmtA,$M1196),"")</f>
        <v/>
      </c>
      <c r="J1196" s="29">
        <f>IF($B1196="","",IF($J1195="",$C$8,$J1195)+IF($I1196="",0,$I1196)+IF($E1196="",0,$E1196)-IF($H1196="",0,$H1196))</f>
        <v/>
      </c>
      <c r="K1196" s="30">
        <f>IF($M1196&lt;&gt;"",IF(INDEX(CalcNoteA,$M1196)="","—",INDEX(CalcNoteA,$M1196)),IF($N1196&lt;&gt;"",IF(INDEX(CalcNoteB,$N1196)="","—",INDEX(CalcNoteB,$N1196)),""))</f>
        <v/>
      </c>
      <c r="M1196">
        <f>IFERROR(MATCH($C$5&amp;"|"&amp;RIGHT("000000"&amp;1180,6),CalcRankKeyA,0),"")</f>
        <v/>
      </c>
      <c r="N1196">
        <f>IFERROR(MATCH($C$5&amp;"|"&amp;RIGHT("000000"&amp;1180,6),CalcRankKeyB,0),"")</f>
        <v/>
      </c>
    </row>
    <row r="1197">
      <c r="A1197" s="21" t="n">
        <v>1181</v>
      </c>
      <c r="B1197" s="22">
        <f>IF(AND($M1197="",$N1197=""),"",IF($M1197&lt;&gt;"",INDEX(CalcDateA,$M1197),INDEX(CalcDateB,$N1197)))</f>
        <v/>
      </c>
      <c r="C1197" s="22">
        <f>IF($M1197&lt;&gt;"","خرید سبد",IF($N1197&lt;&gt;"",IF(N(INDEX(CalcDepB,$N1197))&gt;0,"دریافت بانکی","پرداخت بانکی"),""))</f>
        <v/>
      </c>
      <c r="D1197" s="22">
        <f>IF($M1197&lt;&gt;"",IF(INDEX(CalcDocA,$M1197)="","—",INDEX(CalcDocA,$M1197)),IF($N1197&lt;&gt;"",INDEX(CalcBankB,$N1197),""))</f>
        <v/>
      </c>
      <c r="E1197" s="23">
        <f>IF($N1197&lt;&gt;"",IF(INDEX(CalcDepB,$N1197)=0,"",INDEX(CalcDepB,$N1197)),"")</f>
        <v/>
      </c>
      <c r="F1197" s="23">
        <f>IF($M1197&lt;&gt;"",IF(INDEX(CalcQtyA,$M1197)=0,"",INDEX(CalcQtyA,$M1197)),"")</f>
        <v/>
      </c>
      <c r="G1197" s="23">
        <f>IF($M1197&lt;&gt;"",IF(INDEX(CalcPriceA,$M1197)=0,"",INDEX(CalcPriceA,$M1197)),"")</f>
        <v/>
      </c>
      <c r="H1197" s="23">
        <f>IF($N1197&lt;&gt;"",IF(INDEX(CalcWitB,$N1197)=0,"",INDEX(CalcWitB,$N1197)),"")</f>
        <v/>
      </c>
      <c r="I1197" s="24">
        <f>IF($M1197&lt;&gt;"",INDEX(CalcAmtA,$M1197),"")</f>
        <v/>
      </c>
      <c r="J1197" s="24">
        <f>IF($B1197="","",IF($J1196="",$C$8,$J1196)+IF($I1197="",0,$I1197)+IF($E1197="",0,$E1197)-IF($H1197="",0,$H1197))</f>
        <v/>
      </c>
      <c r="K1197" s="25">
        <f>IF($M1197&lt;&gt;"",IF(INDEX(CalcNoteA,$M1197)="","—",INDEX(CalcNoteA,$M1197)),IF($N1197&lt;&gt;"",IF(INDEX(CalcNoteB,$N1197)="","—",INDEX(CalcNoteB,$N1197)),""))</f>
        <v/>
      </c>
      <c r="M1197">
        <f>IFERROR(MATCH($C$5&amp;"|"&amp;RIGHT("000000"&amp;1181,6),CalcRankKeyA,0),"")</f>
        <v/>
      </c>
      <c r="N1197">
        <f>IFERROR(MATCH($C$5&amp;"|"&amp;RIGHT("000000"&amp;1181,6),CalcRankKeyB,0),"")</f>
        <v/>
      </c>
    </row>
    <row r="1198">
      <c r="A1198" s="26" t="n">
        <v>1182</v>
      </c>
      <c r="B1198" s="27">
        <f>IF(AND($M1198="",$N1198=""),"",IF($M1198&lt;&gt;"",INDEX(CalcDateA,$M1198),INDEX(CalcDateB,$N1198)))</f>
        <v/>
      </c>
      <c r="C1198" s="27">
        <f>IF($M1198&lt;&gt;"","خرید سبد",IF($N1198&lt;&gt;"",IF(N(INDEX(CalcDepB,$N1198))&gt;0,"دریافت بانکی","پرداخت بانکی"),""))</f>
        <v/>
      </c>
      <c r="D1198" s="27">
        <f>IF($M1198&lt;&gt;"",IF(INDEX(CalcDocA,$M1198)="","—",INDEX(CalcDocA,$M1198)),IF($N1198&lt;&gt;"",INDEX(CalcBankB,$N1198),""))</f>
        <v/>
      </c>
      <c r="E1198" s="28">
        <f>IF($N1198&lt;&gt;"",IF(INDEX(CalcDepB,$N1198)=0,"",INDEX(CalcDepB,$N1198)),"")</f>
        <v/>
      </c>
      <c r="F1198" s="28">
        <f>IF($M1198&lt;&gt;"",IF(INDEX(CalcQtyA,$M1198)=0,"",INDEX(CalcQtyA,$M1198)),"")</f>
        <v/>
      </c>
      <c r="G1198" s="28">
        <f>IF($M1198&lt;&gt;"",IF(INDEX(CalcPriceA,$M1198)=0,"",INDEX(CalcPriceA,$M1198)),"")</f>
        <v/>
      </c>
      <c r="H1198" s="28">
        <f>IF($N1198&lt;&gt;"",IF(INDEX(CalcWitB,$N1198)=0,"",INDEX(CalcWitB,$N1198)),"")</f>
        <v/>
      </c>
      <c r="I1198" s="29">
        <f>IF($M1198&lt;&gt;"",INDEX(CalcAmtA,$M1198),"")</f>
        <v/>
      </c>
      <c r="J1198" s="29">
        <f>IF($B1198="","",IF($J1197="",$C$8,$J1197)+IF($I1198="",0,$I1198)+IF($E1198="",0,$E1198)-IF($H1198="",0,$H1198))</f>
        <v/>
      </c>
      <c r="K1198" s="30">
        <f>IF($M1198&lt;&gt;"",IF(INDEX(CalcNoteA,$M1198)="","—",INDEX(CalcNoteA,$M1198)),IF($N1198&lt;&gt;"",IF(INDEX(CalcNoteB,$N1198)="","—",INDEX(CalcNoteB,$N1198)),""))</f>
        <v/>
      </c>
      <c r="M1198">
        <f>IFERROR(MATCH($C$5&amp;"|"&amp;RIGHT("000000"&amp;1182,6),CalcRankKeyA,0),"")</f>
        <v/>
      </c>
      <c r="N1198">
        <f>IFERROR(MATCH($C$5&amp;"|"&amp;RIGHT("000000"&amp;1182,6),CalcRankKeyB,0),"")</f>
        <v/>
      </c>
    </row>
    <row r="1199">
      <c r="A1199" s="21" t="n">
        <v>1183</v>
      </c>
      <c r="B1199" s="22">
        <f>IF(AND($M1199="",$N1199=""),"",IF($M1199&lt;&gt;"",INDEX(CalcDateA,$M1199),INDEX(CalcDateB,$N1199)))</f>
        <v/>
      </c>
      <c r="C1199" s="22">
        <f>IF($M1199&lt;&gt;"","خرید سبد",IF($N1199&lt;&gt;"",IF(N(INDEX(CalcDepB,$N1199))&gt;0,"دریافت بانکی","پرداخت بانکی"),""))</f>
        <v/>
      </c>
      <c r="D1199" s="22">
        <f>IF($M1199&lt;&gt;"",IF(INDEX(CalcDocA,$M1199)="","—",INDEX(CalcDocA,$M1199)),IF($N1199&lt;&gt;"",INDEX(CalcBankB,$N1199),""))</f>
        <v/>
      </c>
      <c r="E1199" s="23">
        <f>IF($N1199&lt;&gt;"",IF(INDEX(CalcDepB,$N1199)=0,"",INDEX(CalcDepB,$N1199)),"")</f>
        <v/>
      </c>
      <c r="F1199" s="23">
        <f>IF($M1199&lt;&gt;"",IF(INDEX(CalcQtyA,$M1199)=0,"",INDEX(CalcQtyA,$M1199)),"")</f>
        <v/>
      </c>
      <c r="G1199" s="23">
        <f>IF($M1199&lt;&gt;"",IF(INDEX(CalcPriceA,$M1199)=0,"",INDEX(CalcPriceA,$M1199)),"")</f>
        <v/>
      </c>
      <c r="H1199" s="23">
        <f>IF($N1199&lt;&gt;"",IF(INDEX(CalcWitB,$N1199)=0,"",INDEX(CalcWitB,$N1199)),"")</f>
        <v/>
      </c>
      <c r="I1199" s="24">
        <f>IF($M1199&lt;&gt;"",INDEX(CalcAmtA,$M1199),"")</f>
        <v/>
      </c>
      <c r="J1199" s="24">
        <f>IF($B1199="","",IF($J1198="",$C$8,$J1198)+IF($I1199="",0,$I1199)+IF($E1199="",0,$E1199)-IF($H1199="",0,$H1199))</f>
        <v/>
      </c>
      <c r="K1199" s="25">
        <f>IF($M1199&lt;&gt;"",IF(INDEX(CalcNoteA,$M1199)="","—",INDEX(CalcNoteA,$M1199)),IF($N1199&lt;&gt;"",IF(INDEX(CalcNoteB,$N1199)="","—",INDEX(CalcNoteB,$N1199)),""))</f>
        <v/>
      </c>
      <c r="M1199">
        <f>IFERROR(MATCH($C$5&amp;"|"&amp;RIGHT("000000"&amp;1183,6),CalcRankKeyA,0),"")</f>
        <v/>
      </c>
      <c r="N1199">
        <f>IFERROR(MATCH($C$5&amp;"|"&amp;RIGHT("000000"&amp;1183,6),CalcRankKeyB,0),"")</f>
        <v/>
      </c>
    </row>
    <row r="1200">
      <c r="A1200" s="26" t="n">
        <v>1184</v>
      </c>
      <c r="B1200" s="27">
        <f>IF(AND($M1200="",$N1200=""),"",IF($M1200&lt;&gt;"",INDEX(CalcDateA,$M1200),INDEX(CalcDateB,$N1200)))</f>
        <v/>
      </c>
      <c r="C1200" s="27">
        <f>IF($M1200&lt;&gt;"","خرید سبد",IF($N1200&lt;&gt;"",IF(N(INDEX(CalcDepB,$N1200))&gt;0,"دریافت بانکی","پرداخت بانکی"),""))</f>
        <v/>
      </c>
      <c r="D1200" s="27">
        <f>IF($M1200&lt;&gt;"",IF(INDEX(CalcDocA,$M1200)="","—",INDEX(CalcDocA,$M1200)),IF($N1200&lt;&gt;"",INDEX(CalcBankB,$N1200),""))</f>
        <v/>
      </c>
      <c r="E1200" s="28">
        <f>IF($N1200&lt;&gt;"",IF(INDEX(CalcDepB,$N1200)=0,"",INDEX(CalcDepB,$N1200)),"")</f>
        <v/>
      </c>
      <c r="F1200" s="28">
        <f>IF($M1200&lt;&gt;"",IF(INDEX(CalcQtyA,$M1200)=0,"",INDEX(CalcQtyA,$M1200)),"")</f>
        <v/>
      </c>
      <c r="G1200" s="28">
        <f>IF($M1200&lt;&gt;"",IF(INDEX(CalcPriceA,$M1200)=0,"",INDEX(CalcPriceA,$M1200)),"")</f>
        <v/>
      </c>
      <c r="H1200" s="28">
        <f>IF($N1200&lt;&gt;"",IF(INDEX(CalcWitB,$N1200)=0,"",INDEX(CalcWitB,$N1200)),"")</f>
        <v/>
      </c>
      <c r="I1200" s="29">
        <f>IF($M1200&lt;&gt;"",INDEX(CalcAmtA,$M1200),"")</f>
        <v/>
      </c>
      <c r="J1200" s="29">
        <f>IF($B1200="","",IF($J1199="",$C$8,$J1199)+IF($I1200="",0,$I1200)+IF($E1200="",0,$E1200)-IF($H1200="",0,$H1200))</f>
        <v/>
      </c>
      <c r="K1200" s="30">
        <f>IF($M1200&lt;&gt;"",IF(INDEX(CalcNoteA,$M1200)="","—",INDEX(CalcNoteA,$M1200)),IF($N1200&lt;&gt;"",IF(INDEX(CalcNoteB,$N1200)="","—",INDEX(CalcNoteB,$N1200)),""))</f>
        <v/>
      </c>
      <c r="M1200">
        <f>IFERROR(MATCH($C$5&amp;"|"&amp;RIGHT("000000"&amp;1184,6),CalcRankKeyA,0),"")</f>
        <v/>
      </c>
      <c r="N1200">
        <f>IFERROR(MATCH($C$5&amp;"|"&amp;RIGHT("000000"&amp;1184,6),CalcRankKeyB,0),"")</f>
        <v/>
      </c>
    </row>
    <row r="1201">
      <c r="A1201" s="21" t="n">
        <v>1185</v>
      </c>
      <c r="B1201" s="22">
        <f>IF(AND($M1201="",$N1201=""),"",IF($M1201&lt;&gt;"",INDEX(CalcDateA,$M1201),INDEX(CalcDateB,$N1201)))</f>
        <v/>
      </c>
      <c r="C1201" s="22">
        <f>IF($M1201&lt;&gt;"","خرید سبد",IF($N1201&lt;&gt;"",IF(N(INDEX(CalcDepB,$N1201))&gt;0,"دریافت بانکی","پرداخت بانکی"),""))</f>
        <v/>
      </c>
      <c r="D1201" s="22">
        <f>IF($M1201&lt;&gt;"",IF(INDEX(CalcDocA,$M1201)="","—",INDEX(CalcDocA,$M1201)),IF($N1201&lt;&gt;"",INDEX(CalcBankB,$N1201),""))</f>
        <v/>
      </c>
      <c r="E1201" s="23">
        <f>IF($N1201&lt;&gt;"",IF(INDEX(CalcDepB,$N1201)=0,"",INDEX(CalcDepB,$N1201)),"")</f>
        <v/>
      </c>
      <c r="F1201" s="23">
        <f>IF($M1201&lt;&gt;"",IF(INDEX(CalcQtyA,$M1201)=0,"",INDEX(CalcQtyA,$M1201)),"")</f>
        <v/>
      </c>
      <c r="G1201" s="23">
        <f>IF($M1201&lt;&gt;"",IF(INDEX(CalcPriceA,$M1201)=0,"",INDEX(CalcPriceA,$M1201)),"")</f>
        <v/>
      </c>
      <c r="H1201" s="23">
        <f>IF($N1201&lt;&gt;"",IF(INDEX(CalcWitB,$N1201)=0,"",INDEX(CalcWitB,$N1201)),"")</f>
        <v/>
      </c>
      <c r="I1201" s="24">
        <f>IF($M1201&lt;&gt;"",INDEX(CalcAmtA,$M1201),"")</f>
        <v/>
      </c>
      <c r="J1201" s="24">
        <f>IF($B1201="","",IF($J1200="",$C$8,$J1200)+IF($I1201="",0,$I1201)+IF($E1201="",0,$E1201)-IF($H1201="",0,$H1201))</f>
        <v/>
      </c>
      <c r="K1201" s="25">
        <f>IF($M1201&lt;&gt;"",IF(INDEX(CalcNoteA,$M1201)="","—",INDEX(CalcNoteA,$M1201)),IF($N1201&lt;&gt;"",IF(INDEX(CalcNoteB,$N1201)="","—",INDEX(CalcNoteB,$N1201)),""))</f>
        <v/>
      </c>
      <c r="M1201">
        <f>IFERROR(MATCH($C$5&amp;"|"&amp;RIGHT("000000"&amp;1185,6),CalcRankKeyA,0),"")</f>
        <v/>
      </c>
      <c r="N1201">
        <f>IFERROR(MATCH($C$5&amp;"|"&amp;RIGHT("000000"&amp;1185,6),CalcRankKeyB,0),"")</f>
        <v/>
      </c>
    </row>
    <row r="1202">
      <c r="A1202" s="26" t="n">
        <v>1186</v>
      </c>
      <c r="B1202" s="27">
        <f>IF(AND($M1202="",$N1202=""),"",IF($M1202&lt;&gt;"",INDEX(CalcDateA,$M1202),INDEX(CalcDateB,$N1202)))</f>
        <v/>
      </c>
      <c r="C1202" s="27">
        <f>IF($M1202&lt;&gt;"","خرید سبد",IF($N1202&lt;&gt;"",IF(N(INDEX(CalcDepB,$N1202))&gt;0,"دریافت بانکی","پرداخت بانکی"),""))</f>
        <v/>
      </c>
      <c r="D1202" s="27">
        <f>IF($M1202&lt;&gt;"",IF(INDEX(CalcDocA,$M1202)="","—",INDEX(CalcDocA,$M1202)),IF($N1202&lt;&gt;"",INDEX(CalcBankB,$N1202),""))</f>
        <v/>
      </c>
      <c r="E1202" s="28">
        <f>IF($N1202&lt;&gt;"",IF(INDEX(CalcDepB,$N1202)=0,"",INDEX(CalcDepB,$N1202)),"")</f>
        <v/>
      </c>
      <c r="F1202" s="28">
        <f>IF($M1202&lt;&gt;"",IF(INDEX(CalcQtyA,$M1202)=0,"",INDEX(CalcQtyA,$M1202)),"")</f>
        <v/>
      </c>
      <c r="G1202" s="28">
        <f>IF($M1202&lt;&gt;"",IF(INDEX(CalcPriceA,$M1202)=0,"",INDEX(CalcPriceA,$M1202)),"")</f>
        <v/>
      </c>
      <c r="H1202" s="28">
        <f>IF($N1202&lt;&gt;"",IF(INDEX(CalcWitB,$N1202)=0,"",INDEX(CalcWitB,$N1202)),"")</f>
        <v/>
      </c>
      <c r="I1202" s="29">
        <f>IF($M1202&lt;&gt;"",INDEX(CalcAmtA,$M1202),"")</f>
        <v/>
      </c>
      <c r="J1202" s="29">
        <f>IF($B1202="","",IF($J1201="",$C$8,$J1201)+IF($I1202="",0,$I1202)+IF($E1202="",0,$E1202)-IF($H1202="",0,$H1202))</f>
        <v/>
      </c>
      <c r="K1202" s="30">
        <f>IF($M1202&lt;&gt;"",IF(INDEX(CalcNoteA,$M1202)="","—",INDEX(CalcNoteA,$M1202)),IF($N1202&lt;&gt;"",IF(INDEX(CalcNoteB,$N1202)="","—",INDEX(CalcNoteB,$N1202)),""))</f>
        <v/>
      </c>
      <c r="M1202">
        <f>IFERROR(MATCH($C$5&amp;"|"&amp;RIGHT("000000"&amp;1186,6),CalcRankKeyA,0),"")</f>
        <v/>
      </c>
      <c r="N1202">
        <f>IFERROR(MATCH($C$5&amp;"|"&amp;RIGHT("000000"&amp;1186,6),CalcRankKeyB,0),"")</f>
        <v/>
      </c>
    </row>
    <row r="1203">
      <c r="A1203" s="21" t="n">
        <v>1187</v>
      </c>
      <c r="B1203" s="22">
        <f>IF(AND($M1203="",$N1203=""),"",IF($M1203&lt;&gt;"",INDEX(CalcDateA,$M1203),INDEX(CalcDateB,$N1203)))</f>
        <v/>
      </c>
      <c r="C1203" s="22">
        <f>IF($M1203&lt;&gt;"","خرید سبد",IF($N1203&lt;&gt;"",IF(N(INDEX(CalcDepB,$N1203))&gt;0,"دریافت بانکی","پرداخت بانکی"),""))</f>
        <v/>
      </c>
      <c r="D1203" s="22">
        <f>IF($M1203&lt;&gt;"",IF(INDEX(CalcDocA,$M1203)="","—",INDEX(CalcDocA,$M1203)),IF($N1203&lt;&gt;"",INDEX(CalcBankB,$N1203),""))</f>
        <v/>
      </c>
      <c r="E1203" s="23">
        <f>IF($N1203&lt;&gt;"",IF(INDEX(CalcDepB,$N1203)=0,"",INDEX(CalcDepB,$N1203)),"")</f>
        <v/>
      </c>
      <c r="F1203" s="23">
        <f>IF($M1203&lt;&gt;"",IF(INDEX(CalcQtyA,$M1203)=0,"",INDEX(CalcQtyA,$M1203)),"")</f>
        <v/>
      </c>
      <c r="G1203" s="23">
        <f>IF($M1203&lt;&gt;"",IF(INDEX(CalcPriceA,$M1203)=0,"",INDEX(CalcPriceA,$M1203)),"")</f>
        <v/>
      </c>
      <c r="H1203" s="23">
        <f>IF($N1203&lt;&gt;"",IF(INDEX(CalcWitB,$N1203)=0,"",INDEX(CalcWitB,$N1203)),"")</f>
        <v/>
      </c>
      <c r="I1203" s="24">
        <f>IF($M1203&lt;&gt;"",INDEX(CalcAmtA,$M1203),"")</f>
        <v/>
      </c>
      <c r="J1203" s="24">
        <f>IF($B1203="","",IF($J1202="",$C$8,$J1202)+IF($I1203="",0,$I1203)+IF($E1203="",0,$E1203)-IF($H1203="",0,$H1203))</f>
        <v/>
      </c>
      <c r="K1203" s="25">
        <f>IF($M1203&lt;&gt;"",IF(INDEX(CalcNoteA,$M1203)="","—",INDEX(CalcNoteA,$M1203)),IF($N1203&lt;&gt;"",IF(INDEX(CalcNoteB,$N1203)="","—",INDEX(CalcNoteB,$N1203)),""))</f>
        <v/>
      </c>
      <c r="M1203">
        <f>IFERROR(MATCH($C$5&amp;"|"&amp;RIGHT("000000"&amp;1187,6),CalcRankKeyA,0),"")</f>
        <v/>
      </c>
      <c r="N1203">
        <f>IFERROR(MATCH($C$5&amp;"|"&amp;RIGHT("000000"&amp;1187,6),CalcRankKeyB,0),"")</f>
        <v/>
      </c>
    </row>
    <row r="1204">
      <c r="A1204" s="26" t="n">
        <v>1188</v>
      </c>
      <c r="B1204" s="27">
        <f>IF(AND($M1204="",$N1204=""),"",IF($M1204&lt;&gt;"",INDEX(CalcDateA,$M1204),INDEX(CalcDateB,$N1204)))</f>
        <v/>
      </c>
      <c r="C1204" s="27">
        <f>IF($M1204&lt;&gt;"","خرید سبد",IF($N1204&lt;&gt;"",IF(N(INDEX(CalcDepB,$N1204))&gt;0,"دریافت بانکی","پرداخت بانکی"),""))</f>
        <v/>
      </c>
      <c r="D1204" s="27">
        <f>IF($M1204&lt;&gt;"",IF(INDEX(CalcDocA,$M1204)="","—",INDEX(CalcDocA,$M1204)),IF($N1204&lt;&gt;"",INDEX(CalcBankB,$N1204),""))</f>
        <v/>
      </c>
      <c r="E1204" s="28">
        <f>IF($N1204&lt;&gt;"",IF(INDEX(CalcDepB,$N1204)=0,"",INDEX(CalcDepB,$N1204)),"")</f>
        <v/>
      </c>
      <c r="F1204" s="28">
        <f>IF($M1204&lt;&gt;"",IF(INDEX(CalcQtyA,$M1204)=0,"",INDEX(CalcQtyA,$M1204)),"")</f>
        <v/>
      </c>
      <c r="G1204" s="28">
        <f>IF($M1204&lt;&gt;"",IF(INDEX(CalcPriceA,$M1204)=0,"",INDEX(CalcPriceA,$M1204)),"")</f>
        <v/>
      </c>
      <c r="H1204" s="28">
        <f>IF($N1204&lt;&gt;"",IF(INDEX(CalcWitB,$N1204)=0,"",INDEX(CalcWitB,$N1204)),"")</f>
        <v/>
      </c>
      <c r="I1204" s="29">
        <f>IF($M1204&lt;&gt;"",INDEX(CalcAmtA,$M1204),"")</f>
        <v/>
      </c>
      <c r="J1204" s="29">
        <f>IF($B1204="","",IF($J1203="",$C$8,$J1203)+IF($I1204="",0,$I1204)+IF($E1204="",0,$E1204)-IF($H1204="",0,$H1204))</f>
        <v/>
      </c>
      <c r="K1204" s="30">
        <f>IF($M1204&lt;&gt;"",IF(INDEX(CalcNoteA,$M1204)="","—",INDEX(CalcNoteA,$M1204)),IF($N1204&lt;&gt;"",IF(INDEX(CalcNoteB,$N1204)="","—",INDEX(CalcNoteB,$N1204)),""))</f>
        <v/>
      </c>
      <c r="M1204">
        <f>IFERROR(MATCH($C$5&amp;"|"&amp;RIGHT("000000"&amp;1188,6),CalcRankKeyA,0),"")</f>
        <v/>
      </c>
      <c r="N1204">
        <f>IFERROR(MATCH($C$5&amp;"|"&amp;RIGHT("000000"&amp;1188,6),CalcRankKeyB,0),"")</f>
        <v/>
      </c>
    </row>
    <row r="1205">
      <c r="A1205" s="21" t="n">
        <v>1189</v>
      </c>
      <c r="B1205" s="22">
        <f>IF(AND($M1205="",$N1205=""),"",IF($M1205&lt;&gt;"",INDEX(CalcDateA,$M1205),INDEX(CalcDateB,$N1205)))</f>
        <v/>
      </c>
      <c r="C1205" s="22">
        <f>IF($M1205&lt;&gt;"","خرید سبد",IF($N1205&lt;&gt;"",IF(N(INDEX(CalcDepB,$N1205))&gt;0,"دریافت بانکی","پرداخت بانکی"),""))</f>
        <v/>
      </c>
      <c r="D1205" s="22">
        <f>IF($M1205&lt;&gt;"",IF(INDEX(CalcDocA,$M1205)="","—",INDEX(CalcDocA,$M1205)),IF($N1205&lt;&gt;"",INDEX(CalcBankB,$N1205),""))</f>
        <v/>
      </c>
      <c r="E1205" s="23">
        <f>IF($N1205&lt;&gt;"",IF(INDEX(CalcDepB,$N1205)=0,"",INDEX(CalcDepB,$N1205)),"")</f>
        <v/>
      </c>
      <c r="F1205" s="23">
        <f>IF($M1205&lt;&gt;"",IF(INDEX(CalcQtyA,$M1205)=0,"",INDEX(CalcQtyA,$M1205)),"")</f>
        <v/>
      </c>
      <c r="G1205" s="23">
        <f>IF($M1205&lt;&gt;"",IF(INDEX(CalcPriceA,$M1205)=0,"",INDEX(CalcPriceA,$M1205)),"")</f>
        <v/>
      </c>
      <c r="H1205" s="23">
        <f>IF($N1205&lt;&gt;"",IF(INDEX(CalcWitB,$N1205)=0,"",INDEX(CalcWitB,$N1205)),"")</f>
        <v/>
      </c>
      <c r="I1205" s="24">
        <f>IF($M1205&lt;&gt;"",INDEX(CalcAmtA,$M1205),"")</f>
        <v/>
      </c>
      <c r="J1205" s="24">
        <f>IF($B1205="","",IF($J1204="",$C$8,$J1204)+IF($I1205="",0,$I1205)+IF($E1205="",0,$E1205)-IF($H1205="",0,$H1205))</f>
        <v/>
      </c>
      <c r="K1205" s="25">
        <f>IF($M1205&lt;&gt;"",IF(INDEX(CalcNoteA,$M1205)="","—",INDEX(CalcNoteA,$M1205)),IF($N1205&lt;&gt;"",IF(INDEX(CalcNoteB,$N1205)="","—",INDEX(CalcNoteB,$N1205)),""))</f>
        <v/>
      </c>
      <c r="M1205">
        <f>IFERROR(MATCH($C$5&amp;"|"&amp;RIGHT("000000"&amp;1189,6),CalcRankKeyA,0),"")</f>
        <v/>
      </c>
      <c r="N1205">
        <f>IFERROR(MATCH($C$5&amp;"|"&amp;RIGHT("000000"&amp;1189,6),CalcRankKeyB,0),"")</f>
        <v/>
      </c>
    </row>
    <row r="1206">
      <c r="A1206" s="26" t="n">
        <v>1190</v>
      </c>
      <c r="B1206" s="27">
        <f>IF(AND($M1206="",$N1206=""),"",IF($M1206&lt;&gt;"",INDEX(CalcDateA,$M1206),INDEX(CalcDateB,$N1206)))</f>
        <v/>
      </c>
      <c r="C1206" s="27">
        <f>IF($M1206&lt;&gt;"","خرید سبد",IF($N1206&lt;&gt;"",IF(N(INDEX(CalcDepB,$N1206))&gt;0,"دریافت بانکی","پرداخت بانکی"),""))</f>
        <v/>
      </c>
      <c r="D1206" s="27">
        <f>IF($M1206&lt;&gt;"",IF(INDEX(CalcDocA,$M1206)="","—",INDEX(CalcDocA,$M1206)),IF($N1206&lt;&gt;"",INDEX(CalcBankB,$N1206),""))</f>
        <v/>
      </c>
      <c r="E1206" s="28">
        <f>IF($N1206&lt;&gt;"",IF(INDEX(CalcDepB,$N1206)=0,"",INDEX(CalcDepB,$N1206)),"")</f>
        <v/>
      </c>
      <c r="F1206" s="28">
        <f>IF($M1206&lt;&gt;"",IF(INDEX(CalcQtyA,$M1206)=0,"",INDEX(CalcQtyA,$M1206)),"")</f>
        <v/>
      </c>
      <c r="G1206" s="28">
        <f>IF($M1206&lt;&gt;"",IF(INDEX(CalcPriceA,$M1206)=0,"",INDEX(CalcPriceA,$M1206)),"")</f>
        <v/>
      </c>
      <c r="H1206" s="28">
        <f>IF($N1206&lt;&gt;"",IF(INDEX(CalcWitB,$N1206)=0,"",INDEX(CalcWitB,$N1206)),"")</f>
        <v/>
      </c>
      <c r="I1206" s="29">
        <f>IF($M1206&lt;&gt;"",INDEX(CalcAmtA,$M1206),"")</f>
        <v/>
      </c>
      <c r="J1206" s="29">
        <f>IF($B1206="","",IF($J1205="",$C$8,$J1205)+IF($I1206="",0,$I1206)+IF($E1206="",0,$E1206)-IF($H1206="",0,$H1206))</f>
        <v/>
      </c>
      <c r="K1206" s="30">
        <f>IF($M1206&lt;&gt;"",IF(INDEX(CalcNoteA,$M1206)="","—",INDEX(CalcNoteA,$M1206)),IF($N1206&lt;&gt;"",IF(INDEX(CalcNoteB,$N1206)="","—",INDEX(CalcNoteB,$N1206)),""))</f>
        <v/>
      </c>
      <c r="M1206">
        <f>IFERROR(MATCH($C$5&amp;"|"&amp;RIGHT("000000"&amp;1190,6),CalcRankKeyA,0),"")</f>
        <v/>
      </c>
      <c r="N1206">
        <f>IFERROR(MATCH($C$5&amp;"|"&amp;RIGHT("000000"&amp;1190,6),CalcRankKeyB,0),"")</f>
        <v/>
      </c>
    </row>
    <row r="1207">
      <c r="A1207" s="21" t="n">
        <v>1191</v>
      </c>
      <c r="B1207" s="22">
        <f>IF(AND($M1207="",$N1207=""),"",IF($M1207&lt;&gt;"",INDEX(CalcDateA,$M1207),INDEX(CalcDateB,$N1207)))</f>
        <v/>
      </c>
      <c r="C1207" s="22">
        <f>IF($M1207&lt;&gt;"","خرید سبد",IF($N1207&lt;&gt;"",IF(N(INDEX(CalcDepB,$N1207))&gt;0,"دریافت بانکی","پرداخت بانکی"),""))</f>
        <v/>
      </c>
      <c r="D1207" s="22">
        <f>IF($M1207&lt;&gt;"",IF(INDEX(CalcDocA,$M1207)="","—",INDEX(CalcDocA,$M1207)),IF($N1207&lt;&gt;"",INDEX(CalcBankB,$N1207),""))</f>
        <v/>
      </c>
      <c r="E1207" s="23">
        <f>IF($N1207&lt;&gt;"",IF(INDEX(CalcDepB,$N1207)=0,"",INDEX(CalcDepB,$N1207)),"")</f>
        <v/>
      </c>
      <c r="F1207" s="23">
        <f>IF($M1207&lt;&gt;"",IF(INDEX(CalcQtyA,$M1207)=0,"",INDEX(CalcQtyA,$M1207)),"")</f>
        <v/>
      </c>
      <c r="G1207" s="23">
        <f>IF($M1207&lt;&gt;"",IF(INDEX(CalcPriceA,$M1207)=0,"",INDEX(CalcPriceA,$M1207)),"")</f>
        <v/>
      </c>
      <c r="H1207" s="23">
        <f>IF($N1207&lt;&gt;"",IF(INDEX(CalcWitB,$N1207)=0,"",INDEX(CalcWitB,$N1207)),"")</f>
        <v/>
      </c>
      <c r="I1207" s="24">
        <f>IF($M1207&lt;&gt;"",INDEX(CalcAmtA,$M1207),"")</f>
        <v/>
      </c>
      <c r="J1207" s="24">
        <f>IF($B1207="","",IF($J1206="",$C$8,$J1206)+IF($I1207="",0,$I1207)+IF($E1207="",0,$E1207)-IF($H1207="",0,$H1207))</f>
        <v/>
      </c>
      <c r="K1207" s="25">
        <f>IF($M1207&lt;&gt;"",IF(INDEX(CalcNoteA,$M1207)="","—",INDEX(CalcNoteA,$M1207)),IF($N1207&lt;&gt;"",IF(INDEX(CalcNoteB,$N1207)="","—",INDEX(CalcNoteB,$N1207)),""))</f>
        <v/>
      </c>
      <c r="M1207">
        <f>IFERROR(MATCH($C$5&amp;"|"&amp;RIGHT("000000"&amp;1191,6),CalcRankKeyA,0),"")</f>
        <v/>
      </c>
      <c r="N1207">
        <f>IFERROR(MATCH($C$5&amp;"|"&amp;RIGHT("000000"&amp;1191,6),CalcRankKeyB,0),"")</f>
        <v/>
      </c>
    </row>
    <row r="1208">
      <c r="A1208" s="26" t="n">
        <v>1192</v>
      </c>
      <c r="B1208" s="27">
        <f>IF(AND($M1208="",$N1208=""),"",IF($M1208&lt;&gt;"",INDEX(CalcDateA,$M1208),INDEX(CalcDateB,$N1208)))</f>
        <v/>
      </c>
      <c r="C1208" s="27">
        <f>IF($M1208&lt;&gt;"","خرید سبد",IF($N1208&lt;&gt;"",IF(N(INDEX(CalcDepB,$N1208))&gt;0,"دریافت بانکی","پرداخت بانکی"),""))</f>
        <v/>
      </c>
      <c r="D1208" s="27">
        <f>IF($M1208&lt;&gt;"",IF(INDEX(CalcDocA,$M1208)="","—",INDEX(CalcDocA,$M1208)),IF($N1208&lt;&gt;"",INDEX(CalcBankB,$N1208),""))</f>
        <v/>
      </c>
      <c r="E1208" s="28">
        <f>IF($N1208&lt;&gt;"",IF(INDEX(CalcDepB,$N1208)=0,"",INDEX(CalcDepB,$N1208)),"")</f>
        <v/>
      </c>
      <c r="F1208" s="28">
        <f>IF($M1208&lt;&gt;"",IF(INDEX(CalcQtyA,$M1208)=0,"",INDEX(CalcQtyA,$M1208)),"")</f>
        <v/>
      </c>
      <c r="G1208" s="28">
        <f>IF($M1208&lt;&gt;"",IF(INDEX(CalcPriceA,$M1208)=0,"",INDEX(CalcPriceA,$M1208)),"")</f>
        <v/>
      </c>
      <c r="H1208" s="28">
        <f>IF($N1208&lt;&gt;"",IF(INDEX(CalcWitB,$N1208)=0,"",INDEX(CalcWitB,$N1208)),"")</f>
        <v/>
      </c>
      <c r="I1208" s="29">
        <f>IF($M1208&lt;&gt;"",INDEX(CalcAmtA,$M1208),"")</f>
        <v/>
      </c>
      <c r="J1208" s="29">
        <f>IF($B1208="","",IF($J1207="",$C$8,$J1207)+IF($I1208="",0,$I1208)+IF($E1208="",0,$E1208)-IF($H1208="",0,$H1208))</f>
        <v/>
      </c>
      <c r="K1208" s="30">
        <f>IF($M1208&lt;&gt;"",IF(INDEX(CalcNoteA,$M1208)="","—",INDEX(CalcNoteA,$M1208)),IF($N1208&lt;&gt;"",IF(INDEX(CalcNoteB,$N1208)="","—",INDEX(CalcNoteB,$N1208)),""))</f>
        <v/>
      </c>
      <c r="M1208">
        <f>IFERROR(MATCH($C$5&amp;"|"&amp;RIGHT("000000"&amp;1192,6),CalcRankKeyA,0),"")</f>
        <v/>
      </c>
      <c r="N1208">
        <f>IFERROR(MATCH($C$5&amp;"|"&amp;RIGHT("000000"&amp;1192,6),CalcRankKeyB,0),"")</f>
        <v/>
      </c>
    </row>
    <row r="1209">
      <c r="A1209" s="21" t="n">
        <v>1193</v>
      </c>
      <c r="B1209" s="22">
        <f>IF(AND($M1209="",$N1209=""),"",IF($M1209&lt;&gt;"",INDEX(CalcDateA,$M1209),INDEX(CalcDateB,$N1209)))</f>
        <v/>
      </c>
      <c r="C1209" s="22">
        <f>IF($M1209&lt;&gt;"","خرید سبد",IF($N1209&lt;&gt;"",IF(N(INDEX(CalcDepB,$N1209))&gt;0,"دریافت بانکی","پرداخت بانکی"),""))</f>
        <v/>
      </c>
      <c r="D1209" s="22">
        <f>IF($M1209&lt;&gt;"",IF(INDEX(CalcDocA,$M1209)="","—",INDEX(CalcDocA,$M1209)),IF($N1209&lt;&gt;"",INDEX(CalcBankB,$N1209),""))</f>
        <v/>
      </c>
      <c r="E1209" s="23">
        <f>IF($N1209&lt;&gt;"",IF(INDEX(CalcDepB,$N1209)=0,"",INDEX(CalcDepB,$N1209)),"")</f>
        <v/>
      </c>
      <c r="F1209" s="23">
        <f>IF($M1209&lt;&gt;"",IF(INDEX(CalcQtyA,$M1209)=0,"",INDEX(CalcQtyA,$M1209)),"")</f>
        <v/>
      </c>
      <c r="G1209" s="23">
        <f>IF($M1209&lt;&gt;"",IF(INDEX(CalcPriceA,$M1209)=0,"",INDEX(CalcPriceA,$M1209)),"")</f>
        <v/>
      </c>
      <c r="H1209" s="23">
        <f>IF($N1209&lt;&gt;"",IF(INDEX(CalcWitB,$N1209)=0,"",INDEX(CalcWitB,$N1209)),"")</f>
        <v/>
      </c>
      <c r="I1209" s="24">
        <f>IF($M1209&lt;&gt;"",INDEX(CalcAmtA,$M1209),"")</f>
        <v/>
      </c>
      <c r="J1209" s="24">
        <f>IF($B1209="","",IF($J1208="",$C$8,$J1208)+IF($I1209="",0,$I1209)+IF($E1209="",0,$E1209)-IF($H1209="",0,$H1209))</f>
        <v/>
      </c>
      <c r="K1209" s="25">
        <f>IF($M1209&lt;&gt;"",IF(INDEX(CalcNoteA,$M1209)="","—",INDEX(CalcNoteA,$M1209)),IF($N1209&lt;&gt;"",IF(INDEX(CalcNoteB,$N1209)="","—",INDEX(CalcNoteB,$N1209)),""))</f>
        <v/>
      </c>
      <c r="M1209">
        <f>IFERROR(MATCH($C$5&amp;"|"&amp;RIGHT("000000"&amp;1193,6),CalcRankKeyA,0),"")</f>
        <v/>
      </c>
      <c r="N1209">
        <f>IFERROR(MATCH($C$5&amp;"|"&amp;RIGHT("000000"&amp;1193,6),CalcRankKeyB,0),"")</f>
        <v/>
      </c>
    </row>
    <row r="1210">
      <c r="A1210" s="26" t="n">
        <v>1194</v>
      </c>
      <c r="B1210" s="27">
        <f>IF(AND($M1210="",$N1210=""),"",IF($M1210&lt;&gt;"",INDEX(CalcDateA,$M1210),INDEX(CalcDateB,$N1210)))</f>
        <v/>
      </c>
      <c r="C1210" s="27">
        <f>IF($M1210&lt;&gt;"","خرید سبد",IF($N1210&lt;&gt;"",IF(N(INDEX(CalcDepB,$N1210))&gt;0,"دریافت بانکی","پرداخت بانکی"),""))</f>
        <v/>
      </c>
      <c r="D1210" s="27">
        <f>IF($M1210&lt;&gt;"",IF(INDEX(CalcDocA,$M1210)="","—",INDEX(CalcDocA,$M1210)),IF($N1210&lt;&gt;"",INDEX(CalcBankB,$N1210),""))</f>
        <v/>
      </c>
      <c r="E1210" s="28">
        <f>IF($N1210&lt;&gt;"",IF(INDEX(CalcDepB,$N1210)=0,"",INDEX(CalcDepB,$N1210)),"")</f>
        <v/>
      </c>
      <c r="F1210" s="28">
        <f>IF($M1210&lt;&gt;"",IF(INDEX(CalcQtyA,$M1210)=0,"",INDEX(CalcQtyA,$M1210)),"")</f>
        <v/>
      </c>
      <c r="G1210" s="28">
        <f>IF($M1210&lt;&gt;"",IF(INDEX(CalcPriceA,$M1210)=0,"",INDEX(CalcPriceA,$M1210)),"")</f>
        <v/>
      </c>
      <c r="H1210" s="28">
        <f>IF($N1210&lt;&gt;"",IF(INDEX(CalcWitB,$N1210)=0,"",INDEX(CalcWitB,$N1210)),"")</f>
        <v/>
      </c>
      <c r="I1210" s="29">
        <f>IF($M1210&lt;&gt;"",INDEX(CalcAmtA,$M1210),"")</f>
        <v/>
      </c>
      <c r="J1210" s="29">
        <f>IF($B1210="","",IF($J1209="",$C$8,$J1209)+IF($I1210="",0,$I1210)+IF($E1210="",0,$E1210)-IF($H1210="",0,$H1210))</f>
        <v/>
      </c>
      <c r="K1210" s="30">
        <f>IF($M1210&lt;&gt;"",IF(INDEX(CalcNoteA,$M1210)="","—",INDEX(CalcNoteA,$M1210)),IF($N1210&lt;&gt;"",IF(INDEX(CalcNoteB,$N1210)="","—",INDEX(CalcNoteB,$N1210)),""))</f>
        <v/>
      </c>
      <c r="M1210">
        <f>IFERROR(MATCH($C$5&amp;"|"&amp;RIGHT("000000"&amp;1194,6),CalcRankKeyA,0),"")</f>
        <v/>
      </c>
      <c r="N1210">
        <f>IFERROR(MATCH($C$5&amp;"|"&amp;RIGHT("000000"&amp;1194,6),CalcRankKeyB,0),"")</f>
        <v/>
      </c>
    </row>
    <row r="1211">
      <c r="A1211" s="21" t="n">
        <v>1195</v>
      </c>
      <c r="B1211" s="22">
        <f>IF(AND($M1211="",$N1211=""),"",IF($M1211&lt;&gt;"",INDEX(CalcDateA,$M1211),INDEX(CalcDateB,$N1211)))</f>
        <v/>
      </c>
      <c r="C1211" s="22">
        <f>IF($M1211&lt;&gt;"","خرید سبد",IF($N1211&lt;&gt;"",IF(N(INDEX(CalcDepB,$N1211))&gt;0,"دریافت بانکی","پرداخت بانکی"),""))</f>
        <v/>
      </c>
      <c r="D1211" s="22">
        <f>IF($M1211&lt;&gt;"",IF(INDEX(CalcDocA,$M1211)="","—",INDEX(CalcDocA,$M1211)),IF($N1211&lt;&gt;"",INDEX(CalcBankB,$N1211),""))</f>
        <v/>
      </c>
      <c r="E1211" s="23">
        <f>IF($N1211&lt;&gt;"",IF(INDEX(CalcDepB,$N1211)=0,"",INDEX(CalcDepB,$N1211)),"")</f>
        <v/>
      </c>
      <c r="F1211" s="23">
        <f>IF($M1211&lt;&gt;"",IF(INDEX(CalcQtyA,$M1211)=0,"",INDEX(CalcQtyA,$M1211)),"")</f>
        <v/>
      </c>
      <c r="G1211" s="23">
        <f>IF($M1211&lt;&gt;"",IF(INDEX(CalcPriceA,$M1211)=0,"",INDEX(CalcPriceA,$M1211)),"")</f>
        <v/>
      </c>
      <c r="H1211" s="23">
        <f>IF($N1211&lt;&gt;"",IF(INDEX(CalcWitB,$N1211)=0,"",INDEX(CalcWitB,$N1211)),"")</f>
        <v/>
      </c>
      <c r="I1211" s="24">
        <f>IF($M1211&lt;&gt;"",INDEX(CalcAmtA,$M1211),"")</f>
        <v/>
      </c>
      <c r="J1211" s="24">
        <f>IF($B1211="","",IF($J1210="",$C$8,$J1210)+IF($I1211="",0,$I1211)+IF($E1211="",0,$E1211)-IF($H1211="",0,$H1211))</f>
        <v/>
      </c>
      <c r="K1211" s="25">
        <f>IF($M1211&lt;&gt;"",IF(INDEX(CalcNoteA,$M1211)="","—",INDEX(CalcNoteA,$M1211)),IF($N1211&lt;&gt;"",IF(INDEX(CalcNoteB,$N1211)="","—",INDEX(CalcNoteB,$N1211)),""))</f>
        <v/>
      </c>
      <c r="M1211">
        <f>IFERROR(MATCH($C$5&amp;"|"&amp;RIGHT("000000"&amp;1195,6),CalcRankKeyA,0),"")</f>
        <v/>
      </c>
      <c r="N1211">
        <f>IFERROR(MATCH($C$5&amp;"|"&amp;RIGHT("000000"&amp;1195,6),CalcRankKeyB,0),"")</f>
        <v/>
      </c>
    </row>
    <row r="1212">
      <c r="A1212" s="26" t="n">
        <v>1196</v>
      </c>
      <c r="B1212" s="27">
        <f>IF(AND($M1212="",$N1212=""),"",IF($M1212&lt;&gt;"",INDEX(CalcDateA,$M1212),INDEX(CalcDateB,$N1212)))</f>
        <v/>
      </c>
      <c r="C1212" s="27">
        <f>IF($M1212&lt;&gt;"","خرید سبد",IF($N1212&lt;&gt;"",IF(N(INDEX(CalcDepB,$N1212))&gt;0,"دریافت بانکی","پرداخت بانکی"),""))</f>
        <v/>
      </c>
      <c r="D1212" s="27">
        <f>IF($M1212&lt;&gt;"",IF(INDEX(CalcDocA,$M1212)="","—",INDEX(CalcDocA,$M1212)),IF($N1212&lt;&gt;"",INDEX(CalcBankB,$N1212),""))</f>
        <v/>
      </c>
      <c r="E1212" s="28">
        <f>IF($N1212&lt;&gt;"",IF(INDEX(CalcDepB,$N1212)=0,"",INDEX(CalcDepB,$N1212)),"")</f>
        <v/>
      </c>
      <c r="F1212" s="28">
        <f>IF($M1212&lt;&gt;"",IF(INDEX(CalcQtyA,$M1212)=0,"",INDEX(CalcQtyA,$M1212)),"")</f>
        <v/>
      </c>
      <c r="G1212" s="28">
        <f>IF($M1212&lt;&gt;"",IF(INDEX(CalcPriceA,$M1212)=0,"",INDEX(CalcPriceA,$M1212)),"")</f>
        <v/>
      </c>
      <c r="H1212" s="28">
        <f>IF($N1212&lt;&gt;"",IF(INDEX(CalcWitB,$N1212)=0,"",INDEX(CalcWitB,$N1212)),"")</f>
        <v/>
      </c>
      <c r="I1212" s="29">
        <f>IF($M1212&lt;&gt;"",INDEX(CalcAmtA,$M1212),"")</f>
        <v/>
      </c>
      <c r="J1212" s="29">
        <f>IF($B1212="","",IF($J1211="",$C$8,$J1211)+IF($I1212="",0,$I1212)+IF($E1212="",0,$E1212)-IF($H1212="",0,$H1212))</f>
        <v/>
      </c>
      <c r="K1212" s="30">
        <f>IF($M1212&lt;&gt;"",IF(INDEX(CalcNoteA,$M1212)="","—",INDEX(CalcNoteA,$M1212)),IF($N1212&lt;&gt;"",IF(INDEX(CalcNoteB,$N1212)="","—",INDEX(CalcNoteB,$N1212)),""))</f>
        <v/>
      </c>
      <c r="M1212">
        <f>IFERROR(MATCH($C$5&amp;"|"&amp;RIGHT("000000"&amp;1196,6),CalcRankKeyA,0),"")</f>
        <v/>
      </c>
      <c r="N1212">
        <f>IFERROR(MATCH($C$5&amp;"|"&amp;RIGHT("000000"&amp;1196,6),CalcRankKeyB,0),"")</f>
        <v/>
      </c>
    </row>
    <row r="1213">
      <c r="A1213" s="21" t="n">
        <v>1197</v>
      </c>
      <c r="B1213" s="22">
        <f>IF(AND($M1213="",$N1213=""),"",IF($M1213&lt;&gt;"",INDEX(CalcDateA,$M1213),INDEX(CalcDateB,$N1213)))</f>
        <v/>
      </c>
      <c r="C1213" s="22">
        <f>IF($M1213&lt;&gt;"","خرید سبد",IF($N1213&lt;&gt;"",IF(N(INDEX(CalcDepB,$N1213))&gt;0,"دریافت بانکی","پرداخت بانکی"),""))</f>
        <v/>
      </c>
      <c r="D1213" s="22">
        <f>IF($M1213&lt;&gt;"",IF(INDEX(CalcDocA,$M1213)="","—",INDEX(CalcDocA,$M1213)),IF($N1213&lt;&gt;"",INDEX(CalcBankB,$N1213),""))</f>
        <v/>
      </c>
      <c r="E1213" s="23">
        <f>IF($N1213&lt;&gt;"",IF(INDEX(CalcDepB,$N1213)=0,"",INDEX(CalcDepB,$N1213)),"")</f>
        <v/>
      </c>
      <c r="F1213" s="23">
        <f>IF($M1213&lt;&gt;"",IF(INDEX(CalcQtyA,$M1213)=0,"",INDEX(CalcQtyA,$M1213)),"")</f>
        <v/>
      </c>
      <c r="G1213" s="23">
        <f>IF($M1213&lt;&gt;"",IF(INDEX(CalcPriceA,$M1213)=0,"",INDEX(CalcPriceA,$M1213)),"")</f>
        <v/>
      </c>
      <c r="H1213" s="23">
        <f>IF($N1213&lt;&gt;"",IF(INDEX(CalcWitB,$N1213)=0,"",INDEX(CalcWitB,$N1213)),"")</f>
        <v/>
      </c>
      <c r="I1213" s="24">
        <f>IF($M1213&lt;&gt;"",INDEX(CalcAmtA,$M1213),"")</f>
        <v/>
      </c>
      <c r="J1213" s="24">
        <f>IF($B1213="","",IF($J1212="",$C$8,$J1212)+IF($I1213="",0,$I1213)+IF($E1213="",0,$E1213)-IF($H1213="",0,$H1213))</f>
        <v/>
      </c>
      <c r="K1213" s="25">
        <f>IF($M1213&lt;&gt;"",IF(INDEX(CalcNoteA,$M1213)="","—",INDEX(CalcNoteA,$M1213)),IF($N1213&lt;&gt;"",IF(INDEX(CalcNoteB,$N1213)="","—",INDEX(CalcNoteB,$N1213)),""))</f>
        <v/>
      </c>
      <c r="M1213">
        <f>IFERROR(MATCH($C$5&amp;"|"&amp;RIGHT("000000"&amp;1197,6),CalcRankKeyA,0),"")</f>
        <v/>
      </c>
      <c r="N1213">
        <f>IFERROR(MATCH($C$5&amp;"|"&amp;RIGHT("000000"&amp;1197,6),CalcRankKeyB,0),"")</f>
        <v/>
      </c>
    </row>
    <row r="1214">
      <c r="A1214" s="26" t="n">
        <v>1198</v>
      </c>
      <c r="B1214" s="27">
        <f>IF(AND($M1214="",$N1214=""),"",IF($M1214&lt;&gt;"",INDEX(CalcDateA,$M1214),INDEX(CalcDateB,$N1214)))</f>
        <v/>
      </c>
      <c r="C1214" s="27">
        <f>IF($M1214&lt;&gt;"","خرید سبد",IF($N1214&lt;&gt;"",IF(N(INDEX(CalcDepB,$N1214))&gt;0,"دریافت بانکی","پرداخت بانکی"),""))</f>
        <v/>
      </c>
      <c r="D1214" s="27">
        <f>IF($M1214&lt;&gt;"",IF(INDEX(CalcDocA,$M1214)="","—",INDEX(CalcDocA,$M1214)),IF($N1214&lt;&gt;"",INDEX(CalcBankB,$N1214),""))</f>
        <v/>
      </c>
      <c r="E1214" s="28">
        <f>IF($N1214&lt;&gt;"",IF(INDEX(CalcDepB,$N1214)=0,"",INDEX(CalcDepB,$N1214)),"")</f>
        <v/>
      </c>
      <c r="F1214" s="28">
        <f>IF($M1214&lt;&gt;"",IF(INDEX(CalcQtyA,$M1214)=0,"",INDEX(CalcQtyA,$M1214)),"")</f>
        <v/>
      </c>
      <c r="G1214" s="28">
        <f>IF($M1214&lt;&gt;"",IF(INDEX(CalcPriceA,$M1214)=0,"",INDEX(CalcPriceA,$M1214)),"")</f>
        <v/>
      </c>
      <c r="H1214" s="28">
        <f>IF($N1214&lt;&gt;"",IF(INDEX(CalcWitB,$N1214)=0,"",INDEX(CalcWitB,$N1214)),"")</f>
        <v/>
      </c>
      <c r="I1214" s="29">
        <f>IF($M1214&lt;&gt;"",INDEX(CalcAmtA,$M1214),"")</f>
        <v/>
      </c>
      <c r="J1214" s="29">
        <f>IF($B1214="","",IF($J1213="",$C$8,$J1213)+IF($I1214="",0,$I1214)+IF($E1214="",0,$E1214)-IF($H1214="",0,$H1214))</f>
        <v/>
      </c>
      <c r="K1214" s="30">
        <f>IF($M1214&lt;&gt;"",IF(INDEX(CalcNoteA,$M1214)="","—",INDEX(CalcNoteA,$M1214)),IF($N1214&lt;&gt;"",IF(INDEX(CalcNoteB,$N1214)="","—",INDEX(CalcNoteB,$N1214)),""))</f>
        <v/>
      </c>
      <c r="M1214">
        <f>IFERROR(MATCH($C$5&amp;"|"&amp;RIGHT("000000"&amp;1198,6),CalcRankKeyA,0),"")</f>
        <v/>
      </c>
      <c r="N1214">
        <f>IFERROR(MATCH($C$5&amp;"|"&amp;RIGHT("000000"&amp;1198,6),CalcRankKeyB,0),"")</f>
        <v/>
      </c>
    </row>
    <row r="1215">
      <c r="A1215" s="21" t="n">
        <v>1199</v>
      </c>
      <c r="B1215" s="22">
        <f>IF(AND($M1215="",$N1215=""),"",IF($M1215&lt;&gt;"",INDEX(CalcDateA,$M1215),INDEX(CalcDateB,$N1215)))</f>
        <v/>
      </c>
      <c r="C1215" s="22">
        <f>IF($M1215&lt;&gt;"","خرید سبد",IF($N1215&lt;&gt;"",IF(N(INDEX(CalcDepB,$N1215))&gt;0,"دریافت بانکی","پرداخت بانکی"),""))</f>
        <v/>
      </c>
      <c r="D1215" s="22">
        <f>IF($M1215&lt;&gt;"",IF(INDEX(CalcDocA,$M1215)="","—",INDEX(CalcDocA,$M1215)),IF($N1215&lt;&gt;"",INDEX(CalcBankB,$N1215),""))</f>
        <v/>
      </c>
      <c r="E1215" s="23">
        <f>IF($N1215&lt;&gt;"",IF(INDEX(CalcDepB,$N1215)=0,"",INDEX(CalcDepB,$N1215)),"")</f>
        <v/>
      </c>
      <c r="F1215" s="23">
        <f>IF($M1215&lt;&gt;"",IF(INDEX(CalcQtyA,$M1215)=0,"",INDEX(CalcQtyA,$M1215)),"")</f>
        <v/>
      </c>
      <c r="G1215" s="23">
        <f>IF($M1215&lt;&gt;"",IF(INDEX(CalcPriceA,$M1215)=0,"",INDEX(CalcPriceA,$M1215)),"")</f>
        <v/>
      </c>
      <c r="H1215" s="23">
        <f>IF($N1215&lt;&gt;"",IF(INDEX(CalcWitB,$N1215)=0,"",INDEX(CalcWitB,$N1215)),"")</f>
        <v/>
      </c>
      <c r="I1215" s="24">
        <f>IF($M1215&lt;&gt;"",INDEX(CalcAmtA,$M1215),"")</f>
        <v/>
      </c>
      <c r="J1215" s="24">
        <f>IF($B1215="","",IF($J1214="",$C$8,$J1214)+IF($I1215="",0,$I1215)+IF($E1215="",0,$E1215)-IF($H1215="",0,$H1215))</f>
        <v/>
      </c>
      <c r="K1215" s="25">
        <f>IF($M1215&lt;&gt;"",IF(INDEX(CalcNoteA,$M1215)="","—",INDEX(CalcNoteA,$M1215)),IF($N1215&lt;&gt;"",IF(INDEX(CalcNoteB,$N1215)="","—",INDEX(CalcNoteB,$N1215)),""))</f>
        <v/>
      </c>
      <c r="M1215">
        <f>IFERROR(MATCH($C$5&amp;"|"&amp;RIGHT("000000"&amp;1199,6),CalcRankKeyA,0),"")</f>
        <v/>
      </c>
      <c r="N1215">
        <f>IFERROR(MATCH($C$5&amp;"|"&amp;RIGHT("000000"&amp;1199,6),CalcRankKeyB,0),"")</f>
        <v/>
      </c>
    </row>
    <row r="1216">
      <c r="A1216" s="26" t="n">
        <v>1200</v>
      </c>
      <c r="B1216" s="27">
        <f>IF(AND($M1216="",$N1216=""),"",IF($M1216&lt;&gt;"",INDEX(CalcDateA,$M1216),INDEX(CalcDateB,$N1216)))</f>
        <v/>
      </c>
      <c r="C1216" s="27">
        <f>IF($M1216&lt;&gt;"","خرید سبد",IF($N1216&lt;&gt;"",IF(N(INDEX(CalcDepB,$N1216))&gt;0,"دریافت بانکی","پرداخت بانکی"),""))</f>
        <v/>
      </c>
      <c r="D1216" s="27">
        <f>IF($M1216&lt;&gt;"",IF(INDEX(CalcDocA,$M1216)="","—",INDEX(CalcDocA,$M1216)),IF($N1216&lt;&gt;"",INDEX(CalcBankB,$N1216),""))</f>
        <v/>
      </c>
      <c r="E1216" s="28">
        <f>IF($N1216&lt;&gt;"",IF(INDEX(CalcDepB,$N1216)=0,"",INDEX(CalcDepB,$N1216)),"")</f>
        <v/>
      </c>
      <c r="F1216" s="28">
        <f>IF($M1216&lt;&gt;"",IF(INDEX(CalcQtyA,$M1216)=0,"",INDEX(CalcQtyA,$M1216)),"")</f>
        <v/>
      </c>
      <c r="G1216" s="28">
        <f>IF($M1216&lt;&gt;"",IF(INDEX(CalcPriceA,$M1216)=0,"",INDEX(CalcPriceA,$M1216)),"")</f>
        <v/>
      </c>
      <c r="H1216" s="28">
        <f>IF($N1216&lt;&gt;"",IF(INDEX(CalcWitB,$N1216)=0,"",INDEX(CalcWitB,$N1216)),"")</f>
        <v/>
      </c>
      <c r="I1216" s="29">
        <f>IF($M1216&lt;&gt;"",INDEX(CalcAmtA,$M1216),"")</f>
        <v/>
      </c>
      <c r="J1216" s="29">
        <f>IF($B1216="","",IF($J1215="",$C$8,$J1215)+IF($I1216="",0,$I1216)+IF($E1216="",0,$E1216)-IF($H1216="",0,$H1216))</f>
        <v/>
      </c>
      <c r="K1216" s="30">
        <f>IF($M1216&lt;&gt;"",IF(INDEX(CalcNoteA,$M1216)="","—",INDEX(CalcNoteA,$M1216)),IF($N1216&lt;&gt;"",IF(INDEX(CalcNoteB,$N1216)="","—",INDEX(CalcNoteB,$N1216)),""))</f>
        <v/>
      </c>
      <c r="M1216">
        <f>IFERROR(MATCH($C$5&amp;"|"&amp;RIGHT("000000"&amp;1200,6),CalcRankKeyA,0),"")</f>
        <v/>
      </c>
      <c r="N1216">
        <f>IFERROR(MATCH($C$5&amp;"|"&amp;RIGHT("000000"&amp;1200,6),CalcRankKeyB,0),"")</f>
        <v/>
      </c>
    </row>
    <row r="1217">
      <c r="A1217" s="21" t="n">
        <v>1201</v>
      </c>
      <c r="B1217" s="22">
        <f>IF(AND($M1217="",$N1217=""),"",IF($M1217&lt;&gt;"",INDEX(CalcDateA,$M1217),INDEX(CalcDateB,$N1217)))</f>
        <v/>
      </c>
      <c r="C1217" s="22">
        <f>IF($M1217&lt;&gt;"","خرید سبد",IF($N1217&lt;&gt;"",IF(N(INDEX(CalcDepB,$N1217))&gt;0,"دریافت بانکی","پرداخت بانکی"),""))</f>
        <v/>
      </c>
      <c r="D1217" s="22">
        <f>IF($M1217&lt;&gt;"",IF(INDEX(CalcDocA,$M1217)="","—",INDEX(CalcDocA,$M1217)),IF($N1217&lt;&gt;"",INDEX(CalcBankB,$N1217),""))</f>
        <v/>
      </c>
      <c r="E1217" s="23">
        <f>IF($N1217&lt;&gt;"",IF(INDEX(CalcDepB,$N1217)=0,"",INDEX(CalcDepB,$N1217)),"")</f>
        <v/>
      </c>
      <c r="F1217" s="23">
        <f>IF($M1217&lt;&gt;"",IF(INDEX(CalcQtyA,$M1217)=0,"",INDEX(CalcQtyA,$M1217)),"")</f>
        <v/>
      </c>
      <c r="G1217" s="23">
        <f>IF($M1217&lt;&gt;"",IF(INDEX(CalcPriceA,$M1217)=0,"",INDEX(CalcPriceA,$M1217)),"")</f>
        <v/>
      </c>
      <c r="H1217" s="23">
        <f>IF($N1217&lt;&gt;"",IF(INDEX(CalcWitB,$N1217)=0,"",INDEX(CalcWitB,$N1217)),"")</f>
        <v/>
      </c>
      <c r="I1217" s="24">
        <f>IF($M1217&lt;&gt;"",INDEX(CalcAmtA,$M1217),"")</f>
        <v/>
      </c>
      <c r="J1217" s="24">
        <f>IF($B1217="","",IF($J1216="",$C$8,$J1216)+IF($I1217="",0,$I1217)+IF($E1217="",0,$E1217)-IF($H1217="",0,$H1217))</f>
        <v/>
      </c>
      <c r="K1217" s="25">
        <f>IF($M1217&lt;&gt;"",IF(INDEX(CalcNoteA,$M1217)="","—",INDEX(CalcNoteA,$M1217)),IF($N1217&lt;&gt;"",IF(INDEX(CalcNoteB,$N1217)="","—",INDEX(CalcNoteB,$N1217)),""))</f>
        <v/>
      </c>
      <c r="M1217">
        <f>IFERROR(MATCH($C$5&amp;"|"&amp;RIGHT("000000"&amp;1201,6),CalcRankKeyA,0),"")</f>
        <v/>
      </c>
      <c r="N1217">
        <f>IFERROR(MATCH($C$5&amp;"|"&amp;RIGHT("000000"&amp;1201,6),CalcRankKeyB,0),"")</f>
        <v/>
      </c>
    </row>
    <row r="1218">
      <c r="A1218" s="26" t="n">
        <v>1202</v>
      </c>
      <c r="B1218" s="27">
        <f>IF(AND($M1218="",$N1218=""),"",IF($M1218&lt;&gt;"",INDEX(CalcDateA,$M1218),INDEX(CalcDateB,$N1218)))</f>
        <v/>
      </c>
      <c r="C1218" s="27">
        <f>IF($M1218&lt;&gt;"","خرید سبد",IF($N1218&lt;&gt;"",IF(N(INDEX(CalcDepB,$N1218))&gt;0,"دریافت بانکی","پرداخت بانکی"),""))</f>
        <v/>
      </c>
      <c r="D1218" s="27">
        <f>IF($M1218&lt;&gt;"",IF(INDEX(CalcDocA,$M1218)="","—",INDEX(CalcDocA,$M1218)),IF($N1218&lt;&gt;"",INDEX(CalcBankB,$N1218),""))</f>
        <v/>
      </c>
      <c r="E1218" s="28">
        <f>IF($N1218&lt;&gt;"",IF(INDEX(CalcDepB,$N1218)=0,"",INDEX(CalcDepB,$N1218)),"")</f>
        <v/>
      </c>
      <c r="F1218" s="28">
        <f>IF($M1218&lt;&gt;"",IF(INDEX(CalcQtyA,$M1218)=0,"",INDEX(CalcQtyA,$M1218)),"")</f>
        <v/>
      </c>
      <c r="G1218" s="28">
        <f>IF($M1218&lt;&gt;"",IF(INDEX(CalcPriceA,$M1218)=0,"",INDEX(CalcPriceA,$M1218)),"")</f>
        <v/>
      </c>
      <c r="H1218" s="28">
        <f>IF($N1218&lt;&gt;"",IF(INDEX(CalcWitB,$N1218)=0,"",INDEX(CalcWitB,$N1218)),"")</f>
        <v/>
      </c>
      <c r="I1218" s="29">
        <f>IF($M1218&lt;&gt;"",INDEX(CalcAmtA,$M1218),"")</f>
        <v/>
      </c>
      <c r="J1218" s="29">
        <f>IF($B1218="","",IF($J1217="",$C$8,$J1217)+IF($I1218="",0,$I1218)+IF($E1218="",0,$E1218)-IF($H1218="",0,$H1218))</f>
        <v/>
      </c>
      <c r="K1218" s="30">
        <f>IF($M1218&lt;&gt;"",IF(INDEX(CalcNoteA,$M1218)="","—",INDEX(CalcNoteA,$M1218)),IF($N1218&lt;&gt;"",IF(INDEX(CalcNoteB,$N1218)="","—",INDEX(CalcNoteB,$N1218)),""))</f>
        <v/>
      </c>
      <c r="M1218">
        <f>IFERROR(MATCH($C$5&amp;"|"&amp;RIGHT("000000"&amp;1202,6),CalcRankKeyA,0),"")</f>
        <v/>
      </c>
      <c r="N1218">
        <f>IFERROR(MATCH($C$5&amp;"|"&amp;RIGHT("000000"&amp;1202,6),CalcRankKeyB,0),"")</f>
        <v/>
      </c>
    </row>
    <row r="1219">
      <c r="A1219" s="21" t="n">
        <v>1203</v>
      </c>
      <c r="B1219" s="22">
        <f>IF(AND($M1219="",$N1219=""),"",IF($M1219&lt;&gt;"",INDEX(CalcDateA,$M1219),INDEX(CalcDateB,$N1219)))</f>
        <v/>
      </c>
      <c r="C1219" s="22">
        <f>IF($M1219&lt;&gt;"","خرید سبد",IF($N1219&lt;&gt;"",IF(N(INDEX(CalcDepB,$N1219))&gt;0,"دریافت بانکی","پرداخت بانکی"),""))</f>
        <v/>
      </c>
      <c r="D1219" s="22">
        <f>IF($M1219&lt;&gt;"",IF(INDEX(CalcDocA,$M1219)="","—",INDEX(CalcDocA,$M1219)),IF($N1219&lt;&gt;"",INDEX(CalcBankB,$N1219),""))</f>
        <v/>
      </c>
      <c r="E1219" s="23">
        <f>IF($N1219&lt;&gt;"",IF(INDEX(CalcDepB,$N1219)=0,"",INDEX(CalcDepB,$N1219)),"")</f>
        <v/>
      </c>
      <c r="F1219" s="23">
        <f>IF($M1219&lt;&gt;"",IF(INDEX(CalcQtyA,$M1219)=0,"",INDEX(CalcQtyA,$M1219)),"")</f>
        <v/>
      </c>
      <c r="G1219" s="23">
        <f>IF($M1219&lt;&gt;"",IF(INDEX(CalcPriceA,$M1219)=0,"",INDEX(CalcPriceA,$M1219)),"")</f>
        <v/>
      </c>
      <c r="H1219" s="23">
        <f>IF($N1219&lt;&gt;"",IF(INDEX(CalcWitB,$N1219)=0,"",INDEX(CalcWitB,$N1219)),"")</f>
        <v/>
      </c>
      <c r="I1219" s="24">
        <f>IF($M1219&lt;&gt;"",INDEX(CalcAmtA,$M1219),"")</f>
        <v/>
      </c>
      <c r="J1219" s="24">
        <f>IF($B1219="","",IF($J1218="",$C$8,$J1218)+IF($I1219="",0,$I1219)+IF($E1219="",0,$E1219)-IF($H1219="",0,$H1219))</f>
        <v/>
      </c>
      <c r="K1219" s="25">
        <f>IF($M1219&lt;&gt;"",IF(INDEX(CalcNoteA,$M1219)="","—",INDEX(CalcNoteA,$M1219)),IF($N1219&lt;&gt;"",IF(INDEX(CalcNoteB,$N1219)="","—",INDEX(CalcNoteB,$N1219)),""))</f>
        <v/>
      </c>
      <c r="M1219">
        <f>IFERROR(MATCH($C$5&amp;"|"&amp;RIGHT("000000"&amp;1203,6),CalcRankKeyA,0),"")</f>
        <v/>
      </c>
      <c r="N1219">
        <f>IFERROR(MATCH($C$5&amp;"|"&amp;RIGHT("000000"&amp;1203,6),CalcRankKeyB,0),"")</f>
        <v/>
      </c>
    </row>
    <row r="1220">
      <c r="A1220" s="26" t="n">
        <v>1204</v>
      </c>
      <c r="B1220" s="27">
        <f>IF(AND($M1220="",$N1220=""),"",IF($M1220&lt;&gt;"",INDEX(CalcDateA,$M1220),INDEX(CalcDateB,$N1220)))</f>
        <v/>
      </c>
      <c r="C1220" s="27">
        <f>IF($M1220&lt;&gt;"","خرید سبد",IF($N1220&lt;&gt;"",IF(N(INDEX(CalcDepB,$N1220))&gt;0,"دریافت بانکی","پرداخت بانکی"),""))</f>
        <v/>
      </c>
      <c r="D1220" s="27">
        <f>IF($M1220&lt;&gt;"",IF(INDEX(CalcDocA,$M1220)="","—",INDEX(CalcDocA,$M1220)),IF($N1220&lt;&gt;"",INDEX(CalcBankB,$N1220),""))</f>
        <v/>
      </c>
      <c r="E1220" s="28">
        <f>IF($N1220&lt;&gt;"",IF(INDEX(CalcDepB,$N1220)=0,"",INDEX(CalcDepB,$N1220)),"")</f>
        <v/>
      </c>
      <c r="F1220" s="28">
        <f>IF($M1220&lt;&gt;"",IF(INDEX(CalcQtyA,$M1220)=0,"",INDEX(CalcQtyA,$M1220)),"")</f>
        <v/>
      </c>
      <c r="G1220" s="28">
        <f>IF($M1220&lt;&gt;"",IF(INDEX(CalcPriceA,$M1220)=0,"",INDEX(CalcPriceA,$M1220)),"")</f>
        <v/>
      </c>
      <c r="H1220" s="28">
        <f>IF($N1220&lt;&gt;"",IF(INDEX(CalcWitB,$N1220)=0,"",INDEX(CalcWitB,$N1220)),"")</f>
        <v/>
      </c>
      <c r="I1220" s="29">
        <f>IF($M1220&lt;&gt;"",INDEX(CalcAmtA,$M1220),"")</f>
        <v/>
      </c>
      <c r="J1220" s="29">
        <f>IF($B1220="","",IF($J1219="",$C$8,$J1219)+IF($I1220="",0,$I1220)+IF($E1220="",0,$E1220)-IF($H1220="",0,$H1220))</f>
        <v/>
      </c>
      <c r="K1220" s="30">
        <f>IF($M1220&lt;&gt;"",IF(INDEX(CalcNoteA,$M1220)="","—",INDEX(CalcNoteA,$M1220)),IF($N1220&lt;&gt;"",IF(INDEX(CalcNoteB,$N1220)="","—",INDEX(CalcNoteB,$N1220)),""))</f>
        <v/>
      </c>
      <c r="M1220">
        <f>IFERROR(MATCH($C$5&amp;"|"&amp;RIGHT("000000"&amp;1204,6),CalcRankKeyA,0),"")</f>
        <v/>
      </c>
      <c r="N1220">
        <f>IFERROR(MATCH($C$5&amp;"|"&amp;RIGHT("000000"&amp;1204,6),CalcRankKeyB,0),"")</f>
        <v/>
      </c>
    </row>
    <row r="1221">
      <c r="A1221" s="21" t="n">
        <v>1205</v>
      </c>
      <c r="B1221" s="22">
        <f>IF(AND($M1221="",$N1221=""),"",IF($M1221&lt;&gt;"",INDEX(CalcDateA,$M1221),INDEX(CalcDateB,$N1221)))</f>
        <v/>
      </c>
      <c r="C1221" s="22">
        <f>IF($M1221&lt;&gt;"","خرید سبد",IF($N1221&lt;&gt;"",IF(N(INDEX(CalcDepB,$N1221))&gt;0,"دریافت بانکی","پرداخت بانکی"),""))</f>
        <v/>
      </c>
      <c r="D1221" s="22">
        <f>IF($M1221&lt;&gt;"",IF(INDEX(CalcDocA,$M1221)="","—",INDEX(CalcDocA,$M1221)),IF($N1221&lt;&gt;"",INDEX(CalcBankB,$N1221),""))</f>
        <v/>
      </c>
      <c r="E1221" s="23">
        <f>IF($N1221&lt;&gt;"",IF(INDEX(CalcDepB,$N1221)=0,"",INDEX(CalcDepB,$N1221)),"")</f>
        <v/>
      </c>
      <c r="F1221" s="23">
        <f>IF($M1221&lt;&gt;"",IF(INDEX(CalcQtyA,$M1221)=0,"",INDEX(CalcQtyA,$M1221)),"")</f>
        <v/>
      </c>
      <c r="G1221" s="23">
        <f>IF($M1221&lt;&gt;"",IF(INDEX(CalcPriceA,$M1221)=0,"",INDEX(CalcPriceA,$M1221)),"")</f>
        <v/>
      </c>
      <c r="H1221" s="23">
        <f>IF($N1221&lt;&gt;"",IF(INDEX(CalcWitB,$N1221)=0,"",INDEX(CalcWitB,$N1221)),"")</f>
        <v/>
      </c>
      <c r="I1221" s="24">
        <f>IF($M1221&lt;&gt;"",INDEX(CalcAmtA,$M1221),"")</f>
        <v/>
      </c>
      <c r="J1221" s="24">
        <f>IF($B1221="","",IF($J1220="",$C$8,$J1220)+IF($I1221="",0,$I1221)+IF($E1221="",0,$E1221)-IF($H1221="",0,$H1221))</f>
        <v/>
      </c>
      <c r="K1221" s="25">
        <f>IF($M1221&lt;&gt;"",IF(INDEX(CalcNoteA,$M1221)="","—",INDEX(CalcNoteA,$M1221)),IF($N1221&lt;&gt;"",IF(INDEX(CalcNoteB,$N1221)="","—",INDEX(CalcNoteB,$N1221)),""))</f>
        <v/>
      </c>
      <c r="M1221">
        <f>IFERROR(MATCH($C$5&amp;"|"&amp;RIGHT("000000"&amp;1205,6),CalcRankKeyA,0),"")</f>
        <v/>
      </c>
      <c r="N1221">
        <f>IFERROR(MATCH($C$5&amp;"|"&amp;RIGHT("000000"&amp;1205,6),CalcRankKeyB,0),"")</f>
        <v/>
      </c>
    </row>
    <row r="1222">
      <c r="A1222" s="26" t="n">
        <v>1206</v>
      </c>
      <c r="B1222" s="27">
        <f>IF(AND($M1222="",$N1222=""),"",IF($M1222&lt;&gt;"",INDEX(CalcDateA,$M1222),INDEX(CalcDateB,$N1222)))</f>
        <v/>
      </c>
      <c r="C1222" s="27">
        <f>IF($M1222&lt;&gt;"","خرید سبد",IF($N1222&lt;&gt;"",IF(N(INDEX(CalcDepB,$N1222))&gt;0,"دریافت بانکی","پرداخت بانکی"),""))</f>
        <v/>
      </c>
      <c r="D1222" s="27">
        <f>IF($M1222&lt;&gt;"",IF(INDEX(CalcDocA,$M1222)="","—",INDEX(CalcDocA,$M1222)),IF($N1222&lt;&gt;"",INDEX(CalcBankB,$N1222),""))</f>
        <v/>
      </c>
      <c r="E1222" s="28">
        <f>IF($N1222&lt;&gt;"",IF(INDEX(CalcDepB,$N1222)=0,"",INDEX(CalcDepB,$N1222)),"")</f>
        <v/>
      </c>
      <c r="F1222" s="28">
        <f>IF($M1222&lt;&gt;"",IF(INDEX(CalcQtyA,$M1222)=0,"",INDEX(CalcQtyA,$M1222)),"")</f>
        <v/>
      </c>
      <c r="G1222" s="28">
        <f>IF($M1222&lt;&gt;"",IF(INDEX(CalcPriceA,$M1222)=0,"",INDEX(CalcPriceA,$M1222)),"")</f>
        <v/>
      </c>
      <c r="H1222" s="28">
        <f>IF($N1222&lt;&gt;"",IF(INDEX(CalcWitB,$N1222)=0,"",INDEX(CalcWitB,$N1222)),"")</f>
        <v/>
      </c>
      <c r="I1222" s="29">
        <f>IF($M1222&lt;&gt;"",INDEX(CalcAmtA,$M1222),"")</f>
        <v/>
      </c>
      <c r="J1222" s="29">
        <f>IF($B1222="","",IF($J1221="",$C$8,$J1221)+IF($I1222="",0,$I1222)+IF($E1222="",0,$E1222)-IF($H1222="",0,$H1222))</f>
        <v/>
      </c>
      <c r="K1222" s="30">
        <f>IF($M1222&lt;&gt;"",IF(INDEX(CalcNoteA,$M1222)="","—",INDEX(CalcNoteA,$M1222)),IF($N1222&lt;&gt;"",IF(INDEX(CalcNoteB,$N1222)="","—",INDEX(CalcNoteB,$N1222)),""))</f>
        <v/>
      </c>
      <c r="M1222">
        <f>IFERROR(MATCH($C$5&amp;"|"&amp;RIGHT("000000"&amp;1206,6),CalcRankKeyA,0),"")</f>
        <v/>
      </c>
      <c r="N1222">
        <f>IFERROR(MATCH($C$5&amp;"|"&amp;RIGHT("000000"&amp;1206,6),CalcRankKeyB,0),"")</f>
        <v/>
      </c>
    </row>
    <row r="1223">
      <c r="A1223" s="21" t="n">
        <v>1207</v>
      </c>
      <c r="B1223" s="22">
        <f>IF(AND($M1223="",$N1223=""),"",IF($M1223&lt;&gt;"",INDEX(CalcDateA,$M1223),INDEX(CalcDateB,$N1223)))</f>
        <v/>
      </c>
      <c r="C1223" s="22">
        <f>IF($M1223&lt;&gt;"","خرید سبد",IF($N1223&lt;&gt;"",IF(N(INDEX(CalcDepB,$N1223))&gt;0,"دریافت بانکی","پرداخت بانکی"),""))</f>
        <v/>
      </c>
      <c r="D1223" s="22">
        <f>IF($M1223&lt;&gt;"",IF(INDEX(CalcDocA,$M1223)="","—",INDEX(CalcDocA,$M1223)),IF($N1223&lt;&gt;"",INDEX(CalcBankB,$N1223),""))</f>
        <v/>
      </c>
      <c r="E1223" s="23">
        <f>IF($N1223&lt;&gt;"",IF(INDEX(CalcDepB,$N1223)=0,"",INDEX(CalcDepB,$N1223)),"")</f>
        <v/>
      </c>
      <c r="F1223" s="23">
        <f>IF($M1223&lt;&gt;"",IF(INDEX(CalcQtyA,$M1223)=0,"",INDEX(CalcQtyA,$M1223)),"")</f>
        <v/>
      </c>
      <c r="G1223" s="23">
        <f>IF($M1223&lt;&gt;"",IF(INDEX(CalcPriceA,$M1223)=0,"",INDEX(CalcPriceA,$M1223)),"")</f>
        <v/>
      </c>
      <c r="H1223" s="23">
        <f>IF($N1223&lt;&gt;"",IF(INDEX(CalcWitB,$N1223)=0,"",INDEX(CalcWitB,$N1223)),"")</f>
        <v/>
      </c>
      <c r="I1223" s="24">
        <f>IF($M1223&lt;&gt;"",INDEX(CalcAmtA,$M1223),"")</f>
        <v/>
      </c>
      <c r="J1223" s="24">
        <f>IF($B1223="","",IF($J1222="",$C$8,$J1222)+IF($I1223="",0,$I1223)+IF($E1223="",0,$E1223)-IF($H1223="",0,$H1223))</f>
        <v/>
      </c>
      <c r="K1223" s="25">
        <f>IF($M1223&lt;&gt;"",IF(INDEX(CalcNoteA,$M1223)="","—",INDEX(CalcNoteA,$M1223)),IF($N1223&lt;&gt;"",IF(INDEX(CalcNoteB,$N1223)="","—",INDEX(CalcNoteB,$N1223)),""))</f>
        <v/>
      </c>
      <c r="M1223">
        <f>IFERROR(MATCH($C$5&amp;"|"&amp;RIGHT("000000"&amp;1207,6),CalcRankKeyA,0),"")</f>
        <v/>
      </c>
      <c r="N1223">
        <f>IFERROR(MATCH($C$5&amp;"|"&amp;RIGHT("000000"&amp;1207,6),CalcRankKeyB,0),"")</f>
        <v/>
      </c>
    </row>
    <row r="1224">
      <c r="A1224" s="26" t="n">
        <v>1208</v>
      </c>
      <c r="B1224" s="27">
        <f>IF(AND($M1224="",$N1224=""),"",IF($M1224&lt;&gt;"",INDEX(CalcDateA,$M1224),INDEX(CalcDateB,$N1224)))</f>
        <v/>
      </c>
      <c r="C1224" s="27">
        <f>IF($M1224&lt;&gt;"","خرید سبد",IF($N1224&lt;&gt;"",IF(N(INDEX(CalcDepB,$N1224))&gt;0,"دریافت بانکی","پرداخت بانکی"),""))</f>
        <v/>
      </c>
      <c r="D1224" s="27">
        <f>IF($M1224&lt;&gt;"",IF(INDEX(CalcDocA,$M1224)="","—",INDEX(CalcDocA,$M1224)),IF($N1224&lt;&gt;"",INDEX(CalcBankB,$N1224),""))</f>
        <v/>
      </c>
      <c r="E1224" s="28">
        <f>IF($N1224&lt;&gt;"",IF(INDEX(CalcDepB,$N1224)=0,"",INDEX(CalcDepB,$N1224)),"")</f>
        <v/>
      </c>
      <c r="F1224" s="28">
        <f>IF($M1224&lt;&gt;"",IF(INDEX(CalcQtyA,$M1224)=0,"",INDEX(CalcQtyA,$M1224)),"")</f>
        <v/>
      </c>
      <c r="G1224" s="28">
        <f>IF($M1224&lt;&gt;"",IF(INDEX(CalcPriceA,$M1224)=0,"",INDEX(CalcPriceA,$M1224)),"")</f>
        <v/>
      </c>
      <c r="H1224" s="28">
        <f>IF($N1224&lt;&gt;"",IF(INDEX(CalcWitB,$N1224)=0,"",INDEX(CalcWitB,$N1224)),"")</f>
        <v/>
      </c>
      <c r="I1224" s="29">
        <f>IF($M1224&lt;&gt;"",INDEX(CalcAmtA,$M1224),"")</f>
        <v/>
      </c>
      <c r="J1224" s="29">
        <f>IF($B1224="","",IF($J1223="",$C$8,$J1223)+IF($I1224="",0,$I1224)+IF($E1224="",0,$E1224)-IF($H1224="",0,$H1224))</f>
        <v/>
      </c>
      <c r="K1224" s="30">
        <f>IF($M1224&lt;&gt;"",IF(INDEX(CalcNoteA,$M1224)="","—",INDEX(CalcNoteA,$M1224)),IF($N1224&lt;&gt;"",IF(INDEX(CalcNoteB,$N1224)="","—",INDEX(CalcNoteB,$N1224)),""))</f>
        <v/>
      </c>
      <c r="M1224">
        <f>IFERROR(MATCH($C$5&amp;"|"&amp;RIGHT("000000"&amp;1208,6),CalcRankKeyA,0),"")</f>
        <v/>
      </c>
      <c r="N1224">
        <f>IFERROR(MATCH($C$5&amp;"|"&amp;RIGHT("000000"&amp;1208,6),CalcRankKeyB,0),"")</f>
        <v/>
      </c>
    </row>
    <row r="1225">
      <c r="A1225" s="21" t="n">
        <v>1209</v>
      </c>
      <c r="B1225" s="22">
        <f>IF(AND($M1225="",$N1225=""),"",IF($M1225&lt;&gt;"",INDEX(CalcDateA,$M1225),INDEX(CalcDateB,$N1225)))</f>
        <v/>
      </c>
      <c r="C1225" s="22">
        <f>IF($M1225&lt;&gt;"","خرید سبد",IF($N1225&lt;&gt;"",IF(N(INDEX(CalcDepB,$N1225))&gt;0,"دریافت بانکی","پرداخت بانکی"),""))</f>
        <v/>
      </c>
      <c r="D1225" s="22">
        <f>IF($M1225&lt;&gt;"",IF(INDEX(CalcDocA,$M1225)="","—",INDEX(CalcDocA,$M1225)),IF($N1225&lt;&gt;"",INDEX(CalcBankB,$N1225),""))</f>
        <v/>
      </c>
      <c r="E1225" s="23">
        <f>IF($N1225&lt;&gt;"",IF(INDEX(CalcDepB,$N1225)=0,"",INDEX(CalcDepB,$N1225)),"")</f>
        <v/>
      </c>
      <c r="F1225" s="23">
        <f>IF($M1225&lt;&gt;"",IF(INDEX(CalcQtyA,$M1225)=0,"",INDEX(CalcQtyA,$M1225)),"")</f>
        <v/>
      </c>
      <c r="G1225" s="23">
        <f>IF($M1225&lt;&gt;"",IF(INDEX(CalcPriceA,$M1225)=0,"",INDEX(CalcPriceA,$M1225)),"")</f>
        <v/>
      </c>
      <c r="H1225" s="23">
        <f>IF($N1225&lt;&gt;"",IF(INDEX(CalcWitB,$N1225)=0,"",INDEX(CalcWitB,$N1225)),"")</f>
        <v/>
      </c>
      <c r="I1225" s="24">
        <f>IF($M1225&lt;&gt;"",INDEX(CalcAmtA,$M1225),"")</f>
        <v/>
      </c>
      <c r="J1225" s="24">
        <f>IF($B1225="","",IF($J1224="",$C$8,$J1224)+IF($I1225="",0,$I1225)+IF($E1225="",0,$E1225)-IF($H1225="",0,$H1225))</f>
        <v/>
      </c>
      <c r="K1225" s="25">
        <f>IF($M1225&lt;&gt;"",IF(INDEX(CalcNoteA,$M1225)="","—",INDEX(CalcNoteA,$M1225)),IF($N1225&lt;&gt;"",IF(INDEX(CalcNoteB,$N1225)="","—",INDEX(CalcNoteB,$N1225)),""))</f>
        <v/>
      </c>
      <c r="M1225">
        <f>IFERROR(MATCH($C$5&amp;"|"&amp;RIGHT("000000"&amp;1209,6),CalcRankKeyA,0),"")</f>
        <v/>
      </c>
      <c r="N1225">
        <f>IFERROR(MATCH($C$5&amp;"|"&amp;RIGHT("000000"&amp;1209,6),CalcRankKeyB,0),"")</f>
        <v/>
      </c>
    </row>
    <row r="1226">
      <c r="A1226" s="26" t="n">
        <v>1210</v>
      </c>
      <c r="B1226" s="27">
        <f>IF(AND($M1226="",$N1226=""),"",IF($M1226&lt;&gt;"",INDEX(CalcDateA,$M1226),INDEX(CalcDateB,$N1226)))</f>
        <v/>
      </c>
      <c r="C1226" s="27">
        <f>IF($M1226&lt;&gt;"","خرید سبد",IF($N1226&lt;&gt;"",IF(N(INDEX(CalcDepB,$N1226))&gt;0,"دریافت بانکی","پرداخت بانکی"),""))</f>
        <v/>
      </c>
      <c r="D1226" s="27">
        <f>IF($M1226&lt;&gt;"",IF(INDEX(CalcDocA,$M1226)="","—",INDEX(CalcDocA,$M1226)),IF($N1226&lt;&gt;"",INDEX(CalcBankB,$N1226),""))</f>
        <v/>
      </c>
      <c r="E1226" s="28">
        <f>IF($N1226&lt;&gt;"",IF(INDEX(CalcDepB,$N1226)=0,"",INDEX(CalcDepB,$N1226)),"")</f>
        <v/>
      </c>
      <c r="F1226" s="28">
        <f>IF($M1226&lt;&gt;"",IF(INDEX(CalcQtyA,$M1226)=0,"",INDEX(CalcQtyA,$M1226)),"")</f>
        <v/>
      </c>
      <c r="G1226" s="28">
        <f>IF($M1226&lt;&gt;"",IF(INDEX(CalcPriceA,$M1226)=0,"",INDEX(CalcPriceA,$M1226)),"")</f>
        <v/>
      </c>
      <c r="H1226" s="28">
        <f>IF($N1226&lt;&gt;"",IF(INDEX(CalcWitB,$N1226)=0,"",INDEX(CalcWitB,$N1226)),"")</f>
        <v/>
      </c>
      <c r="I1226" s="29">
        <f>IF($M1226&lt;&gt;"",INDEX(CalcAmtA,$M1226),"")</f>
        <v/>
      </c>
      <c r="J1226" s="29">
        <f>IF($B1226="","",IF($J1225="",$C$8,$J1225)+IF($I1226="",0,$I1226)+IF($E1226="",0,$E1226)-IF($H1226="",0,$H1226))</f>
        <v/>
      </c>
      <c r="K1226" s="30">
        <f>IF($M1226&lt;&gt;"",IF(INDEX(CalcNoteA,$M1226)="","—",INDEX(CalcNoteA,$M1226)),IF($N1226&lt;&gt;"",IF(INDEX(CalcNoteB,$N1226)="","—",INDEX(CalcNoteB,$N1226)),""))</f>
        <v/>
      </c>
      <c r="M1226">
        <f>IFERROR(MATCH($C$5&amp;"|"&amp;RIGHT("000000"&amp;1210,6),CalcRankKeyA,0),"")</f>
        <v/>
      </c>
      <c r="N1226">
        <f>IFERROR(MATCH($C$5&amp;"|"&amp;RIGHT("000000"&amp;1210,6),CalcRankKeyB,0),"")</f>
        <v/>
      </c>
    </row>
    <row r="1227">
      <c r="A1227" s="21" t="n">
        <v>1211</v>
      </c>
      <c r="B1227" s="22">
        <f>IF(AND($M1227="",$N1227=""),"",IF($M1227&lt;&gt;"",INDEX(CalcDateA,$M1227),INDEX(CalcDateB,$N1227)))</f>
        <v/>
      </c>
      <c r="C1227" s="22">
        <f>IF($M1227&lt;&gt;"","خرید سبد",IF($N1227&lt;&gt;"",IF(N(INDEX(CalcDepB,$N1227))&gt;0,"دریافت بانکی","پرداخت بانکی"),""))</f>
        <v/>
      </c>
      <c r="D1227" s="22">
        <f>IF($M1227&lt;&gt;"",IF(INDEX(CalcDocA,$M1227)="","—",INDEX(CalcDocA,$M1227)),IF($N1227&lt;&gt;"",INDEX(CalcBankB,$N1227),""))</f>
        <v/>
      </c>
      <c r="E1227" s="23">
        <f>IF($N1227&lt;&gt;"",IF(INDEX(CalcDepB,$N1227)=0,"",INDEX(CalcDepB,$N1227)),"")</f>
        <v/>
      </c>
      <c r="F1227" s="23">
        <f>IF($M1227&lt;&gt;"",IF(INDEX(CalcQtyA,$M1227)=0,"",INDEX(CalcQtyA,$M1227)),"")</f>
        <v/>
      </c>
      <c r="G1227" s="23">
        <f>IF($M1227&lt;&gt;"",IF(INDEX(CalcPriceA,$M1227)=0,"",INDEX(CalcPriceA,$M1227)),"")</f>
        <v/>
      </c>
      <c r="H1227" s="23">
        <f>IF($N1227&lt;&gt;"",IF(INDEX(CalcWitB,$N1227)=0,"",INDEX(CalcWitB,$N1227)),"")</f>
        <v/>
      </c>
      <c r="I1227" s="24">
        <f>IF($M1227&lt;&gt;"",INDEX(CalcAmtA,$M1227),"")</f>
        <v/>
      </c>
      <c r="J1227" s="24">
        <f>IF($B1227="","",IF($J1226="",$C$8,$J1226)+IF($I1227="",0,$I1227)+IF($E1227="",0,$E1227)-IF($H1227="",0,$H1227))</f>
        <v/>
      </c>
      <c r="K1227" s="25">
        <f>IF($M1227&lt;&gt;"",IF(INDEX(CalcNoteA,$M1227)="","—",INDEX(CalcNoteA,$M1227)),IF($N1227&lt;&gt;"",IF(INDEX(CalcNoteB,$N1227)="","—",INDEX(CalcNoteB,$N1227)),""))</f>
        <v/>
      </c>
      <c r="M1227">
        <f>IFERROR(MATCH($C$5&amp;"|"&amp;RIGHT("000000"&amp;1211,6),CalcRankKeyA,0),"")</f>
        <v/>
      </c>
      <c r="N1227">
        <f>IFERROR(MATCH($C$5&amp;"|"&amp;RIGHT("000000"&amp;1211,6),CalcRankKeyB,0),"")</f>
        <v/>
      </c>
    </row>
    <row r="1228">
      <c r="A1228" s="26" t="n">
        <v>1212</v>
      </c>
      <c r="B1228" s="27">
        <f>IF(AND($M1228="",$N1228=""),"",IF($M1228&lt;&gt;"",INDEX(CalcDateA,$M1228),INDEX(CalcDateB,$N1228)))</f>
        <v/>
      </c>
      <c r="C1228" s="27">
        <f>IF($M1228&lt;&gt;"","خرید سبد",IF($N1228&lt;&gt;"",IF(N(INDEX(CalcDepB,$N1228))&gt;0,"دریافت بانکی","پرداخت بانکی"),""))</f>
        <v/>
      </c>
      <c r="D1228" s="27">
        <f>IF($M1228&lt;&gt;"",IF(INDEX(CalcDocA,$M1228)="","—",INDEX(CalcDocA,$M1228)),IF($N1228&lt;&gt;"",INDEX(CalcBankB,$N1228),""))</f>
        <v/>
      </c>
      <c r="E1228" s="28">
        <f>IF($N1228&lt;&gt;"",IF(INDEX(CalcDepB,$N1228)=0,"",INDEX(CalcDepB,$N1228)),"")</f>
        <v/>
      </c>
      <c r="F1228" s="28">
        <f>IF($M1228&lt;&gt;"",IF(INDEX(CalcQtyA,$M1228)=0,"",INDEX(CalcQtyA,$M1228)),"")</f>
        <v/>
      </c>
      <c r="G1228" s="28">
        <f>IF($M1228&lt;&gt;"",IF(INDEX(CalcPriceA,$M1228)=0,"",INDEX(CalcPriceA,$M1228)),"")</f>
        <v/>
      </c>
      <c r="H1228" s="28">
        <f>IF($N1228&lt;&gt;"",IF(INDEX(CalcWitB,$N1228)=0,"",INDEX(CalcWitB,$N1228)),"")</f>
        <v/>
      </c>
      <c r="I1228" s="29">
        <f>IF($M1228&lt;&gt;"",INDEX(CalcAmtA,$M1228),"")</f>
        <v/>
      </c>
      <c r="J1228" s="29">
        <f>IF($B1228="","",IF($J1227="",$C$8,$J1227)+IF($I1228="",0,$I1228)+IF($E1228="",0,$E1228)-IF($H1228="",0,$H1228))</f>
        <v/>
      </c>
      <c r="K1228" s="30">
        <f>IF($M1228&lt;&gt;"",IF(INDEX(CalcNoteA,$M1228)="","—",INDEX(CalcNoteA,$M1228)),IF($N1228&lt;&gt;"",IF(INDEX(CalcNoteB,$N1228)="","—",INDEX(CalcNoteB,$N1228)),""))</f>
        <v/>
      </c>
      <c r="M1228">
        <f>IFERROR(MATCH($C$5&amp;"|"&amp;RIGHT("000000"&amp;1212,6),CalcRankKeyA,0),"")</f>
        <v/>
      </c>
      <c r="N1228">
        <f>IFERROR(MATCH($C$5&amp;"|"&amp;RIGHT("000000"&amp;1212,6),CalcRankKeyB,0),"")</f>
        <v/>
      </c>
    </row>
    <row r="1229">
      <c r="A1229" s="21" t="n">
        <v>1213</v>
      </c>
      <c r="B1229" s="22">
        <f>IF(AND($M1229="",$N1229=""),"",IF($M1229&lt;&gt;"",INDEX(CalcDateA,$M1229),INDEX(CalcDateB,$N1229)))</f>
        <v/>
      </c>
      <c r="C1229" s="22">
        <f>IF($M1229&lt;&gt;"","خرید سبد",IF($N1229&lt;&gt;"",IF(N(INDEX(CalcDepB,$N1229))&gt;0,"دریافت بانکی","پرداخت بانکی"),""))</f>
        <v/>
      </c>
      <c r="D1229" s="22">
        <f>IF($M1229&lt;&gt;"",IF(INDEX(CalcDocA,$M1229)="","—",INDEX(CalcDocA,$M1229)),IF($N1229&lt;&gt;"",INDEX(CalcBankB,$N1229),""))</f>
        <v/>
      </c>
      <c r="E1229" s="23">
        <f>IF($N1229&lt;&gt;"",IF(INDEX(CalcDepB,$N1229)=0,"",INDEX(CalcDepB,$N1229)),"")</f>
        <v/>
      </c>
      <c r="F1229" s="23">
        <f>IF($M1229&lt;&gt;"",IF(INDEX(CalcQtyA,$M1229)=0,"",INDEX(CalcQtyA,$M1229)),"")</f>
        <v/>
      </c>
      <c r="G1229" s="23">
        <f>IF($M1229&lt;&gt;"",IF(INDEX(CalcPriceA,$M1229)=0,"",INDEX(CalcPriceA,$M1229)),"")</f>
        <v/>
      </c>
      <c r="H1229" s="23">
        <f>IF($N1229&lt;&gt;"",IF(INDEX(CalcWitB,$N1229)=0,"",INDEX(CalcWitB,$N1229)),"")</f>
        <v/>
      </c>
      <c r="I1229" s="24">
        <f>IF($M1229&lt;&gt;"",INDEX(CalcAmtA,$M1229),"")</f>
        <v/>
      </c>
      <c r="J1229" s="24">
        <f>IF($B1229="","",IF($J1228="",$C$8,$J1228)+IF($I1229="",0,$I1229)+IF($E1229="",0,$E1229)-IF($H1229="",0,$H1229))</f>
        <v/>
      </c>
      <c r="K1229" s="25">
        <f>IF($M1229&lt;&gt;"",IF(INDEX(CalcNoteA,$M1229)="","—",INDEX(CalcNoteA,$M1229)),IF($N1229&lt;&gt;"",IF(INDEX(CalcNoteB,$N1229)="","—",INDEX(CalcNoteB,$N1229)),""))</f>
        <v/>
      </c>
      <c r="M1229">
        <f>IFERROR(MATCH($C$5&amp;"|"&amp;RIGHT("000000"&amp;1213,6),CalcRankKeyA,0),"")</f>
        <v/>
      </c>
      <c r="N1229">
        <f>IFERROR(MATCH($C$5&amp;"|"&amp;RIGHT("000000"&amp;1213,6),CalcRankKeyB,0),"")</f>
        <v/>
      </c>
    </row>
    <row r="1230">
      <c r="A1230" s="26" t="n">
        <v>1214</v>
      </c>
      <c r="B1230" s="27">
        <f>IF(AND($M1230="",$N1230=""),"",IF($M1230&lt;&gt;"",INDEX(CalcDateA,$M1230),INDEX(CalcDateB,$N1230)))</f>
        <v/>
      </c>
      <c r="C1230" s="27">
        <f>IF($M1230&lt;&gt;"","خرید سبد",IF($N1230&lt;&gt;"",IF(N(INDEX(CalcDepB,$N1230))&gt;0,"دریافت بانکی","پرداخت بانکی"),""))</f>
        <v/>
      </c>
      <c r="D1230" s="27">
        <f>IF($M1230&lt;&gt;"",IF(INDEX(CalcDocA,$M1230)="","—",INDEX(CalcDocA,$M1230)),IF($N1230&lt;&gt;"",INDEX(CalcBankB,$N1230),""))</f>
        <v/>
      </c>
      <c r="E1230" s="28">
        <f>IF($N1230&lt;&gt;"",IF(INDEX(CalcDepB,$N1230)=0,"",INDEX(CalcDepB,$N1230)),"")</f>
        <v/>
      </c>
      <c r="F1230" s="28">
        <f>IF($M1230&lt;&gt;"",IF(INDEX(CalcQtyA,$M1230)=0,"",INDEX(CalcQtyA,$M1230)),"")</f>
        <v/>
      </c>
      <c r="G1230" s="28">
        <f>IF($M1230&lt;&gt;"",IF(INDEX(CalcPriceA,$M1230)=0,"",INDEX(CalcPriceA,$M1230)),"")</f>
        <v/>
      </c>
      <c r="H1230" s="28">
        <f>IF($N1230&lt;&gt;"",IF(INDEX(CalcWitB,$N1230)=0,"",INDEX(CalcWitB,$N1230)),"")</f>
        <v/>
      </c>
      <c r="I1230" s="29">
        <f>IF($M1230&lt;&gt;"",INDEX(CalcAmtA,$M1230),"")</f>
        <v/>
      </c>
      <c r="J1230" s="29">
        <f>IF($B1230="","",IF($J1229="",$C$8,$J1229)+IF($I1230="",0,$I1230)+IF($E1230="",0,$E1230)-IF($H1230="",0,$H1230))</f>
        <v/>
      </c>
      <c r="K1230" s="30">
        <f>IF($M1230&lt;&gt;"",IF(INDEX(CalcNoteA,$M1230)="","—",INDEX(CalcNoteA,$M1230)),IF($N1230&lt;&gt;"",IF(INDEX(CalcNoteB,$N1230)="","—",INDEX(CalcNoteB,$N1230)),""))</f>
        <v/>
      </c>
      <c r="M1230">
        <f>IFERROR(MATCH($C$5&amp;"|"&amp;RIGHT("000000"&amp;1214,6),CalcRankKeyA,0),"")</f>
        <v/>
      </c>
      <c r="N1230">
        <f>IFERROR(MATCH($C$5&amp;"|"&amp;RIGHT("000000"&amp;1214,6),CalcRankKeyB,0),"")</f>
        <v/>
      </c>
    </row>
    <row r="1231">
      <c r="A1231" s="21" t="n">
        <v>1215</v>
      </c>
      <c r="B1231" s="22">
        <f>IF(AND($M1231="",$N1231=""),"",IF($M1231&lt;&gt;"",INDEX(CalcDateA,$M1231),INDEX(CalcDateB,$N1231)))</f>
        <v/>
      </c>
      <c r="C1231" s="22">
        <f>IF($M1231&lt;&gt;"","خرید سبد",IF($N1231&lt;&gt;"",IF(N(INDEX(CalcDepB,$N1231))&gt;0,"دریافت بانکی","پرداخت بانکی"),""))</f>
        <v/>
      </c>
      <c r="D1231" s="22">
        <f>IF($M1231&lt;&gt;"",IF(INDEX(CalcDocA,$M1231)="","—",INDEX(CalcDocA,$M1231)),IF($N1231&lt;&gt;"",INDEX(CalcBankB,$N1231),""))</f>
        <v/>
      </c>
      <c r="E1231" s="23">
        <f>IF($N1231&lt;&gt;"",IF(INDEX(CalcDepB,$N1231)=0,"",INDEX(CalcDepB,$N1231)),"")</f>
        <v/>
      </c>
      <c r="F1231" s="23">
        <f>IF($M1231&lt;&gt;"",IF(INDEX(CalcQtyA,$M1231)=0,"",INDEX(CalcQtyA,$M1231)),"")</f>
        <v/>
      </c>
      <c r="G1231" s="23">
        <f>IF($M1231&lt;&gt;"",IF(INDEX(CalcPriceA,$M1231)=0,"",INDEX(CalcPriceA,$M1231)),"")</f>
        <v/>
      </c>
      <c r="H1231" s="23">
        <f>IF($N1231&lt;&gt;"",IF(INDEX(CalcWitB,$N1231)=0,"",INDEX(CalcWitB,$N1231)),"")</f>
        <v/>
      </c>
      <c r="I1231" s="24">
        <f>IF($M1231&lt;&gt;"",INDEX(CalcAmtA,$M1231),"")</f>
        <v/>
      </c>
      <c r="J1231" s="24">
        <f>IF($B1231="","",IF($J1230="",$C$8,$J1230)+IF($I1231="",0,$I1231)+IF($E1231="",0,$E1231)-IF($H1231="",0,$H1231))</f>
        <v/>
      </c>
      <c r="K1231" s="25">
        <f>IF($M1231&lt;&gt;"",IF(INDEX(CalcNoteA,$M1231)="","—",INDEX(CalcNoteA,$M1231)),IF($N1231&lt;&gt;"",IF(INDEX(CalcNoteB,$N1231)="","—",INDEX(CalcNoteB,$N1231)),""))</f>
        <v/>
      </c>
      <c r="M1231">
        <f>IFERROR(MATCH($C$5&amp;"|"&amp;RIGHT("000000"&amp;1215,6),CalcRankKeyA,0),"")</f>
        <v/>
      </c>
      <c r="N1231">
        <f>IFERROR(MATCH($C$5&amp;"|"&amp;RIGHT("000000"&amp;1215,6),CalcRankKeyB,0),"")</f>
        <v/>
      </c>
    </row>
    <row r="1232">
      <c r="A1232" s="26" t="n">
        <v>1216</v>
      </c>
      <c r="B1232" s="27">
        <f>IF(AND($M1232="",$N1232=""),"",IF($M1232&lt;&gt;"",INDEX(CalcDateA,$M1232),INDEX(CalcDateB,$N1232)))</f>
        <v/>
      </c>
      <c r="C1232" s="27">
        <f>IF($M1232&lt;&gt;"","خرید سبد",IF($N1232&lt;&gt;"",IF(N(INDEX(CalcDepB,$N1232))&gt;0,"دریافت بانکی","پرداخت بانکی"),""))</f>
        <v/>
      </c>
      <c r="D1232" s="27">
        <f>IF($M1232&lt;&gt;"",IF(INDEX(CalcDocA,$M1232)="","—",INDEX(CalcDocA,$M1232)),IF($N1232&lt;&gt;"",INDEX(CalcBankB,$N1232),""))</f>
        <v/>
      </c>
      <c r="E1232" s="28">
        <f>IF($N1232&lt;&gt;"",IF(INDEX(CalcDepB,$N1232)=0,"",INDEX(CalcDepB,$N1232)),"")</f>
        <v/>
      </c>
      <c r="F1232" s="28">
        <f>IF($M1232&lt;&gt;"",IF(INDEX(CalcQtyA,$M1232)=0,"",INDEX(CalcQtyA,$M1232)),"")</f>
        <v/>
      </c>
      <c r="G1232" s="28">
        <f>IF($M1232&lt;&gt;"",IF(INDEX(CalcPriceA,$M1232)=0,"",INDEX(CalcPriceA,$M1232)),"")</f>
        <v/>
      </c>
      <c r="H1232" s="28">
        <f>IF($N1232&lt;&gt;"",IF(INDEX(CalcWitB,$N1232)=0,"",INDEX(CalcWitB,$N1232)),"")</f>
        <v/>
      </c>
      <c r="I1232" s="29">
        <f>IF($M1232&lt;&gt;"",INDEX(CalcAmtA,$M1232),"")</f>
        <v/>
      </c>
      <c r="J1232" s="29">
        <f>IF($B1232="","",IF($J1231="",$C$8,$J1231)+IF($I1232="",0,$I1232)+IF($E1232="",0,$E1232)-IF($H1232="",0,$H1232))</f>
        <v/>
      </c>
      <c r="K1232" s="30">
        <f>IF($M1232&lt;&gt;"",IF(INDEX(CalcNoteA,$M1232)="","—",INDEX(CalcNoteA,$M1232)),IF($N1232&lt;&gt;"",IF(INDEX(CalcNoteB,$N1232)="","—",INDEX(CalcNoteB,$N1232)),""))</f>
        <v/>
      </c>
      <c r="M1232">
        <f>IFERROR(MATCH($C$5&amp;"|"&amp;RIGHT("000000"&amp;1216,6),CalcRankKeyA,0),"")</f>
        <v/>
      </c>
      <c r="N1232">
        <f>IFERROR(MATCH($C$5&amp;"|"&amp;RIGHT("000000"&amp;1216,6),CalcRankKeyB,0),"")</f>
        <v/>
      </c>
    </row>
    <row r="1233">
      <c r="A1233" s="21" t="n">
        <v>1217</v>
      </c>
      <c r="B1233" s="22">
        <f>IF(AND($M1233="",$N1233=""),"",IF($M1233&lt;&gt;"",INDEX(CalcDateA,$M1233),INDEX(CalcDateB,$N1233)))</f>
        <v/>
      </c>
      <c r="C1233" s="22">
        <f>IF($M1233&lt;&gt;"","خرید سبد",IF($N1233&lt;&gt;"",IF(N(INDEX(CalcDepB,$N1233))&gt;0,"دریافت بانکی","پرداخت بانکی"),""))</f>
        <v/>
      </c>
      <c r="D1233" s="22">
        <f>IF($M1233&lt;&gt;"",IF(INDEX(CalcDocA,$M1233)="","—",INDEX(CalcDocA,$M1233)),IF($N1233&lt;&gt;"",INDEX(CalcBankB,$N1233),""))</f>
        <v/>
      </c>
      <c r="E1233" s="23">
        <f>IF($N1233&lt;&gt;"",IF(INDEX(CalcDepB,$N1233)=0,"",INDEX(CalcDepB,$N1233)),"")</f>
        <v/>
      </c>
      <c r="F1233" s="23">
        <f>IF($M1233&lt;&gt;"",IF(INDEX(CalcQtyA,$M1233)=0,"",INDEX(CalcQtyA,$M1233)),"")</f>
        <v/>
      </c>
      <c r="G1233" s="23">
        <f>IF($M1233&lt;&gt;"",IF(INDEX(CalcPriceA,$M1233)=0,"",INDEX(CalcPriceA,$M1233)),"")</f>
        <v/>
      </c>
      <c r="H1233" s="23">
        <f>IF($N1233&lt;&gt;"",IF(INDEX(CalcWitB,$N1233)=0,"",INDEX(CalcWitB,$N1233)),"")</f>
        <v/>
      </c>
      <c r="I1233" s="24">
        <f>IF($M1233&lt;&gt;"",INDEX(CalcAmtA,$M1233),"")</f>
        <v/>
      </c>
      <c r="J1233" s="24">
        <f>IF($B1233="","",IF($J1232="",$C$8,$J1232)+IF($I1233="",0,$I1233)+IF($E1233="",0,$E1233)-IF($H1233="",0,$H1233))</f>
        <v/>
      </c>
      <c r="K1233" s="25">
        <f>IF($M1233&lt;&gt;"",IF(INDEX(CalcNoteA,$M1233)="","—",INDEX(CalcNoteA,$M1233)),IF($N1233&lt;&gt;"",IF(INDEX(CalcNoteB,$N1233)="","—",INDEX(CalcNoteB,$N1233)),""))</f>
        <v/>
      </c>
      <c r="M1233">
        <f>IFERROR(MATCH($C$5&amp;"|"&amp;RIGHT("000000"&amp;1217,6),CalcRankKeyA,0),"")</f>
        <v/>
      </c>
      <c r="N1233">
        <f>IFERROR(MATCH($C$5&amp;"|"&amp;RIGHT("000000"&amp;1217,6),CalcRankKeyB,0),"")</f>
        <v/>
      </c>
    </row>
    <row r="1234">
      <c r="A1234" s="26" t="n">
        <v>1218</v>
      </c>
      <c r="B1234" s="27">
        <f>IF(AND($M1234="",$N1234=""),"",IF($M1234&lt;&gt;"",INDEX(CalcDateA,$M1234),INDEX(CalcDateB,$N1234)))</f>
        <v/>
      </c>
      <c r="C1234" s="27">
        <f>IF($M1234&lt;&gt;"","خرید سبد",IF($N1234&lt;&gt;"",IF(N(INDEX(CalcDepB,$N1234))&gt;0,"دریافت بانکی","پرداخت بانکی"),""))</f>
        <v/>
      </c>
      <c r="D1234" s="27">
        <f>IF($M1234&lt;&gt;"",IF(INDEX(CalcDocA,$M1234)="","—",INDEX(CalcDocA,$M1234)),IF($N1234&lt;&gt;"",INDEX(CalcBankB,$N1234),""))</f>
        <v/>
      </c>
      <c r="E1234" s="28">
        <f>IF($N1234&lt;&gt;"",IF(INDEX(CalcDepB,$N1234)=0,"",INDEX(CalcDepB,$N1234)),"")</f>
        <v/>
      </c>
      <c r="F1234" s="28">
        <f>IF($M1234&lt;&gt;"",IF(INDEX(CalcQtyA,$M1234)=0,"",INDEX(CalcQtyA,$M1234)),"")</f>
        <v/>
      </c>
      <c r="G1234" s="28">
        <f>IF($M1234&lt;&gt;"",IF(INDEX(CalcPriceA,$M1234)=0,"",INDEX(CalcPriceA,$M1234)),"")</f>
        <v/>
      </c>
      <c r="H1234" s="28">
        <f>IF($N1234&lt;&gt;"",IF(INDEX(CalcWitB,$N1234)=0,"",INDEX(CalcWitB,$N1234)),"")</f>
        <v/>
      </c>
      <c r="I1234" s="29">
        <f>IF($M1234&lt;&gt;"",INDEX(CalcAmtA,$M1234),"")</f>
        <v/>
      </c>
      <c r="J1234" s="29">
        <f>IF($B1234="","",IF($J1233="",$C$8,$J1233)+IF($I1234="",0,$I1234)+IF($E1234="",0,$E1234)-IF($H1234="",0,$H1234))</f>
        <v/>
      </c>
      <c r="K1234" s="30">
        <f>IF($M1234&lt;&gt;"",IF(INDEX(CalcNoteA,$M1234)="","—",INDEX(CalcNoteA,$M1234)),IF($N1234&lt;&gt;"",IF(INDEX(CalcNoteB,$N1234)="","—",INDEX(CalcNoteB,$N1234)),""))</f>
        <v/>
      </c>
      <c r="M1234">
        <f>IFERROR(MATCH($C$5&amp;"|"&amp;RIGHT("000000"&amp;1218,6),CalcRankKeyA,0),"")</f>
        <v/>
      </c>
      <c r="N1234">
        <f>IFERROR(MATCH($C$5&amp;"|"&amp;RIGHT("000000"&amp;1218,6),CalcRankKeyB,0),"")</f>
        <v/>
      </c>
    </row>
    <row r="1235">
      <c r="A1235" s="21" t="n">
        <v>1219</v>
      </c>
      <c r="B1235" s="22">
        <f>IF(AND($M1235="",$N1235=""),"",IF($M1235&lt;&gt;"",INDEX(CalcDateA,$M1235),INDEX(CalcDateB,$N1235)))</f>
        <v/>
      </c>
      <c r="C1235" s="22">
        <f>IF($M1235&lt;&gt;"","خرید سبد",IF($N1235&lt;&gt;"",IF(N(INDEX(CalcDepB,$N1235))&gt;0,"دریافت بانکی","پرداخت بانکی"),""))</f>
        <v/>
      </c>
      <c r="D1235" s="22">
        <f>IF($M1235&lt;&gt;"",IF(INDEX(CalcDocA,$M1235)="","—",INDEX(CalcDocA,$M1235)),IF($N1235&lt;&gt;"",INDEX(CalcBankB,$N1235),""))</f>
        <v/>
      </c>
      <c r="E1235" s="23">
        <f>IF($N1235&lt;&gt;"",IF(INDEX(CalcDepB,$N1235)=0,"",INDEX(CalcDepB,$N1235)),"")</f>
        <v/>
      </c>
      <c r="F1235" s="23">
        <f>IF($M1235&lt;&gt;"",IF(INDEX(CalcQtyA,$M1235)=0,"",INDEX(CalcQtyA,$M1235)),"")</f>
        <v/>
      </c>
      <c r="G1235" s="23">
        <f>IF($M1235&lt;&gt;"",IF(INDEX(CalcPriceA,$M1235)=0,"",INDEX(CalcPriceA,$M1235)),"")</f>
        <v/>
      </c>
      <c r="H1235" s="23">
        <f>IF($N1235&lt;&gt;"",IF(INDEX(CalcWitB,$N1235)=0,"",INDEX(CalcWitB,$N1235)),"")</f>
        <v/>
      </c>
      <c r="I1235" s="24">
        <f>IF($M1235&lt;&gt;"",INDEX(CalcAmtA,$M1235),"")</f>
        <v/>
      </c>
      <c r="J1235" s="24">
        <f>IF($B1235="","",IF($J1234="",$C$8,$J1234)+IF($I1235="",0,$I1235)+IF($E1235="",0,$E1235)-IF($H1235="",0,$H1235))</f>
        <v/>
      </c>
      <c r="K1235" s="25">
        <f>IF($M1235&lt;&gt;"",IF(INDEX(CalcNoteA,$M1235)="","—",INDEX(CalcNoteA,$M1235)),IF($N1235&lt;&gt;"",IF(INDEX(CalcNoteB,$N1235)="","—",INDEX(CalcNoteB,$N1235)),""))</f>
        <v/>
      </c>
      <c r="M1235">
        <f>IFERROR(MATCH($C$5&amp;"|"&amp;RIGHT("000000"&amp;1219,6),CalcRankKeyA,0),"")</f>
        <v/>
      </c>
      <c r="N1235">
        <f>IFERROR(MATCH($C$5&amp;"|"&amp;RIGHT("000000"&amp;1219,6),CalcRankKeyB,0),"")</f>
        <v/>
      </c>
    </row>
    <row r="1236">
      <c r="A1236" s="26" t="n">
        <v>1220</v>
      </c>
      <c r="B1236" s="27">
        <f>IF(AND($M1236="",$N1236=""),"",IF($M1236&lt;&gt;"",INDEX(CalcDateA,$M1236),INDEX(CalcDateB,$N1236)))</f>
        <v/>
      </c>
      <c r="C1236" s="27">
        <f>IF($M1236&lt;&gt;"","خرید سبد",IF($N1236&lt;&gt;"",IF(N(INDEX(CalcDepB,$N1236))&gt;0,"دریافت بانکی","پرداخت بانکی"),""))</f>
        <v/>
      </c>
      <c r="D1236" s="27">
        <f>IF($M1236&lt;&gt;"",IF(INDEX(CalcDocA,$M1236)="","—",INDEX(CalcDocA,$M1236)),IF($N1236&lt;&gt;"",INDEX(CalcBankB,$N1236),""))</f>
        <v/>
      </c>
      <c r="E1236" s="28">
        <f>IF($N1236&lt;&gt;"",IF(INDEX(CalcDepB,$N1236)=0,"",INDEX(CalcDepB,$N1236)),"")</f>
        <v/>
      </c>
      <c r="F1236" s="28">
        <f>IF($M1236&lt;&gt;"",IF(INDEX(CalcQtyA,$M1236)=0,"",INDEX(CalcQtyA,$M1236)),"")</f>
        <v/>
      </c>
      <c r="G1236" s="28">
        <f>IF($M1236&lt;&gt;"",IF(INDEX(CalcPriceA,$M1236)=0,"",INDEX(CalcPriceA,$M1236)),"")</f>
        <v/>
      </c>
      <c r="H1236" s="28">
        <f>IF($N1236&lt;&gt;"",IF(INDEX(CalcWitB,$N1236)=0,"",INDEX(CalcWitB,$N1236)),"")</f>
        <v/>
      </c>
      <c r="I1236" s="29">
        <f>IF($M1236&lt;&gt;"",INDEX(CalcAmtA,$M1236),"")</f>
        <v/>
      </c>
      <c r="J1236" s="29">
        <f>IF($B1236="","",IF($J1235="",$C$8,$J1235)+IF($I1236="",0,$I1236)+IF($E1236="",0,$E1236)-IF($H1236="",0,$H1236))</f>
        <v/>
      </c>
      <c r="K1236" s="30">
        <f>IF($M1236&lt;&gt;"",IF(INDEX(CalcNoteA,$M1236)="","—",INDEX(CalcNoteA,$M1236)),IF($N1236&lt;&gt;"",IF(INDEX(CalcNoteB,$N1236)="","—",INDEX(CalcNoteB,$N1236)),""))</f>
        <v/>
      </c>
      <c r="M1236">
        <f>IFERROR(MATCH($C$5&amp;"|"&amp;RIGHT("000000"&amp;1220,6),CalcRankKeyA,0),"")</f>
        <v/>
      </c>
      <c r="N1236">
        <f>IFERROR(MATCH($C$5&amp;"|"&amp;RIGHT("000000"&amp;1220,6),CalcRankKeyB,0),"")</f>
        <v/>
      </c>
    </row>
    <row r="1237">
      <c r="A1237" s="21" t="n">
        <v>1221</v>
      </c>
      <c r="B1237" s="22">
        <f>IF(AND($M1237="",$N1237=""),"",IF($M1237&lt;&gt;"",INDEX(CalcDateA,$M1237),INDEX(CalcDateB,$N1237)))</f>
        <v/>
      </c>
      <c r="C1237" s="22">
        <f>IF($M1237&lt;&gt;"","خرید سبد",IF($N1237&lt;&gt;"",IF(N(INDEX(CalcDepB,$N1237))&gt;0,"دریافت بانکی","پرداخت بانکی"),""))</f>
        <v/>
      </c>
      <c r="D1237" s="22">
        <f>IF($M1237&lt;&gt;"",IF(INDEX(CalcDocA,$M1237)="","—",INDEX(CalcDocA,$M1237)),IF($N1237&lt;&gt;"",INDEX(CalcBankB,$N1237),""))</f>
        <v/>
      </c>
      <c r="E1237" s="23">
        <f>IF($N1237&lt;&gt;"",IF(INDEX(CalcDepB,$N1237)=0,"",INDEX(CalcDepB,$N1237)),"")</f>
        <v/>
      </c>
      <c r="F1237" s="23">
        <f>IF($M1237&lt;&gt;"",IF(INDEX(CalcQtyA,$M1237)=0,"",INDEX(CalcQtyA,$M1237)),"")</f>
        <v/>
      </c>
      <c r="G1237" s="23">
        <f>IF($M1237&lt;&gt;"",IF(INDEX(CalcPriceA,$M1237)=0,"",INDEX(CalcPriceA,$M1237)),"")</f>
        <v/>
      </c>
      <c r="H1237" s="23">
        <f>IF($N1237&lt;&gt;"",IF(INDEX(CalcWitB,$N1237)=0,"",INDEX(CalcWitB,$N1237)),"")</f>
        <v/>
      </c>
      <c r="I1237" s="24">
        <f>IF($M1237&lt;&gt;"",INDEX(CalcAmtA,$M1237),"")</f>
        <v/>
      </c>
      <c r="J1237" s="24">
        <f>IF($B1237="","",IF($J1236="",$C$8,$J1236)+IF($I1237="",0,$I1237)+IF($E1237="",0,$E1237)-IF($H1237="",0,$H1237))</f>
        <v/>
      </c>
      <c r="K1237" s="25">
        <f>IF($M1237&lt;&gt;"",IF(INDEX(CalcNoteA,$M1237)="","—",INDEX(CalcNoteA,$M1237)),IF($N1237&lt;&gt;"",IF(INDEX(CalcNoteB,$N1237)="","—",INDEX(CalcNoteB,$N1237)),""))</f>
        <v/>
      </c>
      <c r="M1237">
        <f>IFERROR(MATCH($C$5&amp;"|"&amp;RIGHT("000000"&amp;1221,6),CalcRankKeyA,0),"")</f>
        <v/>
      </c>
      <c r="N1237">
        <f>IFERROR(MATCH($C$5&amp;"|"&amp;RIGHT("000000"&amp;1221,6),CalcRankKeyB,0),"")</f>
        <v/>
      </c>
    </row>
    <row r="1238">
      <c r="A1238" s="26" t="n">
        <v>1222</v>
      </c>
      <c r="B1238" s="27">
        <f>IF(AND($M1238="",$N1238=""),"",IF($M1238&lt;&gt;"",INDEX(CalcDateA,$M1238),INDEX(CalcDateB,$N1238)))</f>
        <v/>
      </c>
      <c r="C1238" s="27">
        <f>IF($M1238&lt;&gt;"","خرید سبد",IF($N1238&lt;&gt;"",IF(N(INDEX(CalcDepB,$N1238))&gt;0,"دریافت بانکی","پرداخت بانکی"),""))</f>
        <v/>
      </c>
      <c r="D1238" s="27">
        <f>IF($M1238&lt;&gt;"",IF(INDEX(CalcDocA,$M1238)="","—",INDEX(CalcDocA,$M1238)),IF($N1238&lt;&gt;"",INDEX(CalcBankB,$N1238),""))</f>
        <v/>
      </c>
      <c r="E1238" s="28">
        <f>IF($N1238&lt;&gt;"",IF(INDEX(CalcDepB,$N1238)=0,"",INDEX(CalcDepB,$N1238)),"")</f>
        <v/>
      </c>
      <c r="F1238" s="28">
        <f>IF($M1238&lt;&gt;"",IF(INDEX(CalcQtyA,$M1238)=0,"",INDEX(CalcQtyA,$M1238)),"")</f>
        <v/>
      </c>
      <c r="G1238" s="28">
        <f>IF($M1238&lt;&gt;"",IF(INDEX(CalcPriceA,$M1238)=0,"",INDEX(CalcPriceA,$M1238)),"")</f>
        <v/>
      </c>
      <c r="H1238" s="28">
        <f>IF($N1238&lt;&gt;"",IF(INDEX(CalcWitB,$N1238)=0,"",INDEX(CalcWitB,$N1238)),"")</f>
        <v/>
      </c>
      <c r="I1238" s="29">
        <f>IF($M1238&lt;&gt;"",INDEX(CalcAmtA,$M1238),"")</f>
        <v/>
      </c>
      <c r="J1238" s="29">
        <f>IF($B1238="","",IF($J1237="",$C$8,$J1237)+IF($I1238="",0,$I1238)+IF($E1238="",0,$E1238)-IF($H1238="",0,$H1238))</f>
        <v/>
      </c>
      <c r="K1238" s="30">
        <f>IF($M1238&lt;&gt;"",IF(INDEX(CalcNoteA,$M1238)="","—",INDEX(CalcNoteA,$M1238)),IF($N1238&lt;&gt;"",IF(INDEX(CalcNoteB,$N1238)="","—",INDEX(CalcNoteB,$N1238)),""))</f>
        <v/>
      </c>
      <c r="M1238">
        <f>IFERROR(MATCH($C$5&amp;"|"&amp;RIGHT("000000"&amp;1222,6),CalcRankKeyA,0),"")</f>
        <v/>
      </c>
      <c r="N1238">
        <f>IFERROR(MATCH($C$5&amp;"|"&amp;RIGHT("000000"&amp;1222,6),CalcRankKeyB,0),"")</f>
        <v/>
      </c>
    </row>
    <row r="1239">
      <c r="A1239" s="21" t="n">
        <v>1223</v>
      </c>
      <c r="B1239" s="22">
        <f>IF(AND($M1239="",$N1239=""),"",IF($M1239&lt;&gt;"",INDEX(CalcDateA,$M1239),INDEX(CalcDateB,$N1239)))</f>
        <v/>
      </c>
      <c r="C1239" s="22">
        <f>IF($M1239&lt;&gt;"","خرید سبد",IF($N1239&lt;&gt;"",IF(N(INDEX(CalcDepB,$N1239))&gt;0,"دریافت بانکی","پرداخت بانکی"),""))</f>
        <v/>
      </c>
      <c r="D1239" s="22">
        <f>IF($M1239&lt;&gt;"",IF(INDEX(CalcDocA,$M1239)="","—",INDEX(CalcDocA,$M1239)),IF($N1239&lt;&gt;"",INDEX(CalcBankB,$N1239),""))</f>
        <v/>
      </c>
      <c r="E1239" s="23">
        <f>IF($N1239&lt;&gt;"",IF(INDEX(CalcDepB,$N1239)=0,"",INDEX(CalcDepB,$N1239)),"")</f>
        <v/>
      </c>
      <c r="F1239" s="23">
        <f>IF($M1239&lt;&gt;"",IF(INDEX(CalcQtyA,$M1239)=0,"",INDEX(CalcQtyA,$M1239)),"")</f>
        <v/>
      </c>
      <c r="G1239" s="23">
        <f>IF($M1239&lt;&gt;"",IF(INDEX(CalcPriceA,$M1239)=0,"",INDEX(CalcPriceA,$M1239)),"")</f>
        <v/>
      </c>
      <c r="H1239" s="23">
        <f>IF($N1239&lt;&gt;"",IF(INDEX(CalcWitB,$N1239)=0,"",INDEX(CalcWitB,$N1239)),"")</f>
        <v/>
      </c>
      <c r="I1239" s="24">
        <f>IF($M1239&lt;&gt;"",INDEX(CalcAmtA,$M1239),"")</f>
        <v/>
      </c>
      <c r="J1239" s="24">
        <f>IF($B1239="","",IF($J1238="",$C$8,$J1238)+IF($I1239="",0,$I1239)+IF($E1239="",0,$E1239)-IF($H1239="",0,$H1239))</f>
        <v/>
      </c>
      <c r="K1239" s="25">
        <f>IF($M1239&lt;&gt;"",IF(INDEX(CalcNoteA,$M1239)="","—",INDEX(CalcNoteA,$M1239)),IF($N1239&lt;&gt;"",IF(INDEX(CalcNoteB,$N1239)="","—",INDEX(CalcNoteB,$N1239)),""))</f>
        <v/>
      </c>
      <c r="M1239">
        <f>IFERROR(MATCH($C$5&amp;"|"&amp;RIGHT("000000"&amp;1223,6),CalcRankKeyA,0),"")</f>
        <v/>
      </c>
      <c r="N1239">
        <f>IFERROR(MATCH($C$5&amp;"|"&amp;RIGHT("000000"&amp;1223,6),CalcRankKeyB,0),"")</f>
        <v/>
      </c>
    </row>
    <row r="1240">
      <c r="A1240" s="26" t="n">
        <v>1224</v>
      </c>
      <c r="B1240" s="27">
        <f>IF(AND($M1240="",$N1240=""),"",IF($M1240&lt;&gt;"",INDEX(CalcDateA,$M1240),INDEX(CalcDateB,$N1240)))</f>
        <v/>
      </c>
      <c r="C1240" s="27">
        <f>IF($M1240&lt;&gt;"","خرید سبد",IF($N1240&lt;&gt;"",IF(N(INDEX(CalcDepB,$N1240))&gt;0,"دریافت بانکی","پرداخت بانکی"),""))</f>
        <v/>
      </c>
      <c r="D1240" s="27">
        <f>IF($M1240&lt;&gt;"",IF(INDEX(CalcDocA,$M1240)="","—",INDEX(CalcDocA,$M1240)),IF($N1240&lt;&gt;"",INDEX(CalcBankB,$N1240),""))</f>
        <v/>
      </c>
      <c r="E1240" s="28">
        <f>IF($N1240&lt;&gt;"",IF(INDEX(CalcDepB,$N1240)=0,"",INDEX(CalcDepB,$N1240)),"")</f>
        <v/>
      </c>
      <c r="F1240" s="28">
        <f>IF($M1240&lt;&gt;"",IF(INDEX(CalcQtyA,$M1240)=0,"",INDEX(CalcQtyA,$M1240)),"")</f>
        <v/>
      </c>
      <c r="G1240" s="28">
        <f>IF($M1240&lt;&gt;"",IF(INDEX(CalcPriceA,$M1240)=0,"",INDEX(CalcPriceA,$M1240)),"")</f>
        <v/>
      </c>
      <c r="H1240" s="28">
        <f>IF($N1240&lt;&gt;"",IF(INDEX(CalcWitB,$N1240)=0,"",INDEX(CalcWitB,$N1240)),"")</f>
        <v/>
      </c>
      <c r="I1240" s="29">
        <f>IF($M1240&lt;&gt;"",INDEX(CalcAmtA,$M1240),"")</f>
        <v/>
      </c>
      <c r="J1240" s="29">
        <f>IF($B1240="","",IF($J1239="",$C$8,$J1239)+IF($I1240="",0,$I1240)+IF($E1240="",0,$E1240)-IF($H1240="",0,$H1240))</f>
        <v/>
      </c>
      <c r="K1240" s="30">
        <f>IF($M1240&lt;&gt;"",IF(INDEX(CalcNoteA,$M1240)="","—",INDEX(CalcNoteA,$M1240)),IF($N1240&lt;&gt;"",IF(INDEX(CalcNoteB,$N1240)="","—",INDEX(CalcNoteB,$N1240)),""))</f>
        <v/>
      </c>
      <c r="M1240">
        <f>IFERROR(MATCH($C$5&amp;"|"&amp;RIGHT("000000"&amp;1224,6),CalcRankKeyA,0),"")</f>
        <v/>
      </c>
      <c r="N1240">
        <f>IFERROR(MATCH($C$5&amp;"|"&amp;RIGHT("000000"&amp;1224,6),CalcRankKeyB,0),"")</f>
        <v/>
      </c>
    </row>
    <row r="1241">
      <c r="A1241" s="21" t="n">
        <v>1225</v>
      </c>
      <c r="B1241" s="22">
        <f>IF(AND($M1241="",$N1241=""),"",IF($M1241&lt;&gt;"",INDEX(CalcDateA,$M1241),INDEX(CalcDateB,$N1241)))</f>
        <v/>
      </c>
      <c r="C1241" s="22">
        <f>IF($M1241&lt;&gt;"","خرید سبد",IF($N1241&lt;&gt;"",IF(N(INDEX(CalcDepB,$N1241))&gt;0,"دریافت بانکی","پرداخت بانکی"),""))</f>
        <v/>
      </c>
      <c r="D1241" s="22">
        <f>IF($M1241&lt;&gt;"",IF(INDEX(CalcDocA,$M1241)="","—",INDEX(CalcDocA,$M1241)),IF($N1241&lt;&gt;"",INDEX(CalcBankB,$N1241),""))</f>
        <v/>
      </c>
      <c r="E1241" s="23">
        <f>IF($N1241&lt;&gt;"",IF(INDEX(CalcDepB,$N1241)=0,"",INDEX(CalcDepB,$N1241)),"")</f>
        <v/>
      </c>
      <c r="F1241" s="23">
        <f>IF($M1241&lt;&gt;"",IF(INDEX(CalcQtyA,$M1241)=0,"",INDEX(CalcQtyA,$M1241)),"")</f>
        <v/>
      </c>
      <c r="G1241" s="23">
        <f>IF($M1241&lt;&gt;"",IF(INDEX(CalcPriceA,$M1241)=0,"",INDEX(CalcPriceA,$M1241)),"")</f>
        <v/>
      </c>
      <c r="H1241" s="23">
        <f>IF($N1241&lt;&gt;"",IF(INDEX(CalcWitB,$N1241)=0,"",INDEX(CalcWitB,$N1241)),"")</f>
        <v/>
      </c>
      <c r="I1241" s="24">
        <f>IF($M1241&lt;&gt;"",INDEX(CalcAmtA,$M1241),"")</f>
        <v/>
      </c>
      <c r="J1241" s="24">
        <f>IF($B1241="","",IF($J1240="",$C$8,$J1240)+IF($I1241="",0,$I1241)+IF($E1241="",0,$E1241)-IF($H1241="",0,$H1241))</f>
        <v/>
      </c>
      <c r="K1241" s="25">
        <f>IF($M1241&lt;&gt;"",IF(INDEX(CalcNoteA,$M1241)="","—",INDEX(CalcNoteA,$M1241)),IF($N1241&lt;&gt;"",IF(INDEX(CalcNoteB,$N1241)="","—",INDEX(CalcNoteB,$N1241)),""))</f>
        <v/>
      </c>
      <c r="M1241">
        <f>IFERROR(MATCH($C$5&amp;"|"&amp;RIGHT("000000"&amp;1225,6),CalcRankKeyA,0),"")</f>
        <v/>
      </c>
      <c r="N1241">
        <f>IFERROR(MATCH($C$5&amp;"|"&amp;RIGHT("000000"&amp;1225,6),CalcRankKeyB,0),"")</f>
        <v/>
      </c>
    </row>
    <row r="1242">
      <c r="A1242" s="26" t="n">
        <v>1226</v>
      </c>
      <c r="B1242" s="27">
        <f>IF(AND($M1242="",$N1242=""),"",IF($M1242&lt;&gt;"",INDEX(CalcDateA,$M1242),INDEX(CalcDateB,$N1242)))</f>
        <v/>
      </c>
      <c r="C1242" s="27">
        <f>IF($M1242&lt;&gt;"","خرید سبد",IF($N1242&lt;&gt;"",IF(N(INDEX(CalcDepB,$N1242))&gt;0,"دریافت بانکی","پرداخت بانکی"),""))</f>
        <v/>
      </c>
      <c r="D1242" s="27">
        <f>IF($M1242&lt;&gt;"",IF(INDEX(CalcDocA,$M1242)="","—",INDEX(CalcDocA,$M1242)),IF($N1242&lt;&gt;"",INDEX(CalcBankB,$N1242),""))</f>
        <v/>
      </c>
      <c r="E1242" s="28">
        <f>IF($N1242&lt;&gt;"",IF(INDEX(CalcDepB,$N1242)=0,"",INDEX(CalcDepB,$N1242)),"")</f>
        <v/>
      </c>
      <c r="F1242" s="28">
        <f>IF($M1242&lt;&gt;"",IF(INDEX(CalcQtyA,$M1242)=0,"",INDEX(CalcQtyA,$M1242)),"")</f>
        <v/>
      </c>
      <c r="G1242" s="28">
        <f>IF($M1242&lt;&gt;"",IF(INDEX(CalcPriceA,$M1242)=0,"",INDEX(CalcPriceA,$M1242)),"")</f>
        <v/>
      </c>
      <c r="H1242" s="28">
        <f>IF($N1242&lt;&gt;"",IF(INDEX(CalcWitB,$N1242)=0,"",INDEX(CalcWitB,$N1242)),"")</f>
        <v/>
      </c>
      <c r="I1242" s="29">
        <f>IF($M1242&lt;&gt;"",INDEX(CalcAmtA,$M1242),"")</f>
        <v/>
      </c>
      <c r="J1242" s="29">
        <f>IF($B1242="","",IF($J1241="",$C$8,$J1241)+IF($I1242="",0,$I1242)+IF($E1242="",0,$E1242)-IF($H1242="",0,$H1242))</f>
        <v/>
      </c>
      <c r="K1242" s="30">
        <f>IF($M1242&lt;&gt;"",IF(INDEX(CalcNoteA,$M1242)="","—",INDEX(CalcNoteA,$M1242)),IF($N1242&lt;&gt;"",IF(INDEX(CalcNoteB,$N1242)="","—",INDEX(CalcNoteB,$N1242)),""))</f>
        <v/>
      </c>
      <c r="M1242">
        <f>IFERROR(MATCH($C$5&amp;"|"&amp;RIGHT("000000"&amp;1226,6),CalcRankKeyA,0),"")</f>
        <v/>
      </c>
      <c r="N1242">
        <f>IFERROR(MATCH($C$5&amp;"|"&amp;RIGHT("000000"&amp;1226,6),CalcRankKeyB,0),"")</f>
        <v/>
      </c>
    </row>
    <row r="1243">
      <c r="A1243" s="21" t="n">
        <v>1227</v>
      </c>
      <c r="B1243" s="22">
        <f>IF(AND($M1243="",$N1243=""),"",IF($M1243&lt;&gt;"",INDEX(CalcDateA,$M1243),INDEX(CalcDateB,$N1243)))</f>
        <v/>
      </c>
      <c r="C1243" s="22">
        <f>IF($M1243&lt;&gt;"","خرید سبد",IF($N1243&lt;&gt;"",IF(N(INDEX(CalcDepB,$N1243))&gt;0,"دریافت بانکی","پرداخت بانکی"),""))</f>
        <v/>
      </c>
      <c r="D1243" s="22">
        <f>IF($M1243&lt;&gt;"",IF(INDEX(CalcDocA,$M1243)="","—",INDEX(CalcDocA,$M1243)),IF($N1243&lt;&gt;"",INDEX(CalcBankB,$N1243),""))</f>
        <v/>
      </c>
      <c r="E1243" s="23">
        <f>IF($N1243&lt;&gt;"",IF(INDEX(CalcDepB,$N1243)=0,"",INDEX(CalcDepB,$N1243)),"")</f>
        <v/>
      </c>
      <c r="F1243" s="23">
        <f>IF($M1243&lt;&gt;"",IF(INDEX(CalcQtyA,$M1243)=0,"",INDEX(CalcQtyA,$M1243)),"")</f>
        <v/>
      </c>
      <c r="G1243" s="23">
        <f>IF($M1243&lt;&gt;"",IF(INDEX(CalcPriceA,$M1243)=0,"",INDEX(CalcPriceA,$M1243)),"")</f>
        <v/>
      </c>
      <c r="H1243" s="23">
        <f>IF($N1243&lt;&gt;"",IF(INDEX(CalcWitB,$N1243)=0,"",INDEX(CalcWitB,$N1243)),"")</f>
        <v/>
      </c>
      <c r="I1243" s="24">
        <f>IF($M1243&lt;&gt;"",INDEX(CalcAmtA,$M1243),"")</f>
        <v/>
      </c>
      <c r="J1243" s="24">
        <f>IF($B1243="","",IF($J1242="",$C$8,$J1242)+IF($I1243="",0,$I1243)+IF($E1243="",0,$E1243)-IF($H1243="",0,$H1243))</f>
        <v/>
      </c>
      <c r="K1243" s="25">
        <f>IF($M1243&lt;&gt;"",IF(INDEX(CalcNoteA,$M1243)="","—",INDEX(CalcNoteA,$M1243)),IF($N1243&lt;&gt;"",IF(INDEX(CalcNoteB,$N1243)="","—",INDEX(CalcNoteB,$N1243)),""))</f>
        <v/>
      </c>
      <c r="M1243">
        <f>IFERROR(MATCH($C$5&amp;"|"&amp;RIGHT("000000"&amp;1227,6),CalcRankKeyA,0),"")</f>
        <v/>
      </c>
      <c r="N1243">
        <f>IFERROR(MATCH($C$5&amp;"|"&amp;RIGHT("000000"&amp;1227,6),CalcRankKeyB,0),"")</f>
        <v/>
      </c>
    </row>
    <row r="1244">
      <c r="A1244" s="26" t="n">
        <v>1228</v>
      </c>
      <c r="B1244" s="27">
        <f>IF(AND($M1244="",$N1244=""),"",IF($M1244&lt;&gt;"",INDEX(CalcDateA,$M1244),INDEX(CalcDateB,$N1244)))</f>
        <v/>
      </c>
      <c r="C1244" s="27">
        <f>IF($M1244&lt;&gt;"","خرید سبد",IF($N1244&lt;&gt;"",IF(N(INDEX(CalcDepB,$N1244))&gt;0,"دریافت بانکی","پرداخت بانکی"),""))</f>
        <v/>
      </c>
      <c r="D1244" s="27">
        <f>IF($M1244&lt;&gt;"",IF(INDEX(CalcDocA,$M1244)="","—",INDEX(CalcDocA,$M1244)),IF($N1244&lt;&gt;"",INDEX(CalcBankB,$N1244),""))</f>
        <v/>
      </c>
      <c r="E1244" s="28">
        <f>IF($N1244&lt;&gt;"",IF(INDEX(CalcDepB,$N1244)=0,"",INDEX(CalcDepB,$N1244)),"")</f>
        <v/>
      </c>
      <c r="F1244" s="28">
        <f>IF($M1244&lt;&gt;"",IF(INDEX(CalcQtyA,$M1244)=0,"",INDEX(CalcQtyA,$M1244)),"")</f>
        <v/>
      </c>
      <c r="G1244" s="28">
        <f>IF($M1244&lt;&gt;"",IF(INDEX(CalcPriceA,$M1244)=0,"",INDEX(CalcPriceA,$M1244)),"")</f>
        <v/>
      </c>
      <c r="H1244" s="28">
        <f>IF($N1244&lt;&gt;"",IF(INDEX(CalcWitB,$N1244)=0,"",INDEX(CalcWitB,$N1244)),"")</f>
        <v/>
      </c>
      <c r="I1244" s="29">
        <f>IF($M1244&lt;&gt;"",INDEX(CalcAmtA,$M1244),"")</f>
        <v/>
      </c>
      <c r="J1244" s="29">
        <f>IF($B1244="","",IF($J1243="",$C$8,$J1243)+IF($I1244="",0,$I1244)+IF($E1244="",0,$E1244)-IF($H1244="",0,$H1244))</f>
        <v/>
      </c>
      <c r="K1244" s="30">
        <f>IF($M1244&lt;&gt;"",IF(INDEX(CalcNoteA,$M1244)="","—",INDEX(CalcNoteA,$M1244)),IF($N1244&lt;&gt;"",IF(INDEX(CalcNoteB,$N1244)="","—",INDEX(CalcNoteB,$N1244)),""))</f>
        <v/>
      </c>
      <c r="M1244">
        <f>IFERROR(MATCH($C$5&amp;"|"&amp;RIGHT("000000"&amp;1228,6),CalcRankKeyA,0),"")</f>
        <v/>
      </c>
      <c r="N1244">
        <f>IFERROR(MATCH($C$5&amp;"|"&amp;RIGHT("000000"&amp;1228,6),CalcRankKeyB,0),"")</f>
        <v/>
      </c>
    </row>
    <row r="1245">
      <c r="A1245" s="21" t="n">
        <v>1229</v>
      </c>
      <c r="B1245" s="22">
        <f>IF(AND($M1245="",$N1245=""),"",IF($M1245&lt;&gt;"",INDEX(CalcDateA,$M1245),INDEX(CalcDateB,$N1245)))</f>
        <v/>
      </c>
      <c r="C1245" s="22">
        <f>IF($M1245&lt;&gt;"","خرید سبد",IF($N1245&lt;&gt;"",IF(N(INDEX(CalcDepB,$N1245))&gt;0,"دریافت بانکی","پرداخت بانکی"),""))</f>
        <v/>
      </c>
      <c r="D1245" s="22">
        <f>IF($M1245&lt;&gt;"",IF(INDEX(CalcDocA,$M1245)="","—",INDEX(CalcDocA,$M1245)),IF($N1245&lt;&gt;"",INDEX(CalcBankB,$N1245),""))</f>
        <v/>
      </c>
      <c r="E1245" s="23">
        <f>IF($N1245&lt;&gt;"",IF(INDEX(CalcDepB,$N1245)=0,"",INDEX(CalcDepB,$N1245)),"")</f>
        <v/>
      </c>
      <c r="F1245" s="23">
        <f>IF($M1245&lt;&gt;"",IF(INDEX(CalcQtyA,$M1245)=0,"",INDEX(CalcQtyA,$M1245)),"")</f>
        <v/>
      </c>
      <c r="G1245" s="23">
        <f>IF($M1245&lt;&gt;"",IF(INDEX(CalcPriceA,$M1245)=0,"",INDEX(CalcPriceA,$M1245)),"")</f>
        <v/>
      </c>
      <c r="H1245" s="23">
        <f>IF($N1245&lt;&gt;"",IF(INDEX(CalcWitB,$N1245)=0,"",INDEX(CalcWitB,$N1245)),"")</f>
        <v/>
      </c>
      <c r="I1245" s="24">
        <f>IF($M1245&lt;&gt;"",INDEX(CalcAmtA,$M1245),"")</f>
        <v/>
      </c>
      <c r="J1245" s="24">
        <f>IF($B1245="","",IF($J1244="",$C$8,$J1244)+IF($I1245="",0,$I1245)+IF($E1245="",0,$E1245)-IF($H1245="",0,$H1245))</f>
        <v/>
      </c>
      <c r="K1245" s="25">
        <f>IF($M1245&lt;&gt;"",IF(INDEX(CalcNoteA,$M1245)="","—",INDEX(CalcNoteA,$M1245)),IF($N1245&lt;&gt;"",IF(INDEX(CalcNoteB,$N1245)="","—",INDEX(CalcNoteB,$N1245)),""))</f>
        <v/>
      </c>
      <c r="M1245">
        <f>IFERROR(MATCH($C$5&amp;"|"&amp;RIGHT("000000"&amp;1229,6),CalcRankKeyA,0),"")</f>
        <v/>
      </c>
      <c r="N1245">
        <f>IFERROR(MATCH($C$5&amp;"|"&amp;RIGHT("000000"&amp;1229,6),CalcRankKeyB,0),"")</f>
        <v/>
      </c>
    </row>
    <row r="1246">
      <c r="A1246" s="26" t="n">
        <v>1230</v>
      </c>
      <c r="B1246" s="27">
        <f>IF(AND($M1246="",$N1246=""),"",IF($M1246&lt;&gt;"",INDEX(CalcDateA,$M1246),INDEX(CalcDateB,$N1246)))</f>
        <v/>
      </c>
      <c r="C1246" s="27">
        <f>IF($M1246&lt;&gt;"","خرید سبد",IF($N1246&lt;&gt;"",IF(N(INDEX(CalcDepB,$N1246))&gt;0,"دریافت بانکی","پرداخت بانکی"),""))</f>
        <v/>
      </c>
      <c r="D1246" s="27">
        <f>IF($M1246&lt;&gt;"",IF(INDEX(CalcDocA,$M1246)="","—",INDEX(CalcDocA,$M1246)),IF($N1246&lt;&gt;"",INDEX(CalcBankB,$N1246),""))</f>
        <v/>
      </c>
      <c r="E1246" s="28">
        <f>IF($N1246&lt;&gt;"",IF(INDEX(CalcDepB,$N1246)=0,"",INDEX(CalcDepB,$N1246)),"")</f>
        <v/>
      </c>
      <c r="F1246" s="28">
        <f>IF($M1246&lt;&gt;"",IF(INDEX(CalcQtyA,$M1246)=0,"",INDEX(CalcQtyA,$M1246)),"")</f>
        <v/>
      </c>
      <c r="G1246" s="28">
        <f>IF($M1246&lt;&gt;"",IF(INDEX(CalcPriceA,$M1246)=0,"",INDEX(CalcPriceA,$M1246)),"")</f>
        <v/>
      </c>
      <c r="H1246" s="28">
        <f>IF($N1246&lt;&gt;"",IF(INDEX(CalcWitB,$N1246)=0,"",INDEX(CalcWitB,$N1246)),"")</f>
        <v/>
      </c>
      <c r="I1246" s="29">
        <f>IF($M1246&lt;&gt;"",INDEX(CalcAmtA,$M1246),"")</f>
        <v/>
      </c>
      <c r="J1246" s="29">
        <f>IF($B1246="","",IF($J1245="",$C$8,$J1245)+IF($I1246="",0,$I1246)+IF($E1246="",0,$E1246)-IF($H1246="",0,$H1246))</f>
        <v/>
      </c>
      <c r="K1246" s="30">
        <f>IF($M1246&lt;&gt;"",IF(INDEX(CalcNoteA,$M1246)="","—",INDEX(CalcNoteA,$M1246)),IF($N1246&lt;&gt;"",IF(INDEX(CalcNoteB,$N1246)="","—",INDEX(CalcNoteB,$N1246)),""))</f>
        <v/>
      </c>
      <c r="M1246">
        <f>IFERROR(MATCH($C$5&amp;"|"&amp;RIGHT("000000"&amp;1230,6),CalcRankKeyA,0),"")</f>
        <v/>
      </c>
      <c r="N1246">
        <f>IFERROR(MATCH($C$5&amp;"|"&amp;RIGHT("000000"&amp;1230,6),CalcRankKeyB,0),"")</f>
        <v/>
      </c>
    </row>
    <row r="1247">
      <c r="A1247" s="21" t="n">
        <v>1231</v>
      </c>
      <c r="B1247" s="22">
        <f>IF(AND($M1247="",$N1247=""),"",IF($M1247&lt;&gt;"",INDEX(CalcDateA,$M1247),INDEX(CalcDateB,$N1247)))</f>
        <v/>
      </c>
      <c r="C1247" s="22">
        <f>IF($M1247&lt;&gt;"","خرید سبد",IF($N1247&lt;&gt;"",IF(N(INDEX(CalcDepB,$N1247))&gt;0,"دریافت بانکی","پرداخت بانکی"),""))</f>
        <v/>
      </c>
      <c r="D1247" s="22">
        <f>IF($M1247&lt;&gt;"",IF(INDEX(CalcDocA,$M1247)="","—",INDEX(CalcDocA,$M1247)),IF($N1247&lt;&gt;"",INDEX(CalcBankB,$N1247),""))</f>
        <v/>
      </c>
      <c r="E1247" s="23">
        <f>IF($N1247&lt;&gt;"",IF(INDEX(CalcDepB,$N1247)=0,"",INDEX(CalcDepB,$N1247)),"")</f>
        <v/>
      </c>
      <c r="F1247" s="23">
        <f>IF($M1247&lt;&gt;"",IF(INDEX(CalcQtyA,$M1247)=0,"",INDEX(CalcQtyA,$M1247)),"")</f>
        <v/>
      </c>
      <c r="G1247" s="23">
        <f>IF($M1247&lt;&gt;"",IF(INDEX(CalcPriceA,$M1247)=0,"",INDEX(CalcPriceA,$M1247)),"")</f>
        <v/>
      </c>
      <c r="H1247" s="23">
        <f>IF($N1247&lt;&gt;"",IF(INDEX(CalcWitB,$N1247)=0,"",INDEX(CalcWitB,$N1247)),"")</f>
        <v/>
      </c>
      <c r="I1247" s="24">
        <f>IF($M1247&lt;&gt;"",INDEX(CalcAmtA,$M1247),"")</f>
        <v/>
      </c>
      <c r="J1247" s="24">
        <f>IF($B1247="","",IF($J1246="",$C$8,$J1246)+IF($I1247="",0,$I1247)+IF($E1247="",0,$E1247)-IF($H1247="",0,$H1247))</f>
        <v/>
      </c>
      <c r="K1247" s="25">
        <f>IF($M1247&lt;&gt;"",IF(INDEX(CalcNoteA,$M1247)="","—",INDEX(CalcNoteA,$M1247)),IF($N1247&lt;&gt;"",IF(INDEX(CalcNoteB,$N1247)="","—",INDEX(CalcNoteB,$N1247)),""))</f>
        <v/>
      </c>
      <c r="M1247">
        <f>IFERROR(MATCH($C$5&amp;"|"&amp;RIGHT("000000"&amp;1231,6),CalcRankKeyA,0),"")</f>
        <v/>
      </c>
      <c r="N1247">
        <f>IFERROR(MATCH($C$5&amp;"|"&amp;RIGHT("000000"&amp;1231,6),CalcRankKeyB,0),"")</f>
        <v/>
      </c>
    </row>
    <row r="1248">
      <c r="A1248" s="26" t="n">
        <v>1232</v>
      </c>
      <c r="B1248" s="27">
        <f>IF(AND($M1248="",$N1248=""),"",IF($M1248&lt;&gt;"",INDEX(CalcDateA,$M1248),INDEX(CalcDateB,$N1248)))</f>
        <v/>
      </c>
      <c r="C1248" s="27">
        <f>IF($M1248&lt;&gt;"","خرید سبد",IF($N1248&lt;&gt;"",IF(N(INDEX(CalcDepB,$N1248))&gt;0,"دریافت بانکی","پرداخت بانکی"),""))</f>
        <v/>
      </c>
      <c r="D1248" s="27">
        <f>IF($M1248&lt;&gt;"",IF(INDEX(CalcDocA,$M1248)="","—",INDEX(CalcDocA,$M1248)),IF($N1248&lt;&gt;"",INDEX(CalcBankB,$N1248),""))</f>
        <v/>
      </c>
      <c r="E1248" s="28">
        <f>IF($N1248&lt;&gt;"",IF(INDEX(CalcDepB,$N1248)=0,"",INDEX(CalcDepB,$N1248)),"")</f>
        <v/>
      </c>
      <c r="F1248" s="28">
        <f>IF($M1248&lt;&gt;"",IF(INDEX(CalcQtyA,$M1248)=0,"",INDEX(CalcQtyA,$M1248)),"")</f>
        <v/>
      </c>
      <c r="G1248" s="28">
        <f>IF($M1248&lt;&gt;"",IF(INDEX(CalcPriceA,$M1248)=0,"",INDEX(CalcPriceA,$M1248)),"")</f>
        <v/>
      </c>
      <c r="H1248" s="28">
        <f>IF($N1248&lt;&gt;"",IF(INDEX(CalcWitB,$N1248)=0,"",INDEX(CalcWitB,$N1248)),"")</f>
        <v/>
      </c>
      <c r="I1248" s="29">
        <f>IF($M1248&lt;&gt;"",INDEX(CalcAmtA,$M1248),"")</f>
        <v/>
      </c>
      <c r="J1248" s="29">
        <f>IF($B1248="","",IF($J1247="",$C$8,$J1247)+IF($I1248="",0,$I1248)+IF($E1248="",0,$E1248)-IF($H1248="",0,$H1248))</f>
        <v/>
      </c>
      <c r="K1248" s="30">
        <f>IF($M1248&lt;&gt;"",IF(INDEX(CalcNoteA,$M1248)="","—",INDEX(CalcNoteA,$M1248)),IF($N1248&lt;&gt;"",IF(INDEX(CalcNoteB,$N1248)="","—",INDEX(CalcNoteB,$N1248)),""))</f>
        <v/>
      </c>
      <c r="M1248">
        <f>IFERROR(MATCH($C$5&amp;"|"&amp;RIGHT("000000"&amp;1232,6),CalcRankKeyA,0),"")</f>
        <v/>
      </c>
      <c r="N1248">
        <f>IFERROR(MATCH($C$5&amp;"|"&amp;RIGHT("000000"&amp;1232,6),CalcRankKeyB,0),"")</f>
        <v/>
      </c>
    </row>
    <row r="1249">
      <c r="A1249" s="21" t="n">
        <v>1233</v>
      </c>
      <c r="B1249" s="22">
        <f>IF(AND($M1249="",$N1249=""),"",IF($M1249&lt;&gt;"",INDEX(CalcDateA,$M1249),INDEX(CalcDateB,$N1249)))</f>
        <v/>
      </c>
      <c r="C1249" s="22">
        <f>IF($M1249&lt;&gt;"","خرید سبد",IF($N1249&lt;&gt;"",IF(N(INDEX(CalcDepB,$N1249))&gt;0,"دریافت بانکی","پرداخت بانکی"),""))</f>
        <v/>
      </c>
      <c r="D1249" s="22">
        <f>IF($M1249&lt;&gt;"",IF(INDEX(CalcDocA,$M1249)="","—",INDEX(CalcDocA,$M1249)),IF($N1249&lt;&gt;"",INDEX(CalcBankB,$N1249),""))</f>
        <v/>
      </c>
      <c r="E1249" s="23">
        <f>IF($N1249&lt;&gt;"",IF(INDEX(CalcDepB,$N1249)=0,"",INDEX(CalcDepB,$N1249)),"")</f>
        <v/>
      </c>
      <c r="F1249" s="23">
        <f>IF($M1249&lt;&gt;"",IF(INDEX(CalcQtyA,$M1249)=0,"",INDEX(CalcQtyA,$M1249)),"")</f>
        <v/>
      </c>
      <c r="G1249" s="23">
        <f>IF($M1249&lt;&gt;"",IF(INDEX(CalcPriceA,$M1249)=0,"",INDEX(CalcPriceA,$M1249)),"")</f>
        <v/>
      </c>
      <c r="H1249" s="23">
        <f>IF($N1249&lt;&gt;"",IF(INDEX(CalcWitB,$N1249)=0,"",INDEX(CalcWitB,$N1249)),"")</f>
        <v/>
      </c>
      <c r="I1249" s="24">
        <f>IF($M1249&lt;&gt;"",INDEX(CalcAmtA,$M1249),"")</f>
        <v/>
      </c>
      <c r="J1249" s="24">
        <f>IF($B1249="","",IF($J1248="",$C$8,$J1248)+IF($I1249="",0,$I1249)+IF($E1249="",0,$E1249)-IF($H1249="",0,$H1249))</f>
        <v/>
      </c>
      <c r="K1249" s="25">
        <f>IF($M1249&lt;&gt;"",IF(INDEX(CalcNoteA,$M1249)="","—",INDEX(CalcNoteA,$M1249)),IF($N1249&lt;&gt;"",IF(INDEX(CalcNoteB,$N1249)="","—",INDEX(CalcNoteB,$N1249)),""))</f>
        <v/>
      </c>
      <c r="M1249">
        <f>IFERROR(MATCH($C$5&amp;"|"&amp;RIGHT("000000"&amp;1233,6),CalcRankKeyA,0),"")</f>
        <v/>
      </c>
      <c r="N1249">
        <f>IFERROR(MATCH($C$5&amp;"|"&amp;RIGHT("000000"&amp;1233,6),CalcRankKeyB,0),"")</f>
        <v/>
      </c>
    </row>
    <row r="1250">
      <c r="A1250" s="26" t="n">
        <v>1234</v>
      </c>
      <c r="B1250" s="27">
        <f>IF(AND($M1250="",$N1250=""),"",IF($M1250&lt;&gt;"",INDEX(CalcDateA,$M1250),INDEX(CalcDateB,$N1250)))</f>
        <v/>
      </c>
      <c r="C1250" s="27">
        <f>IF($M1250&lt;&gt;"","خرید سبد",IF($N1250&lt;&gt;"",IF(N(INDEX(CalcDepB,$N1250))&gt;0,"دریافت بانکی","پرداخت بانکی"),""))</f>
        <v/>
      </c>
      <c r="D1250" s="27">
        <f>IF($M1250&lt;&gt;"",IF(INDEX(CalcDocA,$M1250)="","—",INDEX(CalcDocA,$M1250)),IF($N1250&lt;&gt;"",INDEX(CalcBankB,$N1250),""))</f>
        <v/>
      </c>
      <c r="E1250" s="28">
        <f>IF($N1250&lt;&gt;"",IF(INDEX(CalcDepB,$N1250)=0,"",INDEX(CalcDepB,$N1250)),"")</f>
        <v/>
      </c>
      <c r="F1250" s="28">
        <f>IF($M1250&lt;&gt;"",IF(INDEX(CalcQtyA,$M1250)=0,"",INDEX(CalcQtyA,$M1250)),"")</f>
        <v/>
      </c>
      <c r="G1250" s="28">
        <f>IF($M1250&lt;&gt;"",IF(INDEX(CalcPriceA,$M1250)=0,"",INDEX(CalcPriceA,$M1250)),"")</f>
        <v/>
      </c>
      <c r="H1250" s="28">
        <f>IF($N1250&lt;&gt;"",IF(INDEX(CalcWitB,$N1250)=0,"",INDEX(CalcWitB,$N1250)),"")</f>
        <v/>
      </c>
      <c r="I1250" s="29">
        <f>IF($M1250&lt;&gt;"",INDEX(CalcAmtA,$M1250),"")</f>
        <v/>
      </c>
      <c r="J1250" s="29">
        <f>IF($B1250="","",IF($J1249="",$C$8,$J1249)+IF($I1250="",0,$I1250)+IF($E1250="",0,$E1250)-IF($H1250="",0,$H1250))</f>
        <v/>
      </c>
      <c r="K1250" s="30">
        <f>IF($M1250&lt;&gt;"",IF(INDEX(CalcNoteA,$M1250)="","—",INDEX(CalcNoteA,$M1250)),IF($N1250&lt;&gt;"",IF(INDEX(CalcNoteB,$N1250)="","—",INDEX(CalcNoteB,$N1250)),""))</f>
        <v/>
      </c>
      <c r="M1250">
        <f>IFERROR(MATCH($C$5&amp;"|"&amp;RIGHT("000000"&amp;1234,6),CalcRankKeyA,0),"")</f>
        <v/>
      </c>
      <c r="N1250">
        <f>IFERROR(MATCH($C$5&amp;"|"&amp;RIGHT("000000"&amp;1234,6),CalcRankKeyB,0),"")</f>
        <v/>
      </c>
    </row>
    <row r="1251">
      <c r="A1251" s="21" t="n">
        <v>1235</v>
      </c>
      <c r="B1251" s="22">
        <f>IF(AND($M1251="",$N1251=""),"",IF($M1251&lt;&gt;"",INDEX(CalcDateA,$M1251),INDEX(CalcDateB,$N1251)))</f>
        <v/>
      </c>
      <c r="C1251" s="22">
        <f>IF($M1251&lt;&gt;"","خرید سبد",IF($N1251&lt;&gt;"",IF(N(INDEX(CalcDepB,$N1251))&gt;0,"دریافت بانکی","پرداخت بانکی"),""))</f>
        <v/>
      </c>
      <c r="D1251" s="22">
        <f>IF($M1251&lt;&gt;"",IF(INDEX(CalcDocA,$M1251)="","—",INDEX(CalcDocA,$M1251)),IF($N1251&lt;&gt;"",INDEX(CalcBankB,$N1251),""))</f>
        <v/>
      </c>
      <c r="E1251" s="23">
        <f>IF($N1251&lt;&gt;"",IF(INDEX(CalcDepB,$N1251)=0,"",INDEX(CalcDepB,$N1251)),"")</f>
        <v/>
      </c>
      <c r="F1251" s="23">
        <f>IF($M1251&lt;&gt;"",IF(INDEX(CalcQtyA,$M1251)=0,"",INDEX(CalcQtyA,$M1251)),"")</f>
        <v/>
      </c>
      <c r="G1251" s="23">
        <f>IF($M1251&lt;&gt;"",IF(INDEX(CalcPriceA,$M1251)=0,"",INDEX(CalcPriceA,$M1251)),"")</f>
        <v/>
      </c>
      <c r="H1251" s="23">
        <f>IF($N1251&lt;&gt;"",IF(INDEX(CalcWitB,$N1251)=0,"",INDEX(CalcWitB,$N1251)),"")</f>
        <v/>
      </c>
      <c r="I1251" s="24">
        <f>IF($M1251&lt;&gt;"",INDEX(CalcAmtA,$M1251),"")</f>
        <v/>
      </c>
      <c r="J1251" s="24">
        <f>IF($B1251="","",IF($J1250="",$C$8,$J1250)+IF($I1251="",0,$I1251)+IF($E1251="",0,$E1251)-IF($H1251="",0,$H1251))</f>
        <v/>
      </c>
      <c r="K1251" s="25">
        <f>IF($M1251&lt;&gt;"",IF(INDEX(CalcNoteA,$M1251)="","—",INDEX(CalcNoteA,$M1251)),IF($N1251&lt;&gt;"",IF(INDEX(CalcNoteB,$N1251)="","—",INDEX(CalcNoteB,$N1251)),""))</f>
        <v/>
      </c>
      <c r="M1251">
        <f>IFERROR(MATCH($C$5&amp;"|"&amp;RIGHT("000000"&amp;1235,6),CalcRankKeyA,0),"")</f>
        <v/>
      </c>
      <c r="N1251">
        <f>IFERROR(MATCH($C$5&amp;"|"&amp;RIGHT("000000"&amp;1235,6),CalcRankKeyB,0),"")</f>
        <v/>
      </c>
    </row>
    <row r="1252">
      <c r="A1252" s="26" t="n">
        <v>1236</v>
      </c>
      <c r="B1252" s="27">
        <f>IF(AND($M1252="",$N1252=""),"",IF($M1252&lt;&gt;"",INDEX(CalcDateA,$M1252),INDEX(CalcDateB,$N1252)))</f>
        <v/>
      </c>
      <c r="C1252" s="27">
        <f>IF($M1252&lt;&gt;"","خرید سبد",IF($N1252&lt;&gt;"",IF(N(INDEX(CalcDepB,$N1252))&gt;0,"دریافت بانکی","پرداخت بانکی"),""))</f>
        <v/>
      </c>
      <c r="D1252" s="27">
        <f>IF($M1252&lt;&gt;"",IF(INDEX(CalcDocA,$M1252)="","—",INDEX(CalcDocA,$M1252)),IF($N1252&lt;&gt;"",INDEX(CalcBankB,$N1252),""))</f>
        <v/>
      </c>
      <c r="E1252" s="28">
        <f>IF($N1252&lt;&gt;"",IF(INDEX(CalcDepB,$N1252)=0,"",INDEX(CalcDepB,$N1252)),"")</f>
        <v/>
      </c>
      <c r="F1252" s="28">
        <f>IF($M1252&lt;&gt;"",IF(INDEX(CalcQtyA,$M1252)=0,"",INDEX(CalcQtyA,$M1252)),"")</f>
        <v/>
      </c>
      <c r="G1252" s="28">
        <f>IF($M1252&lt;&gt;"",IF(INDEX(CalcPriceA,$M1252)=0,"",INDEX(CalcPriceA,$M1252)),"")</f>
        <v/>
      </c>
      <c r="H1252" s="28">
        <f>IF($N1252&lt;&gt;"",IF(INDEX(CalcWitB,$N1252)=0,"",INDEX(CalcWitB,$N1252)),"")</f>
        <v/>
      </c>
      <c r="I1252" s="29">
        <f>IF($M1252&lt;&gt;"",INDEX(CalcAmtA,$M1252),"")</f>
        <v/>
      </c>
      <c r="J1252" s="29">
        <f>IF($B1252="","",IF($J1251="",$C$8,$J1251)+IF($I1252="",0,$I1252)+IF($E1252="",0,$E1252)-IF($H1252="",0,$H1252))</f>
        <v/>
      </c>
      <c r="K1252" s="30">
        <f>IF($M1252&lt;&gt;"",IF(INDEX(CalcNoteA,$M1252)="","—",INDEX(CalcNoteA,$M1252)),IF($N1252&lt;&gt;"",IF(INDEX(CalcNoteB,$N1252)="","—",INDEX(CalcNoteB,$N1252)),""))</f>
        <v/>
      </c>
      <c r="M1252">
        <f>IFERROR(MATCH($C$5&amp;"|"&amp;RIGHT("000000"&amp;1236,6),CalcRankKeyA,0),"")</f>
        <v/>
      </c>
      <c r="N1252">
        <f>IFERROR(MATCH($C$5&amp;"|"&amp;RIGHT("000000"&amp;1236,6),CalcRankKeyB,0),"")</f>
        <v/>
      </c>
    </row>
    <row r="1253">
      <c r="A1253" s="21" t="n">
        <v>1237</v>
      </c>
      <c r="B1253" s="22">
        <f>IF(AND($M1253="",$N1253=""),"",IF($M1253&lt;&gt;"",INDEX(CalcDateA,$M1253),INDEX(CalcDateB,$N1253)))</f>
        <v/>
      </c>
      <c r="C1253" s="22">
        <f>IF($M1253&lt;&gt;"","خرید سبد",IF($N1253&lt;&gt;"",IF(N(INDEX(CalcDepB,$N1253))&gt;0,"دریافت بانکی","پرداخت بانکی"),""))</f>
        <v/>
      </c>
      <c r="D1253" s="22">
        <f>IF($M1253&lt;&gt;"",IF(INDEX(CalcDocA,$M1253)="","—",INDEX(CalcDocA,$M1253)),IF($N1253&lt;&gt;"",INDEX(CalcBankB,$N1253),""))</f>
        <v/>
      </c>
      <c r="E1253" s="23">
        <f>IF($N1253&lt;&gt;"",IF(INDEX(CalcDepB,$N1253)=0,"",INDEX(CalcDepB,$N1253)),"")</f>
        <v/>
      </c>
      <c r="F1253" s="23">
        <f>IF($M1253&lt;&gt;"",IF(INDEX(CalcQtyA,$M1253)=0,"",INDEX(CalcQtyA,$M1253)),"")</f>
        <v/>
      </c>
      <c r="G1253" s="23">
        <f>IF($M1253&lt;&gt;"",IF(INDEX(CalcPriceA,$M1253)=0,"",INDEX(CalcPriceA,$M1253)),"")</f>
        <v/>
      </c>
      <c r="H1253" s="23">
        <f>IF($N1253&lt;&gt;"",IF(INDEX(CalcWitB,$N1253)=0,"",INDEX(CalcWitB,$N1253)),"")</f>
        <v/>
      </c>
      <c r="I1253" s="24">
        <f>IF($M1253&lt;&gt;"",INDEX(CalcAmtA,$M1253),"")</f>
        <v/>
      </c>
      <c r="J1253" s="24">
        <f>IF($B1253="","",IF($J1252="",$C$8,$J1252)+IF($I1253="",0,$I1253)+IF($E1253="",0,$E1253)-IF($H1253="",0,$H1253))</f>
        <v/>
      </c>
      <c r="K1253" s="25">
        <f>IF($M1253&lt;&gt;"",IF(INDEX(CalcNoteA,$M1253)="","—",INDEX(CalcNoteA,$M1253)),IF($N1253&lt;&gt;"",IF(INDEX(CalcNoteB,$N1253)="","—",INDEX(CalcNoteB,$N1253)),""))</f>
        <v/>
      </c>
      <c r="M1253">
        <f>IFERROR(MATCH($C$5&amp;"|"&amp;RIGHT("000000"&amp;1237,6),CalcRankKeyA,0),"")</f>
        <v/>
      </c>
      <c r="N1253">
        <f>IFERROR(MATCH($C$5&amp;"|"&amp;RIGHT("000000"&amp;1237,6),CalcRankKeyB,0),"")</f>
        <v/>
      </c>
    </row>
    <row r="1254">
      <c r="A1254" s="26" t="n">
        <v>1238</v>
      </c>
      <c r="B1254" s="27">
        <f>IF(AND($M1254="",$N1254=""),"",IF($M1254&lt;&gt;"",INDEX(CalcDateA,$M1254),INDEX(CalcDateB,$N1254)))</f>
        <v/>
      </c>
      <c r="C1254" s="27">
        <f>IF($M1254&lt;&gt;"","خرید سبد",IF($N1254&lt;&gt;"",IF(N(INDEX(CalcDepB,$N1254))&gt;0,"دریافت بانکی","پرداخت بانکی"),""))</f>
        <v/>
      </c>
      <c r="D1254" s="27">
        <f>IF($M1254&lt;&gt;"",IF(INDEX(CalcDocA,$M1254)="","—",INDEX(CalcDocA,$M1254)),IF($N1254&lt;&gt;"",INDEX(CalcBankB,$N1254),""))</f>
        <v/>
      </c>
      <c r="E1254" s="28">
        <f>IF($N1254&lt;&gt;"",IF(INDEX(CalcDepB,$N1254)=0,"",INDEX(CalcDepB,$N1254)),"")</f>
        <v/>
      </c>
      <c r="F1254" s="28">
        <f>IF($M1254&lt;&gt;"",IF(INDEX(CalcQtyA,$M1254)=0,"",INDEX(CalcQtyA,$M1254)),"")</f>
        <v/>
      </c>
      <c r="G1254" s="28">
        <f>IF($M1254&lt;&gt;"",IF(INDEX(CalcPriceA,$M1254)=0,"",INDEX(CalcPriceA,$M1254)),"")</f>
        <v/>
      </c>
      <c r="H1254" s="28">
        <f>IF($N1254&lt;&gt;"",IF(INDEX(CalcWitB,$N1254)=0,"",INDEX(CalcWitB,$N1254)),"")</f>
        <v/>
      </c>
      <c r="I1254" s="29">
        <f>IF($M1254&lt;&gt;"",INDEX(CalcAmtA,$M1254),"")</f>
        <v/>
      </c>
      <c r="J1254" s="29">
        <f>IF($B1254="","",IF($J1253="",$C$8,$J1253)+IF($I1254="",0,$I1254)+IF($E1254="",0,$E1254)-IF($H1254="",0,$H1254))</f>
        <v/>
      </c>
      <c r="K1254" s="30">
        <f>IF($M1254&lt;&gt;"",IF(INDEX(CalcNoteA,$M1254)="","—",INDEX(CalcNoteA,$M1254)),IF($N1254&lt;&gt;"",IF(INDEX(CalcNoteB,$N1254)="","—",INDEX(CalcNoteB,$N1254)),""))</f>
        <v/>
      </c>
      <c r="M1254">
        <f>IFERROR(MATCH($C$5&amp;"|"&amp;RIGHT("000000"&amp;1238,6),CalcRankKeyA,0),"")</f>
        <v/>
      </c>
      <c r="N1254">
        <f>IFERROR(MATCH($C$5&amp;"|"&amp;RIGHT("000000"&amp;1238,6),CalcRankKeyB,0),"")</f>
        <v/>
      </c>
    </row>
    <row r="1255">
      <c r="A1255" s="21" t="n">
        <v>1239</v>
      </c>
      <c r="B1255" s="22">
        <f>IF(AND($M1255="",$N1255=""),"",IF($M1255&lt;&gt;"",INDEX(CalcDateA,$M1255),INDEX(CalcDateB,$N1255)))</f>
        <v/>
      </c>
      <c r="C1255" s="22">
        <f>IF($M1255&lt;&gt;"","خرید سبد",IF($N1255&lt;&gt;"",IF(N(INDEX(CalcDepB,$N1255))&gt;0,"دریافت بانکی","پرداخت بانکی"),""))</f>
        <v/>
      </c>
      <c r="D1255" s="22">
        <f>IF($M1255&lt;&gt;"",IF(INDEX(CalcDocA,$M1255)="","—",INDEX(CalcDocA,$M1255)),IF($N1255&lt;&gt;"",INDEX(CalcBankB,$N1255),""))</f>
        <v/>
      </c>
      <c r="E1255" s="23">
        <f>IF($N1255&lt;&gt;"",IF(INDEX(CalcDepB,$N1255)=0,"",INDEX(CalcDepB,$N1255)),"")</f>
        <v/>
      </c>
      <c r="F1255" s="23">
        <f>IF($M1255&lt;&gt;"",IF(INDEX(CalcQtyA,$M1255)=0,"",INDEX(CalcQtyA,$M1255)),"")</f>
        <v/>
      </c>
      <c r="G1255" s="23">
        <f>IF($M1255&lt;&gt;"",IF(INDEX(CalcPriceA,$M1255)=0,"",INDEX(CalcPriceA,$M1255)),"")</f>
        <v/>
      </c>
      <c r="H1255" s="23">
        <f>IF($N1255&lt;&gt;"",IF(INDEX(CalcWitB,$N1255)=0,"",INDEX(CalcWitB,$N1255)),"")</f>
        <v/>
      </c>
      <c r="I1255" s="24">
        <f>IF($M1255&lt;&gt;"",INDEX(CalcAmtA,$M1255),"")</f>
        <v/>
      </c>
      <c r="J1255" s="24">
        <f>IF($B1255="","",IF($J1254="",$C$8,$J1254)+IF($I1255="",0,$I1255)+IF($E1255="",0,$E1255)-IF($H1255="",0,$H1255))</f>
        <v/>
      </c>
      <c r="K1255" s="25">
        <f>IF($M1255&lt;&gt;"",IF(INDEX(CalcNoteA,$M1255)="","—",INDEX(CalcNoteA,$M1255)),IF($N1255&lt;&gt;"",IF(INDEX(CalcNoteB,$N1255)="","—",INDEX(CalcNoteB,$N1255)),""))</f>
        <v/>
      </c>
      <c r="M1255">
        <f>IFERROR(MATCH($C$5&amp;"|"&amp;RIGHT("000000"&amp;1239,6),CalcRankKeyA,0),"")</f>
        <v/>
      </c>
      <c r="N1255">
        <f>IFERROR(MATCH($C$5&amp;"|"&amp;RIGHT("000000"&amp;1239,6),CalcRankKeyB,0),"")</f>
        <v/>
      </c>
    </row>
    <row r="1256">
      <c r="A1256" s="26" t="n">
        <v>1240</v>
      </c>
      <c r="B1256" s="27">
        <f>IF(AND($M1256="",$N1256=""),"",IF($M1256&lt;&gt;"",INDEX(CalcDateA,$M1256),INDEX(CalcDateB,$N1256)))</f>
        <v/>
      </c>
      <c r="C1256" s="27">
        <f>IF($M1256&lt;&gt;"","خرید سبد",IF($N1256&lt;&gt;"",IF(N(INDEX(CalcDepB,$N1256))&gt;0,"دریافت بانکی","پرداخت بانکی"),""))</f>
        <v/>
      </c>
      <c r="D1256" s="27">
        <f>IF($M1256&lt;&gt;"",IF(INDEX(CalcDocA,$M1256)="","—",INDEX(CalcDocA,$M1256)),IF($N1256&lt;&gt;"",INDEX(CalcBankB,$N1256),""))</f>
        <v/>
      </c>
      <c r="E1256" s="28">
        <f>IF($N1256&lt;&gt;"",IF(INDEX(CalcDepB,$N1256)=0,"",INDEX(CalcDepB,$N1256)),"")</f>
        <v/>
      </c>
      <c r="F1256" s="28">
        <f>IF($M1256&lt;&gt;"",IF(INDEX(CalcQtyA,$M1256)=0,"",INDEX(CalcQtyA,$M1256)),"")</f>
        <v/>
      </c>
      <c r="G1256" s="28">
        <f>IF($M1256&lt;&gt;"",IF(INDEX(CalcPriceA,$M1256)=0,"",INDEX(CalcPriceA,$M1256)),"")</f>
        <v/>
      </c>
      <c r="H1256" s="28">
        <f>IF($N1256&lt;&gt;"",IF(INDEX(CalcWitB,$N1256)=0,"",INDEX(CalcWitB,$N1256)),"")</f>
        <v/>
      </c>
      <c r="I1256" s="29">
        <f>IF($M1256&lt;&gt;"",INDEX(CalcAmtA,$M1256),"")</f>
        <v/>
      </c>
      <c r="J1256" s="29">
        <f>IF($B1256="","",IF($J1255="",$C$8,$J1255)+IF($I1256="",0,$I1256)+IF($E1256="",0,$E1256)-IF($H1256="",0,$H1256))</f>
        <v/>
      </c>
      <c r="K1256" s="30">
        <f>IF($M1256&lt;&gt;"",IF(INDEX(CalcNoteA,$M1256)="","—",INDEX(CalcNoteA,$M1256)),IF($N1256&lt;&gt;"",IF(INDEX(CalcNoteB,$N1256)="","—",INDEX(CalcNoteB,$N1256)),""))</f>
        <v/>
      </c>
      <c r="M1256">
        <f>IFERROR(MATCH($C$5&amp;"|"&amp;RIGHT("000000"&amp;1240,6),CalcRankKeyA,0),"")</f>
        <v/>
      </c>
      <c r="N1256">
        <f>IFERROR(MATCH($C$5&amp;"|"&amp;RIGHT("000000"&amp;1240,6),CalcRankKeyB,0),"")</f>
        <v/>
      </c>
    </row>
    <row r="1257">
      <c r="A1257" s="21" t="n">
        <v>1241</v>
      </c>
      <c r="B1257" s="22">
        <f>IF(AND($M1257="",$N1257=""),"",IF($M1257&lt;&gt;"",INDEX(CalcDateA,$M1257),INDEX(CalcDateB,$N1257)))</f>
        <v/>
      </c>
      <c r="C1257" s="22">
        <f>IF($M1257&lt;&gt;"","خرید سبد",IF($N1257&lt;&gt;"",IF(N(INDEX(CalcDepB,$N1257))&gt;0,"دریافت بانکی","پرداخت بانکی"),""))</f>
        <v/>
      </c>
      <c r="D1257" s="22">
        <f>IF($M1257&lt;&gt;"",IF(INDEX(CalcDocA,$M1257)="","—",INDEX(CalcDocA,$M1257)),IF($N1257&lt;&gt;"",INDEX(CalcBankB,$N1257),""))</f>
        <v/>
      </c>
      <c r="E1257" s="23">
        <f>IF($N1257&lt;&gt;"",IF(INDEX(CalcDepB,$N1257)=0,"",INDEX(CalcDepB,$N1257)),"")</f>
        <v/>
      </c>
      <c r="F1257" s="23">
        <f>IF($M1257&lt;&gt;"",IF(INDEX(CalcQtyA,$M1257)=0,"",INDEX(CalcQtyA,$M1257)),"")</f>
        <v/>
      </c>
      <c r="G1257" s="23">
        <f>IF($M1257&lt;&gt;"",IF(INDEX(CalcPriceA,$M1257)=0,"",INDEX(CalcPriceA,$M1257)),"")</f>
        <v/>
      </c>
      <c r="H1257" s="23">
        <f>IF($N1257&lt;&gt;"",IF(INDEX(CalcWitB,$N1257)=0,"",INDEX(CalcWitB,$N1257)),"")</f>
        <v/>
      </c>
      <c r="I1257" s="24">
        <f>IF($M1257&lt;&gt;"",INDEX(CalcAmtA,$M1257),"")</f>
        <v/>
      </c>
      <c r="J1257" s="24">
        <f>IF($B1257="","",IF($J1256="",$C$8,$J1256)+IF($I1257="",0,$I1257)+IF($E1257="",0,$E1257)-IF($H1257="",0,$H1257))</f>
        <v/>
      </c>
      <c r="K1257" s="25">
        <f>IF($M1257&lt;&gt;"",IF(INDEX(CalcNoteA,$M1257)="","—",INDEX(CalcNoteA,$M1257)),IF($N1257&lt;&gt;"",IF(INDEX(CalcNoteB,$N1257)="","—",INDEX(CalcNoteB,$N1257)),""))</f>
        <v/>
      </c>
      <c r="M1257">
        <f>IFERROR(MATCH($C$5&amp;"|"&amp;RIGHT("000000"&amp;1241,6),CalcRankKeyA,0),"")</f>
        <v/>
      </c>
      <c r="N1257">
        <f>IFERROR(MATCH($C$5&amp;"|"&amp;RIGHT("000000"&amp;1241,6),CalcRankKeyB,0),"")</f>
        <v/>
      </c>
    </row>
    <row r="1258">
      <c r="A1258" s="26" t="n">
        <v>1242</v>
      </c>
      <c r="B1258" s="27">
        <f>IF(AND($M1258="",$N1258=""),"",IF($M1258&lt;&gt;"",INDEX(CalcDateA,$M1258),INDEX(CalcDateB,$N1258)))</f>
        <v/>
      </c>
      <c r="C1258" s="27">
        <f>IF($M1258&lt;&gt;"","خرید سبد",IF($N1258&lt;&gt;"",IF(N(INDEX(CalcDepB,$N1258))&gt;0,"دریافت بانکی","پرداخت بانکی"),""))</f>
        <v/>
      </c>
      <c r="D1258" s="27">
        <f>IF($M1258&lt;&gt;"",IF(INDEX(CalcDocA,$M1258)="","—",INDEX(CalcDocA,$M1258)),IF($N1258&lt;&gt;"",INDEX(CalcBankB,$N1258),""))</f>
        <v/>
      </c>
      <c r="E1258" s="28">
        <f>IF($N1258&lt;&gt;"",IF(INDEX(CalcDepB,$N1258)=0,"",INDEX(CalcDepB,$N1258)),"")</f>
        <v/>
      </c>
      <c r="F1258" s="28">
        <f>IF($M1258&lt;&gt;"",IF(INDEX(CalcQtyA,$M1258)=0,"",INDEX(CalcQtyA,$M1258)),"")</f>
        <v/>
      </c>
      <c r="G1258" s="28">
        <f>IF($M1258&lt;&gt;"",IF(INDEX(CalcPriceA,$M1258)=0,"",INDEX(CalcPriceA,$M1258)),"")</f>
        <v/>
      </c>
      <c r="H1258" s="28">
        <f>IF($N1258&lt;&gt;"",IF(INDEX(CalcWitB,$N1258)=0,"",INDEX(CalcWitB,$N1258)),"")</f>
        <v/>
      </c>
      <c r="I1258" s="29">
        <f>IF($M1258&lt;&gt;"",INDEX(CalcAmtA,$M1258),"")</f>
        <v/>
      </c>
      <c r="J1258" s="29">
        <f>IF($B1258="","",IF($J1257="",$C$8,$J1257)+IF($I1258="",0,$I1258)+IF($E1258="",0,$E1258)-IF($H1258="",0,$H1258))</f>
        <v/>
      </c>
      <c r="K1258" s="30">
        <f>IF($M1258&lt;&gt;"",IF(INDEX(CalcNoteA,$M1258)="","—",INDEX(CalcNoteA,$M1258)),IF($N1258&lt;&gt;"",IF(INDEX(CalcNoteB,$N1258)="","—",INDEX(CalcNoteB,$N1258)),""))</f>
        <v/>
      </c>
      <c r="M1258">
        <f>IFERROR(MATCH($C$5&amp;"|"&amp;RIGHT("000000"&amp;1242,6),CalcRankKeyA,0),"")</f>
        <v/>
      </c>
      <c r="N1258">
        <f>IFERROR(MATCH($C$5&amp;"|"&amp;RIGHT("000000"&amp;1242,6),CalcRankKeyB,0),"")</f>
        <v/>
      </c>
    </row>
    <row r="1259">
      <c r="A1259" s="21" t="n">
        <v>1243</v>
      </c>
      <c r="B1259" s="22">
        <f>IF(AND($M1259="",$N1259=""),"",IF($M1259&lt;&gt;"",INDEX(CalcDateA,$M1259),INDEX(CalcDateB,$N1259)))</f>
        <v/>
      </c>
      <c r="C1259" s="22">
        <f>IF($M1259&lt;&gt;"","خرید سبد",IF($N1259&lt;&gt;"",IF(N(INDEX(CalcDepB,$N1259))&gt;0,"دریافت بانکی","پرداخت بانکی"),""))</f>
        <v/>
      </c>
      <c r="D1259" s="22">
        <f>IF($M1259&lt;&gt;"",IF(INDEX(CalcDocA,$M1259)="","—",INDEX(CalcDocA,$M1259)),IF($N1259&lt;&gt;"",INDEX(CalcBankB,$N1259),""))</f>
        <v/>
      </c>
      <c r="E1259" s="23">
        <f>IF($N1259&lt;&gt;"",IF(INDEX(CalcDepB,$N1259)=0,"",INDEX(CalcDepB,$N1259)),"")</f>
        <v/>
      </c>
      <c r="F1259" s="23">
        <f>IF($M1259&lt;&gt;"",IF(INDEX(CalcQtyA,$M1259)=0,"",INDEX(CalcQtyA,$M1259)),"")</f>
        <v/>
      </c>
      <c r="G1259" s="23">
        <f>IF($M1259&lt;&gt;"",IF(INDEX(CalcPriceA,$M1259)=0,"",INDEX(CalcPriceA,$M1259)),"")</f>
        <v/>
      </c>
      <c r="H1259" s="23">
        <f>IF($N1259&lt;&gt;"",IF(INDEX(CalcWitB,$N1259)=0,"",INDEX(CalcWitB,$N1259)),"")</f>
        <v/>
      </c>
      <c r="I1259" s="24">
        <f>IF($M1259&lt;&gt;"",INDEX(CalcAmtA,$M1259),"")</f>
        <v/>
      </c>
      <c r="J1259" s="24">
        <f>IF($B1259="","",IF($J1258="",$C$8,$J1258)+IF($I1259="",0,$I1259)+IF($E1259="",0,$E1259)-IF($H1259="",0,$H1259))</f>
        <v/>
      </c>
      <c r="K1259" s="25">
        <f>IF($M1259&lt;&gt;"",IF(INDEX(CalcNoteA,$M1259)="","—",INDEX(CalcNoteA,$M1259)),IF($N1259&lt;&gt;"",IF(INDEX(CalcNoteB,$N1259)="","—",INDEX(CalcNoteB,$N1259)),""))</f>
        <v/>
      </c>
      <c r="M1259">
        <f>IFERROR(MATCH($C$5&amp;"|"&amp;RIGHT("000000"&amp;1243,6),CalcRankKeyA,0),"")</f>
        <v/>
      </c>
      <c r="N1259">
        <f>IFERROR(MATCH($C$5&amp;"|"&amp;RIGHT("000000"&amp;1243,6),CalcRankKeyB,0),"")</f>
        <v/>
      </c>
    </row>
    <row r="1260">
      <c r="A1260" s="26" t="n">
        <v>1244</v>
      </c>
      <c r="B1260" s="27">
        <f>IF(AND($M1260="",$N1260=""),"",IF($M1260&lt;&gt;"",INDEX(CalcDateA,$M1260),INDEX(CalcDateB,$N1260)))</f>
        <v/>
      </c>
      <c r="C1260" s="27">
        <f>IF($M1260&lt;&gt;"","خرید سبد",IF($N1260&lt;&gt;"",IF(N(INDEX(CalcDepB,$N1260))&gt;0,"دریافت بانکی","پرداخت بانکی"),""))</f>
        <v/>
      </c>
      <c r="D1260" s="27">
        <f>IF($M1260&lt;&gt;"",IF(INDEX(CalcDocA,$M1260)="","—",INDEX(CalcDocA,$M1260)),IF($N1260&lt;&gt;"",INDEX(CalcBankB,$N1260),""))</f>
        <v/>
      </c>
      <c r="E1260" s="28">
        <f>IF($N1260&lt;&gt;"",IF(INDEX(CalcDepB,$N1260)=0,"",INDEX(CalcDepB,$N1260)),"")</f>
        <v/>
      </c>
      <c r="F1260" s="28">
        <f>IF($M1260&lt;&gt;"",IF(INDEX(CalcQtyA,$M1260)=0,"",INDEX(CalcQtyA,$M1260)),"")</f>
        <v/>
      </c>
      <c r="G1260" s="28">
        <f>IF($M1260&lt;&gt;"",IF(INDEX(CalcPriceA,$M1260)=0,"",INDEX(CalcPriceA,$M1260)),"")</f>
        <v/>
      </c>
      <c r="H1260" s="28">
        <f>IF($N1260&lt;&gt;"",IF(INDEX(CalcWitB,$N1260)=0,"",INDEX(CalcWitB,$N1260)),"")</f>
        <v/>
      </c>
      <c r="I1260" s="29">
        <f>IF($M1260&lt;&gt;"",INDEX(CalcAmtA,$M1260),"")</f>
        <v/>
      </c>
      <c r="J1260" s="29">
        <f>IF($B1260="","",IF($J1259="",$C$8,$J1259)+IF($I1260="",0,$I1260)+IF($E1260="",0,$E1260)-IF($H1260="",0,$H1260))</f>
        <v/>
      </c>
      <c r="K1260" s="30">
        <f>IF($M1260&lt;&gt;"",IF(INDEX(CalcNoteA,$M1260)="","—",INDEX(CalcNoteA,$M1260)),IF($N1260&lt;&gt;"",IF(INDEX(CalcNoteB,$N1260)="","—",INDEX(CalcNoteB,$N1260)),""))</f>
        <v/>
      </c>
      <c r="M1260">
        <f>IFERROR(MATCH($C$5&amp;"|"&amp;RIGHT("000000"&amp;1244,6),CalcRankKeyA,0),"")</f>
        <v/>
      </c>
      <c r="N1260">
        <f>IFERROR(MATCH($C$5&amp;"|"&amp;RIGHT("000000"&amp;1244,6),CalcRankKeyB,0),"")</f>
        <v/>
      </c>
    </row>
    <row r="1261">
      <c r="A1261" s="21" t="n">
        <v>1245</v>
      </c>
      <c r="B1261" s="22">
        <f>IF(AND($M1261="",$N1261=""),"",IF($M1261&lt;&gt;"",INDEX(CalcDateA,$M1261),INDEX(CalcDateB,$N1261)))</f>
        <v/>
      </c>
      <c r="C1261" s="22">
        <f>IF($M1261&lt;&gt;"","خرید سبد",IF($N1261&lt;&gt;"",IF(N(INDEX(CalcDepB,$N1261))&gt;0,"دریافت بانکی","پرداخت بانکی"),""))</f>
        <v/>
      </c>
      <c r="D1261" s="22">
        <f>IF($M1261&lt;&gt;"",IF(INDEX(CalcDocA,$M1261)="","—",INDEX(CalcDocA,$M1261)),IF($N1261&lt;&gt;"",INDEX(CalcBankB,$N1261),""))</f>
        <v/>
      </c>
      <c r="E1261" s="23">
        <f>IF($N1261&lt;&gt;"",IF(INDEX(CalcDepB,$N1261)=0,"",INDEX(CalcDepB,$N1261)),"")</f>
        <v/>
      </c>
      <c r="F1261" s="23">
        <f>IF($M1261&lt;&gt;"",IF(INDEX(CalcQtyA,$M1261)=0,"",INDEX(CalcQtyA,$M1261)),"")</f>
        <v/>
      </c>
      <c r="G1261" s="23">
        <f>IF($M1261&lt;&gt;"",IF(INDEX(CalcPriceA,$M1261)=0,"",INDEX(CalcPriceA,$M1261)),"")</f>
        <v/>
      </c>
      <c r="H1261" s="23">
        <f>IF($N1261&lt;&gt;"",IF(INDEX(CalcWitB,$N1261)=0,"",INDEX(CalcWitB,$N1261)),"")</f>
        <v/>
      </c>
      <c r="I1261" s="24">
        <f>IF($M1261&lt;&gt;"",INDEX(CalcAmtA,$M1261),"")</f>
        <v/>
      </c>
      <c r="J1261" s="24">
        <f>IF($B1261="","",IF($J1260="",$C$8,$J1260)+IF($I1261="",0,$I1261)+IF($E1261="",0,$E1261)-IF($H1261="",0,$H1261))</f>
        <v/>
      </c>
      <c r="K1261" s="25">
        <f>IF($M1261&lt;&gt;"",IF(INDEX(CalcNoteA,$M1261)="","—",INDEX(CalcNoteA,$M1261)),IF($N1261&lt;&gt;"",IF(INDEX(CalcNoteB,$N1261)="","—",INDEX(CalcNoteB,$N1261)),""))</f>
        <v/>
      </c>
      <c r="M1261">
        <f>IFERROR(MATCH($C$5&amp;"|"&amp;RIGHT("000000"&amp;1245,6),CalcRankKeyA,0),"")</f>
        <v/>
      </c>
      <c r="N1261">
        <f>IFERROR(MATCH($C$5&amp;"|"&amp;RIGHT("000000"&amp;1245,6),CalcRankKeyB,0),"")</f>
        <v/>
      </c>
    </row>
    <row r="1262">
      <c r="A1262" s="26" t="n">
        <v>1246</v>
      </c>
      <c r="B1262" s="27">
        <f>IF(AND($M1262="",$N1262=""),"",IF($M1262&lt;&gt;"",INDEX(CalcDateA,$M1262),INDEX(CalcDateB,$N1262)))</f>
        <v/>
      </c>
      <c r="C1262" s="27">
        <f>IF($M1262&lt;&gt;"","خرید سبد",IF($N1262&lt;&gt;"",IF(N(INDEX(CalcDepB,$N1262))&gt;0,"دریافت بانکی","پرداخت بانکی"),""))</f>
        <v/>
      </c>
      <c r="D1262" s="27">
        <f>IF($M1262&lt;&gt;"",IF(INDEX(CalcDocA,$M1262)="","—",INDEX(CalcDocA,$M1262)),IF($N1262&lt;&gt;"",INDEX(CalcBankB,$N1262),""))</f>
        <v/>
      </c>
      <c r="E1262" s="28">
        <f>IF($N1262&lt;&gt;"",IF(INDEX(CalcDepB,$N1262)=0,"",INDEX(CalcDepB,$N1262)),"")</f>
        <v/>
      </c>
      <c r="F1262" s="28">
        <f>IF($M1262&lt;&gt;"",IF(INDEX(CalcQtyA,$M1262)=0,"",INDEX(CalcQtyA,$M1262)),"")</f>
        <v/>
      </c>
      <c r="G1262" s="28">
        <f>IF($M1262&lt;&gt;"",IF(INDEX(CalcPriceA,$M1262)=0,"",INDEX(CalcPriceA,$M1262)),"")</f>
        <v/>
      </c>
      <c r="H1262" s="28">
        <f>IF($N1262&lt;&gt;"",IF(INDEX(CalcWitB,$N1262)=0,"",INDEX(CalcWitB,$N1262)),"")</f>
        <v/>
      </c>
      <c r="I1262" s="29">
        <f>IF($M1262&lt;&gt;"",INDEX(CalcAmtA,$M1262),"")</f>
        <v/>
      </c>
      <c r="J1262" s="29">
        <f>IF($B1262="","",IF($J1261="",$C$8,$J1261)+IF($I1262="",0,$I1262)+IF($E1262="",0,$E1262)-IF($H1262="",0,$H1262))</f>
        <v/>
      </c>
      <c r="K1262" s="30">
        <f>IF($M1262&lt;&gt;"",IF(INDEX(CalcNoteA,$M1262)="","—",INDEX(CalcNoteA,$M1262)),IF($N1262&lt;&gt;"",IF(INDEX(CalcNoteB,$N1262)="","—",INDEX(CalcNoteB,$N1262)),""))</f>
        <v/>
      </c>
      <c r="M1262">
        <f>IFERROR(MATCH($C$5&amp;"|"&amp;RIGHT("000000"&amp;1246,6),CalcRankKeyA,0),"")</f>
        <v/>
      </c>
      <c r="N1262">
        <f>IFERROR(MATCH($C$5&amp;"|"&amp;RIGHT("000000"&amp;1246,6),CalcRankKeyB,0),"")</f>
        <v/>
      </c>
    </row>
    <row r="1263">
      <c r="A1263" s="21" t="n">
        <v>1247</v>
      </c>
      <c r="B1263" s="22">
        <f>IF(AND($M1263="",$N1263=""),"",IF($M1263&lt;&gt;"",INDEX(CalcDateA,$M1263),INDEX(CalcDateB,$N1263)))</f>
        <v/>
      </c>
      <c r="C1263" s="22">
        <f>IF($M1263&lt;&gt;"","خرید سبد",IF($N1263&lt;&gt;"",IF(N(INDEX(CalcDepB,$N1263))&gt;0,"دریافت بانکی","پرداخت بانکی"),""))</f>
        <v/>
      </c>
      <c r="D1263" s="22">
        <f>IF($M1263&lt;&gt;"",IF(INDEX(CalcDocA,$M1263)="","—",INDEX(CalcDocA,$M1263)),IF($N1263&lt;&gt;"",INDEX(CalcBankB,$N1263),""))</f>
        <v/>
      </c>
      <c r="E1263" s="23">
        <f>IF($N1263&lt;&gt;"",IF(INDEX(CalcDepB,$N1263)=0,"",INDEX(CalcDepB,$N1263)),"")</f>
        <v/>
      </c>
      <c r="F1263" s="23">
        <f>IF($M1263&lt;&gt;"",IF(INDEX(CalcQtyA,$M1263)=0,"",INDEX(CalcQtyA,$M1263)),"")</f>
        <v/>
      </c>
      <c r="G1263" s="23">
        <f>IF($M1263&lt;&gt;"",IF(INDEX(CalcPriceA,$M1263)=0,"",INDEX(CalcPriceA,$M1263)),"")</f>
        <v/>
      </c>
      <c r="H1263" s="23">
        <f>IF($N1263&lt;&gt;"",IF(INDEX(CalcWitB,$N1263)=0,"",INDEX(CalcWitB,$N1263)),"")</f>
        <v/>
      </c>
      <c r="I1263" s="24">
        <f>IF($M1263&lt;&gt;"",INDEX(CalcAmtA,$M1263),"")</f>
        <v/>
      </c>
      <c r="J1263" s="24">
        <f>IF($B1263="","",IF($J1262="",$C$8,$J1262)+IF($I1263="",0,$I1263)+IF($E1263="",0,$E1263)-IF($H1263="",0,$H1263))</f>
        <v/>
      </c>
      <c r="K1263" s="25">
        <f>IF($M1263&lt;&gt;"",IF(INDEX(CalcNoteA,$M1263)="","—",INDEX(CalcNoteA,$M1263)),IF($N1263&lt;&gt;"",IF(INDEX(CalcNoteB,$N1263)="","—",INDEX(CalcNoteB,$N1263)),""))</f>
        <v/>
      </c>
      <c r="M1263">
        <f>IFERROR(MATCH($C$5&amp;"|"&amp;RIGHT("000000"&amp;1247,6),CalcRankKeyA,0),"")</f>
        <v/>
      </c>
      <c r="N1263">
        <f>IFERROR(MATCH($C$5&amp;"|"&amp;RIGHT("000000"&amp;1247,6),CalcRankKeyB,0),"")</f>
        <v/>
      </c>
    </row>
    <row r="1264">
      <c r="A1264" s="26" t="n">
        <v>1248</v>
      </c>
      <c r="B1264" s="27">
        <f>IF(AND($M1264="",$N1264=""),"",IF($M1264&lt;&gt;"",INDEX(CalcDateA,$M1264),INDEX(CalcDateB,$N1264)))</f>
        <v/>
      </c>
      <c r="C1264" s="27">
        <f>IF($M1264&lt;&gt;"","خرید سبد",IF($N1264&lt;&gt;"",IF(N(INDEX(CalcDepB,$N1264))&gt;0,"دریافت بانکی","پرداخت بانکی"),""))</f>
        <v/>
      </c>
      <c r="D1264" s="27">
        <f>IF($M1264&lt;&gt;"",IF(INDEX(CalcDocA,$M1264)="","—",INDEX(CalcDocA,$M1264)),IF($N1264&lt;&gt;"",INDEX(CalcBankB,$N1264),""))</f>
        <v/>
      </c>
      <c r="E1264" s="28">
        <f>IF($N1264&lt;&gt;"",IF(INDEX(CalcDepB,$N1264)=0,"",INDEX(CalcDepB,$N1264)),"")</f>
        <v/>
      </c>
      <c r="F1264" s="28">
        <f>IF($M1264&lt;&gt;"",IF(INDEX(CalcQtyA,$M1264)=0,"",INDEX(CalcQtyA,$M1264)),"")</f>
        <v/>
      </c>
      <c r="G1264" s="28">
        <f>IF($M1264&lt;&gt;"",IF(INDEX(CalcPriceA,$M1264)=0,"",INDEX(CalcPriceA,$M1264)),"")</f>
        <v/>
      </c>
      <c r="H1264" s="28">
        <f>IF($N1264&lt;&gt;"",IF(INDEX(CalcWitB,$N1264)=0,"",INDEX(CalcWitB,$N1264)),"")</f>
        <v/>
      </c>
      <c r="I1264" s="29">
        <f>IF($M1264&lt;&gt;"",INDEX(CalcAmtA,$M1264),"")</f>
        <v/>
      </c>
      <c r="J1264" s="29">
        <f>IF($B1264="","",IF($J1263="",$C$8,$J1263)+IF($I1264="",0,$I1264)+IF($E1264="",0,$E1264)-IF($H1264="",0,$H1264))</f>
        <v/>
      </c>
      <c r="K1264" s="30">
        <f>IF($M1264&lt;&gt;"",IF(INDEX(CalcNoteA,$M1264)="","—",INDEX(CalcNoteA,$M1264)),IF($N1264&lt;&gt;"",IF(INDEX(CalcNoteB,$N1264)="","—",INDEX(CalcNoteB,$N1264)),""))</f>
        <v/>
      </c>
      <c r="M1264">
        <f>IFERROR(MATCH($C$5&amp;"|"&amp;RIGHT("000000"&amp;1248,6),CalcRankKeyA,0),"")</f>
        <v/>
      </c>
      <c r="N1264">
        <f>IFERROR(MATCH($C$5&amp;"|"&amp;RIGHT("000000"&amp;1248,6),CalcRankKeyB,0),"")</f>
        <v/>
      </c>
    </row>
    <row r="1265">
      <c r="A1265" s="21" t="n">
        <v>1249</v>
      </c>
      <c r="B1265" s="22">
        <f>IF(AND($M1265="",$N1265=""),"",IF($M1265&lt;&gt;"",INDEX(CalcDateA,$M1265),INDEX(CalcDateB,$N1265)))</f>
        <v/>
      </c>
      <c r="C1265" s="22">
        <f>IF($M1265&lt;&gt;"","خرید سبد",IF($N1265&lt;&gt;"",IF(N(INDEX(CalcDepB,$N1265))&gt;0,"دریافت بانکی","پرداخت بانکی"),""))</f>
        <v/>
      </c>
      <c r="D1265" s="22">
        <f>IF($M1265&lt;&gt;"",IF(INDEX(CalcDocA,$M1265)="","—",INDEX(CalcDocA,$M1265)),IF($N1265&lt;&gt;"",INDEX(CalcBankB,$N1265),""))</f>
        <v/>
      </c>
      <c r="E1265" s="23">
        <f>IF($N1265&lt;&gt;"",IF(INDEX(CalcDepB,$N1265)=0,"",INDEX(CalcDepB,$N1265)),"")</f>
        <v/>
      </c>
      <c r="F1265" s="23">
        <f>IF($M1265&lt;&gt;"",IF(INDEX(CalcQtyA,$M1265)=0,"",INDEX(CalcQtyA,$M1265)),"")</f>
        <v/>
      </c>
      <c r="G1265" s="23">
        <f>IF($M1265&lt;&gt;"",IF(INDEX(CalcPriceA,$M1265)=0,"",INDEX(CalcPriceA,$M1265)),"")</f>
        <v/>
      </c>
      <c r="H1265" s="23">
        <f>IF($N1265&lt;&gt;"",IF(INDEX(CalcWitB,$N1265)=0,"",INDEX(CalcWitB,$N1265)),"")</f>
        <v/>
      </c>
      <c r="I1265" s="24">
        <f>IF($M1265&lt;&gt;"",INDEX(CalcAmtA,$M1265),"")</f>
        <v/>
      </c>
      <c r="J1265" s="24">
        <f>IF($B1265="","",IF($J1264="",$C$8,$J1264)+IF($I1265="",0,$I1265)+IF($E1265="",0,$E1265)-IF($H1265="",0,$H1265))</f>
        <v/>
      </c>
      <c r="K1265" s="25">
        <f>IF($M1265&lt;&gt;"",IF(INDEX(CalcNoteA,$M1265)="","—",INDEX(CalcNoteA,$M1265)),IF($N1265&lt;&gt;"",IF(INDEX(CalcNoteB,$N1265)="","—",INDEX(CalcNoteB,$N1265)),""))</f>
        <v/>
      </c>
      <c r="M1265">
        <f>IFERROR(MATCH($C$5&amp;"|"&amp;RIGHT("000000"&amp;1249,6),CalcRankKeyA,0),"")</f>
        <v/>
      </c>
      <c r="N1265">
        <f>IFERROR(MATCH($C$5&amp;"|"&amp;RIGHT("000000"&amp;1249,6),CalcRankKeyB,0),"")</f>
        <v/>
      </c>
    </row>
    <row r="1266">
      <c r="A1266" s="26" t="n">
        <v>1250</v>
      </c>
      <c r="B1266" s="27">
        <f>IF(AND($M1266="",$N1266=""),"",IF($M1266&lt;&gt;"",INDEX(CalcDateA,$M1266),INDEX(CalcDateB,$N1266)))</f>
        <v/>
      </c>
      <c r="C1266" s="27">
        <f>IF($M1266&lt;&gt;"","خرید سبد",IF($N1266&lt;&gt;"",IF(N(INDEX(CalcDepB,$N1266))&gt;0,"دریافت بانکی","پرداخت بانکی"),""))</f>
        <v/>
      </c>
      <c r="D1266" s="27">
        <f>IF($M1266&lt;&gt;"",IF(INDEX(CalcDocA,$M1266)="","—",INDEX(CalcDocA,$M1266)),IF($N1266&lt;&gt;"",INDEX(CalcBankB,$N1266),""))</f>
        <v/>
      </c>
      <c r="E1266" s="28">
        <f>IF($N1266&lt;&gt;"",IF(INDEX(CalcDepB,$N1266)=0,"",INDEX(CalcDepB,$N1266)),"")</f>
        <v/>
      </c>
      <c r="F1266" s="28">
        <f>IF($M1266&lt;&gt;"",IF(INDEX(CalcQtyA,$M1266)=0,"",INDEX(CalcQtyA,$M1266)),"")</f>
        <v/>
      </c>
      <c r="G1266" s="28">
        <f>IF($M1266&lt;&gt;"",IF(INDEX(CalcPriceA,$M1266)=0,"",INDEX(CalcPriceA,$M1266)),"")</f>
        <v/>
      </c>
      <c r="H1266" s="28">
        <f>IF($N1266&lt;&gt;"",IF(INDEX(CalcWitB,$N1266)=0,"",INDEX(CalcWitB,$N1266)),"")</f>
        <v/>
      </c>
      <c r="I1266" s="29">
        <f>IF($M1266&lt;&gt;"",INDEX(CalcAmtA,$M1266),"")</f>
        <v/>
      </c>
      <c r="J1266" s="29">
        <f>IF($B1266="","",IF($J1265="",$C$8,$J1265)+IF($I1266="",0,$I1266)+IF($E1266="",0,$E1266)-IF($H1266="",0,$H1266))</f>
        <v/>
      </c>
      <c r="K1266" s="30">
        <f>IF($M1266&lt;&gt;"",IF(INDEX(CalcNoteA,$M1266)="","—",INDEX(CalcNoteA,$M1266)),IF($N1266&lt;&gt;"",IF(INDEX(CalcNoteB,$N1266)="","—",INDEX(CalcNoteB,$N1266)),""))</f>
        <v/>
      </c>
      <c r="M1266">
        <f>IFERROR(MATCH($C$5&amp;"|"&amp;RIGHT("000000"&amp;1250,6),CalcRankKeyA,0),"")</f>
        <v/>
      </c>
      <c r="N1266">
        <f>IFERROR(MATCH($C$5&amp;"|"&amp;RIGHT("000000"&amp;1250,6),CalcRankKeyB,0),"")</f>
        <v/>
      </c>
    </row>
    <row r="1267">
      <c r="A1267" s="21" t="n">
        <v>1251</v>
      </c>
      <c r="B1267" s="22">
        <f>IF(AND($M1267="",$N1267=""),"",IF($M1267&lt;&gt;"",INDEX(CalcDateA,$M1267),INDEX(CalcDateB,$N1267)))</f>
        <v/>
      </c>
      <c r="C1267" s="22">
        <f>IF($M1267&lt;&gt;"","خرید سبد",IF($N1267&lt;&gt;"",IF(N(INDEX(CalcDepB,$N1267))&gt;0,"دریافت بانکی","پرداخت بانکی"),""))</f>
        <v/>
      </c>
      <c r="D1267" s="22">
        <f>IF($M1267&lt;&gt;"",IF(INDEX(CalcDocA,$M1267)="","—",INDEX(CalcDocA,$M1267)),IF($N1267&lt;&gt;"",INDEX(CalcBankB,$N1267),""))</f>
        <v/>
      </c>
      <c r="E1267" s="23">
        <f>IF($N1267&lt;&gt;"",IF(INDEX(CalcDepB,$N1267)=0,"",INDEX(CalcDepB,$N1267)),"")</f>
        <v/>
      </c>
      <c r="F1267" s="23">
        <f>IF($M1267&lt;&gt;"",IF(INDEX(CalcQtyA,$M1267)=0,"",INDEX(CalcQtyA,$M1267)),"")</f>
        <v/>
      </c>
      <c r="G1267" s="23">
        <f>IF($M1267&lt;&gt;"",IF(INDEX(CalcPriceA,$M1267)=0,"",INDEX(CalcPriceA,$M1267)),"")</f>
        <v/>
      </c>
      <c r="H1267" s="23">
        <f>IF($N1267&lt;&gt;"",IF(INDEX(CalcWitB,$N1267)=0,"",INDEX(CalcWitB,$N1267)),"")</f>
        <v/>
      </c>
      <c r="I1267" s="24">
        <f>IF($M1267&lt;&gt;"",INDEX(CalcAmtA,$M1267),"")</f>
        <v/>
      </c>
      <c r="J1267" s="24">
        <f>IF($B1267="","",IF($J1266="",$C$8,$J1266)+IF($I1267="",0,$I1267)+IF($E1267="",0,$E1267)-IF($H1267="",0,$H1267))</f>
        <v/>
      </c>
      <c r="K1267" s="25">
        <f>IF($M1267&lt;&gt;"",IF(INDEX(CalcNoteA,$M1267)="","—",INDEX(CalcNoteA,$M1267)),IF($N1267&lt;&gt;"",IF(INDEX(CalcNoteB,$N1267)="","—",INDEX(CalcNoteB,$N1267)),""))</f>
        <v/>
      </c>
      <c r="M1267">
        <f>IFERROR(MATCH($C$5&amp;"|"&amp;RIGHT("000000"&amp;1251,6),CalcRankKeyA,0),"")</f>
        <v/>
      </c>
      <c r="N1267">
        <f>IFERROR(MATCH($C$5&amp;"|"&amp;RIGHT("000000"&amp;1251,6),CalcRankKeyB,0),"")</f>
        <v/>
      </c>
    </row>
    <row r="1268">
      <c r="A1268" s="26" t="n">
        <v>1252</v>
      </c>
      <c r="B1268" s="27">
        <f>IF(AND($M1268="",$N1268=""),"",IF($M1268&lt;&gt;"",INDEX(CalcDateA,$M1268),INDEX(CalcDateB,$N1268)))</f>
        <v/>
      </c>
      <c r="C1268" s="27">
        <f>IF($M1268&lt;&gt;"","خرید سبد",IF($N1268&lt;&gt;"",IF(N(INDEX(CalcDepB,$N1268))&gt;0,"دریافت بانکی","پرداخت بانکی"),""))</f>
        <v/>
      </c>
      <c r="D1268" s="27">
        <f>IF($M1268&lt;&gt;"",IF(INDEX(CalcDocA,$M1268)="","—",INDEX(CalcDocA,$M1268)),IF($N1268&lt;&gt;"",INDEX(CalcBankB,$N1268),""))</f>
        <v/>
      </c>
      <c r="E1268" s="28">
        <f>IF($N1268&lt;&gt;"",IF(INDEX(CalcDepB,$N1268)=0,"",INDEX(CalcDepB,$N1268)),"")</f>
        <v/>
      </c>
      <c r="F1268" s="28">
        <f>IF($M1268&lt;&gt;"",IF(INDEX(CalcQtyA,$M1268)=0,"",INDEX(CalcQtyA,$M1268)),"")</f>
        <v/>
      </c>
      <c r="G1268" s="28">
        <f>IF($M1268&lt;&gt;"",IF(INDEX(CalcPriceA,$M1268)=0,"",INDEX(CalcPriceA,$M1268)),"")</f>
        <v/>
      </c>
      <c r="H1268" s="28">
        <f>IF($N1268&lt;&gt;"",IF(INDEX(CalcWitB,$N1268)=0,"",INDEX(CalcWitB,$N1268)),"")</f>
        <v/>
      </c>
      <c r="I1268" s="29">
        <f>IF($M1268&lt;&gt;"",INDEX(CalcAmtA,$M1268),"")</f>
        <v/>
      </c>
      <c r="J1268" s="29">
        <f>IF($B1268="","",IF($J1267="",$C$8,$J1267)+IF($I1268="",0,$I1268)+IF($E1268="",0,$E1268)-IF($H1268="",0,$H1268))</f>
        <v/>
      </c>
      <c r="K1268" s="30">
        <f>IF($M1268&lt;&gt;"",IF(INDEX(CalcNoteA,$M1268)="","—",INDEX(CalcNoteA,$M1268)),IF($N1268&lt;&gt;"",IF(INDEX(CalcNoteB,$N1268)="","—",INDEX(CalcNoteB,$N1268)),""))</f>
        <v/>
      </c>
      <c r="M1268">
        <f>IFERROR(MATCH($C$5&amp;"|"&amp;RIGHT("000000"&amp;1252,6),CalcRankKeyA,0),"")</f>
        <v/>
      </c>
      <c r="N1268">
        <f>IFERROR(MATCH($C$5&amp;"|"&amp;RIGHT("000000"&amp;1252,6),CalcRankKeyB,0),"")</f>
        <v/>
      </c>
    </row>
    <row r="1269">
      <c r="A1269" s="21" t="n">
        <v>1253</v>
      </c>
      <c r="B1269" s="22">
        <f>IF(AND($M1269="",$N1269=""),"",IF($M1269&lt;&gt;"",INDEX(CalcDateA,$M1269),INDEX(CalcDateB,$N1269)))</f>
        <v/>
      </c>
      <c r="C1269" s="22">
        <f>IF($M1269&lt;&gt;"","خرید سبد",IF($N1269&lt;&gt;"",IF(N(INDEX(CalcDepB,$N1269))&gt;0,"دریافت بانکی","پرداخت بانکی"),""))</f>
        <v/>
      </c>
      <c r="D1269" s="22">
        <f>IF($M1269&lt;&gt;"",IF(INDEX(CalcDocA,$M1269)="","—",INDEX(CalcDocA,$M1269)),IF($N1269&lt;&gt;"",INDEX(CalcBankB,$N1269),""))</f>
        <v/>
      </c>
      <c r="E1269" s="23">
        <f>IF($N1269&lt;&gt;"",IF(INDEX(CalcDepB,$N1269)=0,"",INDEX(CalcDepB,$N1269)),"")</f>
        <v/>
      </c>
      <c r="F1269" s="23">
        <f>IF($M1269&lt;&gt;"",IF(INDEX(CalcQtyA,$M1269)=0,"",INDEX(CalcQtyA,$M1269)),"")</f>
        <v/>
      </c>
      <c r="G1269" s="23">
        <f>IF($M1269&lt;&gt;"",IF(INDEX(CalcPriceA,$M1269)=0,"",INDEX(CalcPriceA,$M1269)),"")</f>
        <v/>
      </c>
      <c r="H1269" s="23">
        <f>IF($N1269&lt;&gt;"",IF(INDEX(CalcWitB,$N1269)=0,"",INDEX(CalcWitB,$N1269)),"")</f>
        <v/>
      </c>
      <c r="I1269" s="24">
        <f>IF($M1269&lt;&gt;"",INDEX(CalcAmtA,$M1269),"")</f>
        <v/>
      </c>
      <c r="J1269" s="24">
        <f>IF($B1269="","",IF($J1268="",$C$8,$J1268)+IF($I1269="",0,$I1269)+IF($E1269="",0,$E1269)-IF($H1269="",0,$H1269))</f>
        <v/>
      </c>
      <c r="K1269" s="25">
        <f>IF($M1269&lt;&gt;"",IF(INDEX(CalcNoteA,$M1269)="","—",INDEX(CalcNoteA,$M1269)),IF($N1269&lt;&gt;"",IF(INDEX(CalcNoteB,$N1269)="","—",INDEX(CalcNoteB,$N1269)),""))</f>
        <v/>
      </c>
      <c r="M1269">
        <f>IFERROR(MATCH($C$5&amp;"|"&amp;RIGHT("000000"&amp;1253,6),CalcRankKeyA,0),"")</f>
        <v/>
      </c>
      <c r="N1269">
        <f>IFERROR(MATCH($C$5&amp;"|"&amp;RIGHT("000000"&amp;1253,6),CalcRankKeyB,0),"")</f>
        <v/>
      </c>
    </row>
    <row r="1270">
      <c r="A1270" s="26" t="n">
        <v>1254</v>
      </c>
      <c r="B1270" s="27">
        <f>IF(AND($M1270="",$N1270=""),"",IF($M1270&lt;&gt;"",INDEX(CalcDateA,$M1270),INDEX(CalcDateB,$N1270)))</f>
        <v/>
      </c>
      <c r="C1270" s="27">
        <f>IF($M1270&lt;&gt;"","خرید سبد",IF($N1270&lt;&gt;"",IF(N(INDEX(CalcDepB,$N1270))&gt;0,"دریافت بانکی","پرداخت بانکی"),""))</f>
        <v/>
      </c>
      <c r="D1270" s="27">
        <f>IF($M1270&lt;&gt;"",IF(INDEX(CalcDocA,$M1270)="","—",INDEX(CalcDocA,$M1270)),IF($N1270&lt;&gt;"",INDEX(CalcBankB,$N1270),""))</f>
        <v/>
      </c>
      <c r="E1270" s="28">
        <f>IF($N1270&lt;&gt;"",IF(INDEX(CalcDepB,$N1270)=0,"",INDEX(CalcDepB,$N1270)),"")</f>
        <v/>
      </c>
      <c r="F1270" s="28">
        <f>IF($M1270&lt;&gt;"",IF(INDEX(CalcQtyA,$M1270)=0,"",INDEX(CalcQtyA,$M1270)),"")</f>
        <v/>
      </c>
      <c r="G1270" s="28">
        <f>IF($M1270&lt;&gt;"",IF(INDEX(CalcPriceA,$M1270)=0,"",INDEX(CalcPriceA,$M1270)),"")</f>
        <v/>
      </c>
      <c r="H1270" s="28">
        <f>IF($N1270&lt;&gt;"",IF(INDEX(CalcWitB,$N1270)=0,"",INDEX(CalcWitB,$N1270)),"")</f>
        <v/>
      </c>
      <c r="I1270" s="29">
        <f>IF($M1270&lt;&gt;"",INDEX(CalcAmtA,$M1270),"")</f>
        <v/>
      </c>
      <c r="J1270" s="29">
        <f>IF($B1270="","",IF($J1269="",$C$8,$J1269)+IF($I1270="",0,$I1270)+IF($E1270="",0,$E1270)-IF($H1270="",0,$H1270))</f>
        <v/>
      </c>
      <c r="K1270" s="30">
        <f>IF($M1270&lt;&gt;"",IF(INDEX(CalcNoteA,$M1270)="","—",INDEX(CalcNoteA,$M1270)),IF($N1270&lt;&gt;"",IF(INDEX(CalcNoteB,$N1270)="","—",INDEX(CalcNoteB,$N1270)),""))</f>
        <v/>
      </c>
      <c r="M1270">
        <f>IFERROR(MATCH($C$5&amp;"|"&amp;RIGHT("000000"&amp;1254,6),CalcRankKeyA,0),"")</f>
        <v/>
      </c>
      <c r="N1270">
        <f>IFERROR(MATCH($C$5&amp;"|"&amp;RIGHT("000000"&amp;1254,6),CalcRankKeyB,0),"")</f>
        <v/>
      </c>
    </row>
    <row r="1271">
      <c r="A1271" s="21" t="n">
        <v>1255</v>
      </c>
      <c r="B1271" s="22">
        <f>IF(AND($M1271="",$N1271=""),"",IF($M1271&lt;&gt;"",INDEX(CalcDateA,$M1271),INDEX(CalcDateB,$N1271)))</f>
        <v/>
      </c>
      <c r="C1271" s="22">
        <f>IF($M1271&lt;&gt;"","خرید سبد",IF($N1271&lt;&gt;"",IF(N(INDEX(CalcDepB,$N1271))&gt;0,"دریافت بانکی","پرداخت بانکی"),""))</f>
        <v/>
      </c>
      <c r="D1271" s="22">
        <f>IF($M1271&lt;&gt;"",IF(INDEX(CalcDocA,$M1271)="","—",INDEX(CalcDocA,$M1271)),IF($N1271&lt;&gt;"",INDEX(CalcBankB,$N1271),""))</f>
        <v/>
      </c>
      <c r="E1271" s="23">
        <f>IF($N1271&lt;&gt;"",IF(INDEX(CalcDepB,$N1271)=0,"",INDEX(CalcDepB,$N1271)),"")</f>
        <v/>
      </c>
      <c r="F1271" s="23">
        <f>IF($M1271&lt;&gt;"",IF(INDEX(CalcQtyA,$M1271)=0,"",INDEX(CalcQtyA,$M1271)),"")</f>
        <v/>
      </c>
      <c r="G1271" s="23">
        <f>IF($M1271&lt;&gt;"",IF(INDEX(CalcPriceA,$M1271)=0,"",INDEX(CalcPriceA,$M1271)),"")</f>
        <v/>
      </c>
      <c r="H1271" s="23">
        <f>IF($N1271&lt;&gt;"",IF(INDEX(CalcWitB,$N1271)=0,"",INDEX(CalcWitB,$N1271)),"")</f>
        <v/>
      </c>
      <c r="I1271" s="24">
        <f>IF($M1271&lt;&gt;"",INDEX(CalcAmtA,$M1271),"")</f>
        <v/>
      </c>
      <c r="J1271" s="24">
        <f>IF($B1271="","",IF($J1270="",$C$8,$J1270)+IF($I1271="",0,$I1271)+IF($E1271="",0,$E1271)-IF($H1271="",0,$H1271))</f>
        <v/>
      </c>
      <c r="K1271" s="25">
        <f>IF($M1271&lt;&gt;"",IF(INDEX(CalcNoteA,$M1271)="","—",INDEX(CalcNoteA,$M1271)),IF($N1271&lt;&gt;"",IF(INDEX(CalcNoteB,$N1271)="","—",INDEX(CalcNoteB,$N1271)),""))</f>
        <v/>
      </c>
      <c r="M1271">
        <f>IFERROR(MATCH($C$5&amp;"|"&amp;RIGHT("000000"&amp;1255,6),CalcRankKeyA,0),"")</f>
        <v/>
      </c>
      <c r="N1271">
        <f>IFERROR(MATCH($C$5&amp;"|"&amp;RIGHT("000000"&amp;1255,6),CalcRankKeyB,0),"")</f>
        <v/>
      </c>
    </row>
    <row r="1272">
      <c r="A1272" s="26" t="n">
        <v>1256</v>
      </c>
      <c r="B1272" s="27">
        <f>IF(AND($M1272="",$N1272=""),"",IF($M1272&lt;&gt;"",INDEX(CalcDateA,$M1272),INDEX(CalcDateB,$N1272)))</f>
        <v/>
      </c>
      <c r="C1272" s="27">
        <f>IF($M1272&lt;&gt;"","خرید سبد",IF($N1272&lt;&gt;"",IF(N(INDEX(CalcDepB,$N1272))&gt;0,"دریافت بانکی","پرداخت بانکی"),""))</f>
        <v/>
      </c>
      <c r="D1272" s="27">
        <f>IF($M1272&lt;&gt;"",IF(INDEX(CalcDocA,$M1272)="","—",INDEX(CalcDocA,$M1272)),IF($N1272&lt;&gt;"",INDEX(CalcBankB,$N1272),""))</f>
        <v/>
      </c>
      <c r="E1272" s="28">
        <f>IF($N1272&lt;&gt;"",IF(INDEX(CalcDepB,$N1272)=0,"",INDEX(CalcDepB,$N1272)),"")</f>
        <v/>
      </c>
      <c r="F1272" s="28">
        <f>IF($M1272&lt;&gt;"",IF(INDEX(CalcQtyA,$M1272)=0,"",INDEX(CalcQtyA,$M1272)),"")</f>
        <v/>
      </c>
      <c r="G1272" s="28">
        <f>IF($M1272&lt;&gt;"",IF(INDEX(CalcPriceA,$M1272)=0,"",INDEX(CalcPriceA,$M1272)),"")</f>
        <v/>
      </c>
      <c r="H1272" s="28">
        <f>IF($N1272&lt;&gt;"",IF(INDEX(CalcWitB,$N1272)=0,"",INDEX(CalcWitB,$N1272)),"")</f>
        <v/>
      </c>
      <c r="I1272" s="29">
        <f>IF($M1272&lt;&gt;"",INDEX(CalcAmtA,$M1272),"")</f>
        <v/>
      </c>
      <c r="J1272" s="29">
        <f>IF($B1272="","",IF($J1271="",$C$8,$J1271)+IF($I1272="",0,$I1272)+IF($E1272="",0,$E1272)-IF($H1272="",0,$H1272))</f>
        <v/>
      </c>
      <c r="K1272" s="30">
        <f>IF($M1272&lt;&gt;"",IF(INDEX(CalcNoteA,$M1272)="","—",INDEX(CalcNoteA,$M1272)),IF($N1272&lt;&gt;"",IF(INDEX(CalcNoteB,$N1272)="","—",INDEX(CalcNoteB,$N1272)),""))</f>
        <v/>
      </c>
      <c r="M1272">
        <f>IFERROR(MATCH($C$5&amp;"|"&amp;RIGHT("000000"&amp;1256,6),CalcRankKeyA,0),"")</f>
        <v/>
      </c>
      <c r="N1272">
        <f>IFERROR(MATCH($C$5&amp;"|"&amp;RIGHT("000000"&amp;1256,6),CalcRankKeyB,0),"")</f>
        <v/>
      </c>
    </row>
    <row r="1273">
      <c r="A1273" s="21" t="n">
        <v>1257</v>
      </c>
      <c r="B1273" s="22">
        <f>IF(AND($M1273="",$N1273=""),"",IF($M1273&lt;&gt;"",INDEX(CalcDateA,$M1273),INDEX(CalcDateB,$N1273)))</f>
        <v/>
      </c>
      <c r="C1273" s="22">
        <f>IF($M1273&lt;&gt;"","خرید سبد",IF($N1273&lt;&gt;"",IF(N(INDEX(CalcDepB,$N1273))&gt;0,"دریافت بانکی","پرداخت بانکی"),""))</f>
        <v/>
      </c>
      <c r="D1273" s="22">
        <f>IF($M1273&lt;&gt;"",IF(INDEX(CalcDocA,$M1273)="","—",INDEX(CalcDocA,$M1273)),IF($N1273&lt;&gt;"",INDEX(CalcBankB,$N1273),""))</f>
        <v/>
      </c>
      <c r="E1273" s="23">
        <f>IF($N1273&lt;&gt;"",IF(INDEX(CalcDepB,$N1273)=0,"",INDEX(CalcDepB,$N1273)),"")</f>
        <v/>
      </c>
      <c r="F1273" s="23">
        <f>IF($M1273&lt;&gt;"",IF(INDEX(CalcQtyA,$M1273)=0,"",INDEX(CalcQtyA,$M1273)),"")</f>
        <v/>
      </c>
      <c r="G1273" s="23">
        <f>IF($M1273&lt;&gt;"",IF(INDEX(CalcPriceA,$M1273)=0,"",INDEX(CalcPriceA,$M1273)),"")</f>
        <v/>
      </c>
      <c r="H1273" s="23">
        <f>IF($N1273&lt;&gt;"",IF(INDEX(CalcWitB,$N1273)=0,"",INDEX(CalcWitB,$N1273)),"")</f>
        <v/>
      </c>
      <c r="I1273" s="24">
        <f>IF($M1273&lt;&gt;"",INDEX(CalcAmtA,$M1273),"")</f>
        <v/>
      </c>
      <c r="J1273" s="24">
        <f>IF($B1273="","",IF($J1272="",$C$8,$J1272)+IF($I1273="",0,$I1273)+IF($E1273="",0,$E1273)-IF($H1273="",0,$H1273))</f>
        <v/>
      </c>
      <c r="K1273" s="25">
        <f>IF($M1273&lt;&gt;"",IF(INDEX(CalcNoteA,$M1273)="","—",INDEX(CalcNoteA,$M1273)),IF($N1273&lt;&gt;"",IF(INDEX(CalcNoteB,$N1273)="","—",INDEX(CalcNoteB,$N1273)),""))</f>
        <v/>
      </c>
      <c r="M1273">
        <f>IFERROR(MATCH($C$5&amp;"|"&amp;RIGHT("000000"&amp;1257,6),CalcRankKeyA,0),"")</f>
        <v/>
      </c>
      <c r="N1273">
        <f>IFERROR(MATCH($C$5&amp;"|"&amp;RIGHT("000000"&amp;1257,6),CalcRankKeyB,0),"")</f>
        <v/>
      </c>
    </row>
    <row r="1274">
      <c r="A1274" s="26" t="n">
        <v>1258</v>
      </c>
      <c r="B1274" s="27">
        <f>IF(AND($M1274="",$N1274=""),"",IF($M1274&lt;&gt;"",INDEX(CalcDateA,$M1274),INDEX(CalcDateB,$N1274)))</f>
        <v/>
      </c>
      <c r="C1274" s="27">
        <f>IF($M1274&lt;&gt;"","خرید سبد",IF($N1274&lt;&gt;"",IF(N(INDEX(CalcDepB,$N1274))&gt;0,"دریافت بانکی","پرداخت بانکی"),""))</f>
        <v/>
      </c>
      <c r="D1274" s="27">
        <f>IF($M1274&lt;&gt;"",IF(INDEX(CalcDocA,$M1274)="","—",INDEX(CalcDocA,$M1274)),IF($N1274&lt;&gt;"",INDEX(CalcBankB,$N1274),""))</f>
        <v/>
      </c>
      <c r="E1274" s="28">
        <f>IF($N1274&lt;&gt;"",IF(INDEX(CalcDepB,$N1274)=0,"",INDEX(CalcDepB,$N1274)),"")</f>
        <v/>
      </c>
      <c r="F1274" s="28">
        <f>IF($M1274&lt;&gt;"",IF(INDEX(CalcQtyA,$M1274)=0,"",INDEX(CalcQtyA,$M1274)),"")</f>
        <v/>
      </c>
      <c r="G1274" s="28">
        <f>IF($M1274&lt;&gt;"",IF(INDEX(CalcPriceA,$M1274)=0,"",INDEX(CalcPriceA,$M1274)),"")</f>
        <v/>
      </c>
      <c r="H1274" s="28">
        <f>IF($N1274&lt;&gt;"",IF(INDEX(CalcWitB,$N1274)=0,"",INDEX(CalcWitB,$N1274)),"")</f>
        <v/>
      </c>
      <c r="I1274" s="29">
        <f>IF($M1274&lt;&gt;"",INDEX(CalcAmtA,$M1274),"")</f>
        <v/>
      </c>
      <c r="J1274" s="29">
        <f>IF($B1274="","",IF($J1273="",$C$8,$J1273)+IF($I1274="",0,$I1274)+IF($E1274="",0,$E1274)-IF($H1274="",0,$H1274))</f>
        <v/>
      </c>
      <c r="K1274" s="30">
        <f>IF($M1274&lt;&gt;"",IF(INDEX(CalcNoteA,$M1274)="","—",INDEX(CalcNoteA,$M1274)),IF($N1274&lt;&gt;"",IF(INDEX(CalcNoteB,$N1274)="","—",INDEX(CalcNoteB,$N1274)),""))</f>
        <v/>
      </c>
      <c r="M1274">
        <f>IFERROR(MATCH($C$5&amp;"|"&amp;RIGHT("000000"&amp;1258,6),CalcRankKeyA,0),"")</f>
        <v/>
      </c>
      <c r="N1274">
        <f>IFERROR(MATCH($C$5&amp;"|"&amp;RIGHT("000000"&amp;1258,6),CalcRankKeyB,0),"")</f>
        <v/>
      </c>
    </row>
    <row r="1275">
      <c r="A1275" s="21" t="n">
        <v>1259</v>
      </c>
      <c r="B1275" s="22">
        <f>IF(AND($M1275="",$N1275=""),"",IF($M1275&lt;&gt;"",INDEX(CalcDateA,$M1275),INDEX(CalcDateB,$N1275)))</f>
        <v/>
      </c>
      <c r="C1275" s="22">
        <f>IF($M1275&lt;&gt;"","خرید سبد",IF($N1275&lt;&gt;"",IF(N(INDEX(CalcDepB,$N1275))&gt;0,"دریافت بانکی","پرداخت بانکی"),""))</f>
        <v/>
      </c>
      <c r="D1275" s="22">
        <f>IF($M1275&lt;&gt;"",IF(INDEX(CalcDocA,$M1275)="","—",INDEX(CalcDocA,$M1275)),IF($N1275&lt;&gt;"",INDEX(CalcBankB,$N1275),""))</f>
        <v/>
      </c>
      <c r="E1275" s="23">
        <f>IF($N1275&lt;&gt;"",IF(INDEX(CalcDepB,$N1275)=0,"",INDEX(CalcDepB,$N1275)),"")</f>
        <v/>
      </c>
      <c r="F1275" s="23">
        <f>IF($M1275&lt;&gt;"",IF(INDEX(CalcQtyA,$M1275)=0,"",INDEX(CalcQtyA,$M1275)),"")</f>
        <v/>
      </c>
      <c r="G1275" s="23">
        <f>IF($M1275&lt;&gt;"",IF(INDEX(CalcPriceA,$M1275)=0,"",INDEX(CalcPriceA,$M1275)),"")</f>
        <v/>
      </c>
      <c r="H1275" s="23">
        <f>IF($N1275&lt;&gt;"",IF(INDEX(CalcWitB,$N1275)=0,"",INDEX(CalcWitB,$N1275)),"")</f>
        <v/>
      </c>
      <c r="I1275" s="24">
        <f>IF($M1275&lt;&gt;"",INDEX(CalcAmtA,$M1275),"")</f>
        <v/>
      </c>
      <c r="J1275" s="24">
        <f>IF($B1275="","",IF($J1274="",$C$8,$J1274)+IF($I1275="",0,$I1275)+IF($E1275="",0,$E1275)-IF($H1275="",0,$H1275))</f>
        <v/>
      </c>
      <c r="K1275" s="25">
        <f>IF($M1275&lt;&gt;"",IF(INDEX(CalcNoteA,$M1275)="","—",INDEX(CalcNoteA,$M1275)),IF($N1275&lt;&gt;"",IF(INDEX(CalcNoteB,$N1275)="","—",INDEX(CalcNoteB,$N1275)),""))</f>
        <v/>
      </c>
      <c r="M1275">
        <f>IFERROR(MATCH($C$5&amp;"|"&amp;RIGHT("000000"&amp;1259,6),CalcRankKeyA,0),"")</f>
        <v/>
      </c>
      <c r="N1275">
        <f>IFERROR(MATCH($C$5&amp;"|"&amp;RIGHT("000000"&amp;1259,6),CalcRankKeyB,0),"")</f>
        <v/>
      </c>
    </row>
    <row r="1276">
      <c r="A1276" s="26" t="n">
        <v>1260</v>
      </c>
      <c r="B1276" s="27">
        <f>IF(AND($M1276="",$N1276=""),"",IF($M1276&lt;&gt;"",INDEX(CalcDateA,$M1276),INDEX(CalcDateB,$N1276)))</f>
        <v/>
      </c>
      <c r="C1276" s="27">
        <f>IF($M1276&lt;&gt;"","خرید سبد",IF($N1276&lt;&gt;"",IF(N(INDEX(CalcDepB,$N1276))&gt;0,"دریافت بانکی","پرداخت بانکی"),""))</f>
        <v/>
      </c>
      <c r="D1276" s="27">
        <f>IF($M1276&lt;&gt;"",IF(INDEX(CalcDocA,$M1276)="","—",INDEX(CalcDocA,$M1276)),IF($N1276&lt;&gt;"",INDEX(CalcBankB,$N1276),""))</f>
        <v/>
      </c>
      <c r="E1276" s="28">
        <f>IF($N1276&lt;&gt;"",IF(INDEX(CalcDepB,$N1276)=0,"",INDEX(CalcDepB,$N1276)),"")</f>
        <v/>
      </c>
      <c r="F1276" s="28">
        <f>IF($M1276&lt;&gt;"",IF(INDEX(CalcQtyA,$M1276)=0,"",INDEX(CalcQtyA,$M1276)),"")</f>
        <v/>
      </c>
      <c r="G1276" s="28">
        <f>IF($M1276&lt;&gt;"",IF(INDEX(CalcPriceA,$M1276)=0,"",INDEX(CalcPriceA,$M1276)),"")</f>
        <v/>
      </c>
      <c r="H1276" s="28">
        <f>IF($N1276&lt;&gt;"",IF(INDEX(CalcWitB,$N1276)=0,"",INDEX(CalcWitB,$N1276)),"")</f>
        <v/>
      </c>
      <c r="I1276" s="29">
        <f>IF($M1276&lt;&gt;"",INDEX(CalcAmtA,$M1276),"")</f>
        <v/>
      </c>
      <c r="J1276" s="29">
        <f>IF($B1276="","",IF($J1275="",$C$8,$J1275)+IF($I1276="",0,$I1276)+IF($E1276="",0,$E1276)-IF($H1276="",0,$H1276))</f>
        <v/>
      </c>
      <c r="K1276" s="30">
        <f>IF($M1276&lt;&gt;"",IF(INDEX(CalcNoteA,$M1276)="","—",INDEX(CalcNoteA,$M1276)),IF($N1276&lt;&gt;"",IF(INDEX(CalcNoteB,$N1276)="","—",INDEX(CalcNoteB,$N1276)),""))</f>
        <v/>
      </c>
      <c r="M1276">
        <f>IFERROR(MATCH($C$5&amp;"|"&amp;RIGHT("000000"&amp;1260,6),CalcRankKeyA,0),"")</f>
        <v/>
      </c>
      <c r="N1276">
        <f>IFERROR(MATCH($C$5&amp;"|"&amp;RIGHT("000000"&amp;1260,6),CalcRankKeyB,0),"")</f>
        <v/>
      </c>
    </row>
    <row r="1277">
      <c r="A1277" s="21" t="n">
        <v>1261</v>
      </c>
      <c r="B1277" s="22">
        <f>IF(AND($M1277="",$N1277=""),"",IF($M1277&lt;&gt;"",INDEX(CalcDateA,$M1277),INDEX(CalcDateB,$N1277)))</f>
        <v/>
      </c>
      <c r="C1277" s="22">
        <f>IF($M1277&lt;&gt;"","خرید سبد",IF($N1277&lt;&gt;"",IF(N(INDEX(CalcDepB,$N1277))&gt;0,"دریافت بانکی","پرداخت بانکی"),""))</f>
        <v/>
      </c>
      <c r="D1277" s="22">
        <f>IF($M1277&lt;&gt;"",IF(INDEX(CalcDocA,$M1277)="","—",INDEX(CalcDocA,$M1277)),IF($N1277&lt;&gt;"",INDEX(CalcBankB,$N1277),""))</f>
        <v/>
      </c>
      <c r="E1277" s="23">
        <f>IF($N1277&lt;&gt;"",IF(INDEX(CalcDepB,$N1277)=0,"",INDEX(CalcDepB,$N1277)),"")</f>
        <v/>
      </c>
      <c r="F1277" s="23">
        <f>IF($M1277&lt;&gt;"",IF(INDEX(CalcQtyA,$M1277)=0,"",INDEX(CalcQtyA,$M1277)),"")</f>
        <v/>
      </c>
      <c r="G1277" s="23">
        <f>IF($M1277&lt;&gt;"",IF(INDEX(CalcPriceA,$M1277)=0,"",INDEX(CalcPriceA,$M1277)),"")</f>
        <v/>
      </c>
      <c r="H1277" s="23">
        <f>IF($N1277&lt;&gt;"",IF(INDEX(CalcWitB,$N1277)=0,"",INDEX(CalcWitB,$N1277)),"")</f>
        <v/>
      </c>
      <c r="I1277" s="24">
        <f>IF($M1277&lt;&gt;"",INDEX(CalcAmtA,$M1277),"")</f>
        <v/>
      </c>
      <c r="J1277" s="24">
        <f>IF($B1277="","",IF($J1276="",$C$8,$J1276)+IF($I1277="",0,$I1277)+IF($E1277="",0,$E1277)-IF($H1277="",0,$H1277))</f>
        <v/>
      </c>
      <c r="K1277" s="25">
        <f>IF($M1277&lt;&gt;"",IF(INDEX(CalcNoteA,$M1277)="","—",INDEX(CalcNoteA,$M1277)),IF($N1277&lt;&gt;"",IF(INDEX(CalcNoteB,$N1277)="","—",INDEX(CalcNoteB,$N1277)),""))</f>
        <v/>
      </c>
      <c r="M1277">
        <f>IFERROR(MATCH($C$5&amp;"|"&amp;RIGHT("000000"&amp;1261,6),CalcRankKeyA,0),"")</f>
        <v/>
      </c>
      <c r="N1277">
        <f>IFERROR(MATCH($C$5&amp;"|"&amp;RIGHT("000000"&amp;1261,6),CalcRankKeyB,0),"")</f>
        <v/>
      </c>
    </row>
    <row r="1278">
      <c r="A1278" s="26" t="n">
        <v>1262</v>
      </c>
      <c r="B1278" s="27">
        <f>IF(AND($M1278="",$N1278=""),"",IF($M1278&lt;&gt;"",INDEX(CalcDateA,$M1278),INDEX(CalcDateB,$N1278)))</f>
        <v/>
      </c>
      <c r="C1278" s="27">
        <f>IF($M1278&lt;&gt;"","خرید سبد",IF($N1278&lt;&gt;"",IF(N(INDEX(CalcDepB,$N1278))&gt;0,"دریافت بانکی","پرداخت بانکی"),""))</f>
        <v/>
      </c>
      <c r="D1278" s="27">
        <f>IF($M1278&lt;&gt;"",IF(INDEX(CalcDocA,$M1278)="","—",INDEX(CalcDocA,$M1278)),IF($N1278&lt;&gt;"",INDEX(CalcBankB,$N1278),""))</f>
        <v/>
      </c>
      <c r="E1278" s="28">
        <f>IF($N1278&lt;&gt;"",IF(INDEX(CalcDepB,$N1278)=0,"",INDEX(CalcDepB,$N1278)),"")</f>
        <v/>
      </c>
      <c r="F1278" s="28">
        <f>IF($M1278&lt;&gt;"",IF(INDEX(CalcQtyA,$M1278)=0,"",INDEX(CalcQtyA,$M1278)),"")</f>
        <v/>
      </c>
      <c r="G1278" s="28">
        <f>IF($M1278&lt;&gt;"",IF(INDEX(CalcPriceA,$M1278)=0,"",INDEX(CalcPriceA,$M1278)),"")</f>
        <v/>
      </c>
      <c r="H1278" s="28">
        <f>IF($N1278&lt;&gt;"",IF(INDEX(CalcWitB,$N1278)=0,"",INDEX(CalcWitB,$N1278)),"")</f>
        <v/>
      </c>
      <c r="I1278" s="29">
        <f>IF($M1278&lt;&gt;"",INDEX(CalcAmtA,$M1278),"")</f>
        <v/>
      </c>
      <c r="J1278" s="29">
        <f>IF($B1278="","",IF($J1277="",$C$8,$J1277)+IF($I1278="",0,$I1278)+IF($E1278="",0,$E1278)-IF($H1278="",0,$H1278))</f>
        <v/>
      </c>
      <c r="K1278" s="30">
        <f>IF($M1278&lt;&gt;"",IF(INDEX(CalcNoteA,$M1278)="","—",INDEX(CalcNoteA,$M1278)),IF($N1278&lt;&gt;"",IF(INDEX(CalcNoteB,$N1278)="","—",INDEX(CalcNoteB,$N1278)),""))</f>
        <v/>
      </c>
      <c r="M1278">
        <f>IFERROR(MATCH($C$5&amp;"|"&amp;RIGHT("000000"&amp;1262,6),CalcRankKeyA,0),"")</f>
        <v/>
      </c>
      <c r="N1278">
        <f>IFERROR(MATCH($C$5&amp;"|"&amp;RIGHT("000000"&amp;1262,6),CalcRankKeyB,0),"")</f>
        <v/>
      </c>
    </row>
    <row r="1279">
      <c r="A1279" s="21" t="n">
        <v>1263</v>
      </c>
      <c r="B1279" s="22">
        <f>IF(AND($M1279="",$N1279=""),"",IF($M1279&lt;&gt;"",INDEX(CalcDateA,$M1279),INDEX(CalcDateB,$N1279)))</f>
        <v/>
      </c>
      <c r="C1279" s="22">
        <f>IF($M1279&lt;&gt;"","خرید سبد",IF($N1279&lt;&gt;"",IF(N(INDEX(CalcDepB,$N1279))&gt;0,"دریافت بانکی","پرداخت بانکی"),""))</f>
        <v/>
      </c>
      <c r="D1279" s="22">
        <f>IF($M1279&lt;&gt;"",IF(INDEX(CalcDocA,$M1279)="","—",INDEX(CalcDocA,$M1279)),IF($N1279&lt;&gt;"",INDEX(CalcBankB,$N1279),""))</f>
        <v/>
      </c>
      <c r="E1279" s="23">
        <f>IF($N1279&lt;&gt;"",IF(INDEX(CalcDepB,$N1279)=0,"",INDEX(CalcDepB,$N1279)),"")</f>
        <v/>
      </c>
      <c r="F1279" s="23">
        <f>IF($M1279&lt;&gt;"",IF(INDEX(CalcQtyA,$M1279)=0,"",INDEX(CalcQtyA,$M1279)),"")</f>
        <v/>
      </c>
      <c r="G1279" s="23">
        <f>IF($M1279&lt;&gt;"",IF(INDEX(CalcPriceA,$M1279)=0,"",INDEX(CalcPriceA,$M1279)),"")</f>
        <v/>
      </c>
      <c r="H1279" s="23">
        <f>IF($N1279&lt;&gt;"",IF(INDEX(CalcWitB,$N1279)=0,"",INDEX(CalcWitB,$N1279)),"")</f>
        <v/>
      </c>
      <c r="I1279" s="24">
        <f>IF($M1279&lt;&gt;"",INDEX(CalcAmtA,$M1279),"")</f>
        <v/>
      </c>
      <c r="J1279" s="24">
        <f>IF($B1279="","",IF($J1278="",$C$8,$J1278)+IF($I1279="",0,$I1279)+IF($E1279="",0,$E1279)-IF($H1279="",0,$H1279))</f>
        <v/>
      </c>
      <c r="K1279" s="25">
        <f>IF($M1279&lt;&gt;"",IF(INDEX(CalcNoteA,$M1279)="","—",INDEX(CalcNoteA,$M1279)),IF($N1279&lt;&gt;"",IF(INDEX(CalcNoteB,$N1279)="","—",INDEX(CalcNoteB,$N1279)),""))</f>
        <v/>
      </c>
      <c r="M1279">
        <f>IFERROR(MATCH($C$5&amp;"|"&amp;RIGHT("000000"&amp;1263,6),CalcRankKeyA,0),"")</f>
        <v/>
      </c>
      <c r="N1279">
        <f>IFERROR(MATCH($C$5&amp;"|"&amp;RIGHT("000000"&amp;1263,6),CalcRankKeyB,0),"")</f>
        <v/>
      </c>
    </row>
    <row r="1280">
      <c r="A1280" s="26" t="n">
        <v>1264</v>
      </c>
      <c r="B1280" s="27">
        <f>IF(AND($M1280="",$N1280=""),"",IF($M1280&lt;&gt;"",INDEX(CalcDateA,$M1280),INDEX(CalcDateB,$N1280)))</f>
        <v/>
      </c>
      <c r="C1280" s="27">
        <f>IF($M1280&lt;&gt;"","خرید سبد",IF($N1280&lt;&gt;"",IF(N(INDEX(CalcDepB,$N1280))&gt;0,"دریافت بانکی","پرداخت بانکی"),""))</f>
        <v/>
      </c>
      <c r="D1280" s="27">
        <f>IF($M1280&lt;&gt;"",IF(INDEX(CalcDocA,$M1280)="","—",INDEX(CalcDocA,$M1280)),IF($N1280&lt;&gt;"",INDEX(CalcBankB,$N1280),""))</f>
        <v/>
      </c>
      <c r="E1280" s="28">
        <f>IF($N1280&lt;&gt;"",IF(INDEX(CalcDepB,$N1280)=0,"",INDEX(CalcDepB,$N1280)),"")</f>
        <v/>
      </c>
      <c r="F1280" s="28">
        <f>IF($M1280&lt;&gt;"",IF(INDEX(CalcQtyA,$M1280)=0,"",INDEX(CalcQtyA,$M1280)),"")</f>
        <v/>
      </c>
      <c r="G1280" s="28">
        <f>IF($M1280&lt;&gt;"",IF(INDEX(CalcPriceA,$M1280)=0,"",INDEX(CalcPriceA,$M1280)),"")</f>
        <v/>
      </c>
      <c r="H1280" s="28">
        <f>IF($N1280&lt;&gt;"",IF(INDEX(CalcWitB,$N1280)=0,"",INDEX(CalcWitB,$N1280)),"")</f>
        <v/>
      </c>
      <c r="I1280" s="29">
        <f>IF($M1280&lt;&gt;"",INDEX(CalcAmtA,$M1280),"")</f>
        <v/>
      </c>
      <c r="J1280" s="29">
        <f>IF($B1280="","",IF($J1279="",$C$8,$J1279)+IF($I1280="",0,$I1280)+IF($E1280="",0,$E1280)-IF($H1280="",0,$H1280))</f>
        <v/>
      </c>
      <c r="K1280" s="30">
        <f>IF($M1280&lt;&gt;"",IF(INDEX(CalcNoteA,$M1280)="","—",INDEX(CalcNoteA,$M1280)),IF($N1280&lt;&gt;"",IF(INDEX(CalcNoteB,$N1280)="","—",INDEX(CalcNoteB,$N1280)),""))</f>
        <v/>
      </c>
      <c r="M1280">
        <f>IFERROR(MATCH($C$5&amp;"|"&amp;RIGHT("000000"&amp;1264,6),CalcRankKeyA,0),"")</f>
        <v/>
      </c>
      <c r="N1280">
        <f>IFERROR(MATCH($C$5&amp;"|"&amp;RIGHT("000000"&amp;1264,6),CalcRankKeyB,0),"")</f>
        <v/>
      </c>
    </row>
    <row r="1281">
      <c r="A1281" s="21" t="n">
        <v>1265</v>
      </c>
      <c r="B1281" s="22">
        <f>IF(AND($M1281="",$N1281=""),"",IF($M1281&lt;&gt;"",INDEX(CalcDateA,$M1281),INDEX(CalcDateB,$N1281)))</f>
        <v/>
      </c>
      <c r="C1281" s="22">
        <f>IF($M1281&lt;&gt;"","خرید سبد",IF($N1281&lt;&gt;"",IF(N(INDEX(CalcDepB,$N1281))&gt;0,"دریافت بانکی","پرداخت بانکی"),""))</f>
        <v/>
      </c>
      <c r="D1281" s="22">
        <f>IF($M1281&lt;&gt;"",IF(INDEX(CalcDocA,$M1281)="","—",INDEX(CalcDocA,$M1281)),IF($N1281&lt;&gt;"",INDEX(CalcBankB,$N1281),""))</f>
        <v/>
      </c>
      <c r="E1281" s="23">
        <f>IF($N1281&lt;&gt;"",IF(INDEX(CalcDepB,$N1281)=0,"",INDEX(CalcDepB,$N1281)),"")</f>
        <v/>
      </c>
      <c r="F1281" s="23">
        <f>IF($M1281&lt;&gt;"",IF(INDEX(CalcQtyA,$M1281)=0,"",INDEX(CalcQtyA,$M1281)),"")</f>
        <v/>
      </c>
      <c r="G1281" s="23">
        <f>IF($M1281&lt;&gt;"",IF(INDEX(CalcPriceA,$M1281)=0,"",INDEX(CalcPriceA,$M1281)),"")</f>
        <v/>
      </c>
      <c r="H1281" s="23">
        <f>IF($N1281&lt;&gt;"",IF(INDEX(CalcWitB,$N1281)=0,"",INDEX(CalcWitB,$N1281)),"")</f>
        <v/>
      </c>
      <c r="I1281" s="24">
        <f>IF($M1281&lt;&gt;"",INDEX(CalcAmtA,$M1281),"")</f>
        <v/>
      </c>
      <c r="J1281" s="24">
        <f>IF($B1281="","",IF($J1280="",$C$8,$J1280)+IF($I1281="",0,$I1281)+IF($E1281="",0,$E1281)-IF($H1281="",0,$H1281))</f>
        <v/>
      </c>
      <c r="K1281" s="25">
        <f>IF($M1281&lt;&gt;"",IF(INDEX(CalcNoteA,$M1281)="","—",INDEX(CalcNoteA,$M1281)),IF($N1281&lt;&gt;"",IF(INDEX(CalcNoteB,$N1281)="","—",INDEX(CalcNoteB,$N1281)),""))</f>
        <v/>
      </c>
      <c r="M1281">
        <f>IFERROR(MATCH($C$5&amp;"|"&amp;RIGHT("000000"&amp;1265,6),CalcRankKeyA,0),"")</f>
        <v/>
      </c>
      <c r="N1281">
        <f>IFERROR(MATCH($C$5&amp;"|"&amp;RIGHT("000000"&amp;1265,6),CalcRankKeyB,0),"")</f>
        <v/>
      </c>
    </row>
    <row r="1282">
      <c r="A1282" s="26" t="n">
        <v>1266</v>
      </c>
      <c r="B1282" s="27">
        <f>IF(AND($M1282="",$N1282=""),"",IF($M1282&lt;&gt;"",INDEX(CalcDateA,$M1282),INDEX(CalcDateB,$N1282)))</f>
        <v/>
      </c>
      <c r="C1282" s="27">
        <f>IF($M1282&lt;&gt;"","خرید سبد",IF($N1282&lt;&gt;"",IF(N(INDEX(CalcDepB,$N1282))&gt;0,"دریافت بانکی","پرداخت بانکی"),""))</f>
        <v/>
      </c>
      <c r="D1282" s="27">
        <f>IF($M1282&lt;&gt;"",IF(INDEX(CalcDocA,$M1282)="","—",INDEX(CalcDocA,$M1282)),IF($N1282&lt;&gt;"",INDEX(CalcBankB,$N1282),""))</f>
        <v/>
      </c>
      <c r="E1282" s="28">
        <f>IF($N1282&lt;&gt;"",IF(INDEX(CalcDepB,$N1282)=0,"",INDEX(CalcDepB,$N1282)),"")</f>
        <v/>
      </c>
      <c r="F1282" s="28">
        <f>IF($M1282&lt;&gt;"",IF(INDEX(CalcQtyA,$M1282)=0,"",INDEX(CalcQtyA,$M1282)),"")</f>
        <v/>
      </c>
      <c r="G1282" s="28">
        <f>IF($M1282&lt;&gt;"",IF(INDEX(CalcPriceA,$M1282)=0,"",INDEX(CalcPriceA,$M1282)),"")</f>
        <v/>
      </c>
      <c r="H1282" s="28">
        <f>IF($N1282&lt;&gt;"",IF(INDEX(CalcWitB,$N1282)=0,"",INDEX(CalcWitB,$N1282)),"")</f>
        <v/>
      </c>
      <c r="I1282" s="29">
        <f>IF($M1282&lt;&gt;"",INDEX(CalcAmtA,$M1282),"")</f>
        <v/>
      </c>
      <c r="J1282" s="29">
        <f>IF($B1282="","",IF($J1281="",$C$8,$J1281)+IF($I1282="",0,$I1282)+IF($E1282="",0,$E1282)-IF($H1282="",0,$H1282))</f>
        <v/>
      </c>
      <c r="K1282" s="30">
        <f>IF($M1282&lt;&gt;"",IF(INDEX(CalcNoteA,$M1282)="","—",INDEX(CalcNoteA,$M1282)),IF($N1282&lt;&gt;"",IF(INDEX(CalcNoteB,$N1282)="","—",INDEX(CalcNoteB,$N1282)),""))</f>
        <v/>
      </c>
      <c r="M1282">
        <f>IFERROR(MATCH($C$5&amp;"|"&amp;RIGHT("000000"&amp;1266,6),CalcRankKeyA,0),"")</f>
        <v/>
      </c>
      <c r="N1282">
        <f>IFERROR(MATCH($C$5&amp;"|"&amp;RIGHT("000000"&amp;1266,6),CalcRankKeyB,0),"")</f>
        <v/>
      </c>
    </row>
    <row r="1283">
      <c r="A1283" s="21" t="n">
        <v>1267</v>
      </c>
      <c r="B1283" s="22">
        <f>IF(AND($M1283="",$N1283=""),"",IF($M1283&lt;&gt;"",INDEX(CalcDateA,$M1283),INDEX(CalcDateB,$N1283)))</f>
        <v/>
      </c>
      <c r="C1283" s="22">
        <f>IF($M1283&lt;&gt;"","خرید سبد",IF($N1283&lt;&gt;"",IF(N(INDEX(CalcDepB,$N1283))&gt;0,"دریافت بانکی","پرداخت بانکی"),""))</f>
        <v/>
      </c>
      <c r="D1283" s="22">
        <f>IF($M1283&lt;&gt;"",IF(INDEX(CalcDocA,$M1283)="","—",INDEX(CalcDocA,$M1283)),IF($N1283&lt;&gt;"",INDEX(CalcBankB,$N1283),""))</f>
        <v/>
      </c>
      <c r="E1283" s="23">
        <f>IF($N1283&lt;&gt;"",IF(INDEX(CalcDepB,$N1283)=0,"",INDEX(CalcDepB,$N1283)),"")</f>
        <v/>
      </c>
      <c r="F1283" s="23">
        <f>IF($M1283&lt;&gt;"",IF(INDEX(CalcQtyA,$M1283)=0,"",INDEX(CalcQtyA,$M1283)),"")</f>
        <v/>
      </c>
      <c r="G1283" s="23">
        <f>IF($M1283&lt;&gt;"",IF(INDEX(CalcPriceA,$M1283)=0,"",INDEX(CalcPriceA,$M1283)),"")</f>
        <v/>
      </c>
      <c r="H1283" s="23">
        <f>IF($N1283&lt;&gt;"",IF(INDEX(CalcWitB,$N1283)=0,"",INDEX(CalcWitB,$N1283)),"")</f>
        <v/>
      </c>
      <c r="I1283" s="24">
        <f>IF($M1283&lt;&gt;"",INDEX(CalcAmtA,$M1283),"")</f>
        <v/>
      </c>
      <c r="J1283" s="24">
        <f>IF($B1283="","",IF($J1282="",$C$8,$J1282)+IF($I1283="",0,$I1283)+IF($E1283="",0,$E1283)-IF($H1283="",0,$H1283))</f>
        <v/>
      </c>
      <c r="K1283" s="25">
        <f>IF($M1283&lt;&gt;"",IF(INDEX(CalcNoteA,$M1283)="","—",INDEX(CalcNoteA,$M1283)),IF($N1283&lt;&gt;"",IF(INDEX(CalcNoteB,$N1283)="","—",INDEX(CalcNoteB,$N1283)),""))</f>
        <v/>
      </c>
      <c r="M1283">
        <f>IFERROR(MATCH($C$5&amp;"|"&amp;RIGHT("000000"&amp;1267,6),CalcRankKeyA,0),"")</f>
        <v/>
      </c>
      <c r="N1283">
        <f>IFERROR(MATCH($C$5&amp;"|"&amp;RIGHT("000000"&amp;1267,6),CalcRankKeyB,0),"")</f>
        <v/>
      </c>
    </row>
    <row r="1284">
      <c r="A1284" s="26" t="n">
        <v>1268</v>
      </c>
      <c r="B1284" s="27">
        <f>IF(AND($M1284="",$N1284=""),"",IF($M1284&lt;&gt;"",INDEX(CalcDateA,$M1284),INDEX(CalcDateB,$N1284)))</f>
        <v/>
      </c>
      <c r="C1284" s="27">
        <f>IF($M1284&lt;&gt;"","خرید سبد",IF($N1284&lt;&gt;"",IF(N(INDEX(CalcDepB,$N1284))&gt;0,"دریافت بانکی","پرداخت بانکی"),""))</f>
        <v/>
      </c>
      <c r="D1284" s="27">
        <f>IF($M1284&lt;&gt;"",IF(INDEX(CalcDocA,$M1284)="","—",INDEX(CalcDocA,$M1284)),IF($N1284&lt;&gt;"",INDEX(CalcBankB,$N1284),""))</f>
        <v/>
      </c>
      <c r="E1284" s="28">
        <f>IF($N1284&lt;&gt;"",IF(INDEX(CalcDepB,$N1284)=0,"",INDEX(CalcDepB,$N1284)),"")</f>
        <v/>
      </c>
      <c r="F1284" s="28">
        <f>IF($M1284&lt;&gt;"",IF(INDEX(CalcQtyA,$M1284)=0,"",INDEX(CalcQtyA,$M1284)),"")</f>
        <v/>
      </c>
      <c r="G1284" s="28">
        <f>IF($M1284&lt;&gt;"",IF(INDEX(CalcPriceA,$M1284)=0,"",INDEX(CalcPriceA,$M1284)),"")</f>
        <v/>
      </c>
      <c r="H1284" s="28">
        <f>IF($N1284&lt;&gt;"",IF(INDEX(CalcWitB,$N1284)=0,"",INDEX(CalcWitB,$N1284)),"")</f>
        <v/>
      </c>
      <c r="I1284" s="29">
        <f>IF($M1284&lt;&gt;"",INDEX(CalcAmtA,$M1284),"")</f>
        <v/>
      </c>
      <c r="J1284" s="29">
        <f>IF($B1284="","",IF($J1283="",$C$8,$J1283)+IF($I1284="",0,$I1284)+IF($E1284="",0,$E1284)-IF($H1284="",0,$H1284))</f>
        <v/>
      </c>
      <c r="K1284" s="30">
        <f>IF($M1284&lt;&gt;"",IF(INDEX(CalcNoteA,$M1284)="","—",INDEX(CalcNoteA,$M1284)),IF($N1284&lt;&gt;"",IF(INDEX(CalcNoteB,$N1284)="","—",INDEX(CalcNoteB,$N1284)),""))</f>
        <v/>
      </c>
      <c r="M1284">
        <f>IFERROR(MATCH($C$5&amp;"|"&amp;RIGHT("000000"&amp;1268,6),CalcRankKeyA,0),"")</f>
        <v/>
      </c>
      <c r="N1284">
        <f>IFERROR(MATCH($C$5&amp;"|"&amp;RIGHT("000000"&amp;1268,6),CalcRankKeyB,0),"")</f>
        <v/>
      </c>
    </row>
    <row r="1285">
      <c r="A1285" s="21" t="n">
        <v>1269</v>
      </c>
      <c r="B1285" s="22">
        <f>IF(AND($M1285="",$N1285=""),"",IF($M1285&lt;&gt;"",INDEX(CalcDateA,$M1285),INDEX(CalcDateB,$N1285)))</f>
        <v/>
      </c>
      <c r="C1285" s="22">
        <f>IF($M1285&lt;&gt;"","خرید سبد",IF($N1285&lt;&gt;"",IF(N(INDEX(CalcDepB,$N1285))&gt;0,"دریافت بانکی","پرداخت بانکی"),""))</f>
        <v/>
      </c>
      <c r="D1285" s="22">
        <f>IF($M1285&lt;&gt;"",IF(INDEX(CalcDocA,$M1285)="","—",INDEX(CalcDocA,$M1285)),IF($N1285&lt;&gt;"",INDEX(CalcBankB,$N1285),""))</f>
        <v/>
      </c>
      <c r="E1285" s="23">
        <f>IF($N1285&lt;&gt;"",IF(INDEX(CalcDepB,$N1285)=0,"",INDEX(CalcDepB,$N1285)),"")</f>
        <v/>
      </c>
      <c r="F1285" s="23">
        <f>IF($M1285&lt;&gt;"",IF(INDEX(CalcQtyA,$M1285)=0,"",INDEX(CalcQtyA,$M1285)),"")</f>
        <v/>
      </c>
      <c r="G1285" s="23">
        <f>IF($M1285&lt;&gt;"",IF(INDEX(CalcPriceA,$M1285)=0,"",INDEX(CalcPriceA,$M1285)),"")</f>
        <v/>
      </c>
      <c r="H1285" s="23">
        <f>IF($N1285&lt;&gt;"",IF(INDEX(CalcWitB,$N1285)=0,"",INDEX(CalcWitB,$N1285)),"")</f>
        <v/>
      </c>
      <c r="I1285" s="24">
        <f>IF($M1285&lt;&gt;"",INDEX(CalcAmtA,$M1285),"")</f>
        <v/>
      </c>
      <c r="J1285" s="24">
        <f>IF($B1285="","",IF($J1284="",$C$8,$J1284)+IF($I1285="",0,$I1285)+IF($E1285="",0,$E1285)-IF($H1285="",0,$H1285))</f>
        <v/>
      </c>
      <c r="K1285" s="25">
        <f>IF($M1285&lt;&gt;"",IF(INDEX(CalcNoteA,$M1285)="","—",INDEX(CalcNoteA,$M1285)),IF($N1285&lt;&gt;"",IF(INDEX(CalcNoteB,$N1285)="","—",INDEX(CalcNoteB,$N1285)),""))</f>
        <v/>
      </c>
      <c r="M1285">
        <f>IFERROR(MATCH($C$5&amp;"|"&amp;RIGHT("000000"&amp;1269,6),CalcRankKeyA,0),"")</f>
        <v/>
      </c>
      <c r="N1285">
        <f>IFERROR(MATCH($C$5&amp;"|"&amp;RIGHT("000000"&amp;1269,6),CalcRankKeyB,0),"")</f>
        <v/>
      </c>
    </row>
    <row r="1286">
      <c r="A1286" s="26" t="n">
        <v>1270</v>
      </c>
      <c r="B1286" s="27">
        <f>IF(AND($M1286="",$N1286=""),"",IF($M1286&lt;&gt;"",INDEX(CalcDateA,$M1286),INDEX(CalcDateB,$N1286)))</f>
        <v/>
      </c>
      <c r="C1286" s="27">
        <f>IF($M1286&lt;&gt;"","خرید سبد",IF($N1286&lt;&gt;"",IF(N(INDEX(CalcDepB,$N1286))&gt;0,"دریافت بانکی","پرداخت بانکی"),""))</f>
        <v/>
      </c>
      <c r="D1286" s="27">
        <f>IF($M1286&lt;&gt;"",IF(INDEX(CalcDocA,$M1286)="","—",INDEX(CalcDocA,$M1286)),IF($N1286&lt;&gt;"",INDEX(CalcBankB,$N1286),""))</f>
        <v/>
      </c>
      <c r="E1286" s="28">
        <f>IF($N1286&lt;&gt;"",IF(INDEX(CalcDepB,$N1286)=0,"",INDEX(CalcDepB,$N1286)),"")</f>
        <v/>
      </c>
      <c r="F1286" s="28">
        <f>IF($M1286&lt;&gt;"",IF(INDEX(CalcQtyA,$M1286)=0,"",INDEX(CalcQtyA,$M1286)),"")</f>
        <v/>
      </c>
      <c r="G1286" s="28">
        <f>IF($M1286&lt;&gt;"",IF(INDEX(CalcPriceA,$M1286)=0,"",INDEX(CalcPriceA,$M1286)),"")</f>
        <v/>
      </c>
      <c r="H1286" s="28">
        <f>IF($N1286&lt;&gt;"",IF(INDEX(CalcWitB,$N1286)=0,"",INDEX(CalcWitB,$N1286)),"")</f>
        <v/>
      </c>
      <c r="I1286" s="29">
        <f>IF($M1286&lt;&gt;"",INDEX(CalcAmtA,$M1286),"")</f>
        <v/>
      </c>
      <c r="J1286" s="29">
        <f>IF($B1286="","",IF($J1285="",$C$8,$J1285)+IF($I1286="",0,$I1286)+IF($E1286="",0,$E1286)-IF($H1286="",0,$H1286))</f>
        <v/>
      </c>
      <c r="K1286" s="30">
        <f>IF($M1286&lt;&gt;"",IF(INDEX(CalcNoteA,$M1286)="","—",INDEX(CalcNoteA,$M1286)),IF($N1286&lt;&gt;"",IF(INDEX(CalcNoteB,$N1286)="","—",INDEX(CalcNoteB,$N1286)),""))</f>
        <v/>
      </c>
      <c r="M1286">
        <f>IFERROR(MATCH($C$5&amp;"|"&amp;RIGHT("000000"&amp;1270,6),CalcRankKeyA,0),"")</f>
        <v/>
      </c>
      <c r="N1286">
        <f>IFERROR(MATCH($C$5&amp;"|"&amp;RIGHT("000000"&amp;1270,6),CalcRankKeyB,0),"")</f>
        <v/>
      </c>
    </row>
    <row r="1287">
      <c r="A1287" s="21" t="n">
        <v>1271</v>
      </c>
      <c r="B1287" s="22">
        <f>IF(AND($M1287="",$N1287=""),"",IF($M1287&lt;&gt;"",INDEX(CalcDateA,$M1287),INDEX(CalcDateB,$N1287)))</f>
        <v/>
      </c>
      <c r="C1287" s="22">
        <f>IF($M1287&lt;&gt;"","خرید سبد",IF($N1287&lt;&gt;"",IF(N(INDEX(CalcDepB,$N1287))&gt;0,"دریافت بانکی","پرداخت بانکی"),""))</f>
        <v/>
      </c>
      <c r="D1287" s="22">
        <f>IF($M1287&lt;&gt;"",IF(INDEX(CalcDocA,$M1287)="","—",INDEX(CalcDocA,$M1287)),IF($N1287&lt;&gt;"",INDEX(CalcBankB,$N1287),""))</f>
        <v/>
      </c>
      <c r="E1287" s="23">
        <f>IF($N1287&lt;&gt;"",IF(INDEX(CalcDepB,$N1287)=0,"",INDEX(CalcDepB,$N1287)),"")</f>
        <v/>
      </c>
      <c r="F1287" s="23">
        <f>IF($M1287&lt;&gt;"",IF(INDEX(CalcQtyA,$M1287)=0,"",INDEX(CalcQtyA,$M1287)),"")</f>
        <v/>
      </c>
      <c r="G1287" s="23">
        <f>IF($M1287&lt;&gt;"",IF(INDEX(CalcPriceA,$M1287)=0,"",INDEX(CalcPriceA,$M1287)),"")</f>
        <v/>
      </c>
      <c r="H1287" s="23">
        <f>IF($N1287&lt;&gt;"",IF(INDEX(CalcWitB,$N1287)=0,"",INDEX(CalcWitB,$N1287)),"")</f>
        <v/>
      </c>
      <c r="I1287" s="24">
        <f>IF($M1287&lt;&gt;"",INDEX(CalcAmtA,$M1287),"")</f>
        <v/>
      </c>
      <c r="J1287" s="24">
        <f>IF($B1287="","",IF($J1286="",$C$8,$J1286)+IF($I1287="",0,$I1287)+IF($E1287="",0,$E1287)-IF($H1287="",0,$H1287))</f>
        <v/>
      </c>
      <c r="K1287" s="25">
        <f>IF($M1287&lt;&gt;"",IF(INDEX(CalcNoteA,$M1287)="","—",INDEX(CalcNoteA,$M1287)),IF($N1287&lt;&gt;"",IF(INDEX(CalcNoteB,$N1287)="","—",INDEX(CalcNoteB,$N1287)),""))</f>
        <v/>
      </c>
      <c r="M1287">
        <f>IFERROR(MATCH($C$5&amp;"|"&amp;RIGHT("000000"&amp;1271,6),CalcRankKeyA,0),"")</f>
        <v/>
      </c>
      <c r="N1287">
        <f>IFERROR(MATCH($C$5&amp;"|"&amp;RIGHT("000000"&amp;1271,6),CalcRankKeyB,0),"")</f>
        <v/>
      </c>
    </row>
    <row r="1288">
      <c r="A1288" s="26" t="n">
        <v>1272</v>
      </c>
      <c r="B1288" s="27">
        <f>IF(AND($M1288="",$N1288=""),"",IF($M1288&lt;&gt;"",INDEX(CalcDateA,$M1288),INDEX(CalcDateB,$N1288)))</f>
        <v/>
      </c>
      <c r="C1288" s="27">
        <f>IF($M1288&lt;&gt;"","خرید سبد",IF($N1288&lt;&gt;"",IF(N(INDEX(CalcDepB,$N1288))&gt;0,"دریافت بانکی","پرداخت بانکی"),""))</f>
        <v/>
      </c>
      <c r="D1288" s="27">
        <f>IF($M1288&lt;&gt;"",IF(INDEX(CalcDocA,$M1288)="","—",INDEX(CalcDocA,$M1288)),IF($N1288&lt;&gt;"",INDEX(CalcBankB,$N1288),""))</f>
        <v/>
      </c>
      <c r="E1288" s="28">
        <f>IF($N1288&lt;&gt;"",IF(INDEX(CalcDepB,$N1288)=0,"",INDEX(CalcDepB,$N1288)),"")</f>
        <v/>
      </c>
      <c r="F1288" s="28">
        <f>IF($M1288&lt;&gt;"",IF(INDEX(CalcQtyA,$M1288)=0,"",INDEX(CalcQtyA,$M1288)),"")</f>
        <v/>
      </c>
      <c r="G1288" s="28">
        <f>IF($M1288&lt;&gt;"",IF(INDEX(CalcPriceA,$M1288)=0,"",INDEX(CalcPriceA,$M1288)),"")</f>
        <v/>
      </c>
      <c r="H1288" s="28">
        <f>IF($N1288&lt;&gt;"",IF(INDEX(CalcWitB,$N1288)=0,"",INDEX(CalcWitB,$N1288)),"")</f>
        <v/>
      </c>
      <c r="I1288" s="29">
        <f>IF($M1288&lt;&gt;"",INDEX(CalcAmtA,$M1288),"")</f>
        <v/>
      </c>
      <c r="J1288" s="29">
        <f>IF($B1288="","",IF($J1287="",$C$8,$J1287)+IF($I1288="",0,$I1288)+IF($E1288="",0,$E1288)-IF($H1288="",0,$H1288))</f>
        <v/>
      </c>
      <c r="K1288" s="30">
        <f>IF($M1288&lt;&gt;"",IF(INDEX(CalcNoteA,$M1288)="","—",INDEX(CalcNoteA,$M1288)),IF($N1288&lt;&gt;"",IF(INDEX(CalcNoteB,$N1288)="","—",INDEX(CalcNoteB,$N1288)),""))</f>
        <v/>
      </c>
      <c r="M1288">
        <f>IFERROR(MATCH($C$5&amp;"|"&amp;RIGHT("000000"&amp;1272,6),CalcRankKeyA,0),"")</f>
        <v/>
      </c>
      <c r="N1288">
        <f>IFERROR(MATCH($C$5&amp;"|"&amp;RIGHT("000000"&amp;1272,6),CalcRankKeyB,0),"")</f>
        <v/>
      </c>
    </row>
    <row r="1289">
      <c r="A1289" s="21" t="n">
        <v>1273</v>
      </c>
      <c r="B1289" s="22">
        <f>IF(AND($M1289="",$N1289=""),"",IF($M1289&lt;&gt;"",INDEX(CalcDateA,$M1289),INDEX(CalcDateB,$N1289)))</f>
        <v/>
      </c>
      <c r="C1289" s="22">
        <f>IF($M1289&lt;&gt;"","خرید سبد",IF($N1289&lt;&gt;"",IF(N(INDEX(CalcDepB,$N1289))&gt;0,"دریافت بانکی","پرداخت بانکی"),""))</f>
        <v/>
      </c>
      <c r="D1289" s="22">
        <f>IF($M1289&lt;&gt;"",IF(INDEX(CalcDocA,$M1289)="","—",INDEX(CalcDocA,$M1289)),IF($N1289&lt;&gt;"",INDEX(CalcBankB,$N1289),""))</f>
        <v/>
      </c>
      <c r="E1289" s="23">
        <f>IF($N1289&lt;&gt;"",IF(INDEX(CalcDepB,$N1289)=0,"",INDEX(CalcDepB,$N1289)),"")</f>
        <v/>
      </c>
      <c r="F1289" s="23">
        <f>IF($M1289&lt;&gt;"",IF(INDEX(CalcQtyA,$M1289)=0,"",INDEX(CalcQtyA,$M1289)),"")</f>
        <v/>
      </c>
      <c r="G1289" s="23">
        <f>IF($M1289&lt;&gt;"",IF(INDEX(CalcPriceA,$M1289)=0,"",INDEX(CalcPriceA,$M1289)),"")</f>
        <v/>
      </c>
      <c r="H1289" s="23">
        <f>IF($N1289&lt;&gt;"",IF(INDEX(CalcWitB,$N1289)=0,"",INDEX(CalcWitB,$N1289)),"")</f>
        <v/>
      </c>
      <c r="I1289" s="24">
        <f>IF($M1289&lt;&gt;"",INDEX(CalcAmtA,$M1289),"")</f>
        <v/>
      </c>
      <c r="J1289" s="24">
        <f>IF($B1289="","",IF($J1288="",$C$8,$J1288)+IF($I1289="",0,$I1289)+IF($E1289="",0,$E1289)-IF($H1289="",0,$H1289))</f>
        <v/>
      </c>
      <c r="K1289" s="25">
        <f>IF($M1289&lt;&gt;"",IF(INDEX(CalcNoteA,$M1289)="","—",INDEX(CalcNoteA,$M1289)),IF($N1289&lt;&gt;"",IF(INDEX(CalcNoteB,$N1289)="","—",INDEX(CalcNoteB,$N1289)),""))</f>
        <v/>
      </c>
      <c r="M1289">
        <f>IFERROR(MATCH($C$5&amp;"|"&amp;RIGHT("000000"&amp;1273,6),CalcRankKeyA,0),"")</f>
        <v/>
      </c>
      <c r="N1289">
        <f>IFERROR(MATCH($C$5&amp;"|"&amp;RIGHT("000000"&amp;1273,6),CalcRankKeyB,0),"")</f>
        <v/>
      </c>
    </row>
    <row r="1290">
      <c r="A1290" s="26" t="n">
        <v>1274</v>
      </c>
      <c r="B1290" s="27">
        <f>IF(AND($M1290="",$N1290=""),"",IF($M1290&lt;&gt;"",INDEX(CalcDateA,$M1290),INDEX(CalcDateB,$N1290)))</f>
        <v/>
      </c>
      <c r="C1290" s="27">
        <f>IF($M1290&lt;&gt;"","خرید سبد",IF($N1290&lt;&gt;"",IF(N(INDEX(CalcDepB,$N1290))&gt;0,"دریافت بانکی","پرداخت بانکی"),""))</f>
        <v/>
      </c>
      <c r="D1290" s="27">
        <f>IF($M1290&lt;&gt;"",IF(INDEX(CalcDocA,$M1290)="","—",INDEX(CalcDocA,$M1290)),IF($N1290&lt;&gt;"",INDEX(CalcBankB,$N1290),""))</f>
        <v/>
      </c>
      <c r="E1290" s="28">
        <f>IF($N1290&lt;&gt;"",IF(INDEX(CalcDepB,$N1290)=0,"",INDEX(CalcDepB,$N1290)),"")</f>
        <v/>
      </c>
      <c r="F1290" s="28">
        <f>IF($M1290&lt;&gt;"",IF(INDEX(CalcQtyA,$M1290)=0,"",INDEX(CalcQtyA,$M1290)),"")</f>
        <v/>
      </c>
      <c r="G1290" s="28">
        <f>IF($M1290&lt;&gt;"",IF(INDEX(CalcPriceA,$M1290)=0,"",INDEX(CalcPriceA,$M1290)),"")</f>
        <v/>
      </c>
      <c r="H1290" s="28">
        <f>IF($N1290&lt;&gt;"",IF(INDEX(CalcWitB,$N1290)=0,"",INDEX(CalcWitB,$N1290)),"")</f>
        <v/>
      </c>
      <c r="I1290" s="29">
        <f>IF($M1290&lt;&gt;"",INDEX(CalcAmtA,$M1290),"")</f>
        <v/>
      </c>
      <c r="J1290" s="29">
        <f>IF($B1290="","",IF($J1289="",$C$8,$J1289)+IF($I1290="",0,$I1290)+IF($E1290="",0,$E1290)-IF($H1290="",0,$H1290))</f>
        <v/>
      </c>
      <c r="K1290" s="30">
        <f>IF($M1290&lt;&gt;"",IF(INDEX(CalcNoteA,$M1290)="","—",INDEX(CalcNoteA,$M1290)),IF($N1290&lt;&gt;"",IF(INDEX(CalcNoteB,$N1290)="","—",INDEX(CalcNoteB,$N1290)),""))</f>
        <v/>
      </c>
      <c r="M1290">
        <f>IFERROR(MATCH($C$5&amp;"|"&amp;RIGHT("000000"&amp;1274,6),CalcRankKeyA,0),"")</f>
        <v/>
      </c>
      <c r="N1290">
        <f>IFERROR(MATCH($C$5&amp;"|"&amp;RIGHT("000000"&amp;1274,6),CalcRankKeyB,0),"")</f>
        <v/>
      </c>
    </row>
    <row r="1291">
      <c r="A1291" s="21" t="n">
        <v>1275</v>
      </c>
      <c r="B1291" s="22">
        <f>IF(AND($M1291="",$N1291=""),"",IF($M1291&lt;&gt;"",INDEX(CalcDateA,$M1291),INDEX(CalcDateB,$N1291)))</f>
        <v/>
      </c>
      <c r="C1291" s="22">
        <f>IF($M1291&lt;&gt;"","خرید سبد",IF($N1291&lt;&gt;"",IF(N(INDEX(CalcDepB,$N1291))&gt;0,"دریافت بانکی","پرداخت بانکی"),""))</f>
        <v/>
      </c>
      <c r="D1291" s="22">
        <f>IF($M1291&lt;&gt;"",IF(INDEX(CalcDocA,$M1291)="","—",INDEX(CalcDocA,$M1291)),IF($N1291&lt;&gt;"",INDEX(CalcBankB,$N1291),""))</f>
        <v/>
      </c>
      <c r="E1291" s="23">
        <f>IF($N1291&lt;&gt;"",IF(INDEX(CalcDepB,$N1291)=0,"",INDEX(CalcDepB,$N1291)),"")</f>
        <v/>
      </c>
      <c r="F1291" s="23">
        <f>IF($M1291&lt;&gt;"",IF(INDEX(CalcQtyA,$M1291)=0,"",INDEX(CalcQtyA,$M1291)),"")</f>
        <v/>
      </c>
      <c r="G1291" s="23">
        <f>IF($M1291&lt;&gt;"",IF(INDEX(CalcPriceA,$M1291)=0,"",INDEX(CalcPriceA,$M1291)),"")</f>
        <v/>
      </c>
      <c r="H1291" s="23">
        <f>IF($N1291&lt;&gt;"",IF(INDEX(CalcWitB,$N1291)=0,"",INDEX(CalcWitB,$N1291)),"")</f>
        <v/>
      </c>
      <c r="I1291" s="24">
        <f>IF($M1291&lt;&gt;"",INDEX(CalcAmtA,$M1291),"")</f>
        <v/>
      </c>
      <c r="J1291" s="24">
        <f>IF($B1291="","",IF($J1290="",$C$8,$J1290)+IF($I1291="",0,$I1291)+IF($E1291="",0,$E1291)-IF($H1291="",0,$H1291))</f>
        <v/>
      </c>
      <c r="K1291" s="25">
        <f>IF($M1291&lt;&gt;"",IF(INDEX(CalcNoteA,$M1291)="","—",INDEX(CalcNoteA,$M1291)),IF($N1291&lt;&gt;"",IF(INDEX(CalcNoteB,$N1291)="","—",INDEX(CalcNoteB,$N1291)),""))</f>
        <v/>
      </c>
      <c r="M1291">
        <f>IFERROR(MATCH($C$5&amp;"|"&amp;RIGHT("000000"&amp;1275,6),CalcRankKeyA,0),"")</f>
        <v/>
      </c>
      <c r="N1291">
        <f>IFERROR(MATCH($C$5&amp;"|"&amp;RIGHT("000000"&amp;1275,6),CalcRankKeyB,0),"")</f>
        <v/>
      </c>
    </row>
    <row r="1292">
      <c r="A1292" s="26" t="n">
        <v>1276</v>
      </c>
      <c r="B1292" s="27">
        <f>IF(AND($M1292="",$N1292=""),"",IF($M1292&lt;&gt;"",INDEX(CalcDateA,$M1292),INDEX(CalcDateB,$N1292)))</f>
        <v/>
      </c>
      <c r="C1292" s="27">
        <f>IF($M1292&lt;&gt;"","خرید سبد",IF($N1292&lt;&gt;"",IF(N(INDEX(CalcDepB,$N1292))&gt;0,"دریافت بانکی","پرداخت بانکی"),""))</f>
        <v/>
      </c>
      <c r="D1292" s="27">
        <f>IF($M1292&lt;&gt;"",IF(INDEX(CalcDocA,$M1292)="","—",INDEX(CalcDocA,$M1292)),IF($N1292&lt;&gt;"",INDEX(CalcBankB,$N1292),""))</f>
        <v/>
      </c>
      <c r="E1292" s="28">
        <f>IF($N1292&lt;&gt;"",IF(INDEX(CalcDepB,$N1292)=0,"",INDEX(CalcDepB,$N1292)),"")</f>
        <v/>
      </c>
      <c r="F1292" s="28">
        <f>IF($M1292&lt;&gt;"",IF(INDEX(CalcQtyA,$M1292)=0,"",INDEX(CalcQtyA,$M1292)),"")</f>
        <v/>
      </c>
      <c r="G1292" s="28">
        <f>IF($M1292&lt;&gt;"",IF(INDEX(CalcPriceA,$M1292)=0,"",INDEX(CalcPriceA,$M1292)),"")</f>
        <v/>
      </c>
      <c r="H1292" s="28">
        <f>IF($N1292&lt;&gt;"",IF(INDEX(CalcWitB,$N1292)=0,"",INDEX(CalcWitB,$N1292)),"")</f>
        <v/>
      </c>
      <c r="I1292" s="29">
        <f>IF($M1292&lt;&gt;"",INDEX(CalcAmtA,$M1292),"")</f>
        <v/>
      </c>
      <c r="J1292" s="29">
        <f>IF($B1292="","",IF($J1291="",$C$8,$J1291)+IF($I1292="",0,$I1292)+IF($E1292="",0,$E1292)-IF($H1292="",0,$H1292))</f>
        <v/>
      </c>
      <c r="K1292" s="30">
        <f>IF($M1292&lt;&gt;"",IF(INDEX(CalcNoteA,$M1292)="","—",INDEX(CalcNoteA,$M1292)),IF($N1292&lt;&gt;"",IF(INDEX(CalcNoteB,$N1292)="","—",INDEX(CalcNoteB,$N1292)),""))</f>
        <v/>
      </c>
      <c r="M1292">
        <f>IFERROR(MATCH($C$5&amp;"|"&amp;RIGHT("000000"&amp;1276,6),CalcRankKeyA,0),"")</f>
        <v/>
      </c>
      <c r="N1292">
        <f>IFERROR(MATCH($C$5&amp;"|"&amp;RIGHT("000000"&amp;1276,6),CalcRankKeyB,0),"")</f>
        <v/>
      </c>
    </row>
    <row r="1293">
      <c r="A1293" s="21" t="n">
        <v>1277</v>
      </c>
      <c r="B1293" s="22">
        <f>IF(AND($M1293="",$N1293=""),"",IF($M1293&lt;&gt;"",INDEX(CalcDateA,$M1293),INDEX(CalcDateB,$N1293)))</f>
        <v/>
      </c>
      <c r="C1293" s="22">
        <f>IF($M1293&lt;&gt;"","خرید سبد",IF($N1293&lt;&gt;"",IF(N(INDEX(CalcDepB,$N1293))&gt;0,"دریافت بانکی","پرداخت بانکی"),""))</f>
        <v/>
      </c>
      <c r="D1293" s="22">
        <f>IF($M1293&lt;&gt;"",IF(INDEX(CalcDocA,$M1293)="","—",INDEX(CalcDocA,$M1293)),IF($N1293&lt;&gt;"",INDEX(CalcBankB,$N1293),""))</f>
        <v/>
      </c>
      <c r="E1293" s="23">
        <f>IF($N1293&lt;&gt;"",IF(INDEX(CalcDepB,$N1293)=0,"",INDEX(CalcDepB,$N1293)),"")</f>
        <v/>
      </c>
      <c r="F1293" s="23">
        <f>IF($M1293&lt;&gt;"",IF(INDEX(CalcQtyA,$M1293)=0,"",INDEX(CalcQtyA,$M1293)),"")</f>
        <v/>
      </c>
      <c r="G1293" s="23">
        <f>IF($M1293&lt;&gt;"",IF(INDEX(CalcPriceA,$M1293)=0,"",INDEX(CalcPriceA,$M1293)),"")</f>
        <v/>
      </c>
      <c r="H1293" s="23">
        <f>IF($N1293&lt;&gt;"",IF(INDEX(CalcWitB,$N1293)=0,"",INDEX(CalcWitB,$N1293)),"")</f>
        <v/>
      </c>
      <c r="I1293" s="24">
        <f>IF($M1293&lt;&gt;"",INDEX(CalcAmtA,$M1293),"")</f>
        <v/>
      </c>
      <c r="J1293" s="24">
        <f>IF($B1293="","",IF($J1292="",$C$8,$J1292)+IF($I1293="",0,$I1293)+IF($E1293="",0,$E1293)-IF($H1293="",0,$H1293))</f>
        <v/>
      </c>
      <c r="K1293" s="25">
        <f>IF($M1293&lt;&gt;"",IF(INDEX(CalcNoteA,$M1293)="","—",INDEX(CalcNoteA,$M1293)),IF($N1293&lt;&gt;"",IF(INDEX(CalcNoteB,$N1293)="","—",INDEX(CalcNoteB,$N1293)),""))</f>
        <v/>
      </c>
      <c r="M1293">
        <f>IFERROR(MATCH($C$5&amp;"|"&amp;RIGHT("000000"&amp;1277,6),CalcRankKeyA,0),"")</f>
        <v/>
      </c>
      <c r="N1293">
        <f>IFERROR(MATCH($C$5&amp;"|"&amp;RIGHT("000000"&amp;1277,6),CalcRankKeyB,0),"")</f>
        <v/>
      </c>
    </row>
    <row r="1294">
      <c r="A1294" s="26" t="n">
        <v>1278</v>
      </c>
      <c r="B1294" s="27">
        <f>IF(AND($M1294="",$N1294=""),"",IF($M1294&lt;&gt;"",INDEX(CalcDateA,$M1294),INDEX(CalcDateB,$N1294)))</f>
        <v/>
      </c>
      <c r="C1294" s="27">
        <f>IF($M1294&lt;&gt;"","خرید سبد",IF($N1294&lt;&gt;"",IF(N(INDEX(CalcDepB,$N1294))&gt;0,"دریافت بانکی","پرداخت بانکی"),""))</f>
        <v/>
      </c>
      <c r="D1294" s="27">
        <f>IF($M1294&lt;&gt;"",IF(INDEX(CalcDocA,$M1294)="","—",INDEX(CalcDocA,$M1294)),IF($N1294&lt;&gt;"",INDEX(CalcBankB,$N1294),""))</f>
        <v/>
      </c>
      <c r="E1294" s="28">
        <f>IF($N1294&lt;&gt;"",IF(INDEX(CalcDepB,$N1294)=0,"",INDEX(CalcDepB,$N1294)),"")</f>
        <v/>
      </c>
      <c r="F1294" s="28">
        <f>IF($M1294&lt;&gt;"",IF(INDEX(CalcQtyA,$M1294)=0,"",INDEX(CalcQtyA,$M1294)),"")</f>
        <v/>
      </c>
      <c r="G1294" s="28">
        <f>IF($M1294&lt;&gt;"",IF(INDEX(CalcPriceA,$M1294)=0,"",INDEX(CalcPriceA,$M1294)),"")</f>
        <v/>
      </c>
      <c r="H1294" s="28">
        <f>IF($N1294&lt;&gt;"",IF(INDEX(CalcWitB,$N1294)=0,"",INDEX(CalcWitB,$N1294)),"")</f>
        <v/>
      </c>
      <c r="I1294" s="29">
        <f>IF($M1294&lt;&gt;"",INDEX(CalcAmtA,$M1294),"")</f>
        <v/>
      </c>
      <c r="J1294" s="29">
        <f>IF($B1294="","",IF($J1293="",$C$8,$J1293)+IF($I1294="",0,$I1294)+IF($E1294="",0,$E1294)-IF($H1294="",0,$H1294))</f>
        <v/>
      </c>
      <c r="K1294" s="30">
        <f>IF($M1294&lt;&gt;"",IF(INDEX(CalcNoteA,$M1294)="","—",INDEX(CalcNoteA,$M1294)),IF($N1294&lt;&gt;"",IF(INDEX(CalcNoteB,$N1294)="","—",INDEX(CalcNoteB,$N1294)),""))</f>
        <v/>
      </c>
      <c r="M1294">
        <f>IFERROR(MATCH($C$5&amp;"|"&amp;RIGHT("000000"&amp;1278,6),CalcRankKeyA,0),"")</f>
        <v/>
      </c>
      <c r="N1294">
        <f>IFERROR(MATCH($C$5&amp;"|"&amp;RIGHT("000000"&amp;1278,6),CalcRankKeyB,0),"")</f>
        <v/>
      </c>
    </row>
    <row r="1295">
      <c r="A1295" s="21" t="n">
        <v>1279</v>
      </c>
      <c r="B1295" s="22">
        <f>IF(AND($M1295="",$N1295=""),"",IF($M1295&lt;&gt;"",INDEX(CalcDateA,$M1295),INDEX(CalcDateB,$N1295)))</f>
        <v/>
      </c>
      <c r="C1295" s="22">
        <f>IF($M1295&lt;&gt;"","خرید سبد",IF($N1295&lt;&gt;"",IF(N(INDEX(CalcDepB,$N1295))&gt;0,"دریافت بانکی","پرداخت بانکی"),""))</f>
        <v/>
      </c>
      <c r="D1295" s="22">
        <f>IF($M1295&lt;&gt;"",IF(INDEX(CalcDocA,$M1295)="","—",INDEX(CalcDocA,$M1295)),IF($N1295&lt;&gt;"",INDEX(CalcBankB,$N1295),""))</f>
        <v/>
      </c>
      <c r="E1295" s="23">
        <f>IF($N1295&lt;&gt;"",IF(INDEX(CalcDepB,$N1295)=0,"",INDEX(CalcDepB,$N1295)),"")</f>
        <v/>
      </c>
      <c r="F1295" s="23">
        <f>IF($M1295&lt;&gt;"",IF(INDEX(CalcQtyA,$M1295)=0,"",INDEX(CalcQtyA,$M1295)),"")</f>
        <v/>
      </c>
      <c r="G1295" s="23">
        <f>IF($M1295&lt;&gt;"",IF(INDEX(CalcPriceA,$M1295)=0,"",INDEX(CalcPriceA,$M1295)),"")</f>
        <v/>
      </c>
      <c r="H1295" s="23">
        <f>IF($N1295&lt;&gt;"",IF(INDEX(CalcWitB,$N1295)=0,"",INDEX(CalcWitB,$N1295)),"")</f>
        <v/>
      </c>
      <c r="I1295" s="24">
        <f>IF($M1295&lt;&gt;"",INDEX(CalcAmtA,$M1295),"")</f>
        <v/>
      </c>
      <c r="J1295" s="24">
        <f>IF($B1295="","",IF($J1294="",$C$8,$J1294)+IF($I1295="",0,$I1295)+IF($E1295="",0,$E1295)-IF($H1295="",0,$H1295))</f>
        <v/>
      </c>
      <c r="K1295" s="25">
        <f>IF($M1295&lt;&gt;"",IF(INDEX(CalcNoteA,$M1295)="","—",INDEX(CalcNoteA,$M1295)),IF($N1295&lt;&gt;"",IF(INDEX(CalcNoteB,$N1295)="","—",INDEX(CalcNoteB,$N1295)),""))</f>
        <v/>
      </c>
      <c r="M1295">
        <f>IFERROR(MATCH($C$5&amp;"|"&amp;RIGHT("000000"&amp;1279,6),CalcRankKeyA,0),"")</f>
        <v/>
      </c>
      <c r="N1295">
        <f>IFERROR(MATCH($C$5&amp;"|"&amp;RIGHT("000000"&amp;1279,6),CalcRankKeyB,0),"")</f>
        <v/>
      </c>
    </row>
    <row r="1296">
      <c r="A1296" s="26" t="n">
        <v>1280</v>
      </c>
      <c r="B1296" s="27">
        <f>IF(AND($M1296="",$N1296=""),"",IF($M1296&lt;&gt;"",INDEX(CalcDateA,$M1296),INDEX(CalcDateB,$N1296)))</f>
        <v/>
      </c>
      <c r="C1296" s="27">
        <f>IF($M1296&lt;&gt;"","خرید سبد",IF($N1296&lt;&gt;"",IF(N(INDEX(CalcDepB,$N1296))&gt;0,"دریافت بانکی","پرداخت بانکی"),""))</f>
        <v/>
      </c>
      <c r="D1296" s="27">
        <f>IF($M1296&lt;&gt;"",IF(INDEX(CalcDocA,$M1296)="","—",INDEX(CalcDocA,$M1296)),IF($N1296&lt;&gt;"",INDEX(CalcBankB,$N1296),""))</f>
        <v/>
      </c>
      <c r="E1296" s="28">
        <f>IF($N1296&lt;&gt;"",IF(INDEX(CalcDepB,$N1296)=0,"",INDEX(CalcDepB,$N1296)),"")</f>
        <v/>
      </c>
      <c r="F1296" s="28">
        <f>IF($M1296&lt;&gt;"",IF(INDEX(CalcQtyA,$M1296)=0,"",INDEX(CalcQtyA,$M1296)),"")</f>
        <v/>
      </c>
      <c r="G1296" s="28">
        <f>IF($M1296&lt;&gt;"",IF(INDEX(CalcPriceA,$M1296)=0,"",INDEX(CalcPriceA,$M1296)),"")</f>
        <v/>
      </c>
      <c r="H1296" s="28">
        <f>IF($N1296&lt;&gt;"",IF(INDEX(CalcWitB,$N1296)=0,"",INDEX(CalcWitB,$N1296)),"")</f>
        <v/>
      </c>
      <c r="I1296" s="29">
        <f>IF($M1296&lt;&gt;"",INDEX(CalcAmtA,$M1296),"")</f>
        <v/>
      </c>
      <c r="J1296" s="29">
        <f>IF($B1296="","",IF($J1295="",$C$8,$J1295)+IF($I1296="",0,$I1296)+IF($E1296="",0,$E1296)-IF($H1296="",0,$H1296))</f>
        <v/>
      </c>
      <c r="K1296" s="30">
        <f>IF($M1296&lt;&gt;"",IF(INDEX(CalcNoteA,$M1296)="","—",INDEX(CalcNoteA,$M1296)),IF($N1296&lt;&gt;"",IF(INDEX(CalcNoteB,$N1296)="","—",INDEX(CalcNoteB,$N1296)),""))</f>
        <v/>
      </c>
      <c r="M1296">
        <f>IFERROR(MATCH($C$5&amp;"|"&amp;RIGHT("000000"&amp;1280,6),CalcRankKeyA,0),"")</f>
        <v/>
      </c>
      <c r="N1296">
        <f>IFERROR(MATCH($C$5&amp;"|"&amp;RIGHT("000000"&amp;1280,6),CalcRankKeyB,0),"")</f>
        <v/>
      </c>
    </row>
    <row r="1297">
      <c r="A1297" s="21" t="n">
        <v>1281</v>
      </c>
      <c r="B1297" s="22">
        <f>IF(AND($M1297="",$N1297=""),"",IF($M1297&lt;&gt;"",INDEX(CalcDateA,$M1297),INDEX(CalcDateB,$N1297)))</f>
        <v/>
      </c>
      <c r="C1297" s="22">
        <f>IF($M1297&lt;&gt;"","خرید سبد",IF($N1297&lt;&gt;"",IF(N(INDEX(CalcDepB,$N1297))&gt;0,"دریافت بانکی","پرداخت بانکی"),""))</f>
        <v/>
      </c>
      <c r="D1297" s="22">
        <f>IF($M1297&lt;&gt;"",IF(INDEX(CalcDocA,$M1297)="","—",INDEX(CalcDocA,$M1297)),IF($N1297&lt;&gt;"",INDEX(CalcBankB,$N1297),""))</f>
        <v/>
      </c>
      <c r="E1297" s="23">
        <f>IF($N1297&lt;&gt;"",IF(INDEX(CalcDepB,$N1297)=0,"",INDEX(CalcDepB,$N1297)),"")</f>
        <v/>
      </c>
      <c r="F1297" s="23">
        <f>IF($M1297&lt;&gt;"",IF(INDEX(CalcQtyA,$M1297)=0,"",INDEX(CalcQtyA,$M1297)),"")</f>
        <v/>
      </c>
      <c r="G1297" s="23">
        <f>IF($M1297&lt;&gt;"",IF(INDEX(CalcPriceA,$M1297)=0,"",INDEX(CalcPriceA,$M1297)),"")</f>
        <v/>
      </c>
      <c r="H1297" s="23">
        <f>IF($N1297&lt;&gt;"",IF(INDEX(CalcWitB,$N1297)=0,"",INDEX(CalcWitB,$N1297)),"")</f>
        <v/>
      </c>
      <c r="I1297" s="24">
        <f>IF($M1297&lt;&gt;"",INDEX(CalcAmtA,$M1297),"")</f>
        <v/>
      </c>
      <c r="J1297" s="24">
        <f>IF($B1297="","",IF($J1296="",$C$8,$J1296)+IF($I1297="",0,$I1297)+IF($E1297="",0,$E1297)-IF($H1297="",0,$H1297))</f>
        <v/>
      </c>
      <c r="K1297" s="25">
        <f>IF($M1297&lt;&gt;"",IF(INDEX(CalcNoteA,$M1297)="","—",INDEX(CalcNoteA,$M1297)),IF($N1297&lt;&gt;"",IF(INDEX(CalcNoteB,$N1297)="","—",INDEX(CalcNoteB,$N1297)),""))</f>
        <v/>
      </c>
      <c r="M1297">
        <f>IFERROR(MATCH($C$5&amp;"|"&amp;RIGHT("000000"&amp;1281,6),CalcRankKeyA,0),"")</f>
        <v/>
      </c>
      <c r="N1297">
        <f>IFERROR(MATCH($C$5&amp;"|"&amp;RIGHT("000000"&amp;1281,6),CalcRankKeyB,0),"")</f>
        <v/>
      </c>
    </row>
    <row r="1298">
      <c r="A1298" s="26" t="n">
        <v>1282</v>
      </c>
      <c r="B1298" s="27">
        <f>IF(AND($M1298="",$N1298=""),"",IF($M1298&lt;&gt;"",INDEX(CalcDateA,$M1298),INDEX(CalcDateB,$N1298)))</f>
        <v/>
      </c>
      <c r="C1298" s="27">
        <f>IF($M1298&lt;&gt;"","خرید سبد",IF($N1298&lt;&gt;"",IF(N(INDEX(CalcDepB,$N1298))&gt;0,"دریافت بانکی","پرداخت بانکی"),""))</f>
        <v/>
      </c>
      <c r="D1298" s="27">
        <f>IF($M1298&lt;&gt;"",IF(INDEX(CalcDocA,$M1298)="","—",INDEX(CalcDocA,$M1298)),IF($N1298&lt;&gt;"",INDEX(CalcBankB,$N1298),""))</f>
        <v/>
      </c>
      <c r="E1298" s="28">
        <f>IF($N1298&lt;&gt;"",IF(INDEX(CalcDepB,$N1298)=0,"",INDEX(CalcDepB,$N1298)),"")</f>
        <v/>
      </c>
      <c r="F1298" s="28">
        <f>IF($M1298&lt;&gt;"",IF(INDEX(CalcQtyA,$M1298)=0,"",INDEX(CalcQtyA,$M1298)),"")</f>
        <v/>
      </c>
      <c r="G1298" s="28">
        <f>IF($M1298&lt;&gt;"",IF(INDEX(CalcPriceA,$M1298)=0,"",INDEX(CalcPriceA,$M1298)),"")</f>
        <v/>
      </c>
      <c r="H1298" s="28">
        <f>IF($N1298&lt;&gt;"",IF(INDEX(CalcWitB,$N1298)=0,"",INDEX(CalcWitB,$N1298)),"")</f>
        <v/>
      </c>
      <c r="I1298" s="29">
        <f>IF($M1298&lt;&gt;"",INDEX(CalcAmtA,$M1298),"")</f>
        <v/>
      </c>
      <c r="J1298" s="29">
        <f>IF($B1298="","",IF($J1297="",$C$8,$J1297)+IF($I1298="",0,$I1298)+IF($E1298="",0,$E1298)-IF($H1298="",0,$H1298))</f>
        <v/>
      </c>
      <c r="K1298" s="30">
        <f>IF($M1298&lt;&gt;"",IF(INDEX(CalcNoteA,$M1298)="","—",INDEX(CalcNoteA,$M1298)),IF($N1298&lt;&gt;"",IF(INDEX(CalcNoteB,$N1298)="","—",INDEX(CalcNoteB,$N1298)),""))</f>
        <v/>
      </c>
      <c r="M1298">
        <f>IFERROR(MATCH($C$5&amp;"|"&amp;RIGHT("000000"&amp;1282,6),CalcRankKeyA,0),"")</f>
        <v/>
      </c>
      <c r="N1298">
        <f>IFERROR(MATCH($C$5&amp;"|"&amp;RIGHT("000000"&amp;1282,6),CalcRankKeyB,0),"")</f>
        <v/>
      </c>
    </row>
    <row r="1299">
      <c r="A1299" s="21" t="n">
        <v>1283</v>
      </c>
      <c r="B1299" s="22">
        <f>IF(AND($M1299="",$N1299=""),"",IF($M1299&lt;&gt;"",INDEX(CalcDateA,$M1299),INDEX(CalcDateB,$N1299)))</f>
        <v/>
      </c>
      <c r="C1299" s="22">
        <f>IF($M1299&lt;&gt;"","خرید سبد",IF($N1299&lt;&gt;"",IF(N(INDEX(CalcDepB,$N1299))&gt;0,"دریافت بانکی","پرداخت بانکی"),""))</f>
        <v/>
      </c>
      <c r="D1299" s="22">
        <f>IF($M1299&lt;&gt;"",IF(INDEX(CalcDocA,$M1299)="","—",INDEX(CalcDocA,$M1299)),IF($N1299&lt;&gt;"",INDEX(CalcBankB,$N1299),""))</f>
        <v/>
      </c>
      <c r="E1299" s="23">
        <f>IF($N1299&lt;&gt;"",IF(INDEX(CalcDepB,$N1299)=0,"",INDEX(CalcDepB,$N1299)),"")</f>
        <v/>
      </c>
      <c r="F1299" s="23">
        <f>IF($M1299&lt;&gt;"",IF(INDEX(CalcQtyA,$M1299)=0,"",INDEX(CalcQtyA,$M1299)),"")</f>
        <v/>
      </c>
      <c r="G1299" s="23">
        <f>IF($M1299&lt;&gt;"",IF(INDEX(CalcPriceA,$M1299)=0,"",INDEX(CalcPriceA,$M1299)),"")</f>
        <v/>
      </c>
      <c r="H1299" s="23">
        <f>IF($N1299&lt;&gt;"",IF(INDEX(CalcWitB,$N1299)=0,"",INDEX(CalcWitB,$N1299)),"")</f>
        <v/>
      </c>
      <c r="I1299" s="24">
        <f>IF($M1299&lt;&gt;"",INDEX(CalcAmtA,$M1299),"")</f>
        <v/>
      </c>
      <c r="J1299" s="24">
        <f>IF($B1299="","",IF($J1298="",$C$8,$J1298)+IF($I1299="",0,$I1299)+IF($E1299="",0,$E1299)-IF($H1299="",0,$H1299))</f>
        <v/>
      </c>
      <c r="K1299" s="25">
        <f>IF($M1299&lt;&gt;"",IF(INDEX(CalcNoteA,$M1299)="","—",INDEX(CalcNoteA,$M1299)),IF($N1299&lt;&gt;"",IF(INDEX(CalcNoteB,$N1299)="","—",INDEX(CalcNoteB,$N1299)),""))</f>
        <v/>
      </c>
      <c r="M1299">
        <f>IFERROR(MATCH($C$5&amp;"|"&amp;RIGHT("000000"&amp;1283,6),CalcRankKeyA,0),"")</f>
        <v/>
      </c>
      <c r="N1299">
        <f>IFERROR(MATCH($C$5&amp;"|"&amp;RIGHT("000000"&amp;1283,6),CalcRankKeyB,0),"")</f>
        <v/>
      </c>
    </row>
    <row r="1300">
      <c r="A1300" s="26" t="n">
        <v>1284</v>
      </c>
      <c r="B1300" s="27">
        <f>IF(AND($M1300="",$N1300=""),"",IF($M1300&lt;&gt;"",INDEX(CalcDateA,$M1300),INDEX(CalcDateB,$N1300)))</f>
        <v/>
      </c>
      <c r="C1300" s="27">
        <f>IF($M1300&lt;&gt;"","خرید سبد",IF($N1300&lt;&gt;"",IF(N(INDEX(CalcDepB,$N1300))&gt;0,"دریافت بانکی","پرداخت بانکی"),""))</f>
        <v/>
      </c>
      <c r="D1300" s="27">
        <f>IF($M1300&lt;&gt;"",IF(INDEX(CalcDocA,$M1300)="","—",INDEX(CalcDocA,$M1300)),IF($N1300&lt;&gt;"",INDEX(CalcBankB,$N1300),""))</f>
        <v/>
      </c>
      <c r="E1300" s="28">
        <f>IF($N1300&lt;&gt;"",IF(INDEX(CalcDepB,$N1300)=0,"",INDEX(CalcDepB,$N1300)),"")</f>
        <v/>
      </c>
      <c r="F1300" s="28">
        <f>IF($M1300&lt;&gt;"",IF(INDEX(CalcQtyA,$M1300)=0,"",INDEX(CalcQtyA,$M1300)),"")</f>
        <v/>
      </c>
      <c r="G1300" s="28">
        <f>IF($M1300&lt;&gt;"",IF(INDEX(CalcPriceA,$M1300)=0,"",INDEX(CalcPriceA,$M1300)),"")</f>
        <v/>
      </c>
      <c r="H1300" s="28">
        <f>IF($N1300&lt;&gt;"",IF(INDEX(CalcWitB,$N1300)=0,"",INDEX(CalcWitB,$N1300)),"")</f>
        <v/>
      </c>
      <c r="I1300" s="29">
        <f>IF($M1300&lt;&gt;"",INDEX(CalcAmtA,$M1300),"")</f>
        <v/>
      </c>
      <c r="J1300" s="29">
        <f>IF($B1300="","",IF($J1299="",$C$8,$J1299)+IF($I1300="",0,$I1300)+IF($E1300="",0,$E1300)-IF($H1300="",0,$H1300))</f>
        <v/>
      </c>
      <c r="K1300" s="30">
        <f>IF($M1300&lt;&gt;"",IF(INDEX(CalcNoteA,$M1300)="","—",INDEX(CalcNoteA,$M1300)),IF($N1300&lt;&gt;"",IF(INDEX(CalcNoteB,$N1300)="","—",INDEX(CalcNoteB,$N1300)),""))</f>
        <v/>
      </c>
      <c r="M1300">
        <f>IFERROR(MATCH($C$5&amp;"|"&amp;RIGHT("000000"&amp;1284,6),CalcRankKeyA,0),"")</f>
        <v/>
      </c>
      <c r="N1300">
        <f>IFERROR(MATCH($C$5&amp;"|"&amp;RIGHT("000000"&amp;1284,6),CalcRankKeyB,0),"")</f>
        <v/>
      </c>
    </row>
    <row r="1301">
      <c r="A1301" s="21" t="n">
        <v>1285</v>
      </c>
      <c r="B1301" s="22">
        <f>IF(AND($M1301="",$N1301=""),"",IF($M1301&lt;&gt;"",INDEX(CalcDateA,$M1301),INDEX(CalcDateB,$N1301)))</f>
        <v/>
      </c>
      <c r="C1301" s="22">
        <f>IF($M1301&lt;&gt;"","خرید سبد",IF($N1301&lt;&gt;"",IF(N(INDEX(CalcDepB,$N1301))&gt;0,"دریافت بانکی","پرداخت بانکی"),""))</f>
        <v/>
      </c>
      <c r="D1301" s="22">
        <f>IF($M1301&lt;&gt;"",IF(INDEX(CalcDocA,$M1301)="","—",INDEX(CalcDocA,$M1301)),IF($N1301&lt;&gt;"",INDEX(CalcBankB,$N1301),""))</f>
        <v/>
      </c>
      <c r="E1301" s="23">
        <f>IF($N1301&lt;&gt;"",IF(INDEX(CalcDepB,$N1301)=0,"",INDEX(CalcDepB,$N1301)),"")</f>
        <v/>
      </c>
      <c r="F1301" s="23">
        <f>IF($M1301&lt;&gt;"",IF(INDEX(CalcQtyA,$M1301)=0,"",INDEX(CalcQtyA,$M1301)),"")</f>
        <v/>
      </c>
      <c r="G1301" s="23">
        <f>IF($M1301&lt;&gt;"",IF(INDEX(CalcPriceA,$M1301)=0,"",INDEX(CalcPriceA,$M1301)),"")</f>
        <v/>
      </c>
      <c r="H1301" s="23">
        <f>IF($N1301&lt;&gt;"",IF(INDEX(CalcWitB,$N1301)=0,"",INDEX(CalcWitB,$N1301)),"")</f>
        <v/>
      </c>
      <c r="I1301" s="24">
        <f>IF($M1301&lt;&gt;"",INDEX(CalcAmtA,$M1301),"")</f>
        <v/>
      </c>
      <c r="J1301" s="24">
        <f>IF($B1301="","",IF($J1300="",$C$8,$J1300)+IF($I1301="",0,$I1301)+IF($E1301="",0,$E1301)-IF($H1301="",0,$H1301))</f>
        <v/>
      </c>
      <c r="K1301" s="25">
        <f>IF($M1301&lt;&gt;"",IF(INDEX(CalcNoteA,$M1301)="","—",INDEX(CalcNoteA,$M1301)),IF($N1301&lt;&gt;"",IF(INDEX(CalcNoteB,$N1301)="","—",INDEX(CalcNoteB,$N1301)),""))</f>
        <v/>
      </c>
      <c r="M1301">
        <f>IFERROR(MATCH($C$5&amp;"|"&amp;RIGHT("000000"&amp;1285,6),CalcRankKeyA,0),"")</f>
        <v/>
      </c>
      <c r="N1301">
        <f>IFERROR(MATCH($C$5&amp;"|"&amp;RIGHT("000000"&amp;1285,6),CalcRankKeyB,0),"")</f>
        <v/>
      </c>
    </row>
    <row r="1302">
      <c r="A1302" s="26" t="n">
        <v>1286</v>
      </c>
      <c r="B1302" s="27">
        <f>IF(AND($M1302="",$N1302=""),"",IF($M1302&lt;&gt;"",INDEX(CalcDateA,$M1302),INDEX(CalcDateB,$N1302)))</f>
        <v/>
      </c>
      <c r="C1302" s="27">
        <f>IF($M1302&lt;&gt;"","خرید سبد",IF($N1302&lt;&gt;"",IF(N(INDEX(CalcDepB,$N1302))&gt;0,"دریافت بانکی","پرداخت بانکی"),""))</f>
        <v/>
      </c>
      <c r="D1302" s="27">
        <f>IF($M1302&lt;&gt;"",IF(INDEX(CalcDocA,$M1302)="","—",INDEX(CalcDocA,$M1302)),IF($N1302&lt;&gt;"",INDEX(CalcBankB,$N1302),""))</f>
        <v/>
      </c>
      <c r="E1302" s="28">
        <f>IF($N1302&lt;&gt;"",IF(INDEX(CalcDepB,$N1302)=0,"",INDEX(CalcDepB,$N1302)),"")</f>
        <v/>
      </c>
      <c r="F1302" s="28">
        <f>IF($M1302&lt;&gt;"",IF(INDEX(CalcQtyA,$M1302)=0,"",INDEX(CalcQtyA,$M1302)),"")</f>
        <v/>
      </c>
      <c r="G1302" s="28">
        <f>IF($M1302&lt;&gt;"",IF(INDEX(CalcPriceA,$M1302)=0,"",INDEX(CalcPriceA,$M1302)),"")</f>
        <v/>
      </c>
      <c r="H1302" s="28">
        <f>IF($N1302&lt;&gt;"",IF(INDEX(CalcWitB,$N1302)=0,"",INDEX(CalcWitB,$N1302)),"")</f>
        <v/>
      </c>
      <c r="I1302" s="29">
        <f>IF($M1302&lt;&gt;"",INDEX(CalcAmtA,$M1302),"")</f>
        <v/>
      </c>
      <c r="J1302" s="29">
        <f>IF($B1302="","",IF($J1301="",$C$8,$J1301)+IF($I1302="",0,$I1302)+IF($E1302="",0,$E1302)-IF($H1302="",0,$H1302))</f>
        <v/>
      </c>
      <c r="K1302" s="30">
        <f>IF($M1302&lt;&gt;"",IF(INDEX(CalcNoteA,$M1302)="","—",INDEX(CalcNoteA,$M1302)),IF($N1302&lt;&gt;"",IF(INDEX(CalcNoteB,$N1302)="","—",INDEX(CalcNoteB,$N1302)),""))</f>
        <v/>
      </c>
      <c r="M1302">
        <f>IFERROR(MATCH($C$5&amp;"|"&amp;RIGHT("000000"&amp;1286,6),CalcRankKeyA,0),"")</f>
        <v/>
      </c>
      <c r="N1302">
        <f>IFERROR(MATCH($C$5&amp;"|"&amp;RIGHT("000000"&amp;1286,6),CalcRankKeyB,0),"")</f>
        <v/>
      </c>
    </row>
    <row r="1303">
      <c r="A1303" s="21" t="n">
        <v>1287</v>
      </c>
      <c r="B1303" s="22">
        <f>IF(AND($M1303="",$N1303=""),"",IF($M1303&lt;&gt;"",INDEX(CalcDateA,$M1303),INDEX(CalcDateB,$N1303)))</f>
        <v/>
      </c>
      <c r="C1303" s="22">
        <f>IF($M1303&lt;&gt;"","خرید سبد",IF($N1303&lt;&gt;"",IF(N(INDEX(CalcDepB,$N1303))&gt;0,"دریافت بانکی","پرداخت بانکی"),""))</f>
        <v/>
      </c>
      <c r="D1303" s="22">
        <f>IF($M1303&lt;&gt;"",IF(INDEX(CalcDocA,$M1303)="","—",INDEX(CalcDocA,$M1303)),IF($N1303&lt;&gt;"",INDEX(CalcBankB,$N1303),""))</f>
        <v/>
      </c>
      <c r="E1303" s="23">
        <f>IF($N1303&lt;&gt;"",IF(INDEX(CalcDepB,$N1303)=0,"",INDEX(CalcDepB,$N1303)),"")</f>
        <v/>
      </c>
      <c r="F1303" s="23">
        <f>IF($M1303&lt;&gt;"",IF(INDEX(CalcQtyA,$M1303)=0,"",INDEX(CalcQtyA,$M1303)),"")</f>
        <v/>
      </c>
      <c r="G1303" s="23">
        <f>IF($M1303&lt;&gt;"",IF(INDEX(CalcPriceA,$M1303)=0,"",INDEX(CalcPriceA,$M1303)),"")</f>
        <v/>
      </c>
      <c r="H1303" s="23">
        <f>IF($N1303&lt;&gt;"",IF(INDEX(CalcWitB,$N1303)=0,"",INDEX(CalcWitB,$N1303)),"")</f>
        <v/>
      </c>
      <c r="I1303" s="24">
        <f>IF($M1303&lt;&gt;"",INDEX(CalcAmtA,$M1303),"")</f>
        <v/>
      </c>
      <c r="J1303" s="24">
        <f>IF($B1303="","",IF($J1302="",$C$8,$J1302)+IF($I1303="",0,$I1303)+IF($E1303="",0,$E1303)-IF($H1303="",0,$H1303))</f>
        <v/>
      </c>
      <c r="K1303" s="25">
        <f>IF($M1303&lt;&gt;"",IF(INDEX(CalcNoteA,$M1303)="","—",INDEX(CalcNoteA,$M1303)),IF($N1303&lt;&gt;"",IF(INDEX(CalcNoteB,$N1303)="","—",INDEX(CalcNoteB,$N1303)),""))</f>
        <v/>
      </c>
      <c r="M1303">
        <f>IFERROR(MATCH($C$5&amp;"|"&amp;RIGHT("000000"&amp;1287,6),CalcRankKeyA,0),"")</f>
        <v/>
      </c>
      <c r="N1303">
        <f>IFERROR(MATCH($C$5&amp;"|"&amp;RIGHT("000000"&amp;1287,6),CalcRankKeyB,0),"")</f>
        <v/>
      </c>
    </row>
    <row r="1304">
      <c r="A1304" s="26" t="n">
        <v>1288</v>
      </c>
      <c r="B1304" s="27">
        <f>IF(AND($M1304="",$N1304=""),"",IF($M1304&lt;&gt;"",INDEX(CalcDateA,$M1304),INDEX(CalcDateB,$N1304)))</f>
        <v/>
      </c>
      <c r="C1304" s="27">
        <f>IF($M1304&lt;&gt;"","خرید سبد",IF($N1304&lt;&gt;"",IF(N(INDEX(CalcDepB,$N1304))&gt;0,"دریافت بانکی","پرداخت بانکی"),""))</f>
        <v/>
      </c>
      <c r="D1304" s="27">
        <f>IF($M1304&lt;&gt;"",IF(INDEX(CalcDocA,$M1304)="","—",INDEX(CalcDocA,$M1304)),IF($N1304&lt;&gt;"",INDEX(CalcBankB,$N1304),""))</f>
        <v/>
      </c>
      <c r="E1304" s="28">
        <f>IF($N1304&lt;&gt;"",IF(INDEX(CalcDepB,$N1304)=0,"",INDEX(CalcDepB,$N1304)),"")</f>
        <v/>
      </c>
      <c r="F1304" s="28">
        <f>IF($M1304&lt;&gt;"",IF(INDEX(CalcQtyA,$M1304)=0,"",INDEX(CalcQtyA,$M1304)),"")</f>
        <v/>
      </c>
      <c r="G1304" s="28">
        <f>IF($M1304&lt;&gt;"",IF(INDEX(CalcPriceA,$M1304)=0,"",INDEX(CalcPriceA,$M1304)),"")</f>
        <v/>
      </c>
      <c r="H1304" s="28">
        <f>IF($N1304&lt;&gt;"",IF(INDEX(CalcWitB,$N1304)=0,"",INDEX(CalcWitB,$N1304)),"")</f>
        <v/>
      </c>
      <c r="I1304" s="29">
        <f>IF($M1304&lt;&gt;"",INDEX(CalcAmtA,$M1304),"")</f>
        <v/>
      </c>
      <c r="J1304" s="29">
        <f>IF($B1304="","",IF($J1303="",$C$8,$J1303)+IF($I1304="",0,$I1304)+IF($E1304="",0,$E1304)-IF($H1304="",0,$H1304))</f>
        <v/>
      </c>
      <c r="K1304" s="30">
        <f>IF($M1304&lt;&gt;"",IF(INDEX(CalcNoteA,$M1304)="","—",INDEX(CalcNoteA,$M1304)),IF($N1304&lt;&gt;"",IF(INDEX(CalcNoteB,$N1304)="","—",INDEX(CalcNoteB,$N1304)),""))</f>
        <v/>
      </c>
      <c r="M1304">
        <f>IFERROR(MATCH($C$5&amp;"|"&amp;RIGHT("000000"&amp;1288,6),CalcRankKeyA,0),"")</f>
        <v/>
      </c>
      <c r="N1304">
        <f>IFERROR(MATCH($C$5&amp;"|"&amp;RIGHT("000000"&amp;1288,6),CalcRankKeyB,0),"")</f>
        <v/>
      </c>
    </row>
    <row r="1305">
      <c r="A1305" s="21" t="n">
        <v>1289</v>
      </c>
      <c r="B1305" s="22">
        <f>IF(AND($M1305="",$N1305=""),"",IF($M1305&lt;&gt;"",INDEX(CalcDateA,$M1305),INDEX(CalcDateB,$N1305)))</f>
        <v/>
      </c>
      <c r="C1305" s="22">
        <f>IF($M1305&lt;&gt;"","خرید سبد",IF($N1305&lt;&gt;"",IF(N(INDEX(CalcDepB,$N1305))&gt;0,"دریافت بانکی","پرداخت بانکی"),""))</f>
        <v/>
      </c>
      <c r="D1305" s="22">
        <f>IF($M1305&lt;&gt;"",IF(INDEX(CalcDocA,$M1305)="","—",INDEX(CalcDocA,$M1305)),IF($N1305&lt;&gt;"",INDEX(CalcBankB,$N1305),""))</f>
        <v/>
      </c>
      <c r="E1305" s="23">
        <f>IF($N1305&lt;&gt;"",IF(INDEX(CalcDepB,$N1305)=0,"",INDEX(CalcDepB,$N1305)),"")</f>
        <v/>
      </c>
      <c r="F1305" s="23">
        <f>IF($M1305&lt;&gt;"",IF(INDEX(CalcQtyA,$M1305)=0,"",INDEX(CalcQtyA,$M1305)),"")</f>
        <v/>
      </c>
      <c r="G1305" s="23">
        <f>IF($M1305&lt;&gt;"",IF(INDEX(CalcPriceA,$M1305)=0,"",INDEX(CalcPriceA,$M1305)),"")</f>
        <v/>
      </c>
      <c r="H1305" s="23">
        <f>IF($N1305&lt;&gt;"",IF(INDEX(CalcWitB,$N1305)=0,"",INDEX(CalcWitB,$N1305)),"")</f>
        <v/>
      </c>
      <c r="I1305" s="24">
        <f>IF($M1305&lt;&gt;"",INDEX(CalcAmtA,$M1305),"")</f>
        <v/>
      </c>
      <c r="J1305" s="24">
        <f>IF($B1305="","",IF($J1304="",$C$8,$J1304)+IF($I1305="",0,$I1305)+IF($E1305="",0,$E1305)-IF($H1305="",0,$H1305))</f>
        <v/>
      </c>
      <c r="K1305" s="25">
        <f>IF($M1305&lt;&gt;"",IF(INDEX(CalcNoteA,$M1305)="","—",INDEX(CalcNoteA,$M1305)),IF($N1305&lt;&gt;"",IF(INDEX(CalcNoteB,$N1305)="","—",INDEX(CalcNoteB,$N1305)),""))</f>
        <v/>
      </c>
      <c r="M1305">
        <f>IFERROR(MATCH($C$5&amp;"|"&amp;RIGHT("000000"&amp;1289,6),CalcRankKeyA,0),"")</f>
        <v/>
      </c>
      <c r="N1305">
        <f>IFERROR(MATCH($C$5&amp;"|"&amp;RIGHT("000000"&amp;1289,6),CalcRankKeyB,0),"")</f>
        <v/>
      </c>
    </row>
    <row r="1306">
      <c r="A1306" s="26" t="n">
        <v>1290</v>
      </c>
      <c r="B1306" s="27">
        <f>IF(AND($M1306="",$N1306=""),"",IF($M1306&lt;&gt;"",INDEX(CalcDateA,$M1306),INDEX(CalcDateB,$N1306)))</f>
        <v/>
      </c>
      <c r="C1306" s="27">
        <f>IF($M1306&lt;&gt;"","خرید سبد",IF($N1306&lt;&gt;"",IF(N(INDEX(CalcDepB,$N1306))&gt;0,"دریافت بانکی","پرداخت بانکی"),""))</f>
        <v/>
      </c>
      <c r="D1306" s="27">
        <f>IF($M1306&lt;&gt;"",IF(INDEX(CalcDocA,$M1306)="","—",INDEX(CalcDocA,$M1306)),IF($N1306&lt;&gt;"",INDEX(CalcBankB,$N1306),""))</f>
        <v/>
      </c>
      <c r="E1306" s="28">
        <f>IF($N1306&lt;&gt;"",IF(INDEX(CalcDepB,$N1306)=0,"",INDEX(CalcDepB,$N1306)),"")</f>
        <v/>
      </c>
      <c r="F1306" s="28">
        <f>IF($M1306&lt;&gt;"",IF(INDEX(CalcQtyA,$M1306)=0,"",INDEX(CalcQtyA,$M1306)),"")</f>
        <v/>
      </c>
      <c r="G1306" s="28">
        <f>IF($M1306&lt;&gt;"",IF(INDEX(CalcPriceA,$M1306)=0,"",INDEX(CalcPriceA,$M1306)),"")</f>
        <v/>
      </c>
      <c r="H1306" s="28">
        <f>IF($N1306&lt;&gt;"",IF(INDEX(CalcWitB,$N1306)=0,"",INDEX(CalcWitB,$N1306)),"")</f>
        <v/>
      </c>
      <c r="I1306" s="29">
        <f>IF($M1306&lt;&gt;"",INDEX(CalcAmtA,$M1306),"")</f>
        <v/>
      </c>
      <c r="J1306" s="29">
        <f>IF($B1306="","",IF($J1305="",$C$8,$J1305)+IF($I1306="",0,$I1306)+IF($E1306="",0,$E1306)-IF($H1306="",0,$H1306))</f>
        <v/>
      </c>
      <c r="K1306" s="30">
        <f>IF($M1306&lt;&gt;"",IF(INDEX(CalcNoteA,$M1306)="","—",INDEX(CalcNoteA,$M1306)),IF($N1306&lt;&gt;"",IF(INDEX(CalcNoteB,$N1306)="","—",INDEX(CalcNoteB,$N1306)),""))</f>
        <v/>
      </c>
      <c r="M1306">
        <f>IFERROR(MATCH($C$5&amp;"|"&amp;RIGHT("000000"&amp;1290,6),CalcRankKeyA,0),"")</f>
        <v/>
      </c>
      <c r="N1306">
        <f>IFERROR(MATCH($C$5&amp;"|"&amp;RIGHT("000000"&amp;1290,6),CalcRankKeyB,0),"")</f>
        <v/>
      </c>
    </row>
    <row r="1307">
      <c r="A1307" s="21" t="n">
        <v>1291</v>
      </c>
      <c r="B1307" s="22">
        <f>IF(AND($M1307="",$N1307=""),"",IF($M1307&lt;&gt;"",INDEX(CalcDateA,$M1307),INDEX(CalcDateB,$N1307)))</f>
        <v/>
      </c>
      <c r="C1307" s="22">
        <f>IF($M1307&lt;&gt;"","خرید سبد",IF($N1307&lt;&gt;"",IF(N(INDEX(CalcDepB,$N1307))&gt;0,"دریافت بانکی","پرداخت بانکی"),""))</f>
        <v/>
      </c>
      <c r="D1307" s="22">
        <f>IF($M1307&lt;&gt;"",IF(INDEX(CalcDocA,$M1307)="","—",INDEX(CalcDocA,$M1307)),IF($N1307&lt;&gt;"",INDEX(CalcBankB,$N1307),""))</f>
        <v/>
      </c>
      <c r="E1307" s="23">
        <f>IF($N1307&lt;&gt;"",IF(INDEX(CalcDepB,$N1307)=0,"",INDEX(CalcDepB,$N1307)),"")</f>
        <v/>
      </c>
      <c r="F1307" s="23">
        <f>IF($M1307&lt;&gt;"",IF(INDEX(CalcQtyA,$M1307)=0,"",INDEX(CalcQtyA,$M1307)),"")</f>
        <v/>
      </c>
      <c r="G1307" s="23">
        <f>IF($M1307&lt;&gt;"",IF(INDEX(CalcPriceA,$M1307)=0,"",INDEX(CalcPriceA,$M1307)),"")</f>
        <v/>
      </c>
      <c r="H1307" s="23">
        <f>IF($N1307&lt;&gt;"",IF(INDEX(CalcWitB,$N1307)=0,"",INDEX(CalcWitB,$N1307)),"")</f>
        <v/>
      </c>
      <c r="I1307" s="24">
        <f>IF($M1307&lt;&gt;"",INDEX(CalcAmtA,$M1307),"")</f>
        <v/>
      </c>
      <c r="J1307" s="24">
        <f>IF($B1307="","",IF($J1306="",$C$8,$J1306)+IF($I1307="",0,$I1307)+IF($E1307="",0,$E1307)-IF($H1307="",0,$H1307))</f>
        <v/>
      </c>
      <c r="K1307" s="25">
        <f>IF($M1307&lt;&gt;"",IF(INDEX(CalcNoteA,$M1307)="","—",INDEX(CalcNoteA,$M1307)),IF($N1307&lt;&gt;"",IF(INDEX(CalcNoteB,$N1307)="","—",INDEX(CalcNoteB,$N1307)),""))</f>
        <v/>
      </c>
      <c r="M1307">
        <f>IFERROR(MATCH($C$5&amp;"|"&amp;RIGHT("000000"&amp;1291,6),CalcRankKeyA,0),"")</f>
        <v/>
      </c>
      <c r="N1307">
        <f>IFERROR(MATCH($C$5&amp;"|"&amp;RIGHT("000000"&amp;1291,6),CalcRankKeyB,0),"")</f>
        <v/>
      </c>
    </row>
    <row r="1308">
      <c r="A1308" s="26" t="n">
        <v>1292</v>
      </c>
      <c r="B1308" s="27">
        <f>IF(AND($M1308="",$N1308=""),"",IF($M1308&lt;&gt;"",INDEX(CalcDateA,$M1308),INDEX(CalcDateB,$N1308)))</f>
        <v/>
      </c>
      <c r="C1308" s="27">
        <f>IF($M1308&lt;&gt;"","خرید سبد",IF($N1308&lt;&gt;"",IF(N(INDEX(CalcDepB,$N1308))&gt;0,"دریافت بانکی","پرداخت بانکی"),""))</f>
        <v/>
      </c>
      <c r="D1308" s="27">
        <f>IF($M1308&lt;&gt;"",IF(INDEX(CalcDocA,$M1308)="","—",INDEX(CalcDocA,$M1308)),IF($N1308&lt;&gt;"",INDEX(CalcBankB,$N1308),""))</f>
        <v/>
      </c>
      <c r="E1308" s="28">
        <f>IF($N1308&lt;&gt;"",IF(INDEX(CalcDepB,$N1308)=0,"",INDEX(CalcDepB,$N1308)),"")</f>
        <v/>
      </c>
      <c r="F1308" s="28">
        <f>IF($M1308&lt;&gt;"",IF(INDEX(CalcQtyA,$M1308)=0,"",INDEX(CalcQtyA,$M1308)),"")</f>
        <v/>
      </c>
      <c r="G1308" s="28">
        <f>IF($M1308&lt;&gt;"",IF(INDEX(CalcPriceA,$M1308)=0,"",INDEX(CalcPriceA,$M1308)),"")</f>
        <v/>
      </c>
      <c r="H1308" s="28">
        <f>IF($N1308&lt;&gt;"",IF(INDEX(CalcWitB,$N1308)=0,"",INDEX(CalcWitB,$N1308)),"")</f>
        <v/>
      </c>
      <c r="I1308" s="29">
        <f>IF($M1308&lt;&gt;"",INDEX(CalcAmtA,$M1308),"")</f>
        <v/>
      </c>
      <c r="J1308" s="29">
        <f>IF($B1308="","",IF($J1307="",$C$8,$J1307)+IF($I1308="",0,$I1308)+IF($E1308="",0,$E1308)-IF($H1308="",0,$H1308))</f>
        <v/>
      </c>
      <c r="K1308" s="30">
        <f>IF($M1308&lt;&gt;"",IF(INDEX(CalcNoteA,$M1308)="","—",INDEX(CalcNoteA,$M1308)),IF($N1308&lt;&gt;"",IF(INDEX(CalcNoteB,$N1308)="","—",INDEX(CalcNoteB,$N1308)),""))</f>
        <v/>
      </c>
      <c r="M1308">
        <f>IFERROR(MATCH($C$5&amp;"|"&amp;RIGHT("000000"&amp;1292,6),CalcRankKeyA,0),"")</f>
        <v/>
      </c>
      <c r="N1308">
        <f>IFERROR(MATCH($C$5&amp;"|"&amp;RIGHT("000000"&amp;1292,6),CalcRankKeyB,0),"")</f>
        <v/>
      </c>
    </row>
    <row r="1309">
      <c r="A1309" s="21" t="n">
        <v>1293</v>
      </c>
      <c r="B1309" s="22">
        <f>IF(AND($M1309="",$N1309=""),"",IF($M1309&lt;&gt;"",INDEX(CalcDateA,$M1309),INDEX(CalcDateB,$N1309)))</f>
        <v/>
      </c>
      <c r="C1309" s="22">
        <f>IF($M1309&lt;&gt;"","خرید سبد",IF($N1309&lt;&gt;"",IF(N(INDEX(CalcDepB,$N1309))&gt;0,"دریافت بانکی","پرداخت بانکی"),""))</f>
        <v/>
      </c>
      <c r="D1309" s="22">
        <f>IF($M1309&lt;&gt;"",IF(INDEX(CalcDocA,$M1309)="","—",INDEX(CalcDocA,$M1309)),IF($N1309&lt;&gt;"",INDEX(CalcBankB,$N1309),""))</f>
        <v/>
      </c>
      <c r="E1309" s="23">
        <f>IF($N1309&lt;&gt;"",IF(INDEX(CalcDepB,$N1309)=0,"",INDEX(CalcDepB,$N1309)),"")</f>
        <v/>
      </c>
      <c r="F1309" s="23">
        <f>IF($M1309&lt;&gt;"",IF(INDEX(CalcQtyA,$M1309)=0,"",INDEX(CalcQtyA,$M1309)),"")</f>
        <v/>
      </c>
      <c r="G1309" s="23">
        <f>IF($M1309&lt;&gt;"",IF(INDEX(CalcPriceA,$M1309)=0,"",INDEX(CalcPriceA,$M1309)),"")</f>
        <v/>
      </c>
      <c r="H1309" s="23">
        <f>IF($N1309&lt;&gt;"",IF(INDEX(CalcWitB,$N1309)=0,"",INDEX(CalcWitB,$N1309)),"")</f>
        <v/>
      </c>
      <c r="I1309" s="24">
        <f>IF($M1309&lt;&gt;"",INDEX(CalcAmtA,$M1309),"")</f>
        <v/>
      </c>
      <c r="J1309" s="24">
        <f>IF($B1309="","",IF($J1308="",$C$8,$J1308)+IF($I1309="",0,$I1309)+IF($E1309="",0,$E1309)-IF($H1309="",0,$H1309))</f>
        <v/>
      </c>
      <c r="K1309" s="25">
        <f>IF($M1309&lt;&gt;"",IF(INDEX(CalcNoteA,$M1309)="","—",INDEX(CalcNoteA,$M1309)),IF($N1309&lt;&gt;"",IF(INDEX(CalcNoteB,$N1309)="","—",INDEX(CalcNoteB,$N1309)),""))</f>
        <v/>
      </c>
      <c r="M1309">
        <f>IFERROR(MATCH($C$5&amp;"|"&amp;RIGHT("000000"&amp;1293,6),CalcRankKeyA,0),"")</f>
        <v/>
      </c>
      <c r="N1309">
        <f>IFERROR(MATCH($C$5&amp;"|"&amp;RIGHT("000000"&amp;1293,6),CalcRankKeyB,0),"")</f>
        <v/>
      </c>
    </row>
    <row r="1310">
      <c r="A1310" s="26" t="n">
        <v>1294</v>
      </c>
      <c r="B1310" s="27">
        <f>IF(AND($M1310="",$N1310=""),"",IF($M1310&lt;&gt;"",INDEX(CalcDateA,$M1310),INDEX(CalcDateB,$N1310)))</f>
        <v/>
      </c>
      <c r="C1310" s="27">
        <f>IF($M1310&lt;&gt;"","خرید سبد",IF($N1310&lt;&gt;"",IF(N(INDEX(CalcDepB,$N1310))&gt;0,"دریافت بانکی","پرداخت بانکی"),""))</f>
        <v/>
      </c>
      <c r="D1310" s="27">
        <f>IF($M1310&lt;&gt;"",IF(INDEX(CalcDocA,$M1310)="","—",INDEX(CalcDocA,$M1310)),IF($N1310&lt;&gt;"",INDEX(CalcBankB,$N1310),""))</f>
        <v/>
      </c>
      <c r="E1310" s="28">
        <f>IF($N1310&lt;&gt;"",IF(INDEX(CalcDepB,$N1310)=0,"",INDEX(CalcDepB,$N1310)),"")</f>
        <v/>
      </c>
      <c r="F1310" s="28">
        <f>IF($M1310&lt;&gt;"",IF(INDEX(CalcQtyA,$M1310)=0,"",INDEX(CalcQtyA,$M1310)),"")</f>
        <v/>
      </c>
      <c r="G1310" s="28">
        <f>IF($M1310&lt;&gt;"",IF(INDEX(CalcPriceA,$M1310)=0,"",INDEX(CalcPriceA,$M1310)),"")</f>
        <v/>
      </c>
      <c r="H1310" s="28">
        <f>IF($N1310&lt;&gt;"",IF(INDEX(CalcWitB,$N1310)=0,"",INDEX(CalcWitB,$N1310)),"")</f>
        <v/>
      </c>
      <c r="I1310" s="29">
        <f>IF($M1310&lt;&gt;"",INDEX(CalcAmtA,$M1310),"")</f>
        <v/>
      </c>
      <c r="J1310" s="29">
        <f>IF($B1310="","",IF($J1309="",$C$8,$J1309)+IF($I1310="",0,$I1310)+IF($E1310="",0,$E1310)-IF($H1310="",0,$H1310))</f>
        <v/>
      </c>
      <c r="K1310" s="30">
        <f>IF($M1310&lt;&gt;"",IF(INDEX(CalcNoteA,$M1310)="","—",INDEX(CalcNoteA,$M1310)),IF($N1310&lt;&gt;"",IF(INDEX(CalcNoteB,$N1310)="","—",INDEX(CalcNoteB,$N1310)),""))</f>
        <v/>
      </c>
      <c r="M1310">
        <f>IFERROR(MATCH($C$5&amp;"|"&amp;RIGHT("000000"&amp;1294,6),CalcRankKeyA,0),"")</f>
        <v/>
      </c>
      <c r="N1310">
        <f>IFERROR(MATCH($C$5&amp;"|"&amp;RIGHT("000000"&amp;1294,6),CalcRankKeyB,0),"")</f>
        <v/>
      </c>
    </row>
    <row r="1311">
      <c r="A1311" s="21" t="n">
        <v>1295</v>
      </c>
      <c r="B1311" s="22">
        <f>IF(AND($M1311="",$N1311=""),"",IF($M1311&lt;&gt;"",INDEX(CalcDateA,$M1311),INDEX(CalcDateB,$N1311)))</f>
        <v/>
      </c>
      <c r="C1311" s="22">
        <f>IF($M1311&lt;&gt;"","خرید سبد",IF($N1311&lt;&gt;"",IF(N(INDEX(CalcDepB,$N1311))&gt;0,"دریافت بانکی","پرداخت بانکی"),""))</f>
        <v/>
      </c>
      <c r="D1311" s="22">
        <f>IF($M1311&lt;&gt;"",IF(INDEX(CalcDocA,$M1311)="","—",INDEX(CalcDocA,$M1311)),IF($N1311&lt;&gt;"",INDEX(CalcBankB,$N1311),""))</f>
        <v/>
      </c>
      <c r="E1311" s="23">
        <f>IF($N1311&lt;&gt;"",IF(INDEX(CalcDepB,$N1311)=0,"",INDEX(CalcDepB,$N1311)),"")</f>
        <v/>
      </c>
      <c r="F1311" s="23">
        <f>IF($M1311&lt;&gt;"",IF(INDEX(CalcQtyA,$M1311)=0,"",INDEX(CalcQtyA,$M1311)),"")</f>
        <v/>
      </c>
      <c r="G1311" s="23">
        <f>IF($M1311&lt;&gt;"",IF(INDEX(CalcPriceA,$M1311)=0,"",INDEX(CalcPriceA,$M1311)),"")</f>
        <v/>
      </c>
      <c r="H1311" s="23">
        <f>IF($N1311&lt;&gt;"",IF(INDEX(CalcWitB,$N1311)=0,"",INDEX(CalcWitB,$N1311)),"")</f>
        <v/>
      </c>
      <c r="I1311" s="24">
        <f>IF($M1311&lt;&gt;"",INDEX(CalcAmtA,$M1311),"")</f>
        <v/>
      </c>
      <c r="J1311" s="24">
        <f>IF($B1311="","",IF($J1310="",$C$8,$J1310)+IF($I1311="",0,$I1311)+IF($E1311="",0,$E1311)-IF($H1311="",0,$H1311))</f>
        <v/>
      </c>
      <c r="K1311" s="25">
        <f>IF($M1311&lt;&gt;"",IF(INDEX(CalcNoteA,$M1311)="","—",INDEX(CalcNoteA,$M1311)),IF($N1311&lt;&gt;"",IF(INDEX(CalcNoteB,$N1311)="","—",INDEX(CalcNoteB,$N1311)),""))</f>
        <v/>
      </c>
      <c r="M1311">
        <f>IFERROR(MATCH($C$5&amp;"|"&amp;RIGHT("000000"&amp;1295,6),CalcRankKeyA,0),"")</f>
        <v/>
      </c>
      <c r="N1311">
        <f>IFERROR(MATCH($C$5&amp;"|"&amp;RIGHT("000000"&amp;1295,6),CalcRankKeyB,0),"")</f>
        <v/>
      </c>
    </row>
    <row r="1312">
      <c r="A1312" s="26" t="n">
        <v>1296</v>
      </c>
      <c r="B1312" s="27">
        <f>IF(AND($M1312="",$N1312=""),"",IF($M1312&lt;&gt;"",INDEX(CalcDateA,$M1312),INDEX(CalcDateB,$N1312)))</f>
        <v/>
      </c>
      <c r="C1312" s="27">
        <f>IF($M1312&lt;&gt;"","خرید سبد",IF($N1312&lt;&gt;"",IF(N(INDEX(CalcDepB,$N1312))&gt;0,"دریافت بانکی","پرداخت بانکی"),""))</f>
        <v/>
      </c>
      <c r="D1312" s="27">
        <f>IF($M1312&lt;&gt;"",IF(INDEX(CalcDocA,$M1312)="","—",INDEX(CalcDocA,$M1312)),IF($N1312&lt;&gt;"",INDEX(CalcBankB,$N1312),""))</f>
        <v/>
      </c>
      <c r="E1312" s="28">
        <f>IF($N1312&lt;&gt;"",IF(INDEX(CalcDepB,$N1312)=0,"",INDEX(CalcDepB,$N1312)),"")</f>
        <v/>
      </c>
      <c r="F1312" s="28">
        <f>IF($M1312&lt;&gt;"",IF(INDEX(CalcQtyA,$M1312)=0,"",INDEX(CalcQtyA,$M1312)),"")</f>
        <v/>
      </c>
      <c r="G1312" s="28">
        <f>IF($M1312&lt;&gt;"",IF(INDEX(CalcPriceA,$M1312)=0,"",INDEX(CalcPriceA,$M1312)),"")</f>
        <v/>
      </c>
      <c r="H1312" s="28">
        <f>IF($N1312&lt;&gt;"",IF(INDEX(CalcWitB,$N1312)=0,"",INDEX(CalcWitB,$N1312)),"")</f>
        <v/>
      </c>
      <c r="I1312" s="29">
        <f>IF($M1312&lt;&gt;"",INDEX(CalcAmtA,$M1312),"")</f>
        <v/>
      </c>
      <c r="J1312" s="29">
        <f>IF($B1312="","",IF($J1311="",$C$8,$J1311)+IF($I1312="",0,$I1312)+IF($E1312="",0,$E1312)-IF($H1312="",0,$H1312))</f>
        <v/>
      </c>
      <c r="K1312" s="30">
        <f>IF($M1312&lt;&gt;"",IF(INDEX(CalcNoteA,$M1312)="","—",INDEX(CalcNoteA,$M1312)),IF($N1312&lt;&gt;"",IF(INDEX(CalcNoteB,$N1312)="","—",INDEX(CalcNoteB,$N1312)),""))</f>
        <v/>
      </c>
      <c r="M1312">
        <f>IFERROR(MATCH($C$5&amp;"|"&amp;RIGHT("000000"&amp;1296,6),CalcRankKeyA,0),"")</f>
        <v/>
      </c>
      <c r="N1312">
        <f>IFERROR(MATCH($C$5&amp;"|"&amp;RIGHT("000000"&amp;1296,6),CalcRankKeyB,0),"")</f>
        <v/>
      </c>
    </row>
    <row r="1313">
      <c r="A1313" s="21" t="n">
        <v>1297</v>
      </c>
      <c r="B1313" s="22">
        <f>IF(AND($M1313="",$N1313=""),"",IF($M1313&lt;&gt;"",INDEX(CalcDateA,$M1313),INDEX(CalcDateB,$N1313)))</f>
        <v/>
      </c>
      <c r="C1313" s="22">
        <f>IF($M1313&lt;&gt;"","خرید سبد",IF($N1313&lt;&gt;"",IF(N(INDEX(CalcDepB,$N1313))&gt;0,"دریافت بانکی","پرداخت بانکی"),""))</f>
        <v/>
      </c>
      <c r="D1313" s="22">
        <f>IF($M1313&lt;&gt;"",IF(INDEX(CalcDocA,$M1313)="","—",INDEX(CalcDocA,$M1313)),IF($N1313&lt;&gt;"",INDEX(CalcBankB,$N1313),""))</f>
        <v/>
      </c>
      <c r="E1313" s="23">
        <f>IF($N1313&lt;&gt;"",IF(INDEX(CalcDepB,$N1313)=0,"",INDEX(CalcDepB,$N1313)),"")</f>
        <v/>
      </c>
      <c r="F1313" s="23">
        <f>IF($M1313&lt;&gt;"",IF(INDEX(CalcQtyA,$M1313)=0,"",INDEX(CalcQtyA,$M1313)),"")</f>
        <v/>
      </c>
      <c r="G1313" s="23">
        <f>IF($M1313&lt;&gt;"",IF(INDEX(CalcPriceA,$M1313)=0,"",INDEX(CalcPriceA,$M1313)),"")</f>
        <v/>
      </c>
      <c r="H1313" s="23">
        <f>IF($N1313&lt;&gt;"",IF(INDEX(CalcWitB,$N1313)=0,"",INDEX(CalcWitB,$N1313)),"")</f>
        <v/>
      </c>
      <c r="I1313" s="24">
        <f>IF($M1313&lt;&gt;"",INDEX(CalcAmtA,$M1313),"")</f>
        <v/>
      </c>
      <c r="J1313" s="24">
        <f>IF($B1313="","",IF($J1312="",$C$8,$J1312)+IF($I1313="",0,$I1313)+IF($E1313="",0,$E1313)-IF($H1313="",0,$H1313))</f>
        <v/>
      </c>
      <c r="K1313" s="25">
        <f>IF($M1313&lt;&gt;"",IF(INDEX(CalcNoteA,$M1313)="","—",INDEX(CalcNoteA,$M1313)),IF($N1313&lt;&gt;"",IF(INDEX(CalcNoteB,$N1313)="","—",INDEX(CalcNoteB,$N1313)),""))</f>
        <v/>
      </c>
      <c r="M1313">
        <f>IFERROR(MATCH($C$5&amp;"|"&amp;RIGHT("000000"&amp;1297,6),CalcRankKeyA,0),"")</f>
        <v/>
      </c>
      <c r="N1313">
        <f>IFERROR(MATCH($C$5&amp;"|"&amp;RIGHT("000000"&amp;1297,6),CalcRankKeyB,0),"")</f>
        <v/>
      </c>
    </row>
    <row r="1314">
      <c r="A1314" s="26" t="n">
        <v>1298</v>
      </c>
      <c r="B1314" s="27">
        <f>IF(AND($M1314="",$N1314=""),"",IF($M1314&lt;&gt;"",INDEX(CalcDateA,$M1314),INDEX(CalcDateB,$N1314)))</f>
        <v/>
      </c>
      <c r="C1314" s="27">
        <f>IF($M1314&lt;&gt;"","خرید سبد",IF($N1314&lt;&gt;"",IF(N(INDEX(CalcDepB,$N1314))&gt;0,"دریافت بانکی","پرداخت بانکی"),""))</f>
        <v/>
      </c>
      <c r="D1314" s="27">
        <f>IF($M1314&lt;&gt;"",IF(INDEX(CalcDocA,$M1314)="","—",INDEX(CalcDocA,$M1314)),IF($N1314&lt;&gt;"",INDEX(CalcBankB,$N1314),""))</f>
        <v/>
      </c>
      <c r="E1314" s="28">
        <f>IF($N1314&lt;&gt;"",IF(INDEX(CalcDepB,$N1314)=0,"",INDEX(CalcDepB,$N1314)),"")</f>
        <v/>
      </c>
      <c r="F1314" s="28">
        <f>IF($M1314&lt;&gt;"",IF(INDEX(CalcQtyA,$M1314)=0,"",INDEX(CalcQtyA,$M1314)),"")</f>
        <v/>
      </c>
      <c r="G1314" s="28">
        <f>IF($M1314&lt;&gt;"",IF(INDEX(CalcPriceA,$M1314)=0,"",INDEX(CalcPriceA,$M1314)),"")</f>
        <v/>
      </c>
      <c r="H1314" s="28">
        <f>IF($N1314&lt;&gt;"",IF(INDEX(CalcWitB,$N1314)=0,"",INDEX(CalcWitB,$N1314)),"")</f>
        <v/>
      </c>
      <c r="I1314" s="29">
        <f>IF($M1314&lt;&gt;"",INDEX(CalcAmtA,$M1314),"")</f>
        <v/>
      </c>
      <c r="J1314" s="29">
        <f>IF($B1314="","",IF($J1313="",$C$8,$J1313)+IF($I1314="",0,$I1314)+IF($E1314="",0,$E1314)-IF($H1314="",0,$H1314))</f>
        <v/>
      </c>
      <c r="K1314" s="30">
        <f>IF($M1314&lt;&gt;"",IF(INDEX(CalcNoteA,$M1314)="","—",INDEX(CalcNoteA,$M1314)),IF($N1314&lt;&gt;"",IF(INDEX(CalcNoteB,$N1314)="","—",INDEX(CalcNoteB,$N1314)),""))</f>
        <v/>
      </c>
      <c r="M1314">
        <f>IFERROR(MATCH($C$5&amp;"|"&amp;RIGHT("000000"&amp;1298,6),CalcRankKeyA,0),"")</f>
        <v/>
      </c>
      <c r="N1314">
        <f>IFERROR(MATCH($C$5&amp;"|"&amp;RIGHT("000000"&amp;1298,6),CalcRankKeyB,0),"")</f>
        <v/>
      </c>
    </row>
    <row r="1315">
      <c r="A1315" s="21" t="n">
        <v>1299</v>
      </c>
      <c r="B1315" s="22">
        <f>IF(AND($M1315="",$N1315=""),"",IF($M1315&lt;&gt;"",INDEX(CalcDateA,$M1315),INDEX(CalcDateB,$N1315)))</f>
        <v/>
      </c>
      <c r="C1315" s="22">
        <f>IF($M1315&lt;&gt;"","خرید سبد",IF($N1315&lt;&gt;"",IF(N(INDEX(CalcDepB,$N1315))&gt;0,"دریافت بانکی","پرداخت بانکی"),""))</f>
        <v/>
      </c>
      <c r="D1315" s="22">
        <f>IF($M1315&lt;&gt;"",IF(INDEX(CalcDocA,$M1315)="","—",INDEX(CalcDocA,$M1315)),IF($N1315&lt;&gt;"",INDEX(CalcBankB,$N1315),""))</f>
        <v/>
      </c>
      <c r="E1315" s="23">
        <f>IF($N1315&lt;&gt;"",IF(INDEX(CalcDepB,$N1315)=0,"",INDEX(CalcDepB,$N1315)),"")</f>
        <v/>
      </c>
      <c r="F1315" s="23">
        <f>IF($M1315&lt;&gt;"",IF(INDEX(CalcQtyA,$M1315)=0,"",INDEX(CalcQtyA,$M1315)),"")</f>
        <v/>
      </c>
      <c r="G1315" s="23">
        <f>IF($M1315&lt;&gt;"",IF(INDEX(CalcPriceA,$M1315)=0,"",INDEX(CalcPriceA,$M1315)),"")</f>
        <v/>
      </c>
      <c r="H1315" s="23">
        <f>IF($N1315&lt;&gt;"",IF(INDEX(CalcWitB,$N1315)=0,"",INDEX(CalcWitB,$N1315)),"")</f>
        <v/>
      </c>
      <c r="I1315" s="24">
        <f>IF($M1315&lt;&gt;"",INDEX(CalcAmtA,$M1315),"")</f>
        <v/>
      </c>
      <c r="J1315" s="24">
        <f>IF($B1315="","",IF($J1314="",$C$8,$J1314)+IF($I1315="",0,$I1315)+IF($E1315="",0,$E1315)-IF($H1315="",0,$H1315))</f>
        <v/>
      </c>
      <c r="K1315" s="25">
        <f>IF($M1315&lt;&gt;"",IF(INDEX(CalcNoteA,$M1315)="","—",INDEX(CalcNoteA,$M1315)),IF($N1315&lt;&gt;"",IF(INDEX(CalcNoteB,$N1315)="","—",INDEX(CalcNoteB,$N1315)),""))</f>
        <v/>
      </c>
      <c r="M1315">
        <f>IFERROR(MATCH($C$5&amp;"|"&amp;RIGHT("000000"&amp;1299,6),CalcRankKeyA,0),"")</f>
        <v/>
      </c>
      <c r="N1315">
        <f>IFERROR(MATCH($C$5&amp;"|"&amp;RIGHT("000000"&amp;1299,6),CalcRankKeyB,0),"")</f>
        <v/>
      </c>
    </row>
    <row r="1316">
      <c r="A1316" s="26" t="n">
        <v>1300</v>
      </c>
      <c r="B1316" s="27">
        <f>IF(AND($M1316="",$N1316=""),"",IF($M1316&lt;&gt;"",INDEX(CalcDateA,$M1316),INDEX(CalcDateB,$N1316)))</f>
        <v/>
      </c>
      <c r="C1316" s="27">
        <f>IF($M1316&lt;&gt;"","خرید سبد",IF($N1316&lt;&gt;"",IF(N(INDEX(CalcDepB,$N1316))&gt;0,"دریافت بانکی","پرداخت بانکی"),""))</f>
        <v/>
      </c>
      <c r="D1316" s="27">
        <f>IF($M1316&lt;&gt;"",IF(INDEX(CalcDocA,$M1316)="","—",INDEX(CalcDocA,$M1316)),IF($N1316&lt;&gt;"",INDEX(CalcBankB,$N1316),""))</f>
        <v/>
      </c>
      <c r="E1316" s="28">
        <f>IF($N1316&lt;&gt;"",IF(INDEX(CalcDepB,$N1316)=0,"",INDEX(CalcDepB,$N1316)),"")</f>
        <v/>
      </c>
      <c r="F1316" s="28">
        <f>IF($M1316&lt;&gt;"",IF(INDEX(CalcQtyA,$M1316)=0,"",INDEX(CalcQtyA,$M1316)),"")</f>
        <v/>
      </c>
      <c r="G1316" s="28">
        <f>IF($M1316&lt;&gt;"",IF(INDEX(CalcPriceA,$M1316)=0,"",INDEX(CalcPriceA,$M1316)),"")</f>
        <v/>
      </c>
      <c r="H1316" s="28">
        <f>IF($N1316&lt;&gt;"",IF(INDEX(CalcWitB,$N1316)=0,"",INDEX(CalcWitB,$N1316)),"")</f>
        <v/>
      </c>
      <c r="I1316" s="29">
        <f>IF($M1316&lt;&gt;"",INDEX(CalcAmtA,$M1316),"")</f>
        <v/>
      </c>
      <c r="J1316" s="29">
        <f>IF($B1316="","",IF($J1315="",$C$8,$J1315)+IF($I1316="",0,$I1316)+IF($E1316="",0,$E1316)-IF($H1316="",0,$H1316))</f>
        <v/>
      </c>
      <c r="K1316" s="30">
        <f>IF($M1316&lt;&gt;"",IF(INDEX(CalcNoteA,$M1316)="","—",INDEX(CalcNoteA,$M1316)),IF($N1316&lt;&gt;"",IF(INDEX(CalcNoteB,$N1316)="","—",INDEX(CalcNoteB,$N1316)),""))</f>
        <v/>
      </c>
      <c r="M1316">
        <f>IFERROR(MATCH($C$5&amp;"|"&amp;RIGHT("000000"&amp;1300,6),CalcRankKeyA,0),"")</f>
        <v/>
      </c>
      <c r="N1316">
        <f>IFERROR(MATCH($C$5&amp;"|"&amp;RIGHT("000000"&amp;1300,6),CalcRankKeyB,0),"")</f>
        <v/>
      </c>
    </row>
    <row r="1317">
      <c r="A1317" s="21" t="n">
        <v>1301</v>
      </c>
      <c r="B1317" s="22">
        <f>IF(AND($M1317="",$N1317=""),"",IF($M1317&lt;&gt;"",INDEX(CalcDateA,$M1317),INDEX(CalcDateB,$N1317)))</f>
        <v/>
      </c>
      <c r="C1317" s="22">
        <f>IF($M1317&lt;&gt;"","خرید سبد",IF($N1317&lt;&gt;"",IF(N(INDEX(CalcDepB,$N1317))&gt;0,"دریافت بانکی","پرداخت بانکی"),""))</f>
        <v/>
      </c>
      <c r="D1317" s="22">
        <f>IF($M1317&lt;&gt;"",IF(INDEX(CalcDocA,$M1317)="","—",INDEX(CalcDocA,$M1317)),IF($N1317&lt;&gt;"",INDEX(CalcBankB,$N1317),""))</f>
        <v/>
      </c>
      <c r="E1317" s="23">
        <f>IF($N1317&lt;&gt;"",IF(INDEX(CalcDepB,$N1317)=0,"",INDEX(CalcDepB,$N1317)),"")</f>
        <v/>
      </c>
      <c r="F1317" s="23">
        <f>IF($M1317&lt;&gt;"",IF(INDEX(CalcQtyA,$M1317)=0,"",INDEX(CalcQtyA,$M1317)),"")</f>
        <v/>
      </c>
      <c r="G1317" s="23">
        <f>IF($M1317&lt;&gt;"",IF(INDEX(CalcPriceA,$M1317)=0,"",INDEX(CalcPriceA,$M1317)),"")</f>
        <v/>
      </c>
      <c r="H1317" s="23">
        <f>IF($N1317&lt;&gt;"",IF(INDEX(CalcWitB,$N1317)=0,"",INDEX(CalcWitB,$N1317)),"")</f>
        <v/>
      </c>
      <c r="I1317" s="24">
        <f>IF($M1317&lt;&gt;"",INDEX(CalcAmtA,$M1317),"")</f>
        <v/>
      </c>
      <c r="J1317" s="24">
        <f>IF($B1317="","",IF($J1316="",$C$8,$J1316)+IF($I1317="",0,$I1317)+IF($E1317="",0,$E1317)-IF($H1317="",0,$H1317))</f>
        <v/>
      </c>
      <c r="K1317" s="25">
        <f>IF($M1317&lt;&gt;"",IF(INDEX(CalcNoteA,$M1317)="","—",INDEX(CalcNoteA,$M1317)),IF($N1317&lt;&gt;"",IF(INDEX(CalcNoteB,$N1317)="","—",INDEX(CalcNoteB,$N1317)),""))</f>
        <v/>
      </c>
      <c r="M1317">
        <f>IFERROR(MATCH($C$5&amp;"|"&amp;RIGHT("000000"&amp;1301,6),CalcRankKeyA,0),"")</f>
        <v/>
      </c>
      <c r="N1317">
        <f>IFERROR(MATCH($C$5&amp;"|"&amp;RIGHT("000000"&amp;1301,6),CalcRankKeyB,0),"")</f>
        <v/>
      </c>
    </row>
    <row r="1318">
      <c r="A1318" s="26" t="n">
        <v>1302</v>
      </c>
      <c r="B1318" s="27">
        <f>IF(AND($M1318="",$N1318=""),"",IF($M1318&lt;&gt;"",INDEX(CalcDateA,$M1318),INDEX(CalcDateB,$N1318)))</f>
        <v/>
      </c>
      <c r="C1318" s="27">
        <f>IF($M1318&lt;&gt;"","خرید سبد",IF($N1318&lt;&gt;"",IF(N(INDEX(CalcDepB,$N1318))&gt;0,"دریافت بانکی","پرداخت بانکی"),""))</f>
        <v/>
      </c>
      <c r="D1318" s="27">
        <f>IF($M1318&lt;&gt;"",IF(INDEX(CalcDocA,$M1318)="","—",INDEX(CalcDocA,$M1318)),IF($N1318&lt;&gt;"",INDEX(CalcBankB,$N1318),""))</f>
        <v/>
      </c>
      <c r="E1318" s="28">
        <f>IF($N1318&lt;&gt;"",IF(INDEX(CalcDepB,$N1318)=0,"",INDEX(CalcDepB,$N1318)),"")</f>
        <v/>
      </c>
      <c r="F1318" s="28">
        <f>IF($M1318&lt;&gt;"",IF(INDEX(CalcQtyA,$M1318)=0,"",INDEX(CalcQtyA,$M1318)),"")</f>
        <v/>
      </c>
      <c r="G1318" s="28">
        <f>IF($M1318&lt;&gt;"",IF(INDEX(CalcPriceA,$M1318)=0,"",INDEX(CalcPriceA,$M1318)),"")</f>
        <v/>
      </c>
      <c r="H1318" s="28">
        <f>IF($N1318&lt;&gt;"",IF(INDEX(CalcWitB,$N1318)=0,"",INDEX(CalcWitB,$N1318)),"")</f>
        <v/>
      </c>
      <c r="I1318" s="29">
        <f>IF($M1318&lt;&gt;"",INDEX(CalcAmtA,$M1318),"")</f>
        <v/>
      </c>
      <c r="J1318" s="29">
        <f>IF($B1318="","",IF($J1317="",$C$8,$J1317)+IF($I1318="",0,$I1318)+IF($E1318="",0,$E1318)-IF($H1318="",0,$H1318))</f>
        <v/>
      </c>
      <c r="K1318" s="30">
        <f>IF($M1318&lt;&gt;"",IF(INDEX(CalcNoteA,$M1318)="","—",INDEX(CalcNoteA,$M1318)),IF($N1318&lt;&gt;"",IF(INDEX(CalcNoteB,$N1318)="","—",INDEX(CalcNoteB,$N1318)),""))</f>
        <v/>
      </c>
      <c r="M1318">
        <f>IFERROR(MATCH($C$5&amp;"|"&amp;RIGHT("000000"&amp;1302,6),CalcRankKeyA,0),"")</f>
        <v/>
      </c>
      <c r="N1318">
        <f>IFERROR(MATCH($C$5&amp;"|"&amp;RIGHT("000000"&amp;1302,6),CalcRankKeyB,0),"")</f>
        <v/>
      </c>
    </row>
    <row r="1319">
      <c r="A1319" s="21" t="n">
        <v>1303</v>
      </c>
      <c r="B1319" s="22">
        <f>IF(AND($M1319="",$N1319=""),"",IF($M1319&lt;&gt;"",INDEX(CalcDateA,$M1319),INDEX(CalcDateB,$N1319)))</f>
        <v/>
      </c>
      <c r="C1319" s="22">
        <f>IF($M1319&lt;&gt;"","خرید سبد",IF($N1319&lt;&gt;"",IF(N(INDEX(CalcDepB,$N1319))&gt;0,"دریافت بانکی","پرداخت بانکی"),""))</f>
        <v/>
      </c>
      <c r="D1319" s="22">
        <f>IF($M1319&lt;&gt;"",IF(INDEX(CalcDocA,$M1319)="","—",INDEX(CalcDocA,$M1319)),IF($N1319&lt;&gt;"",INDEX(CalcBankB,$N1319),""))</f>
        <v/>
      </c>
      <c r="E1319" s="23">
        <f>IF($N1319&lt;&gt;"",IF(INDEX(CalcDepB,$N1319)=0,"",INDEX(CalcDepB,$N1319)),"")</f>
        <v/>
      </c>
      <c r="F1319" s="23">
        <f>IF($M1319&lt;&gt;"",IF(INDEX(CalcQtyA,$M1319)=0,"",INDEX(CalcQtyA,$M1319)),"")</f>
        <v/>
      </c>
      <c r="G1319" s="23">
        <f>IF($M1319&lt;&gt;"",IF(INDEX(CalcPriceA,$M1319)=0,"",INDEX(CalcPriceA,$M1319)),"")</f>
        <v/>
      </c>
      <c r="H1319" s="23">
        <f>IF($N1319&lt;&gt;"",IF(INDEX(CalcWitB,$N1319)=0,"",INDEX(CalcWitB,$N1319)),"")</f>
        <v/>
      </c>
      <c r="I1319" s="24">
        <f>IF($M1319&lt;&gt;"",INDEX(CalcAmtA,$M1319),"")</f>
        <v/>
      </c>
      <c r="J1319" s="24">
        <f>IF($B1319="","",IF($J1318="",$C$8,$J1318)+IF($I1319="",0,$I1319)+IF($E1319="",0,$E1319)-IF($H1319="",0,$H1319))</f>
        <v/>
      </c>
      <c r="K1319" s="25">
        <f>IF($M1319&lt;&gt;"",IF(INDEX(CalcNoteA,$M1319)="","—",INDEX(CalcNoteA,$M1319)),IF($N1319&lt;&gt;"",IF(INDEX(CalcNoteB,$N1319)="","—",INDEX(CalcNoteB,$N1319)),""))</f>
        <v/>
      </c>
      <c r="M1319">
        <f>IFERROR(MATCH($C$5&amp;"|"&amp;RIGHT("000000"&amp;1303,6),CalcRankKeyA,0),"")</f>
        <v/>
      </c>
      <c r="N1319">
        <f>IFERROR(MATCH($C$5&amp;"|"&amp;RIGHT("000000"&amp;1303,6),CalcRankKeyB,0),"")</f>
        <v/>
      </c>
    </row>
    <row r="1320">
      <c r="A1320" s="26" t="n">
        <v>1304</v>
      </c>
      <c r="B1320" s="27">
        <f>IF(AND($M1320="",$N1320=""),"",IF($M1320&lt;&gt;"",INDEX(CalcDateA,$M1320),INDEX(CalcDateB,$N1320)))</f>
        <v/>
      </c>
      <c r="C1320" s="27">
        <f>IF($M1320&lt;&gt;"","خرید سبد",IF($N1320&lt;&gt;"",IF(N(INDEX(CalcDepB,$N1320))&gt;0,"دریافت بانکی","پرداخت بانکی"),""))</f>
        <v/>
      </c>
      <c r="D1320" s="27">
        <f>IF($M1320&lt;&gt;"",IF(INDEX(CalcDocA,$M1320)="","—",INDEX(CalcDocA,$M1320)),IF($N1320&lt;&gt;"",INDEX(CalcBankB,$N1320),""))</f>
        <v/>
      </c>
      <c r="E1320" s="28">
        <f>IF($N1320&lt;&gt;"",IF(INDEX(CalcDepB,$N1320)=0,"",INDEX(CalcDepB,$N1320)),"")</f>
        <v/>
      </c>
      <c r="F1320" s="28">
        <f>IF($M1320&lt;&gt;"",IF(INDEX(CalcQtyA,$M1320)=0,"",INDEX(CalcQtyA,$M1320)),"")</f>
        <v/>
      </c>
      <c r="G1320" s="28">
        <f>IF($M1320&lt;&gt;"",IF(INDEX(CalcPriceA,$M1320)=0,"",INDEX(CalcPriceA,$M1320)),"")</f>
        <v/>
      </c>
      <c r="H1320" s="28">
        <f>IF($N1320&lt;&gt;"",IF(INDEX(CalcWitB,$N1320)=0,"",INDEX(CalcWitB,$N1320)),"")</f>
        <v/>
      </c>
      <c r="I1320" s="29">
        <f>IF($M1320&lt;&gt;"",INDEX(CalcAmtA,$M1320),"")</f>
        <v/>
      </c>
      <c r="J1320" s="29">
        <f>IF($B1320="","",IF($J1319="",$C$8,$J1319)+IF($I1320="",0,$I1320)+IF($E1320="",0,$E1320)-IF($H1320="",0,$H1320))</f>
        <v/>
      </c>
      <c r="K1320" s="30">
        <f>IF($M1320&lt;&gt;"",IF(INDEX(CalcNoteA,$M1320)="","—",INDEX(CalcNoteA,$M1320)),IF($N1320&lt;&gt;"",IF(INDEX(CalcNoteB,$N1320)="","—",INDEX(CalcNoteB,$N1320)),""))</f>
        <v/>
      </c>
      <c r="M1320">
        <f>IFERROR(MATCH($C$5&amp;"|"&amp;RIGHT("000000"&amp;1304,6),CalcRankKeyA,0),"")</f>
        <v/>
      </c>
      <c r="N1320">
        <f>IFERROR(MATCH($C$5&amp;"|"&amp;RIGHT("000000"&amp;1304,6),CalcRankKeyB,0),"")</f>
        <v/>
      </c>
    </row>
    <row r="1321">
      <c r="A1321" s="21" t="n">
        <v>1305</v>
      </c>
      <c r="B1321" s="22">
        <f>IF(AND($M1321="",$N1321=""),"",IF($M1321&lt;&gt;"",INDEX(CalcDateA,$M1321),INDEX(CalcDateB,$N1321)))</f>
        <v/>
      </c>
      <c r="C1321" s="22">
        <f>IF($M1321&lt;&gt;"","خرید سبد",IF($N1321&lt;&gt;"",IF(N(INDEX(CalcDepB,$N1321))&gt;0,"دریافت بانکی","پرداخت بانکی"),""))</f>
        <v/>
      </c>
      <c r="D1321" s="22">
        <f>IF($M1321&lt;&gt;"",IF(INDEX(CalcDocA,$M1321)="","—",INDEX(CalcDocA,$M1321)),IF($N1321&lt;&gt;"",INDEX(CalcBankB,$N1321),""))</f>
        <v/>
      </c>
      <c r="E1321" s="23">
        <f>IF($N1321&lt;&gt;"",IF(INDEX(CalcDepB,$N1321)=0,"",INDEX(CalcDepB,$N1321)),"")</f>
        <v/>
      </c>
      <c r="F1321" s="23">
        <f>IF($M1321&lt;&gt;"",IF(INDEX(CalcQtyA,$M1321)=0,"",INDEX(CalcQtyA,$M1321)),"")</f>
        <v/>
      </c>
      <c r="G1321" s="23">
        <f>IF($M1321&lt;&gt;"",IF(INDEX(CalcPriceA,$M1321)=0,"",INDEX(CalcPriceA,$M1321)),"")</f>
        <v/>
      </c>
      <c r="H1321" s="23">
        <f>IF($N1321&lt;&gt;"",IF(INDEX(CalcWitB,$N1321)=0,"",INDEX(CalcWitB,$N1321)),"")</f>
        <v/>
      </c>
      <c r="I1321" s="24">
        <f>IF($M1321&lt;&gt;"",INDEX(CalcAmtA,$M1321),"")</f>
        <v/>
      </c>
      <c r="J1321" s="24">
        <f>IF($B1321="","",IF($J1320="",$C$8,$J1320)+IF($I1321="",0,$I1321)+IF($E1321="",0,$E1321)-IF($H1321="",0,$H1321))</f>
        <v/>
      </c>
      <c r="K1321" s="25">
        <f>IF($M1321&lt;&gt;"",IF(INDEX(CalcNoteA,$M1321)="","—",INDEX(CalcNoteA,$M1321)),IF($N1321&lt;&gt;"",IF(INDEX(CalcNoteB,$N1321)="","—",INDEX(CalcNoteB,$N1321)),""))</f>
        <v/>
      </c>
      <c r="M1321">
        <f>IFERROR(MATCH($C$5&amp;"|"&amp;RIGHT("000000"&amp;1305,6),CalcRankKeyA,0),"")</f>
        <v/>
      </c>
      <c r="N1321">
        <f>IFERROR(MATCH($C$5&amp;"|"&amp;RIGHT("000000"&amp;1305,6),CalcRankKeyB,0),"")</f>
        <v/>
      </c>
    </row>
    <row r="1322">
      <c r="A1322" s="26" t="n">
        <v>1306</v>
      </c>
      <c r="B1322" s="27">
        <f>IF(AND($M1322="",$N1322=""),"",IF($M1322&lt;&gt;"",INDEX(CalcDateA,$M1322),INDEX(CalcDateB,$N1322)))</f>
        <v/>
      </c>
      <c r="C1322" s="27">
        <f>IF($M1322&lt;&gt;"","خرید سبد",IF($N1322&lt;&gt;"",IF(N(INDEX(CalcDepB,$N1322))&gt;0,"دریافت بانکی","پرداخت بانکی"),""))</f>
        <v/>
      </c>
      <c r="D1322" s="27">
        <f>IF($M1322&lt;&gt;"",IF(INDEX(CalcDocA,$M1322)="","—",INDEX(CalcDocA,$M1322)),IF($N1322&lt;&gt;"",INDEX(CalcBankB,$N1322),""))</f>
        <v/>
      </c>
      <c r="E1322" s="28">
        <f>IF($N1322&lt;&gt;"",IF(INDEX(CalcDepB,$N1322)=0,"",INDEX(CalcDepB,$N1322)),"")</f>
        <v/>
      </c>
      <c r="F1322" s="28">
        <f>IF($M1322&lt;&gt;"",IF(INDEX(CalcQtyA,$M1322)=0,"",INDEX(CalcQtyA,$M1322)),"")</f>
        <v/>
      </c>
      <c r="G1322" s="28">
        <f>IF($M1322&lt;&gt;"",IF(INDEX(CalcPriceA,$M1322)=0,"",INDEX(CalcPriceA,$M1322)),"")</f>
        <v/>
      </c>
      <c r="H1322" s="28">
        <f>IF($N1322&lt;&gt;"",IF(INDEX(CalcWitB,$N1322)=0,"",INDEX(CalcWitB,$N1322)),"")</f>
        <v/>
      </c>
      <c r="I1322" s="29">
        <f>IF($M1322&lt;&gt;"",INDEX(CalcAmtA,$M1322),"")</f>
        <v/>
      </c>
      <c r="J1322" s="29">
        <f>IF($B1322="","",IF($J1321="",$C$8,$J1321)+IF($I1322="",0,$I1322)+IF($E1322="",0,$E1322)-IF($H1322="",0,$H1322))</f>
        <v/>
      </c>
      <c r="K1322" s="30">
        <f>IF($M1322&lt;&gt;"",IF(INDEX(CalcNoteA,$M1322)="","—",INDEX(CalcNoteA,$M1322)),IF($N1322&lt;&gt;"",IF(INDEX(CalcNoteB,$N1322)="","—",INDEX(CalcNoteB,$N1322)),""))</f>
        <v/>
      </c>
      <c r="M1322">
        <f>IFERROR(MATCH($C$5&amp;"|"&amp;RIGHT("000000"&amp;1306,6),CalcRankKeyA,0),"")</f>
        <v/>
      </c>
      <c r="N1322">
        <f>IFERROR(MATCH($C$5&amp;"|"&amp;RIGHT("000000"&amp;1306,6),CalcRankKeyB,0),"")</f>
        <v/>
      </c>
    </row>
    <row r="1323">
      <c r="A1323" s="21" t="n">
        <v>1307</v>
      </c>
      <c r="B1323" s="22">
        <f>IF(AND($M1323="",$N1323=""),"",IF($M1323&lt;&gt;"",INDEX(CalcDateA,$M1323),INDEX(CalcDateB,$N1323)))</f>
        <v/>
      </c>
      <c r="C1323" s="22">
        <f>IF($M1323&lt;&gt;"","خرید سبد",IF($N1323&lt;&gt;"",IF(N(INDEX(CalcDepB,$N1323))&gt;0,"دریافت بانکی","پرداخت بانکی"),""))</f>
        <v/>
      </c>
      <c r="D1323" s="22">
        <f>IF($M1323&lt;&gt;"",IF(INDEX(CalcDocA,$M1323)="","—",INDEX(CalcDocA,$M1323)),IF($N1323&lt;&gt;"",INDEX(CalcBankB,$N1323),""))</f>
        <v/>
      </c>
      <c r="E1323" s="23">
        <f>IF($N1323&lt;&gt;"",IF(INDEX(CalcDepB,$N1323)=0,"",INDEX(CalcDepB,$N1323)),"")</f>
        <v/>
      </c>
      <c r="F1323" s="23">
        <f>IF($M1323&lt;&gt;"",IF(INDEX(CalcQtyA,$M1323)=0,"",INDEX(CalcQtyA,$M1323)),"")</f>
        <v/>
      </c>
      <c r="G1323" s="23">
        <f>IF($M1323&lt;&gt;"",IF(INDEX(CalcPriceA,$M1323)=0,"",INDEX(CalcPriceA,$M1323)),"")</f>
        <v/>
      </c>
      <c r="H1323" s="23">
        <f>IF($N1323&lt;&gt;"",IF(INDEX(CalcWitB,$N1323)=0,"",INDEX(CalcWitB,$N1323)),"")</f>
        <v/>
      </c>
      <c r="I1323" s="24">
        <f>IF($M1323&lt;&gt;"",INDEX(CalcAmtA,$M1323),"")</f>
        <v/>
      </c>
      <c r="J1323" s="24">
        <f>IF($B1323="","",IF($J1322="",$C$8,$J1322)+IF($I1323="",0,$I1323)+IF($E1323="",0,$E1323)-IF($H1323="",0,$H1323))</f>
        <v/>
      </c>
      <c r="K1323" s="25">
        <f>IF($M1323&lt;&gt;"",IF(INDEX(CalcNoteA,$M1323)="","—",INDEX(CalcNoteA,$M1323)),IF($N1323&lt;&gt;"",IF(INDEX(CalcNoteB,$N1323)="","—",INDEX(CalcNoteB,$N1323)),""))</f>
        <v/>
      </c>
      <c r="M1323">
        <f>IFERROR(MATCH($C$5&amp;"|"&amp;RIGHT("000000"&amp;1307,6),CalcRankKeyA,0),"")</f>
        <v/>
      </c>
      <c r="N1323">
        <f>IFERROR(MATCH($C$5&amp;"|"&amp;RIGHT("000000"&amp;1307,6),CalcRankKeyB,0),"")</f>
        <v/>
      </c>
    </row>
    <row r="1324">
      <c r="A1324" s="26" t="n">
        <v>1308</v>
      </c>
      <c r="B1324" s="27">
        <f>IF(AND($M1324="",$N1324=""),"",IF($M1324&lt;&gt;"",INDEX(CalcDateA,$M1324),INDEX(CalcDateB,$N1324)))</f>
        <v/>
      </c>
      <c r="C1324" s="27">
        <f>IF($M1324&lt;&gt;"","خرید سبد",IF($N1324&lt;&gt;"",IF(N(INDEX(CalcDepB,$N1324))&gt;0,"دریافت بانکی","پرداخت بانکی"),""))</f>
        <v/>
      </c>
      <c r="D1324" s="27">
        <f>IF($M1324&lt;&gt;"",IF(INDEX(CalcDocA,$M1324)="","—",INDEX(CalcDocA,$M1324)),IF($N1324&lt;&gt;"",INDEX(CalcBankB,$N1324),""))</f>
        <v/>
      </c>
      <c r="E1324" s="28">
        <f>IF($N1324&lt;&gt;"",IF(INDEX(CalcDepB,$N1324)=0,"",INDEX(CalcDepB,$N1324)),"")</f>
        <v/>
      </c>
      <c r="F1324" s="28">
        <f>IF($M1324&lt;&gt;"",IF(INDEX(CalcQtyA,$M1324)=0,"",INDEX(CalcQtyA,$M1324)),"")</f>
        <v/>
      </c>
      <c r="G1324" s="28">
        <f>IF($M1324&lt;&gt;"",IF(INDEX(CalcPriceA,$M1324)=0,"",INDEX(CalcPriceA,$M1324)),"")</f>
        <v/>
      </c>
      <c r="H1324" s="28">
        <f>IF($N1324&lt;&gt;"",IF(INDEX(CalcWitB,$N1324)=0,"",INDEX(CalcWitB,$N1324)),"")</f>
        <v/>
      </c>
      <c r="I1324" s="29">
        <f>IF($M1324&lt;&gt;"",INDEX(CalcAmtA,$M1324),"")</f>
        <v/>
      </c>
      <c r="J1324" s="29">
        <f>IF($B1324="","",IF($J1323="",$C$8,$J1323)+IF($I1324="",0,$I1324)+IF($E1324="",0,$E1324)-IF($H1324="",0,$H1324))</f>
        <v/>
      </c>
      <c r="K1324" s="30">
        <f>IF($M1324&lt;&gt;"",IF(INDEX(CalcNoteA,$M1324)="","—",INDEX(CalcNoteA,$M1324)),IF($N1324&lt;&gt;"",IF(INDEX(CalcNoteB,$N1324)="","—",INDEX(CalcNoteB,$N1324)),""))</f>
        <v/>
      </c>
      <c r="M1324">
        <f>IFERROR(MATCH($C$5&amp;"|"&amp;RIGHT("000000"&amp;1308,6),CalcRankKeyA,0),"")</f>
        <v/>
      </c>
      <c r="N1324">
        <f>IFERROR(MATCH($C$5&amp;"|"&amp;RIGHT("000000"&amp;1308,6),CalcRankKeyB,0),"")</f>
        <v/>
      </c>
    </row>
    <row r="1325">
      <c r="A1325" s="21" t="n">
        <v>1309</v>
      </c>
      <c r="B1325" s="22">
        <f>IF(AND($M1325="",$N1325=""),"",IF($M1325&lt;&gt;"",INDEX(CalcDateA,$M1325),INDEX(CalcDateB,$N1325)))</f>
        <v/>
      </c>
      <c r="C1325" s="22">
        <f>IF($M1325&lt;&gt;"","خرید سبد",IF($N1325&lt;&gt;"",IF(N(INDEX(CalcDepB,$N1325))&gt;0,"دریافت بانکی","پرداخت بانکی"),""))</f>
        <v/>
      </c>
      <c r="D1325" s="22">
        <f>IF($M1325&lt;&gt;"",IF(INDEX(CalcDocA,$M1325)="","—",INDEX(CalcDocA,$M1325)),IF($N1325&lt;&gt;"",INDEX(CalcBankB,$N1325),""))</f>
        <v/>
      </c>
      <c r="E1325" s="23">
        <f>IF($N1325&lt;&gt;"",IF(INDEX(CalcDepB,$N1325)=0,"",INDEX(CalcDepB,$N1325)),"")</f>
        <v/>
      </c>
      <c r="F1325" s="23">
        <f>IF($M1325&lt;&gt;"",IF(INDEX(CalcQtyA,$M1325)=0,"",INDEX(CalcQtyA,$M1325)),"")</f>
        <v/>
      </c>
      <c r="G1325" s="23">
        <f>IF($M1325&lt;&gt;"",IF(INDEX(CalcPriceA,$M1325)=0,"",INDEX(CalcPriceA,$M1325)),"")</f>
        <v/>
      </c>
      <c r="H1325" s="23">
        <f>IF($N1325&lt;&gt;"",IF(INDEX(CalcWitB,$N1325)=0,"",INDEX(CalcWitB,$N1325)),"")</f>
        <v/>
      </c>
      <c r="I1325" s="24">
        <f>IF($M1325&lt;&gt;"",INDEX(CalcAmtA,$M1325),"")</f>
        <v/>
      </c>
      <c r="J1325" s="24">
        <f>IF($B1325="","",IF($J1324="",$C$8,$J1324)+IF($I1325="",0,$I1325)+IF($E1325="",0,$E1325)-IF($H1325="",0,$H1325))</f>
        <v/>
      </c>
      <c r="K1325" s="25">
        <f>IF($M1325&lt;&gt;"",IF(INDEX(CalcNoteA,$M1325)="","—",INDEX(CalcNoteA,$M1325)),IF($N1325&lt;&gt;"",IF(INDEX(CalcNoteB,$N1325)="","—",INDEX(CalcNoteB,$N1325)),""))</f>
        <v/>
      </c>
      <c r="M1325">
        <f>IFERROR(MATCH($C$5&amp;"|"&amp;RIGHT("000000"&amp;1309,6),CalcRankKeyA,0),"")</f>
        <v/>
      </c>
      <c r="N1325">
        <f>IFERROR(MATCH($C$5&amp;"|"&amp;RIGHT("000000"&amp;1309,6),CalcRankKeyB,0),"")</f>
        <v/>
      </c>
    </row>
    <row r="1326">
      <c r="A1326" s="26" t="n">
        <v>1310</v>
      </c>
      <c r="B1326" s="27">
        <f>IF(AND($M1326="",$N1326=""),"",IF($M1326&lt;&gt;"",INDEX(CalcDateA,$M1326),INDEX(CalcDateB,$N1326)))</f>
        <v/>
      </c>
      <c r="C1326" s="27">
        <f>IF($M1326&lt;&gt;"","خرید سبد",IF($N1326&lt;&gt;"",IF(N(INDEX(CalcDepB,$N1326))&gt;0,"دریافت بانکی","پرداخت بانکی"),""))</f>
        <v/>
      </c>
      <c r="D1326" s="27">
        <f>IF($M1326&lt;&gt;"",IF(INDEX(CalcDocA,$M1326)="","—",INDEX(CalcDocA,$M1326)),IF($N1326&lt;&gt;"",INDEX(CalcBankB,$N1326),""))</f>
        <v/>
      </c>
      <c r="E1326" s="28">
        <f>IF($N1326&lt;&gt;"",IF(INDEX(CalcDepB,$N1326)=0,"",INDEX(CalcDepB,$N1326)),"")</f>
        <v/>
      </c>
      <c r="F1326" s="28">
        <f>IF($M1326&lt;&gt;"",IF(INDEX(CalcQtyA,$M1326)=0,"",INDEX(CalcQtyA,$M1326)),"")</f>
        <v/>
      </c>
      <c r="G1326" s="28">
        <f>IF($M1326&lt;&gt;"",IF(INDEX(CalcPriceA,$M1326)=0,"",INDEX(CalcPriceA,$M1326)),"")</f>
        <v/>
      </c>
      <c r="H1326" s="28">
        <f>IF($N1326&lt;&gt;"",IF(INDEX(CalcWitB,$N1326)=0,"",INDEX(CalcWitB,$N1326)),"")</f>
        <v/>
      </c>
      <c r="I1326" s="29">
        <f>IF($M1326&lt;&gt;"",INDEX(CalcAmtA,$M1326),"")</f>
        <v/>
      </c>
      <c r="J1326" s="29">
        <f>IF($B1326="","",IF($J1325="",$C$8,$J1325)+IF($I1326="",0,$I1326)+IF($E1326="",0,$E1326)-IF($H1326="",0,$H1326))</f>
        <v/>
      </c>
      <c r="K1326" s="30">
        <f>IF($M1326&lt;&gt;"",IF(INDEX(CalcNoteA,$M1326)="","—",INDEX(CalcNoteA,$M1326)),IF($N1326&lt;&gt;"",IF(INDEX(CalcNoteB,$N1326)="","—",INDEX(CalcNoteB,$N1326)),""))</f>
        <v/>
      </c>
      <c r="M1326">
        <f>IFERROR(MATCH($C$5&amp;"|"&amp;RIGHT("000000"&amp;1310,6),CalcRankKeyA,0),"")</f>
        <v/>
      </c>
      <c r="N1326">
        <f>IFERROR(MATCH($C$5&amp;"|"&amp;RIGHT("000000"&amp;1310,6),CalcRankKeyB,0),"")</f>
        <v/>
      </c>
    </row>
    <row r="1327">
      <c r="A1327" s="21" t="n">
        <v>1311</v>
      </c>
      <c r="B1327" s="22">
        <f>IF(AND($M1327="",$N1327=""),"",IF($M1327&lt;&gt;"",INDEX(CalcDateA,$M1327),INDEX(CalcDateB,$N1327)))</f>
        <v/>
      </c>
      <c r="C1327" s="22">
        <f>IF($M1327&lt;&gt;"","خرید سبد",IF($N1327&lt;&gt;"",IF(N(INDEX(CalcDepB,$N1327))&gt;0,"دریافت بانکی","پرداخت بانکی"),""))</f>
        <v/>
      </c>
      <c r="D1327" s="22">
        <f>IF($M1327&lt;&gt;"",IF(INDEX(CalcDocA,$M1327)="","—",INDEX(CalcDocA,$M1327)),IF($N1327&lt;&gt;"",INDEX(CalcBankB,$N1327),""))</f>
        <v/>
      </c>
      <c r="E1327" s="23">
        <f>IF($N1327&lt;&gt;"",IF(INDEX(CalcDepB,$N1327)=0,"",INDEX(CalcDepB,$N1327)),"")</f>
        <v/>
      </c>
      <c r="F1327" s="23">
        <f>IF($M1327&lt;&gt;"",IF(INDEX(CalcQtyA,$M1327)=0,"",INDEX(CalcQtyA,$M1327)),"")</f>
        <v/>
      </c>
      <c r="G1327" s="23">
        <f>IF($M1327&lt;&gt;"",IF(INDEX(CalcPriceA,$M1327)=0,"",INDEX(CalcPriceA,$M1327)),"")</f>
        <v/>
      </c>
      <c r="H1327" s="23">
        <f>IF($N1327&lt;&gt;"",IF(INDEX(CalcWitB,$N1327)=0,"",INDEX(CalcWitB,$N1327)),"")</f>
        <v/>
      </c>
      <c r="I1327" s="24">
        <f>IF($M1327&lt;&gt;"",INDEX(CalcAmtA,$M1327),"")</f>
        <v/>
      </c>
      <c r="J1327" s="24">
        <f>IF($B1327="","",IF($J1326="",$C$8,$J1326)+IF($I1327="",0,$I1327)+IF($E1327="",0,$E1327)-IF($H1327="",0,$H1327))</f>
        <v/>
      </c>
      <c r="K1327" s="25">
        <f>IF($M1327&lt;&gt;"",IF(INDEX(CalcNoteA,$M1327)="","—",INDEX(CalcNoteA,$M1327)),IF($N1327&lt;&gt;"",IF(INDEX(CalcNoteB,$N1327)="","—",INDEX(CalcNoteB,$N1327)),""))</f>
        <v/>
      </c>
      <c r="M1327">
        <f>IFERROR(MATCH($C$5&amp;"|"&amp;RIGHT("000000"&amp;1311,6),CalcRankKeyA,0),"")</f>
        <v/>
      </c>
      <c r="N1327">
        <f>IFERROR(MATCH($C$5&amp;"|"&amp;RIGHT("000000"&amp;1311,6),CalcRankKeyB,0),"")</f>
        <v/>
      </c>
    </row>
    <row r="1328">
      <c r="A1328" s="26" t="n">
        <v>1312</v>
      </c>
      <c r="B1328" s="27">
        <f>IF(AND($M1328="",$N1328=""),"",IF($M1328&lt;&gt;"",INDEX(CalcDateA,$M1328),INDEX(CalcDateB,$N1328)))</f>
        <v/>
      </c>
      <c r="C1328" s="27">
        <f>IF($M1328&lt;&gt;"","خرید سبد",IF($N1328&lt;&gt;"",IF(N(INDEX(CalcDepB,$N1328))&gt;0,"دریافت بانکی","پرداخت بانکی"),""))</f>
        <v/>
      </c>
      <c r="D1328" s="27">
        <f>IF($M1328&lt;&gt;"",IF(INDEX(CalcDocA,$M1328)="","—",INDEX(CalcDocA,$M1328)),IF($N1328&lt;&gt;"",INDEX(CalcBankB,$N1328),""))</f>
        <v/>
      </c>
      <c r="E1328" s="28">
        <f>IF($N1328&lt;&gt;"",IF(INDEX(CalcDepB,$N1328)=0,"",INDEX(CalcDepB,$N1328)),"")</f>
        <v/>
      </c>
      <c r="F1328" s="28">
        <f>IF($M1328&lt;&gt;"",IF(INDEX(CalcQtyA,$M1328)=0,"",INDEX(CalcQtyA,$M1328)),"")</f>
        <v/>
      </c>
      <c r="G1328" s="28">
        <f>IF($M1328&lt;&gt;"",IF(INDEX(CalcPriceA,$M1328)=0,"",INDEX(CalcPriceA,$M1328)),"")</f>
        <v/>
      </c>
      <c r="H1328" s="28">
        <f>IF($N1328&lt;&gt;"",IF(INDEX(CalcWitB,$N1328)=0,"",INDEX(CalcWitB,$N1328)),"")</f>
        <v/>
      </c>
      <c r="I1328" s="29">
        <f>IF($M1328&lt;&gt;"",INDEX(CalcAmtA,$M1328),"")</f>
        <v/>
      </c>
      <c r="J1328" s="29">
        <f>IF($B1328="","",IF($J1327="",$C$8,$J1327)+IF($I1328="",0,$I1328)+IF($E1328="",0,$E1328)-IF($H1328="",0,$H1328))</f>
        <v/>
      </c>
      <c r="K1328" s="30">
        <f>IF($M1328&lt;&gt;"",IF(INDEX(CalcNoteA,$M1328)="","—",INDEX(CalcNoteA,$M1328)),IF($N1328&lt;&gt;"",IF(INDEX(CalcNoteB,$N1328)="","—",INDEX(CalcNoteB,$N1328)),""))</f>
        <v/>
      </c>
      <c r="M1328">
        <f>IFERROR(MATCH($C$5&amp;"|"&amp;RIGHT("000000"&amp;1312,6),CalcRankKeyA,0),"")</f>
        <v/>
      </c>
      <c r="N1328">
        <f>IFERROR(MATCH($C$5&amp;"|"&amp;RIGHT("000000"&amp;1312,6),CalcRankKeyB,0),"")</f>
        <v/>
      </c>
    </row>
    <row r="1329">
      <c r="A1329" s="21" t="n">
        <v>1313</v>
      </c>
      <c r="B1329" s="22">
        <f>IF(AND($M1329="",$N1329=""),"",IF($M1329&lt;&gt;"",INDEX(CalcDateA,$M1329),INDEX(CalcDateB,$N1329)))</f>
        <v/>
      </c>
      <c r="C1329" s="22">
        <f>IF($M1329&lt;&gt;"","خرید سبد",IF($N1329&lt;&gt;"",IF(N(INDEX(CalcDepB,$N1329))&gt;0,"دریافت بانکی","پرداخت بانکی"),""))</f>
        <v/>
      </c>
      <c r="D1329" s="22">
        <f>IF($M1329&lt;&gt;"",IF(INDEX(CalcDocA,$M1329)="","—",INDEX(CalcDocA,$M1329)),IF($N1329&lt;&gt;"",INDEX(CalcBankB,$N1329),""))</f>
        <v/>
      </c>
      <c r="E1329" s="23">
        <f>IF($N1329&lt;&gt;"",IF(INDEX(CalcDepB,$N1329)=0,"",INDEX(CalcDepB,$N1329)),"")</f>
        <v/>
      </c>
      <c r="F1329" s="23">
        <f>IF($M1329&lt;&gt;"",IF(INDEX(CalcQtyA,$M1329)=0,"",INDEX(CalcQtyA,$M1329)),"")</f>
        <v/>
      </c>
      <c r="G1329" s="23">
        <f>IF($M1329&lt;&gt;"",IF(INDEX(CalcPriceA,$M1329)=0,"",INDEX(CalcPriceA,$M1329)),"")</f>
        <v/>
      </c>
      <c r="H1329" s="23">
        <f>IF($N1329&lt;&gt;"",IF(INDEX(CalcWitB,$N1329)=0,"",INDEX(CalcWitB,$N1329)),"")</f>
        <v/>
      </c>
      <c r="I1329" s="24">
        <f>IF($M1329&lt;&gt;"",INDEX(CalcAmtA,$M1329),"")</f>
        <v/>
      </c>
      <c r="J1329" s="24">
        <f>IF($B1329="","",IF($J1328="",$C$8,$J1328)+IF($I1329="",0,$I1329)+IF($E1329="",0,$E1329)-IF($H1329="",0,$H1329))</f>
        <v/>
      </c>
      <c r="K1329" s="25">
        <f>IF($M1329&lt;&gt;"",IF(INDEX(CalcNoteA,$M1329)="","—",INDEX(CalcNoteA,$M1329)),IF($N1329&lt;&gt;"",IF(INDEX(CalcNoteB,$N1329)="","—",INDEX(CalcNoteB,$N1329)),""))</f>
        <v/>
      </c>
      <c r="M1329">
        <f>IFERROR(MATCH($C$5&amp;"|"&amp;RIGHT("000000"&amp;1313,6),CalcRankKeyA,0),"")</f>
        <v/>
      </c>
      <c r="N1329">
        <f>IFERROR(MATCH($C$5&amp;"|"&amp;RIGHT("000000"&amp;1313,6),CalcRankKeyB,0),"")</f>
        <v/>
      </c>
    </row>
    <row r="1330">
      <c r="A1330" s="26" t="n">
        <v>1314</v>
      </c>
      <c r="B1330" s="27">
        <f>IF(AND($M1330="",$N1330=""),"",IF($M1330&lt;&gt;"",INDEX(CalcDateA,$M1330),INDEX(CalcDateB,$N1330)))</f>
        <v/>
      </c>
      <c r="C1330" s="27">
        <f>IF($M1330&lt;&gt;"","خرید سبد",IF($N1330&lt;&gt;"",IF(N(INDEX(CalcDepB,$N1330))&gt;0,"دریافت بانکی","پرداخت بانکی"),""))</f>
        <v/>
      </c>
      <c r="D1330" s="27">
        <f>IF($M1330&lt;&gt;"",IF(INDEX(CalcDocA,$M1330)="","—",INDEX(CalcDocA,$M1330)),IF($N1330&lt;&gt;"",INDEX(CalcBankB,$N1330),""))</f>
        <v/>
      </c>
      <c r="E1330" s="28">
        <f>IF($N1330&lt;&gt;"",IF(INDEX(CalcDepB,$N1330)=0,"",INDEX(CalcDepB,$N1330)),"")</f>
        <v/>
      </c>
      <c r="F1330" s="28">
        <f>IF($M1330&lt;&gt;"",IF(INDEX(CalcQtyA,$M1330)=0,"",INDEX(CalcQtyA,$M1330)),"")</f>
        <v/>
      </c>
      <c r="G1330" s="28">
        <f>IF($M1330&lt;&gt;"",IF(INDEX(CalcPriceA,$M1330)=0,"",INDEX(CalcPriceA,$M1330)),"")</f>
        <v/>
      </c>
      <c r="H1330" s="28">
        <f>IF($N1330&lt;&gt;"",IF(INDEX(CalcWitB,$N1330)=0,"",INDEX(CalcWitB,$N1330)),"")</f>
        <v/>
      </c>
      <c r="I1330" s="29">
        <f>IF($M1330&lt;&gt;"",INDEX(CalcAmtA,$M1330),"")</f>
        <v/>
      </c>
      <c r="J1330" s="29">
        <f>IF($B1330="","",IF($J1329="",$C$8,$J1329)+IF($I1330="",0,$I1330)+IF($E1330="",0,$E1330)-IF($H1330="",0,$H1330))</f>
        <v/>
      </c>
      <c r="K1330" s="30">
        <f>IF($M1330&lt;&gt;"",IF(INDEX(CalcNoteA,$M1330)="","—",INDEX(CalcNoteA,$M1330)),IF($N1330&lt;&gt;"",IF(INDEX(CalcNoteB,$N1330)="","—",INDEX(CalcNoteB,$N1330)),""))</f>
        <v/>
      </c>
      <c r="M1330">
        <f>IFERROR(MATCH($C$5&amp;"|"&amp;RIGHT("000000"&amp;1314,6),CalcRankKeyA,0),"")</f>
        <v/>
      </c>
      <c r="N1330">
        <f>IFERROR(MATCH($C$5&amp;"|"&amp;RIGHT("000000"&amp;1314,6),CalcRankKeyB,0),"")</f>
        <v/>
      </c>
    </row>
    <row r="1331">
      <c r="A1331" s="21" t="n">
        <v>1315</v>
      </c>
      <c r="B1331" s="22">
        <f>IF(AND($M1331="",$N1331=""),"",IF($M1331&lt;&gt;"",INDEX(CalcDateA,$M1331),INDEX(CalcDateB,$N1331)))</f>
        <v/>
      </c>
      <c r="C1331" s="22">
        <f>IF($M1331&lt;&gt;"","خرید سبد",IF($N1331&lt;&gt;"",IF(N(INDEX(CalcDepB,$N1331))&gt;0,"دریافت بانکی","پرداخت بانکی"),""))</f>
        <v/>
      </c>
      <c r="D1331" s="22">
        <f>IF($M1331&lt;&gt;"",IF(INDEX(CalcDocA,$M1331)="","—",INDEX(CalcDocA,$M1331)),IF($N1331&lt;&gt;"",INDEX(CalcBankB,$N1331),""))</f>
        <v/>
      </c>
      <c r="E1331" s="23">
        <f>IF($N1331&lt;&gt;"",IF(INDEX(CalcDepB,$N1331)=0,"",INDEX(CalcDepB,$N1331)),"")</f>
        <v/>
      </c>
      <c r="F1331" s="23">
        <f>IF($M1331&lt;&gt;"",IF(INDEX(CalcQtyA,$M1331)=0,"",INDEX(CalcQtyA,$M1331)),"")</f>
        <v/>
      </c>
      <c r="G1331" s="23">
        <f>IF($M1331&lt;&gt;"",IF(INDEX(CalcPriceA,$M1331)=0,"",INDEX(CalcPriceA,$M1331)),"")</f>
        <v/>
      </c>
      <c r="H1331" s="23">
        <f>IF($N1331&lt;&gt;"",IF(INDEX(CalcWitB,$N1331)=0,"",INDEX(CalcWitB,$N1331)),"")</f>
        <v/>
      </c>
      <c r="I1331" s="24">
        <f>IF($M1331&lt;&gt;"",INDEX(CalcAmtA,$M1331),"")</f>
        <v/>
      </c>
      <c r="J1331" s="24">
        <f>IF($B1331="","",IF($J1330="",$C$8,$J1330)+IF($I1331="",0,$I1331)+IF($E1331="",0,$E1331)-IF($H1331="",0,$H1331))</f>
        <v/>
      </c>
      <c r="K1331" s="25">
        <f>IF($M1331&lt;&gt;"",IF(INDEX(CalcNoteA,$M1331)="","—",INDEX(CalcNoteA,$M1331)),IF($N1331&lt;&gt;"",IF(INDEX(CalcNoteB,$N1331)="","—",INDEX(CalcNoteB,$N1331)),""))</f>
        <v/>
      </c>
      <c r="M1331">
        <f>IFERROR(MATCH($C$5&amp;"|"&amp;RIGHT("000000"&amp;1315,6),CalcRankKeyA,0),"")</f>
        <v/>
      </c>
      <c r="N1331">
        <f>IFERROR(MATCH($C$5&amp;"|"&amp;RIGHT("000000"&amp;1315,6),CalcRankKeyB,0),"")</f>
        <v/>
      </c>
    </row>
    <row r="1332">
      <c r="A1332" s="26" t="n">
        <v>1316</v>
      </c>
      <c r="B1332" s="27">
        <f>IF(AND($M1332="",$N1332=""),"",IF($M1332&lt;&gt;"",INDEX(CalcDateA,$M1332),INDEX(CalcDateB,$N1332)))</f>
        <v/>
      </c>
      <c r="C1332" s="27">
        <f>IF($M1332&lt;&gt;"","خرید سبد",IF($N1332&lt;&gt;"",IF(N(INDEX(CalcDepB,$N1332))&gt;0,"دریافت بانکی","پرداخت بانکی"),""))</f>
        <v/>
      </c>
      <c r="D1332" s="27">
        <f>IF($M1332&lt;&gt;"",IF(INDEX(CalcDocA,$M1332)="","—",INDEX(CalcDocA,$M1332)),IF($N1332&lt;&gt;"",INDEX(CalcBankB,$N1332),""))</f>
        <v/>
      </c>
      <c r="E1332" s="28">
        <f>IF($N1332&lt;&gt;"",IF(INDEX(CalcDepB,$N1332)=0,"",INDEX(CalcDepB,$N1332)),"")</f>
        <v/>
      </c>
      <c r="F1332" s="28">
        <f>IF($M1332&lt;&gt;"",IF(INDEX(CalcQtyA,$M1332)=0,"",INDEX(CalcQtyA,$M1332)),"")</f>
        <v/>
      </c>
      <c r="G1332" s="28">
        <f>IF($M1332&lt;&gt;"",IF(INDEX(CalcPriceA,$M1332)=0,"",INDEX(CalcPriceA,$M1332)),"")</f>
        <v/>
      </c>
      <c r="H1332" s="28">
        <f>IF($N1332&lt;&gt;"",IF(INDEX(CalcWitB,$N1332)=0,"",INDEX(CalcWitB,$N1332)),"")</f>
        <v/>
      </c>
      <c r="I1332" s="29">
        <f>IF($M1332&lt;&gt;"",INDEX(CalcAmtA,$M1332),"")</f>
        <v/>
      </c>
      <c r="J1332" s="29">
        <f>IF($B1332="","",IF($J1331="",$C$8,$J1331)+IF($I1332="",0,$I1332)+IF($E1332="",0,$E1332)-IF($H1332="",0,$H1332))</f>
        <v/>
      </c>
      <c r="K1332" s="30">
        <f>IF($M1332&lt;&gt;"",IF(INDEX(CalcNoteA,$M1332)="","—",INDEX(CalcNoteA,$M1332)),IF($N1332&lt;&gt;"",IF(INDEX(CalcNoteB,$N1332)="","—",INDEX(CalcNoteB,$N1332)),""))</f>
        <v/>
      </c>
      <c r="M1332">
        <f>IFERROR(MATCH($C$5&amp;"|"&amp;RIGHT("000000"&amp;1316,6),CalcRankKeyA,0),"")</f>
        <v/>
      </c>
      <c r="N1332">
        <f>IFERROR(MATCH($C$5&amp;"|"&amp;RIGHT("000000"&amp;1316,6),CalcRankKeyB,0),"")</f>
        <v/>
      </c>
    </row>
    <row r="1333">
      <c r="A1333" s="21" t="n">
        <v>1317</v>
      </c>
      <c r="B1333" s="22">
        <f>IF(AND($M1333="",$N1333=""),"",IF($M1333&lt;&gt;"",INDEX(CalcDateA,$M1333),INDEX(CalcDateB,$N1333)))</f>
        <v/>
      </c>
      <c r="C1333" s="22">
        <f>IF($M1333&lt;&gt;"","خرید سبد",IF($N1333&lt;&gt;"",IF(N(INDEX(CalcDepB,$N1333))&gt;0,"دریافت بانکی","پرداخت بانکی"),""))</f>
        <v/>
      </c>
      <c r="D1333" s="22">
        <f>IF($M1333&lt;&gt;"",IF(INDEX(CalcDocA,$M1333)="","—",INDEX(CalcDocA,$M1333)),IF($N1333&lt;&gt;"",INDEX(CalcBankB,$N1333),""))</f>
        <v/>
      </c>
      <c r="E1333" s="23">
        <f>IF($N1333&lt;&gt;"",IF(INDEX(CalcDepB,$N1333)=0,"",INDEX(CalcDepB,$N1333)),"")</f>
        <v/>
      </c>
      <c r="F1333" s="23">
        <f>IF($M1333&lt;&gt;"",IF(INDEX(CalcQtyA,$M1333)=0,"",INDEX(CalcQtyA,$M1333)),"")</f>
        <v/>
      </c>
      <c r="G1333" s="23">
        <f>IF($M1333&lt;&gt;"",IF(INDEX(CalcPriceA,$M1333)=0,"",INDEX(CalcPriceA,$M1333)),"")</f>
        <v/>
      </c>
      <c r="H1333" s="23">
        <f>IF($N1333&lt;&gt;"",IF(INDEX(CalcWitB,$N1333)=0,"",INDEX(CalcWitB,$N1333)),"")</f>
        <v/>
      </c>
      <c r="I1333" s="24">
        <f>IF($M1333&lt;&gt;"",INDEX(CalcAmtA,$M1333),"")</f>
        <v/>
      </c>
      <c r="J1333" s="24">
        <f>IF($B1333="","",IF($J1332="",$C$8,$J1332)+IF($I1333="",0,$I1333)+IF($E1333="",0,$E1333)-IF($H1333="",0,$H1333))</f>
        <v/>
      </c>
      <c r="K1333" s="25">
        <f>IF($M1333&lt;&gt;"",IF(INDEX(CalcNoteA,$M1333)="","—",INDEX(CalcNoteA,$M1333)),IF($N1333&lt;&gt;"",IF(INDEX(CalcNoteB,$N1333)="","—",INDEX(CalcNoteB,$N1333)),""))</f>
        <v/>
      </c>
      <c r="M1333">
        <f>IFERROR(MATCH($C$5&amp;"|"&amp;RIGHT("000000"&amp;1317,6),CalcRankKeyA,0),"")</f>
        <v/>
      </c>
      <c r="N1333">
        <f>IFERROR(MATCH($C$5&amp;"|"&amp;RIGHT("000000"&amp;1317,6),CalcRankKeyB,0),"")</f>
        <v/>
      </c>
    </row>
    <row r="1334">
      <c r="A1334" s="26" t="n">
        <v>1318</v>
      </c>
      <c r="B1334" s="27">
        <f>IF(AND($M1334="",$N1334=""),"",IF($M1334&lt;&gt;"",INDEX(CalcDateA,$M1334),INDEX(CalcDateB,$N1334)))</f>
        <v/>
      </c>
      <c r="C1334" s="27">
        <f>IF($M1334&lt;&gt;"","خرید سبد",IF($N1334&lt;&gt;"",IF(N(INDEX(CalcDepB,$N1334))&gt;0,"دریافت بانکی","پرداخت بانکی"),""))</f>
        <v/>
      </c>
      <c r="D1334" s="27">
        <f>IF($M1334&lt;&gt;"",IF(INDEX(CalcDocA,$M1334)="","—",INDEX(CalcDocA,$M1334)),IF($N1334&lt;&gt;"",INDEX(CalcBankB,$N1334),""))</f>
        <v/>
      </c>
      <c r="E1334" s="28">
        <f>IF($N1334&lt;&gt;"",IF(INDEX(CalcDepB,$N1334)=0,"",INDEX(CalcDepB,$N1334)),"")</f>
        <v/>
      </c>
      <c r="F1334" s="28">
        <f>IF($M1334&lt;&gt;"",IF(INDEX(CalcQtyA,$M1334)=0,"",INDEX(CalcQtyA,$M1334)),"")</f>
        <v/>
      </c>
      <c r="G1334" s="28">
        <f>IF($M1334&lt;&gt;"",IF(INDEX(CalcPriceA,$M1334)=0,"",INDEX(CalcPriceA,$M1334)),"")</f>
        <v/>
      </c>
      <c r="H1334" s="28">
        <f>IF($N1334&lt;&gt;"",IF(INDEX(CalcWitB,$N1334)=0,"",INDEX(CalcWitB,$N1334)),"")</f>
        <v/>
      </c>
      <c r="I1334" s="29">
        <f>IF($M1334&lt;&gt;"",INDEX(CalcAmtA,$M1334),"")</f>
        <v/>
      </c>
      <c r="J1334" s="29">
        <f>IF($B1334="","",IF($J1333="",$C$8,$J1333)+IF($I1334="",0,$I1334)+IF($E1334="",0,$E1334)-IF($H1334="",0,$H1334))</f>
        <v/>
      </c>
      <c r="K1334" s="30">
        <f>IF($M1334&lt;&gt;"",IF(INDEX(CalcNoteA,$M1334)="","—",INDEX(CalcNoteA,$M1334)),IF($N1334&lt;&gt;"",IF(INDEX(CalcNoteB,$N1334)="","—",INDEX(CalcNoteB,$N1334)),""))</f>
        <v/>
      </c>
      <c r="M1334">
        <f>IFERROR(MATCH($C$5&amp;"|"&amp;RIGHT("000000"&amp;1318,6),CalcRankKeyA,0),"")</f>
        <v/>
      </c>
      <c r="N1334">
        <f>IFERROR(MATCH($C$5&amp;"|"&amp;RIGHT("000000"&amp;1318,6),CalcRankKeyB,0),"")</f>
        <v/>
      </c>
    </row>
    <row r="1335">
      <c r="A1335" s="21" t="n">
        <v>1319</v>
      </c>
      <c r="B1335" s="22">
        <f>IF(AND($M1335="",$N1335=""),"",IF($M1335&lt;&gt;"",INDEX(CalcDateA,$M1335),INDEX(CalcDateB,$N1335)))</f>
        <v/>
      </c>
      <c r="C1335" s="22">
        <f>IF($M1335&lt;&gt;"","خرید سبد",IF($N1335&lt;&gt;"",IF(N(INDEX(CalcDepB,$N1335))&gt;0,"دریافت بانکی","پرداخت بانکی"),""))</f>
        <v/>
      </c>
      <c r="D1335" s="22">
        <f>IF($M1335&lt;&gt;"",IF(INDEX(CalcDocA,$M1335)="","—",INDEX(CalcDocA,$M1335)),IF($N1335&lt;&gt;"",INDEX(CalcBankB,$N1335),""))</f>
        <v/>
      </c>
      <c r="E1335" s="23">
        <f>IF($N1335&lt;&gt;"",IF(INDEX(CalcDepB,$N1335)=0,"",INDEX(CalcDepB,$N1335)),"")</f>
        <v/>
      </c>
      <c r="F1335" s="23">
        <f>IF($M1335&lt;&gt;"",IF(INDEX(CalcQtyA,$M1335)=0,"",INDEX(CalcQtyA,$M1335)),"")</f>
        <v/>
      </c>
      <c r="G1335" s="23">
        <f>IF($M1335&lt;&gt;"",IF(INDEX(CalcPriceA,$M1335)=0,"",INDEX(CalcPriceA,$M1335)),"")</f>
        <v/>
      </c>
      <c r="H1335" s="23">
        <f>IF($N1335&lt;&gt;"",IF(INDEX(CalcWitB,$N1335)=0,"",INDEX(CalcWitB,$N1335)),"")</f>
        <v/>
      </c>
      <c r="I1335" s="24">
        <f>IF($M1335&lt;&gt;"",INDEX(CalcAmtA,$M1335),"")</f>
        <v/>
      </c>
      <c r="J1335" s="24">
        <f>IF($B1335="","",IF($J1334="",$C$8,$J1334)+IF($I1335="",0,$I1335)+IF($E1335="",0,$E1335)-IF($H1335="",0,$H1335))</f>
        <v/>
      </c>
      <c r="K1335" s="25">
        <f>IF($M1335&lt;&gt;"",IF(INDEX(CalcNoteA,$M1335)="","—",INDEX(CalcNoteA,$M1335)),IF($N1335&lt;&gt;"",IF(INDEX(CalcNoteB,$N1335)="","—",INDEX(CalcNoteB,$N1335)),""))</f>
        <v/>
      </c>
      <c r="M1335">
        <f>IFERROR(MATCH($C$5&amp;"|"&amp;RIGHT("000000"&amp;1319,6),CalcRankKeyA,0),"")</f>
        <v/>
      </c>
      <c r="N1335">
        <f>IFERROR(MATCH($C$5&amp;"|"&amp;RIGHT("000000"&amp;1319,6),CalcRankKeyB,0),"")</f>
        <v/>
      </c>
    </row>
    <row r="1336">
      <c r="A1336" s="26" t="n">
        <v>1320</v>
      </c>
      <c r="B1336" s="27">
        <f>IF(AND($M1336="",$N1336=""),"",IF($M1336&lt;&gt;"",INDEX(CalcDateA,$M1336),INDEX(CalcDateB,$N1336)))</f>
        <v/>
      </c>
      <c r="C1336" s="27">
        <f>IF($M1336&lt;&gt;"","خرید سبد",IF($N1336&lt;&gt;"",IF(N(INDEX(CalcDepB,$N1336))&gt;0,"دریافت بانکی","پرداخت بانکی"),""))</f>
        <v/>
      </c>
      <c r="D1336" s="27">
        <f>IF($M1336&lt;&gt;"",IF(INDEX(CalcDocA,$M1336)="","—",INDEX(CalcDocA,$M1336)),IF($N1336&lt;&gt;"",INDEX(CalcBankB,$N1336),""))</f>
        <v/>
      </c>
      <c r="E1336" s="28">
        <f>IF($N1336&lt;&gt;"",IF(INDEX(CalcDepB,$N1336)=0,"",INDEX(CalcDepB,$N1336)),"")</f>
        <v/>
      </c>
      <c r="F1336" s="28">
        <f>IF($M1336&lt;&gt;"",IF(INDEX(CalcQtyA,$M1336)=0,"",INDEX(CalcQtyA,$M1336)),"")</f>
        <v/>
      </c>
      <c r="G1336" s="28">
        <f>IF($M1336&lt;&gt;"",IF(INDEX(CalcPriceA,$M1336)=0,"",INDEX(CalcPriceA,$M1336)),"")</f>
        <v/>
      </c>
      <c r="H1336" s="28">
        <f>IF($N1336&lt;&gt;"",IF(INDEX(CalcWitB,$N1336)=0,"",INDEX(CalcWitB,$N1336)),"")</f>
        <v/>
      </c>
      <c r="I1336" s="29">
        <f>IF($M1336&lt;&gt;"",INDEX(CalcAmtA,$M1336),"")</f>
        <v/>
      </c>
      <c r="J1336" s="29">
        <f>IF($B1336="","",IF($J1335="",$C$8,$J1335)+IF($I1336="",0,$I1336)+IF($E1336="",0,$E1336)-IF($H1336="",0,$H1336))</f>
        <v/>
      </c>
      <c r="K1336" s="30">
        <f>IF($M1336&lt;&gt;"",IF(INDEX(CalcNoteA,$M1336)="","—",INDEX(CalcNoteA,$M1336)),IF($N1336&lt;&gt;"",IF(INDEX(CalcNoteB,$N1336)="","—",INDEX(CalcNoteB,$N1336)),""))</f>
        <v/>
      </c>
      <c r="M1336">
        <f>IFERROR(MATCH($C$5&amp;"|"&amp;RIGHT("000000"&amp;1320,6),CalcRankKeyA,0),"")</f>
        <v/>
      </c>
      <c r="N1336">
        <f>IFERROR(MATCH($C$5&amp;"|"&amp;RIGHT("000000"&amp;1320,6),CalcRankKeyB,0),"")</f>
        <v/>
      </c>
    </row>
    <row r="1337">
      <c r="A1337" s="21" t="n">
        <v>1321</v>
      </c>
      <c r="B1337" s="22">
        <f>IF(AND($M1337="",$N1337=""),"",IF($M1337&lt;&gt;"",INDEX(CalcDateA,$M1337),INDEX(CalcDateB,$N1337)))</f>
        <v/>
      </c>
      <c r="C1337" s="22">
        <f>IF($M1337&lt;&gt;"","خرید سبد",IF($N1337&lt;&gt;"",IF(N(INDEX(CalcDepB,$N1337))&gt;0,"دریافت بانکی","پرداخت بانکی"),""))</f>
        <v/>
      </c>
      <c r="D1337" s="22">
        <f>IF($M1337&lt;&gt;"",IF(INDEX(CalcDocA,$M1337)="","—",INDEX(CalcDocA,$M1337)),IF($N1337&lt;&gt;"",INDEX(CalcBankB,$N1337),""))</f>
        <v/>
      </c>
      <c r="E1337" s="23">
        <f>IF($N1337&lt;&gt;"",IF(INDEX(CalcDepB,$N1337)=0,"",INDEX(CalcDepB,$N1337)),"")</f>
        <v/>
      </c>
      <c r="F1337" s="23">
        <f>IF($M1337&lt;&gt;"",IF(INDEX(CalcQtyA,$M1337)=0,"",INDEX(CalcQtyA,$M1337)),"")</f>
        <v/>
      </c>
      <c r="G1337" s="23">
        <f>IF($M1337&lt;&gt;"",IF(INDEX(CalcPriceA,$M1337)=0,"",INDEX(CalcPriceA,$M1337)),"")</f>
        <v/>
      </c>
      <c r="H1337" s="23">
        <f>IF($N1337&lt;&gt;"",IF(INDEX(CalcWitB,$N1337)=0,"",INDEX(CalcWitB,$N1337)),"")</f>
        <v/>
      </c>
      <c r="I1337" s="24">
        <f>IF($M1337&lt;&gt;"",INDEX(CalcAmtA,$M1337),"")</f>
        <v/>
      </c>
      <c r="J1337" s="24">
        <f>IF($B1337="","",IF($J1336="",$C$8,$J1336)+IF($I1337="",0,$I1337)+IF($E1337="",0,$E1337)-IF($H1337="",0,$H1337))</f>
        <v/>
      </c>
      <c r="K1337" s="25">
        <f>IF($M1337&lt;&gt;"",IF(INDEX(CalcNoteA,$M1337)="","—",INDEX(CalcNoteA,$M1337)),IF($N1337&lt;&gt;"",IF(INDEX(CalcNoteB,$N1337)="","—",INDEX(CalcNoteB,$N1337)),""))</f>
        <v/>
      </c>
      <c r="M1337">
        <f>IFERROR(MATCH($C$5&amp;"|"&amp;RIGHT("000000"&amp;1321,6),CalcRankKeyA,0),"")</f>
        <v/>
      </c>
      <c r="N1337">
        <f>IFERROR(MATCH($C$5&amp;"|"&amp;RIGHT("000000"&amp;1321,6),CalcRankKeyB,0),"")</f>
        <v/>
      </c>
    </row>
    <row r="1338">
      <c r="A1338" s="26" t="n">
        <v>1322</v>
      </c>
      <c r="B1338" s="27">
        <f>IF(AND($M1338="",$N1338=""),"",IF($M1338&lt;&gt;"",INDEX(CalcDateA,$M1338),INDEX(CalcDateB,$N1338)))</f>
        <v/>
      </c>
      <c r="C1338" s="27">
        <f>IF($M1338&lt;&gt;"","خرید سبد",IF($N1338&lt;&gt;"",IF(N(INDEX(CalcDepB,$N1338))&gt;0,"دریافت بانکی","پرداخت بانکی"),""))</f>
        <v/>
      </c>
      <c r="D1338" s="27">
        <f>IF($M1338&lt;&gt;"",IF(INDEX(CalcDocA,$M1338)="","—",INDEX(CalcDocA,$M1338)),IF($N1338&lt;&gt;"",INDEX(CalcBankB,$N1338),""))</f>
        <v/>
      </c>
      <c r="E1338" s="28">
        <f>IF($N1338&lt;&gt;"",IF(INDEX(CalcDepB,$N1338)=0,"",INDEX(CalcDepB,$N1338)),"")</f>
        <v/>
      </c>
      <c r="F1338" s="28">
        <f>IF($M1338&lt;&gt;"",IF(INDEX(CalcQtyA,$M1338)=0,"",INDEX(CalcQtyA,$M1338)),"")</f>
        <v/>
      </c>
      <c r="G1338" s="28">
        <f>IF($M1338&lt;&gt;"",IF(INDEX(CalcPriceA,$M1338)=0,"",INDEX(CalcPriceA,$M1338)),"")</f>
        <v/>
      </c>
      <c r="H1338" s="28">
        <f>IF($N1338&lt;&gt;"",IF(INDEX(CalcWitB,$N1338)=0,"",INDEX(CalcWitB,$N1338)),"")</f>
        <v/>
      </c>
      <c r="I1338" s="29">
        <f>IF($M1338&lt;&gt;"",INDEX(CalcAmtA,$M1338),"")</f>
        <v/>
      </c>
      <c r="J1338" s="29">
        <f>IF($B1338="","",IF($J1337="",$C$8,$J1337)+IF($I1338="",0,$I1338)+IF($E1338="",0,$E1338)-IF($H1338="",0,$H1338))</f>
        <v/>
      </c>
      <c r="K1338" s="30">
        <f>IF($M1338&lt;&gt;"",IF(INDEX(CalcNoteA,$M1338)="","—",INDEX(CalcNoteA,$M1338)),IF($N1338&lt;&gt;"",IF(INDEX(CalcNoteB,$N1338)="","—",INDEX(CalcNoteB,$N1338)),""))</f>
        <v/>
      </c>
      <c r="M1338">
        <f>IFERROR(MATCH($C$5&amp;"|"&amp;RIGHT("000000"&amp;1322,6),CalcRankKeyA,0),"")</f>
        <v/>
      </c>
      <c r="N1338">
        <f>IFERROR(MATCH($C$5&amp;"|"&amp;RIGHT("000000"&amp;1322,6),CalcRankKeyB,0),"")</f>
        <v/>
      </c>
    </row>
    <row r="1339">
      <c r="A1339" s="21" t="n">
        <v>1323</v>
      </c>
      <c r="B1339" s="22">
        <f>IF(AND($M1339="",$N1339=""),"",IF($M1339&lt;&gt;"",INDEX(CalcDateA,$M1339),INDEX(CalcDateB,$N1339)))</f>
        <v/>
      </c>
      <c r="C1339" s="22">
        <f>IF($M1339&lt;&gt;"","خرید سبد",IF($N1339&lt;&gt;"",IF(N(INDEX(CalcDepB,$N1339))&gt;0,"دریافت بانکی","پرداخت بانکی"),""))</f>
        <v/>
      </c>
      <c r="D1339" s="22">
        <f>IF($M1339&lt;&gt;"",IF(INDEX(CalcDocA,$M1339)="","—",INDEX(CalcDocA,$M1339)),IF($N1339&lt;&gt;"",INDEX(CalcBankB,$N1339),""))</f>
        <v/>
      </c>
      <c r="E1339" s="23">
        <f>IF($N1339&lt;&gt;"",IF(INDEX(CalcDepB,$N1339)=0,"",INDEX(CalcDepB,$N1339)),"")</f>
        <v/>
      </c>
      <c r="F1339" s="23">
        <f>IF($M1339&lt;&gt;"",IF(INDEX(CalcQtyA,$M1339)=0,"",INDEX(CalcQtyA,$M1339)),"")</f>
        <v/>
      </c>
      <c r="G1339" s="23">
        <f>IF($M1339&lt;&gt;"",IF(INDEX(CalcPriceA,$M1339)=0,"",INDEX(CalcPriceA,$M1339)),"")</f>
        <v/>
      </c>
      <c r="H1339" s="23">
        <f>IF($N1339&lt;&gt;"",IF(INDEX(CalcWitB,$N1339)=0,"",INDEX(CalcWitB,$N1339)),"")</f>
        <v/>
      </c>
      <c r="I1339" s="24">
        <f>IF($M1339&lt;&gt;"",INDEX(CalcAmtA,$M1339),"")</f>
        <v/>
      </c>
      <c r="J1339" s="24">
        <f>IF($B1339="","",IF($J1338="",$C$8,$J1338)+IF($I1339="",0,$I1339)+IF($E1339="",0,$E1339)-IF($H1339="",0,$H1339))</f>
        <v/>
      </c>
      <c r="K1339" s="25">
        <f>IF($M1339&lt;&gt;"",IF(INDEX(CalcNoteA,$M1339)="","—",INDEX(CalcNoteA,$M1339)),IF($N1339&lt;&gt;"",IF(INDEX(CalcNoteB,$N1339)="","—",INDEX(CalcNoteB,$N1339)),""))</f>
        <v/>
      </c>
      <c r="M1339">
        <f>IFERROR(MATCH($C$5&amp;"|"&amp;RIGHT("000000"&amp;1323,6),CalcRankKeyA,0),"")</f>
        <v/>
      </c>
      <c r="N1339">
        <f>IFERROR(MATCH($C$5&amp;"|"&amp;RIGHT("000000"&amp;1323,6),CalcRankKeyB,0),"")</f>
        <v/>
      </c>
    </row>
    <row r="1340">
      <c r="A1340" s="26" t="n">
        <v>1324</v>
      </c>
      <c r="B1340" s="27">
        <f>IF(AND($M1340="",$N1340=""),"",IF($M1340&lt;&gt;"",INDEX(CalcDateA,$M1340),INDEX(CalcDateB,$N1340)))</f>
        <v/>
      </c>
      <c r="C1340" s="27">
        <f>IF($M1340&lt;&gt;"","خرید سبد",IF($N1340&lt;&gt;"",IF(N(INDEX(CalcDepB,$N1340))&gt;0,"دریافت بانکی","پرداخت بانکی"),""))</f>
        <v/>
      </c>
      <c r="D1340" s="27">
        <f>IF($M1340&lt;&gt;"",IF(INDEX(CalcDocA,$M1340)="","—",INDEX(CalcDocA,$M1340)),IF($N1340&lt;&gt;"",INDEX(CalcBankB,$N1340),""))</f>
        <v/>
      </c>
      <c r="E1340" s="28">
        <f>IF($N1340&lt;&gt;"",IF(INDEX(CalcDepB,$N1340)=0,"",INDEX(CalcDepB,$N1340)),"")</f>
        <v/>
      </c>
      <c r="F1340" s="28">
        <f>IF($M1340&lt;&gt;"",IF(INDEX(CalcQtyA,$M1340)=0,"",INDEX(CalcQtyA,$M1340)),"")</f>
        <v/>
      </c>
      <c r="G1340" s="28">
        <f>IF($M1340&lt;&gt;"",IF(INDEX(CalcPriceA,$M1340)=0,"",INDEX(CalcPriceA,$M1340)),"")</f>
        <v/>
      </c>
      <c r="H1340" s="28">
        <f>IF($N1340&lt;&gt;"",IF(INDEX(CalcWitB,$N1340)=0,"",INDEX(CalcWitB,$N1340)),"")</f>
        <v/>
      </c>
      <c r="I1340" s="29">
        <f>IF($M1340&lt;&gt;"",INDEX(CalcAmtA,$M1340),"")</f>
        <v/>
      </c>
      <c r="J1340" s="29">
        <f>IF($B1340="","",IF($J1339="",$C$8,$J1339)+IF($I1340="",0,$I1340)+IF($E1340="",0,$E1340)-IF($H1340="",0,$H1340))</f>
        <v/>
      </c>
      <c r="K1340" s="30">
        <f>IF($M1340&lt;&gt;"",IF(INDEX(CalcNoteA,$M1340)="","—",INDEX(CalcNoteA,$M1340)),IF($N1340&lt;&gt;"",IF(INDEX(CalcNoteB,$N1340)="","—",INDEX(CalcNoteB,$N1340)),""))</f>
        <v/>
      </c>
      <c r="M1340">
        <f>IFERROR(MATCH($C$5&amp;"|"&amp;RIGHT("000000"&amp;1324,6),CalcRankKeyA,0),"")</f>
        <v/>
      </c>
      <c r="N1340">
        <f>IFERROR(MATCH($C$5&amp;"|"&amp;RIGHT("000000"&amp;1324,6),CalcRankKeyB,0),"")</f>
        <v/>
      </c>
    </row>
    <row r="1341">
      <c r="A1341" s="21" t="n">
        <v>1325</v>
      </c>
      <c r="B1341" s="22">
        <f>IF(AND($M1341="",$N1341=""),"",IF($M1341&lt;&gt;"",INDEX(CalcDateA,$M1341),INDEX(CalcDateB,$N1341)))</f>
        <v/>
      </c>
      <c r="C1341" s="22">
        <f>IF($M1341&lt;&gt;"","خرید سبد",IF($N1341&lt;&gt;"",IF(N(INDEX(CalcDepB,$N1341))&gt;0,"دریافت بانکی","پرداخت بانکی"),""))</f>
        <v/>
      </c>
      <c r="D1341" s="22">
        <f>IF($M1341&lt;&gt;"",IF(INDEX(CalcDocA,$M1341)="","—",INDEX(CalcDocA,$M1341)),IF($N1341&lt;&gt;"",INDEX(CalcBankB,$N1341),""))</f>
        <v/>
      </c>
      <c r="E1341" s="23">
        <f>IF($N1341&lt;&gt;"",IF(INDEX(CalcDepB,$N1341)=0,"",INDEX(CalcDepB,$N1341)),"")</f>
        <v/>
      </c>
      <c r="F1341" s="23">
        <f>IF($M1341&lt;&gt;"",IF(INDEX(CalcQtyA,$M1341)=0,"",INDEX(CalcQtyA,$M1341)),"")</f>
        <v/>
      </c>
      <c r="G1341" s="23">
        <f>IF($M1341&lt;&gt;"",IF(INDEX(CalcPriceA,$M1341)=0,"",INDEX(CalcPriceA,$M1341)),"")</f>
        <v/>
      </c>
      <c r="H1341" s="23">
        <f>IF($N1341&lt;&gt;"",IF(INDEX(CalcWitB,$N1341)=0,"",INDEX(CalcWitB,$N1341)),"")</f>
        <v/>
      </c>
      <c r="I1341" s="24">
        <f>IF($M1341&lt;&gt;"",INDEX(CalcAmtA,$M1341),"")</f>
        <v/>
      </c>
      <c r="J1341" s="24">
        <f>IF($B1341="","",IF($J1340="",$C$8,$J1340)+IF($I1341="",0,$I1341)+IF($E1341="",0,$E1341)-IF($H1341="",0,$H1341))</f>
        <v/>
      </c>
      <c r="K1341" s="25">
        <f>IF($M1341&lt;&gt;"",IF(INDEX(CalcNoteA,$M1341)="","—",INDEX(CalcNoteA,$M1341)),IF($N1341&lt;&gt;"",IF(INDEX(CalcNoteB,$N1341)="","—",INDEX(CalcNoteB,$N1341)),""))</f>
        <v/>
      </c>
      <c r="M1341">
        <f>IFERROR(MATCH($C$5&amp;"|"&amp;RIGHT("000000"&amp;1325,6),CalcRankKeyA,0),"")</f>
        <v/>
      </c>
      <c r="N1341">
        <f>IFERROR(MATCH($C$5&amp;"|"&amp;RIGHT("000000"&amp;1325,6),CalcRankKeyB,0),"")</f>
        <v/>
      </c>
    </row>
    <row r="1342">
      <c r="A1342" s="26" t="n">
        <v>1326</v>
      </c>
      <c r="B1342" s="27">
        <f>IF(AND($M1342="",$N1342=""),"",IF($M1342&lt;&gt;"",INDEX(CalcDateA,$M1342),INDEX(CalcDateB,$N1342)))</f>
        <v/>
      </c>
      <c r="C1342" s="27">
        <f>IF($M1342&lt;&gt;"","خرید سبد",IF($N1342&lt;&gt;"",IF(N(INDEX(CalcDepB,$N1342))&gt;0,"دریافت بانکی","پرداخت بانکی"),""))</f>
        <v/>
      </c>
      <c r="D1342" s="27">
        <f>IF($M1342&lt;&gt;"",IF(INDEX(CalcDocA,$M1342)="","—",INDEX(CalcDocA,$M1342)),IF($N1342&lt;&gt;"",INDEX(CalcBankB,$N1342),""))</f>
        <v/>
      </c>
      <c r="E1342" s="28">
        <f>IF($N1342&lt;&gt;"",IF(INDEX(CalcDepB,$N1342)=0,"",INDEX(CalcDepB,$N1342)),"")</f>
        <v/>
      </c>
      <c r="F1342" s="28">
        <f>IF($M1342&lt;&gt;"",IF(INDEX(CalcQtyA,$M1342)=0,"",INDEX(CalcQtyA,$M1342)),"")</f>
        <v/>
      </c>
      <c r="G1342" s="28">
        <f>IF($M1342&lt;&gt;"",IF(INDEX(CalcPriceA,$M1342)=0,"",INDEX(CalcPriceA,$M1342)),"")</f>
        <v/>
      </c>
      <c r="H1342" s="28">
        <f>IF($N1342&lt;&gt;"",IF(INDEX(CalcWitB,$N1342)=0,"",INDEX(CalcWitB,$N1342)),"")</f>
        <v/>
      </c>
      <c r="I1342" s="29">
        <f>IF($M1342&lt;&gt;"",INDEX(CalcAmtA,$M1342),"")</f>
        <v/>
      </c>
      <c r="J1342" s="29">
        <f>IF($B1342="","",IF($J1341="",$C$8,$J1341)+IF($I1342="",0,$I1342)+IF($E1342="",0,$E1342)-IF($H1342="",0,$H1342))</f>
        <v/>
      </c>
      <c r="K1342" s="30">
        <f>IF($M1342&lt;&gt;"",IF(INDEX(CalcNoteA,$M1342)="","—",INDEX(CalcNoteA,$M1342)),IF($N1342&lt;&gt;"",IF(INDEX(CalcNoteB,$N1342)="","—",INDEX(CalcNoteB,$N1342)),""))</f>
        <v/>
      </c>
      <c r="M1342">
        <f>IFERROR(MATCH($C$5&amp;"|"&amp;RIGHT("000000"&amp;1326,6),CalcRankKeyA,0),"")</f>
        <v/>
      </c>
      <c r="N1342">
        <f>IFERROR(MATCH($C$5&amp;"|"&amp;RIGHT("000000"&amp;1326,6),CalcRankKeyB,0),"")</f>
        <v/>
      </c>
    </row>
    <row r="1343">
      <c r="A1343" s="21" t="n">
        <v>1327</v>
      </c>
      <c r="B1343" s="22">
        <f>IF(AND($M1343="",$N1343=""),"",IF($M1343&lt;&gt;"",INDEX(CalcDateA,$M1343),INDEX(CalcDateB,$N1343)))</f>
        <v/>
      </c>
      <c r="C1343" s="22">
        <f>IF($M1343&lt;&gt;"","خرید سبد",IF($N1343&lt;&gt;"",IF(N(INDEX(CalcDepB,$N1343))&gt;0,"دریافت بانکی","پرداخت بانکی"),""))</f>
        <v/>
      </c>
      <c r="D1343" s="22">
        <f>IF($M1343&lt;&gt;"",IF(INDEX(CalcDocA,$M1343)="","—",INDEX(CalcDocA,$M1343)),IF($N1343&lt;&gt;"",INDEX(CalcBankB,$N1343),""))</f>
        <v/>
      </c>
      <c r="E1343" s="23">
        <f>IF($N1343&lt;&gt;"",IF(INDEX(CalcDepB,$N1343)=0,"",INDEX(CalcDepB,$N1343)),"")</f>
        <v/>
      </c>
      <c r="F1343" s="23">
        <f>IF($M1343&lt;&gt;"",IF(INDEX(CalcQtyA,$M1343)=0,"",INDEX(CalcQtyA,$M1343)),"")</f>
        <v/>
      </c>
      <c r="G1343" s="23">
        <f>IF($M1343&lt;&gt;"",IF(INDEX(CalcPriceA,$M1343)=0,"",INDEX(CalcPriceA,$M1343)),"")</f>
        <v/>
      </c>
      <c r="H1343" s="23">
        <f>IF($N1343&lt;&gt;"",IF(INDEX(CalcWitB,$N1343)=0,"",INDEX(CalcWitB,$N1343)),"")</f>
        <v/>
      </c>
      <c r="I1343" s="24">
        <f>IF($M1343&lt;&gt;"",INDEX(CalcAmtA,$M1343),"")</f>
        <v/>
      </c>
      <c r="J1343" s="24">
        <f>IF($B1343="","",IF($J1342="",$C$8,$J1342)+IF($I1343="",0,$I1343)+IF($E1343="",0,$E1343)-IF($H1343="",0,$H1343))</f>
        <v/>
      </c>
      <c r="K1343" s="25">
        <f>IF($M1343&lt;&gt;"",IF(INDEX(CalcNoteA,$M1343)="","—",INDEX(CalcNoteA,$M1343)),IF($N1343&lt;&gt;"",IF(INDEX(CalcNoteB,$N1343)="","—",INDEX(CalcNoteB,$N1343)),""))</f>
        <v/>
      </c>
      <c r="M1343">
        <f>IFERROR(MATCH($C$5&amp;"|"&amp;RIGHT("000000"&amp;1327,6),CalcRankKeyA,0),"")</f>
        <v/>
      </c>
      <c r="N1343">
        <f>IFERROR(MATCH($C$5&amp;"|"&amp;RIGHT("000000"&amp;1327,6),CalcRankKeyB,0),"")</f>
        <v/>
      </c>
    </row>
    <row r="1344">
      <c r="A1344" s="26" t="n">
        <v>1328</v>
      </c>
      <c r="B1344" s="27">
        <f>IF(AND($M1344="",$N1344=""),"",IF($M1344&lt;&gt;"",INDEX(CalcDateA,$M1344),INDEX(CalcDateB,$N1344)))</f>
        <v/>
      </c>
      <c r="C1344" s="27">
        <f>IF($M1344&lt;&gt;"","خرید سبد",IF($N1344&lt;&gt;"",IF(N(INDEX(CalcDepB,$N1344))&gt;0,"دریافت بانکی","پرداخت بانکی"),""))</f>
        <v/>
      </c>
      <c r="D1344" s="27">
        <f>IF($M1344&lt;&gt;"",IF(INDEX(CalcDocA,$M1344)="","—",INDEX(CalcDocA,$M1344)),IF($N1344&lt;&gt;"",INDEX(CalcBankB,$N1344),""))</f>
        <v/>
      </c>
      <c r="E1344" s="28">
        <f>IF($N1344&lt;&gt;"",IF(INDEX(CalcDepB,$N1344)=0,"",INDEX(CalcDepB,$N1344)),"")</f>
        <v/>
      </c>
      <c r="F1344" s="28">
        <f>IF($M1344&lt;&gt;"",IF(INDEX(CalcQtyA,$M1344)=0,"",INDEX(CalcQtyA,$M1344)),"")</f>
        <v/>
      </c>
      <c r="G1344" s="28">
        <f>IF($M1344&lt;&gt;"",IF(INDEX(CalcPriceA,$M1344)=0,"",INDEX(CalcPriceA,$M1344)),"")</f>
        <v/>
      </c>
      <c r="H1344" s="28">
        <f>IF($N1344&lt;&gt;"",IF(INDEX(CalcWitB,$N1344)=0,"",INDEX(CalcWitB,$N1344)),"")</f>
        <v/>
      </c>
      <c r="I1344" s="29">
        <f>IF($M1344&lt;&gt;"",INDEX(CalcAmtA,$M1344),"")</f>
        <v/>
      </c>
      <c r="J1344" s="29">
        <f>IF($B1344="","",IF($J1343="",$C$8,$J1343)+IF($I1344="",0,$I1344)+IF($E1344="",0,$E1344)-IF($H1344="",0,$H1344))</f>
        <v/>
      </c>
      <c r="K1344" s="30">
        <f>IF($M1344&lt;&gt;"",IF(INDEX(CalcNoteA,$M1344)="","—",INDEX(CalcNoteA,$M1344)),IF($N1344&lt;&gt;"",IF(INDEX(CalcNoteB,$N1344)="","—",INDEX(CalcNoteB,$N1344)),""))</f>
        <v/>
      </c>
      <c r="M1344">
        <f>IFERROR(MATCH($C$5&amp;"|"&amp;RIGHT("000000"&amp;1328,6),CalcRankKeyA,0),"")</f>
        <v/>
      </c>
      <c r="N1344">
        <f>IFERROR(MATCH($C$5&amp;"|"&amp;RIGHT("000000"&amp;1328,6),CalcRankKeyB,0),"")</f>
        <v/>
      </c>
    </row>
    <row r="1345">
      <c r="A1345" s="21" t="n">
        <v>1329</v>
      </c>
      <c r="B1345" s="22">
        <f>IF(AND($M1345="",$N1345=""),"",IF($M1345&lt;&gt;"",INDEX(CalcDateA,$M1345),INDEX(CalcDateB,$N1345)))</f>
        <v/>
      </c>
      <c r="C1345" s="22">
        <f>IF($M1345&lt;&gt;"","خرید سبد",IF($N1345&lt;&gt;"",IF(N(INDEX(CalcDepB,$N1345))&gt;0,"دریافت بانکی","پرداخت بانکی"),""))</f>
        <v/>
      </c>
      <c r="D1345" s="22">
        <f>IF($M1345&lt;&gt;"",IF(INDEX(CalcDocA,$M1345)="","—",INDEX(CalcDocA,$M1345)),IF($N1345&lt;&gt;"",INDEX(CalcBankB,$N1345),""))</f>
        <v/>
      </c>
      <c r="E1345" s="23">
        <f>IF($N1345&lt;&gt;"",IF(INDEX(CalcDepB,$N1345)=0,"",INDEX(CalcDepB,$N1345)),"")</f>
        <v/>
      </c>
      <c r="F1345" s="23">
        <f>IF($M1345&lt;&gt;"",IF(INDEX(CalcQtyA,$M1345)=0,"",INDEX(CalcQtyA,$M1345)),"")</f>
        <v/>
      </c>
      <c r="G1345" s="23">
        <f>IF($M1345&lt;&gt;"",IF(INDEX(CalcPriceA,$M1345)=0,"",INDEX(CalcPriceA,$M1345)),"")</f>
        <v/>
      </c>
      <c r="H1345" s="23">
        <f>IF($N1345&lt;&gt;"",IF(INDEX(CalcWitB,$N1345)=0,"",INDEX(CalcWitB,$N1345)),"")</f>
        <v/>
      </c>
      <c r="I1345" s="24">
        <f>IF($M1345&lt;&gt;"",INDEX(CalcAmtA,$M1345),"")</f>
        <v/>
      </c>
      <c r="J1345" s="24">
        <f>IF($B1345="","",IF($J1344="",$C$8,$J1344)+IF($I1345="",0,$I1345)+IF($E1345="",0,$E1345)-IF($H1345="",0,$H1345))</f>
        <v/>
      </c>
      <c r="K1345" s="25">
        <f>IF($M1345&lt;&gt;"",IF(INDEX(CalcNoteA,$M1345)="","—",INDEX(CalcNoteA,$M1345)),IF($N1345&lt;&gt;"",IF(INDEX(CalcNoteB,$N1345)="","—",INDEX(CalcNoteB,$N1345)),""))</f>
        <v/>
      </c>
      <c r="M1345">
        <f>IFERROR(MATCH($C$5&amp;"|"&amp;RIGHT("000000"&amp;1329,6),CalcRankKeyA,0),"")</f>
        <v/>
      </c>
      <c r="N1345">
        <f>IFERROR(MATCH($C$5&amp;"|"&amp;RIGHT("000000"&amp;1329,6),CalcRankKeyB,0),"")</f>
        <v/>
      </c>
    </row>
    <row r="1346">
      <c r="A1346" s="26" t="n">
        <v>1330</v>
      </c>
      <c r="B1346" s="27">
        <f>IF(AND($M1346="",$N1346=""),"",IF($M1346&lt;&gt;"",INDEX(CalcDateA,$M1346),INDEX(CalcDateB,$N1346)))</f>
        <v/>
      </c>
      <c r="C1346" s="27">
        <f>IF($M1346&lt;&gt;"","خرید سبد",IF($N1346&lt;&gt;"",IF(N(INDEX(CalcDepB,$N1346))&gt;0,"دریافت بانکی","پرداخت بانکی"),""))</f>
        <v/>
      </c>
      <c r="D1346" s="27">
        <f>IF($M1346&lt;&gt;"",IF(INDEX(CalcDocA,$M1346)="","—",INDEX(CalcDocA,$M1346)),IF($N1346&lt;&gt;"",INDEX(CalcBankB,$N1346),""))</f>
        <v/>
      </c>
      <c r="E1346" s="28">
        <f>IF($N1346&lt;&gt;"",IF(INDEX(CalcDepB,$N1346)=0,"",INDEX(CalcDepB,$N1346)),"")</f>
        <v/>
      </c>
      <c r="F1346" s="28">
        <f>IF($M1346&lt;&gt;"",IF(INDEX(CalcQtyA,$M1346)=0,"",INDEX(CalcQtyA,$M1346)),"")</f>
        <v/>
      </c>
      <c r="G1346" s="28">
        <f>IF($M1346&lt;&gt;"",IF(INDEX(CalcPriceA,$M1346)=0,"",INDEX(CalcPriceA,$M1346)),"")</f>
        <v/>
      </c>
      <c r="H1346" s="28">
        <f>IF($N1346&lt;&gt;"",IF(INDEX(CalcWitB,$N1346)=0,"",INDEX(CalcWitB,$N1346)),"")</f>
        <v/>
      </c>
      <c r="I1346" s="29">
        <f>IF($M1346&lt;&gt;"",INDEX(CalcAmtA,$M1346),"")</f>
        <v/>
      </c>
      <c r="J1346" s="29">
        <f>IF($B1346="","",IF($J1345="",$C$8,$J1345)+IF($I1346="",0,$I1346)+IF($E1346="",0,$E1346)-IF($H1346="",0,$H1346))</f>
        <v/>
      </c>
      <c r="K1346" s="30">
        <f>IF($M1346&lt;&gt;"",IF(INDEX(CalcNoteA,$M1346)="","—",INDEX(CalcNoteA,$M1346)),IF($N1346&lt;&gt;"",IF(INDEX(CalcNoteB,$N1346)="","—",INDEX(CalcNoteB,$N1346)),""))</f>
        <v/>
      </c>
      <c r="M1346">
        <f>IFERROR(MATCH($C$5&amp;"|"&amp;RIGHT("000000"&amp;1330,6),CalcRankKeyA,0),"")</f>
        <v/>
      </c>
      <c r="N1346">
        <f>IFERROR(MATCH($C$5&amp;"|"&amp;RIGHT("000000"&amp;1330,6),CalcRankKeyB,0),"")</f>
        <v/>
      </c>
    </row>
    <row r="1347">
      <c r="A1347" s="21" t="n">
        <v>1331</v>
      </c>
      <c r="B1347" s="22">
        <f>IF(AND($M1347="",$N1347=""),"",IF($M1347&lt;&gt;"",INDEX(CalcDateA,$M1347),INDEX(CalcDateB,$N1347)))</f>
        <v/>
      </c>
      <c r="C1347" s="22">
        <f>IF($M1347&lt;&gt;"","خرید سبد",IF($N1347&lt;&gt;"",IF(N(INDEX(CalcDepB,$N1347))&gt;0,"دریافت بانکی","پرداخت بانکی"),""))</f>
        <v/>
      </c>
      <c r="D1347" s="22">
        <f>IF($M1347&lt;&gt;"",IF(INDEX(CalcDocA,$M1347)="","—",INDEX(CalcDocA,$M1347)),IF($N1347&lt;&gt;"",INDEX(CalcBankB,$N1347),""))</f>
        <v/>
      </c>
      <c r="E1347" s="23">
        <f>IF($N1347&lt;&gt;"",IF(INDEX(CalcDepB,$N1347)=0,"",INDEX(CalcDepB,$N1347)),"")</f>
        <v/>
      </c>
      <c r="F1347" s="23">
        <f>IF($M1347&lt;&gt;"",IF(INDEX(CalcQtyA,$M1347)=0,"",INDEX(CalcQtyA,$M1347)),"")</f>
        <v/>
      </c>
      <c r="G1347" s="23">
        <f>IF($M1347&lt;&gt;"",IF(INDEX(CalcPriceA,$M1347)=0,"",INDEX(CalcPriceA,$M1347)),"")</f>
        <v/>
      </c>
      <c r="H1347" s="23">
        <f>IF($N1347&lt;&gt;"",IF(INDEX(CalcWitB,$N1347)=0,"",INDEX(CalcWitB,$N1347)),"")</f>
        <v/>
      </c>
      <c r="I1347" s="24">
        <f>IF($M1347&lt;&gt;"",INDEX(CalcAmtA,$M1347),"")</f>
        <v/>
      </c>
      <c r="J1347" s="24">
        <f>IF($B1347="","",IF($J1346="",$C$8,$J1346)+IF($I1347="",0,$I1347)+IF($E1347="",0,$E1347)-IF($H1347="",0,$H1347))</f>
        <v/>
      </c>
      <c r="K1347" s="25">
        <f>IF($M1347&lt;&gt;"",IF(INDEX(CalcNoteA,$M1347)="","—",INDEX(CalcNoteA,$M1347)),IF($N1347&lt;&gt;"",IF(INDEX(CalcNoteB,$N1347)="","—",INDEX(CalcNoteB,$N1347)),""))</f>
        <v/>
      </c>
      <c r="M1347">
        <f>IFERROR(MATCH($C$5&amp;"|"&amp;RIGHT("000000"&amp;1331,6),CalcRankKeyA,0),"")</f>
        <v/>
      </c>
      <c r="N1347">
        <f>IFERROR(MATCH($C$5&amp;"|"&amp;RIGHT("000000"&amp;1331,6),CalcRankKeyB,0),"")</f>
        <v/>
      </c>
    </row>
    <row r="1348">
      <c r="A1348" s="26" t="n">
        <v>1332</v>
      </c>
      <c r="B1348" s="27">
        <f>IF(AND($M1348="",$N1348=""),"",IF($M1348&lt;&gt;"",INDEX(CalcDateA,$M1348),INDEX(CalcDateB,$N1348)))</f>
        <v/>
      </c>
      <c r="C1348" s="27">
        <f>IF($M1348&lt;&gt;"","خرید سبد",IF($N1348&lt;&gt;"",IF(N(INDEX(CalcDepB,$N1348))&gt;0,"دریافت بانکی","پرداخت بانکی"),""))</f>
        <v/>
      </c>
      <c r="D1348" s="27">
        <f>IF($M1348&lt;&gt;"",IF(INDEX(CalcDocA,$M1348)="","—",INDEX(CalcDocA,$M1348)),IF($N1348&lt;&gt;"",INDEX(CalcBankB,$N1348),""))</f>
        <v/>
      </c>
      <c r="E1348" s="28">
        <f>IF($N1348&lt;&gt;"",IF(INDEX(CalcDepB,$N1348)=0,"",INDEX(CalcDepB,$N1348)),"")</f>
        <v/>
      </c>
      <c r="F1348" s="28">
        <f>IF($M1348&lt;&gt;"",IF(INDEX(CalcQtyA,$M1348)=0,"",INDEX(CalcQtyA,$M1348)),"")</f>
        <v/>
      </c>
      <c r="G1348" s="28">
        <f>IF($M1348&lt;&gt;"",IF(INDEX(CalcPriceA,$M1348)=0,"",INDEX(CalcPriceA,$M1348)),"")</f>
        <v/>
      </c>
      <c r="H1348" s="28">
        <f>IF($N1348&lt;&gt;"",IF(INDEX(CalcWitB,$N1348)=0,"",INDEX(CalcWitB,$N1348)),"")</f>
        <v/>
      </c>
      <c r="I1348" s="29">
        <f>IF($M1348&lt;&gt;"",INDEX(CalcAmtA,$M1348),"")</f>
        <v/>
      </c>
      <c r="J1348" s="29">
        <f>IF($B1348="","",IF($J1347="",$C$8,$J1347)+IF($I1348="",0,$I1348)+IF($E1348="",0,$E1348)-IF($H1348="",0,$H1348))</f>
        <v/>
      </c>
      <c r="K1348" s="30">
        <f>IF($M1348&lt;&gt;"",IF(INDEX(CalcNoteA,$M1348)="","—",INDEX(CalcNoteA,$M1348)),IF($N1348&lt;&gt;"",IF(INDEX(CalcNoteB,$N1348)="","—",INDEX(CalcNoteB,$N1348)),""))</f>
        <v/>
      </c>
      <c r="M1348">
        <f>IFERROR(MATCH($C$5&amp;"|"&amp;RIGHT("000000"&amp;1332,6),CalcRankKeyA,0),"")</f>
        <v/>
      </c>
      <c r="N1348">
        <f>IFERROR(MATCH($C$5&amp;"|"&amp;RIGHT("000000"&amp;1332,6),CalcRankKeyB,0),"")</f>
        <v/>
      </c>
    </row>
    <row r="1349">
      <c r="A1349" s="21" t="n">
        <v>1333</v>
      </c>
      <c r="B1349" s="22">
        <f>IF(AND($M1349="",$N1349=""),"",IF($M1349&lt;&gt;"",INDEX(CalcDateA,$M1349),INDEX(CalcDateB,$N1349)))</f>
        <v/>
      </c>
      <c r="C1349" s="22">
        <f>IF($M1349&lt;&gt;"","خرید سبد",IF($N1349&lt;&gt;"",IF(N(INDEX(CalcDepB,$N1349))&gt;0,"دریافت بانکی","پرداخت بانکی"),""))</f>
        <v/>
      </c>
      <c r="D1349" s="22">
        <f>IF($M1349&lt;&gt;"",IF(INDEX(CalcDocA,$M1349)="","—",INDEX(CalcDocA,$M1349)),IF($N1349&lt;&gt;"",INDEX(CalcBankB,$N1349),""))</f>
        <v/>
      </c>
      <c r="E1349" s="23">
        <f>IF($N1349&lt;&gt;"",IF(INDEX(CalcDepB,$N1349)=0,"",INDEX(CalcDepB,$N1349)),"")</f>
        <v/>
      </c>
      <c r="F1349" s="23">
        <f>IF($M1349&lt;&gt;"",IF(INDEX(CalcQtyA,$M1349)=0,"",INDEX(CalcQtyA,$M1349)),"")</f>
        <v/>
      </c>
      <c r="G1349" s="23">
        <f>IF($M1349&lt;&gt;"",IF(INDEX(CalcPriceA,$M1349)=0,"",INDEX(CalcPriceA,$M1349)),"")</f>
        <v/>
      </c>
      <c r="H1349" s="23">
        <f>IF($N1349&lt;&gt;"",IF(INDEX(CalcWitB,$N1349)=0,"",INDEX(CalcWitB,$N1349)),"")</f>
        <v/>
      </c>
      <c r="I1349" s="24">
        <f>IF($M1349&lt;&gt;"",INDEX(CalcAmtA,$M1349),"")</f>
        <v/>
      </c>
      <c r="J1349" s="24">
        <f>IF($B1349="","",IF($J1348="",$C$8,$J1348)+IF($I1349="",0,$I1349)+IF($E1349="",0,$E1349)-IF($H1349="",0,$H1349))</f>
        <v/>
      </c>
      <c r="K1349" s="25">
        <f>IF($M1349&lt;&gt;"",IF(INDEX(CalcNoteA,$M1349)="","—",INDEX(CalcNoteA,$M1349)),IF($N1349&lt;&gt;"",IF(INDEX(CalcNoteB,$N1349)="","—",INDEX(CalcNoteB,$N1349)),""))</f>
        <v/>
      </c>
      <c r="M1349">
        <f>IFERROR(MATCH($C$5&amp;"|"&amp;RIGHT("000000"&amp;1333,6),CalcRankKeyA,0),"")</f>
        <v/>
      </c>
      <c r="N1349">
        <f>IFERROR(MATCH($C$5&amp;"|"&amp;RIGHT("000000"&amp;1333,6),CalcRankKeyB,0),"")</f>
        <v/>
      </c>
    </row>
    <row r="1350">
      <c r="A1350" s="26" t="n">
        <v>1334</v>
      </c>
      <c r="B1350" s="27">
        <f>IF(AND($M1350="",$N1350=""),"",IF($M1350&lt;&gt;"",INDEX(CalcDateA,$M1350),INDEX(CalcDateB,$N1350)))</f>
        <v/>
      </c>
      <c r="C1350" s="27">
        <f>IF($M1350&lt;&gt;"","خرید سبد",IF($N1350&lt;&gt;"",IF(N(INDEX(CalcDepB,$N1350))&gt;0,"دریافت بانکی","پرداخت بانکی"),""))</f>
        <v/>
      </c>
      <c r="D1350" s="27">
        <f>IF($M1350&lt;&gt;"",IF(INDEX(CalcDocA,$M1350)="","—",INDEX(CalcDocA,$M1350)),IF($N1350&lt;&gt;"",INDEX(CalcBankB,$N1350),""))</f>
        <v/>
      </c>
      <c r="E1350" s="28">
        <f>IF($N1350&lt;&gt;"",IF(INDEX(CalcDepB,$N1350)=0,"",INDEX(CalcDepB,$N1350)),"")</f>
        <v/>
      </c>
      <c r="F1350" s="28">
        <f>IF($M1350&lt;&gt;"",IF(INDEX(CalcQtyA,$M1350)=0,"",INDEX(CalcQtyA,$M1350)),"")</f>
        <v/>
      </c>
      <c r="G1350" s="28">
        <f>IF($M1350&lt;&gt;"",IF(INDEX(CalcPriceA,$M1350)=0,"",INDEX(CalcPriceA,$M1350)),"")</f>
        <v/>
      </c>
      <c r="H1350" s="28">
        <f>IF($N1350&lt;&gt;"",IF(INDEX(CalcWitB,$N1350)=0,"",INDEX(CalcWitB,$N1350)),"")</f>
        <v/>
      </c>
      <c r="I1350" s="29">
        <f>IF($M1350&lt;&gt;"",INDEX(CalcAmtA,$M1350),"")</f>
        <v/>
      </c>
      <c r="J1350" s="29">
        <f>IF($B1350="","",IF($J1349="",$C$8,$J1349)+IF($I1350="",0,$I1350)+IF($E1350="",0,$E1350)-IF($H1350="",0,$H1350))</f>
        <v/>
      </c>
      <c r="K1350" s="30">
        <f>IF($M1350&lt;&gt;"",IF(INDEX(CalcNoteA,$M1350)="","—",INDEX(CalcNoteA,$M1350)),IF($N1350&lt;&gt;"",IF(INDEX(CalcNoteB,$N1350)="","—",INDEX(CalcNoteB,$N1350)),""))</f>
        <v/>
      </c>
      <c r="M1350">
        <f>IFERROR(MATCH($C$5&amp;"|"&amp;RIGHT("000000"&amp;1334,6),CalcRankKeyA,0),"")</f>
        <v/>
      </c>
      <c r="N1350">
        <f>IFERROR(MATCH($C$5&amp;"|"&amp;RIGHT("000000"&amp;1334,6),CalcRankKeyB,0),"")</f>
        <v/>
      </c>
    </row>
    <row r="1351">
      <c r="A1351" s="21" t="n">
        <v>1335</v>
      </c>
      <c r="B1351" s="22">
        <f>IF(AND($M1351="",$N1351=""),"",IF($M1351&lt;&gt;"",INDEX(CalcDateA,$M1351),INDEX(CalcDateB,$N1351)))</f>
        <v/>
      </c>
      <c r="C1351" s="22">
        <f>IF($M1351&lt;&gt;"","خرید سبد",IF($N1351&lt;&gt;"",IF(N(INDEX(CalcDepB,$N1351))&gt;0,"دریافت بانکی","پرداخت بانکی"),""))</f>
        <v/>
      </c>
      <c r="D1351" s="22">
        <f>IF($M1351&lt;&gt;"",IF(INDEX(CalcDocA,$M1351)="","—",INDEX(CalcDocA,$M1351)),IF($N1351&lt;&gt;"",INDEX(CalcBankB,$N1351),""))</f>
        <v/>
      </c>
      <c r="E1351" s="23">
        <f>IF($N1351&lt;&gt;"",IF(INDEX(CalcDepB,$N1351)=0,"",INDEX(CalcDepB,$N1351)),"")</f>
        <v/>
      </c>
      <c r="F1351" s="23">
        <f>IF($M1351&lt;&gt;"",IF(INDEX(CalcQtyA,$M1351)=0,"",INDEX(CalcQtyA,$M1351)),"")</f>
        <v/>
      </c>
      <c r="G1351" s="23">
        <f>IF($M1351&lt;&gt;"",IF(INDEX(CalcPriceA,$M1351)=0,"",INDEX(CalcPriceA,$M1351)),"")</f>
        <v/>
      </c>
      <c r="H1351" s="23">
        <f>IF($N1351&lt;&gt;"",IF(INDEX(CalcWitB,$N1351)=0,"",INDEX(CalcWitB,$N1351)),"")</f>
        <v/>
      </c>
      <c r="I1351" s="24">
        <f>IF($M1351&lt;&gt;"",INDEX(CalcAmtA,$M1351),"")</f>
        <v/>
      </c>
      <c r="J1351" s="24">
        <f>IF($B1351="","",IF($J1350="",$C$8,$J1350)+IF($I1351="",0,$I1351)+IF($E1351="",0,$E1351)-IF($H1351="",0,$H1351))</f>
        <v/>
      </c>
      <c r="K1351" s="25">
        <f>IF($M1351&lt;&gt;"",IF(INDEX(CalcNoteA,$M1351)="","—",INDEX(CalcNoteA,$M1351)),IF($N1351&lt;&gt;"",IF(INDEX(CalcNoteB,$N1351)="","—",INDEX(CalcNoteB,$N1351)),""))</f>
        <v/>
      </c>
      <c r="M1351">
        <f>IFERROR(MATCH($C$5&amp;"|"&amp;RIGHT("000000"&amp;1335,6),CalcRankKeyA,0),"")</f>
        <v/>
      </c>
      <c r="N1351">
        <f>IFERROR(MATCH($C$5&amp;"|"&amp;RIGHT("000000"&amp;1335,6),CalcRankKeyB,0),"")</f>
        <v/>
      </c>
    </row>
    <row r="1352">
      <c r="A1352" s="26" t="n">
        <v>1336</v>
      </c>
      <c r="B1352" s="27">
        <f>IF(AND($M1352="",$N1352=""),"",IF($M1352&lt;&gt;"",INDEX(CalcDateA,$M1352),INDEX(CalcDateB,$N1352)))</f>
        <v/>
      </c>
      <c r="C1352" s="27">
        <f>IF($M1352&lt;&gt;"","خرید سبد",IF($N1352&lt;&gt;"",IF(N(INDEX(CalcDepB,$N1352))&gt;0,"دریافت بانکی","پرداخت بانکی"),""))</f>
        <v/>
      </c>
      <c r="D1352" s="27">
        <f>IF($M1352&lt;&gt;"",IF(INDEX(CalcDocA,$M1352)="","—",INDEX(CalcDocA,$M1352)),IF($N1352&lt;&gt;"",INDEX(CalcBankB,$N1352),""))</f>
        <v/>
      </c>
      <c r="E1352" s="28">
        <f>IF($N1352&lt;&gt;"",IF(INDEX(CalcDepB,$N1352)=0,"",INDEX(CalcDepB,$N1352)),"")</f>
        <v/>
      </c>
      <c r="F1352" s="28">
        <f>IF($M1352&lt;&gt;"",IF(INDEX(CalcQtyA,$M1352)=0,"",INDEX(CalcQtyA,$M1352)),"")</f>
        <v/>
      </c>
      <c r="G1352" s="28">
        <f>IF($M1352&lt;&gt;"",IF(INDEX(CalcPriceA,$M1352)=0,"",INDEX(CalcPriceA,$M1352)),"")</f>
        <v/>
      </c>
      <c r="H1352" s="28">
        <f>IF($N1352&lt;&gt;"",IF(INDEX(CalcWitB,$N1352)=0,"",INDEX(CalcWitB,$N1352)),"")</f>
        <v/>
      </c>
      <c r="I1352" s="29">
        <f>IF($M1352&lt;&gt;"",INDEX(CalcAmtA,$M1352),"")</f>
        <v/>
      </c>
      <c r="J1352" s="29">
        <f>IF($B1352="","",IF($J1351="",$C$8,$J1351)+IF($I1352="",0,$I1352)+IF($E1352="",0,$E1352)-IF($H1352="",0,$H1352))</f>
        <v/>
      </c>
      <c r="K1352" s="30">
        <f>IF($M1352&lt;&gt;"",IF(INDEX(CalcNoteA,$M1352)="","—",INDEX(CalcNoteA,$M1352)),IF($N1352&lt;&gt;"",IF(INDEX(CalcNoteB,$N1352)="","—",INDEX(CalcNoteB,$N1352)),""))</f>
        <v/>
      </c>
      <c r="M1352">
        <f>IFERROR(MATCH($C$5&amp;"|"&amp;RIGHT("000000"&amp;1336,6),CalcRankKeyA,0),"")</f>
        <v/>
      </c>
      <c r="N1352">
        <f>IFERROR(MATCH($C$5&amp;"|"&amp;RIGHT("000000"&amp;1336,6),CalcRankKeyB,0),"")</f>
        <v/>
      </c>
    </row>
    <row r="1353">
      <c r="A1353" s="21" t="n">
        <v>1337</v>
      </c>
      <c r="B1353" s="22">
        <f>IF(AND($M1353="",$N1353=""),"",IF($M1353&lt;&gt;"",INDEX(CalcDateA,$M1353),INDEX(CalcDateB,$N1353)))</f>
        <v/>
      </c>
      <c r="C1353" s="22">
        <f>IF($M1353&lt;&gt;"","خرید سبد",IF($N1353&lt;&gt;"",IF(N(INDEX(CalcDepB,$N1353))&gt;0,"دریافت بانکی","پرداخت بانکی"),""))</f>
        <v/>
      </c>
      <c r="D1353" s="22">
        <f>IF($M1353&lt;&gt;"",IF(INDEX(CalcDocA,$M1353)="","—",INDEX(CalcDocA,$M1353)),IF($N1353&lt;&gt;"",INDEX(CalcBankB,$N1353),""))</f>
        <v/>
      </c>
      <c r="E1353" s="23">
        <f>IF($N1353&lt;&gt;"",IF(INDEX(CalcDepB,$N1353)=0,"",INDEX(CalcDepB,$N1353)),"")</f>
        <v/>
      </c>
      <c r="F1353" s="23">
        <f>IF($M1353&lt;&gt;"",IF(INDEX(CalcQtyA,$M1353)=0,"",INDEX(CalcQtyA,$M1353)),"")</f>
        <v/>
      </c>
      <c r="G1353" s="23">
        <f>IF($M1353&lt;&gt;"",IF(INDEX(CalcPriceA,$M1353)=0,"",INDEX(CalcPriceA,$M1353)),"")</f>
        <v/>
      </c>
      <c r="H1353" s="23">
        <f>IF($N1353&lt;&gt;"",IF(INDEX(CalcWitB,$N1353)=0,"",INDEX(CalcWitB,$N1353)),"")</f>
        <v/>
      </c>
      <c r="I1353" s="24">
        <f>IF($M1353&lt;&gt;"",INDEX(CalcAmtA,$M1353),"")</f>
        <v/>
      </c>
      <c r="J1353" s="24">
        <f>IF($B1353="","",IF($J1352="",$C$8,$J1352)+IF($I1353="",0,$I1353)+IF($E1353="",0,$E1353)-IF($H1353="",0,$H1353))</f>
        <v/>
      </c>
      <c r="K1353" s="25">
        <f>IF($M1353&lt;&gt;"",IF(INDEX(CalcNoteA,$M1353)="","—",INDEX(CalcNoteA,$M1353)),IF($N1353&lt;&gt;"",IF(INDEX(CalcNoteB,$N1353)="","—",INDEX(CalcNoteB,$N1353)),""))</f>
        <v/>
      </c>
      <c r="M1353">
        <f>IFERROR(MATCH($C$5&amp;"|"&amp;RIGHT("000000"&amp;1337,6),CalcRankKeyA,0),"")</f>
        <v/>
      </c>
      <c r="N1353">
        <f>IFERROR(MATCH($C$5&amp;"|"&amp;RIGHT("000000"&amp;1337,6),CalcRankKeyB,0),"")</f>
        <v/>
      </c>
    </row>
    <row r="1354">
      <c r="A1354" s="26" t="n">
        <v>1338</v>
      </c>
      <c r="B1354" s="27">
        <f>IF(AND($M1354="",$N1354=""),"",IF($M1354&lt;&gt;"",INDEX(CalcDateA,$M1354),INDEX(CalcDateB,$N1354)))</f>
        <v/>
      </c>
      <c r="C1354" s="27">
        <f>IF($M1354&lt;&gt;"","خرید سبد",IF($N1354&lt;&gt;"",IF(N(INDEX(CalcDepB,$N1354))&gt;0,"دریافت بانکی","پرداخت بانکی"),""))</f>
        <v/>
      </c>
      <c r="D1354" s="27">
        <f>IF($M1354&lt;&gt;"",IF(INDEX(CalcDocA,$M1354)="","—",INDEX(CalcDocA,$M1354)),IF($N1354&lt;&gt;"",INDEX(CalcBankB,$N1354),""))</f>
        <v/>
      </c>
      <c r="E1354" s="28">
        <f>IF($N1354&lt;&gt;"",IF(INDEX(CalcDepB,$N1354)=0,"",INDEX(CalcDepB,$N1354)),"")</f>
        <v/>
      </c>
      <c r="F1354" s="28">
        <f>IF($M1354&lt;&gt;"",IF(INDEX(CalcQtyA,$M1354)=0,"",INDEX(CalcQtyA,$M1354)),"")</f>
        <v/>
      </c>
      <c r="G1354" s="28">
        <f>IF($M1354&lt;&gt;"",IF(INDEX(CalcPriceA,$M1354)=0,"",INDEX(CalcPriceA,$M1354)),"")</f>
        <v/>
      </c>
      <c r="H1354" s="28">
        <f>IF($N1354&lt;&gt;"",IF(INDEX(CalcWitB,$N1354)=0,"",INDEX(CalcWitB,$N1354)),"")</f>
        <v/>
      </c>
      <c r="I1354" s="29">
        <f>IF($M1354&lt;&gt;"",INDEX(CalcAmtA,$M1354),"")</f>
        <v/>
      </c>
      <c r="J1354" s="29">
        <f>IF($B1354="","",IF($J1353="",$C$8,$J1353)+IF($I1354="",0,$I1354)+IF($E1354="",0,$E1354)-IF($H1354="",0,$H1354))</f>
        <v/>
      </c>
      <c r="K1354" s="30">
        <f>IF($M1354&lt;&gt;"",IF(INDEX(CalcNoteA,$M1354)="","—",INDEX(CalcNoteA,$M1354)),IF($N1354&lt;&gt;"",IF(INDEX(CalcNoteB,$N1354)="","—",INDEX(CalcNoteB,$N1354)),""))</f>
        <v/>
      </c>
      <c r="M1354">
        <f>IFERROR(MATCH($C$5&amp;"|"&amp;RIGHT("000000"&amp;1338,6),CalcRankKeyA,0),"")</f>
        <v/>
      </c>
      <c r="N1354">
        <f>IFERROR(MATCH($C$5&amp;"|"&amp;RIGHT("000000"&amp;1338,6),CalcRankKeyB,0),"")</f>
        <v/>
      </c>
    </row>
    <row r="1355">
      <c r="A1355" s="21" t="n">
        <v>1339</v>
      </c>
      <c r="B1355" s="22">
        <f>IF(AND($M1355="",$N1355=""),"",IF($M1355&lt;&gt;"",INDEX(CalcDateA,$M1355),INDEX(CalcDateB,$N1355)))</f>
        <v/>
      </c>
      <c r="C1355" s="22">
        <f>IF($M1355&lt;&gt;"","خرید سبد",IF($N1355&lt;&gt;"",IF(N(INDEX(CalcDepB,$N1355))&gt;0,"دریافت بانکی","پرداخت بانکی"),""))</f>
        <v/>
      </c>
      <c r="D1355" s="22">
        <f>IF($M1355&lt;&gt;"",IF(INDEX(CalcDocA,$M1355)="","—",INDEX(CalcDocA,$M1355)),IF($N1355&lt;&gt;"",INDEX(CalcBankB,$N1355),""))</f>
        <v/>
      </c>
      <c r="E1355" s="23">
        <f>IF($N1355&lt;&gt;"",IF(INDEX(CalcDepB,$N1355)=0,"",INDEX(CalcDepB,$N1355)),"")</f>
        <v/>
      </c>
      <c r="F1355" s="23">
        <f>IF($M1355&lt;&gt;"",IF(INDEX(CalcQtyA,$M1355)=0,"",INDEX(CalcQtyA,$M1355)),"")</f>
        <v/>
      </c>
      <c r="G1355" s="23">
        <f>IF($M1355&lt;&gt;"",IF(INDEX(CalcPriceA,$M1355)=0,"",INDEX(CalcPriceA,$M1355)),"")</f>
        <v/>
      </c>
      <c r="H1355" s="23">
        <f>IF($N1355&lt;&gt;"",IF(INDEX(CalcWitB,$N1355)=0,"",INDEX(CalcWitB,$N1355)),"")</f>
        <v/>
      </c>
      <c r="I1355" s="24">
        <f>IF($M1355&lt;&gt;"",INDEX(CalcAmtA,$M1355),"")</f>
        <v/>
      </c>
      <c r="J1355" s="24">
        <f>IF($B1355="","",IF($J1354="",$C$8,$J1354)+IF($I1355="",0,$I1355)+IF($E1355="",0,$E1355)-IF($H1355="",0,$H1355))</f>
        <v/>
      </c>
      <c r="K1355" s="25">
        <f>IF($M1355&lt;&gt;"",IF(INDEX(CalcNoteA,$M1355)="","—",INDEX(CalcNoteA,$M1355)),IF($N1355&lt;&gt;"",IF(INDEX(CalcNoteB,$N1355)="","—",INDEX(CalcNoteB,$N1355)),""))</f>
        <v/>
      </c>
      <c r="M1355">
        <f>IFERROR(MATCH($C$5&amp;"|"&amp;RIGHT("000000"&amp;1339,6),CalcRankKeyA,0),"")</f>
        <v/>
      </c>
      <c r="N1355">
        <f>IFERROR(MATCH($C$5&amp;"|"&amp;RIGHT("000000"&amp;1339,6),CalcRankKeyB,0),"")</f>
        <v/>
      </c>
    </row>
    <row r="1356">
      <c r="A1356" s="26" t="n">
        <v>1340</v>
      </c>
      <c r="B1356" s="27">
        <f>IF(AND($M1356="",$N1356=""),"",IF($M1356&lt;&gt;"",INDEX(CalcDateA,$M1356),INDEX(CalcDateB,$N1356)))</f>
        <v/>
      </c>
      <c r="C1356" s="27">
        <f>IF($M1356&lt;&gt;"","خرید سبد",IF($N1356&lt;&gt;"",IF(N(INDEX(CalcDepB,$N1356))&gt;0,"دریافت بانکی","پرداخت بانکی"),""))</f>
        <v/>
      </c>
      <c r="D1356" s="27">
        <f>IF($M1356&lt;&gt;"",IF(INDEX(CalcDocA,$M1356)="","—",INDEX(CalcDocA,$M1356)),IF($N1356&lt;&gt;"",INDEX(CalcBankB,$N1356),""))</f>
        <v/>
      </c>
      <c r="E1356" s="28">
        <f>IF($N1356&lt;&gt;"",IF(INDEX(CalcDepB,$N1356)=0,"",INDEX(CalcDepB,$N1356)),"")</f>
        <v/>
      </c>
      <c r="F1356" s="28">
        <f>IF($M1356&lt;&gt;"",IF(INDEX(CalcQtyA,$M1356)=0,"",INDEX(CalcQtyA,$M1356)),"")</f>
        <v/>
      </c>
      <c r="G1356" s="28">
        <f>IF($M1356&lt;&gt;"",IF(INDEX(CalcPriceA,$M1356)=0,"",INDEX(CalcPriceA,$M1356)),"")</f>
        <v/>
      </c>
      <c r="H1356" s="28">
        <f>IF($N1356&lt;&gt;"",IF(INDEX(CalcWitB,$N1356)=0,"",INDEX(CalcWitB,$N1356)),"")</f>
        <v/>
      </c>
      <c r="I1356" s="29">
        <f>IF($M1356&lt;&gt;"",INDEX(CalcAmtA,$M1356),"")</f>
        <v/>
      </c>
      <c r="J1356" s="29">
        <f>IF($B1356="","",IF($J1355="",$C$8,$J1355)+IF($I1356="",0,$I1356)+IF($E1356="",0,$E1356)-IF($H1356="",0,$H1356))</f>
        <v/>
      </c>
      <c r="K1356" s="30">
        <f>IF($M1356&lt;&gt;"",IF(INDEX(CalcNoteA,$M1356)="","—",INDEX(CalcNoteA,$M1356)),IF($N1356&lt;&gt;"",IF(INDEX(CalcNoteB,$N1356)="","—",INDEX(CalcNoteB,$N1356)),""))</f>
        <v/>
      </c>
      <c r="M1356">
        <f>IFERROR(MATCH($C$5&amp;"|"&amp;RIGHT("000000"&amp;1340,6),CalcRankKeyA,0),"")</f>
        <v/>
      </c>
      <c r="N1356">
        <f>IFERROR(MATCH($C$5&amp;"|"&amp;RIGHT("000000"&amp;1340,6),CalcRankKeyB,0),"")</f>
        <v/>
      </c>
    </row>
    <row r="1357">
      <c r="A1357" s="21" t="n">
        <v>1341</v>
      </c>
      <c r="B1357" s="22">
        <f>IF(AND($M1357="",$N1357=""),"",IF($M1357&lt;&gt;"",INDEX(CalcDateA,$M1357),INDEX(CalcDateB,$N1357)))</f>
        <v/>
      </c>
      <c r="C1357" s="22">
        <f>IF($M1357&lt;&gt;"","خرید سبد",IF($N1357&lt;&gt;"",IF(N(INDEX(CalcDepB,$N1357))&gt;0,"دریافت بانکی","پرداخت بانکی"),""))</f>
        <v/>
      </c>
      <c r="D1357" s="22">
        <f>IF($M1357&lt;&gt;"",IF(INDEX(CalcDocA,$M1357)="","—",INDEX(CalcDocA,$M1357)),IF($N1357&lt;&gt;"",INDEX(CalcBankB,$N1357),""))</f>
        <v/>
      </c>
      <c r="E1357" s="23">
        <f>IF($N1357&lt;&gt;"",IF(INDEX(CalcDepB,$N1357)=0,"",INDEX(CalcDepB,$N1357)),"")</f>
        <v/>
      </c>
      <c r="F1357" s="23">
        <f>IF($M1357&lt;&gt;"",IF(INDEX(CalcQtyA,$M1357)=0,"",INDEX(CalcQtyA,$M1357)),"")</f>
        <v/>
      </c>
      <c r="G1357" s="23">
        <f>IF($M1357&lt;&gt;"",IF(INDEX(CalcPriceA,$M1357)=0,"",INDEX(CalcPriceA,$M1357)),"")</f>
        <v/>
      </c>
      <c r="H1357" s="23">
        <f>IF($N1357&lt;&gt;"",IF(INDEX(CalcWitB,$N1357)=0,"",INDEX(CalcWitB,$N1357)),"")</f>
        <v/>
      </c>
      <c r="I1357" s="24">
        <f>IF($M1357&lt;&gt;"",INDEX(CalcAmtA,$M1357),"")</f>
        <v/>
      </c>
      <c r="J1357" s="24">
        <f>IF($B1357="","",IF($J1356="",$C$8,$J1356)+IF($I1357="",0,$I1357)+IF($E1357="",0,$E1357)-IF($H1357="",0,$H1357))</f>
        <v/>
      </c>
      <c r="K1357" s="25">
        <f>IF($M1357&lt;&gt;"",IF(INDEX(CalcNoteA,$M1357)="","—",INDEX(CalcNoteA,$M1357)),IF($N1357&lt;&gt;"",IF(INDEX(CalcNoteB,$N1357)="","—",INDEX(CalcNoteB,$N1357)),""))</f>
        <v/>
      </c>
      <c r="M1357">
        <f>IFERROR(MATCH($C$5&amp;"|"&amp;RIGHT("000000"&amp;1341,6),CalcRankKeyA,0),"")</f>
        <v/>
      </c>
      <c r="N1357">
        <f>IFERROR(MATCH($C$5&amp;"|"&amp;RIGHT("000000"&amp;1341,6),CalcRankKeyB,0),"")</f>
        <v/>
      </c>
    </row>
    <row r="1358">
      <c r="A1358" s="26" t="n">
        <v>1342</v>
      </c>
      <c r="B1358" s="27">
        <f>IF(AND($M1358="",$N1358=""),"",IF($M1358&lt;&gt;"",INDEX(CalcDateA,$M1358),INDEX(CalcDateB,$N1358)))</f>
        <v/>
      </c>
      <c r="C1358" s="27">
        <f>IF($M1358&lt;&gt;"","خرید سبد",IF($N1358&lt;&gt;"",IF(N(INDEX(CalcDepB,$N1358))&gt;0,"دریافت بانکی","پرداخت بانکی"),""))</f>
        <v/>
      </c>
      <c r="D1358" s="27">
        <f>IF($M1358&lt;&gt;"",IF(INDEX(CalcDocA,$M1358)="","—",INDEX(CalcDocA,$M1358)),IF($N1358&lt;&gt;"",INDEX(CalcBankB,$N1358),""))</f>
        <v/>
      </c>
      <c r="E1358" s="28">
        <f>IF($N1358&lt;&gt;"",IF(INDEX(CalcDepB,$N1358)=0,"",INDEX(CalcDepB,$N1358)),"")</f>
        <v/>
      </c>
      <c r="F1358" s="28">
        <f>IF($M1358&lt;&gt;"",IF(INDEX(CalcQtyA,$M1358)=0,"",INDEX(CalcQtyA,$M1358)),"")</f>
        <v/>
      </c>
      <c r="G1358" s="28">
        <f>IF($M1358&lt;&gt;"",IF(INDEX(CalcPriceA,$M1358)=0,"",INDEX(CalcPriceA,$M1358)),"")</f>
        <v/>
      </c>
      <c r="H1358" s="28">
        <f>IF($N1358&lt;&gt;"",IF(INDEX(CalcWitB,$N1358)=0,"",INDEX(CalcWitB,$N1358)),"")</f>
        <v/>
      </c>
      <c r="I1358" s="29">
        <f>IF($M1358&lt;&gt;"",INDEX(CalcAmtA,$M1358),"")</f>
        <v/>
      </c>
      <c r="J1358" s="29">
        <f>IF($B1358="","",IF($J1357="",$C$8,$J1357)+IF($I1358="",0,$I1358)+IF($E1358="",0,$E1358)-IF($H1358="",0,$H1358))</f>
        <v/>
      </c>
      <c r="K1358" s="30">
        <f>IF($M1358&lt;&gt;"",IF(INDEX(CalcNoteA,$M1358)="","—",INDEX(CalcNoteA,$M1358)),IF($N1358&lt;&gt;"",IF(INDEX(CalcNoteB,$N1358)="","—",INDEX(CalcNoteB,$N1358)),""))</f>
        <v/>
      </c>
      <c r="M1358">
        <f>IFERROR(MATCH($C$5&amp;"|"&amp;RIGHT("000000"&amp;1342,6),CalcRankKeyA,0),"")</f>
        <v/>
      </c>
      <c r="N1358">
        <f>IFERROR(MATCH($C$5&amp;"|"&amp;RIGHT("000000"&amp;1342,6),CalcRankKeyB,0),"")</f>
        <v/>
      </c>
    </row>
    <row r="1359">
      <c r="A1359" s="21" t="n">
        <v>1343</v>
      </c>
      <c r="B1359" s="22">
        <f>IF(AND($M1359="",$N1359=""),"",IF($M1359&lt;&gt;"",INDEX(CalcDateA,$M1359),INDEX(CalcDateB,$N1359)))</f>
        <v/>
      </c>
      <c r="C1359" s="22">
        <f>IF($M1359&lt;&gt;"","خرید سبد",IF($N1359&lt;&gt;"",IF(N(INDEX(CalcDepB,$N1359))&gt;0,"دریافت بانکی","پرداخت بانکی"),""))</f>
        <v/>
      </c>
      <c r="D1359" s="22">
        <f>IF($M1359&lt;&gt;"",IF(INDEX(CalcDocA,$M1359)="","—",INDEX(CalcDocA,$M1359)),IF($N1359&lt;&gt;"",INDEX(CalcBankB,$N1359),""))</f>
        <v/>
      </c>
      <c r="E1359" s="23">
        <f>IF($N1359&lt;&gt;"",IF(INDEX(CalcDepB,$N1359)=0,"",INDEX(CalcDepB,$N1359)),"")</f>
        <v/>
      </c>
      <c r="F1359" s="23">
        <f>IF($M1359&lt;&gt;"",IF(INDEX(CalcQtyA,$M1359)=0,"",INDEX(CalcQtyA,$M1359)),"")</f>
        <v/>
      </c>
      <c r="G1359" s="23">
        <f>IF($M1359&lt;&gt;"",IF(INDEX(CalcPriceA,$M1359)=0,"",INDEX(CalcPriceA,$M1359)),"")</f>
        <v/>
      </c>
      <c r="H1359" s="23">
        <f>IF($N1359&lt;&gt;"",IF(INDEX(CalcWitB,$N1359)=0,"",INDEX(CalcWitB,$N1359)),"")</f>
        <v/>
      </c>
      <c r="I1359" s="24">
        <f>IF($M1359&lt;&gt;"",INDEX(CalcAmtA,$M1359),"")</f>
        <v/>
      </c>
      <c r="J1359" s="24">
        <f>IF($B1359="","",IF($J1358="",$C$8,$J1358)+IF($I1359="",0,$I1359)+IF($E1359="",0,$E1359)-IF($H1359="",0,$H1359))</f>
        <v/>
      </c>
      <c r="K1359" s="25">
        <f>IF($M1359&lt;&gt;"",IF(INDEX(CalcNoteA,$M1359)="","—",INDEX(CalcNoteA,$M1359)),IF($N1359&lt;&gt;"",IF(INDEX(CalcNoteB,$N1359)="","—",INDEX(CalcNoteB,$N1359)),""))</f>
        <v/>
      </c>
      <c r="M1359">
        <f>IFERROR(MATCH($C$5&amp;"|"&amp;RIGHT("000000"&amp;1343,6),CalcRankKeyA,0),"")</f>
        <v/>
      </c>
      <c r="N1359">
        <f>IFERROR(MATCH($C$5&amp;"|"&amp;RIGHT("000000"&amp;1343,6),CalcRankKeyB,0),"")</f>
        <v/>
      </c>
    </row>
    <row r="1360">
      <c r="A1360" s="26" t="n">
        <v>1344</v>
      </c>
      <c r="B1360" s="27">
        <f>IF(AND($M1360="",$N1360=""),"",IF($M1360&lt;&gt;"",INDEX(CalcDateA,$M1360),INDEX(CalcDateB,$N1360)))</f>
        <v/>
      </c>
      <c r="C1360" s="27">
        <f>IF($M1360&lt;&gt;"","خرید سبد",IF($N1360&lt;&gt;"",IF(N(INDEX(CalcDepB,$N1360))&gt;0,"دریافت بانکی","پرداخت بانکی"),""))</f>
        <v/>
      </c>
      <c r="D1360" s="27">
        <f>IF($M1360&lt;&gt;"",IF(INDEX(CalcDocA,$M1360)="","—",INDEX(CalcDocA,$M1360)),IF($N1360&lt;&gt;"",INDEX(CalcBankB,$N1360),""))</f>
        <v/>
      </c>
      <c r="E1360" s="28">
        <f>IF($N1360&lt;&gt;"",IF(INDEX(CalcDepB,$N1360)=0,"",INDEX(CalcDepB,$N1360)),"")</f>
        <v/>
      </c>
      <c r="F1360" s="28">
        <f>IF($M1360&lt;&gt;"",IF(INDEX(CalcQtyA,$M1360)=0,"",INDEX(CalcQtyA,$M1360)),"")</f>
        <v/>
      </c>
      <c r="G1360" s="28">
        <f>IF($M1360&lt;&gt;"",IF(INDEX(CalcPriceA,$M1360)=0,"",INDEX(CalcPriceA,$M1360)),"")</f>
        <v/>
      </c>
      <c r="H1360" s="28">
        <f>IF($N1360&lt;&gt;"",IF(INDEX(CalcWitB,$N1360)=0,"",INDEX(CalcWitB,$N1360)),"")</f>
        <v/>
      </c>
      <c r="I1360" s="29">
        <f>IF($M1360&lt;&gt;"",INDEX(CalcAmtA,$M1360),"")</f>
        <v/>
      </c>
      <c r="J1360" s="29">
        <f>IF($B1360="","",IF($J1359="",$C$8,$J1359)+IF($I1360="",0,$I1360)+IF($E1360="",0,$E1360)-IF($H1360="",0,$H1360))</f>
        <v/>
      </c>
      <c r="K1360" s="30">
        <f>IF($M1360&lt;&gt;"",IF(INDEX(CalcNoteA,$M1360)="","—",INDEX(CalcNoteA,$M1360)),IF($N1360&lt;&gt;"",IF(INDEX(CalcNoteB,$N1360)="","—",INDEX(CalcNoteB,$N1360)),""))</f>
        <v/>
      </c>
      <c r="M1360">
        <f>IFERROR(MATCH($C$5&amp;"|"&amp;RIGHT("000000"&amp;1344,6),CalcRankKeyA,0),"")</f>
        <v/>
      </c>
      <c r="N1360">
        <f>IFERROR(MATCH($C$5&amp;"|"&amp;RIGHT("000000"&amp;1344,6),CalcRankKeyB,0),"")</f>
        <v/>
      </c>
    </row>
    <row r="1361">
      <c r="A1361" s="21" t="n">
        <v>1345</v>
      </c>
      <c r="B1361" s="22">
        <f>IF(AND($M1361="",$N1361=""),"",IF($M1361&lt;&gt;"",INDEX(CalcDateA,$M1361),INDEX(CalcDateB,$N1361)))</f>
        <v/>
      </c>
      <c r="C1361" s="22">
        <f>IF($M1361&lt;&gt;"","خرید سبد",IF($N1361&lt;&gt;"",IF(N(INDEX(CalcDepB,$N1361))&gt;0,"دریافت بانکی","پرداخت بانکی"),""))</f>
        <v/>
      </c>
      <c r="D1361" s="22">
        <f>IF($M1361&lt;&gt;"",IF(INDEX(CalcDocA,$M1361)="","—",INDEX(CalcDocA,$M1361)),IF($N1361&lt;&gt;"",INDEX(CalcBankB,$N1361),""))</f>
        <v/>
      </c>
      <c r="E1361" s="23">
        <f>IF($N1361&lt;&gt;"",IF(INDEX(CalcDepB,$N1361)=0,"",INDEX(CalcDepB,$N1361)),"")</f>
        <v/>
      </c>
      <c r="F1361" s="23">
        <f>IF($M1361&lt;&gt;"",IF(INDEX(CalcQtyA,$M1361)=0,"",INDEX(CalcQtyA,$M1361)),"")</f>
        <v/>
      </c>
      <c r="G1361" s="23">
        <f>IF($M1361&lt;&gt;"",IF(INDEX(CalcPriceA,$M1361)=0,"",INDEX(CalcPriceA,$M1361)),"")</f>
        <v/>
      </c>
      <c r="H1361" s="23">
        <f>IF($N1361&lt;&gt;"",IF(INDEX(CalcWitB,$N1361)=0,"",INDEX(CalcWitB,$N1361)),"")</f>
        <v/>
      </c>
      <c r="I1361" s="24">
        <f>IF($M1361&lt;&gt;"",INDEX(CalcAmtA,$M1361),"")</f>
        <v/>
      </c>
      <c r="J1361" s="24">
        <f>IF($B1361="","",IF($J1360="",$C$8,$J1360)+IF($I1361="",0,$I1361)+IF($E1361="",0,$E1361)-IF($H1361="",0,$H1361))</f>
        <v/>
      </c>
      <c r="K1361" s="25">
        <f>IF($M1361&lt;&gt;"",IF(INDEX(CalcNoteA,$M1361)="","—",INDEX(CalcNoteA,$M1361)),IF($N1361&lt;&gt;"",IF(INDEX(CalcNoteB,$N1361)="","—",INDEX(CalcNoteB,$N1361)),""))</f>
        <v/>
      </c>
      <c r="M1361">
        <f>IFERROR(MATCH($C$5&amp;"|"&amp;RIGHT("000000"&amp;1345,6),CalcRankKeyA,0),"")</f>
        <v/>
      </c>
      <c r="N1361">
        <f>IFERROR(MATCH($C$5&amp;"|"&amp;RIGHT("000000"&amp;1345,6),CalcRankKeyB,0),"")</f>
        <v/>
      </c>
    </row>
    <row r="1362">
      <c r="A1362" s="26" t="n">
        <v>1346</v>
      </c>
      <c r="B1362" s="27">
        <f>IF(AND($M1362="",$N1362=""),"",IF($M1362&lt;&gt;"",INDEX(CalcDateA,$M1362),INDEX(CalcDateB,$N1362)))</f>
        <v/>
      </c>
      <c r="C1362" s="27">
        <f>IF($M1362&lt;&gt;"","خرید سبد",IF($N1362&lt;&gt;"",IF(N(INDEX(CalcDepB,$N1362))&gt;0,"دریافت بانکی","پرداخت بانکی"),""))</f>
        <v/>
      </c>
      <c r="D1362" s="27">
        <f>IF($M1362&lt;&gt;"",IF(INDEX(CalcDocA,$M1362)="","—",INDEX(CalcDocA,$M1362)),IF($N1362&lt;&gt;"",INDEX(CalcBankB,$N1362),""))</f>
        <v/>
      </c>
      <c r="E1362" s="28">
        <f>IF($N1362&lt;&gt;"",IF(INDEX(CalcDepB,$N1362)=0,"",INDEX(CalcDepB,$N1362)),"")</f>
        <v/>
      </c>
      <c r="F1362" s="28">
        <f>IF($M1362&lt;&gt;"",IF(INDEX(CalcQtyA,$M1362)=0,"",INDEX(CalcQtyA,$M1362)),"")</f>
        <v/>
      </c>
      <c r="G1362" s="28">
        <f>IF($M1362&lt;&gt;"",IF(INDEX(CalcPriceA,$M1362)=0,"",INDEX(CalcPriceA,$M1362)),"")</f>
        <v/>
      </c>
      <c r="H1362" s="28">
        <f>IF($N1362&lt;&gt;"",IF(INDEX(CalcWitB,$N1362)=0,"",INDEX(CalcWitB,$N1362)),"")</f>
        <v/>
      </c>
      <c r="I1362" s="29">
        <f>IF($M1362&lt;&gt;"",INDEX(CalcAmtA,$M1362),"")</f>
        <v/>
      </c>
      <c r="J1362" s="29">
        <f>IF($B1362="","",IF($J1361="",$C$8,$J1361)+IF($I1362="",0,$I1362)+IF($E1362="",0,$E1362)-IF($H1362="",0,$H1362))</f>
        <v/>
      </c>
      <c r="K1362" s="30">
        <f>IF($M1362&lt;&gt;"",IF(INDEX(CalcNoteA,$M1362)="","—",INDEX(CalcNoteA,$M1362)),IF($N1362&lt;&gt;"",IF(INDEX(CalcNoteB,$N1362)="","—",INDEX(CalcNoteB,$N1362)),""))</f>
        <v/>
      </c>
      <c r="M1362">
        <f>IFERROR(MATCH($C$5&amp;"|"&amp;RIGHT("000000"&amp;1346,6),CalcRankKeyA,0),"")</f>
        <v/>
      </c>
      <c r="N1362">
        <f>IFERROR(MATCH($C$5&amp;"|"&amp;RIGHT("000000"&amp;1346,6),CalcRankKeyB,0),"")</f>
        <v/>
      </c>
    </row>
    <row r="1363">
      <c r="A1363" s="21" t="n">
        <v>1347</v>
      </c>
      <c r="B1363" s="22">
        <f>IF(AND($M1363="",$N1363=""),"",IF($M1363&lt;&gt;"",INDEX(CalcDateA,$M1363),INDEX(CalcDateB,$N1363)))</f>
        <v/>
      </c>
      <c r="C1363" s="22">
        <f>IF($M1363&lt;&gt;"","خرید سبد",IF($N1363&lt;&gt;"",IF(N(INDEX(CalcDepB,$N1363))&gt;0,"دریافت بانکی","پرداخت بانکی"),""))</f>
        <v/>
      </c>
      <c r="D1363" s="22">
        <f>IF($M1363&lt;&gt;"",IF(INDEX(CalcDocA,$M1363)="","—",INDEX(CalcDocA,$M1363)),IF($N1363&lt;&gt;"",INDEX(CalcBankB,$N1363),""))</f>
        <v/>
      </c>
      <c r="E1363" s="23">
        <f>IF($N1363&lt;&gt;"",IF(INDEX(CalcDepB,$N1363)=0,"",INDEX(CalcDepB,$N1363)),"")</f>
        <v/>
      </c>
      <c r="F1363" s="23">
        <f>IF($M1363&lt;&gt;"",IF(INDEX(CalcQtyA,$M1363)=0,"",INDEX(CalcQtyA,$M1363)),"")</f>
        <v/>
      </c>
      <c r="G1363" s="23">
        <f>IF($M1363&lt;&gt;"",IF(INDEX(CalcPriceA,$M1363)=0,"",INDEX(CalcPriceA,$M1363)),"")</f>
        <v/>
      </c>
      <c r="H1363" s="23">
        <f>IF($N1363&lt;&gt;"",IF(INDEX(CalcWitB,$N1363)=0,"",INDEX(CalcWitB,$N1363)),"")</f>
        <v/>
      </c>
      <c r="I1363" s="24">
        <f>IF($M1363&lt;&gt;"",INDEX(CalcAmtA,$M1363),"")</f>
        <v/>
      </c>
      <c r="J1363" s="24">
        <f>IF($B1363="","",IF($J1362="",$C$8,$J1362)+IF($I1363="",0,$I1363)+IF($E1363="",0,$E1363)-IF($H1363="",0,$H1363))</f>
        <v/>
      </c>
      <c r="K1363" s="25">
        <f>IF($M1363&lt;&gt;"",IF(INDEX(CalcNoteA,$M1363)="","—",INDEX(CalcNoteA,$M1363)),IF($N1363&lt;&gt;"",IF(INDEX(CalcNoteB,$N1363)="","—",INDEX(CalcNoteB,$N1363)),""))</f>
        <v/>
      </c>
      <c r="M1363">
        <f>IFERROR(MATCH($C$5&amp;"|"&amp;RIGHT("000000"&amp;1347,6),CalcRankKeyA,0),"")</f>
        <v/>
      </c>
      <c r="N1363">
        <f>IFERROR(MATCH($C$5&amp;"|"&amp;RIGHT("000000"&amp;1347,6),CalcRankKeyB,0),"")</f>
        <v/>
      </c>
    </row>
    <row r="1364">
      <c r="A1364" s="26" t="n">
        <v>1348</v>
      </c>
      <c r="B1364" s="27">
        <f>IF(AND($M1364="",$N1364=""),"",IF($M1364&lt;&gt;"",INDEX(CalcDateA,$M1364),INDEX(CalcDateB,$N1364)))</f>
        <v/>
      </c>
      <c r="C1364" s="27">
        <f>IF($M1364&lt;&gt;"","خرید سبد",IF($N1364&lt;&gt;"",IF(N(INDEX(CalcDepB,$N1364))&gt;0,"دریافت بانکی","پرداخت بانکی"),""))</f>
        <v/>
      </c>
      <c r="D1364" s="27">
        <f>IF($M1364&lt;&gt;"",IF(INDEX(CalcDocA,$M1364)="","—",INDEX(CalcDocA,$M1364)),IF($N1364&lt;&gt;"",INDEX(CalcBankB,$N1364),""))</f>
        <v/>
      </c>
      <c r="E1364" s="28">
        <f>IF($N1364&lt;&gt;"",IF(INDEX(CalcDepB,$N1364)=0,"",INDEX(CalcDepB,$N1364)),"")</f>
        <v/>
      </c>
      <c r="F1364" s="28">
        <f>IF($M1364&lt;&gt;"",IF(INDEX(CalcQtyA,$M1364)=0,"",INDEX(CalcQtyA,$M1364)),"")</f>
        <v/>
      </c>
      <c r="G1364" s="28">
        <f>IF($M1364&lt;&gt;"",IF(INDEX(CalcPriceA,$M1364)=0,"",INDEX(CalcPriceA,$M1364)),"")</f>
        <v/>
      </c>
      <c r="H1364" s="28">
        <f>IF($N1364&lt;&gt;"",IF(INDEX(CalcWitB,$N1364)=0,"",INDEX(CalcWitB,$N1364)),"")</f>
        <v/>
      </c>
      <c r="I1364" s="29">
        <f>IF($M1364&lt;&gt;"",INDEX(CalcAmtA,$M1364),"")</f>
        <v/>
      </c>
      <c r="J1364" s="29">
        <f>IF($B1364="","",IF($J1363="",$C$8,$J1363)+IF($I1364="",0,$I1364)+IF($E1364="",0,$E1364)-IF($H1364="",0,$H1364))</f>
        <v/>
      </c>
      <c r="K1364" s="30">
        <f>IF($M1364&lt;&gt;"",IF(INDEX(CalcNoteA,$M1364)="","—",INDEX(CalcNoteA,$M1364)),IF($N1364&lt;&gt;"",IF(INDEX(CalcNoteB,$N1364)="","—",INDEX(CalcNoteB,$N1364)),""))</f>
        <v/>
      </c>
      <c r="M1364">
        <f>IFERROR(MATCH($C$5&amp;"|"&amp;RIGHT("000000"&amp;1348,6),CalcRankKeyA,0),"")</f>
        <v/>
      </c>
      <c r="N1364">
        <f>IFERROR(MATCH($C$5&amp;"|"&amp;RIGHT("000000"&amp;1348,6),CalcRankKeyB,0),"")</f>
        <v/>
      </c>
    </row>
    <row r="1365">
      <c r="A1365" s="21" t="n">
        <v>1349</v>
      </c>
      <c r="B1365" s="22">
        <f>IF(AND($M1365="",$N1365=""),"",IF($M1365&lt;&gt;"",INDEX(CalcDateA,$M1365),INDEX(CalcDateB,$N1365)))</f>
        <v/>
      </c>
      <c r="C1365" s="22">
        <f>IF($M1365&lt;&gt;"","خرید سبد",IF($N1365&lt;&gt;"",IF(N(INDEX(CalcDepB,$N1365))&gt;0,"دریافت بانکی","پرداخت بانکی"),""))</f>
        <v/>
      </c>
      <c r="D1365" s="22">
        <f>IF($M1365&lt;&gt;"",IF(INDEX(CalcDocA,$M1365)="","—",INDEX(CalcDocA,$M1365)),IF($N1365&lt;&gt;"",INDEX(CalcBankB,$N1365),""))</f>
        <v/>
      </c>
      <c r="E1365" s="23">
        <f>IF($N1365&lt;&gt;"",IF(INDEX(CalcDepB,$N1365)=0,"",INDEX(CalcDepB,$N1365)),"")</f>
        <v/>
      </c>
      <c r="F1365" s="23">
        <f>IF($M1365&lt;&gt;"",IF(INDEX(CalcQtyA,$M1365)=0,"",INDEX(CalcQtyA,$M1365)),"")</f>
        <v/>
      </c>
      <c r="G1365" s="23">
        <f>IF($M1365&lt;&gt;"",IF(INDEX(CalcPriceA,$M1365)=0,"",INDEX(CalcPriceA,$M1365)),"")</f>
        <v/>
      </c>
      <c r="H1365" s="23">
        <f>IF($N1365&lt;&gt;"",IF(INDEX(CalcWitB,$N1365)=0,"",INDEX(CalcWitB,$N1365)),"")</f>
        <v/>
      </c>
      <c r="I1365" s="24">
        <f>IF($M1365&lt;&gt;"",INDEX(CalcAmtA,$M1365),"")</f>
        <v/>
      </c>
      <c r="J1365" s="24">
        <f>IF($B1365="","",IF($J1364="",$C$8,$J1364)+IF($I1365="",0,$I1365)+IF($E1365="",0,$E1365)-IF($H1365="",0,$H1365))</f>
        <v/>
      </c>
      <c r="K1365" s="25">
        <f>IF($M1365&lt;&gt;"",IF(INDEX(CalcNoteA,$M1365)="","—",INDEX(CalcNoteA,$M1365)),IF($N1365&lt;&gt;"",IF(INDEX(CalcNoteB,$N1365)="","—",INDEX(CalcNoteB,$N1365)),""))</f>
        <v/>
      </c>
      <c r="M1365">
        <f>IFERROR(MATCH($C$5&amp;"|"&amp;RIGHT("000000"&amp;1349,6),CalcRankKeyA,0),"")</f>
        <v/>
      </c>
      <c r="N1365">
        <f>IFERROR(MATCH($C$5&amp;"|"&amp;RIGHT("000000"&amp;1349,6),CalcRankKeyB,0),"")</f>
        <v/>
      </c>
    </row>
    <row r="1366">
      <c r="A1366" s="26" t="n">
        <v>1350</v>
      </c>
      <c r="B1366" s="27">
        <f>IF(AND($M1366="",$N1366=""),"",IF($M1366&lt;&gt;"",INDEX(CalcDateA,$M1366),INDEX(CalcDateB,$N1366)))</f>
        <v/>
      </c>
      <c r="C1366" s="27">
        <f>IF($M1366&lt;&gt;"","خرید سبد",IF($N1366&lt;&gt;"",IF(N(INDEX(CalcDepB,$N1366))&gt;0,"دریافت بانکی","پرداخت بانکی"),""))</f>
        <v/>
      </c>
      <c r="D1366" s="27">
        <f>IF($M1366&lt;&gt;"",IF(INDEX(CalcDocA,$M1366)="","—",INDEX(CalcDocA,$M1366)),IF($N1366&lt;&gt;"",INDEX(CalcBankB,$N1366),""))</f>
        <v/>
      </c>
      <c r="E1366" s="28">
        <f>IF($N1366&lt;&gt;"",IF(INDEX(CalcDepB,$N1366)=0,"",INDEX(CalcDepB,$N1366)),"")</f>
        <v/>
      </c>
      <c r="F1366" s="28">
        <f>IF($M1366&lt;&gt;"",IF(INDEX(CalcQtyA,$M1366)=0,"",INDEX(CalcQtyA,$M1366)),"")</f>
        <v/>
      </c>
      <c r="G1366" s="28">
        <f>IF($M1366&lt;&gt;"",IF(INDEX(CalcPriceA,$M1366)=0,"",INDEX(CalcPriceA,$M1366)),"")</f>
        <v/>
      </c>
      <c r="H1366" s="28">
        <f>IF($N1366&lt;&gt;"",IF(INDEX(CalcWitB,$N1366)=0,"",INDEX(CalcWitB,$N1366)),"")</f>
        <v/>
      </c>
      <c r="I1366" s="29">
        <f>IF($M1366&lt;&gt;"",INDEX(CalcAmtA,$M1366),"")</f>
        <v/>
      </c>
      <c r="J1366" s="29">
        <f>IF($B1366="","",IF($J1365="",$C$8,$J1365)+IF($I1366="",0,$I1366)+IF($E1366="",0,$E1366)-IF($H1366="",0,$H1366))</f>
        <v/>
      </c>
      <c r="K1366" s="30">
        <f>IF($M1366&lt;&gt;"",IF(INDEX(CalcNoteA,$M1366)="","—",INDEX(CalcNoteA,$M1366)),IF($N1366&lt;&gt;"",IF(INDEX(CalcNoteB,$N1366)="","—",INDEX(CalcNoteB,$N1366)),""))</f>
        <v/>
      </c>
      <c r="M1366">
        <f>IFERROR(MATCH($C$5&amp;"|"&amp;RIGHT("000000"&amp;1350,6),CalcRankKeyA,0),"")</f>
        <v/>
      </c>
      <c r="N1366">
        <f>IFERROR(MATCH($C$5&amp;"|"&amp;RIGHT("000000"&amp;1350,6),CalcRankKeyB,0),"")</f>
        <v/>
      </c>
    </row>
    <row r="1367">
      <c r="A1367" s="21" t="n">
        <v>1351</v>
      </c>
      <c r="B1367" s="22">
        <f>IF(AND($M1367="",$N1367=""),"",IF($M1367&lt;&gt;"",INDEX(CalcDateA,$M1367),INDEX(CalcDateB,$N1367)))</f>
        <v/>
      </c>
      <c r="C1367" s="22">
        <f>IF($M1367&lt;&gt;"","خرید سبد",IF($N1367&lt;&gt;"",IF(N(INDEX(CalcDepB,$N1367))&gt;0,"دریافت بانکی","پرداخت بانکی"),""))</f>
        <v/>
      </c>
      <c r="D1367" s="22">
        <f>IF($M1367&lt;&gt;"",IF(INDEX(CalcDocA,$M1367)="","—",INDEX(CalcDocA,$M1367)),IF($N1367&lt;&gt;"",INDEX(CalcBankB,$N1367),""))</f>
        <v/>
      </c>
      <c r="E1367" s="23">
        <f>IF($N1367&lt;&gt;"",IF(INDEX(CalcDepB,$N1367)=0,"",INDEX(CalcDepB,$N1367)),"")</f>
        <v/>
      </c>
      <c r="F1367" s="23">
        <f>IF($M1367&lt;&gt;"",IF(INDEX(CalcQtyA,$M1367)=0,"",INDEX(CalcQtyA,$M1367)),"")</f>
        <v/>
      </c>
      <c r="G1367" s="23">
        <f>IF($M1367&lt;&gt;"",IF(INDEX(CalcPriceA,$M1367)=0,"",INDEX(CalcPriceA,$M1367)),"")</f>
        <v/>
      </c>
      <c r="H1367" s="23">
        <f>IF($N1367&lt;&gt;"",IF(INDEX(CalcWitB,$N1367)=0,"",INDEX(CalcWitB,$N1367)),"")</f>
        <v/>
      </c>
      <c r="I1367" s="24">
        <f>IF($M1367&lt;&gt;"",INDEX(CalcAmtA,$M1367),"")</f>
        <v/>
      </c>
      <c r="J1367" s="24">
        <f>IF($B1367="","",IF($J1366="",$C$8,$J1366)+IF($I1367="",0,$I1367)+IF($E1367="",0,$E1367)-IF($H1367="",0,$H1367))</f>
        <v/>
      </c>
      <c r="K1367" s="25">
        <f>IF($M1367&lt;&gt;"",IF(INDEX(CalcNoteA,$M1367)="","—",INDEX(CalcNoteA,$M1367)),IF($N1367&lt;&gt;"",IF(INDEX(CalcNoteB,$N1367)="","—",INDEX(CalcNoteB,$N1367)),""))</f>
        <v/>
      </c>
      <c r="M1367">
        <f>IFERROR(MATCH($C$5&amp;"|"&amp;RIGHT("000000"&amp;1351,6),CalcRankKeyA,0),"")</f>
        <v/>
      </c>
      <c r="N1367">
        <f>IFERROR(MATCH($C$5&amp;"|"&amp;RIGHT("000000"&amp;1351,6),CalcRankKeyB,0),"")</f>
        <v/>
      </c>
    </row>
    <row r="1368">
      <c r="A1368" s="26" t="n">
        <v>1352</v>
      </c>
      <c r="B1368" s="27">
        <f>IF(AND($M1368="",$N1368=""),"",IF($M1368&lt;&gt;"",INDEX(CalcDateA,$M1368),INDEX(CalcDateB,$N1368)))</f>
        <v/>
      </c>
      <c r="C1368" s="27">
        <f>IF($M1368&lt;&gt;"","خرید سبد",IF($N1368&lt;&gt;"",IF(N(INDEX(CalcDepB,$N1368))&gt;0,"دریافت بانکی","پرداخت بانکی"),""))</f>
        <v/>
      </c>
      <c r="D1368" s="27">
        <f>IF($M1368&lt;&gt;"",IF(INDEX(CalcDocA,$M1368)="","—",INDEX(CalcDocA,$M1368)),IF($N1368&lt;&gt;"",INDEX(CalcBankB,$N1368),""))</f>
        <v/>
      </c>
      <c r="E1368" s="28">
        <f>IF($N1368&lt;&gt;"",IF(INDEX(CalcDepB,$N1368)=0,"",INDEX(CalcDepB,$N1368)),"")</f>
        <v/>
      </c>
      <c r="F1368" s="28">
        <f>IF($M1368&lt;&gt;"",IF(INDEX(CalcQtyA,$M1368)=0,"",INDEX(CalcQtyA,$M1368)),"")</f>
        <v/>
      </c>
      <c r="G1368" s="28">
        <f>IF($M1368&lt;&gt;"",IF(INDEX(CalcPriceA,$M1368)=0,"",INDEX(CalcPriceA,$M1368)),"")</f>
        <v/>
      </c>
      <c r="H1368" s="28">
        <f>IF($N1368&lt;&gt;"",IF(INDEX(CalcWitB,$N1368)=0,"",INDEX(CalcWitB,$N1368)),"")</f>
        <v/>
      </c>
      <c r="I1368" s="29">
        <f>IF($M1368&lt;&gt;"",INDEX(CalcAmtA,$M1368),"")</f>
        <v/>
      </c>
      <c r="J1368" s="29">
        <f>IF($B1368="","",IF($J1367="",$C$8,$J1367)+IF($I1368="",0,$I1368)+IF($E1368="",0,$E1368)-IF($H1368="",0,$H1368))</f>
        <v/>
      </c>
      <c r="K1368" s="30">
        <f>IF($M1368&lt;&gt;"",IF(INDEX(CalcNoteA,$M1368)="","—",INDEX(CalcNoteA,$M1368)),IF($N1368&lt;&gt;"",IF(INDEX(CalcNoteB,$N1368)="","—",INDEX(CalcNoteB,$N1368)),""))</f>
        <v/>
      </c>
      <c r="M1368">
        <f>IFERROR(MATCH($C$5&amp;"|"&amp;RIGHT("000000"&amp;1352,6),CalcRankKeyA,0),"")</f>
        <v/>
      </c>
      <c r="N1368">
        <f>IFERROR(MATCH($C$5&amp;"|"&amp;RIGHT("000000"&amp;1352,6),CalcRankKeyB,0),"")</f>
        <v/>
      </c>
    </row>
    <row r="1369">
      <c r="A1369" s="21" t="n">
        <v>1353</v>
      </c>
      <c r="B1369" s="22">
        <f>IF(AND($M1369="",$N1369=""),"",IF($M1369&lt;&gt;"",INDEX(CalcDateA,$M1369),INDEX(CalcDateB,$N1369)))</f>
        <v/>
      </c>
      <c r="C1369" s="22">
        <f>IF($M1369&lt;&gt;"","خرید سبد",IF($N1369&lt;&gt;"",IF(N(INDEX(CalcDepB,$N1369))&gt;0,"دریافت بانکی","پرداخت بانکی"),""))</f>
        <v/>
      </c>
      <c r="D1369" s="22">
        <f>IF($M1369&lt;&gt;"",IF(INDEX(CalcDocA,$M1369)="","—",INDEX(CalcDocA,$M1369)),IF($N1369&lt;&gt;"",INDEX(CalcBankB,$N1369),""))</f>
        <v/>
      </c>
      <c r="E1369" s="23">
        <f>IF($N1369&lt;&gt;"",IF(INDEX(CalcDepB,$N1369)=0,"",INDEX(CalcDepB,$N1369)),"")</f>
        <v/>
      </c>
      <c r="F1369" s="23">
        <f>IF($M1369&lt;&gt;"",IF(INDEX(CalcQtyA,$M1369)=0,"",INDEX(CalcQtyA,$M1369)),"")</f>
        <v/>
      </c>
      <c r="G1369" s="23">
        <f>IF($M1369&lt;&gt;"",IF(INDEX(CalcPriceA,$M1369)=0,"",INDEX(CalcPriceA,$M1369)),"")</f>
        <v/>
      </c>
      <c r="H1369" s="23">
        <f>IF($N1369&lt;&gt;"",IF(INDEX(CalcWitB,$N1369)=0,"",INDEX(CalcWitB,$N1369)),"")</f>
        <v/>
      </c>
      <c r="I1369" s="24">
        <f>IF($M1369&lt;&gt;"",INDEX(CalcAmtA,$M1369),"")</f>
        <v/>
      </c>
      <c r="J1369" s="24">
        <f>IF($B1369="","",IF($J1368="",$C$8,$J1368)+IF($I1369="",0,$I1369)+IF($E1369="",0,$E1369)-IF($H1369="",0,$H1369))</f>
        <v/>
      </c>
      <c r="K1369" s="25">
        <f>IF($M1369&lt;&gt;"",IF(INDEX(CalcNoteA,$M1369)="","—",INDEX(CalcNoteA,$M1369)),IF($N1369&lt;&gt;"",IF(INDEX(CalcNoteB,$N1369)="","—",INDEX(CalcNoteB,$N1369)),""))</f>
        <v/>
      </c>
      <c r="M1369">
        <f>IFERROR(MATCH($C$5&amp;"|"&amp;RIGHT("000000"&amp;1353,6),CalcRankKeyA,0),"")</f>
        <v/>
      </c>
      <c r="N1369">
        <f>IFERROR(MATCH($C$5&amp;"|"&amp;RIGHT("000000"&amp;1353,6),CalcRankKeyB,0),"")</f>
        <v/>
      </c>
    </row>
    <row r="1370">
      <c r="A1370" s="26" t="n">
        <v>1354</v>
      </c>
      <c r="B1370" s="27">
        <f>IF(AND($M1370="",$N1370=""),"",IF($M1370&lt;&gt;"",INDEX(CalcDateA,$M1370),INDEX(CalcDateB,$N1370)))</f>
        <v/>
      </c>
      <c r="C1370" s="27">
        <f>IF($M1370&lt;&gt;"","خرید سبد",IF($N1370&lt;&gt;"",IF(N(INDEX(CalcDepB,$N1370))&gt;0,"دریافت بانکی","پرداخت بانکی"),""))</f>
        <v/>
      </c>
      <c r="D1370" s="27">
        <f>IF($M1370&lt;&gt;"",IF(INDEX(CalcDocA,$M1370)="","—",INDEX(CalcDocA,$M1370)),IF($N1370&lt;&gt;"",INDEX(CalcBankB,$N1370),""))</f>
        <v/>
      </c>
      <c r="E1370" s="28">
        <f>IF($N1370&lt;&gt;"",IF(INDEX(CalcDepB,$N1370)=0,"",INDEX(CalcDepB,$N1370)),"")</f>
        <v/>
      </c>
      <c r="F1370" s="28">
        <f>IF($M1370&lt;&gt;"",IF(INDEX(CalcQtyA,$M1370)=0,"",INDEX(CalcQtyA,$M1370)),"")</f>
        <v/>
      </c>
      <c r="G1370" s="28">
        <f>IF($M1370&lt;&gt;"",IF(INDEX(CalcPriceA,$M1370)=0,"",INDEX(CalcPriceA,$M1370)),"")</f>
        <v/>
      </c>
      <c r="H1370" s="28">
        <f>IF($N1370&lt;&gt;"",IF(INDEX(CalcWitB,$N1370)=0,"",INDEX(CalcWitB,$N1370)),"")</f>
        <v/>
      </c>
      <c r="I1370" s="29">
        <f>IF($M1370&lt;&gt;"",INDEX(CalcAmtA,$M1370),"")</f>
        <v/>
      </c>
      <c r="J1370" s="29">
        <f>IF($B1370="","",IF($J1369="",$C$8,$J1369)+IF($I1370="",0,$I1370)+IF($E1370="",0,$E1370)-IF($H1370="",0,$H1370))</f>
        <v/>
      </c>
      <c r="K1370" s="30">
        <f>IF($M1370&lt;&gt;"",IF(INDEX(CalcNoteA,$M1370)="","—",INDEX(CalcNoteA,$M1370)),IF($N1370&lt;&gt;"",IF(INDEX(CalcNoteB,$N1370)="","—",INDEX(CalcNoteB,$N1370)),""))</f>
        <v/>
      </c>
      <c r="M1370">
        <f>IFERROR(MATCH($C$5&amp;"|"&amp;RIGHT("000000"&amp;1354,6),CalcRankKeyA,0),"")</f>
        <v/>
      </c>
      <c r="N1370">
        <f>IFERROR(MATCH($C$5&amp;"|"&amp;RIGHT("000000"&amp;1354,6),CalcRankKeyB,0),"")</f>
        <v/>
      </c>
    </row>
    <row r="1371">
      <c r="A1371" s="21" t="n">
        <v>1355</v>
      </c>
      <c r="B1371" s="22">
        <f>IF(AND($M1371="",$N1371=""),"",IF($M1371&lt;&gt;"",INDEX(CalcDateA,$M1371),INDEX(CalcDateB,$N1371)))</f>
        <v/>
      </c>
      <c r="C1371" s="22">
        <f>IF($M1371&lt;&gt;"","خرید سبد",IF($N1371&lt;&gt;"",IF(N(INDEX(CalcDepB,$N1371))&gt;0,"دریافت بانکی","پرداخت بانکی"),""))</f>
        <v/>
      </c>
      <c r="D1371" s="22">
        <f>IF($M1371&lt;&gt;"",IF(INDEX(CalcDocA,$M1371)="","—",INDEX(CalcDocA,$M1371)),IF($N1371&lt;&gt;"",INDEX(CalcBankB,$N1371),""))</f>
        <v/>
      </c>
      <c r="E1371" s="23">
        <f>IF($N1371&lt;&gt;"",IF(INDEX(CalcDepB,$N1371)=0,"",INDEX(CalcDepB,$N1371)),"")</f>
        <v/>
      </c>
      <c r="F1371" s="23">
        <f>IF($M1371&lt;&gt;"",IF(INDEX(CalcQtyA,$M1371)=0,"",INDEX(CalcQtyA,$M1371)),"")</f>
        <v/>
      </c>
      <c r="G1371" s="23">
        <f>IF($M1371&lt;&gt;"",IF(INDEX(CalcPriceA,$M1371)=0,"",INDEX(CalcPriceA,$M1371)),"")</f>
        <v/>
      </c>
      <c r="H1371" s="23">
        <f>IF($N1371&lt;&gt;"",IF(INDEX(CalcWitB,$N1371)=0,"",INDEX(CalcWitB,$N1371)),"")</f>
        <v/>
      </c>
      <c r="I1371" s="24">
        <f>IF($M1371&lt;&gt;"",INDEX(CalcAmtA,$M1371),"")</f>
        <v/>
      </c>
      <c r="J1371" s="24">
        <f>IF($B1371="","",IF($J1370="",$C$8,$J1370)+IF($I1371="",0,$I1371)+IF($E1371="",0,$E1371)-IF($H1371="",0,$H1371))</f>
        <v/>
      </c>
      <c r="K1371" s="25">
        <f>IF($M1371&lt;&gt;"",IF(INDEX(CalcNoteA,$M1371)="","—",INDEX(CalcNoteA,$M1371)),IF($N1371&lt;&gt;"",IF(INDEX(CalcNoteB,$N1371)="","—",INDEX(CalcNoteB,$N1371)),""))</f>
        <v/>
      </c>
      <c r="M1371">
        <f>IFERROR(MATCH($C$5&amp;"|"&amp;RIGHT("000000"&amp;1355,6),CalcRankKeyA,0),"")</f>
        <v/>
      </c>
      <c r="N1371">
        <f>IFERROR(MATCH($C$5&amp;"|"&amp;RIGHT("000000"&amp;1355,6),CalcRankKeyB,0),"")</f>
        <v/>
      </c>
    </row>
    <row r="1372">
      <c r="A1372" s="26" t="n">
        <v>1356</v>
      </c>
      <c r="B1372" s="27">
        <f>IF(AND($M1372="",$N1372=""),"",IF($M1372&lt;&gt;"",INDEX(CalcDateA,$M1372),INDEX(CalcDateB,$N1372)))</f>
        <v/>
      </c>
      <c r="C1372" s="27">
        <f>IF($M1372&lt;&gt;"","خرید سبد",IF($N1372&lt;&gt;"",IF(N(INDEX(CalcDepB,$N1372))&gt;0,"دریافت بانکی","پرداخت بانکی"),""))</f>
        <v/>
      </c>
      <c r="D1372" s="27">
        <f>IF($M1372&lt;&gt;"",IF(INDEX(CalcDocA,$M1372)="","—",INDEX(CalcDocA,$M1372)),IF($N1372&lt;&gt;"",INDEX(CalcBankB,$N1372),""))</f>
        <v/>
      </c>
      <c r="E1372" s="28">
        <f>IF($N1372&lt;&gt;"",IF(INDEX(CalcDepB,$N1372)=0,"",INDEX(CalcDepB,$N1372)),"")</f>
        <v/>
      </c>
      <c r="F1372" s="28">
        <f>IF($M1372&lt;&gt;"",IF(INDEX(CalcQtyA,$M1372)=0,"",INDEX(CalcQtyA,$M1372)),"")</f>
        <v/>
      </c>
      <c r="G1372" s="28">
        <f>IF($M1372&lt;&gt;"",IF(INDEX(CalcPriceA,$M1372)=0,"",INDEX(CalcPriceA,$M1372)),"")</f>
        <v/>
      </c>
      <c r="H1372" s="28">
        <f>IF($N1372&lt;&gt;"",IF(INDEX(CalcWitB,$N1372)=0,"",INDEX(CalcWitB,$N1372)),"")</f>
        <v/>
      </c>
      <c r="I1372" s="29">
        <f>IF($M1372&lt;&gt;"",INDEX(CalcAmtA,$M1372),"")</f>
        <v/>
      </c>
      <c r="J1372" s="29">
        <f>IF($B1372="","",IF($J1371="",$C$8,$J1371)+IF($I1372="",0,$I1372)+IF($E1372="",0,$E1372)-IF($H1372="",0,$H1372))</f>
        <v/>
      </c>
      <c r="K1372" s="30">
        <f>IF($M1372&lt;&gt;"",IF(INDEX(CalcNoteA,$M1372)="","—",INDEX(CalcNoteA,$M1372)),IF($N1372&lt;&gt;"",IF(INDEX(CalcNoteB,$N1372)="","—",INDEX(CalcNoteB,$N1372)),""))</f>
        <v/>
      </c>
      <c r="M1372">
        <f>IFERROR(MATCH($C$5&amp;"|"&amp;RIGHT("000000"&amp;1356,6),CalcRankKeyA,0),"")</f>
        <v/>
      </c>
      <c r="N1372">
        <f>IFERROR(MATCH($C$5&amp;"|"&amp;RIGHT("000000"&amp;1356,6),CalcRankKeyB,0),"")</f>
        <v/>
      </c>
    </row>
    <row r="1373">
      <c r="A1373" s="21" t="n">
        <v>1357</v>
      </c>
      <c r="B1373" s="22">
        <f>IF(AND($M1373="",$N1373=""),"",IF($M1373&lt;&gt;"",INDEX(CalcDateA,$M1373),INDEX(CalcDateB,$N1373)))</f>
        <v/>
      </c>
      <c r="C1373" s="22">
        <f>IF($M1373&lt;&gt;"","خرید سبد",IF($N1373&lt;&gt;"",IF(N(INDEX(CalcDepB,$N1373))&gt;0,"دریافت بانکی","پرداخت بانکی"),""))</f>
        <v/>
      </c>
      <c r="D1373" s="22">
        <f>IF($M1373&lt;&gt;"",IF(INDEX(CalcDocA,$M1373)="","—",INDEX(CalcDocA,$M1373)),IF($N1373&lt;&gt;"",INDEX(CalcBankB,$N1373),""))</f>
        <v/>
      </c>
      <c r="E1373" s="23">
        <f>IF($N1373&lt;&gt;"",IF(INDEX(CalcDepB,$N1373)=0,"",INDEX(CalcDepB,$N1373)),"")</f>
        <v/>
      </c>
      <c r="F1373" s="23">
        <f>IF($M1373&lt;&gt;"",IF(INDEX(CalcQtyA,$M1373)=0,"",INDEX(CalcQtyA,$M1373)),"")</f>
        <v/>
      </c>
      <c r="G1373" s="23">
        <f>IF($M1373&lt;&gt;"",IF(INDEX(CalcPriceA,$M1373)=0,"",INDEX(CalcPriceA,$M1373)),"")</f>
        <v/>
      </c>
      <c r="H1373" s="23">
        <f>IF($N1373&lt;&gt;"",IF(INDEX(CalcWitB,$N1373)=0,"",INDEX(CalcWitB,$N1373)),"")</f>
        <v/>
      </c>
      <c r="I1373" s="24">
        <f>IF($M1373&lt;&gt;"",INDEX(CalcAmtA,$M1373),"")</f>
        <v/>
      </c>
      <c r="J1373" s="24">
        <f>IF($B1373="","",IF($J1372="",$C$8,$J1372)+IF($I1373="",0,$I1373)+IF($E1373="",0,$E1373)-IF($H1373="",0,$H1373))</f>
        <v/>
      </c>
      <c r="K1373" s="25">
        <f>IF($M1373&lt;&gt;"",IF(INDEX(CalcNoteA,$M1373)="","—",INDEX(CalcNoteA,$M1373)),IF($N1373&lt;&gt;"",IF(INDEX(CalcNoteB,$N1373)="","—",INDEX(CalcNoteB,$N1373)),""))</f>
        <v/>
      </c>
      <c r="M1373">
        <f>IFERROR(MATCH($C$5&amp;"|"&amp;RIGHT("000000"&amp;1357,6),CalcRankKeyA,0),"")</f>
        <v/>
      </c>
      <c r="N1373">
        <f>IFERROR(MATCH($C$5&amp;"|"&amp;RIGHT("000000"&amp;1357,6),CalcRankKeyB,0),"")</f>
        <v/>
      </c>
    </row>
    <row r="1374">
      <c r="A1374" s="26" t="n">
        <v>1358</v>
      </c>
      <c r="B1374" s="27">
        <f>IF(AND($M1374="",$N1374=""),"",IF($M1374&lt;&gt;"",INDEX(CalcDateA,$M1374),INDEX(CalcDateB,$N1374)))</f>
        <v/>
      </c>
      <c r="C1374" s="27">
        <f>IF($M1374&lt;&gt;"","خرید سبد",IF($N1374&lt;&gt;"",IF(N(INDEX(CalcDepB,$N1374))&gt;0,"دریافت بانکی","پرداخت بانکی"),""))</f>
        <v/>
      </c>
      <c r="D1374" s="27">
        <f>IF($M1374&lt;&gt;"",IF(INDEX(CalcDocA,$M1374)="","—",INDEX(CalcDocA,$M1374)),IF($N1374&lt;&gt;"",INDEX(CalcBankB,$N1374),""))</f>
        <v/>
      </c>
      <c r="E1374" s="28">
        <f>IF($N1374&lt;&gt;"",IF(INDEX(CalcDepB,$N1374)=0,"",INDEX(CalcDepB,$N1374)),"")</f>
        <v/>
      </c>
      <c r="F1374" s="28">
        <f>IF($M1374&lt;&gt;"",IF(INDEX(CalcQtyA,$M1374)=0,"",INDEX(CalcQtyA,$M1374)),"")</f>
        <v/>
      </c>
      <c r="G1374" s="28">
        <f>IF($M1374&lt;&gt;"",IF(INDEX(CalcPriceA,$M1374)=0,"",INDEX(CalcPriceA,$M1374)),"")</f>
        <v/>
      </c>
      <c r="H1374" s="28">
        <f>IF($N1374&lt;&gt;"",IF(INDEX(CalcWitB,$N1374)=0,"",INDEX(CalcWitB,$N1374)),"")</f>
        <v/>
      </c>
      <c r="I1374" s="29">
        <f>IF($M1374&lt;&gt;"",INDEX(CalcAmtA,$M1374),"")</f>
        <v/>
      </c>
      <c r="J1374" s="29">
        <f>IF($B1374="","",IF($J1373="",$C$8,$J1373)+IF($I1374="",0,$I1374)+IF($E1374="",0,$E1374)-IF($H1374="",0,$H1374))</f>
        <v/>
      </c>
      <c r="K1374" s="30">
        <f>IF($M1374&lt;&gt;"",IF(INDEX(CalcNoteA,$M1374)="","—",INDEX(CalcNoteA,$M1374)),IF($N1374&lt;&gt;"",IF(INDEX(CalcNoteB,$N1374)="","—",INDEX(CalcNoteB,$N1374)),""))</f>
        <v/>
      </c>
      <c r="M1374">
        <f>IFERROR(MATCH($C$5&amp;"|"&amp;RIGHT("000000"&amp;1358,6),CalcRankKeyA,0),"")</f>
        <v/>
      </c>
      <c r="N1374">
        <f>IFERROR(MATCH($C$5&amp;"|"&amp;RIGHT("000000"&amp;1358,6),CalcRankKeyB,0),"")</f>
        <v/>
      </c>
    </row>
    <row r="1375">
      <c r="A1375" s="21" t="n">
        <v>1359</v>
      </c>
      <c r="B1375" s="22">
        <f>IF(AND($M1375="",$N1375=""),"",IF($M1375&lt;&gt;"",INDEX(CalcDateA,$M1375),INDEX(CalcDateB,$N1375)))</f>
        <v/>
      </c>
      <c r="C1375" s="22">
        <f>IF($M1375&lt;&gt;"","خرید سبد",IF($N1375&lt;&gt;"",IF(N(INDEX(CalcDepB,$N1375))&gt;0,"دریافت بانکی","پرداخت بانکی"),""))</f>
        <v/>
      </c>
      <c r="D1375" s="22">
        <f>IF($M1375&lt;&gt;"",IF(INDEX(CalcDocA,$M1375)="","—",INDEX(CalcDocA,$M1375)),IF($N1375&lt;&gt;"",INDEX(CalcBankB,$N1375),""))</f>
        <v/>
      </c>
      <c r="E1375" s="23">
        <f>IF($N1375&lt;&gt;"",IF(INDEX(CalcDepB,$N1375)=0,"",INDEX(CalcDepB,$N1375)),"")</f>
        <v/>
      </c>
      <c r="F1375" s="23">
        <f>IF($M1375&lt;&gt;"",IF(INDEX(CalcQtyA,$M1375)=0,"",INDEX(CalcQtyA,$M1375)),"")</f>
        <v/>
      </c>
      <c r="G1375" s="23">
        <f>IF($M1375&lt;&gt;"",IF(INDEX(CalcPriceA,$M1375)=0,"",INDEX(CalcPriceA,$M1375)),"")</f>
        <v/>
      </c>
      <c r="H1375" s="23">
        <f>IF($N1375&lt;&gt;"",IF(INDEX(CalcWitB,$N1375)=0,"",INDEX(CalcWitB,$N1375)),"")</f>
        <v/>
      </c>
      <c r="I1375" s="24">
        <f>IF($M1375&lt;&gt;"",INDEX(CalcAmtA,$M1375),"")</f>
        <v/>
      </c>
      <c r="J1375" s="24">
        <f>IF($B1375="","",IF($J1374="",$C$8,$J1374)+IF($I1375="",0,$I1375)+IF($E1375="",0,$E1375)-IF($H1375="",0,$H1375))</f>
        <v/>
      </c>
      <c r="K1375" s="25">
        <f>IF($M1375&lt;&gt;"",IF(INDEX(CalcNoteA,$M1375)="","—",INDEX(CalcNoteA,$M1375)),IF($N1375&lt;&gt;"",IF(INDEX(CalcNoteB,$N1375)="","—",INDEX(CalcNoteB,$N1375)),""))</f>
        <v/>
      </c>
      <c r="M1375">
        <f>IFERROR(MATCH($C$5&amp;"|"&amp;RIGHT("000000"&amp;1359,6),CalcRankKeyA,0),"")</f>
        <v/>
      </c>
      <c r="N1375">
        <f>IFERROR(MATCH($C$5&amp;"|"&amp;RIGHT("000000"&amp;1359,6),CalcRankKeyB,0),"")</f>
        <v/>
      </c>
    </row>
    <row r="1376">
      <c r="A1376" s="26" t="n">
        <v>1360</v>
      </c>
      <c r="B1376" s="27">
        <f>IF(AND($M1376="",$N1376=""),"",IF($M1376&lt;&gt;"",INDEX(CalcDateA,$M1376),INDEX(CalcDateB,$N1376)))</f>
        <v/>
      </c>
      <c r="C1376" s="27">
        <f>IF($M1376&lt;&gt;"","خرید سبد",IF($N1376&lt;&gt;"",IF(N(INDEX(CalcDepB,$N1376))&gt;0,"دریافت بانکی","پرداخت بانکی"),""))</f>
        <v/>
      </c>
      <c r="D1376" s="27">
        <f>IF($M1376&lt;&gt;"",IF(INDEX(CalcDocA,$M1376)="","—",INDEX(CalcDocA,$M1376)),IF($N1376&lt;&gt;"",INDEX(CalcBankB,$N1376),""))</f>
        <v/>
      </c>
      <c r="E1376" s="28">
        <f>IF($N1376&lt;&gt;"",IF(INDEX(CalcDepB,$N1376)=0,"",INDEX(CalcDepB,$N1376)),"")</f>
        <v/>
      </c>
      <c r="F1376" s="28">
        <f>IF($M1376&lt;&gt;"",IF(INDEX(CalcQtyA,$M1376)=0,"",INDEX(CalcQtyA,$M1376)),"")</f>
        <v/>
      </c>
      <c r="G1376" s="28">
        <f>IF($M1376&lt;&gt;"",IF(INDEX(CalcPriceA,$M1376)=0,"",INDEX(CalcPriceA,$M1376)),"")</f>
        <v/>
      </c>
      <c r="H1376" s="28">
        <f>IF($N1376&lt;&gt;"",IF(INDEX(CalcWitB,$N1376)=0,"",INDEX(CalcWitB,$N1376)),"")</f>
        <v/>
      </c>
      <c r="I1376" s="29">
        <f>IF($M1376&lt;&gt;"",INDEX(CalcAmtA,$M1376),"")</f>
        <v/>
      </c>
      <c r="J1376" s="29">
        <f>IF($B1376="","",IF($J1375="",$C$8,$J1375)+IF($I1376="",0,$I1376)+IF($E1376="",0,$E1376)-IF($H1376="",0,$H1376))</f>
        <v/>
      </c>
      <c r="K1376" s="30">
        <f>IF($M1376&lt;&gt;"",IF(INDEX(CalcNoteA,$M1376)="","—",INDEX(CalcNoteA,$M1376)),IF($N1376&lt;&gt;"",IF(INDEX(CalcNoteB,$N1376)="","—",INDEX(CalcNoteB,$N1376)),""))</f>
        <v/>
      </c>
      <c r="M1376">
        <f>IFERROR(MATCH($C$5&amp;"|"&amp;RIGHT("000000"&amp;1360,6),CalcRankKeyA,0),"")</f>
        <v/>
      </c>
      <c r="N1376">
        <f>IFERROR(MATCH($C$5&amp;"|"&amp;RIGHT("000000"&amp;1360,6),CalcRankKeyB,0),"")</f>
        <v/>
      </c>
    </row>
    <row r="1377">
      <c r="A1377" s="21" t="n">
        <v>1361</v>
      </c>
      <c r="B1377" s="22">
        <f>IF(AND($M1377="",$N1377=""),"",IF($M1377&lt;&gt;"",INDEX(CalcDateA,$M1377),INDEX(CalcDateB,$N1377)))</f>
        <v/>
      </c>
      <c r="C1377" s="22">
        <f>IF($M1377&lt;&gt;"","خرید سبد",IF($N1377&lt;&gt;"",IF(N(INDEX(CalcDepB,$N1377))&gt;0,"دریافت بانکی","پرداخت بانکی"),""))</f>
        <v/>
      </c>
      <c r="D1377" s="22">
        <f>IF($M1377&lt;&gt;"",IF(INDEX(CalcDocA,$M1377)="","—",INDEX(CalcDocA,$M1377)),IF($N1377&lt;&gt;"",INDEX(CalcBankB,$N1377),""))</f>
        <v/>
      </c>
      <c r="E1377" s="23">
        <f>IF($N1377&lt;&gt;"",IF(INDEX(CalcDepB,$N1377)=0,"",INDEX(CalcDepB,$N1377)),"")</f>
        <v/>
      </c>
      <c r="F1377" s="23">
        <f>IF($M1377&lt;&gt;"",IF(INDEX(CalcQtyA,$M1377)=0,"",INDEX(CalcQtyA,$M1377)),"")</f>
        <v/>
      </c>
      <c r="G1377" s="23">
        <f>IF($M1377&lt;&gt;"",IF(INDEX(CalcPriceA,$M1377)=0,"",INDEX(CalcPriceA,$M1377)),"")</f>
        <v/>
      </c>
      <c r="H1377" s="23">
        <f>IF($N1377&lt;&gt;"",IF(INDEX(CalcWitB,$N1377)=0,"",INDEX(CalcWitB,$N1377)),"")</f>
        <v/>
      </c>
      <c r="I1377" s="24">
        <f>IF($M1377&lt;&gt;"",INDEX(CalcAmtA,$M1377),"")</f>
        <v/>
      </c>
      <c r="J1377" s="24">
        <f>IF($B1377="","",IF($J1376="",$C$8,$J1376)+IF($I1377="",0,$I1377)+IF($E1377="",0,$E1377)-IF($H1377="",0,$H1377))</f>
        <v/>
      </c>
      <c r="K1377" s="25">
        <f>IF($M1377&lt;&gt;"",IF(INDEX(CalcNoteA,$M1377)="","—",INDEX(CalcNoteA,$M1377)),IF($N1377&lt;&gt;"",IF(INDEX(CalcNoteB,$N1377)="","—",INDEX(CalcNoteB,$N1377)),""))</f>
        <v/>
      </c>
      <c r="M1377">
        <f>IFERROR(MATCH($C$5&amp;"|"&amp;RIGHT("000000"&amp;1361,6),CalcRankKeyA,0),"")</f>
        <v/>
      </c>
      <c r="N1377">
        <f>IFERROR(MATCH($C$5&amp;"|"&amp;RIGHT("000000"&amp;1361,6),CalcRankKeyB,0),"")</f>
        <v/>
      </c>
    </row>
    <row r="1378">
      <c r="A1378" s="26" t="n">
        <v>1362</v>
      </c>
      <c r="B1378" s="27">
        <f>IF(AND($M1378="",$N1378=""),"",IF($M1378&lt;&gt;"",INDEX(CalcDateA,$M1378),INDEX(CalcDateB,$N1378)))</f>
        <v/>
      </c>
      <c r="C1378" s="27">
        <f>IF($M1378&lt;&gt;"","خرید سبد",IF($N1378&lt;&gt;"",IF(N(INDEX(CalcDepB,$N1378))&gt;0,"دریافت بانکی","پرداخت بانکی"),""))</f>
        <v/>
      </c>
      <c r="D1378" s="27">
        <f>IF($M1378&lt;&gt;"",IF(INDEX(CalcDocA,$M1378)="","—",INDEX(CalcDocA,$M1378)),IF($N1378&lt;&gt;"",INDEX(CalcBankB,$N1378),""))</f>
        <v/>
      </c>
      <c r="E1378" s="28">
        <f>IF($N1378&lt;&gt;"",IF(INDEX(CalcDepB,$N1378)=0,"",INDEX(CalcDepB,$N1378)),"")</f>
        <v/>
      </c>
      <c r="F1378" s="28">
        <f>IF($M1378&lt;&gt;"",IF(INDEX(CalcQtyA,$M1378)=0,"",INDEX(CalcQtyA,$M1378)),"")</f>
        <v/>
      </c>
      <c r="G1378" s="28">
        <f>IF($M1378&lt;&gt;"",IF(INDEX(CalcPriceA,$M1378)=0,"",INDEX(CalcPriceA,$M1378)),"")</f>
        <v/>
      </c>
      <c r="H1378" s="28">
        <f>IF($N1378&lt;&gt;"",IF(INDEX(CalcWitB,$N1378)=0,"",INDEX(CalcWitB,$N1378)),"")</f>
        <v/>
      </c>
      <c r="I1378" s="29">
        <f>IF($M1378&lt;&gt;"",INDEX(CalcAmtA,$M1378),"")</f>
        <v/>
      </c>
      <c r="J1378" s="29">
        <f>IF($B1378="","",IF($J1377="",$C$8,$J1377)+IF($I1378="",0,$I1378)+IF($E1378="",0,$E1378)-IF($H1378="",0,$H1378))</f>
        <v/>
      </c>
      <c r="K1378" s="30">
        <f>IF($M1378&lt;&gt;"",IF(INDEX(CalcNoteA,$M1378)="","—",INDEX(CalcNoteA,$M1378)),IF($N1378&lt;&gt;"",IF(INDEX(CalcNoteB,$N1378)="","—",INDEX(CalcNoteB,$N1378)),""))</f>
        <v/>
      </c>
      <c r="M1378">
        <f>IFERROR(MATCH($C$5&amp;"|"&amp;RIGHT("000000"&amp;1362,6),CalcRankKeyA,0),"")</f>
        <v/>
      </c>
      <c r="N1378">
        <f>IFERROR(MATCH($C$5&amp;"|"&amp;RIGHT("000000"&amp;1362,6),CalcRankKeyB,0),"")</f>
        <v/>
      </c>
    </row>
    <row r="1379">
      <c r="A1379" s="21" t="n">
        <v>1363</v>
      </c>
      <c r="B1379" s="22">
        <f>IF(AND($M1379="",$N1379=""),"",IF($M1379&lt;&gt;"",INDEX(CalcDateA,$M1379),INDEX(CalcDateB,$N1379)))</f>
        <v/>
      </c>
      <c r="C1379" s="22">
        <f>IF($M1379&lt;&gt;"","خرید سبد",IF($N1379&lt;&gt;"",IF(N(INDEX(CalcDepB,$N1379))&gt;0,"دریافت بانکی","پرداخت بانکی"),""))</f>
        <v/>
      </c>
      <c r="D1379" s="22">
        <f>IF($M1379&lt;&gt;"",IF(INDEX(CalcDocA,$M1379)="","—",INDEX(CalcDocA,$M1379)),IF($N1379&lt;&gt;"",INDEX(CalcBankB,$N1379),""))</f>
        <v/>
      </c>
      <c r="E1379" s="23">
        <f>IF($N1379&lt;&gt;"",IF(INDEX(CalcDepB,$N1379)=0,"",INDEX(CalcDepB,$N1379)),"")</f>
        <v/>
      </c>
      <c r="F1379" s="23">
        <f>IF($M1379&lt;&gt;"",IF(INDEX(CalcQtyA,$M1379)=0,"",INDEX(CalcQtyA,$M1379)),"")</f>
        <v/>
      </c>
      <c r="G1379" s="23">
        <f>IF($M1379&lt;&gt;"",IF(INDEX(CalcPriceA,$M1379)=0,"",INDEX(CalcPriceA,$M1379)),"")</f>
        <v/>
      </c>
      <c r="H1379" s="23">
        <f>IF($N1379&lt;&gt;"",IF(INDEX(CalcWitB,$N1379)=0,"",INDEX(CalcWitB,$N1379)),"")</f>
        <v/>
      </c>
      <c r="I1379" s="24">
        <f>IF($M1379&lt;&gt;"",INDEX(CalcAmtA,$M1379),"")</f>
        <v/>
      </c>
      <c r="J1379" s="24">
        <f>IF($B1379="","",IF($J1378="",$C$8,$J1378)+IF($I1379="",0,$I1379)+IF($E1379="",0,$E1379)-IF($H1379="",0,$H1379))</f>
        <v/>
      </c>
      <c r="K1379" s="25">
        <f>IF($M1379&lt;&gt;"",IF(INDEX(CalcNoteA,$M1379)="","—",INDEX(CalcNoteA,$M1379)),IF($N1379&lt;&gt;"",IF(INDEX(CalcNoteB,$N1379)="","—",INDEX(CalcNoteB,$N1379)),""))</f>
        <v/>
      </c>
      <c r="M1379">
        <f>IFERROR(MATCH($C$5&amp;"|"&amp;RIGHT("000000"&amp;1363,6),CalcRankKeyA,0),"")</f>
        <v/>
      </c>
      <c r="N1379">
        <f>IFERROR(MATCH($C$5&amp;"|"&amp;RIGHT("000000"&amp;1363,6),CalcRankKeyB,0),"")</f>
        <v/>
      </c>
    </row>
    <row r="1380">
      <c r="A1380" s="26" t="n">
        <v>1364</v>
      </c>
      <c r="B1380" s="27">
        <f>IF(AND($M1380="",$N1380=""),"",IF($M1380&lt;&gt;"",INDEX(CalcDateA,$M1380),INDEX(CalcDateB,$N1380)))</f>
        <v/>
      </c>
      <c r="C1380" s="27">
        <f>IF($M1380&lt;&gt;"","خرید سبد",IF($N1380&lt;&gt;"",IF(N(INDEX(CalcDepB,$N1380))&gt;0,"دریافت بانکی","پرداخت بانکی"),""))</f>
        <v/>
      </c>
      <c r="D1380" s="27">
        <f>IF($M1380&lt;&gt;"",IF(INDEX(CalcDocA,$M1380)="","—",INDEX(CalcDocA,$M1380)),IF($N1380&lt;&gt;"",INDEX(CalcBankB,$N1380),""))</f>
        <v/>
      </c>
      <c r="E1380" s="28">
        <f>IF($N1380&lt;&gt;"",IF(INDEX(CalcDepB,$N1380)=0,"",INDEX(CalcDepB,$N1380)),"")</f>
        <v/>
      </c>
      <c r="F1380" s="28">
        <f>IF($M1380&lt;&gt;"",IF(INDEX(CalcQtyA,$M1380)=0,"",INDEX(CalcQtyA,$M1380)),"")</f>
        <v/>
      </c>
      <c r="G1380" s="28">
        <f>IF($M1380&lt;&gt;"",IF(INDEX(CalcPriceA,$M1380)=0,"",INDEX(CalcPriceA,$M1380)),"")</f>
        <v/>
      </c>
      <c r="H1380" s="28">
        <f>IF($N1380&lt;&gt;"",IF(INDEX(CalcWitB,$N1380)=0,"",INDEX(CalcWitB,$N1380)),"")</f>
        <v/>
      </c>
      <c r="I1380" s="29">
        <f>IF($M1380&lt;&gt;"",INDEX(CalcAmtA,$M1380),"")</f>
        <v/>
      </c>
      <c r="J1380" s="29">
        <f>IF($B1380="","",IF($J1379="",$C$8,$J1379)+IF($I1380="",0,$I1380)+IF($E1380="",0,$E1380)-IF($H1380="",0,$H1380))</f>
        <v/>
      </c>
      <c r="K1380" s="30">
        <f>IF($M1380&lt;&gt;"",IF(INDEX(CalcNoteA,$M1380)="","—",INDEX(CalcNoteA,$M1380)),IF($N1380&lt;&gt;"",IF(INDEX(CalcNoteB,$N1380)="","—",INDEX(CalcNoteB,$N1380)),""))</f>
        <v/>
      </c>
      <c r="M1380">
        <f>IFERROR(MATCH($C$5&amp;"|"&amp;RIGHT("000000"&amp;1364,6),CalcRankKeyA,0),"")</f>
        <v/>
      </c>
      <c r="N1380">
        <f>IFERROR(MATCH($C$5&amp;"|"&amp;RIGHT("000000"&amp;1364,6),CalcRankKeyB,0),"")</f>
        <v/>
      </c>
    </row>
    <row r="1381">
      <c r="A1381" s="21" t="n">
        <v>1365</v>
      </c>
      <c r="B1381" s="22">
        <f>IF(AND($M1381="",$N1381=""),"",IF($M1381&lt;&gt;"",INDEX(CalcDateA,$M1381),INDEX(CalcDateB,$N1381)))</f>
        <v/>
      </c>
      <c r="C1381" s="22">
        <f>IF($M1381&lt;&gt;"","خرید سبد",IF($N1381&lt;&gt;"",IF(N(INDEX(CalcDepB,$N1381))&gt;0,"دریافت بانکی","پرداخت بانکی"),""))</f>
        <v/>
      </c>
      <c r="D1381" s="22">
        <f>IF($M1381&lt;&gt;"",IF(INDEX(CalcDocA,$M1381)="","—",INDEX(CalcDocA,$M1381)),IF($N1381&lt;&gt;"",INDEX(CalcBankB,$N1381),""))</f>
        <v/>
      </c>
      <c r="E1381" s="23">
        <f>IF($N1381&lt;&gt;"",IF(INDEX(CalcDepB,$N1381)=0,"",INDEX(CalcDepB,$N1381)),"")</f>
        <v/>
      </c>
      <c r="F1381" s="23">
        <f>IF($M1381&lt;&gt;"",IF(INDEX(CalcQtyA,$M1381)=0,"",INDEX(CalcQtyA,$M1381)),"")</f>
        <v/>
      </c>
      <c r="G1381" s="23">
        <f>IF($M1381&lt;&gt;"",IF(INDEX(CalcPriceA,$M1381)=0,"",INDEX(CalcPriceA,$M1381)),"")</f>
        <v/>
      </c>
      <c r="H1381" s="23">
        <f>IF($N1381&lt;&gt;"",IF(INDEX(CalcWitB,$N1381)=0,"",INDEX(CalcWitB,$N1381)),"")</f>
        <v/>
      </c>
      <c r="I1381" s="24">
        <f>IF($M1381&lt;&gt;"",INDEX(CalcAmtA,$M1381),"")</f>
        <v/>
      </c>
      <c r="J1381" s="24">
        <f>IF($B1381="","",IF($J1380="",$C$8,$J1380)+IF($I1381="",0,$I1381)+IF($E1381="",0,$E1381)-IF($H1381="",0,$H1381))</f>
        <v/>
      </c>
      <c r="K1381" s="25">
        <f>IF($M1381&lt;&gt;"",IF(INDEX(CalcNoteA,$M1381)="","—",INDEX(CalcNoteA,$M1381)),IF($N1381&lt;&gt;"",IF(INDEX(CalcNoteB,$N1381)="","—",INDEX(CalcNoteB,$N1381)),""))</f>
        <v/>
      </c>
      <c r="M1381">
        <f>IFERROR(MATCH($C$5&amp;"|"&amp;RIGHT("000000"&amp;1365,6),CalcRankKeyA,0),"")</f>
        <v/>
      </c>
      <c r="N1381">
        <f>IFERROR(MATCH($C$5&amp;"|"&amp;RIGHT("000000"&amp;1365,6),CalcRankKeyB,0),"")</f>
        <v/>
      </c>
    </row>
    <row r="1382">
      <c r="A1382" s="26" t="n">
        <v>1366</v>
      </c>
      <c r="B1382" s="27">
        <f>IF(AND($M1382="",$N1382=""),"",IF($M1382&lt;&gt;"",INDEX(CalcDateA,$M1382),INDEX(CalcDateB,$N1382)))</f>
        <v/>
      </c>
      <c r="C1382" s="27">
        <f>IF($M1382&lt;&gt;"","خرید سبد",IF($N1382&lt;&gt;"",IF(N(INDEX(CalcDepB,$N1382))&gt;0,"دریافت بانکی","پرداخت بانکی"),""))</f>
        <v/>
      </c>
      <c r="D1382" s="27">
        <f>IF($M1382&lt;&gt;"",IF(INDEX(CalcDocA,$M1382)="","—",INDEX(CalcDocA,$M1382)),IF($N1382&lt;&gt;"",INDEX(CalcBankB,$N1382),""))</f>
        <v/>
      </c>
      <c r="E1382" s="28">
        <f>IF($N1382&lt;&gt;"",IF(INDEX(CalcDepB,$N1382)=0,"",INDEX(CalcDepB,$N1382)),"")</f>
        <v/>
      </c>
      <c r="F1382" s="28">
        <f>IF($M1382&lt;&gt;"",IF(INDEX(CalcQtyA,$M1382)=0,"",INDEX(CalcQtyA,$M1382)),"")</f>
        <v/>
      </c>
      <c r="G1382" s="28">
        <f>IF($M1382&lt;&gt;"",IF(INDEX(CalcPriceA,$M1382)=0,"",INDEX(CalcPriceA,$M1382)),"")</f>
        <v/>
      </c>
      <c r="H1382" s="28">
        <f>IF($N1382&lt;&gt;"",IF(INDEX(CalcWitB,$N1382)=0,"",INDEX(CalcWitB,$N1382)),"")</f>
        <v/>
      </c>
      <c r="I1382" s="29">
        <f>IF($M1382&lt;&gt;"",INDEX(CalcAmtA,$M1382),"")</f>
        <v/>
      </c>
      <c r="J1382" s="29">
        <f>IF($B1382="","",IF($J1381="",$C$8,$J1381)+IF($I1382="",0,$I1382)+IF($E1382="",0,$E1382)-IF($H1382="",0,$H1382))</f>
        <v/>
      </c>
      <c r="K1382" s="30">
        <f>IF($M1382&lt;&gt;"",IF(INDEX(CalcNoteA,$M1382)="","—",INDEX(CalcNoteA,$M1382)),IF($N1382&lt;&gt;"",IF(INDEX(CalcNoteB,$N1382)="","—",INDEX(CalcNoteB,$N1382)),""))</f>
        <v/>
      </c>
      <c r="M1382">
        <f>IFERROR(MATCH($C$5&amp;"|"&amp;RIGHT("000000"&amp;1366,6),CalcRankKeyA,0),"")</f>
        <v/>
      </c>
      <c r="N1382">
        <f>IFERROR(MATCH($C$5&amp;"|"&amp;RIGHT("000000"&amp;1366,6),CalcRankKeyB,0),"")</f>
        <v/>
      </c>
    </row>
    <row r="1383">
      <c r="A1383" s="21" t="n">
        <v>1367</v>
      </c>
      <c r="B1383" s="22">
        <f>IF(AND($M1383="",$N1383=""),"",IF($M1383&lt;&gt;"",INDEX(CalcDateA,$M1383),INDEX(CalcDateB,$N1383)))</f>
        <v/>
      </c>
      <c r="C1383" s="22">
        <f>IF($M1383&lt;&gt;"","خرید سبد",IF($N1383&lt;&gt;"",IF(N(INDEX(CalcDepB,$N1383))&gt;0,"دریافت بانکی","پرداخت بانکی"),""))</f>
        <v/>
      </c>
      <c r="D1383" s="22">
        <f>IF($M1383&lt;&gt;"",IF(INDEX(CalcDocA,$M1383)="","—",INDEX(CalcDocA,$M1383)),IF($N1383&lt;&gt;"",INDEX(CalcBankB,$N1383),""))</f>
        <v/>
      </c>
      <c r="E1383" s="23">
        <f>IF($N1383&lt;&gt;"",IF(INDEX(CalcDepB,$N1383)=0,"",INDEX(CalcDepB,$N1383)),"")</f>
        <v/>
      </c>
      <c r="F1383" s="23">
        <f>IF($M1383&lt;&gt;"",IF(INDEX(CalcQtyA,$M1383)=0,"",INDEX(CalcQtyA,$M1383)),"")</f>
        <v/>
      </c>
      <c r="G1383" s="23">
        <f>IF($M1383&lt;&gt;"",IF(INDEX(CalcPriceA,$M1383)=0,"",INDEX(CalcPriceA,$M1383)),"")</f>
        <v/>
      </c>
      <c r="H1383" s="23">
        <f>IF($N1383&lt;&gt;"",IF(INDEX(CalcWitB,$N1383)=0,"",INDEX(CalcWitB,$N1383)),"")</f>
        <v/>
      </c>
      <c r="I1383" s="24">
        <f>IF($M1383&lt;&gt;"",INDEX(CalcAmtA,$M1383),"")</f>
        <v/>
      </c>
      <c r="J1383" s="24">
        <f>IF($B1383="","",IF($J1382="",$C$8,$J1382)+IF($I1383="",0,$I1383)+IF($E1383="",0,$E1383)-IF($H1383="",0,$H1383))</f>
        <v/>
      </c>
      <c r="K1383" s="25">
        <f>IF($M1383&lt;&gt;"",IF(INDEX(CalcNoteA,$M1383)="","—",INDEX(CalcNoteA,$M1383)),IF($N1383&lt;&gt;"",IF(INDEX(CalcNoteB,$N1383)="","—",INDEX(CalcNoteB,$N1383)),""))</f>
        <v/>
      </c>
      <c r="M1383">
        <f>IFERROR(MATCH($C$5&amp;"|"&amp;RIGHT("000000"&amp;1367,6),CalcRankKeyA,0),"")</f>
        <v/>
      </c>
      <c r="N1383">
        <f>IFERROR(MATCH($C$5&amp;"|"&amp;RIGHT("000000"&amp;1367,6),CalcRankKeyB,0),"")</f>
        <v/>
      </c>
    </row>
    <row r="1384">
      <c r="A1384" s="26" t="n">
        <v>1368</v>
      </c>
      <c r="B1384" s="27">
        <f>IF(AND($M1384="",$N1384=""),"",IF($M1384&lt;&gt;"",INDEX(CalcDateA,$M1384),INDEX(CalcDateB,$N1384)))</f>
        <v/>
      </c>
      <c r="C1384" s="27">
        <f>IF($M1384&lt;&gt;"","خرید سبد",IF($N1384&lt;&gt;"",IF(N(INDEX(CalcDepB,$N1384))&gt;0,"دریافت بانکی","پرداخت بانکی"),""))</f>
        <v/>
      </c>
      <c r="D1384" s="27">
        <f>IF($M1384&lt;&gt;"",IF(INDEX(CalcDocA,$M1384)="","—",INDEX(CalcDocA,$M1384)),IF($N1384&lt;&gt;"",INDEX(CalcBankB,$N1384),""))</f>
        <v/>
      </c>
      <c r="E1384" s="28">
        <f>IF($N1384&lt;&gt;"",IF(INDEX(CalcDepB,$N1384)=0,"",INDEX(CalcDepB,$N1384)),"")</f>
        <v/>
      </c>
      <c r="F1384" s="28">
        <f>IF($M1384&lt;&gt;"",IF(INDEX(CalcQtyA,$M1384)=0,"",INDEX(CalcQtyA,$M1384)),"")</f>
        <v/>
      </c>
      <c r="G1384" s="28">
        <f>IF($M1384&lt;&gt;"",IF(INDEX(CalcPriceA,$M1384)=0,"",INDEX(CalcPriceA,$M1384)),"")</f>
        <v/>
      </c>
      <c r="H1384" s="28">
        <f>IF($N1384&lt;&gt;"",IF(INDEX(CalcWitB,$N1384)=0,"",INDEX(CalcWitB,$N1384)),"")</f>
        <v/>
      </c>
      <c r="I1384" s="29">
        <f>IF($M1384&lt;&gt;"",INDEX(CalcAmtA,$M1384),"")</f>
        <v/>
      </c>
      <c r="J1384" s="29">
        <f>IF($B1384="","",IF($J1383="",$C$8,$J1383)+IF($I1384="",0,$I1384)+IF($E1384="",0,$E1384)-IF($H1384="",0,$H1384))</f>
        <v/>
      </c>
      <c r="K1384" s="30">
        <f>IF($M1384&lt;&gt;"",IF(INDEX(CalcNoteA,$M1384)="","—",INDEX(CalcNoteA,$M1384)),IF($N1384&lt;&gt;"",IF(INDEX(CalcNoteB,$N1384)="","—",INDEX(CalcNoteB,$N1384)),""))</f>
        <v/>
      </c>
      <c r="M1384">
        <f>IFERROR(MATCH($C$5&amp;"|"&amp;RIGHT("000000"&amp;1368,6),CalcRankKeyA,0),"")</f>
        <v/>
      </c>
      <c r="N1384">
        <f>IFERROR(MATCH($C$5&amp;"|"&amp;RIGHT("000000"&amp;1368,6),CalcRankKeyB,0),"")</f>
        <v/>
      </c>
    </row>
    <row r="1385">
      <c r="A1385" s="21" t="n">
        <v>1369</v>
      </c>
      <c r="B1385" s="22">
        <f>IF(AND($M1385="",$N1385=""),"",IF($M1385&lt;&gt;"",INDEX(CalcDateA,$M1385),INDEX(CalcDateB,$N1385)))</f>
        <v/>
      </c>
      <c r="C1385" s="22">
        <f>IF($M1385&lt;&gt;"","خرید سبد",IF($N1385&lt;&gt;"",IF(N(INDEX(CalcDepB,$N1385))&gt;0,"دریافت بانکی","پرداخت بانکی"),""))</f>
        <v/>
      </c>
      <c r="D1385" s="22">
        <f>IF($M1385&lt;&gt;"",IF(INDEX(CalcDocA,$M1385)="","—",INDEX(CalcDocA,$M1385)),IF($N1385&lt;&gt;"",INDEX(CalcBankB,$N1385),""))</f>
        <v/>
      </c>
      <c r="E1385" s="23">
        <f>IF($N1385&lt;&gt;"",IF(INDEX(CalcDepB,$N1385)=0,"",INDEX(CalcDepB,$N1385)),"")</f>
        <v/>
      </c>
      <c r="F1385" s="23">
        <f>IF($M1385&lt;&gt;"",IF(INDEX(CalcQtyA,$M1385)=0,"",INDEX(CalcQtyA,$M1385)),"")</f>
        <v/>
      </c>
      <c r="G1385" s="23">
        <f>IF($M1385&lt;&gt;"",IF(INDEX(CalcPriceA,$M1385)=0,"",INDEX(CalcPriceA,$M1385)),"")</f>
        <v/>
      </c>
      <c r="H1385" s="23">
        <f>IF($N1385&lt;&gt;"",IF(INDEX(CalcWitB,$N1385)=0,"",INDEX(CalcWitB,$N1385)),"")</f>
        <v/>
      </c>
      <c r="I1385" s="24">
        <f>IF($M1385&lt;&gt;"",INDEX(CalcAmtA,$M1385),"")</f>
        <v/>
      </c>
      <c r="J1385" s="24">
        <f>IF($B1385="","",IF($J1384="",$C$8,$J1384)+IF($I1385="",0,$I1385)+IF($E1385="",0,$E1385)-IF($H1385="",0,$H1385))</f>
        <v/>
      </c>
      <c r="K1385" s="25">
        <f>IF($M1385&lt;&gt;"",IF(INDEX(CalcNoteA,$M1385)="","—",INDEX(CalcNoteA,$M1385)),IF($N1385&lt;&gt;"",IF(INDEX(CalcNoteB,$N1385)="","—",INDEX(CalcNoteB,$N1385)),""))</f>
        <v/>
      </c>
      <c r="M1385">
        <f>IFERROR(MATCH($C$5&amp;"|"&amp;RIGHT("000000"&amp;1369,6),CalcRankKeyA,0),"")</f>
        <v/>
      </c>
      <c r="N1385">
        <f>IFERROR(MATCH($C$5&amp;"|"&amp;RIGHT("000000"&amp;1369,6),CalcRankKeyB,0),"")</f>
        <v/>
      </c>
    </row>
    <row r="1386">
      <c r="A1386" s="26" t="n">
        <v>1370</v>
      </c>
      <c r="B1386" s="27">
        <f>IF(AND($M1386="",$N1386=""),"",IF($M1386&lt;&gt;"",INDEX(CalcDateA,$M1386),INDEX(CalcDateB,$N1386)))</f>
        <v/>
      </c>
      <c r="C1386" s="27">
        <f>IF($M1386&lt;&gt;"","خرید سبد",IF($N1386&lt;&gt;"",IF(N(INDEX(CalcDepB,$N1386))&gt;0,"دریافت بانکی","پرداخت بانکی"),""))</f>
        <v/>
      </c>
      <c r="D1386" s="27">
        <f>IF($M1386&lt;&gt;"",IF(INDEX(CalcDocA,$M1386)="","—",INDEX(CalcDocA,$M1386)),IF($N1386&lt;&gt;"",INDEX(CalcBankB,$N1386),""))</f>
        <v/>
      </c>
      <c r="E1386" s="28">
        <f>IF($N1386&lt;&gt;"",IF(INDEX(CalcDepB,$N1386)=0,"",INDEX(CalcDepB,$N1386)),"")</f>
        <v/>
      </c>
      <c r="F1386" s="28">
        <f>IF($M1386&lt;&gt;"",IF(INDEX(CalcQtyA,$M1386)=0,"",INDEX(CalcQtyA,$M1386)),"")</f>
        <v/>
      </c>
      <c r="G1386" s="28">
        <f>IF($M1386&lt;&gt;"",IF(INDEX(CalcPriceA,$M1386)=0,"",INDEX(CalcPriceA,$M1386)),"")</f>
        <v/>
      </c>
      <c r="H1386" s="28">
        <f>IF($N1386&lt;&gt;"",IF(INDEX(CalcWitB,$N1386)=0,"",INDEX(CalcWitB,$N1386)),"")</f>
        <v/>
      </c>
      <c r="I1386" s="29">
        <f>IF($M1386&lt;&gt;"",INDEX(CalcAmtA,$M1386),"")</f>
        <v/>
      </c>
      <c r="J1386" s="29">
        <f>IF($B1386="","",IF($J1385="",$C$8,$J1385)+IF($I1386="",0,$I1386)+IF($E1386="",0,$E1386)-IF($H1386="",0,$H1386))</f>
        <v/>
      </c>
      <c r="K1386" s="30">
        <f>IF($M1386&lt;&gt;"",IF(INDEX(CalcNoteA,$M1386)="","—",INDEX(CalcNoteA,$M1386)),IF($N1386&lt;&gt;"",IF(INDEX(CalcNoteB,$N1386)="","—",INDEX(CalcNoteB,$N1386)),""))</f>
        <v/>
      </c>
      <c r="M1386">
        <f>IFERROR(MATCH($C$5&amp;"|"&amp;RIGHT("000000"&amp;1370,6),CalcRankKeyA,0),"")</f>
        <v/>
      </c>
      <c r="N1386">
        <f>IFERROR(MATCH($C$5&amp;"|"&amp;RIGHT("000000"&amp;1370,6),CalcRankKeyB,0),"")</f>
        <v/>
      </c>
    </row>
    <row r="1387">
      <c r="A1387" s="21" t="n">
        <v>1371</v>
      </c>
      <c r="B1387" s="22">
        <f>IF(AND($M1387="",$N1387=""),"",IF($M1387&lt;&gt;"",INDEX(CalcDateA,$M1387),INDEX(CalcDateB,$N1387)))</f>
        <v/>
      </c>
      <c r="C1387" s="22">
        <f>IF($M1387&lt;&gt;"","خرید سبد",IF($N1387&lt;&gt;"",IF(N(INDEX(CalcDepB,$N1387))&gt;0,"دریافت بانکی","پرداخت بانکی"),""))</f>
        <v/>
      </c>
      <c r="D1387" s="22">
        <f>IF($M1387&lt;&gt;"",IF(INDEX(CalcDocA,$M1387)="","—",INDEX(CalcDocA,$M1387)),IF($N1387&lt;&gt;"",INDEX(CalcBankB,$N1387),""))</f>
        <v/>
      </c>
      <c r="E1387" s="23">
        <f>IF($N1387&lt;&gt;"",IF(INDEX(CalcDepB,$N1387)=0,"",INDEX(CalcDepB,$N1387)),"")</f>
        <v/>
      </c>
      <c r="F1387" s="23">
        <f>IF($M1387&lt;&gt;"",IF(INDEX(CalcQtyA,$M1387)=0,"",INDEX(CalcQtyA,$M1387)),"")</f>
        <v/>
      </c>
      <c r="G1387" s="23">
        <f>IF($M1387&lt;&gt;"",IF(INDEX(CalcPriceA,$M1387)=0,"",INDEX(CalcPriceA,$M1387)),"")</f>
        <v/>
      </c>
      <c r="H1387" s="23">
        <f>IF($N1387&lt;&gt;"",IF(INDEX(CalcWitB,$N1387)=0,"",INDEX(CalcWitB,$N1387)),"")</f>
        <v/>
      </c>
      <c r="I1387" s="24">
        <f>IF($M1387&lt;&gt;"",INDEX(CalcAmtA,$M1387),"")</f>
        <v/>
      </c>
      <c r="J1387" s="24">
        <f>IF($B1387="","",IF($J1386="",$C$8,$J1386)+IF($I1387="",0,$I1387)+IF($E1387="",0,$E1387)-IF($H1387="",0,$H1387))</f>
        <v/>
      </c>
      <c r="K1387" s="25">
        <f>IF($M1387&lt;&gt;"",IF(INDEX(CalcNoteA,$M1387)="","—",INDEX(CalcNoteA,$M1387)),IF($N1387&lt;&gt;"",IF(INDEX(CalcNoteB,$N1387)="","—",INDEX(CalcNoteB,$N1387)),""))</f>
        <v/>
      </c>
      <c r="M1387">
        <f>IFERROR(MATCH($C$5&amp;"|"&amp;RIGHT("000000"&amp;1371,6),CalcRankKeyA,0),"")</f>
        <v/>
      </c>
      <c r="N1387">
        <f>IFERROR(MATCH($C$5&amp;"|"&amp;RIGHT("000000"&amp;1371,6),CalcRankKeyB,0),"")</f>
        <v/>
      </c>
    </row>
    <row r="1388">
      <c r="A1388" s="26" t="n">
        <v>1372</v>
      </c>
      <c r="B1388" s="27">
        <f>IF(AND($M1388="",$N1388=""),"",IF($M1388&lt;&gt;"",INDEX(CalcDateA,$M1388),INDEX(CalcDateB,$N1388)))</f>
        <v/>
      </c>
      <c r="C1388" s="27">
        <f>IF($M1388&lt;&gt;"","خرید سبد",IF($N1388&lt;&gt;"",IF(N(INDEX(CalcDepB,$N1388))&gt;0,"دریافت بانکی","پرداخت بانکی"),""))</f>
        <v/>
      </c>
      <c r="D1388" s="27">
        <f>IF($M1388&lt;&gt;"",IF(INDEX(CalcDocA,$M1388)="","—",INDEX(CalcDocA,$M1388)),IF($N1388&lt;&gt;"",INDEX(CalcBankB,$N1388),""))</f>
        <v/>
      </c>
      <c r="E1388" s="28">
        <f>IF($N1388&lt;&gt;"",IF(INDEX(CalcDepB,$N1388)=0,"",INDEX(CalcDepB,$N1388)),"")</f>
        <v/>
      </c>
      <c r="F1388" s="28">
        <f>IF($M1388&lt;&gt;"",IF(INDEX(CalcQtyA,$M1388)=0,"",INDEX(CalcQtyA,$M1388)),"")</f>
        <v/>
      </c>
      <c r="G1388" s="28">
        <f>IF($M1388&lt;&gt;"",IF(INDEX(CalcPriceA,$M1388)=0,"",INDEX(CalcPriceA,$M1388)),"")</f>
        <v/>
      </c>
      <c r="H1388" s="28">
        <f>IF($N1388&lt;&gt;"",IF(INDEX(CalcWitB,$N1388)=0,"",INDEX(CalcWitB,$N1388)),"")</f>
        <v/>
      </c>
      <c r="I1388" s="29">
        <f>IF($M1388&lt;&gt;"",INDEX(CalcAmtA,$M1388),"")</f>
        <v/>
      </c>
      <c r="J1388" s="29">
        <f>IF($B1388="","",IF($J1387="",$C$8,$J1387)+IF($I1388="",0,$I1388)+IF($E1388="",0,$E1388)-IF($H1388="",0,$H1388))</f>
        <v/>
      </c>
      <c r="K1388" s="30">
        <f>IF($M1388&lt;&gt;"",IF(INDEX(CalcNoteA,$M1388)="","—",INDEX(CalcNoteA,$M1388)),IF($N1388&lt;&gt;"",IF(INDEX(CalcNoteB,$N1388)="","—",INDEX(CalcNoteB,$N1388)),""))</f>
        <v/>
      </c>
      <c r="M1388">
        <f>IFERROR(MATCH($C$5&amp;"|"&amp;RIGHT("000000"&amp;1372,6),CalcRankKeyA,0),"")</f>
        <v/>
      </c>
      <c r="N1388">
        <f>IFERROR(MATCH($C$5&amp;"|"&amp;RIGHT("000000"&amp;1372,6),CalcRankKeyB,0),"")</f>
        <v/>
      </c>
    </row>
    <row r="1389">
      <c r="A1389" s="21" t="n">
        <v>1373</v>
      </c>
      <c r="B1389" s="22">
        <f>IF(AND($M1389="",$N1389=""),"",IF($M1389&lt;&gt;"",INDEX(CalcDateA,$M1389),INDEX(CalcDateB,$N1389)))</f>
        <v/>
      </c>
      <c r="C1389" s="22">
        <f>IF($M1389&lt;&gt;"","خرید سبد",IF($N1389&lt;&gt;"",IF(N(INDEX(CalcDepB,$N1389))&gt;0,"دریافت بانکی","پرداخت بانکی"),""))</f>
        <v/>
      </c>
      <c r="D1389" s="22">
        <f>IF($M1389&lt;&gt;"",IF(INDEX(CalcDocA,$M1389)="","—",INDEX(CalcDocA,$M1389)),IF($N1389&lt;&gt;"",INDEX(CalcBankB,$N1389),""))</f>
        <v/>
      </c>
      <c r="E1389" s="23">
        <f>IF($N1389&lt;&gt;"",IF(INDEX(CalcDepB,$N1389)=0,"",INDEX(CalcDepB,$N1389)),"")</f>
        <v/>
      </c>
      <c r="F1389" s="23">
        <f>IF($M1389&lt;&gt;"",IF(INDEX(CalcQtyA,$M1389)=0,"",INDEX(CalcQtyA,$M1389)),"")</f>
        <v/>
      </c>
      <c r="G1389" s="23">
        <f>IF($M1389&lt;&gt;"",IF(INDEX(CalcPriceA,$M1389)=0,"",INDEX(CalcPriceA,$M1389)),"")</f>
        <v/>
      </c>
      <c r="H1389" s="23">
        <f>IF($N1389&lt;&gt;"",IF(INDEX(CalcWitB,$N1389)=0,"",INDEX(CalcWitB,$N1389)),"")</f>
        <v/>
      </c>
      <c r="I1389" s="24">
        <f>IF($M1389&lt;&gt;"",INDEX(CalcAmtA,$M1389),"")</f>
        <v/>
      </c>
      <c r="J1389" s="24">
        <f>IF($B1389="","",IF($J1388="",$C$8,$J1388)+IF($I1389="",0,$I1389)+IF($E1389="",0,$E1389)-IF($H1389="",0,$H1389))</f>
        <v/>
      </c>
      <c r="K1389" s="25">
        <f>IF($M1389&lt;&gt;"",IF(INDEX(CalcNoteA,$M1389)="","—",INDEX(CalcNoteA,$M1389)),IF($N1389&lt;&gt;"",IF(INDEX(CalcNoteB,$N1389)="","—",INDEX(CalcNoteB,$N1389)),""))</f>
        <v/>
      </c>
      <c r="M1389">
        <f>IFERROR(MATCH($C$5&amp;"|"&amp;RIGHT("000000"&amp;1373,6),CalcRankKeyA,0),"")</f>
        <v/>
      </c>
      <c r="N1389">
        <f>IFERROR(MATCH($C$5&amp;"|"&amp;RIGHT("000000"&amp;1373,6),CalcRankKeyB,0),"")</f>
        <v/>
      </c>
    </row>
    <row r="1390">
      <c r="A1390" s="26" t="n">
        <v>1374</v>
      </c>
      <c r="B1390" s="27">
        <f>IF(AND($M1390="",$N1390=""),"",IF($M1390&lt;&gt;"",INDEX(CalcDateA,$M1390),INDEX(CalcDateB,$N1390)))</f>
        <v/>
      </c>
      <c r="C1390" s="27">
        <f>IF($M1390&lt;&gt;"","خرید سبد",IF($N1390&lt;&gt;"",IF(N(INDEX(CalcDepB,$N1390))&gt;0,"دریافت بانکی","پرداخت بانکی"),""))</f>
        <v/>
      </c>
      <c r="D1390" s="27">
        <f>IF($M1390&lt;&gt;"",IF(INDEX(CalcDocA,$M1390)="","—",INDEX(CalcDocA,$M1390)),IF($N1390&lt;&gt;"",INDEX(CalcBankB,$N1390),""))</f>
        <v/>
      </c>
      <c r="E1390" s="28">
        <f>IF($N1390&lt;&gt;"",IF(INDEX(CalcDepB,$N1390)=0,"",INDEX(CalcDepB,$N1390)),"")</f>
        <v/>
      </c>
      <c r="F1390" s="28">
        <f>IF($M1390&lt;&gt;"",IF(INDEX(CalcQtyA,$M1390)=0,"",INDEX(CalcQtyA,$M1390)),"")</f>
        <v/>
      </c>
      <c r="G1390" s="28">
        <f>IF($M1390&lt;&gt;"",IF(INDEX(CalcPriceA,$M1390)=0,"",INDEX(CalcPriceA,$M1390)),"")</f>
        <v/>
      </c>
      <c r="H1390" s="28">
        <f>IF($N1390&lt;&gt;"",IF(INDEX(CalcWitB,$N1390)=0,"",INDEX(CalcWitB,$N1390)),"")</f>
        <v/>
      </c>
      <c r="I1390" s="29">
        <f>IF($M1390&lt;&gt;"",INDEX(CalcAmtA,$M1390),"")</f>
        <v/>
      </c>
      <c r="J1390" s="29">
        <f>IF($B1390="","",IF($J1389="",$C$8,$J1389)+IF($I1390="",0,$I1390)+IF($E1390="",0,$E1390)-IF($H1390="",0,$H1390))</f>
        <v/>
      </c>
      <c r="K1390" s="30">
        <f>IF($M1390&lt;&gt;"",IF(INDEX(CalcNoteA,$M1390)="","—",INDEX(CalcNoteA,$M1390)),IF($N1390&lt;&gt;"",IF(INDEX(CalcNoteB,$N1390)="","—",INDEX(CalcNoteB,$N1390)),""))</f>
        <v/>
      </c>
      <c r="M1390">
        <f>IFERROR(MATCH($C$5&amp;"|"&amp;RIGHT("000000"&amp;1374,6),CalcRankKeyA,0),"")</f>
        <v/>
      </c>
      <c r="N1390">
        <f>IFERROR(MATCH($C$5&amp;"|"&amp;RIGHT("000000"&amp;1374,6),CalcRankKeyB,0),"")</f>
        <v/>
      </c>
    </row>
    <row r="1391">
      <c r="A1391" s="21" t="n">
        <v>1375</v>
      </c>
      <c r="B1391" s="22">
        <f>IF(AND($M1391="",$N1391=""),"",IF($M1391&lt;&gt;"",INDEX(CalcDateA,$M1391),INDEX(CalcDateB,$N1391)))</f>
        <v/>
      </c>
      <c r="C1391" s="22">
        <f>IF($M1391&lt;&gt;"","خرید سبد",IF($N1391&lt;&gt;"",IF(N(INDEX(CalcDepB,$N1391))&gt;0,"دریافت بانکی","پرداخت بانکی"),""))</f>
        <v/>
      </c>
      <c r="D1391" s="22">
        <f>IF($M1391&lt;&gt;"",IF(INDEX(CalcDocA,$M1391)="","—",INDEX(CalcDocA,$M1391)),IF($N1391&lt;&gt;"",INDEX(CalcBankB,$N1391),""))</f>
        <v/>
      </c>
      <c r="E1391" s="23">
        <f>IF($N1391&lt;&gt;"",IF(INDEX(CalcDepB,$N1391)=0,"",INDEX(CalcDepB,$N1391)),"")</f>
        <v/>
      </c>
      <c r="F1391" s="23">
        <f>IF($M1391&lt;&gt;"",IF(INDEX(CalcQtyA,$M1391)=0,"",INDEX(CalcQtyA,$M1391)),"")</f>
        <v/>
      </c>
      <c r="G1391" s="23">
        <f>IF($M1391&lt;&gt;"",IF(INDEX(CalcPriceA,$M1391)=0,"",INDEX(CalcPriceA,$M1391)),"")</f>
        <v/>
      </c>
      <c r="H1391" s="23">
        <f>IF($N1391&lt;&gt;"",IF(INDEX(CalcWitB,$N1391)=0,"",INDEX(CalcWitB,$N1391)),"")</f>
        <v/>
      </c>
      <c r="I1391" s="24">
        <f>IF($M1391&lt;&gt;"",INDEX(CalcAmtA,$M1391),"")</f>
        <v/>
      </c>
      <c r="J1391" s="24">
        <f>IF($B1391="","",IF($J1390="",$C$8,$J1390)+IF($I1391="",0,$I1391)+IF($E1391="",0,$E1391)-IF($H1391="",0,$H1391))</f>
        <v/>
      </c>
      <c r="K1391" s="25">
        <f>IF($M1391&lt;&gt;"",IF(INDEX(CalcNoteA,$M1391)="","—",INDEX(CalcNoteA,$M1391)),IF($N1391&lt;&gt;"",IF(INDEX(CalcNoteB,$N1391)="","—",INDEX(CalcNoteB,$N1391)),""))</f>
        <v/>
      </c>
      <c r="M1391">
        <f>IFERROR(MATCH($C$5&amp;"|"&amp;RIGHT("000000"&amp;1375,6),CalcRankKeyA,0),"")</f>
        <v/>
      </c>
      <c r="N1391">
        <f>IFERROR(MATCH($C$5&amp;"|"&amp;RIGHT("000000"&amp;1375,6),CalcRankKeyB,0),"")</f>
        <v/>
      </c>
    </row>
    <row r="1392">
      <c r="A1392" s="26" t="n">
        <v>1376</v>
      </c>
      <c r="B1392" s="27">
        <f>IF(AND($M1392="",$N1392=""),"",IF($M1392&lt;&gt;"",INDEX(CalcDateA,$M1392),INDEX(CalcDateB,$N1392)))</f>
        <v/>
      </c>
      <c r="C1392" s="27">
        <f>IF($M1392&lt;&gt;"","خرید سبد",IF($N1392&lt;&gt;"",IF(N(INDEX(CalcDepB,$N1392))&gt;0,"دریافت بانکی","پرداخت بانکی"),""))</f>
        <v/>
      </c>
      <c r="D1392" s="27">
        <f>IF($M1392&lt;&gt;"",IF(INDEX(CalcDocA,$M1392)="","—",INDEX(CalcDocA,$M1392)),IF($N1392&lt;&gt;"",INDEX(CalcBankB,$N1392),""))</f>
        <v/>
      </c>
      <c r="E1392" s="28">
        <f>IF($N1392&lt;&gt;"",IF(INDEX(CalcDepB,$N1392)=0,"",INDEX(CalcDepB,$N1392)),"")</f>
        <v/>
      </c>
      <c r="F1392" s="28">
        <f>IF($M1392&lt;&gt;"",IF(INDEX(CalcQtyA,$M1392)=0,"",INDEX(CalcQtyA,$M1392)),"")</f>
        <v/>
      </c>
      <c r="G1392" s="28">
        <f>IF($M1392&lt;&gt;"",IF(INDEX(CalcPriceA,$M1392)=0,"",INDEX(CalcPriceA,$M1392)),"")</f>
        <v/>
      </c>
      <c r="H1392" s="28">
        <f>IF($N1392&lt;&gt;"",IF(INDEX(CalcWitB,$N1392)=0,"",INDEX(CalcWitB,$N1392)),"")</f>
        <v/>
      </c>
      <c r="I1392" s="29">
        <f>IF($M1392&lt;&gt;"",INDEX(CalcAmtA,$M1392),"")</f>
        <v/>
      </c>
      <c r="J1392" s="29">
        <f>IF($B1392="","",IF($J1391="",$C$8,$J1391)+IF($I1392="",0,$I1392)+IF($E1392="",0,$E1392)-IF($H1392="",0,$H1392))</f>
        <v/>
      </c>
      <c r="K1392" s="30">
        <f>IF($M1392&lt;&gt;"",IF(INDEX(CalcNoteA,$M1392)="","—",INDEX(CalcNoteA,$M1392)),IF($N1392&lt;&gt;"",IF(INDEX(CalcNoteB,$N1392)="","—",INDEX(CalcNoteB,$N1392)),""))</f>
        <v/>
      </c>
      <c r="M1392">
        <f>IFERROR(MATCH($C$5&amp;"|"&amp;RIGHT("000000"&amp;1376,6),CalcRankKeyA,0),"")</f>
        <v/>
      </c>
      <c r="N1392">
        <f>IFERROR(MATCH($C$5&amp;"|"&amp;RIGHT("000000"&amp;1376,6),CalcRankKeyB,0),"")</f>
        <v/>
      </c>
    </row>
    <row r="1393">
      <c r="A1393" s="21" t="n">
        <v>1377</v>
      </c>
      <c r="B1393" s="22">
        <f>IF(AND($M1393="",$N1393=""),"",IF($M1393&lt;&gt;"",INDEX(CalcDateA,$M1393),INDEX(CalcDateB,$N1393)))</f>
        <v/>
      </c>
      <c r="C1393" s="22">
        <f>IF($M1393&lt;&gt;"","خرید سبد",IF($N1393&lt;&gt;"",IF(N(INDEX(CalcDepB,$N1393))&gt;0,"دریافت بانکی","پرداخت بانکی"),""))</f>
        <v/>
      </c>
      <c r="D1393" s="22">
        <f>IF($M1393&lt;&gt;"",IF(INDEX(CalcDocA,$M1393)="","—",INDEX(CalcDocA,$M1393)),IF($N1393&lt;&gt;"",INDEX(CalcBankB,$N1393),""))</f>
        <v/>
      </c>
      <c r="E1393" s="23">
        <f>IF($N1393&lt;&gt;"",IF(INDEX(CalcDepB,$N1393)=0,"",INDEX(CalcDepB,$N1393)),"")</f>
        <v/>
      </c>
      <c r="F1393" s="23">
        <f>IF($M1393&lt;&gt;"",IF(INDEX(CalcQtyA,$M1393)=0,"",INDEX(CalcQtyA,$M1393)),"")</f>
        <v/>
      </c>
      <c r="G1393" s="23">
        <f>IF($M1393&lt;&gt;"",IF(INDEX(CalcPriceA,$M1393)=0,"",INDEX(CalcPriceA,$M1393)),"")</f>
        <v/>
      </c>
      <c r="H1393" s="23">
        <f>IF($N1393&lt;&gt;"",IF(INDEX(CalcWitB,$N1393)=0,"",INDEX(CalcWitB,$N1393)),"")</f>
        <v/>
      </c>
      <c r="I1393" s="24">
        <f>IF($M1393&lt;&gt;"",INDEX(CalcAmtA,$M1393),"")</f>
        <v/>
      </c>
      <c r="J1393" s="24">
        <f>IF($B1393="","",IF($J1392="",$C$8,$J1392)+IF($I1393="",0,$I1393)+IF($E1393="",0,$E1393)-IF($H1393="",0,$H1393))</f>
        <v/>
      </c>
      <c r="K1393" s="25">
        <f>IF($M1393&lt;&gt;"",IF(INDEX(CalcNoteA,$M1393)="","—",INDEX(CalcNoteA,$M1393)),IF($N1393&lt;&gt;"",IF(INDEX(CalcNoteB,$N1393)="","—",INDEX(CalcNoteB,$N1393)),""))</f>
        <v/>
      </c>
      <c r="M1393">
        <f>IFERROR(MATCH($C$5&amp;"|"&amp;RIGHT("000000"&amp;1377,6),CalcRankKeyA,0),"")</f>
        <v/>
      </c>
      <c r="N1393">
        <f>IFERROR(MATCH($C$5&amp;"|"&amp;RIGHT("000000"&amp;1377,6),CalcRankKeyB,0),"")</f>
        <v/>
      </c>
    </row>
    <row r="1394">
      <c r="A1394" s="26" t="n">
        <v>1378</v>
      </c>
      <c r="B1394" s="27">
        <f>IF(AND($M1394="",$N1394=""),"",IF($M1394&lt;&gt;"",INDEX(CalcDateA,$M1394),INDEX(CalcDateB,$N1394)))</f>
        <v/>
      </c>
      <c r="C1394" s="27">
        <f>IF($M1394&lt;&gt;"","خرید سبد",IF($N1394&lt;&gt;"",IF(N(INDEX(CalcDepB,$N1394))&gt;0,"دریافت بانکی","پرداخت بانکی"),""))</f>
        <v/>
      </c>
      <c r="D1394" s="27">
        <f>IF($M1394&lt;&gt;"",IF(INDEX(CalcDocA,$M1394)="","—",INDEX(CalcDocA,$M1394)),IF($N1394&lt;&gt;"",INDEX(CalcBankB,$N1394),""))</f>
        <v/>
      </c>
      <c r="E1394" s="28">
        <f>IF($N1394&lt;&gt;"",IF(INDEX(CalcDepB,$N1394)=0,"",INDEX(CalcDepB,$N1394)),"")</f>
        <v/>
      </c>
      <c r="F1394" s="28">
        <f>IF($M1394&lt;&gt;"",IF(INDEX(CalcQtyA,$M1394)=0,"",INDEX(CalcQtyA,$M1394)),"")</f>
        <v/>
      </c>
      <c r="G1394" s="28">
        <f>IF($M1394&lt;&gt;"",IF(INDEX(CalcPriceA,$M1394)=0,"",INDEX(CalcPriceA,$M1394)),"")</f>
        <v/>
      </c>
      <c r="H1394" s="28">
        <f>IF($N1394&lt;&gt;"",IF(INDEX(CalcWitB,$N1394)=0,"",INDEX(CalcWitB,$N1394)),"")</f>
        <v/>
      </c>
      <c r="I1394" s="29">
        <f>IF($M1394&lt;&gt;"",INDEX(CalcAmtA,$M1394),"")</f>
        <v/>
      </c>
      <c r="J1394" s="29">
        <f>IF($B1394="","",IF($J1393="",$C$8,$J1393)+IF($I1394="",0,$I1394)+IF($E1394="",0,$E1394)-IF($H1394="",0,$H1394))</f>
        <v/>
      </c>
      <c r="K1394" s="30">
        <f>IF($M1394&lt;&gt;"",IF(INDEX(CalcNoteA,$M1394)="","—",INDEX(CalcNoteA,$M1394)),IF($N1394&lt;&gt;"",IF(INDEX(CalcNoteB,$N1394)="","—",INDEX(CalcNoteB,$N1394)),""))</f>
        <v/>
      </c>
      <c r="M1394">
        <f>IFERROR(MATCH($C$5&amp;"|"&amp;RIGHT("000000"&amp;1378,6),CalcRankKeyA,0),"")</f>
        <v/>
      </c>
      <c r="N1394">
        <f>IFERROR(MATCH($C$5&amp;"|"&amp;RIGHT("000000"&amp;1378,6),CalcRankKeyB,0),"")</f>
        <v/>
      </c>
    </row>
    <row r="1395">
      <c r="A1395" s="21" t="n">
        <v>1379</v>
      </c>
      <c r="B1395" s="22">
        <f>IF(AND($M1395="",$N1395=""),"",IF($M1395&lt;&gt;"",INDEX(CalcDateA,$M1395),INDEX(CalcDateB,$N1395)))</f>
        <v/>
      </c>
      <c r="C1395" s="22">
        <f>IF($M1395&lt;&gt;"","خرید سبد",IF($N1395&lt;&gt;"",IF(N(INDEX(CalcDepB,$N1395))&gt;0,"دریافت بانکی","پرداخت بانکی"),""))</f>
        <v/>
      </c>
      <c r="D1395" s="22">
        <f>IF($M1395&lt;&gt;"",IF(INDEX(CalcDocA,$M1395)="","—",INDEX(CalcDocA,$M1395)),IF($N1395&lt;&gt;"",INDEX(CalcBankB,$N1395),""))</f>
        <v/>
      </c>
      <c r="E1395" s="23">
        <f>IF($N1395&lt;&gt;"",IF(INDEX(CalcDepB,$N1395)=0,"",INDEX(CalcDepB,$N1395)),"")</f>
        <v/>
      </c>
      <c r="F1395" s="23">
        <f>IF($M1395&lt;&gt;"",IF(INDEX(CalcQtyA,$M1395)=0,"",INDEX(CalcQtyA,$M1395)),"")</f>
        <v/>
      </c>
      <c r="G1395" s="23">
        <f>IF($M1395&lt;&gt;"",IF(INDEX(CalcPriceA,$M1395)=0,"",INDEX(CalcPriceA,$M1395)),"")</f>
        <v/>
      </c>
      <c r="H1395" s="23">
        <f>IF($N1395&lt;&gt;"",IF(INDEX(CalcWitB,$N1395)=0,"",INDEX(CalcWitB,$N1395)),"")</f>
        <v/>
      </c>
      <c r="I1395" s="24">
        <f>IF($M1395&lt;&gt;"",INDEX(CalcAmtA,$M1395),"")</f>
        <v/>
      </c>
      <c r="J1395" s="24">
        <f>IF($B1395="","",IF($J1394="",$C$8,$J1394)+IF($I1395="",0,$I1395)+IF($E1395="",0,$E1395)-IF($H1395="",0,$H1395))</f>
        <v/>
      </c>
      <c r="K1395" s="25">
        <f>IF($M1395&lt;&gt;"",IF(INDEX(CalcNoteA,$M1395)="","—",INDEX(CalcNoteA,$M1395)),IF($N1395&lt;&gt;"",IF(INDEX(CalcNoteB,$N1395)="","—",INDEX(CalcNoteB,$N1395)),""))</f>
        <v/>
      </c>
      <c r="M1395">
        <f>IFERROR(MATCH($C$5&amp;"|"&amp;RIGHT("000000"&amp;1379,6),CalcRankKeyA,0),"")</f>
        <v/>
      </c>
      <c r="N1395">
        <f>IFERROR(MATCH($C$5&amp;"|"&amp;RIGHT("000000"&amp;1379,6),CalcRankKeyB,0),"")</f>
        <v/>
      </c>
    </row>
    <row r="1396">
      <c r="A1396" s="26" t="n">
        <v>1380</v>
      </c>
      <c r="B1396" s="27">
        <f>IF(AND($M1396="",$N1396=""),"",IF($M1396&lt;&gt;"",INDEX(CalcDateA,$M1396),INDEX(CalcDateB,$N1396)))</f>
        <v/>
      </c>
      <c r="C1396" s="27">
        <f>IF($M1396&lt;&gt;"","خرید سبد",IF($N1396&lt;&gt;"",IF(N(INDEX(CalcDepB,$N1396))&gt;0,"دریافت بانکی","پرداخت بانکی"),""))</f>
        <v/>
      </c>
      <c r="D1396" s="27">
        <f>IF($M1396&lt;&gt;"",IF(INDEX(CalcDocA,$M1396)="","—",INDEX(CalcDocA,$M1396)),IF($N1396&lt;&gt;"",INDEX(CalcBankB,$N1396),""))</f>
        <v/>
      </c>
      <c r="E1396" s="28">
        <f>IF($N1396&lt;&gt;"",IF(INDEX(CalcDepB,$N1396)=0,"",INDEX(CalcDepB,$N1396)),"")</f>
        <v/>
      </c>
      <c r="F1396" s="28">
        <f>IF($M1396&lt;&gt;"",IF(INDEX(CalcQtyA,$M1396)=0,"",INDEX(CalcQtyA,$M1396)),"")</f>
        <v/>
      </c>
      <c r="G1396" s="28">
        <f>IF($M1396&lt;&gt;"",IF(INDEX(CalcPriceA,$M1396)=0,"",INDEX(CalcPriceA,$M1396)),"")</f>
        <v/>
      </c>
      <c r="H1396" s="28">
        <f>IF($N1396&lt;&gt;"",IF(INDEX(CalcWitB,$N1396)=0,"",INDEX(CalcWitB,$N1396)),"")</f>
        <v/>
      </c>
      <c r="I1396" s="29">
        <f>IF($M1396&lt;&gt;"",INDEX(CalcAmtA,$M1396),"")</f>
        <v/>
      </c>
      <c r="J1396" s="29">
        <f>IF($B1396="","",IF($J1395="",$C$8,$J1395)+IF($I1396="",0,$I1396)+IF($E1396="",0,$E1396)-IF($H1396="",0,$H1396))</f>
        <v/>
      </c>
      <c r="K1396" s="30">
        <f>IF($M1396&lt;&gt;"",IF(INDEX(CalcNoteA,$M1396)="","—",INDEX(CalcNoteA,$M1396)),IF($N1396&lt;&gt;"",IF(INDEX(CalcNoteB,$N1396)="","—",INDEX(CalcNoteB,$N1396)),""))</f>
        <v/>
      </c>
      <c r="M1396">
        <f>IFERROR(MATCH($C$5&amp;"|"&amp;RIGHT("000000"&amp;1380,6),CalcRankKeyA,0),"")</f>
        <v/>
      </c>
      <c r="N1396">
        <f>IFERROR(MATCH($C$5&amp;"|"&amp;RIGHT("000000"&amp;1380,6),CalcRankKeyB,0),"")</f>
        <v/>
      </c>
    </row>
    <row r="1397">
      <c r="A1397" s="21" t="n">
        <v>1381</v>
      </c>
      <c r="B1397" s="22">
        <f>IF(AND($M1397="",$N1397=""),"",IF($M1397&lt;&gt;"",INDEX(CalcDateA,$M1397),INDEX(CalcDateB,$N1397)))</f>
        <v/>
      </c>
      <c r="C1397" s="22">
        <f>IF($M1397&lt;&gt;"","خرید سبد",IF($N1397&lt;&gt;"",IF(N(INDEX(CalcDepB,$N1397))&gt;0,"دریافت بانکی","پرداخت بانکی"),""))</f>
        <v/>
      </c>
      <c r="D1397" s="22">
        <f>IF($M1397&lt;&gt;"",IF(INDEX(CalcDocA,$M1397)="","—",INDEX(CalcDocA,$M1397)),IF($N1397&lt;&gt;"",INDEX(CalcBankB,$N1397),""))</f>
        <v/>
      </c>
      <c r="E1397" s="23">
        <f>IF($N1397&lt;&gt;"",IF(INDEX(CalcDepB,$N1397)=0,"",INDEX(CalcDepB,$N1397)),"")</f>
        <v/>
      </c>
      <c r="F1397" s="23">
        <f>IF($M1397&lt;&gt;"",IF(INDEX(CalcQtyA,$M1397)=0,"",INDEX(CalcQtyA,$M1397)),"")</f>
        <v/>
      </c>
      <c r="G1397" s="23">
        <f>IF($M1397&lt;&gt;"",IF(INDEX(CalcPriceA,$M1397)=0,"",INDEX(CalcPriceA,$M1397)),"")</f>
        <v/>
      </c>
      <c r="H1397" s="23">
        <f>IF($N1397&lt;&gt;"",IF(INDEX(CalcWitB,$N1397)=0,"",INDEX(CalcWitB,$N1397)),"")</f>
        <v/>
      </c>
      <c r="I1397" s="24">
        <f>IF($M1397&lt;&gt;"",INDEX(CalcAmtA,$M1397),"")</f>
        <v/>
      </c>
      <c r="J1397" s="24">
        <f>IF($B1397="","",IF($J1396="",$C$8,$J1396)+IF($I1397="",0,$I1397)+IF($E1397="",0,$E1397)-IF($H1397="",0,$H1397))</f>
        <v/>
      </c>
      <c r="K1397" s="25">
        <f>IF($M1397&lt;&gt;"",IF(INDEX(CalcNoteA,$M1397)="","—",INDEX(CalcNoteA,$M1397)),IF($N1397&lt;&gt;"",IF(INDEX(CalcNoteB,$N1397)="","—",INDEX(CalcNoteB,$N1397)),""))</f>
        <v/>
      </c>
      <c r="M1397">
        <f>IFERROR(MATCH($C$5&amp;"|"&amp;RIGHT("000000"&amp;1381,6),CalcRankKeyA,0),"")</f>
        <v/>
      </c>
      <c r="N1397">
        <f>IFERROR(MATCH($C$5&amp;"|"&amp;RIGHT("000000"&amp;1381,6),CalcRankKeyB,0),"")</f>
        <v/>
      </c>
    </row>
    <row r="1398">
      <c r="A1398" s="26" t="n">
        <v>1382</v>
      </c>
      <c r="B1398" s="27">
        <f>IF(AND($M1398="",$N1398=""),"",IF($M1398&lt;&gt;"",INDEX(CalcDateA,$M1398),INDEX(CalcDateB,$N1398)))</f>
        <v/>
      </c>
      <c r="C1398" s="27">
        <f>IF($M1398&lt;&gt;"","خرید سبد",IF($N1398&lt;&gt;"",IF(N(INDEX(CalcDepB,$N1398))&gt;0,"دریافت بانکی","پرداخت بانکی"),""))</f>
        <v/>
      </c>
      <c r="D1398" s="27">
        <f>IF($M1398&lt;&gt;"",IF(INDEX(CalcDocA,$M1398)="","—",INDEX(CalcDocA,$M1398)),IF($N1398&lt;&gt;"",INDEX(CalcBankB,$N1398),""))</f>
        <v/>
      </c>
      <c r="E1398" s="28">
        <f>IF($N1398&lt;&gt;"",IF(INDEX(CalcDepB,$N1398)=0,"",INDEX(CalcDepB,$N1398)),"")</f>
        <v/>
      </c>
      <c r="F1398" s="28">
        <f>IF($M1398&lt;&gt;"",IF(INDEX(CalcQtyA,$M1398)=0,"",INDEX(CalcQtyA,$M1398)),"")</f>
        <v/>
      </c>
      <c r="G1398" s="28">
        <f>IF($M1398&lt;&gt;"",IF(INDEX(CalcPriceA,$M1398)=0,"",INDEX(CalcPriceA,$M1398)),"")</f>
        <v/>
      </c>
      <c r="H1398" s="28">
        <f>IF($N1398&lt;&gt;"",IF(INDEX(CalcWitB,$N1398)=0,"",INDEX(CalcWitB,$N1398)),"")</f>
        <v/>
      </c>
      <c r="I1398" s="29">
        <f>IF($M1398&lt;&gt;"",INDEX(CalcAmtA,$M1398),"")</f>
        <v/>
      </c>
      <c r="J1398" s="29">
        <f>IF($B1398="","",IF($J1397="",$C$8,$J1397)+IF($I1398="",0,$I1398)+IF($E1398="",0,$E1398)-IF($H1398="",0,$H1398))</f>
        <v/>
      </c>
      <c r="K1398" s="30">
        <f>IF($M1398&lt;&gt;"",IF(INDEX(CalcNoteA,$M1398)="","—",INDEX(CalcNoteA,$M1398)),IF($N1398&lt;&gt;"",IF(INDEX(CalcNoteB,$N1398)="","—",INDEX(CalcNoteB,$N1398)),""))</f>
        <v/>
      </c>
      <c r="M1398">
        <f>IFERROR(MATCH($C$5&amp;"|"&amp;RIGHT("000000"&amp;1382,6),CalcRankKeyA,0),"")</f>
        <v/>
      </c>
      <c r="N1398">
        <f>IFERROR(MATCH($C$5&amp;"|"&amp;RIGHT("000000"&amp;1382,6),CalcRankKeyB,0),"")</f>
        <v/>
      </c>
    </row>
    <row r="1399">
      <c r="A1399" s="21" t="n">
        <v>1383</v>
      </c>
      <c r="B1399" s="22">
        <f>IF(AND($M1399="",$N1399=""),"",IF($M1399&lt;&gt;"",INDEX(CalcDateA,$M1399),INDEX(CalcDateB,$N1399)))</f>
        <v/>
      </c>
      <c r="C1399" s="22">
        <f>IF($M1399&lt;&gt;"","خرید سبد",IF($N1399&lt;&gt;"",IF(N(INDEX(CalcDepB,$N1399))&gt;0,"دریافت بانکی","پرداخت بانکی"),""))</f>
        <v/>
      </c>
      <c r="D1399" s="22">
        <f>IF($M1399&lt;&gt;"",IF(INDEX(CalcDocA,$M1399)="","—",INDEX(CalcDocA,$M1399)),IF($N1399&lt;&gt;"",INDEX(CalcBankB,$N1399),""))</f>
        <v/>
      </c>
      <c r="E1399" s="23">
        <f>IF($N1399&lt;&gt;"",IF(INDEX(CalcDepB,$N1399)=0,"",INDEX(CalcDepB,$N1399)),"")</f>
        <v/>
      </c>
      <c r="F1399" s="23">
        <f>IF($M1399&lt;&gt;"",IF(INDEX(CalcQtyA,$M1399)=0,"",INDEX(CalcQtyA,$M1399)),"")</f>
        <v/>
      </c>
      <c r="G1399" s="23">
        <f>IF($M1399&lt;&gt;"",IF(INDEX(CalcPriceA,$M1399)=0,"",INDEX(CalcPriceA,$M1399)),"")</f>
        <v/>
      </c>
      <c r="H1399" s="23">
        <f>IF($N1399&lt;&gt;"",IF(INDEX(CalcWitB,$N1399)=0,"",INDEX(CalcWitB,$N1399)),"")</f>
        <v/>
      </c>
      <c r="I1399" s="24">
        <f>IF($M1399&lt;&gt;"",INDEX(CalcAmtA,$M1399),"")</f>
        <v/>
      </c>
      <c r="J1399" s="24">
        <f>IF($B1399="","",IF($J1398="",$C$8,$J1398)+IF($I1399="",0,$I1399)+IF($E1399="",0,$E1399)-IF($H1399="",0,$H1399))</f>
        <v/>
      </c>
      <c r="K1399" s="25">
        <f>IF($M1399&lt;&gt;"",IF(INDEX(CalcNoteA,$M1399)="","—",INDEX(CalcNoteA,$M1399)),IF($N1399&lt;&gt;"",IF(INDEX(CalcNoteB,$N1399)="","—",INDEX(CalcNoteB,$N1399)),""))</f>
        <v/>
      </c>
      <c r="M1399">
        <f>IFERROR(MATCH($C$5&amp;"|"&amp;RIGHT("000000"&amp;1383,6),CalcRankKeyA,0),"")</f>
        <v/>
      </c>
      <c r="N1399">
        <f>IFERROR(MATCH($C$5&amp;"|"&amp;RIGHT("000000"&amp;1383,6),CalcRankKeyB,0),"")</f>
        <v/>
      </c>
    </row>
    <row r="1400">
      <c r="A1400" s="26" t="n">
        <v>1384</v>
      </c>
      <c r="B1400" s="27">
        <f>IF(AND($M1400="",$N1400=""),"",IF($M1400&lt;&gt;"",INDEX(CalcDateA,$M1400),INDEX(CalcDateB,$N1400)))</f>
        <v/>
      </c>
      <c r="C1400" s="27">
        <f>IF($M1400&lt;&gt;"","خرید سبد",IF($N1400&lt;&gt;"",IF(N(INDEX(CalcDepB,$N1400))&gt;0,"دریافت بانکی","پرداخت بانکی"),""))</f>
        <v/>
      </c>
      <c r="D1400" s="27">
        <f>IF($M1400&lt;&gt;"",IF(INDEX(CalcDocA,$M1400)="","—",INDEX(CalcDocA,$M1400)),IF($N1400&lt;&gt;"",INDEX(CalcBankB,$N1400),""))</f>
        <v/>
      </c>
      <c r="E1400" s="28">
        <f>IF($N1400&lt;&gt;"",IF(INDEX(CalcDepB,$N1400)=0,"",INDEX(CalcDepB,$N1400)),"")</f>
        <v/>
      </c>
      <c r="F1400" s="28">
        <f>IF($M1400&lt;&gt;"",IF(INDEX(CalcQtyA,$M1400)=0,"",INDEX(CalcQtyA,$M1400)),"")</f>
        <v/>
      </c>
      <c r="G1400" s="28">
        <f>IF($M1400&lt;&gt;"",IF(INDEX(CalcPriceA,$M1400)=0,"",INDEX(CalcPriceA,$M1400)),"")</f>
        <v/>
      </c>
      <c r="H1400" s="28">
        <f>IF($N1400&lt;&gt;"",IF(INDEX(CalcWitB,$N1400)=0,"",INDEX(CalcWitB,$N1400)),"")</f>
        <v/>
      </c>
      <c r="I1400" s="29">
        <f>IF($M1400&lt;&gt;"",INDEX(CalcAmtA,$M1400),"")</f>
        <v/>
      </c>
      <c r="J1400" s="29">
        <f>IF($B1400="","",IF($J1399="",$C$8,$J1399)+IF($I1400="",0,$I1400)+IF($E1400="",0,$E1400)-IF($H1400="",0,$H1400))</f>
        <v/>
      </c>
      <c r="K1400" s="30">
        <f>IF($M1400&lt;&gt;"",IF(INDEX(CalcNoteA,$M1400)="","—",INDEX(CalcNoteA,$M1400)),IF($N1400&lt;&gt;"",IF(INDEX(CalcNoteB,$N1400)="","—",INDEX(CalcNoteB,$N1400)),""))</f>
        <v/>
      </c>
      <c r="M1400">
        <f>IFERROR(MATCH($C$5&amp;"|"&amp;RIGHT("000000"&amp;1384,6),CalcRankKeyA,0),"")</f>
        <v/>
      </c>
      <c r="N1400">
        <f>IFERROR(MATCH($C$5&amp;"|"&amp;RIGHT("000000"&amp;1384,6),CalcRankKeyB,0),"")</f>
        <v/>
      </c>
    </row>
    <row r="1401">
      <c r="A1401" s="21" t="n">
        <v>1385</v>
      </c>
      <c r="B1401" s="22">
        <f>IF(AND($M1401="",$N1401=""),"",IF($M1401&lt;&gt;"",INDEX(CalcDateA,$M1401),INDEX(CalcDateB,$N1401)))</f>
        <v/>
      </c>
      <c r="C1401" s="22">
        <f>IF($M1401&lt;&gt;"","خرید سبد",IF($N1401&lt;&gt;"",IF(N(INDEX(CalcDepB,$N1401))&gt;0,"دریافت بانکی","پرداخت بانکی"),""))</f>
        <v/>
      </c>
      <c r="D1401" s="22">
        <f>IF($M1401&lt;&gt;"",IF(INDEX(CalcDocA,$M1401)="","—",INDEX(CalcDocA,$M1401)),IF($N1401&lt;&gt;"",INDEX(CalcBankB,$N1401),""))</f>
        <v/>
      </c>
      <c r="E1401" s="23">
        <f>IF($N1401&lt;&gt;"",IF(INDEX(CalcDepB,$N1401)=0,"",INDEX(CalcDepB,$N1401)),"")</f>
        <v/>
      </c>
      <c r="F1401" s="23">
        <f>IF($M1401&lt;&gt;"",IF(INDEX(CalcQtyA,$M1401)=0,"",INDEX(CalcQtyA,$M1401)),"")</f>
        <v/>
      </c>
      <c r="G1401" s="23">
        <f>IF($M1401&lt;&gt;"",IF(INDEX(CalcPriceA,$M1401)=0,"",INDEX(CalcPriceA,$M1401)),"")</f>
        <v/>
      </c>
      <c r="H1401" s="23">
        <f>IF($N1401&lt;&gt;"",IF(INDEX(CalcWitB,$N1401)=0,"",INDEX(CalcWitB,$N1401)),"")</f>
        <v/>
      </c>
      <c r="I1401" s="24">
        <f>IF($M1401&lt;&gt;"",INDEX(CalcAmtA,$M1401),"")</f>
        <v/>
      </c>
      <c r="J1401" s="24">
        <f>IF($B1401="","",IF($J1400="",$C$8,$J1400)+IF($I1401="",0,$I1401)+IF($E1401="",0,$E1401)-IF($H1401="",0,$H1401))</f>
        <v/>
      </c>
      <c r="K1401" s="25">
        <f>IF($M1401&lt;&gt;"",IF(INDEX(CalcNoteA,$M1401)="","—",INDEX(CalcNoteA,$M1401)),IF($N1401&lt;&gt;"",IF(INDEX(CalcNoteB,$N1401)="","—",INDEX(CalcNoteB,$N1401)),""))</f>
        <v/>
      </c>
      <c r="M1401">
        <f>IFERROR(MATCH($C$5&amp;"|"&amp;RIGHT("000000"&amp;1385,6),CalcRankKeyA,0),"")</f>
        <v/>
      </c>
      <c r="N1401">
        <f>IFERROR(MATCH($C$5&amp;"|"&amp;RIGHT("000000"&amp;1385,6),CalcRankKeyB,0),"")</f>
        <v/>
      </c>
    </row>
    <row r="1402">
      <c r="A1402" s="26" t="n">
        <v>1386</v>
      </c>
      <c r="B1402" s="27">
        <f>IF(AND($M1402="",$N1402=""),"",IF($M1402&lt;&gt;"",INDEX(CalcDateA,$M1402),INDEX(CalcDateB,$N1402)))</f>
        <v/>
      </c>
      <c r="C1402" s="27">
        <f>IF($M1402&lt;&gt;"","خرید سبد",IF($N1402&lt;&gt;"",IF(N(INDEX(CalcDepB,$N1402))&gt;0,"دریافت بانکی","پرداخت بانکی"),""))</f>
        <v/>
      </c>
      <c r="D1402" s="27">
        <f>IF($M1402&lt;&gt;"",IF(INDEX(CalcDocA,$M1402)="","—",INDEX(CalcDocA,$M1402)),IF($N1402&lt;&gt;"",INDEX(CalcBankB,$N1402),""))</f>
        <v/>
      </c>
      <c r="E1402" s="28">
        <f>IF($N1402&lt;&gt;"",IF(INDEX(CalcDepB,$N1402)=0,"",INDEX(CalcDepB,$N1402)),"")</f>
        <v/>
      </c>
      <c r="F1402" s="28">
        <f>IF($M1402&lt;&gt;"",IF(INDEX(CalcQtyA,$M1402)=0,"",INDEX(CalcQtyA,$M1402)),"")</f>
        <v/>
      </c>
      <c r="G1402" s="28">
        <f>IF($M1402&lt;&gt;"",IF(INDEX(CalcPriceA,$M1402)=0,"",INDEX(CalcPriceA,$M1402)),"")</f>
        <v/>
      </c>
      <c r="H1402" s="28">
        <f>IF($N1402&lt;&gt;"",IF(INDEX(CalcWitB,$N1402)=0,"",INDEX(CalcWitB,$N1402)),"")</f>
        <v/>
      </c>
      <c r="I1402" s="29">
        <f>IF($M1402&lt;&gt;"",INDEX(CalcAmtA,$M1402),"")</f>
        <v/>
      </c>
      <c r="J1402" s="29">
        <f>IF($B1402="","",IF($J1401="",$C$8,$J1401)+IF($I1402="",0,$I1402)+IF($E1402="",0,$E1402)-IF($H1402="",0,$H1402))</f>
        <v/>
      </c>
      <c r="K1402" s="30">
        <f>IF($M1402&lt;&gt;"",IF(INDEX(CalcNoteA,$M1402)="","—",INDEX(CalcNoteA,$M1402)),IF($N1402&lt;&gt;"",IF(INDEX(CalcNoteB,$N1402)="","—",INDEX(CalcNoteB,$N1402)),""))</f>
        <v/>
      </c>
      <c r="M1402">
        <f>IFERROR(MATCH($C$5&amp;"|"&amp;RIGHT("000000"&amp;1386,6),CalcRankKeyA,0),"")</f>
        <v/>
      </c>
      <c r="N1402">
        <f>IFERROR(MATCH($C$5&amp;"|"&amp;RIGHT("000000"&amp;1386,6),CalcRankKeyB,0),"")</f>
        <v/>
      </c>
    </row>
    <row r="1403">
      <c r="A1403" s="21" t="n">
        <v>1387</v>
      </c>
      <c r="B1403" s="22">
        <f>IF(AND($M1403="",$N1403=""),"",IF($M1403&lt;&gt;"",INDEX(CalcDateA,$M1403),INDEX(CalcDateB,$N1403)))</f>
        <v/>
      </c>
      <c r="C1403" s="22">
        <f>IF($M1403&lt;&gt;"","خرید سبد",IF($N1403&lt;&gt;"",IF(N(INDEX(CalcDepB,$N1403))&gt;0,"دریافت بانکی","پرداخت بانکی"),""))</f>
        <v/>
      </c>
      <c r="D1403" s="22">
        <f>IF($M1403&lt;&gt;"",IF(INDEX(CalcDocA,$M1403)="","—",INDEX(CalcDocA,$M1403)),IF($N1403&lt;&gt;"",INDEX(CalcBankB,$N1403),""))</f>
        <v/>
      </c>
      <c r="E1403" s="23">
        <f>IF($N1403&lt;&gt;"",IF(INDEX(CalcDepB,$N1403)=0,"",INDEX(CalcDepB,$N1403)),"")</f>
        <v/>
      </c>
      <c r="F1403" s="23">
        <f>IF($M1403&lt;&gt;"",IF(INDEX(CalcQtyA,$M1403)=0,"",INDEX(CalcQtyA,$M1403)),"")</f>
        <v/>
      </c>
      <c r="G1403" s="23">
        <f>IF($M1403&lt;&gt;"",IF(INDEX(CalcPriceA,$M1403)=0,"",INDEX(CalcPriceA,$M1403)),"")</f>
        <v/>
      </c>
      <c r="H1403" s="23">
        <f>IF($N1403&lt;&gt;"",IF(INDEX(CalcWitB,$N1403)=0,"",INDEX(CalcWitB,$N1403)),"")</f>
        <v/>
      </c>
      <c r="I1403" s="24">
        <f>IF($M1403&lt;&gt;"",INDEX(CalcAmtA,$M1403),"")</f>
        <v/>
      </c>
      <c r="J1403" s="24">
        <f>IF($B1403="","",IF($J1402="",$C$8,$J1402)+IF($I1403="",0,$I1403)+IF($E1403="",0,$E1403)-IF($H1403="",0,$H1403))</f>
        <v/>
      </c>
      <c r="K1403" s="25">
        <f>IF($M1403&lt;&gt;"",IF(INDEX(CalcNoteA,$M1403)="","—",INDEX(CalcNoteA,$M1403)),IF($N1403&lt;&gt;"",IF(INDEX(CalcNoteB,$N1403)="","—",INDEX(CalcNoteB,$N1403)),""))</f>
        <v/>
      </c>
      <c r="M1403">
        <f>IFERROR(MATCH($C$5&amp;"|"&amp;RIGHT("000000"&amp;1387,6),CalcRankKeyA,0),"")</f>
        <v/>
      </c>
      <c r="N1403">
        <f>IFERROR(MATCH($C$5&amp;"|"&amp;RIGHT("000000"&amp;1387,6),CalcRankKeyB,0),"")</f>
        <v/>
      </c>
    </row>
    <row r="1404">
      <c r="A1404" s="26" t="n">
        <v>1388</v>
      </c>
      <c r="B1404" s="27">
        <f>IF(AND($M1404="",$N1404=""),"",IF($M1404&lt;&gt;"",INDEX(CalcDateA,$M1404),INDEX(CalcDateB,$N1404)))</f>
        <v/>
      </c>
      <c r="C1404" s="27">
        <f>IF($M1404&lt;&gt;"","خرید سبد",IF($N1404&lt;&gt;"",IF(N(INDEX(CalcDepB,$N1404))&gt;0,"دریافت بانکی","پرداخت بانکی"),""))</f>
        <v/>
      </c>
      <c r="D1404" s="27">
        <f>IF($M1404&lt;&gt;"",IF(INDEX(CalcDocA,$M1404)="","—",INDEX(CalcDocA,$M1404)),IF($N1404&lt;&gt;"",INDEX(CalcBankB,$N1404),""))</f>
        <v/>
      </c>
      <c r="E1404" s="28">
        <f>IF($N1404&lt;&gt;"",IF(INDEX(CalcDepB,$N1404)=0,"",INDEX(CalcDepB,$N1404)),"")</f>
        <v/>
      </c>
      <c r="F1404" s="28">
        <f>IF($M1404&lt;&gt;"",IF(INDEX(CalcQtyA,$M1404)=0,"",INDEX(CalcQtyA,$M1404)),"")</f>
        <v/>
      </c>
      <c r="G1404" s="28">
        <f>IF($M1404&lt;&gt;"",IF(INDEX(CalcPriceA,$M1404)=0,"",INDEX(CalcPriceA,$M1404)),"")</f>
        <v/>
      </c>
      <c r="H1404" s="28">
        <f>IF($N1404&lt;&gt;"",IF(INDEX(CalcWitB,$N1404)=0,"",INDEX(CalcWitB,$N1404)),"")</f>
        <v/>
      </c>
      <c r="I1404" s="29">
        <f>IF($M1404&lt;&gt;"",INDEX(CalcAmtA,$M1404),"")</f>
        <v/>
      </c>
      <c r="J1404" s="29">
        <f>IF($B1404="","",IF($J1403="",$C$8,$J1403)+IF($I1404="",0,$I1404)+IF($E1404="",0,$E1404)-IF($H1404="",0,$H1404))</f>
        <v/>
      </c>
      <c r="K1404" s="30">
        <f>IF($M1404&lt;&gt;"",IF(INDEX(CalcNoteA,$M1404)="","—",INDEX(CalcNoteA,$M1404)),IF($N1404&lt;&gt;"",IF(INDEX(CalcNoteB,$N1404)="","—",INDEX(CalcNoteB,$N1404)),""))</f>
        <v/>
      </c>
      <c r="M1404">
        <f>IFERROR(MATCH($C$5&amp;"|"&amp;RIGHT("000000"&amp;1388,6),CalcRankKeyA,0),"")</f>
        <v/>
      </c>
      <c r="N1404">
        <f>IFERROR(MATCH($C$5&amp;"|"&amp;RIGHT("000000"&amp;1388,6),CalcRankKeyB,0),"")</f>
        <v/>
      </c>
    </row>
    <row r="1405">
      <c r="A1405" s="21" t="n">
        <v>1389</v>
      </c>
      <c r="B1405" s="22">
        <f>IF(AND($M1405="",$N1405=""),"",IF($M1405&lt;&gt;"",INDEX(CalcDateA,$M1405),INDEX(CalcDateB,$N1405)))</f>
        <v/>
      </c>
      <c r="C1405" s="22">
        <f>IF($M1405&lt;&gt;"","خرید سبد",IF($N1405&lt;&gt;"",IF(N(INDEX(CalcDepB,$N1405))&gt;0,"دریافت بانکی","پرداخت بانکی"),""))</f>
        <v/>
      </c>
      <c r="D1405" s="22">
        <f>IF($M1405&lt;&gt;"",IF(INDEX(CalcDocA,$M1405)="","—",INDEX(CalcDocA,$M1405)),IF($N1405&lt;&gt;"",INDEX(CalcBankB,$N1405),""))</f>
        <v/>
      </c>
      <c r="E1405" s="23">
        <f>IF($N1405&lt;&gt;"",IF(INDEX(CalcDepB,$N1405)=0,"",INDEX(CalcDepB,$N1405)),"")</f>
        <v/>
      </c>
      <c r="F1405" s="23">
        <f>IF($M1405&lt;&gt;"",IF(INDEX(CalcQtyA,$M1405)=0,"",INDEX(CalcQtyA,$M1405)),"")</f>
        <v/>
      </c>
      <c r="G1405" s="23">
        <f>IF($M1405&lt;&gt;"",IF(INDEX(CalcPriceA,$M1405)=0,"",INDEX(CalcPriceA,$M1405)),"")</f>
        <v/>
      </c>
      <c r="H1405" s="23">
        <f>IF($N1405&lt;&gt;"",IF(INDEX(CalcWitB,$N1405)=0,"",INDEX(CalcWitB,$N1405)),"")</f>
        <v/>
      </c>
      <c r="I1405" s="24">
        <f>IF($M1405&lt;&gt;"",INDEX(CalcAmtA,$M1405),"")</f>
        <v/>
      </c>
      <c r="J1405" s="24">
        <f>IF($B1405="","",IF($J1404="",$C$8,$J1404)+IF($I1405="",0,$I1405)+IF($E1405="",0,$E1405)-IF($H1405="",0,$H1405))</f>
        <v/>
      </c>
      <c r="K1405" s="25">
        <f>IF($M1405&lt;&gt;"",IF(INDEX(CalcNoteA,$M1405)="","—",INDEX(CalcNoteA,$M1405)),IF($N1405&lt;&gt;"",IF(INDEX(CalcNoteB,$N1405)="","—",INDEX(CalcNoteB,$N1405)),""))</f>
        <v/>
      </c>
      <c r="M1405">
        <f>IFERROR(MATCH($C$5&amp;"|"&amp;RIGHT("000000"&amp;1389,6),CalcRankKeyA,0),"")</f>
        <v/>
      </c>
      <c r="N1405">
        <f>IFERROR(MATCH($C$5&amp;"|"&amp;RIGHT("000000"&amp;1389,6),CalcRankKeyB,0),"")</f>
        <v/>
      </c>
    </row>
    <row r="1406">
      <c r="A1406" s="26" t="n">
        <v>1390</v>
      </c>
      <c r="B1406" s="27">
        <f>IF(AND($M1406="",$N1406=""),"",IF($M1406&lt;&gt;"",INDEX(CalcDateA,$M1406),INDEX(CalcDateB,$N1406)))</f>
        <v/>
      </c>
      <c r="C1406" s="27">
        <f>IF($M1406&lt;&gt;"","خرید سبد",IF($N1406&lt;&gt;"",IF(N(INDEX(CalcDepB,$N1406))&gt;0,"دریافت بانکی","پرداخت بانکی"),""))</f>
        <v/>
      </c>
      <c r="D1406" s="27">
        <f>IF($M1406&lt;&gt;"",IF(INDEX(CalcDocA,$M1406)="","—",INDEX(CalcDocA,$M1406)),IF($N1406&lt;&gt;"",INDEX(CalcBankB,$N1406),""))</f>
        <v/>
      </c>
      <c r="E1406" s="28">
        <f>IF($N1406&lt;&gt;"",IF(INDEX(CalcDepB,$N1406)=0,"",INDEX(CalcDepB,$N1406)),"")</f>
        <v/>
      </c>
      <c r="F1406" s="28">
        <f>IF($M1406&lt;&gt;"",IF(INDEX(CalcQtyA,$M1406)=0,"",INDEX(CalcQtyA,$M1406)),"")</f>
        <v/>
      </c>
      <c r="G1406" s="28">
        <f>IF($M1406&lt;&gt;"",IF(INDEX(CalcPriceA,$M1406)=0,"",INDEX(CalcPriceA,$M1406)),"")</f>
        <v/>
      </c>
      <c r="H1406" s="28">
        <f>IF($N1406&lt;&gt;"",IF(INDEX(CalcWitB,$N1406)=0,"",INDEX(CalcWitB,$N1406)),"")</f>
        <v/>
      </c>
      <c r="I1406" s="29">
        <f>IF($M1406&lt;&gt;"",INDEX(CalcAmtA,$M1406),"")</f>
        <v/>
      </c>
      <c r="J1406" s="29">
        <f>IF($B1406="","",IF($J1405="",$C$8,$J1405)+IF($I1406="",0,$I1406)+IF($E1406="",0,$E1406)-IF($H1406="",0,$H1406))</f>
        <v/>
      </c>
      <c r="K1406" s="30">
        <f>IF($M1406&lt;&gt;"",IF(INDEX(CalcNoteA,$M1406)="","—",INDEX(CalcNoteA,$M1406)),IF($N1406&lt;&gt;"",IF(INDEX(CalcNoteB,$N1406)="","—",INDEX(CalcNoteB,$N1406)),""))</f>
        <v/>
      </c>
      <c r="M1406">
        <f>IFERROR(MATCH($C$5&amp;"|"&amp;RIGHT("000000"&amp;1390,6),CalcRankKeyA,0),"")</f>
        <v/>
      </c>
      <c r="N1406">
        <f>IFERROR(MATCH($C$5&amp;"|"&amp;RIGHT("000000"&amp;1390,6),CalcRankKeyB,0),"")</f>
        <v/>
      </c>
    </row>
    <row r="1407">
      <c r="A1407" s="21" t="n">
        <v>1391</v>
      </c>
      <c r="B1407" s="22">
        <f>IF(AND($M1407="",$N1407=""),"",IF($M1407&lt;&gt;"",INDEX(CalcDateA,$M1407),INDEX(CalcDateB,$N1407)))</f>
        <v/>
      </c>
      <c r="C1407" s="22">
        <f>IF($M1407&lt;&gt;"","خرید سبد",IF($N1407&lt;&gt;"",IF(N(INDEX(CalcDepB,$N1407))&gt;0,"دریافت بانکی","پرداخت بانکی"),""))</f>
        <v/>
      </c>
      <c r="D1407" s="22">
        <f>IF($M1407&lt;&gt;"",IF(INDEX(CalcDocA,$M1407)="","—",INDEX(CalcDocA,$M1407)),IF($N1407&lt;&gt;"",INDEX(CalcBankB,$N1407),""))</f>
        <v/>
      </c>
      <c r="E1407" s="23">
        <f>IF($N1407&lt;&gt;"",IF(INDEX(CalcDepB,$N1407)=0,"",INDEX(CalcDepB,$N1407)),"")</f>
        <v/>
      </c>
      <c r="F1407" s="23">
        <f>IF($M1407&lt;&gt;"",IF(INDEX(CalcQtyA,$M1407)=0,"",INDEX(CalcQtyA,$M1407)),"")</f>
        <v/>
      </c>
      <c r="G1407" s="23">
        <f>IF($M1407&lt;&gt;"",IF(INDEX(CalcPriceA,$M1407)=0,"",INDEX(CalcPriceA,$M1407)),"")</f>
        <v/>
      </c>
      <c r="H1407" s="23">
        <f>IF($N1407&lt;&gt;"",IF(INDEX(CalcWitB,$N1407)=0,"",INDEX(CalcWitB,$N1407)),"")</f>
        <v/>
      </c>
      <c r="I1407" s="24">
        <f>IF($M1407&lt;&gt;"",INDEX(CalcAmtA,$M1407),"")</f>
        <v/>
      </c>
      <c r="J1407" s="24">
        <f>IF($B1407="","",IF($J1406="",$C$8,$J1406)+IF($I1407="",0,$I1407)+IF($E1407="",0,$E1407)-IF($H1407="",0,$H1407))</f>
        <v/>
      </c>
      <c r="K1407" s="25">
        <f>IF($M1407&lt;&gt;"",IF(INDEX(CalcNoteA,$M1407)="","—",INDEX(CalcNoteA,$M1407)),IF($N1407&lt;&gt;"",IF(INDEX(CalcNoteB,$N1407)="","—",INDEX(CalcNoteB,$N1407)),""))</f>
        <v/>
      </c>
      <c r="M1407">
        <f>IFERROR(MATCH($C$5&amp;"|"&amp;RIGHT("000000"&amp;1391,6),CalcRankKeyA,0),"")</f>
        <v/>
      </c>
      <c r="N1407">
        <f>IFERROR(MATCH($C$5&amp;"|"&amp;RIGHT("000000"&amp;1391,6),CalcRankKeyB,0),"")</f>
        <v/>
      </c>
    </row>
    <row r="1408">
      <c r="A1408" s="26" t="n">
        <v>1392</v>
      </c>
      <c r="B1408" s="27">
        <f>IF(AND($M1408="",$N1408=""),"",IF($M1408&lt;&gt;"",INDEX(CalcDateA,$M1408),INDEX(CalcDateB,$N1408)))</f>
        <v/>
      </c>
      <c r="C1408" s="27">
        <f>IF($M1408&lt;&gt;"","خرید سبد",IF($N1408&lt;&gt;"",IF(N(INDEX(CalcDepB,$N1408))&gt;0,"دریافت بانکی","پرداخت بانکی"),""))</f>
        <v/>
      </c>
      <c r="D1408" s="27">
        <f>IF($M1408&lt;&gt;"",IF(INDEX(CalcDocA,$M1408)="","—",INDEX(CalcDocA,$M1408)),IF($N1408&lt;&gt;"",INDEX(CalcBankB,$N1408),""))</f>
        <v/>
      </c>
      <c r="E1408" s="28">
        <f>IF($N1408&lt;&gt;"",IF(INDEX(CalcDepB,$N1408)=0,"",INDEX(CalcDepB,$N1408)),"")</f>
        <v/>
      </c>
      <c r="F1408" s="28">
        <f>IF($M1408&lt;&gt;"",IF(INDEX(CalcQtyA,$M1408)=0,"",INDEX(CalcQtyA,$M1408)),"")</f>
        <v/>
      </c>
      <c r="G1408" s="28">
        <f>IF($M1408&lt;&gt;"",IF(INDEX(CalcPriceA,$M1408)=0,"",INDEX(CalcPriceA,$M1408)),"")</f>
        <v/>
      </c>
      <c r="H1408" s="28">
        <f>IF($N1408&lt;&gt;"",IF(INDEX(CalcWitB,$N1408)=0,"",INDEX(CalcWitB,$N1408)),"")</f>
        <v/>
      </c>
      <c r="I1408" s="29">
        <f>IF($M1408&lt;&gt;"",INDEX(CalcAmtA,$M1408),"")</f>
        <v/>
      </c>
      <c r="J1408" s="29">
        <f>IF($B1408="","",IF($J1407="",$C$8,$J1407)+IF($I1408="",0,$I1408)+IF($E1408="",0,$E1408)-IF($H1408="",0,$H1408))</f>
        <v/>
      </c>
      <c r="K1408" s="30">
        <f>IF($M1408&lt;&gt;"",IF(INDEX(CalcNoteA,$M1408)="","—",INDEX(CalcNoteA,$M1408)),IF($N1408&lt;&gt;"",IF(INDEX(CalcNoteB,$N1408)="","—",INDEX(CalcNoteB,$N1408)),""))</f>
        <v/>
      </c>
      <c r="M1408">
        <f>IFERROR(MATCH($C$5&amp;"|"&amp;RIGHT("000000"&amp;1392,6),CalcRankKeyA,0),"")</f>
        <v/>
      </c>
      <c r="N1408">
        <f>IFERROR(MATCH($C$5&amp;"|"&amp;RIGHT("000000"&amp;1392,6),CalcRankKeyB,0),"")</f>
        <v/>
      </c>
    </row>
    <row r="1409">
      <c r="A1409" s="21" t="n">
        <v>1393</v>
      </c>
      <c r="B1409" s="22">
        <f>IF(AND($M1409="",$N1409=""),"",IF($M1409&lt;&gt;"",INDEX(CalcDateA,$M1409),INDEX(CalcDateB,$N1409)))</f>
        <v/>
      </c>
      <c r="C1409" s="22">
        <f>IF($M1409&lt;&gt;"","خرید سبد",IF($N1409&lt;&gt;"",IF(N(INDEX(CalcDepB,$N1409))&gt;0,"دریافت بانکی","پرداخت بانکی"),""))</f>
        <v/>
      </c>
      <c r="D1409" s="22">
        <f>IF($M1409&lt;&gt;"",IF(INDEX(CalcDocA,$M1409)="","—",INDEX(CalcDocA,$M1409)),IF($N1409&lt;&gt;"",INDEX(CalcBankB,$N1409),""))</f>
        <v/>
      </c>
      <c r="E1409" s="23">
        <f>IF($N1409&lt;&gt;"",IF(INDEX(CalcDepB,$N1409)=0,"",INDEX(CalcDepB,$N1409)),"")</f>
        <v/>
      </c>
      <c r="F1409" s="23">
        <f>IF($M1409&lt;&gt;"",IF(INDEX(CalcQtyA,$M1409)=0,"",INDEX(CalcQtyA,$M1409)),"")</f>
        <v/>
      </c>
      <c r="G1409" s="23">
        <f>IF($M1409&lt;&gt;"",IF(INDEX(CalcPriceA,$M1409)=0,"",INDEX(CalcPriceA,$M1409)),"")</f>
        <v/>
      </c>
      <c r="H1409" s="23">
        <f>IF($N1409&lt;&gt;"",IF(INDEX(CalcWitB,$N1409)=0,"",INDEX(CalcWitB,$N1409)),"")</f>
        <v/>
      </c>
      <c r="I1409" s="24">
        <f>IF($M1409&lt;&gt;"",INDEX(CalcAmtA,$M1409),"")</f>
        <v/>
      </c>
      <c r="J1409" s="24">
        <f>IF($B1409="","",IF($J1408="",$C$8,$J1408)+IF($I1409="",0,$I1409)+IF($E1409="",0,$E1409)-IF($H1409="",0,$H1409))</f>
        <v/>
      </c>
      <c r="K1409" s="25">
        <f>IF($M1409&lt;&gt;"",IF(INDEX(CalcNoteA,$M1409)="","—",INDEX(CalcNoteA,$M1409)),IF($N1409&lt;&gt;"",IF(INDEX(CalcNoteB,$N1409)="","—",INDEX(CalcNoteB,$N1409)),""))</f>
        <v/>
      </c>
      <c r="M1409">
        <f>IFERROR(MATCH($C$5&amp;"|"&amp;RIGHT("000000"&amp;1393,6),CalcRankKeyA,0),"")</f>
        <v/>
      </c>
      <c r="N1409">
        <f>IFERROR(MATCH($C$5&amp;"|"&amp;RIGHT("000000"&amp;1393,6),CalcRankKeyB,0),"")</f>
        <v/>
      </c>
    </row>
    <row r="1410">
      <c r="A1410" s="26" t="n">
        <v>1394</v>
      </c>
      <c r="B1410" s="27">
        <f>IF(AND($M1410="",$N1410=""),"",IF($M1410&lt;&gt;"",INDEX(CalcDateA,$M1410),INDEX(CalcDateB,$N1410)))</f>
        <v/>
      </c>
      <c r="C1410" s="27">
        <f>IF($M1410&lt;&gt;"","خرید سبد",IF($N1410&lt;&gt;"",IF(N(INDEX(CalcDepB,$N1410))&gt;0,"دریافت بانکی","پرداخت بانکی"),""))</f>
        <v/>
      </c>
      <c r="D1410" s="27">
        <f>IF($M1410&lt;&gt;"",IF(INDEX(CalcDocA,$M1410)="","—",INDEX(CalcDocA,$M1410)),IF($N1410&lt;&gt;"",INDEX(CalcBankB,$N1410),""))</f>
        <v/>
      </c>
      <c r="E1410" s="28">
        <f>IF($N1410&lt;&gt;"",IF(INDEX(CalcDepB,$N1410)=0,"",INDEX(CalcDepB,$N1410)),"")</f>
        <v/>
      </c>
      <c r="F1410" s="28">
        <f>IF($M1410&lt;&gt;"",IF(INDEX(CalcQtyA,$M1410)=0,"",INDEX(CalcQtyA,$M1410)),"")</f>
        <v/>
      </c>
      <c r="G1410" s="28">
        <f>IF($M1410&lt;&gt;"",IF(INDEX(CalcPriceA,$M1410)=0,"",INDEX(CalcPriceA,$M1410)),"")</f>
        <v/>
      </c>
      <c r="H1410" s="28">
        <f>IF($N1410&lt;&gt;"",IF(INDEX(CalcWitB,$N1410)=0,"",INDEX(CalcWitB,$N1410)),"")</f>
        <v/>
      </c>
      <c r="I1410" s="29">
        <f>IF($M1410&lt;&gt;"",INDEX(CalcAmtA,$M1410),"")</f>
        <v/>
      </c>
      <c r="J1410" s="29">
        <f>IF($B1410="","",IF($J1409="",$C$8,$J1409)+IF($I1410="",0,$I1410)+IF($E1410="",0,$E1410)-IF($H1410="",0,$H1410))</f>
        <v/>
      </c>
      <c r="K1410" s="30">
        <f>IF($M1410&lt;&gt;"",IF(INDEX(CalcNoteA,$M1410)="","—",INDEX(CalcNoteA,$M1410)),IF($N1410&lt;&gt;"",IF(INDEX(CalcNoteB,$N1410)="","—",INDEX(CalcNoteB,$N1410)),""))</f>
        <v/>
      </c>
      <c r="M1410">
        <f>IFERROR(MATCH($C$5&amp;"|"&amp;RIGHT("000000"&amp;1394,6),CalcRankKeyA,0),"")</f>
        <v/>
      </c>
      <c r="N1410">
        <f>IFERROR(MATCH($C$5&amp;"|"&amp;RIGHT("000000"&amp;1394,6),CalcRankKeyB,0),"")</f>
        <v/>
      </c>
    </row>
    <row r="1411">
      <c r="A1411" s="21" t="n">
        <v>1395</v>
      </c>
      <c r="B1411" s="22">
        <f>IF(AND($M1411="",$N1411=""),"",IF($M1411&lt;&gt;"",INDEX(CalcDateA,$M1411),INDEX(CalcDateB,$N1411)))</f>
        <v/>
      </c>
      <c r="C1411" s="22">
        <f>IF($M1411&lt;&gt;"","خرید سبد",IF($N1411&lt;&gt;"",IF(N(INDEX(CalcDepB,$N1411))&gt;0,"دریافت بانکی","پرداخت بانکی"),""))</f>
        <v/>
      </c>
      <c r="D1411" s="22">
        <f>IF($M1411&lt;&gt;"",IF(INDEX(CalcDocA,$M1411)="","—",INDEX(CalcDocA,$M1411)),IF($N1411&lt;&gt;"",INDEX(CalcBankB,$N1411),""))</f>
        <v/>
      </c>
      <c r="E1411" s="23">
        <f>IF($N1411&lt;&gt;"",IF(INDEX(CalcDepB,$N1411)=0,"",INDEX(CalcDepB,$N1411)),"")</f>
        <v/>
      </c>
      <c r="F1411" s="23">
        <f>IF($M1411&lt;&gt;"",IF(INDEX(CalcQtyA,$M1411)=0,"",INDEX(CalcQtyA,$M1411)),"")</f>
        <v/>
      </c>
      <c r="G1411" s="23">
        <f>IF($M1411&lt;&gt;"",IF(INDEX(CalcPriceA,$M1411)=0,"",INDEX(CalcPriceA,$M1411)),"")</f>
        <v/>
      </c>
      <c r="H1411" s="23">
        <f>IF($N1411&lt;&gt;"",IF(INDEX(CalcWitB,$N1411)=0,"",INDEX(CalcWitB,$N1411)),"")</f>
        <v/>
      </c>
      <c r="I1411" s="24">
        <f>IF($M1411&lt;&gt;"",INDEX(CalcAmtA,$M1411),"")</f>
        <v/>
      </c>
      <c r="J1411" s="24">
        <f>IF($B1411="","",IF($J1410="",$C$8,$J1410)+IF($I1411="",0,$I1411)+IF($E1411="",0,$E1411)-IF($H1411="",0,$H1411))</f>
        <v/>
      </c>
      <c r="K1411" s="25">
        <f>IF($M1411&lt;&gt;"",IF(INDEX(CalcNoteA,$M1411)="","—",INDEX(CalcNoteA,$M1411)),IF($N1411&lt;&gt;"",IF(INDEX(CalcNoteB,$N1411)="","—",INDEX(CalcNoteB,$N1411)),""))</f>
        <v/>
      </c>
      <c r="M1411">
        <f>IFERROR(MATCH($C$5&amp;"|"&amp;RIGHT("000000"&amp;1395,6),CalcRankKeyA,0),"")</f>
        <v/>
      </c>
      <c r="N1411">
        <f>IFERROR(MATCH($C$5&amp;"|"&amp;RIGHT("000000"&amp;1395,6),CalcRankKeyB,0),"")</f>
        <v/>
      </c>
    </row>
    <row r="1412">
      <c r="A1412" s="26" t="n">
        <v>1396</v>
      </c>
      <c r="B1412" s="27">
        <f>IF(AND($M1412="",$N1412=""),"",IF($M1412&lt;&gt;"",INDEX(CalcDateA,$M1412),INDEX(CalcDateB,$N1412)))</f>
        <v/>
      </c>
      <c r="C1412" s="27">
        <f>IF($M1412&lt;&gt;"","خرید سبد",IF($N1412&lt;&gt;"",IF(N(INDEX(CalcDepB,$N1412))&gt;0,"دریافت بانکی","پرداخت بانکی"),""))</f>
        <v/>
      </c>
      <c r="D1412" s="27">
        <f>IF($M1412&lt;&gt;"",IF(INDEX(CalcDocA,$M1412)="","—",INDEX(CalcDocA,$M1412)),IF($N1412&lt;&gt;"",INDEX(CalcBankB,$N1412),""))</f>
        <v/>
      </c>
      <c r="E1412" s="28">
        <f>IF($N1412&lt;&gt;"",IF(INDEX(CalcDepB,$N1412)=0,"",INDEX(CalcDepB,$N1412)),"")</f>
        <v/>
      </c>
      <c r="F1412" s="28">
        <f>IF($M1412&lt;&gt;"",IF(INDEX(CalcQtyA,$M1412)=0,"",INDEX(CalcQtyA,$M1412)),"")</f>
        <v/>
      </c>
      <c r="G1412" s="28">
        <f>IF($M1412&lt;&gt;"",IF(INDEX(CalcPriceA,$M1412)=0,"",INDEX(CalcPriceA,$M1412)),"")</f>
        <v/>
      </c>
      <c r="H1412" s="28">
        <f>IF($N1412&lt;&gt;"",IF(INDEX(CalcWitB,$N1412)=0,"",INDEX(CalcWitB,$N1412)),"")</f>
        <v/>
      </c>
      <c r="I1412" s="29">
        <f>IF($M1412&lt;&gt;"",INDEX(CalcAmtA,$M1412),"")</f>
        <v/>
      </c>
      <c r="J1412" s="29">
        <f>IF($B1412="","",IF($J1411="",$C$8,$J1411)+IF($I1412="",0,$I1412)+IF($E1412="",0,$E1412)-IF($H1412="",0,$H1412))</f>
        <v/>
      </c>
      <c r="K1412" s="30">
        <f>IF($M1412&lt;&gt;"",IF(INDEX(CalcNoteA,$M1412)="","—",INDEX(CalcNoteA,$M1412)),IF($N1412&lt;&gt;"",IF(INDEX(CalcNoteB,$N1412)="","—",INDEX(CalcNoteB,$N1412)),""))</f>
        <v/>
      </c>
      <c r="M1412">
        <f>IFERROR(MATCH($C$5&amp;"|"&amp;RIGHT("000000"&amp;1396,6),CalcRankKeyA,0),"")</f>
        <v/>
      </c>
      <c r="N1412">
        <f>IFERROR(MATCH($C$5&amp;"|"&amp;RIGHT("000000"&amp;1396,6),CalcRankKeyB,0),"")</f>
        <v/>
      </c>
    </row>
    <row r="1413">
      <c r="A1413" s="21" t="n">
        <v>1397</v>
      </c>
      <c r="B1413" s="22">
        <f>IF(AND($M1413="",$N1413=""),"",IF($M1413&lt;&gt;"",INDEX(CalcDateA,$M1413),INDEX(CalcDateB,$N1413)))</f>
        <v/>
      </c>
      <c r="C1413" s="22">
        <f>IF($M1413&lt;&gt;"","خرید سبد",IF($N1413&lt;&gt;"",IF(N(INDEX(CalcDepB,$N1413))&gt;0,"دریافت بانکی","پرداخت بانکی"),""))</f>
        <v/>
      </c>
      <c r="D1413" s="22">
        <f>IF($M1413&lt;&gt;"",IF(INDEX(CalcDocA,$M1413)="","—",INDEX(CalcDocA,$M1413)),IF($N1413&lt;&gt;"",INDEX(CalcBankB,$N1413),""))</f>
        <v/>
      </c>
      <c r="E1413" s="23">
        <f>IF($N1413&lt;&gt;"",IF(INDEX(CalcDepB,$N1413)=0,"",INDEX(CalcDepB,$N1413)),"")</f>
        <v/>
      </c>
      <c r="F1413" s="23">
        <f>IF($M1413&lt;&gt;"",IF(INDEX(CalcQtyA,$M1413)=0,"",INDEX(CalcQtyA,$M1413)),"")</f>
        <v/>
      </c>
      <c r="G1413" s="23">
        <f>IF($M1413&lt;&gt;"",IF(INDEX(CalcPriceA,$M1413)=0,"",INDEX(CalcPriceA,$M1413)),"")</f>
        <v/>
      </c>
      <c r="H1413" s="23">
        <f>IF($N1413&lt;&gt;"",IF(INDEX(CalcWitB,$N1413)=0,"",INDEX(CalcWitB,$N1413)),"")</f>
        <v/>
      </c>
      <c r="I1413" s="24">
        <f>IF($M1413&lt;&gt;"",INDEX(CalcAmtA,$M1413),"")</f>
        <v/>
      </c>
      <c r="J1413" s="24">
        <f>IF($B1413="","",IF($J1412="",$C$8,$J1412)+IF($I1413="",0,$I1413)+IF($E1413="",0,$E1413)-IF($H1413="",0,$H1413))</f>
        <v/>
      </c>
      <c r="K1413" s="25">
        <f>IF($M1413&lt;&gt;"",IF(INDEX(CalcNoteA,$M1413)="","—",INDEX(CalcNoteA,$M1413)),IF($N1413&lt;&gt;"",IF(INDEX(CalcNoteB,$N1413)="","—",INDEX(CalcNoteB,$N1413)),""))</f>
        <v/>
      </c>
      <c r="M1413">
        <f>IFERROR(MATCH($C$5&amp;"|"&amp;RIGHT("000000"&amp;1397,6),CalcRankKeyA,0),"")</f>
        <v/>
      </c>
      <c r="N1413">
        <f>IFERROR(MATCH($C$5&amp;"|"&amp;RIGHT("000000"&amp;1397,6),CalcRankKeyB,0),"")</f>
        <v/>
      </c>
    </row>
    <row r="1414">
      <c r="A1414" s="26" t="n">
        <v>1398</v>
      </c>
      <c r="B1414" s="27">
        <f>IF(AND($M1414="",$N1414=""),"",IF($M1414&lt;&gt;"",INDEX(CalcDateA,$M1414),INDEX(CalcDateB,$N1414)))</f>
        <v/>
      </c>
      <c r="C1414" s="27">
        <f>IF($M1414&lt;&gt;"","خرید سبد",IF($N1414&lt;&gt;"",IF(N(INDEX(CalcDepB,$N1414))&gt;0,"دریافت بانکی","پرداخت بانکی"),""))</f>
        <v/>
      </c>
      <c r="D1414" s="27">
        <f>IF($M1414&lt;&gt;"",IF(INDEX(CalcDocA,$M1414)="","—",INDEX(CalcDocA,$M1414)),IF($N1414&lt;&gt;"",INDEX(CalcBankB,$N1414),""))</f>
        <v/>
      </c>
      <c r="E1414" s="28">
        <f>IF($N1414&lt;&gt;"",IF(INDEX(CalcDepB,$N1414)=0,"",INDEX(CalcDepB,$N1414)),"")</f>
        <v/>
      </c>
      <c r="F1414" s="28">
        <f>IF($M1414&lt;&gt;"",IF(INDEX(CalcQtyA,$M1414)=0,"",INDEX(CalcQtyA,$M1414)),"")</f>
        <v/>
      </c>
      <c r="G1414" s="28">
        <f>IF($M1414&lt;&gt;"",IF(INDEX(CalcPriceA,$M1414)=0,"",INDEX(CalcPriceA,$M1414)),"")</f>
        <v/>
      </c>
      <c r="H1414" s="28">
        <f>IF($N1414&lt;&gt;"",IF(INDEX(CalcWitB,$N1414)=0,"",INDEX(CalcWitB,$N1414)),"")</f>
        <v/>
      </c>
      <c r="I1414" s="29">
        <f>IF($M1414&lt;&gt;"",INDEX(CalcAmtA,$M1414),"")</f>
        <v/>
      </c>
      <c r="J1414" s="29">
        <f>IF($B1414="","",IF($J1413="",$C$8,$J1413)+IF($I1414="",0,$I1414)+IF($E1414="",0,$E1414)-IF($H1414="",0,$H1414))</f>
        <v/>
      </c>
      <c r="K1414" s="30">
        <f>IF($M1414&lt;&gt;"",IF(INDEX(CalcNoteA,$M1414)="","—",INDEX(CalcNoteA,$M1414)),IF($N1414&lt;&gt;"",IF(INDEX(CalcNoteB,$N1414)="","—",INDEX(CalcNoteB,$N1414)),""))</f>
        <v/>
      </c>
      <c r="M1414">
        <f>IFERROR(MATCH($C$5&amp;"|"&amp;RIGHT("000000"&amp;1398,6),CalcRankKeyA,0),"")</f>
        <v/>
      </c>
      <c r="N1414">
        <f>IFERROR(MATCH($C$5&amp;"|"&amp;RIGHT("000000"&amp;1398,6),CalcRankKeyB,0),"")</f>
        <v/>
      </c>
    </row>
    <row r="1415">
      <c r="A1415" s="21" t="n">
        <v>1399</v>
      </c>
      <c r="B1415" s="22">
        <f>IF(AND($M1415="",$N1415=""),"",IF($M1415&lt;&gt;"",INDEX(CalcDateA,$M1415),INDEX(CalcDateB,$N1415)))</f>
        <v/>
      </c>
      <c r="C1415" s="22">
        <f>IF($M1415&lt;&gt;"","خرید سبد",IF($N1415&lt;&gt;"",IF(N(INDEX(CalcDepB,$N1415))&gt;0,"دریافت بانکی","پرداخت بانکی"),""))</f>
        <v/>
      </c>
      <c r="D1415" s="22">
        <f>IF($M1415&lt;&gt;"",IF(INDEX(CalcDocA,$M1415)="","—",INDEX(CalcDocA,$M1415)),IF($N1415&lt;&gt;"",INDEX(CalcBankB,$N1415),""))</f>
        <v/>
      </c>
      <c r="E1415" s="23">
        <f>IF($N1415&lt;&gt;"",IF(INDEX(CalcDepB,$N1415)=0,"",INDEX(CalcDepB,$N1415)),"")</f>
        <v/>
      </c>
      <c r="F1415" s="23">
        <f>IF($M1415&lt;&gt;"",IF(INDEX(CalcQtyA,$M1415)=0,"",INDEX(CalcQtyA,$M1415)),"")</f>
        <v/>
      </c>
      <c r="G1415" s="23">
        <f>IF($M1415&lt;&gt;"",IF(INDEX(CalcPriceA,$M1415)=0,"",INDEX(CalcPriceA,$M1415)),"")</f>
        <v/>
      </c>
      <c r="H1415" s="23">
        <f>IF($N1415&lt;&gt;"",IF(INDEX(CalcWitB,$N1415)=0,"",INDEX(CalcWitB,$N1415)),"")</f>
        <v/>
      </c>
      <c r="I1415" s="24">
        <f>IF($M1415&lt;&gt;"",INDEX(CalcAmtA,$M1415),"")</f>
        <v/>
      </c>
      <c r="J1415" s="24">
        <f>IF($B1415="","",IF($J1414="",$C$8,$J1414)+IF($I1415="",0,$I1415)+IF($E1415="",0,$E1415)-IF($H1415="",0,$H1415))</f>
        <v/>
      </c>
      <c r="K1415" s="25">
        <f>IF($M1415&lt;&gt;"",IF(INDEX(CalcNoteA,$M1415)="","—",INDEX(CalcNoteA,$M1415)),IF($N1415&lt;&gt;"",IF(INDEX(CalcNoteB,$N1415)="","—",INDEX(CalcNoteB,$N1415)),""))</f>
        <v/>
      </c>
      <c r="M1415">
        <f>IFERROR(MATCH($C$5&amp;"|"&amp;RIGHT("000000"&amp;1399,6),CalcRankKeyA,0),"")</f>
        <v/>
      </c>
      <c r="N1415">
        <f>IFERROR(MATCH($C$5&amp;"|"&amp;RIGHT("000000"&amp;1399,6),CalcRankKeyB,0),"")</f>
        <v/>
      </c>
    </row>
    <row r="1416">
      <c r="A1416" s="26" t="n">
        <v>1400</v>
      </c>
      <c r="B1416" s="27">
        <f>IF(AND($M1416="",$N1416=""),"",IF($M1416&lt;&gt;"",INDEX(CalcDateA,$M1416),INDEX(CalcDateB,$N1416)))</f>
        <v/>
      </c>
      <c r="C1416" s="27">
        <f>IF($M1416&lt;&gt;"","خرید سبد",IF($N1416&lt;&gt;"",IF(N(INDEX(CalcDepB,$N1416))&gt;0,"دریافت بانکی","پرداخت بانکی"),""))</f>
        <v/>
      </c>
      <c r="D1416" s="27">
        <f>IF($M1416&lt;&gt;"",IF(INDEX(CalcDocA,$M1416)="","—",INDEX(CalcDocA,$M1416)),IF($N1416&lt;&gt;"",INDEX(CalcBankB,$N1416),""))</f>
        <v/>
      </c>
      <c r="E1416" s="28">
        <f>IF($N1416&lt;&gt;"",IF(INDEX(CalcDepB,$N1416)=0,"",INDEX(CalcDepB,$N1416)),"")</f>
        <v/>
      </c>
      <c r="F1416" s="28">
        <f>IF($M1416&lt;&gt;"",IF(INDEX(CalcQtyA,$M1416)=0,"",INDEX(CalcQtyA,$M1416)),"")</f>
        <v/>
      </c>
      <c r="G1416" s="28">
        <f>IF($M1416&lt;&gt;"",IF(INDEX(CalcPriceA,$M1416)=0,"",INDEX(CalcPriceA,$M1416)),"")</f>
        <v/>
      </c>
      <c r="H1416" s="28">
        <f>IF($N1416&lt;&gt;"",IF(INDEX(CalcWitB,$N1416)=0,"",INDEX(CalcWitB,$N1416)),"")</f>
        <v/>
      </c>
      <c r="I1416" s="29">
        <f>IF($M1416&lt;&gt;"",INDEX(CalcAmtA,$M1416),"")</f>
        <v/>
      </c>
      <c r="J1416" s="29">
        <f>IF($B1416="","",IF($J1415="",$C$8,$J1415)+IF($I1416="",0,$I1416)+IF($E1416="",0,$E1416)-IF($H1416="",0,$H1416))</f>
        <v/>
      </c>
      <c r="K1416" s="30">
        <f>IF($M1416&lt;&gt;"",IF(INDEX(CalcNoteA,$M1416)="","—",INDEX(CalcNoteA,$M1416)),IF($N1416&lt;&gt;"",IF(INDEX(CalcNoteB,$N1416)="","—",INDEX(CalcNoteB,$N1416)),""))</f>
        <v/>
      </c>
      <c r="M1416">
        <f>IFERROR(MATCH($C$5&amp;"|"&amp;RIGHT("000000"&amp;1400,6),CalcRankKeyA,0),"")</f>
        <v/>
      </c>
      <c r="N1416">
        <f>IFERROR(MATCH($C$5&amp;"|"&amp;RIGHT("000000"&amp;1400,6),CalcRankKeyB,0),"")</f>
        <v/>
      </c>
    </row>
    <row r="1417">
      <c r="A1417" s="21" t="n">
        <v>1401</v>
      </c>
      <c r="B1417" s="22">
        <f>IF(AND($M1417="",$N1417=""),"",IF($M1417&lt;&gt;"",INDEX(CalcDateA,$M1417),INDEX(CalcDateB,$N1417)))</f>
        <v/>
      </c>
      <c r="C1417" s="22">
        <f>IF($M1417&lt;&gt;"","خرید سبد",IF($N1417&lt;&gt;"",IF(N(INDEX(CalcDepB,$N1417))&gt;0,"دریافت بانکی","پرداخت بانکی"),""))</f>
        <v/>
      </c>
      <c r="D1417" s="22">
        <f>IF($M1417&lt;&gt;"",IF(INDEX(CalcDocA,$M1417)="","—",INDEX(CalcDocA,$M1417)),IF($N1417&lt;&gt;"",INDEX(CalcBankB,$N1417),""))</f>
        <v/>
      </c>
      <c r="E1417" s="23">
        <f>IF($N1417&lt;&gt;"",IF(INDEX(CalcDepB,$N1417)=0,"",INDEX(CalcDepB,$N1417)),"")</f>
        <v/>
      </c>
      <c r="F1417" s="23">
        <f>IF($M1417&lt;&gt;"",IF(INDEX(CalcQtyA,$M1417)=0,"",INDEX(CalcQtyA,$M1417)),"")</f>
        <v/>
      </c>
      <c r="G1417" s="23">
        <f>IF($M1417&lt;&gt;"",IF(INDEX(CalcPriceA,$M1417)=0,"",INDEX(CalcPriceA,$M1417)),"")</f>
        <v/>
      </c>
      <c r="H1417" s="23">
        <f>IF($N1417&lt;&gt;"",IF(INDEX(CalcWitB,$N1417)=0,"",INDEX(CalcWitB,$N1417)),"")</f>
        <v/>
      </c>
      <c r="I1417" s="24">
        <f>IF($M1417&lt;&gt;"",INDEX(CalcAmtA,$M1417),"")</f>
        <v/>
      </c>
      <c r="J1417" s="24">
        <f>IF($B1417="","",IF($J1416="",$C$8,$J1416)+IF($I1417="",0,$I1417)+IF($E1417="",0,$E1417)-IF($H1417="",0,$H1417))</f>
        <v/>
      </c>
      <c r="K1417" s="25">
        <f>IF($M1417&lt;&gt;"",IF(INDEX(CalcNoteA,$M1417)="","—",INDEX(CalcNoteA,$M1417)),IF($N1417&lt;&gt;"",IF(INDEX(CalcNoteB,$N1417)="","—",INDEX(CalcNoteB,$N1417)),""))</f>
        <v/>
      </c>
      <c r="M1417">
        <f>IFERROR(MATCH($C$5&amp;"|"&amp;RIGHT("000000"&amp;1401,6),CalcRankKeyA,0),"")</f>
        <v/>
      </c>
      <c r="N1417">
        <f>IFERROR(MATCH($C$5&amp;"|"&amp;RIGHT("000000"&amp;1401,6),CalcRankKeyB,0),"")</f>
        <v/>
      </c>
    </row>
    <row r="1418">
      <c r="A1418" s="26" t="n">
        <v>1402</v>
      </c>
      <c r="B1418" s="27">
        <f>IF(AND($M1418="",$N1418=""),"",IF($M1418&lt;&gt;"",INDEX(CalcDateA,$M1418),INDEX(CalcDateB,$N1418)))</f>
        <v/>
      </c>
      <c r="C1418" s="27">
        <f>IF($M1418&lt;&gt;"","خرید سبد",IF($N1418&lt;&gt;"",IF(N(INDEX(CalcDepB,$N1418))&gt;0,"دریافت بانکی","پرداخت بانکی"),""))</f>
        <v/>
      </c>
      <c r="D1418" s="27">
        <f>IF($M1418&lt;&gt;"",IF(INDEX(CalcDocA,$M1418)="","—",INDEX(CalcDocA,$M1418)),IF($N1418&lt;&gt;"",INDEX(CalcBankB,$N1418),""))</f>
        <v/>
      </c>
      <c r="E1418" s="28">
        <f>IF($N1418&lt;&gt;"",IF(INDEX(CalcDepB,$N1418)=0,"",INDEX(CalcDepB,$N1418)),"")</f>
        <v/>
      </c>
      <c r="F1418" s="28">
        <f>IF($M1418&lt;&gt;"",IF(INDEX(CalcQtyA,$M1418)=0,"",INDEX(CalcQtyA,$M1418)),"")</f>
        <v/>
      </c>
      <c r="G1418" s="28">
        <f>IF($M1418&lt;&gt;"",IF(INDEX(CalcPriceA,$M1418)=0,"",INDEX(CalcPriceA,$M1418)),"")</f>
        <v/>
      </c>
      <c r="H1418" s="28">
        <f>IF($N1418&lt;&gt;"",IF(INDEX(CalcWitB,$N1418)=0,"",INDEX(CalcWitB,$N1418)),"")</f>
        <v/>
      </c>
      <c r="I1418" s="29">
        <f>IF($M1418&lt;&gt;"",INDEX(CalcAmtA,$M1418),"")</f>
        <v/>
      </c>
      <c r="J1418" s="29">
        <f>IF($B1418="","",IF($J1417="",$C$8,$J1417)+IF($I1418="",0,$I1418)+IF($E1418="",0,$E1418)-IF($H1418="",0,$H1418))</f>
        <v/>
      </c>
      <c r="K1418" s="30">
        <f>IF($M1418&lt;&gt;"",IF(INDEX(CalcNoteA,$M1418)="","—",INDEX(CalcNoteA,$M1418)),IF($N1418&lt;&gt;"",IF(INDEX(CalcNoteB,$N1418)="","—",INDEX(CalcNoteB,$N1418)),""))</f>
        <v/>
      </c>
      <c r="M1418">
        <f>IFERROR(MATCH($C$5&amp;"|"&amp;RIGHT("000000"&amp;1402,6),CalcRankKeyA,0),"")</f>
        <v/>
      </c>
      <c r="N1418">
        <f>IFERROR(MATCH($C$5&amp;"|"&amp;RIGHT("000000"&amp;1402,6),CalcRankKeyB,0),"")</f>
        <v/>
      </c>
    </row>
    <row r="1419">
      <c r="A1419" s="21" t="n">
        <v>1403</v>
      </c>
      <c r="B1419" s="22">
        <f>IF(AND($M1419="",$N1419=""),"",IF($M1419&lt;&gt;"",INDEX(CalcDateA,$M1419),INDEX(CalcDateB,$N1419)))</f>
        <v/>
      </c>
      <c r="C1419" s="22">
        <f>IF($M1419&lt;&gt;"","خرید سبد",IF($N1419&lt;&gt;"",IF(N(INDEX(CalcDepB,$N1419))&gt;0,"دریافت بانکی","پرداخت بانکی"),""))</f>
        <v/>
      </c>
      <c r="D1419" s="22">
        <f>IF($M1419&lt;&gt;"",IF(INDEX(CalcDocA,$M1419)="","—",INDEX(CalcDocA,$M1419)),IF($N1419&lt;&gt;"",INDEX(CalcBankB,$N1419),""))</f>
        <v/>
      </c>
      <c r="E1419" s="23">
        <f>IF($N1419&lt;&gt;"",IF(INDEX(CalcDepB,$N1419)=0,"",INDEX(CalcDepB,$N1419)),"")</f>
        <v/>
      </c>
      <c r="F1419" s="23">
        <f>IF($M1419&lt;&gt;"",IF(INDEX(CalcQtyA,$M1419)=0,"",INDEX(CalcQtyA,$M1419)),"")</f>
        <v/>
      </c>
      <c r="G1419" s="23">
        <f>IF($M1419&lt;&gt;"",IF(INDEX(CalcPriceA,$M1419)=0,"",INDEX(CalcPriceA,$M1419)),"")</f>
        <v/>
      </c>
      <c r="H1419" s="23">
        <f>IF($N1419&lt;&gt;"",IF(INDEX(CalcWitB,$N1419)=0,"",INDEX(CalcWitB,$N1419)),"")</f>
        <v/>
      </c>
      <c r="I1419" s="24">
        <f>IF($M1419&lt;&gt;"",INDEX(CalcAmtA,$M1419),"")</f>
        <v/>
      </c>
      <c r="J1419" s="24">
        <f>IF($B1419="","",IF($J1418="",$C$8,$J1418)+IF($I1419="",0,$I1419)+IF($E1419="",0,$E1419)-IF($H1419="",0,$H1419))</f>
        <v/>
      </c>
      <c r="K1419" s="25">
        <f>IF($M1419&lt;&gt;"",IF(INDEX(CalcNoteA,$M1419)="","—",INDEX(CalcNoteA,$M1419)),IF($N1419&lt;&gt;"",IF(INDEX(CalcNoteB,$N1419)="","—",INDEX(CalcNoteB,$N1419)),""))</f>
        <v/>
      </c>
      <c r="M1419">
        <f>IFERROR(MATCH($C$5&amp;"|"&amp;RIGHT("000000"&amp;1403,6),CalcRankKeyA,0),"")</f>
        <v/>
      </c>
      <c r="N1419">
        <f>IFERROR(MATCH($C$5&amp;"|"&amp;RIGHT("000000"&amp;1403,6),CalcRankKeyB,0),"")</f>
        <v/>
      </c>
    </row>
    <row r="1420">
      <c r="A1420" s="26" t="n">
        <v>1404</v>
      </c>
      <c r="B1420" s="27">
        <f>IF(AND($M1420="",$N1420=""),"",IF($M1420&lt;&gt;"",INDEX(CalcDateA,$M1420),INDEX(CalcDateB,$N1420)))</f>
        <v/>
      </c>
      <c r="C1420" s="27">
        <f>IF($M1420&lt;&gt;"","خرید سبد",IF($N1420&lt;&gt;"",IF(N(INDEX(CalcDepB,$N1420))&gt;0,"دریافت بانکی","پرداخت بانکی"),""))</f>
        <v/>
      </c>
      <c r="D1420" s="27">
        <f>IF($M1420&lt;&gt;"",IF(INDEX(CalcDocA,$M1420)="","—",INDEX(CalcDocA,$M1420)),IF($N1420&lt;&gt;"",INDEX(CalcBankB,$N1420),""))</f>
        <v/>
      </c>
      <c r="E1420" s="28">
        <f>IF($N1420&lt;&gt;"",IF(INDEX(CalcDepB,$N1420)=0,"",INDEX(CalcDepB,$N1420)),"")</f>
        <v/>
      </c>
      <c r="F1420" s="28">
        <f>IF($M1420&lt;&gt;"",IF(INDEX(CalcQtyA,$M1420)=0,"",INDEX(CalcQtyA,$M1420)),"")</f>
        <v/>
      </c>
      <c r="G1420" s="28">
        <f>IF($M1420&lt;&gt;"",IF(INDEX(CalcPriceA,$M1420)=0,"",INDEX(CalcPriceA,$M1420)),"")</f>
        <v/>
      </c>
      <c r="H1420" s="28">
        <f>IF($N1420&lt;&gt;"",IF(INDEX(CalcWitB,$N1420)=0,"",INDEX(CalcWitB,$N1420)),"")</f>
        <v/>
      </c>
      <c r="I1420" s="29">
        <f>IF($M1420&lt;&gt;"",INDEX(CalcAmtA,$M1420),"")</f>
        <v/>
      </c>
      <c r="J1420" s="29">
        <f>IF($B1420="","",IF($J1419="",$C$8,$J1419)+IF($I1420="",0,$I1420)+IF($E1420="",0,$E1420)-IF($H1420="",0,$H1420))</f>
        <v/>
      </c>
      <c r="K1420" s="30">
        <f>IF($M1420&lt;&gt;"",IF(INDEX(CalcNoteA,$M1420)="","—",INDEX(CalcNoteA,$M1420)),IF($N1420&lt;&gt;"",IF(INDEX(CalcNoteB,$N1420)="","—",INDEX(CalcNoteB,$N1420)),""))</f>
        <v/>
      </c>
      <c r="M1420">
        <f>IFERROR(MATCH($C$5&amp;"|"&amp;RIGHT("000000"&amp;1404,6),CalcRankKeyA,0),"")</f>
        <v/>
      </c>
      <c r="N1420">
        <f>IFERROR(MATCH($C$5&amp;"|"&amp;RIGHT("000000"&amp;1404,6),CalcRankKeyB,0),"")</f>
        <v/>
      </c>
    </row>
    <row r="1421">
      <c r="A1421" s="21" t="n">
        <v>1405</v>
      </c>
      <c r="B1421" s="22">
        <f>IF(AND($M1421="",$N1421=""),"",IF($M1421&lt;&gt;"",INDEX(CalcDateA,$M1421),INDEX(CalcDateB,$N1421)))</f>
        <v/>
      </c>
      <c r="C1421" s="22">
        <f>IF($M1421&lt;&gt;"","خرید سبد",IF($N1421&lt;&gt;"",IF(N(INDEX(CalcDepB,$N1421))&gt;0,"دریافت بانکی","پرداخت بانکی"),""))</f>
        <v/>
      </c>
      <c r="D1421" s="22">
        <f>IF($M1421&lt;&gt;"",IF(INDEX(CalcDocA,$M1421)="","—",INDEX(CalcDocA,$M1421)),IF($N1421&lt;&gt;"",INDEX(CalcBankB,$N1421),""))</f>
        <v/>
      </c>
      <c r="E1421" s="23">
        <f>IF($N1421&lt;&gt;"",IF(INDEX(CalcDepB,$N1421)=0,"",INDEX(CalcDepB,$N1421)),"")</f>
        <v/>
      </c>
      <c r="F1421" s="23">
        <f>IF($M1421&lt;&gt;"",IF(INDEX(CalcQtyA,$M1421)=0,"",INDEX(CalcQtyA,$M1421)),"")</f>
        <v/>
      </c>
      <c r="G1421" s="23">
        <f>IF($M1421&lt;&gt;"",IF(INDEX(CalcPriceA,$M1421)=0,"",INDEX(CalcPriceA,$M1421)),"")</f>
        <v/>
      </c>
      <c r="H1421" s="23">
        <f>IF($N1421&lt;&gt;"",IF(INDEX(CalcWitB,$N1421)=0,"",INDEX(CalcWitB,$N1421)),"")</f>
        <v/>
      </c>
      <c r="I1421" s="24">
        <f>IF($M1421&lt;&gt;"",INDEX(CalcAmtA,$M1421),"")</f>
        <v/>
      </c>
      <c r="J1421" s="24">
        <f>IF($B1421="","",IF($J1420="",$C$8,$J1420)+IF($I1421="",0,$I1421)+IF($E1421="",0,$E1421)-IF($H1421="",0,$H1421))</f>
        <v/>
      </c>
      <c r="K1421" s="25">
        <f>IF($M1421&lt;&gt;"",IF(INDEX(CalcNoteA,$M1421)="","—",INDEX(CalcNoteA,$M1421)),IF($N1421&lt;&gt;"",IF(INDEX(CalcNoteB,$N1421)="","—",INDEX(CalcNoteB,$N1421)),""))</f>
        <v/>
      </c>
      <c r="M1421">
        <f>IFERROR(MATCH($C$5&amp;"|"&amp;RIGHT("000000"&amp;1405,6),CalcRankKeyA,0),"")</f>
        <v/>
      </c>
      <c r="N1421">
        <f>IFERROR(MATCH($C$5&amp;"|"&amp;RIGHT("000000"&amp;1405,6),CalcRankKeyB,0),"")</f>
        <v/>
      </c>
    </row>
    <row r="1422">
      <c r="A1422" s="26" t="n">
        <v>1406</v>
      </c>
      <c r="B1422" s="27">
        <f>IF(AND($M1422="",$N1422=""),"",IF($M1422&lt;&gt;"",INDEX(CalcDateA,$M1422),INDEX(CalcDateB,$N1422)))</f>
        <v/>
      </c>
      <c r="C1422" s="27">
        <f>IF($M1422&lt;&gt;"","خرید سبد",IF($N1422&lt;&gt;"",IF(N(INDEX(CalcDepB,$N1422))&gt;0,"دریافت بانکی","پرداخت بانکی"),""))</f>
        <v/>
      </c>
      <c r="D1422" s="27">
        <f>IF($M1422&lt;&gt;"",IF(INDEX(CalcDocA,$M1422)="","—",INDEX(CalcDocA,$M1422)),IF($N1422&lt;&gt;"",INDEX(CalcBankB,$N1422),""))</f>
        <v/>
      </c>
      <c r="E1422" s="28">
        <f>IF($N1422&lt;&gt;"",IF(INDEX(CalcDepB,$N1422)=0,"",INDEX(CalcDepB,$N1422)),"")</f>
        <v/>
      </c>
      <c r="F1422" s="28">
        <f>IF($M1422&lt;&gt;"",IF(INDEX(CalcQtyA,$M1422)=0,"",INDEX(CalcQtyA,$M1422)),"")</f>
        <v/>
      </c>
      <c r="G1422" s="28">
        <f>IF($M1422&lt;&gt;"",IF(INDEX(CalcPriceA,$M1422)=0,"",INDEX(CalcPriceA,$M1422)),"")</f>
        <v/>
      </c>
      <c r="H1422" s="28">
        <f>IF($N1422&lt;&gt;"",IF(INDEX(CalcWitB,$N1422)=0,"",INDEX(CalcWitB,$N1422)),"")</f>
        <v/>
      </c>
      <c r="I1422" s="29">
        <f>IF($M1422&lt;&gt;"",INDEX(CalcAmtA,$M1422),"")</f>
        <v/>
      </c>
      <c r="J1422" s="29">
        <f>IF($B1422="","",IF($J1421="",$C$8,$J1421)+IF($I1422="",0,$I1422)+IF($E1422="",0,$E1422)-IF($H1422="",0,$H1422))</f>
        <v/>
      </c>
      <c r="K1422" s="30">
        <f>IF($M1422&lt;&gt;"",IF(INDEX(CalcNoteA,$M1422)="","—",INDEX(CalcNoteA,$M1422)),IF($N1422&lt;&gt;"",IF(INDEX(CalcNoteB,$N1422)="","—",INDEX(CalcNoteB,$N1422)),""))</f>
        <v/>
      </c>
      <c r="M1422">
        <f>IFERROR(MATCH($C$5&amp;"|"&amp;RIGHT("000000"&amp;1406,6),CalcRankKeyA,0),"")</f>
        <v/>
      </c>
      <c r="N1422">
        <f>IFERROR(MATCH($C$5&amp;"|"&amp;RIGHT("000000"&amp;1406,6),CalcRankKeyB,0),"")</f>
        <v/>
      </c>
    </row>
    <row r="1423">
      <c r="A1423" s="21" t="n">
        <v>1407</v>
      </c>
      <c r="B1423" s="22">
        <f>IF(AND($M1423="",$N1423=""),"",IF($M1423&lt;&gt;"",INDEX(CalcDateA,$M1423),INDEX(CalcDateB,$N1423)))</f>
        <v/>
      </c>
      <c r="C1423" s="22">
        <f>IF($M1423&lt;&gt;"","خرید سبد",IF($N1423&lt;&gt;"",IF(N(INDEX(CalcDepB,$N1423))&gt;0,"دریافت بانکی","پرداخت بانکی"),""))</f>
        <v/>
      </c>
      <c r="D1423" s="22">
        <f>IF($M1423&lt;&gt;"",IF(INDEX(CalcDocA,$M1423)="","—",INDEX(CalcDocA,$M1423)),IF($N1423&lt;&gt;"",INDEX(CalcBankB,$N1423),""))</f>
        <v/>
      </c>
      <c r="E1423" s="23">
        <f>IF($N1423&lt;&gt;"",IF(INDEX(CalcDepB,$N1423)=0,"",INDEX(CalcDepB,$N1423)),"")</f>
        <v/>
      </c>
      <c r="F1423" s="23">
        <f>IF($M1423&lt;&gt;"",IF(INDEX(CalcQtyA,$M1423)=0,"",INDEX(CalcQtyA,$M1423)),"")</f>
        <v/>
      </c>
      <c r="G1423" s="23">
        <f>IF($M1423&lt;&gt;"",IF(INDEX(CalcPriceA,$M1423)=0,"",INDEX(CalcPriceA,$M1423)),"")</f>
        <v/>
      </c>
      <c r="H1423" s="23">
        <f>IF($N1423&lt;&gt;"",IF(INDEX(CalcWitB,$N1423)=0,"",INDEX(CalcWitB,$N1423)),"")</f>
        <v/>
      </c>
      <c r="I1423" s="24">
        <f>IF($M1423&lt;&gt;"",INDEX(CalcAmtA,$M1423),"")</f>
        <v/>
      </c>
      <c r="J1423" s="24">
        <f>IF($B1423="","",IF($J1422="",$C$8,$J1422)+IF($I1423="",0,$I1423)+IF($E1423="",0,$E1423)-IF($H1423="",0,$H1423))</f>
        <v/>
      </c>
      <c r="K1423" s="25">
        <f>IF($M1423&lt;&gt;"",IF(INDEX(CalcNoteA,$M1423)="","—",INDEX(CalcNoteA,$M1423)),IF($N1423&lt;&gt;"",IF(INDEX(CalcNoteB,$N1423)="","—",INDEX(CalcNoteB,$N1423)),""))</f>
        <v/>
      </c>
      <c r="M1423">
        <f>IFERROR(MATCH($C$5&amp;"|"&amp;RIGHT("000000"&amp;1407,6),CalcRankKeyA,0),"")</f>
        <v/>
      </c>
      <c r="N1423">
        <f>IFERROR(MATCH($C$5&amp;"|"&amp;RIGHT("000000"&amp;1407,6),CalcRankKeyB,0),"")</f>
        <v/>
      </c>
    </row>
    <row r="1424">
      <c r="A1424" s="26" t="n">
        <v>1408</v>
      </c>
      <c r="B1424" s="27">
        <f>IF(AND($M1424="",$N1424=""),"",IF($M1424&lt;&gt;"",INDEX(CalcDateA,$M1424),INDEX(CalcDateB,$N1424)))</f>
        <v/>
      </c>
      <c r="C1424" s="27">
        <f>IF($M1424&lt;&gt;"","خرید سبد",IF($N1424&lt;&gt;"",IF(N(INDEX(CalcDepB,$N1424))&gt;0,"دریافت بانکی","پرداخت بانکی"),""))</f>
        <v/>
      </c>
      <c r="D1424" s="27">
        <f>IF($M1424&lt;&gt;"",IF(INDEX(CalcDocA,$M1424)="","—",INDEX(CalcDocA,$M1424)),IF($N1424&lt;&gt;"",INDEX(CalcBankB,$N1424),""))</f>
        <v/>
      </c>
      <c r="E1424" s="28">
        <f>IF($N1424&lt;&gt;"",IF(INDEX(CalcDepB,$N1424)=0,"",INDEX(CalcDepB,$N1424)),"")</f>
        <v/>
      </c>
      <c r="F1424" s="28">
        <f>IF($M1424&lt;&gt;"",IF(INDEX(CalcQtyA,$M1424)=0,"",INDEX(CalcQtyA,$M1424)),"")</f>
        <v/>
      </c>
      <c r="G1424" s="28">
        <f>IF($M1424&lt;&gt;"",IF(INDEX(CalcPriceA,$M1424)=0,"",INDEX(CalcPriceA,$M1424)),"")</f>
        <v/>
      </c>
      <c r="H1424" s="28">
        <f>IF($N1424&lt;&gt;"",IF(INDEX(CalcWitB,$N1424)=0,"",INDEX(CalcWitB,$N1424)),"")</f>
        <v/>
      </c>
      <c r="I1424" s="29">
        <f>IF($M1424&lt;&gt;"",INDEX(CalcAmtA,$M1424),"")</f>
        <v/>
      </c>
      <c r="J1424" s="29">
        <f>IF($B1424="","",IF($J1423="",$C$8,$J1423)+IF($I1424="",0,$I1424)+IF($E1424="",0,$E1424)-IF($H1424="",0,$H1424))</f>
        <v/>
      </c>
      <c r="K1424" s="30">
        <f>IF($M1424&lt;&gt;"",IF(INDEX(CalcNoteA,$M1424)="","—",INDEX(CalcNoteA,$M1424)),IF($N1424&lt;&gt;"",IF(INDEX(CalcNoteB,$N1424)="","—",INDEX(CalcNoteB,$N1424)),""))</f>
        <v/>
      </c>
      <c r="M1424">
        <f>IFERROR(MATCH($C$5&amp;"|"&amp;RIGHT("000000"&amp;1408,6),CalcRankKeyA,0),"")</f>
        <v/>
      </c>
      <c r="N1424">
        <f>IFERROR(MATCH($C$5&amp;"|"&amp;RIGHT("000000"&amp;1408,6),CalcRankKeyB,0),"")</f>
        <v/>
      </c>
    </row>
    <row r="1425">
      <c r="A1425" s="21" t="n">
        <v>1409</v>
      </c>
      <c r="B1425" s="22">
        <f>IF(AND($M1425="",$N1425=""),"",IF($M1425&lt;&gt;"",INDEX(CalcDateA,$M1425),INDEX(CalcDateB,$N1425)))</f>
        <v/>
      </c>
      <c r="C1425" s="22">
        <f>IF($M1425&lt;&gt;"","خرید سبد",IF($N1425&lt;&gt;"",IF(N(INDEX(CalcDepB,$N1425))&gt;0,"دریافت بانکی","پرداخت بانکی"),""))</f>
        <v/>
      </c>
      <c r="D1425" s="22">
        <f>IF($M1425&lt;&gt;"",IF(INDEX(CalcDocA,$M1425)="","—",INDEX(CalcDocA,$M1425)),IF($N1425&lt;&gt;"",INDEX(CalcBankB,$N1425),""))</f>
        <v/>
      </c>
      <c r="E1425" s="23">
        <f>IF($N1425&lt;&gt;"",IF(INDEX(CalcDepB,$N1425)=0,"",INDEX(CalcDepB,$N1425)),"")</f>
        <v/>
      </c>
      <c r="F1425" s="23">
        <f>IF($M1425&lt;&gt;"",IF(INDEX(CalcQtyA,$M1425)=0,"",INDEX(CalcQtyA,$M1425)),"")</f>
        <v/>
      </c>
      <c r="G1425" s="23">
        <f>IF($M1425&lt;&gt;"",IF(INDEX(CalcPriceA,$M1425)=0,"",INDEX(CalcPriceA,$M1425)),"")</f>
        <v/>
      </c>
      <c r="H1425" s="23">
        <f>IF($N1425&lt;&gt;"",IF(INDEX(CalcWitB,$N1425)=0,"",INDEX(CalcWitB,$N1425)),"")</f>
        <v/>
      </c>
      <c r="I1425" s="24">
        <f>IF($M1425&lt;&gt;"",INDEX(CalcAmtA,$M1425),"")</f>
        <v/>
      </c>
      <c r="J1425" s="24">
        <f>IF($B1425="","",IF($J1424="",$C$8,$J1424)+IF($I1425="",0,$I1425)+IF($E1425="",0,$E1425)-IF($H1425="",0,$H1425))</f>
        <v/>
      </c>
      <c r="K1425" s="25">
        <f>IF($M1425&lt;&gt;"",IF(INDEX(CalcNoteA,$M1425)="","—",INDEX(CalcNoteA,$M1425)),IF($N1425&lt;&gt;"",IF(INDEX(CalcNoteB,$N1425)="","—",INDEX(CalcNoteB,$N1425)),""))</f>
        <v/>
      </c>
      <c r="M1425">
        <f>IFERROR(MATCH($C$5&amp;"|"&amp;RIGHT("000000"&amp;1409,6),CalcRankKeyA,0),"")</f>
        <v/>
      </c>
      <c r="N1425">
        <f>IFERROR(MATCH($C$5&amp;"|"&amp;RIGHT("000000"&amp;1409,6),CalcRankKeyB,0),"")</f>
        <v/>
      </c>
    </row>
    <row r="1426">
      <c r="A1426" s="26" t="n">
        <v>1410</v>
      </c>
      <c r="B1426" s="27">
        <f>IF(AND($M1426="",$N1426=""),"",IF($M1426&lt;&gt;"",INDEX(CalcDateA,$M1426),INDEX(CalcDateB,$N1426)))</f>
        <v/>
      </c>
      <c r="C1426" s="27">
        <f>IF($M1426&lt;&gt;"","خرید سبد",IF($N1426&lt;&gt;"",IF(N(INDEX(CalcDepB,$N1426))&gt;0,"دریافت بانکی","پرداخت بانکی"),""))</f>
        <v/>
      </c>
      <c r="D1426" s="27">
        <f>IF($M1426&lt;&gt;"",IF(INDEX(CalcDocA,$M1426)="","—",INDEX(CalcDocA,$M1426)),IF($N1426&lt;&gt;"",INDEX(CalcBankB,$N1426),""))</f>
        <v/>
      </c>
      <c r="E1426" s="28">
        <f>IF($N1426&lt;&gt;"",IF(INDEX(CalcDepB,$N1426)=0,"",INDEX(CalcDepB,$N1426)),"")</f>
        <v/>
      </c>
      <c r="F1426" s="28">
        <f>IF($M1426&lt;&gt;"",IF(INDEX(CalcQtyA,$M1426)=0,"",INDEX(CalcQtyA,$M1426)),"")</f>
        <v/>
      </c>
      <c r="G1426" s="28">
        <f>IF($M1426&lt;&gt;"",IF(INDEX(CalcPriceA,$M1426)=0,"",INDEX(CalcPriceA,$M1426)),"")</f>
        <v/>
      </c>
      <c r="H1426" s="28">
        <f>IF($N1426&lt;&gt;"",IF(INDEX(CalcWitB,$N1426)=0,"",INDEX(CalcWitB,$N1426)),"")</f>
        <v/>
      </c>
      <c r="I1426" s="29">
        <f>IF($M1426&lt;&gt;"",INDEX(CalcAmtA,$M1426),"")</f>
        <v/>
      </c>
      <c r="J1426" s="29">
        <f>IF($B1426="","",IF($J1425="",$C$8,$J1425)+IF($I1426="",0,$I1426)+IF($E1426="",0,$E1426)-IF($H1426="",0,$H1426))</f>
        <v/>
      </c>
      <c r="K1426" s="30">
        <f>IF($M1426&lt;&gt;"",IF(INDEX(CalcNoteA,$M1426)="","—",INDEX(CalcNoteA,$M1426)),IF($N1426&lt;&gt;"",IF(INDEX(CalcNoteB,$N1426)="","—",INDEX(CalcNoteB,$N1426)),""))</f>
        <v/>
      </c>
      <c r="M1426">
        <f>IFERROR(MATCH($C$5&amp;"|"&amp;RIGHT("000000"&amp;1410,6),CalcRankKeyA,0),"")</f>
        <v/>
      </c>
      <c r="N1426">
        <f>IFERROR(MATCH($C$5&amp;"|"&amp;RIGHT("000000"&amp;1410,6),CalcRankKeyB,0),"")</f>
        <v/>
      </c>
    </row>
    <row r="1427">
      <c r="A1427" s="21" t="n">
        <v>1411</v>
      </c>
      <c r="B1427" s="22">
        <f>IF(AND($M1427="",$N1427=""),"",IF($M1427&lt;&gt;"",INDEX(CalcDateA,$M1427),INDEX(CalcDateB,$N1427)))</f>
        <v/>
      </c>
      <c r="C1427" s="22">
        <f>IF($M1427&lt;&gt;"","خرید سبد",IF($N1427&lt;&gt;"",IF(N(INDEX(CalcDepB,$N1427))&gt;0,"دریافت بانکی","پرداخت بانکی"),""))</f>
        <v/>
      </c>
      <c r="D1427" s="22">
        <f>IF($M1427&lt;&gt;"",IF(INDEX(CalcDocA,$M1427)="","—",INDEX(CalcDocA,$M1427)),IF($N1427&lt;&gt;"",INDEX(CalcBankB,$N1427),""))</f>
        <v/>
      </c>
      <c r="E1427" s="23">
        <f>IF($N1427&lt;&gt;"",IF(INDEX(CalcDepB,$N1427)=0,"",INDEX(CalcDepB,$N1427)),"")</f>
        <v/>
      </c>
      <c r="F1427" s="23">
        <f>IF($M1427&lt;&gt;"",IF(INDEX(CalcQtyA,$M1427)=0,"",INDEX(CalcQtyA,$M1427)),"")</f>
        <v/>
      </c>
      <c r="G1427" s="23">
        <f>IF($M1427&lt;&gt;"",IF(INDEX(CalcPriceA,$M1427)=0,"",INDEX(CalcPriceA,$M1427)),"")</f>
        <v/>
      </c>
      <c r="H1427" s="23">
        <f>IF($N1427&lt;&gt;"",IF(INDEX(CalcWitB,$N1427)=0,"",INDEX(CalcWitB,$N1427)),"")</f>
        <v/>
      </c>
      <c r="I1427" s="24">
        <f>IF($M1427&lt;&gt;"",INDEX(CalcAmtA,$M1427),"")</f>
        <v/>
      </c>
      <c r="J1427" s="24">
        <f>IF($B1427="","",IF($J1426="",$C$8,$J1426)+IF($I1427="",0,$I1427)+IF($E1427="",0,$E1427)-IF($H1427="",0,$H1427))</f>
        <v/>
      </c>
      <c r="K1427" s="25">
        <f>IF($M1427&lt;&gt;"",IF(INDEX(CalcNoteA,$M1427)="","—",INDEX(CalcNoteA,$M1427)),IF($N1427&lt;&gt;"",IF(INDEX(CalcNoteB,$N1427)="","—",INDEX(CalcNoteB,$N1427)),""))</f>
        <v/>
      </c>
      <c r="M1427">
        <f>IFERROR(MATCH($C$5&amp;"|"&amp;RIGHT("000000"&amp;1411,6),CalcRankKeyA,0),"")</f>
        <v/>
      </c>
      <c r="N1427">
        <f>IFERROR(MATCH($C$5&amp;"|"&amp;RIGHT("000000"&amp;1411,6),CalcRankKeyB,0),"")</f>
        <v/>
      </c>
    </row>
    <row r="1428">
      <c r="A1428" s="26" t="n">
        <v>1412</v>
      </c>
      <c r="B1428" s="27">
        <f>IF(AND($M1428="",$N1428=""),"",IF($M1428&lt;&gt;"",INDEX(CalcDateA,$M1428),INDEX(CalcDateB,$N1428)))</f>
        <v/>
      </c>
      <c r="C1428" s="27">
        <f>IF($M1428&lt;&gt;"","خرید سبد",IF($N1428&lt;&gt;"",IF(N(INDEX(CalcDepB,$N1428))&gt;0,"دریافت بانکی","پرداخت بانکی"),""))</f>
        <v/>
      </c>
      <c r="D1428" s="27">
        <f>IF($M1428&lt;&gt;"",IF(INDEX(CalcDocA,$M1428)="","—",INDEX(CalcDocA,$M1428)),IF($N1428&lt;&gt;"",INDEX(CalcBankB,$N1428),""))</f>
        <v/>
      </c>
      <c r="E1428" s="28">
        <f>IF($N1428&lt;&gt;"",IF(INDEX(CalcDepB,$N1428)=0,"",INDEX(CalcDepB,$N1428)),"")</f>
        <v/>
      </c>
      <c r="F1428" s="28">
        <f>IF($M1428&lt;&gt;"",IF(INDEX(CalcQtyA,$M1428)=0,"",INDEX(CalcQtyA,$M1428)),"")</f>
        <v/>
      </c>
      <c r="G1428" s="28">
        <f>IF($M1428&lt;&gt;"",IF(INDEX(CalcPriceA,$M1428)=0,"",INDEX(CalcPriceA,$M1428)),"")</f>
        <v/>
      </c>
      <c r="H1428" s="28">
        <f>IF($N1428&lt;&gt;"",IF(INDEX(CalcWitB,$N1428)=0,"",INDEX(CalcWitB,$N1428)),"")</f>
        <v/>
      </c>
      <c r="I1428" s="29">
        <f>IF($M1428&lt;&gt;"",INDEX(CalcAmtA,$M1428),"")</f>
        <v/>
      </c>
      <c r="J1428" s="29">
        <f>IF($B1428="","",IF($J1427="",$C$8,$J1427)+IF($I1428="",0,$I1428)+IF($E1428="",0,$E1428)-IF($H1428="",0,$H1428))</f>
        <v/>
      </c>
      <c r="K1428" s="30">
        <f>IF($M1428&lt;&gt;"",IF(INDEX(CalcNoteA,$M1428)="","—",INDEX(CalcNoteA,$M1428)),IF($N1428&lt;&gt;"",IF(INDEX(CalcNoteB,$N1428)="","—",INDEX(CalcNoteB,$N1428)),""))</f>
        <v/>
      </c>
      <c r="M1428">
        <f>IFERROR(MATCH($C$5&amp;"|"&amp;RIGHT("000000"&amp;1412,6),CalcRankKeyA,0),"")</f>
        <v/>
      </c>
      <c r="N1428">
        <f>IFERROR(MATCH($C$5&amp;"|"&amp;RIGHT("000000"&amp;1412,6),CalcRankKeyB,0),"")</f>
        <v/>
      </c>
    </row>
    <row r="1429">
      <c r="A1429" s="21" t="n">
        <v>1413</v>
      </c>
      <c r="B1429" s="22">
        <f>IF(AND($M1429="",$N1429=""),"",IF($M1429&lt;&gt;"",INDEX(CalcDateA,$M1429),INDEX(CalcDateB,$N1429)))</f>
        <v/>
      </c>
      <c r="C1429" s="22">
        <f>IF($M1429&lt;&gt;"","خرید سبد",IF($N1429&lt;&gt;"",IF(N(INDEX(CalcDepB,$N1429))&gt;0,"دریافت بانکی","پرداخت بانکی"),""))</f>
        <v/>
      </c>
      <c r="D1429" s="22">
        <f>IF($M1429&lt;&gt;"",IF(INDEX(CalcDocA,$M1429)="","—",INDEX(CalcDocA,$M1429)),IF($N1429&lt;&gt;"",INDEX(CalcBankB,$N1429),""))</f>
        <v/>
      </c>
      <c r="E1429" s="23">
        <f>IF($N1429&lt;&gt;"",IF(INDEX(CalcDepB,$N1429)=0,"",INDEX(CalcDepB,$N1429)),"")</f>
        <v/>
      </c>
      <c r="F1429" s="23">
        <f>IF($M1429&lt;&gt;"",IF(INDEX(CalcQtyA,$M1429)=0,"",INDEX(CalcQtyA,$M1429)),"")</f>
        <v/>
      </c>
      <c r="G1429" s="23">
        <f>IF($M1429&lt;&gt;"",IF(INDEX(CalcPriceA,$M1429)=0,"",INDEX(CalcPriceA,$M1429)),"")</f>
        <v/>
      </c>
      <c r="H1429" s="23">
        <f>IF($N1429&lt;&gt;"",IF(INDEX(CalcWitB,$N1429)=0,"",INDEX(CalcWitB,$N1429)),"")</f>
        <v/>
      </c>
      <c r="I1429" s="24">
        <f>IF($M1429&lt;&gt;"",INDEX(CalcAmtA,$M1429),"")</f>
        <v/>
      </c>
      <c r="J1429" s="24">
        <f>IF($B1429="","",IF($J1428="",$C$8,$J1428)+IF($I1429="",0,$I1429)+IF($E1429="",0,$E1429)-IF($H1429="",0,$H1429))</f>
        <v/>
      </c>
      <c r="K1429" s="25">
        <f>IF($M1429&lt;&gt;"",IF(INDEX(CalcNoteA,$M1429)="","—",INDEX(CalcNoteA,$M1429)),IF($N1429&lt;&gt;"",IF(INDEX(CalcNoteB,$N1429)="","—",INDEX(CalcNoteB,$N1429)),""))</f>
        <v/>
      </c>
      <c r="M1429">
        <f>IFERROR(MATCH($C$5&amp;"|"&amp;RIGHT("000000"&amp;1413,6),CalcRankKeyA,0),"")</f>
        <v/>
      </c>
      <c r="N1429">
        <f>IFERROR(MATCH($C$5&amp;"|"&amp;RIGHT("000000"&amp;1413,6),CalcRankKeyB,0),"")</f>
        <v/>
      </c>
    </row>
    <row r="1430">
      <c r="A1430" s="26" t="n">
        <v>1414</v>
      </c>
      <c r="B1430" s="27">
        <f>IF(AND($M1430="",$N1430=""),"",IF($M1430&lt;&gt;"",INDEX(CalcDateA,$M1430),INDEX(CalcDateB,$N1430)))</f>
        <v/>
      </c>
      <c r="C1430" s="27">
        <f>IF($M1430&lt;&gt;"","خرید سبد",IF($N1430&lt;&gt;"",IF(N(INDEX(CalcDepB,$N1430))&gt;0,"دریافت بانکی","پرداخت بانکی"),""))</f>
        <v/>
      </c>
      <c r="D1430" s="27">
        <f>IF($M1430&lt;&gt;"",IF(INDEX(CalcDocA,$M1430)="","—",INDEX(CalcDocA,$M1430)),IF($N1430&lt;&gt;"",INDEX(CalcBankB,$N1430),""))</f>
        <v/>
      </c>
      <c r="E1430" s="28">
        <f>IF($N1430&lt;&gt;"",IF(INDEX(CalcDepB,$N1430)=0,"",INDEX(CalcDepB,$N1430)),"")</f>
        <v/>
      </c>
      <c r="F1430" s="28">
        <f>IF($M1430&lt;&gt;"",IF(INDEX(CalcQtyA,$M1430)=0,"",INDEX(CalcQtyA,$M1430)),"")</f>
        <v/>
      </c>
      <c r="G1430" s="28">
        <f>IF($M1430&lt;&gt;"",IF(INDEX(CalcPriceA,$M1430)=0,"",INDEX(CalcPriceA,$M1430)),"")</f>
        <v/>
      </c>
      <c r="H1430" s="28">
        <f>IF($N1430&lt;&gt;"",IF(INDEX(CalcWitB,$N1430)=0,"",INDEX(CalcWitB,$N1430)),"")</f>
        <v/>
      </c>
      <c r="I1430" s="29">
        <f>IF($M1430&lt;&gt;"",INDEX(CalcAmtA,$M1430),"")</f>
        <v/>
      </c>
      <c r="J1430" s="29">
        <f>IF($B1430="","",IF($J1429="",$C$8,$J1429)+IF($I1430="",0,$I1430)+IF($E1430="",0,$E1430)-IF($H1430="",0,$H1430))</f>
        <v/>
      </c>
      <c r="K1430" s="30">
        <f>IF($M1430&lt;&gt;"",IF(INDEX(CalcNoteA,$M1430)="","—",INDEX(CalcNoteA,$M1430)),IF($N1430&lt;&gt;"",IF(INDEX(CalcNoteB,$N1430)="","—",INDEX(CalcNoteB,$N1430)),""))</f>
        <v/>
      </c>
      <c r="M1430">
        <f>IFERROR(MATCH($C$5&amp;"|"&amp;RIGHT("000000"&amp;1414,6),CalcRankKeyA,0),"")</f>
        <v/>
      </c>
      <c r="N1430">
        <f>IFERROR(MATCH($C$5&amp;"|"&amp;RIGHT("000000"&amp;1414,6),CalcRankKeyB,0),"")</f>
        <v/>
      </c>
    </row>
    <row r="1431">
      <c r="A1431" s="21" t="n">
        <v>1415</v>
      </c>
      <c r="B1431" s="22">
        <f>IF(AND($M1431="",$N1431=""),"",IF($M1431&lt;&gt;"",INDEX(CalcDateA,$M1431),INDEX(CalcDateB,$N1431)))</f>
        <v/>
      </c>
      <c r="C1431" s="22">
        <f>IF($M1431&lt;&gt;"","خرید سبد",IF($N1431&lt;&gt;"",IF(N(INDEX(CalcDepB,$N1431))&gt;0,"دریافت بانکی","پرداخت بانکی"),""))</f>
        <v/>
      </c>
      <c r="D1431" s="22">
        <f>IF($M1431&lt;&gt;"",IF(INDEX(CalcDocA,$M1431)="","—",INDEX(CalcDocA,$M1431)),IF($N1431&lt;&gt;"",INDEX(CalcBankB,$N1431),""))</f>
        <v/>
      </c>
      <c r="E1431" s="23">
        <f>IF($N1431&lt;&gt;"",IF(INDEX(CalcDepB,$N1431)=0,"",INDEX(CalcDepB,$N1431)),"")</f>
        <v/>
      </c>
      <c r="F1431" s="23">
        <f>IF($M1431&lt;&gt;"",IF(INDEX(CalcQtyA,$M1431)=0,"",INDEX(CalcQtyA,$M1431)),"")</f>
        <v/>
      </c>
      <c r="G1431" s="23">
        <f>IF($M1431&lt;&gt;"",IF(INDEX(CalcPriceA,$M1431)=0,"",INDEX(CalcPriceA,$M1431)),"")</f>
        <v/>
      </c>
      <c r="H1431" s="23">
        <f>IF($N1431&lt;&gt;"",IF(INDEX(CalcWitB,$N1431)=0,"",INDEX(CalcWitB,$N1431)),"")</f>
        <v/>
      </c>
      <c r="I1431" s="24">
        <f>IF($M1431&lt;&gt;"",INDEX(CalcAmtA,$M1431),"")</f>
        <v/>
      </c>
      <c r="J1431" s="24">
        <f>IF($B1431="","",IF($J1430="",$C$8,$J1430)+IF($I1431="",0,$I1431)+IF($E1431="",0,$E1431)-IF($H1431="",0,$H1431))</f>
        <v/>
      </c>
      <c r="K1431" s="25">
        <f>IF($M1431&lt;&gt;"",IF(INDEX(CalcNoteA,$M1431)="","—",INDEX(CalcNoteA,$M1431)),IF($N1431&lt;&gt;"",IF(INDEX(CalcNoteB,$N1431)="","—",INDEX(CalcNoteB,$N1431)),""))</f>
        <v/>
      </c>
      <c r="M1431">
        <f>IFERROR(MATCH($C$5&amp;"|"&amp;RIGHT("000000"&amp;1415,6),CalcRankKeyA,0),"")</f>
        <v/>
      </c>
      <c r="N1431">
        <f>IFERROR(MATCH($C$5&amp;"|"&amp;RIGHT("000000"&amp;1415,6),CalcRankKeyB,0),"")</f>
        <v/>
      </c>
    </row>
    <row r="1432">
      <c r="A1432" s="26" t="n">
        <v>1416</v>
      </c>
      <c r="B1432" s="27">
        <f>IF(AND($M1432="",$N1432=""),"",IF($M1432&lt;&gt;"",INDEX(CalcDateA,$M1432),INDEX(CalcDateB,$N1432)))</f>
        <v/>
      </c>
      <c r="C1432" s="27">
        <f>IF($M1432&lt;&gt;"","خرید سبد",IF($N1432&lt;&gt;"",IF(N(INDEX(CalcDepB,$N1432))&gt;0,"دریافت بانکی","پرداخت بانکی"),""))</f>
        <v/>
      </c>
      <c r="D1432" s="27">
        <f>IF($M1432&lt;&gt;"",IF(INDEX(CalcDocA,$M1432)="","—",INDEX(CalcDocA,$M1432)),IF($N1432&lt;&gt;"",INDEX(CalcBankB,$N1432),""))</f>
        <v/>
      </c>
      <c r="E1432" s="28">
        <f>IF($N1432&lt;&gt;"",IF(INDEX(CalcDepB,$N1432)=0,"",INDEX(CalcDepB,$N1432)),"")</f>
        <v/>
      </c>
      <c r="F1432" s="28">
        <f>IF($M1432&lt;&gt;"",IF(INDEX(CalcQtyA,$M1432)=0,"",INDEX(CalcQtyA,$M1432)),"")</f>
        <v/>
      </c>
      <c r="G1432" s="28">
        <f>IF($M1432&lt;&gt;"",IF(INDEX(CalcPriceA,$M1432)=0,"",INDEX(CalcPriceA,$M1432)),"")</f>
        <v/>
      </c>
      <c r="H1432" s="28">
        <f>IF($N1432&lt;&gt;"",IF(INDEX(CalcWitB,$N1432)=0,"",INDEX(CalcWitB,$N1432)),"")</f>
        <v/>
      </c>
      <c r="I1432" s="29">
        <f>IF($M1432&lt;&gt;"",INDEX(CalcAmtA,$M1432),"")</f>
        <v/>
      </c>
      <c r="J1432" s="29">
        <f>IF($B1432="","",IF($J1431="",$C$8,$J1431)+IF($I1432="",0,$I1432)+IF($E1432="",0,$E1432)-IF($H1432="",0,$H1432))</f>
        <v/>
      </c>
      <c r="K1432" s="30">
        <f>IF($M1432&lt;&gt;"",IF(INDEX(CalcNoteA,$M1432)="","—",INDEX(CalcNoteA,$M1432)),IF($N1432&lt;&gt;"",IF(INDEX(CalcNoteB,$N1432)="","—",INDEX(CalcNoteB,$N1432)),""))</f>
        <v/>
      </c>
      <c r="M1432">
        <f>IFERROR(MATCH($C$5&amp;"|"&amp;RIGHT("000000"&amp;1416,6),CalcRankKeyA,0),"")</f>
        <v/>
      </c>
      <c r="N1432">
        <f>IFERROR(MATCH($C$5&amp;"|"&amp;RIGHT("000000"&amp;1416,6),CalcRankKeyB,0),"")</f>
        <v/>
      </c>
    </row>
    <row r="1433">
      <c r="A1433" s="21" t="n">
        <v>1417</v>
      </c>
      <c r="B1433" s="22">
        <f>IF(AND($M1433="",$N1433=""),"",IF($M1433&lt;&gt;"",INDEX(CalcDateA,$M1433),INDEX(CalcDateB,$N1433)))</f>
        <v/>
      </c>
      <c r="C1433" s="22">
        <f>IF($M1433&lt;&gt;"","خرید سبد",IF($N1433&lt;&gt;"",IF(N(INDEX(CalcDepB,$N1433))&gt;0,"دریافت بانکی","پرداخت بانکی"),""))</f>
        <v/>
      </c>
      <c r="D1433" s="22">
        <f>IF($M1433&lt;&gt;"",IF(INDEX(CalcDocA,$M1433)="","—",INDEX(CalcDocA,$M1433)),IF($N1433&lt;&gt;"",INDEX(CalcBankB,$N1433),""))</f>
        <v/>
      </c>
      <c r="E1433" s="23">
        <f>IF($N1433&lt;&gt;"",IF(INDEX(CalcDepB,$N1433)=0,"",INDEX(CalcDepB,$N1433)),"")</f>
        <v/>
      </c>
      <c r="F1433" s="23">
        <f>IF($M1433&lt;&gt;"",IF(INDEX(CalcQtyA,$M1433)=0,"",INDEX(CalcQtyA,$M1433)),"")</f>
        <v/>
      </c>
      <c r="G1433" s="23">
        <f>IF($M1433&lt;&gt;"",IF(INDEX(CalcPriceA,$M1433)=0,"",INDEX(CalcPriceA,$M1433)),"")</f>
        <v/>
      </c>
      <c r="H1433" s="23">
        <f>IF($N1433&lt;&gt;"",IF(INDEX(CalcWitB,$N1433)=0,"",INDEX(CalcWitB,$N1433)),"")</f>
        <v/>
      </c>
      <c r="I1433" s="24">
        <f>IF($M1433&lt;&gt;"",INDEX(CalcAmtA,$M1433),"")</f>
        <v/>
      </c>
      <c r="J1433" s="24">
        <f>IF($B1433="","",IF($J1432="",$C$8,$J1432)+IF($I1433="",0,$I1433)+IF($E1433="",0,$E1433)-IF($H1433="",0,$H1433))</f>
        <v/>
      </c>
      <c r="K1433" s="25">
        <f>IF($M1433&lt;&gt;"",IF(INDEX(CalcNoteA,$M1433)="","—",INDEX(CalcNoteA,$M1433)),IF($N1433&lt;&gt;"",IF(INDEX(CalcNoteB,$N1433)="","—",INDEX(CalcNoteB,$N1433)),""))</f>
        <v/>
      </c>
      <c r="M1433">
        <f>IFERROR(MATCH($C$5&amp;"|"&amp;RIGHT("000000"&amp;1417,6),CalcRankKeyA,0),"")</f>
        <v/>
      </c>
      <c r="N1433">
        <f>IFERROR(MATCH($C$5&amp;"|"&amp;RIGHT("000000"&amp;1417,6),CalcRankKeyB,0),"")</f>
        <v/>
      </c>
    </row>
    <row r="1434">
      <c r="A1434" s="26" t="n">
        <v>1418</v>
      </c>
      <c r="B1434" s="27">
        <f>IF(AND($M1434="",$N1434=""),"",IF($M1434&lt;&gt;"",INDEX(CalcDateA,$M1434),INDEX(CalcDateB,$N1434)))</f>
        <v/>
      </c>
      <c r="C1434" s="27">
        <f>IF($M1434&lt;&gt;"","خرید سبد",IF($N1434&lt;&gt;"",IF(N(INDEX(CalcDepB,$N1434))&gt;0,"دریافت بانکی","پرداخت بانکی"),""))</f>
        <v/>
      </c>
      <c r="D1434" s="27">
        <f>IF($M1434&lt;&gt;"",IF(INDEX(CalcDocA,$M1434)="","—",INDEX(CalcDocA,$M1434)),IF($N1434&lt;&gt;"",INDEX(CalcBankB,$N1434),""))</f>
        <v/>
      </c>
      <c r="E1434" s="28">
        <f>IF($N1434&lt;&gt;"",IF(INDEX(CalcDepB,$N1434)=0,"",INDEX(CalcDepB,$N1434)),"")</f>
        <v/>
      </c>
      <c r="F1434" s="28">
        <f>IF($M1434&lt;&gt;"",IF(INDEX(CalcQtyA,$M1434)=0,"",INDEX(CalcQtyA,$M1434)),"")</f>
        <v/>
      </c>
      <c r="G1434" s="28">
        <f>IF($M1434&lt;&gt;"",IF(INDEX(CalcPriceA,$M1434)=0,"",INDEX(CalcPriceA,$M1434)),"")</f>
        <v/>
      </c>
      <c r="H1434" s="28">
        <f>IF($N1434&lt;&gt;"",IF(INDEX(CalcWitB,$N1434)=0,"",INDEX(CalcWitB,$N1434)),"")</f>
        <v/>
      </c>
      <c r="I1434" s="29">
        <f>IF($M1434&lt;&gt;"",INDEX(CalcAmtA,$M1434),"")</f>
        <v/>
      </c>
      <c r="J1434" s="29">
        <f>IF($B1434="","",IF($J1433="",$C$8,$J1433)+IF($I1434="",0,$I1434)+IF($E1434="",0,$E1434)-IF($H1434="",0,$H1434))</f>
        <v/>
      </c>
      <c r="K1434" s="30">
        <f>IF($M1434&lt;&gt;"",IF(INDEX(CalcNoteA,$M1434)="","—",INDEX(CalcNoteA,$M1434)),IF($N1434&lt;&gt;"",IF(INDEX(CalcNoteB,$N1434)="","—",INDEX(CalcNoteB,$N1434)),""))</f>
        <v/>
      </c>
      <c r="M1434">
        <f>IFERROR(MATCH($C$5&amp;"|"&amp;RIGHT("000000"&amp;1418,6),CalcRankKeyA,0),"")</f>
        <v/>
      </c>
      <c r="N1434">
        <f>IFERROR(MATCH($C$5&amp;"|"&amp;RIGHT("000000"&amp;1418,6),CalcRankKeyB,0),"")</f>
        <v/>
      </c>
    </row>
    <row r="1435">
      <c r="A1435" s="21" t="n">
        <v>1419</v>
      </c>
      <c r="B1435" s="22">
        <f>IF(AND($M1435="",$N1435=""),"",IF($M1435&lt;&gt;"",INDEX(CalcDateA,$M1435),INDEX(CalcDateB,$N1435)))</f>
        <v/>
      </c>
      <c r="C1435" s="22">
        <f>IF($M1435&lt;&gt;"","خرید سبد",IF($N1435&lt;&gt;"",IF(N(INDEX(CalcDepB,$N1435))&gt;0,"دریافت بانکی","پرداخت بانکی"),""))</f>
        <v/>
      </c>
      <c r="D1435" s="22">
        <f>IF($M1435&lt;&gt;"",IF(INDEX(CalcDocA,$M1435)="","—",INDEX(CalcDocA,$M1435)),IF($N1435&lt;&gt;"",INDEX(CalcBankB,$N1435),""))</f>
        <v/>
      </c>
      <c r="E1435" s="23">
        <f>IF($N1435&lt;&gt;"",IF(INDEX(CalcDepB,$N1435)=0,"",INDEX(CalcDepB,$N1435)),"")</f>
        <v/>
      </c>
      <c r="F1435" s="23">
        <f>IF($M1435&lt;&gt;"",IF(INDEX(CalcQtyA,$M1435)=0,"",INDEX(CalcQtyA,$M1435)),"")</f>
        <v/>
      </c>
      <c r="G1435" s="23">
        <f>IF($M1435&lt;&gt;"",IF(INDEX(CalcPriceA,$M1435)=0,"",INDEX(CalcPriceA,$M1435)),"")</f>
        <v/>
      </c>
      <c r="H1435" s="23">
        <f>IF($N1435&lt;&gt;"",IF(INDEX(CalcWitB,$N1435)=0,"",INDEX(CalcWitB,$N1435)),"")</f>
        <v/>
      </c>
      <c r="I1435" s="24">
        <f>IF($M1435&lt;&gt;"",INDEX(CalcAmtA,$M1435),"")</f>
        <v/>
      </c>
      <c r="J1435" s="24">
        <f>IF($B1435="","",IF($J1434="",$C$8,$J1434)+IF($I1435="",0,$I1435)+IF($E1435="",0,$E1435)-IF($H1435="",0,$H1435))</f>
        <v/>
      </c>
      <c r="K1435" s="25">
        <f>IF($M1435&lt;&gt;"",IF(INDEX(CalcNoteA,$M1435)="","—",INDEX(CalcNoteA,$M1435)),IF($N1435&lt;&gt;"",IF(INDEX(CalcNoteB,$N1435)="","—",INDEX(CalcNoteB,$N1435)),""))</f>
        <v/>
      </c>
      <c r="M1435">
        <f>IFERROR(MATCH($C$5&amp;"|"&amp;RIGHT("000000"&amp;1419,6),CalcRankKeyA,0),"")</f>
        <v/>
      </c>
      <c r="N1435">
        <f>IFERROR(MATCH($C$5&amp;"|"&amp;RIGHT("000000"&amp;1419,6),CalcRankKeyB,0),"")</f>
        <v/>
      </c>
    </row>
    <row r="1436">
      <c r="A1436" s="26" t="n">
        <v>1420</v>
      </c>
      <c r="B1436" s="27">
        <f>IF(AND($M1436="",$N1436=""),"",IF($M1436&lt;&gt;"",INDEX(CalcDateA,$M1436),INDEX(CalcDateB,$N1436)))</f>
        <v/>
      </c>
      <c r="C1436" s="27">
        <f>IF($M1436&lt;&gt;"","خرید سبد",IF($N1436&lt;&gt;"",IF(N(INDEX(CalcDepB,$N1436))&gt;0,"دریافت بانکی","پرداخت بانکی"),""))</f>
        <v/>
      </c>
      <c r="D1436" s="27">
        <f>IF($M1436&lt;&gt;"",IF(INDEX(CalcDocA,$M1436)="","—",INDEX(CalcDocA,$M1436)),IF($N1436&lt;&gt;"",INDEX(CalcBankB,$N1436),""))</f>
        <v/>
      </c>
      <c r="E1436" s="28">
        <f>IF($N1436&lt;&gt;"",IF(INDEX(CalcDepB,$N1436)=0,"",INDEX(CalcDepB,$N1436)),"")</f>
        <v/>
      </c>
      <c r="F1436" s="28">
        <f>IF($M1436&lt;&gt;"",IF(INDEX(CalcQtyA,$M1436)=0,"",INDEX(CalcQtyA,$M1436)),"")</f>
        <v/>
      </c>
      <c r="G1436" s="28">
        <f>IF($M1436&lt;&gt;"",IF(INDEX(CalcPriceA,$M1436)=0,"",INDEX(CalcPriceA,$M1436)),"")</f>
        <v/>
      </c>
      <c r="H1436" s="28">
        <f>IF($N1436&lt;&gt;"",IF(INDEX(CalcWitB,$N1436)=0,"",INDEX(CalcWitB,$N1436)),"")</f>
        <v/>
      </c>
      <c r="I1436" s="29">
        <f>IF($M1436&lt;&gt;"",INDEX(CalcAmtA,$M1436),"")</f>
        <v/>
      </c>
      <c r="J1436" s="29">
        <f>IF($B1436="","",IF($J1435="",$C$8,$J1435)+IF($I1436="",0,$I1436)+IF($E1436="",0,$E1436)-IF($H1436="",0,$H1436))</f>
        <v/>
      </c>
      <c r="K1436" s="30">
        <f>IF($M1436&lt;&gt;"",IF(INDEX(CalcNoteA,$M1436)="","—",INDEX(CalcNoteA,$M1436)),IF($N1436&lt;&gt;"",IF(INDEX(CalcNoteB,$N1436)="","—",INDEX(CalcNoteB,$N1436)),""))</f>
        <v/>
      </c>
      <c r="M1436">
        <f>IFERROR(MATCH($C$5&amp;"|"&amp;RIGHT("000000"&amp;1420,6),CalcRankKeyA,0),"")</f>
        <v/>
      </c>
      <c r="N1436">
        <f>IFERROR(MATCH($C$5&amp;"|"&amp;RIGHT("000000"&amp;1420,6),CalcRankKeyB,0),"")</f>
        <v/>
      </c>
    </row>
    <row r="1437">
      <c r="A1437" s="21" t="n">
        <v>1421</v>
      </c>
      <c r="B1437" s="22">
        <f>IF(AND($M1437="",$N1437=""),"",IF($M1437&lt;&gt;"",INDEX(CalcDateA,$M1437),INDEX(CalcDateB,$N1437)))</f>
        <v/>
      </c>
      <c r="C1437" s="22">
        <f>IF($M1437&lt;&gt;"","خرید سبد",IF($N1437&lt;&gt;"",IF(N(INDEX(CalcDepB,$N1437))&gt;0,"دریافت بانکی","پرداخت بانکی"),""))</f>
        <v/>
      </c>
      <c r="D1437" s="22">
        <f>IF($M1437&lt;&gt;"",IF(INDEX(CalcDocA,$M1437)="","—",INDEX(CalcDocA,$M1437)),IF($N1437&lt;&gt;"",INDEX(CalcBankB,$N1437),""))</f>
        <v/>
      </c>
      <c r="E1437" s="23">
        <f>IF($N1437&lt;&gt;"",IF(INDEX(CalcDepB,$N1437)=0,"",INDEX(CalcDepB,$N1437)),"")</f>
        <v/>
      </c>
      <c r="F1437" s="23">
        <f>IF($M1437&lt;&gt;"",IF(INDEX(CalcQtyA,$M1437)=0,"",INDEX(CalcQtyA,$M1437)),"")</f>
        <v/>
      </c>
      <c r="G1437" s="23">
        <f>IF($M1437&lt;&gt;"",IF(INDEX(CalcPriceA,$M1437)=0,"",INDEX(CalcPriceA,$M1437)),"")</f>
        <v/>
      </c>
      <c r="H1437" s="23">
        <f>IF($N1437&lt;&gt;"",IF(INDEX(CalcWitB,$N1437)=0,"",INDEX(CalcWitB,$N1437)),"")</f>
        <v/>
      </c>
      <c r="I1437" s="24">
        <f>IF($M1437&lt;&gt;"",INDEX(CalcAmtA,$M1437),"")</f>
        <v/>
      </c>
      <c r="J1437" s="24">
        <f>IF($B1437="","",IF($J1436="",$C$8,$J1436)+IF($I1437="",0,$I1437)+IF($E1437="",0,$E1437)-IF($H1437="",0,$H1437))</f>
        <v/>
      </c>
      <c r="K1437" s="25">
        <f>IF($M1437&lt;&gt;"",IF(INDEX(CalcNoteA,$M1437)="","—",INDEX(CalcNoteA,$M1437)),IF($N1437&lt;&gt;"",IF(INDEX(CalcNoteB,$N1437)="","—",INDEX(CalcNoteB,$N1437)),""))</f>
        <v/>
      </c>
      <c r="M1437">
        <f>IFERROR(MATCH($C$5&amp;"|"&amp;RIGHT("000000"&amp;1421,6),CalcRankKeyA,0),"")</f>
        <v/>
      </c>
      <c r="N1437">
        <f>IFERROR(MATCH($C$5&amp;"|"&amp;RIGHT("000000"&amp;1421,6),CalcRankKeyB,0),"")</f>
        <v/>
      </c>
    </row>
    <row r="1438">
      <c r="A1438" s="26" t="n">
        <v>1422</v>
      </c>
      <c r="B1438" s="27">
        <f>IF(AND($M1438="",$N1438=""),"",IF($M1438&lt;&gt;"",INDEX(CalcDateA,$M1438),INDEX(CalcDateB,$N1438)))</f>
        <v/>
      </c>
      <c r="C1438" s="27">
        <f>IF($M1438&lt;&gt;"","خرید سبد",IF($N1438&lt;&gt;"",IF(N(INDEX(CalcDepB,$N1438))&gt;0,"دریافت بانکی","پرداخت بانکی"),""))</f>
        <v/>
      </c>
      <c r="D1438" s="27">
        <f>IF($M1438&lt;&gt;"",IF(INDEX(CalcDocA,$M1438)="","—",INDEX(CalcDocA,$M1438)),IF($N1438&lt;&gt;"",INDEX(CalcBankB,$N1438),""))</f>
        <v/>
      </c>
      <c r="E1438" s="28">
        <f>IF($N1438&lt;&gt;"",IF(INDEX(CalcDepB,$N1438)=0,"",INDEX(CalcDepB,$N1438)),"")</f>
        <v/>
      </c>
      <c r="F1438" s="28">
        <f>IF($M1438&lt;&gt;"",IF(INDEX(CalcQtyA,$M1438)=0,"",INDEX(CalcQtyA,$M1438)),"")</f>
        <v/>
      </c>
      <c r="G1438" s="28">
        <f>IF($M1438&lt;&gt;"",IF(INDEX(CalcPriceA,$M1438)=0,"",INDEX(CalcPriceA,$M1438)),"")</f>
        <v/>
      </c>
      <c r="H1438" s="28">
        <f>IF($N1438&lt;&gt;"",IF(INDEX(CalcWitB,$N1438)=0,"",INDEX(CalcWitB,$N1438)),"")</f>
        <v/>
      </c>
      <c r="I1438" s="29">
        <f>IF($M1438&lt;&gt;"",INDEX(CalcAmtA,$M1438),"")</f>
        <v/>
      </c>
      <c r="J1438" s="29">
        <f>IF($B1438="","",IF($J1437="",$C$8,$J1437)+IF($I1438="",0,$I1438)+IF($E1438="",0,$E1438)-IF($H1438="",0,$H1438))</f>
        <v/>
      </c>
      <c r="K1438" s="30">
        <f>IF($M1438&lt;&gt;"",IF(INDEX(CalcNoteA,$M1438)="","—",INDEX(CalcNoteA,$M1438)),IF($N1438&lt;&gt;"",IF(INDEX(CalcNoteB,$N1438)="","—",INDEX(CalcNoteB,$N1438)),""))</f>
        <v/>
      </c>
      <c r="M1438">
        <f>IFERROR(MATCH($C$5&amp;"|"&amp;RIGHT("000000"&amp;1422,6),CalcRankKeyA,0),"")</f>
        <v/>
      </c>
      <c r="N1438">
        <f>IFERROR(MATCH($C$5&amp;"|"&amp;RIGHT("000000"&amp;1422,6),CalcRankKeyB,0),"")</f>
        <v/>
      </c>
    </row>
    <row r="1439">
      <c r="A1439" s="21" t="n">
        <v>1423</v>
      </c>
      <c r="B1439" s="22">
        <f>IF(AND($M1439="",$N1439=""),"",IF($M1439&lt;&gt;"",INDEX(CalcDateA,$M1439),INDEX(CalcDateB,$N1439)))</f>
        <v/>
      </c>
      <c r="C1439" s="22">
        <f>IF($M1439&lt;&gt;"","خرید سبد",IF($N1439&lt;&gt;"",IF(N(INDEX(CalcDepB,$N1439))&gt;0,"دریافت بانکی","پرداخت بانکی"),""))</f>
        <v/>
      </c>
      <c r="D1439" s="22">
        <f>IF($M1439&lt;&gt;"",IF(INDEX(CalcDocA,$M1439)="","—",INDEX(CalcDocA,$M1439)),IF($N1439&lt;&gt;"",INDEX(CalcBankB,$N1439),""))</f>
        <v/>
      </c>
      <c r="E1439" s="23">
        <f>IF($N1439&lt;&gt;"",IF(INDEX(CalcDepB,$N1439)=0,"",INDEX(CalcDepB,$N1439)),"")</f>
        <v/>
      </c>
      <c r="F1439" s="23">
        <f>IF($M1439&lt;&gt;"",IF(INDEX(CalcQtyA,$M1439)=0,"",INDEX(CalcQtyA,$M1439)),"")</f>
        <v/>
      </c>
      <c r="G1439" s="23">
        <f>IF($M1439&lt;&gt;"",IF(INDEX(CalcPriceA,$M1439)=0,"",INDEX(CalcPriceA,$M1439)),"")</f>
        <v/>
      </c>
      <c r="H1439" s="23">
        <f>IF($N1439&lt;&gt;"",IF(INDEX(CalcWitB,$N1439)=0,"",INDEX(CalcWitB,$N1439)),"")</f>
        <v/>
      </c>
      <c r="I1439" s="24">
        <f>IF($M1439&lt;&gt;"",INDEX(CalcAmtA,$M1439),"")</f>
        <v/>
      </c>
      <c r="J1439" s="24">
        <f>IF($B1439="","",IF($J1438="",$C$8,$J1438)+IF($I1439="",0,$I1439)+IF($E1439="",0,$E1439)-IF($H1439="",0,$H1439))</f>
        <v/>
      </c>
      <c r="K1439" s="25">
        <f>IF($M1439&lt;&gt;"",IF(INDEX(CalcNoteA,$M1439)="","—",INDEX(CalcNoteA,$M1439)),IF($N1439&lt;&gt;"",IF(INDEX(CalcNoteB,$N1439)="","—",INDEX(CalcNoteB,$N1439)),""))</f>
        <v/>
      </c>
      <c r="M1439">
        <f>IFERROR(MATCH($C$5&amp;"|"&amp;RIGHT("000000"&amp;1423,6),CalcRankKeyA,0),"")</f>
        <v/>
      </c>
      <c r="N1439">
        <f>IFERROR(MATCH($C$5&amp;"|"&amp;RIGHT("000000"&amp;1423,6),CalcRankKeyB,0),"")</f>
        <v/>
      </c>
    </row>
    <row r="1440">
      <c r="A1440" s="26" t="n">
        <v>1424</v>
      </c>
      <c r="B1440" s="27">
        <f>IF(AND($M1440="",$N1440=""),"",IF($M1440&lt;&gt;"",INDEX(CalcDateA,$M1440),INDEX(CalcDateB,$N1440)))</f>
        <v/>
      </c>
      <c r="C1440" s="27">
        <f>IF($M1440&lt;&gt;"","خرید سبد",IF($N1440&lt;&gt;"",IF(N(INDEX(CalcDepB,$N1440))&gt;0,"دریافت بانکی","پرداخت بانکی"),""))</f>
        <v/>
      </c>
      <c r="D1440" s="27">
        <f>IF($M1440&lt;&gt;"",IF(INDEX(CalcDocA,$M1440)="","—",INDEX(CalcDocA,$M1440)),IF($N1440&lt;&gt;"",INDEX(CalcBankB,$N1440),""))</f>
        <v/>
      </c>
      <c r="E1440" s="28">
        <f>IF($N1440&lt;&gt;"",IF(INDEX(CalcDepB,$N1440)=0,"",INDEX(CalcDepB,$N1440)),"")</f>
        <v/>
      </c>
      <c r="F1440" s="28">
        <f>IF($M1440&lt;&gt;"",IF(INDEX(CalcQtyA,$M1440)=0,"",INDEX(CalcQtyA,$M1440)),"")</f>
        <v/>
      </c>
      <c r="G1440" s="28">
        <f>IF($M1440&lt;&gt;"",IF(INDEX(CalcPriceA,$M1440)=0,"",INDEX(CalcPriceA,$M1440)),"")</f>
        <v/>
      </c>
      <c r="H1440" s="28">
        <f>IF($N1440&lt;&gt;"",IF(INDEX(CalcWitB,$N1440)=0,"",INDEX(CalcWitB,$N1440)),"")</f>
        <v/>
      </c>
      <c r="I1440" s="29">
        <f>IF($M1440&lt;&gt;"",INDEX(CalcAmtA,$M1440),"")</f>
        <v/>
      </c>
      <c r="J1440" s="29">
        <f>IF($B1440="","",IF($J1439="",$C$8,$J1439)+IF($I1440="",0,$I1440)+IF($E1440="",0,$E1440)-IF($H1440="",0,$H1440))</f>
        <v/>
      </c>
      <c r="K1440" s="30">
        <f>IF($M1440&lt;&gt;"",IF(INDEX(CalcNoteA,$M1440)="","—",INDEX(CalcNoteA,$M1440)),IF($N1440&lt;&gt;"",IF(INDEX(CalcNoteB,$N1440)="","—",INDEX(CalcNoteB,$N1440)),""))</f>
        <v/>
      </c>
      <c r="M1440">
        <f>IFERROR(MATCH($C$5&amp;"|"&amp;RIGHT("000000"&amp;1424,6),CalcRankKeyA,0),"")</f>
        <v/>
      </c>
      <c r="N1440">
        <f>IFERROR(MATCH($C$5&amp;"|"&amp;RIGHT("000000"&amp;1424,6),CalcRankKeyB,0),"")</f>
        <v/>
      </c>
    </row>
    <row r="1441">
      <c r="A1441" s="21" t="n">
        <v>1425</v>
      </c>
      <c r="B1441" s="22">
        <f>IF(AND($M1441="",$N1441=""),"",IF($M1441&lt;&gt;"",INDEX(CalcDateA,$M1441),INDEX(CalcDateB,$N1441)))</f>
        <v/>
      </c>
      <c r="C1441" s="22">
        <f>IF($M1441&lt;&gt;"","خرید سبد",IF($N1441&lt;&gt;"",IF(N(INDEX(CalcDepB,$N1441))&gt;0,"دریافت بانکی","پرداخت بانکی"),""))</f>
        <v/>
      </c>
      <c r="D1441" s="22">
        <f>IF($M1441&lt;&gt;"",IF(INDEX(CalcDocA,$M1441)="","—",INDEX(CalcDocA,$M1441)),IF($N1441&lt;&gt;"",INDEX(CalcBankB,$N1441),""))</f>
        <v/>
      </c>
      <c r="E1441" s="23">
        <f>IF($N1441&lt;&gt;"",IF(INDEX(CalcDepB,$N1441)=0,"",INDEX(CalcDepB,$N1441)),"")</f>
        <v/>
      </c>
      <c r="F1441" s="23">
        <f>IF($M1441&lt;&gt;"",IF(INDEX(CalcQtyA,$M1441)=0,"",INDEX(CalcQtyA,$M1441)),"")</f>
        <v/>
      </c>
      <c r="G1441" s="23">
        <f>IF($M1441&lt;&gt;"",IF(INDEX(CalcPriceA,$M1441)=0,"",INDEX(CalcPriceA,$M1441)),"")</f>
        <v/>
      </c>
      <c r="H1441" s="23">
        <f>IF($N1441&lt;&gt;"",IF(INDEX(CalcWitB,$N1441)=0,"",INDEX(CalcWitB,$N1441)),"")</f>
        <v/>
      </c>
      <c r="I1441" s="24">
        <f>IF($M1441&lt;&gt;"",INDEX(CalcAmtA,$M1441),"")</f>
        <v/>
      </c>
      <c r="J1441" s="24">
        <f>IF($B1441="","",IF($J1440="",$C$8,$J1440)+IF($I1441="",0,$I1441)+IF($E1441="",0,$E1441)-IF($H1441="",0,$H1441))</f>
        <v/>
      </c>
      <c r="K1441" s="25">
        <f>IF($M1441&lt;&gt;"",IF(INDEX(CalcNoteA,$M1441)="","—",INDEX(CalcNoteA,$M1441)),IF($N1441&lt;&gt;"",IF(INDEX(CalcNoteB,$N1441)="","—",INDEX(CalcNoteB,$N1441)),""))</f>
        <v/>
      </c>
      <c r="M1441">
        <f>IFERROR(MATCH($C$5&amp;"|"&amp;RIGHT("000000"&amp;1425,6),CalcRankKeyA,0),"")</f>
        <v/>
      </c>
      <c r="N1441">
        <f>IFERROR(MATCH($C$5&amp;"|"&amp;RIGHT("000000"&amp;1425,6),CalcRankKeyB,0),"")</f>
        <v/>
      </c>
    </row>
    <row r="1442">
      <c r="A1442" s="26" t="n">
        <v>1426</v>
      </c>
      <c r="B1442" s="27">
        <f>IF(AND($M1442="",$N1442=""),"",IF($M1442&lt;&gt;"",INDEX(CalcDateA,$M1442),INDEX(CalcDateB,$N1442)))</f>
        <v/>
      </c>
      <c r="C1442" s="27">
        <f>IF($M1442&lt;&gt;"","خرید سبد",IF($N1442&lt;&gt;"",IF(N(INDEX(CalcDepB,$N1442))&gt;0,"دریافت بانکی","پرداخت بانکی"),""))</f>
        <v/>
      </c>
      <c r="D1442" s="27">
        <f>IF($M1442&lt;&gt;"",IF(INDEX(CalcDocA,$M1442)="","—",INDEX(CalcDocA,$M1442)),IF($N1442&lt;&gt;"",INDEX(CalcBankB,$N1442),""))</f>
        <v/>
      </c>
      <c r="E1442" s="28">
        <f>IF($N1442&lt;&gt;"",IF(INDEX(CalcDepB,$N1442)=0,"",INDEX(CalcDepB,$N1442)),"")</f>
        <v/>
      </c>
      <c r="F1442" s="28">
        <f>IF($M1442&lt;&gt;"",IF(INDEX(CalcQtyA,$M1442)=0,"",INDEX(CalcQtyA,$M1442)),"")</f>
        <v/>
      </c>
      <c r="G1442" s="28">
        <f>IF($M1442&lt;&gt;"",IF(INDEX(CalcPriceA,$M1442)=0,"",INDEX(CalcPriceA,$M1442)),"")</f>
        <v/>
      </c>
      <c r="H1442" s="28">
        <f>IF($N1442&lt;&gt;"",IF(INDEX(CalcWitB,$N1442)=0,"",INDEX(CalcWitB,$N1442)),"")</f>
        <v/>
      </c>
      <c r="I1442" s="29">
        <f>IF($M1442&lt;&gt;"",INDEX(CalcAmtA,$M1442),"")</f>
        <v/>
      </c>
      <c r="J1442" s="29">
        <f>IF($B1442="","",IF($J1441="",$C$8,$J1441)+IF($I1442="",0,$I1442)+IF($E1442="",0,$E1442)-IF($H1442="",0,$H1442))</f>
        <v/>
      </c>
      <c r="K1442" s="30">
        <f>IF($M1442&lt;&gt;"",IF(INDEX(CalcNoteA,$M1442)="","—",INDEX(CalcNoteA,$M1442)),IF($N1442&lt;&gt;"",IF(INDEX(CalcNoteB,$N1442)="","—",INDEX(CalcNoteB,$N1442)),""))</f>
        <v/>
      </c>
      <c r="M1442">
        <f>IFERROR(MATCH($C$5&amp;"|"&amp;RIGHT("000000"&amp;1426,6),CalcRankKeyA,0),"")</f>
        <v/>
      </c>
      <c r="N1442">
        <f>IFERROR(MATCH($C$5&amp;"|"&amp;RIGHT("000000"&amp;1426,6),CalcRankKeyB,0),"")</f>
        <v/>
      </c>
    </row>
    <row r="1443">
      <c r="A1443" s="21" t="n">
        <v>1427</v>
      </c>
      <c r="B1443" s="22">
        <f>IF(AND($M1443="",$N1443=""),"",IF($M1443&lt;&gt;"",INDEX(CalcDateA,$M1443),INDEX(CalcDateB,$N1443)))</f>
        <v/>
      </c>
      <c r="C1443" s="22">
        <f>IF($M1443&lt;&gt;"","خرید سبد",IF($N1443&lt;&gt;"",IF(N(INDEX(CalcDepB,$N1443))&gt;0,"دریافت بانکی","پرداخت بانکی"),""))</f>
        <v/>
      </c>
      <c r="D1443" s="22">
        <f>IF($M1443&lt;&gt;"",IF(INDEX(CalcDocA,$M1443)="","—",INDEX(CalcDocA,$M1443)),IF($N1443&lt;&gt;"",INDEX(CalcBankB,$N1443),""))</f>
        <v/>
      </c>
      <c r="E1443" s="23">
        <f>IF($N1443&lt;&gt;"",IF(INDEX(CalcDepB,$N1443)=0,"",INDEX(CalcDepB,$N1443)),"")</f>
        <v/>
      </c>
      <c r="F1443" s="23">
        <f>IF($M1443&lt;&gt;"",IF(INDEX(CalcQtyA,$M1443)=0,"",INDEX(CalcQtyA,$M1443)),"")</f>
        <v/>
      </c>
      <c r="G1443" s="23">
        <f>IF($M1443&lt;&gt;"",IF(INDEX(CalcPriceA,$M1443)=0,"",INDEX(CalcPriceA,$M1443)),"")</f>
        <v/>
      </c>
      <c r="H1443" s="23">
        <f>IF($N1443&lt;&gt;"",IF(INDEX(CalcWitB,$N1443)=0,"",INDEX(CalcWitB,$N1443)),"")</f>
        <v/>
      </c>
      <c r="I1443" s="24">
        <f>IF($M1443&lt;&gt;"",INDEX(CalcAmtA,$M1443),"")</f>
        <v/>
      </c>
      <c r="J1443" s="24">
        <f>IF($B1443="","",IF($J1442="",$C$8,$J1442)+IF($I1443="",0,$I1443)+IF($E1443="",0,$E1443)-IF($H1443="",0,$H1443))</f>
        <v/>
      </c>
      <c r="K1443" s="25">
        <f>IF($M1443&lt;&gt;"",IF(INDEX(CalcNoteA,$M1443)="","—",INDEX(CalcNoteA,$M1443)),IF($N1443&lt;&gt;"",IF(INDEX(CalcNoteB,$N1443)="","—",INDEX(CalcNoteB,$N1443)),""))</f>
        <v/>
      </c>
      <c r="M1443">
        <f>IFERROR(MATCH($C$5&amp;"|"&amp;RIGHT("000000"&amp;1427,6),CalcRankKeyA,0),"")</f>
        <v/>
      </c>
      <c r="N1443">
        <f>IFERROR(MATCH($C$5&amp;"|"&amp;RIGHT("000000"&amp;1427,6),CalcRankKeyB,0),"")</f>
        <v/>
      </c>
    </row>
    <row r="1444">
      <c r="A1444" s="26" t="n">
        <v>1428</v>
      </c>
      <c r="B1444" s="27">
        <f>IF(AND($M1444="",$N1444=""),"",IF($M1444&lt;&gt;"",INDEX(CalcDateA,$M1444),INDEX(CalcDateB,$N1444)))</f>
        <v/>
      </c>
      <c r="C1444" s="27">
        <f>IF($M1444&lt;&gt;"","خرید سبد",IF($N1444&lt;&gt;"",IF(N(INDEX(CalcDepB,$N1444))&gt;0,"دریافت بانکی","پرداخت بانکی"),""))</f>
        <v/>
      </c>
      <c r="D1444" s="27">
        <f>IF($M1444&lt;&gt;"",IF(INDEX(CalcDocA,$M1444)="","—",INDEX(CalcDocA,$M1444)),IF($N1444&lt;&gt;"",INDEX(CalcBankB,$N1444),""))</f>
        <v/>
      </c>
      <c r="E1444" s="28">
        <f>IF($N1444&lt;&gt;"",IF(INDEX(CalcDepB,$N1444)=0,"",INDEX(CalcDepB,$N1444)),"")</f>
        <v/>
      </c>
      <c r="F1444" s="28">
        <f>IF($M1444&lt;&gt;"",IF(INDEX(CalcQtyA,$M1444)=0,"",INDEX(CalcQtyA,$M1444)),"")</f>
        <v/>
      </c>
      <c r="G1444" s="28">
        <f>IF($M1444&lt;&gt;"",IF(INDEX(CalcPriceA,$M1444)=0,"",INDEX(CalcPriceA,$M1444)),"")</f>
        <v/>
      </c>
      <c r="H1444" s="28">
        <f>IF($N1444&lt;&gt;"",IF(INDEX(CalcWitB,$N1444)=0,"",INDEX(CalcWitB,$N1444)),"")</f>
        <v/>
      </c>
      <c r="I1444" s="29">
        <f>IF($M1444&lt;&gt;"",INDEX(CalcAmtA,$M1444),"")</f>
        <v/>
      </c>
      <c r="J1444" s="29">
        <f>IF($B1444="","",IF($J1443="",$C$8,$J1443)+IF($I1444="",0,$I1444)+IF($E1444="",0,$E1444)-IF($H1444="",0,$H1444))</f>
        <v/>
      </c>
      <c r="K1444" s="30">
        <f>IF($M1444&lt;&gt;"",IF(INDEX(CalcNoteA,$M1444)="","—",INDEX(CalcNoteA,$M1444)),IF($N1444&lt;&gt;"",IF(INDEX(CalcNoteB,$N1444)="","—",INDEX(CalcNoteB,$N1444)),""))</f>
        <v/>
      </c>
      <c r="M1444">
        <f>IFERROR(MATCH($C$5&amp;"|"&amp;RIGHT("000000"&amp;1428,6),CalcRankKeyA,0),"")</f>
        <v/>
      </c>
      <c r="N1444">
        <f>IFERROR(MATCH($C$5&amp;"|"&amp;RIGHT("000000"&amp;1428,6),CalcRankKeyB,0),"")</f>
        <v/>
      </c>
    </row>
    <row r="1445">
      <c r="A1445" s="21" t="n">
        <v>1429</v>
      </c>
      <c r="B1445" s="22">
        <f>IF(AND($M1445="",$N1445=""),"",IF($M1445&lt;&gt;"",INDEX(CalcDateA,$M1445),INDEX(CalcDateB,$N1445)))</f>
        <v/>
      </c>
      <c r="C1445" s="22">
        <f>IF($M1445&lt;&gt;"","خرید سبد",IF($N1445&lt;&gt;"",IF(N(INDEX(CalcDepB,$N1445))&gt;0,"دریافت بانکی","پرداخت بانکی"),""))</f>
        <v/>
      </c>
      <c r="D1445" s="22">
        <f>IF($M1445&lt;&gt;"",IF(INDEX(CalcDocA,$M1445)="","—",INDEX(CalcDocA,$M1445)),IF($N1445&lt;&gt;"",INDEX(CalcBankB,$N1445),""))</f>
        <v/>
      </c>
      <c r="E1445" s="23">
        <f>IF($N1445&lt;&gt;"",IF(INDEX(CalcDepB,$N1445)=0,"",INDEX(CalcDepB,$N1445)),"")</f>
        <v/>
      </c>
      <c r="F1445" s="23">
        <f>IF($M1445&lt;&gt;"",IF(INDEX(CalcQtyA,$M1445)=0,"",INDEX(CalcQtyA,$M1445)),"")</f>
        <v/>
      </c>
      <c r="G1445" s="23">
        <f>IF($M1445&lt;&gt;"",IF(INDEX(CalcPriceA,$M1445)=0,"",INDEX(CalcPriceA,$M1445)),"")</f>
        <v/>
      </c>
      <c r="H1445" s="23">
        <f>IF($N1445&lt;&gt;"",IF(INDEX(CalcWitB,$N1445)=0,"",INDEX(CalcWitB,$N1445)),"")</f>
        <v/>
      </c>
      <c r="I1445" s="24">
        <f>IF($M1445&lt;&gt;"",INDEX(CalcAmtA,$M1445),"")</f>
        <v/>
      </c>
      <c r="J1445" s="24">
        <f>IF($B1445="","",IF($J1444="",$C$8,$J1444)+IF($I1445="",0,$I1445)+IF($E1445="",0,$E1445)-IF($H1445="",0,$H1445))</f>
        <v/>
      </c>
      <c r="K1445" s="25">
        <f>IF($M1445&lt;&gt;"",IF(INDEX(CalcNoteA,$M1445)="","—",INDEX(CalcNoteA,$M1445)),IF($N1445&lt;&gt;"",IF(INDEX(CalcNoteB,$N1445)="","—",INDEX(CalcNoteB,$N1445)),""))</f>
        <v/>
      </c>
      <c r="M1445">
        <f>IFERROR(MATCH($C$5&amp;"|"&amp;RIGHT("000000"&amp;1429,6),CalcRankKeyA,0),"")</f>
        <v/>
      </c>
      <c r="N1445">
        <f>IFERROR(MATCH($C$5&amp;"|"&amp;RIGHT("000000"&amp;1429,6),CalcRankKeyB,0),"")</f>
        <v/>
      </c>
    </row>
    <row r="1446">
      <c r="A1446" s="26" t="n">
        <v>1430</v>
      </c>
      <c r="B1446" s="27">
        <f>IF(AND($M1446="",$N1446=""),"",IF($M1446&lt;&gt;"",INDEX(CalcDateA,$M1446),INDEX(CalcDateB,$N1446)))</f>
        <v/>
      </c>
      <c r="C1446" s="27">
        <f>IF($M1446&lt;&gt;"","خرید سبد",IF($N1446&lt;&gt;"",IF(N(INDEX(CalcDepB,$N1446))&gt;0,"دریافت بانکی","پرداخت بانکی"),""))</f>
        <v/>
      </c>
      <c r="D1446" s="27">
        <f>IF($M1446&lt;&gt;"",IF(INDEX(CalcDocA,$M1446)="","—",INDEX(CalcDocA,$M1446)),IF($N1446&lt;&gt;"",INDEX(CalcBankB,$N1446),""))</f>
        <v/>
      </c>
      <c r="E1446" s="28">
        <f>IF($N1446&lt;&gt;"",IF(INDEX(CalcDepB,$N1446)=0,"",INDEX(CalcDepB,$N1446)),"")</f>
        <v/>
      </c>
      <c r="F1446" s="28">
        <f>IF($M1446&lt;&gt;"",IF(INDEX(CalcQtyA,$M1446)=0,"",INDEX(CalcQtyA,$M1446)),"")</f>
        <v/>
      </c>
      <c r="G1446" s="28">
        <f>IF($M1446&lt;&gt;"",IF(INDEX(CalcPriceA,$M1446)=0,"",INDEX(CalcPriceA,$M1446)),"")</f>
        <v/>
      </c>
      <c r="H1446" s="28">
        <f>IF($N1446&lt;&gt;"",IF(INDEX(CalcWitB,$N1446)=0,"",INDEX(CalcWitB,$N1446)),"")</f>
        <v/>
      </c>
      <c r="I1446" s="29">
        <f>IF($M1446&lt;&gt;"",INDEX(CalcAmtA,$M1446),"")</f>
        <v/>
      </c>
      <c r="J1446" s="29">
        <f>IF($B1446="","",IF($J1445="",$C$8,$J1445)+IF($I1446="",0,$I1446)+IF($E1446="",0,$E1446)-IF($H1446="",0,$H1446))</f>
        <v/>
      </c>
      <c r="K1446" s="30">
        <f>IF($M1446&lt;&gt;"",IF(INDEX(CalcNoteA,$M1446)="","—",INDEX(CalcNoteA,$M1446)),IF($N1446&lt;&gt;"",IF(INDEX(CalcNoteB,$N1446)="","—",INDEX(CalcNoteB,$N1446)),""))</f>
        <v/>
      </c>
      <c r="M1446">
        <f>IFERROR(MATCH($C$5&amp;"|"&amp;RIGHT("000000"&amp;1430,6),CalcRankKeyA,0),"")</f>
        <v/>
      </c>
      <c r="N1446">
        <f>IFERROR(MATCH($C$5&amp;"|"&amp;RIGHT("000000"&amp;1430,6),CalcRankKeyB,0),"")</f>
        <v/>
      </c>
    </row>
    <row r="1447">
      <c r="A1447" s="21" t="n">
        <v>1431</v>
      </c>
      <c r="B1447" s="22">
        <f>IF(AND($M1447="",$N1447=""),"",IF($M1447&lt;&gt;"",INDEX(CalcDateA,$M1447),INDEX(CalcDateB,$N1447)))</f>
        <v/>
      </c>
      <c r="C1447" s="22">
        <f>IF($M1447&lt;&gt;"","خرید سبد",IF($N1447&lt;&gt;"",IF(N(INDEX(CalcDepB,$N1447))&gt;0,"دریافت بانکی","پرداخت بانکی"),""))</f>
        <v/>
      </c>
      <c r="D1447" s="22">
        <f>IF($M1447&lt;&gt;"",IF(INDEX(CalcDocA,$M1447)="","—",INDEX(CalcDocA,$M1447)),IF($N1447&lt;&gt;"",INDEX(CalcBankB,$N1447),""))</f>
        <v/>
      </c>
      <c r="E1447" s="23">
        <f>IF($N1447&lt;&gt;"",IF(INDEX(CalcDepB,$N1447)=0,"",INDEX(CalcDepB,$N1447)),"")</f>
        <v/>
      </c>
      <c r="F1447" s="23">
        <f>IF($M1447&lt;&gt;"",IF(INDEX(CalcQtyA,$M1447)=0,"",INDEX(CalcQtyA,$M1447)),"")</f>
        <v/>
      </c>
      <c r="G1447" s="23">
        <f>IF($M1447&lt;&gt;"",IF(INDEX(CalcPriceA,$M1447)=0,"",INDEX(CalcPriceA,$M1447)),"")</f>
        <v/>
      </c>
      <c r="H1447" s="23">
        <f>IF($N1447&lt;&gt;"",IF(INDEX(CalcWitB,$N1447)=0,"",INDEX(CalcWitB,$N1447)),"")</f>
        <v/>
      </c>
      <c r="I1447" s="24">
        <f>IF($M1447&lt;&gt;"",INDEX(CalcAmtA,$M1447),"")</f>
        <v/>
      </c>
      <c r="J1447" s="24">
        <f>IF($B1447="","",IF($J1446="",$C$8,$J1446)+IF($I1447="",0,$I1447)+IF($E1447="",0,$E1447)-IF($H1447="",0,$H1447))</f>
        <v/>
      </c>
      <c r="K1447" s="25">
        <f>IF($M1447&lt;&gt;"",IF(INDEX(CalcNoteA,$M1447)="","—",INDEX(CalcNoteA,$M1447)),IF($N1447&lt;&gt;"",IF(INDEX(CalcNoteB,$N1447)="","—",INDEX(CalcNoteB,$N1447)),""))</f>
        <v/>
      </c>
      <c r="M1447">
        <f>IFERROR(MATCH($C$5&amp;"|"&amp;RIGHT("000000"&amp;1431,6),CalcRankKeyA,0),"")</f>
        <v/>
      </c>
      <c r="N1447">
        <f>IFERROR(MATCH($C$5&amp;"|"&amp;RIGHT("000000"&amp;1431,6),CalcRankKeyB,0),"")</f>
        <v/>
      </c>
    </row>
    <row r="1448">
      <c r="A1448" s="26" t="n">
        <v>1432</v>
      </c>
      <c r="B1448" s="27">
        <f>IF(AND($M1448="",$N1448=""),"",IF($M1448&lt;&gt;"",INDEX(CalcDateA,$M1448),INDEX(CalcDateB,$N1448)))</f>
        <v/>
      </c>
      <c r="C1448" s="27">
        <f>IF($M1448&lt;&gt;"","خرید سبد",IF($N1448&lt;&gt;"",IF(N(INDEX(CalcDepB,$N1448))&gt;0,"دریافت بانکی","پرداخت بانکی"),""))</f>
        <v/>
      </c>
      <c r="D1448" s="27">
        <f>IF($M1448&lt;&gt;"",IF(INDEX(CalcDocA,$M1448)="","—",INDEX(CalcDocA,$M1448)),IF($N1448&lt;&gt;"",INDEX(CalcBankB,$N1448),""))</f>
        <v/>
      </c>
      <c r="E1448" s="28">
        <f>IF($N1448&lt;&gt;"",IF(INDEX(CalcDepB,$N1448)=0,"",INDEX(CalcDepB,$N1448)),"")</f>
        <v/>
      </c>
      <c r="F1448" s="28">
        <f>IF($M1448&lt;&gt;"",IF(INDEX(CalcQtyA,$M1448)=0,"",INDEX(CalcQtyA,$M1448)),"")</f>
        <v/>
      </c>
      <c r="G1448" s="28">
        <f>IF($M1448&lt;&gt;"",IF(INDEX(CalcPriceA,$M1448)=0,"",INDEX(CalcPriceA,$M1448)),"")</f>
        <v/>
      </c>
      <c r="H1448" s="28">
        <f>IF($N1448&lt;&gt;"",IF(INDEX(CalcWitB,$N1448)=0,"",INDEX(CalcWitB,$N1448)),"")</f>
        <v/>
      </c>
      <c r="I1448" s="29">
        <f>IF($M1448&lt;&gt;"",INDEX(CalcAmtA,$M1448),"")</f>
        <v/>
      </c>
      <c r="J1448" s="29">
        <f>IF($B1448="","",IF($J1447="",$C$8,$J1447)+IF($I1448="",0,$I1448)+IF($E1448="",0,$E1448)-IF($H1448="",0,$H1448))</f>
        <v/>
      </c>
      <c r="K1448" s="30">
        <f>IF($M1448&lt;&gt;"",IF(INDEX(CalcNoteA,$M1448)="","—",INDEX(CalcNoteA,$M1448)),IF($N1448&lt;&gt;"",IF(INDEX(CalcNoteB,$N1448)="","—",INDEX(CalcNoteB,$N1448)),""))</f>
        <v/>
      </c>
      <c r="M1448">
        <f>IFERROR(MATCH($C$5&amp;"|"&amp;RIGHT("000000"&amp;1432,6),CalcRankKeyA,0),"")</f>
        <v/>
      </c>
      <c r="N1448">
        <f>IFERROR(MATCH($C$5&amp;"|"&amp;RIGHT("000000"&amp;1432,6),CalcRankKeyB,0),"")</f>
        <v/>
      </c>
    </row>
    <row r="1449">
      <c r="A1449" s="21" t="n">
        <v>1433</v>
      </c>
      <c r="B1449" s="22">
        <f>IF(AND($M1449="",$N1449=""),"",IF($M1449&lt;&gt;"",INDEX(CalcDateA,$M1449),INDEX(CalcDateB,$N1449)))</f>
        <v/>
      </c>
      <c r="C1449" s="22">
        <f>IF($M1449&lt;&gt;"","خرید سبد",IF($N1449&lt;&gt;"",IF(N(INDEX(CalcDepB,$N1449))&gt;0,"دریافت بانکی","پرداخت بانکی"),""))</f>
        <v/>
      </c>
      <c r="D1449" s="22">
        <f>IF($M1449&lt;&gt;"",IF(INDEX(CalcDocA,$M1449)="","—",INDEX(CalcDocA,$M1449)),IF($N1449&lt;&gt;"",INDEX(CalcBankB,$N1449),""))</f>
        <v/>
      </c>
      <c r="E1449" s="23">
        <f>IF($N1449&lt;&gt;"",IF(INDEX(CalcDepB,$N1449)=0,"",INDEX(CalcDepB,$N1449)),"")</f>
        <v/>
      </c>
      <c r="F1449" s="23">
        <f>IF($M1449&lt;&gt;"",IF(INDEX(CalcQtyA,$M1449)=0,"",INDEX(CalcQtyA,$M1449)),"")</f>
        <v/>
      </c>
      <c r="G1449" s="23">
        <f>IF($M1449&lt;&gt;"",IF(INDEX(CalcPriceA,$M1449)=0,"",INDEX(CalcPriceA,$M1449)),"")</f>
        <v/>
      </c>
      <c r="H1449" s="23">
        <f>IF($N1449&lt;&gt;"",IF(INDEX(CalcWitB,$N1449)=0,"",INDEX(CalcWitB,$N1449)),"")</f>
        <v/>
      </c>
      <c r="I1449" s="24">
        <f>IF($M1449&lt;&gt;"",INDEX(CalcAmtA,$M1449),"")</f>
        <v/>
      </c>
      <c r="J1449" s="24">
        <f>IF($B1449="","",IF($J1448="",$C$8,$J1448)+IF($I1449="",0,$I1449)+IF($E1449="",0,$E1449)-IF($H1449="",0,$H1449))</f>
        <v/>
      </c>
      <c r="K1449" s="25">
        <f>IF($M1449&lt;&gt;"",IF(INDEX(CalcNoteA,$M1449)="","—",INDEX(CalcNoteA,$M1449)),IF($N1449&lt;&gt;"",IF(INDEX(CalcNoteB,$N1449)="","—",INDEX(CalcNoteB,$N1449)),""))</f>
        <v/>
      </c>
      <c r="M1449">
        <f>IFERROR(MATCH($C$5&amp;"|"&amp;RIGHT("000000"&amp;1433,6),CalcRankKeyA,0),"")</f>
        <v/>
      </c>
      <c r="N1449">
        <f>IFERROR(MATCH($C$5&amp;"|"&amp;RIGHT("000000"&amp;1433,6),CalcRankKeyB,0),"")</f>
        <v/>
      </c>
    </row>
    <row r="1450">
      <c r="A1450" s="26" t="n">
        <v>1434</v>
      </c>
      <c r="B1450" s="27">
        <f>IF(AND($M1450="",$N1450=""),"",IF($M1450&lt;&gt;"",INDEX(CalcDateA,$M1450),INDEX(CalcDateB,$N1450)))</f>
        <v/>
      </c>
      <c r="C1450" s="27">
        <f>IF($M1450&lt;&gt;"","خرید سبد",IF($N1450&lt;&gt;"",IF(N(INDEX(CalcDepB,$N1450))&gt;0,"دریافت بانکی","پرداخت بانکی"),""))</f>
        <v/>
      </c>
      <c r="D1450" s="27">
        <f>IF($M1450&lt;&gt;"",IF(INDEX(CalcDocA,$M1450)="","—",INDEX(CalcDocA,$M1450)),IF($N1450&lt;&gt;"",INDEX(CalcBankB,$N1450),""))</f>
        <v/>
      </c>
      <c r="E1450" s="28">
        <f>IF($N1450&lt;&gt;"",IF(INDEX(CalcDepB,$N1450)=0,"",INDEX(CalcDepB,$N1450)),"")</f>
        <v/>
      </c>
      <c r="F1450" s="28">
        <f>IF($M1450&lt;&gt;"",IF(INDEX(CalcQtyA,$M1450)=0,"",INDEX(CalcQtyA,$M1450)),"")</f>
        <v/>
      </c>
      <c r="G1450" s="28">
        <f>IF($M1450&lt;&gt;"",IF(INDEX(CalcPriceA,$M1450)=0,"",INDEX(CalcPriceA,$M1450)),"")</f>
        <v/>
      </c>
      <c r="H1450" s="28">
        <f>IF($N1450&lt;&gt;"",IF(INDEX(CalcWitB,$N1450)=0,"",INDEX(CalcWitB,$N1450)),"")</f>
        <v/>
      </c>
      <c r="I1450" s="29">
        <f>IF($M1450&lt;&gt;"",INDEX(CalcAmtA,$M1450),"")</f>
        <v/>
      </c>
      <c r="J1450" s="29">
        <f>IF($B1450="","",IF($J1449="",$C$8,$J1449)+IF($I1450="",0,$I1450)+IF($E1450="",0,$E1450)-IF($H1450="",0,$H1450))</f>
        <v/>
      </c>
      <c r="K1450" s="30">
        <f>IF($M1450&lt;&gt;"",IF(INDEX(CalcNoteA,$M1450)="","—",INDEX(CalcNoteA,$M1450)),IF($N1450&lt;&gt;"",IF(INDEX(CalcNoteB,$N1450)="","—",INDEX(CalcNoteB,$N1450)),""))</f>
        <v/>
      </c>
      <c r="M1450">
        <f>IFERROR(MATCH($C$5&amp;"|"&amp;RIGHT("000000"&amp;1434,6),CalcRankKeyA,0),"")</f>
        <v/>
      </c>
      <c r="N1450">
        <f>IFERROR(MATCH($C$5&amp;"|"&amp;RIGHT("000000"&amp;1434,6),CalcRankKeyB,0),"")</f>
        <v/>
      </c>
    </row>
    <row r="1451">
      <c r="A1451" s="21" t="n">
        <v>1435</v>
      </c>
      <c r="B1451" s="22">
        <f>IF(AND($M1451="",$N1451=""),"",IF($M1451&lt;&gt;"",INDEX(CalcDateA,$M1451),INDEX(CalcDateB,$N1451)))</f>
        <v/>
      </c>
      <c r="C1451" s="22">
        <f>IF($M1451&lt;&gt;"","خرید سبد",IF($N1451&lt;&gt;"",IF(N(INDEX(CalcDepB,$N1451))&gt;0,"دریافت بانکی","پرداخت بانکی"),""))</f>
        <v/>
      </c>
      <c r="D1451" s="22">
        <f>IF($M1451&lt;&gt;"",IF(INDEX(CalcDocA,$M1451)="","—",INDEX(CalcDocA,$M1451)),IF($N1451&lt;&gt;"",INDEX(CalcBankB,$N1451),""))</f>
        <v/>
      </c>
      <c r="E1451" s="23">
        <f>IF($N1451&lt;&gt;"",IF(INDEX(CalcDepB,$N1451)=0,"",INDEX(CalcDepB,$N1451)),"")</f>
        <v/>
      </c>
      <c r="F1451" s="23">
        <f>IF($M1451&lt;&gt;"",IF(INDEX(CalcQtyA,$M1451)=0,"",INDEX(CalcQtyA,$M1451)),"")</f>
        <v/>
      </c>
      <c r="G1451" s="23">
        <f>IF($M1451&lt;&gt;"",IF(INDEX(CalcPriceA,$M1451)=0,"",INDEX(CalcPriceA,$M1451)),"")</f>
        <v/>
      </c>
      <c r="H1451" s="23">
        <f>IF($N1451&lt;&gt;"",IF(INDEX(CalcWitB,$N1451)=0,"",INDEX(CalcWitB,$N1451)),"")</f>
        <v/>
      </c>
      <c r="I1451" s="24">
        <f>IF($M1451&lt;&gt;"",INDEX(CalcAmtA,$M1451),"")</f>
        <v/>
      </c>
      <c r="J1451" s="24">
        <f>IF($B1451="","",IF($J1450="",$C$8,$J1450)+IF($I1451="",0,$I1451)+IF($E1451="",0,$E1451)-IF($H1451="",0,$H1451))</f>
        <v/>
      </c>
      <c r="K1451" s="25">
        <f>IF($M1451&lt;&gt;"",IF(INDEX(CalcNoteA,$M1451)="","—",INDEX(CalcNoteA,$M1451)),IF($N1451&lt;&gt;"",IF(INDEX(CalcNoteB,$N1451)="","—",INDEX(CalcNoteB,$N1451)),""))</f>
        <v/>
      </c>
      <c r="M1451">
        <f>IFERROR(MATCH($C$5&amp;"|"&amp;RIGHT("000000"&amp;1435,6),CalcRankKeyA,0),"")</f>
        <v/>
      </c>
      <c r="N1451">
        <f>IFERROR(MATCH($C$5&amp;"|"&amp;RIGHT("000000"&amp;1435,6),CalcRankKeyB,0),"")</f>
        <v/>
      </c>
    </row>
    <row r="1452">
      <c r="A1452" s="26" t="n">
        <v>1436</v>
      </c>
      <c r="B1452" s="27">
        <f>IF(AND($M1452="",$N1452=""),"",IF($M1452&lt;&gt;"",INDEX(CalcDateA,$M1452),INDEX(CalcDateB,$N1452)))</f>
        <v/>
      </c>
      <c r="C1452" s="27">
        <f>IF($M1452&lt;&gt;"","خرید سبد",IF($N1452&lt;&gt;"",IF(N(INDEX(CalcDepB,$N1452))&gt;0,"دریافت بانکی","پرداخت بانکی"),""))</f>
        <v/>
      </c>
      <c r="D1452" s="27">
        <f>IF($M1452&lt;&gt;"",IF(INDEX(CalcDocA,$M1452)="","—",INDEX(CalcDocA,$M1452)),IF($N1452&lt;&gt;"",INDEX(CalcBankB,$N1452),""))</f>
        <v/>
      </c>
      <c r="E1452" s="28">
        <f>IF($N1452&lt;&gt;"",IF(INDEX(CalcDepB,$N1452)=0,"",INDEX(CalcDepB,$N1452)),"")</f>
        <v/>
      </c>
      <c r="F1452" s="28">
        <f>IF($M1452&lt;&gt;"",IF(INDEX(CalcQtyA,$M1452)=0,"",INDEX(CalcQtyA,$M1452)),"")</f>
        <v/>
      </c>
      <c r="G1452" s="28">
        <f>IF($M1452&lt;&gt;"",IF(INDEX(CalcPriceA,$M1452)=0,"",INDEX(CalcPriceA,$M1452)),"")</f>
        <v/>
      </c>
      <c r="H1452" s="28">
        <f>IF($N1452&lt;&gt;"",IF(INDEX(CalcWitB,$N1452)=0,"",INDEX(CalcWitB,$N1452)),"")</f>
        <v/>
      </c>
      <c r="I1452" s="29">
        <f>IF($M1452&lt;&gt;"",INDEX(CalcAmtA,$M1452),"")</f>
        <v/>
      </c>
      <c r="J1452" s="29">
        <f>IF($B1452="","",IF($J1451="",$C$8,$J1451)+IF($I1452="",0,$I1452)+IF($E1452="",0,$E1452)-IF($H1452="",0,$H1452))</f>
        <v/>
      </c>
      <c r="K1452" s="30">
        <f>IF($M1452&lt;&gt;"",IF(INDEX(CalcNoteA,$M1452)="","—",INDEX(CalcNoteA,$M1452)),IF($N1452&lt;&gt;"",IF(INDEX(CalcNoteB,$N1452)="","—",INDEX(CalcNoteB,$N1452)),""))</f>
        <v/>
      </c>
      <c r="M1452">
        <f>IFERROR(MATCH($C$5&amp;"|"&amp;RIGHT("000000"&amp;1436,6),CalcRankKeyA,0),"")</f>
        <v/>
      </c>
      <c r="N1452">
        <f>IFERROR(MATCH($C$5&amp;"|"&amp;RIGHT("000000"&amp;1436,6),CalcRankKeyB,0),"")</f>
        <v/>
      </c>
    </row>
    <row r="1453">
      <c r="A1453" s="21" t="n">
        <v>1437</v>
      </c>
      <c r="B1453" s="22">
        <f>IF(AND($M1453="",$N1453=""),"",IF($M1453&lt;&gt;"",INDEX(CalcDateA,$M1453),INDEX(CalcDateB,$N1453)))</f>
        <v/>
      </c>
      <c r="C1453" s="22">
        <f>IF($M1453&lt;&gt;"","خرید سبد",IF($N1453&lt;&gt;"",IF(N(INDEX(CalcDepB,$N1453))&gt;0,"دریافت بانکی","پرداخت بانکی"),""))</f>
        <v/>
      </c>
      <c r="D1453" s="22">
        <f>IF($M1453&lt;&gt;"",IF(INDEX(CalcDocA,$M1453)="","—",INDEX(CalcDocA,$M1453)),IF($N1453&lt;&gt;"",INDEX(CalcBankB,$N1453),""))</f>
        <v/>
      </c>
      <c r="E1453" s="23">
        <f>IF($N1453&lt;&gt;"",IF(INDEX(CalcDepB,$N1453)=0,"",INDEX(CalcDepB,$N1453)),"")</f>
        <v/>
      </c>
      <c r="F1453" s="23">
        <f>IF($M1453&lt;&gt;"",IF(INDEX(CalcQtyA,$M1453)=0,"",INDEX(CalcQtyA,$M1453)),"")</f>
        <v/>
      </c>
      <c r="G1453" s="23">
        <f>IF($M1453&lt;&gt;"",IF(INDEX(CalcPriceA,$M1453)=0,"",INDEX(CalcPriceA,$M1453)),"")</f>
        <v/>
      </c>
      <c r="H1453" s="23">
        <f>IF($N1453&lt;&gt;"",IF(INDEX(CalcWitB,$N1453)=0,"",INDEX(CalcWitB,$N1453)),"")</f>
        <v/>
      </c>
      <c r="I1453" s="24">
        <f>IF($M1453&lt;&gt;"",INDEX(CalcAmtA,$M1453),"")</f>
        <v/>
      </c>
      <c r="J1453" s="24">
        <f>IF($B1453="","",IF($J1452="",$C$8,$J1452)+IF($I1453="",0,$I1453)+IF($E1453="",0,$E1453)-IF($H1453="",0,$H1453))</f>
        <v/>
      </c>
      <c r="K1453" s="25">
        <f>IF($M1453&lt;&gt;"",IF(INDEX(CalcNoteA,$M1453)="","—",INDEX(CalcNoteA,$M1453)),IF($N1453&lt;&gt;"",IF(INDEX(CalcNoteB,$N1453)="","—",INDEX(CalcNoteB,$N1453)),""))</f>
        <v/>
      </c>
      <c r="M1453">
        <f>IFERROR(MATCH($C$5&amp;"|"&amp;RIGHT("000000"&amp;1437,6),CalcRankKeyA,0),"")</f>
        <v/>
      </c>
      <c r="N1453">
        <f>IFERROR(MATCH($C$5&amp;"|"&amp;RIGHT("000000"&amp;1437,6),CalcRankKeyB,0),"")</f>
        <v/>
      </c>
    </row>
    <row r="1454">
      <c r="A1454" s="26" t="n">
        <v>1438</v>
      </c>
      <c r="B1454" s="27">
        <f>IF(AND($M1454="",$N1454=""),"",IF($M1454&lt;&gt;"",INDEX(CalcDateA,$M1454),INDEX(CalcDateB,$N1454)))</f>
        <v/>
      </c>
      <c r="C1454" s="27">
        <f>IF($M1454&lt;&gt;"","خرید سبد",IF($N1454&lt;&gt;"",IF(N(INDEX(CalcDepB,$N1454))&gt;0,"دریافت بانکی","پرداخت بانکی"),""))</f>
        <v/>
      </c>
      <c r="D1454" s="27">
        <f>IF($M1454&lt;&gt;"",IF(INDEX(CalcDocA,$M1454)="","—",INDEX(CalcDocA,$M1454)),IF($N1454&lt;&gt;"",INDEX(CalcBankB,$N1454),""))</f>
        <v/>
      </c>
      <c r="E1454" s="28">
        <f>IF($N1454&lt;&gt;"",IF(INDEX(CalcDepB,$N1454)=0,"",INDEX(CalcDepB,$N1454)),"")</f>
        <v/>
      </c>
      <c r="F1454" s="28">
        <f>IF($M1454&lt;&gt;"",IF(INDEX(CalcQtyA,$M1454)=0,"",INDEX(CalcQtyA,$M1454)),"")</f>
        <v/>
      </c>
      <c r="G1454" s="28">
        <f>IF($M1454&lt;&gt;"",IF(INDEX(CalcPriceA,$M1454)=0,"",INDEX(CalcPriceA,$M1454)),"")</f>
        <v/>
      </c>
      <c r="H1454" s="28">
        <f>IF($N1454&lt;&gt;"",IF(INDEX(CalcWitB,$N1454)=0,"",INDEX(CalcWitB,$N1454)),"")</f>
        <v/>
      </c>
      <c r="I1454" s="29">
        <f>IF($M1454&lt;&gt;"",INDEX(CalcAmtA,$M1454),"")</f>
        <v/>
      </c>
      <c r="J1454" s="29">
        <f>IF($B1454="","",IF($J1453="",$C$8,$J1453)+IF($I1454="",0,$I1454)+IF($E1454="",0,$E1454)-IF($H1454="",0,$H1454))</f>
        <v/>
      </c>
      <c r="K1454" s="30">
        <f>IF($M1454&lt;&gt;"",IF(INDEX(CalcNoteA,$M1454)="","—",INDEX(CalcNoteA,$M1454)),IF($N1454&lt;&gt;"",IF(INDEX(CalcNoteB,$N1454)="","—",INDEX(CalcNoteB,$N1454)),""))</f>
        <v/>
      </c>
      <c r="M1454">
        <f>IFERROR(MATCH($C$5&amp;"|"&amp;RIGHT("000000"&amp;1438,6),CalcRankKeyA,0),"")</f>
        <v/>
      </c>
      <c r="N1454">
        <f>IFERROR(MATCH($C$5&amp;"|"&amp;RIGHT("000000"&amp;1438,6),CalcRankKeyB,0),"")</f>
        <v/>
      </c>
    </row>
    <row r="1455">
      <c r="A1455" s="21" t="n">
        <v>1439</v>
      </c>
      <c r="B1455" s="22">
        <f>IF(AND($M1455="",$N1455=""),"",IF($M1455&lt;&gt;"",INDEX(CalcDateA,$M1455),INDEX(CalcDateB,$N1455)))</f>
        <v/>
      </c>
      <c r="C1455" s="22">
        <f>IF($M1455&lt;&gt;"","خرید سبد",IF($N1455&lt;&gt;"",IF(N(INDEX(CalcDepB,$N1455))&gt;0,"دریافت بانکی","پرداخت بانکی"),""))</f>
        <v/>
      </c>
      <c r="D1455" s="22">
        <f>IF($M1455&lt;&gt;"",IF(INDEX(CalcDocA,$M1455)="","—",INDEX(CalcDocA,$M1455)),IF($N1455&lt;&gt;"",INDEX(CalcBankB,$N1455),""))</f>
        <v/>
      </c>
      <c r="E1455" s="23">
        <f>IF($N1455&lt;&gt;"",IF(INDEX(CalcDepB,$N1455)=0,"",INDEX(CalcDepB,$N1455)),"")</f>
        <v/>
      </c>
      <c r="F1455" s="23">
        <f>IF($M1455&lt;&gt;"",IF(INDEX(CalcQtyA,$M1455)=0,"",INDEX(CalcQtyA,$M1455)),"")</f>
        <v/>
      </c>
      <c r="G1455" s="23">
        <f>IF($M1455&lt;&gt;"",IF(INDEX(CalcPriceA,$M1455)=0,"",INDEX(CalcPriceA,$M1455)),"")</f>
        <v/>
      </c>
      <c r="H1455" s="23">
        <f>IF($N1455&lt;&gt;"",IF(INDEX(CalcWitB,$N1455)=0,"",INDEX(CalcWitB,$N1455)),"")</f>
        <v/>
      </c>
      <c r="I1455" s="24">
        <f>IF($M1455&lt;&gt;"",INDEX(CalcAmtA,$M1455),"")</f>
        <v/>
      </c>
      <c r="J1455" s="24">
        <f>IF($B1455="","",IF($J1454="",$C$8,$J1454)+IF($I1455="",0,$I1455)+IF($E1455="",0,$E1455)-IF($H1455="",0,$H1455))</f>
        <v/>
      </c>
      <c r="K1455" s="25">
        <f>IF($M1455&lt;&gt;"",IF(INDEX(CalcNoteA,$M1455)="","—",INDEX(CalcNoteA,$M1455)),IF($N1455&lt;&gt;"",IF(INDEX(CalcNoteB,$N1455)="","—",INDEX(CalcNoteB,$N1455)),""))</f>
        <v/>
      </c>
      <c r="M1455">
        <f>IFERROR(MATCH($C$5&amp;"|"&amp;RIGHT("000000"&amp;1439,6),CalcRankKeyA,0),"")</f>
        <v/>
      </c>
      <c r="N1455">
        <f>IFERROR(MATCH($C$5&amp;"|"&amp;RIGHT("000000"&amp;1439,6),CalcRankKeyB,0),"")</f>
        <v/>
      </c>
    </row>
    <row r="1456">
      <c r="A1456" s="26" t="n">
        <v>1440</v>
      </c>
      <c r="B1456" s="27">
        <f>IF(AND($M1456="",$N1456=""),"",IF($M1456&lt;&gt;"",INDEX(CalcDateA,$M1456),INDEX(CalcDateB,$N1456)))</f>
        <v/>
      </c>
      <c r="C1456" s="27">
        <f>IF($M1456&lt;&gt;"","خرید سبد",IF($N1456&lt;&gt;"",IF(N(INDEX(CalcDepB,$N1456))&gt;0,"دریافت بانکی","پرداخت بانکی"),""))</f>
        <v/>
      </c>
      <c r="D1456" s="27">
        <f>IF($M1456&lt;&gt;"",IF(INDEX(CalcDocA,$M1456)="","—",INDEX(CalcDocA,$M1456)),IF($N1456&lt;&gt;"",INDEX(CalcBankB,$N1456),""))</f>
        <v/>
      </c>
      <c r="E1456" s="28">
        <f>IF($N1456&lt;&gt;"",IF(INDEX(CalcDepB,$N1456)=0,"",INDEX(CalcDepB,$N1456)),"")</f>
        <v/>
      </c>
      <c r="F1456" s="28">
        <f>IF($M1456&lt;&gt;"",IF(INDEX(CalcQtyA,$M1456)=0,"",INDEX(CalcQtyA,$M1456)),"")</f>
        <v/>
      </c>
      <c r="G1456" s="28">
        <f>IF($M1456&lt;&gt;"",IF(INDEX(CalcPriceA,$M1456)=0,"",INDEX(CalcPriceA,$M1456)),"")</f>
        <v/>
      </c>
      <c r="H1456" s="28">
        <f>IF($N1456&lt;&gt;"",IF(INDEX(CalcWitB,$N1456)=0,"",INDEX(CalcWitB,$N1456)),"")</f>
        <v/>
      </c>
      <c r="I1456" s="29">
        <f>IF($M1456&lt;&gt;"",INDEX(CalcAmtA,$M1456),"")</f>
        <v/>
      </c>
      <c r="J1456" s="29">
        <f>IF($B1456="","",IF($J1455="",$C$8,$J1455)+IF($I1456="",0,$I1456)+IF($E1456="",0,$E1456)-IF($H1456="",0,$H1456))</f>
        <v/>
      </c>
      <c r="K1456" s="30">
        <f>IF($M1456&lt;&gt;"",IF(INDEX(CalcNoteA,$M1456)="","—",INDEX(CalcNoteA,$M1456)),IF($N1456&lt;&gt;"",IF(INDEX(CalcNoteB,$N1456)="","—",INDEX(CalcNoteB,$N1456)),""))</f>
        <v/>
      </c>
      <c r="M1456">
        <f>IFERROR(MATCH($C$5&amp;"|"&amp;RIGHT("000000"&amp;1440,6),CalcRankKeyA,0),"")</f>
        <v/>
      </c>
      <c r="N1456">
        <f>IFERROR(MATCH($C$5&amp;"|"&amp;RIGHT("000000"&amp;1440,6),CalcRankKeyB,0),"")</f>
        <v/>
      </c>
    </row>
    <row r="1457">
      <c r="A1457" s="21" t="n">
        <v>1441</v>
      </c>
      <c r="B1457" s="22">
        <f>IF(AND($M1457="",$N1457=""),"",IF($M1457&lt;&gt;"",INDEX(CalcDateA,$M1457),INDEX(CalcDateB,$N1457)))</f>
        <v/>
      </c>
      <c r="C1457" s="22">
        <f>IF($M1457&lt;&gt;"","خرید سبد",IF($N1457&lt;&gt;"",IF(N(INDEX(CalcDepB,$N1457))&gt;0,"دریافت بانکی","پرداخت بانکی"),""))</f>
        <v/>
      </c>
      <c r="D1457" s="22">
        <f>IF($M1457&lt;&gt;"",IF(INDEX(CalcDocA,$M1457)="","—",INDEX(CalcDocA,$M1457)),IF($N1457&lt;&gt;"",INDEX(CalcBankB,$N1457),""))</f>
        <v/>
      </c>
      <c r="E1457" s="23">
        <f>IF($N1457&lt;&gt;"",IF(INDEX(CalcDepB,$N1457)=0,"",INDEX(CalcDepB,$N1457)),"")</f>
        <v/>
      </c>
      <c r="F1457" s="23">
        <f>IF($M1457&lt;&gt;"",IF(INDEX(CalcQtyA,$M1457)=0,"",INDEX(CalcQtyA,$M1457)),"")</f>
        <v/>
      </c>
      <c r="G1457" s="23">
        <f>IF($M1457&lt;&gt;"",IF(INDEX(CalcPriceA,$M1457)=0,"",INDEX(CalcPriceA,$M1457)),"")</f>
        <v/>
      </c>
      <c r="H1457" s="23">
        <f>IF($N1457&lt;&gt;"",IF(INDEX(CalcWitB,$N1457)=0,"",INDEX(CalcWitB,$N1457)),"")</f>
        <v/>
      </c>
      <c r="I1457" s="24">
        <f>IF($M1457&lt;&gt;"",INDEX(CalcAmtA,$M1457),"")</f>
        <v/>
      </c>
      <c r="J1457" s="24">
        <f>IF($B1457="","",IF($J1456="",$C$8,$J1456)+IF($I1457="",0,$I1457)+IF($E1457="",0,$E1457)-IF($H1457="",0,$H1457))</f>
        <v/>
      </c>
      <c r="K1457" s="25">
        <f>IF($M1457&lt;&gt;"",IF(INDEX(CalcNoteA,$M1457)="","—",INDEX(CalcNoteA,$M1457)),IF($N1457&lt;&gt;"",IF(INDEX(CalcNoteB,$N1457)="","—",INDEX(CalcNoteB,$N1457)),""))</f>
        <v/>
      </c>
      <c r="M1457">
        <f>IFERROR(MATCH($C$5&amp;"|"&amp;RIGHT("000000"&amp;1441,6),CalcRankKeyA,0),"")</f>
        <v/>
      </c>
      <c r="N1457">
        <f>IFERROR(MATCH($C$5&amp;"|"&amp;RIGHT("000000"&amp;1441,6),CalcRankKeyB,0),"")</f>
        <v/>
      </c>
    </row>
    <row r="1458">
      <c r="A1458" s="26" t="n">
        <v>1442</v>
      </c>
      <c r="B1458" s="27">
        <f>IF(AND($M1458="",$N1458=""),"",IF($M1458&lt;&gt;"",INDEX(CalcDateA,$M1458),INDEX(CalcDateB,$N1458)))</f>
        <v/>
      </c>
      <c r="C1458" s="27">
        <f>IF($M1458&lt;&gt;"","خرید سبد",IF($N1458&lt;&gt;"",IF(N(INDEX(CalcDepB,$N1458))&gt;0,"دریافت بانکی","پرداخت بانکی"),""))</f>
        <v/>
      </c>
      <c r="D1458" s="27">
        <f>IF($M1458&lt;&gt;"",IF(INDEX(CalcDocA,$M1458)="","—",INDEX(CalcDocA,$M1458)),IF($N1458&lt;&gt;"",INDEX(CalcBankB,$N1458),""))</f>
        <v/>
      </c>
      <c r="E1458" s="28">
        <f>IF($N1458&lt;&gt;"",IF(INDEX(CalcDepB,$N1458)=0,"",INDEX(CalcDepB,$N1458)),"")</f>
        <v/>
      </c>
      <c r="F1458" s="28">
        <f>IF($M1458&lt;&gt;"",IF(INDEX(CalcQtyA,$M1458)=0,"",INDEX(CalcQtyA,$M1458)),"")</f>
        <v/>
      </c>
      <c r="G1458" s="28">
        <f>IF($M1458&lt;&gt;"",IF(INDEX(CalcPriceA,$M1458)=0,"",INDEX(CalcPriceA,$M1458)),"")</f>
        <v/>
      </c>
      <c r="H1458" s="28">
        <f>IF($N1458&lt;&gt;"",IF(INDEX(CalcWitB,$N1458)=0,"",INDEX(CalcWitB,$N1458)),"")</f>
        <v/>
      </c>
      <c r="I1458" s="29">
        <f>IF($M1458&lt;&gt;"",INDEX(CalcAmtA,$M1458),"")</f>
        <v/>
      </c>
      <c r="J1458" s="29">
        <f>IF($B1458="","",IF($J1457="",$C$8,$J1457)+IF($I1458="",0,$I1458)+IF($E1458="",0,$E1458)-IF($H1458="",0,$H1458))</f>
        <v/>
      </c>
      <c r="K1458" s="30">
        <f>IF($M1458&lt;&gt;"",IF(INDEX(CalcNoteA,$M1458)="","—",INDEX(CalcNoteA,$M1458)),IF($N1458&lt;&gt;"",IF(INDEX(CalcNoteB,$N1458)="","—",INDEX(CalcNoteB,$N1458)),""))</f>
        <v/>
      </c>
      <c r="M1458">
        <f>IFERROR(MATCH($C$5&amp;"|"&amp;RIGHT("000000"&amp;1442,6),CalcRankKeyA,0),"")</f>
        <v/>
      </c>
      <c r="N1458">
        <f>IFERROR(MATCH($C$5&amp;"|"&amp;RIGHT("000000"&amp;1442,6),CalcRankKeyB,0),"")</f>
        <v/>
      </c>
    </row>
    <row r="1459">
      <c r="A1459" s="21" t="n">
        <v>1443</v>
      </c>
      <c r="B1459" s="22">
        <f>IF(AND($M1459="",$N1459=""),"",IF($M1459&lt;&gt;"",INDEX(CalcDateA,$M1459),INDEX(CalcDateB,$N1459)))</f>
        <v/>
      </c>
      <c r="C1459" s="22">
        <f>IF($M1459&lt;&gt;"","خرید سبد",IF($N1459&lt;&gt;"",IF(N(INDEX(CalcDepB,$N1459))&gt;0,"دریافت بانکی","پرداخت بانکی"),""))</f>
        <v/>
      </c>
      <c r="D1459" s="22">
        <f>IF($M1459&lt;&gt;"",IF(INDEX(CalcDocA,$M1459)="","—",INDEX(CalcDocA,$M1459)),IF($N1459&lt;&gt;"",INDEX(CalcBankB,$N1459),""))</f>
        <v/>
      </c>
      <c r="E1459" s="23">
        <f>IF($N1459&lt;&gt;"",IF(INDEX(CalcDepB,$N1459)=0,"",INDEX(CalcDepB,$N1459)),"")</f>
        <v/>
      </c>
      <c r="F1459" s="23">
        <f>IF($M1459&lt;&gt;"",IF(INDEX(CalcQtyA,$M1459)=0,"",INDEX(CalcQtyA,$M1459)),"")</f>
        <v/>
      </c>
      <c r="G1459" s="23">
        <f>IF($M1459&lt;&gt;"",IF(INDEX(CalcPriceA,$M1459)=0,"",INDEX(CalcPriceA,$M1459)),"")</f>
        <v/>
      </c>
      <c r="H1459" s="23">
        <f>IF($N1459&lt;&gt;"",IF(INDEX(CalcWitB,$N1459)=0,"",INDEX(CalcWitB,$N1459)),"")</f>
        <v/>
      </c>
      <c r="I1459" s="24">
        <f>IF($M1459&lt;&gt;"",INDEX(CalcAmtA,$M1459),"")</f>
        <v/>
      </c>
      <c r="J1459" s="24">
        <f>IF($B1459="","",IF($J1458="",$C$8,$J1458)+IF($I1459="",0,$I1459)+IF($E1459="",0,$E1459)-IF($H1459="",0,$H1459))</f>
        <v/>
      </c>
      <c r="K1459" s="25">
        <f>IF($M1459&lt;&gt;"",IF(INDEX(CalcNoteA,$M1459)="","—",INDEX(CalcNoteA,$M1459)),IF($N1459&lt;&gt;"",IF(INDEX(CalcNoteB,$N1459)="","—",INDEX(CalcNoteB,$N1459)),""))</f>
        <v/>
      </c>
      <c r="M1459">
        <f>IFERROR(MATCH($C$5&amp;"|"&amp;RIGHT("000000"&amp;1443,6),CalcRankKeyA,0),"")</f>
        <v/>
      </c>
      <c r="N1459">
        <f>IFERROR(MATCH($C$5&amp;"|"&amp;RIGHT("000000"&amp;1443,6),CalcRankKeyB,0),"")</f>
        <v/>
      </c>
    </row>
    <row r="1460">
      <c r="A1460" s="26" t="n">
        <v>1444</v>
      </c>
      <c r="B1460" s="27">
        <f>IF(AND($M1460="",$N1460=""),"",IF($M1460&lt;&gt;"",INDEX(CalcDateA,$M1460),INDEX(CalcDateB,$N1460)))</f>
        <v/>
      </c>
      <c r="C1460" s="27">
        <f>IF($M1460&lt;&gt;"","خرید سبد",IF($N1460&lt;&gt;"",IF(N(INDEX(CalcDepB,$N1460))&gt;0,"دریافت بانکی","پرداخت بانکی"),""))</f>
        <v/>
      </c>
      <c r="D1460" s="27">
        <f>IF($M1460&lt;&gt;"",IF(INDEX(CalcDocA,$M1460)="","—",INDEX(CalcDocA,$M1460)),IF($N1460&lt;&gt;"",INDEX(CalcBankB,$N1460),""))</f>
        <v/>
      </c>
      <c r="E1460" s="28">
        <f>IF($N1460&lt;&gt;"",IF(INDEX(CalcDepB,$N1460)=0,"",INDEX(CalcDepB,$N1460)),"")</f>
        <v/>
      </c>
      <c r="F1460" s="28">
        <f>IF($M1460&lt;&gt;"",IF(INDEX(CalcQtyA,$M1460)=0,"",INDEX(CalcQtyA,$M1460)),"")</f>
        <v/>
      </c>
      <c r="G1460" s="28">
        <f>IF($M1460&lt;&gt;"",IF(INDEX(CalcPriceA,$M1460)=0,"",INDEX(CalcPriceA,$M1460)),"")</f>
        <v/>
      </c>
      <c r="H1460" s="28">
        <f>IF($N1460&lt;&gt;"",IF(INDEX(CalcWitB,$N1460)=0,"",INDEX(CalcWitB,$N1460)),"")</f>
        <v/>
      </c>
      <c r="I1460" s="29">
        <f>IF($M1460&lt;&gt;"",INDEX(CalcAmtA,$M1460),"")</f>
        <v/>
      </c>
      <c r="J1460" s="29">
        <f>IF($B1460="","",IF($J1459="",$C$8,$J1459)+IF($I1460="",0,$I1460)+IF($E1460="",0,$E1460)-IF($H1460="",0,$H1460))</f>
        <v/>
      </c>
      <c r="K1460" s="30">
        <f>IF($M1460&lt;&gt;"",IF(INDEX(CalcNoteA,$M1460)="","—",INDEX(CalcNoteA,$M1460)),IF($N1460&lt;&gt;"",IF(INDEX(CalcNoteB,$N1460)="","—",INDEX(CalcNoteB,$N1460)),""))</f>
        <v/>
      </c>
      <c r="M1460">
        <f>IFERROR(MATCH($C$5&amp;"|"&amp;RIGHT("000000"&amp;1444,6),CalcRankKeyA,0),"")</f>
        <v/>
      </c>
      <c r="N1460">
        <f>IFERROR(MATCH($C$5&amp;"|"&amp;RIGHT("000000"&amp;1444,6),CalcRankKeyB,0),"")</f>
        <v/>
      </c>
    </row>
    <row r="1461">
      <c r="A1461" s="21" t="n">
        <v>1445</v>
      </c>
      <c r="B1461" s="22">
        <f>IF(AND($M1461="",$N1461=""),"",IF($M1461&lt;&gt;"",INDEX(CalcDateA,$M1461),INDEX(CalcDateB,$N1461)))</f>
        <v/>
      </c>
      <c r="C1461" s="22">
        <f>IF($M1461&lt;&gt;"","خرید سبد",IF($N1461&lt;&gt;"",IF(N(INDEX(CalcDepB,$N1461))&gt;0,"دریافت بانکی","پرداخت بانکی"),""))</f>
        <v/>
      </c>
      <c r="D1461" s="22">
        <f>IF($M1461&lt;&gt;"",IF(INDEX(CalcDocA,$M1461)="","—",INDEX(CalcDocA,$M1461)),IF($N1461&lt;&gt;"",INDEX(CalcBankB,$N1461),""))</f>
        <v/>
      </c>
      <c r="E1461" s="23">
        <f>IF($N1461&lt;&gt;"",IF(INDEX(CalcDepB,$N1461)=0,"",INDEX(CalcDepB,$N1461)),"")</f>
        <v/>
      </c>
      <c r="F1461" s="23">
        <f>IF($M1461&lt;&gt;"",IF(INDEX(CalcQtyA,$M1461)=0,"",INDEX(CalcQtyA,$M1461)),"")</f>
        <v/>
      </c>
      <c r="G1461" s="23">
        <f>IF($M1461&lt;&gt;"",IF(INDEX(CalcPriceA,$M1461)=0,"",INDEX(CalcPriceA,$M1461)),"")</f>
        <v/>
      </c>
      <c r="H1461" s="23">
        <f>IF($N1461&lt;&gt;"",IF(INDEX(CalcWitB,$N1461)=0,"",INDEX(CalcWitB,$N1461)),"")</f>
        <v/>
      </c>
      <c r="I1461" s="24">
        <f>IF($M1461&lt;&gt;"",INDEX(CalcAmtA,$M1461),"")</f>
        <v/>
      </c>
      <c r="J1461" s="24">
        <f>IF($B1461="","",IF($J1460="",$C$8,$J1460)+IF($I1461="",0,$I1461)+IF($E1461="",0,$E1461)-IF($H1461="",0,$H1461))</f>
        <v/>
      </c>
      <c r="K1461" s="25">
        <f>IF($M1461&lt;&gt;"",IF(INDEX(CalcNoteA,$M1461)="","—",INDEX(CalcNoteA,$M1461)),IF($N1461&lt;&gt;"",IF(INDEX(CalcNoteB,$N1461)="","—",INDEX(CalcNoteB,$N1461)),""))</f>
        <v/>
      </c>
      <c r="M1461">
        <f>IFERROR(MATCH($C$5&amp;"|"&amp;RIGHT("000000"&amp;1445,6),CalcRankKeyA,0),"")</f>
        <v/>
      </c>
      <c r="N1461">
        <f>IFERROR(MATCH($C$5&amp;"|"&amp;RIGHT("000000"&amp;1445,6),CalcRankKeyB,0),"")</f>
        <v/>
      </c>
    </row>
    <row r="1462">
      <c r="A1462" s="26" t="n">
        <v>1446</v>
      </c>
      <c r="B1462" s="27">
        <f>IF(AND($M1462="",$N1462=""),"",IF($M1462&lt;&gt;"",INDEX(CalcDateA,$M1462),INDEX(CalcDateB,$N1462)))</f>
        <v/>
      </c>
      <c r="C1462" s="27">
        <f>IF($M1462&lt;&gt;"","خرید سبد",IF($N1462&lt;&gt;"",IF(N(INDEX(CalcDepB,$N1462))&gt;0,"دریافت بانکی","پرداخت بانکی"),""))</f>
        <v/>
      </c>
      <c r="D1462" s="27">
        <f>IF($M1462&lt;&gt;"",IF(INDEX(CalcDocA,$M1462)="","—",INDEX(CalcDocA,$M1462)),IF($N1462&lt;&gt;"",INDEX(CalcBankB,$N1462),""))</f>
        <v/>
      </c>
      <c r="E1462" s="28">
        <f>IF($N1462&lt;&gt;"",IF(INDEX(CalcDepB,$N1462)=0,"",INDEX(CalcDepB,$N1462)),"")</f>
        <v/>
      </c>
      <c r="F1462" s="28">
        <f>IF($M1462&lt;&gt;"",IF(INDEX(CalcQtyA,$M1462)=0,"",INDEX(CalcQtyA,$M1462)),"")</f>
        <v/>
      </c>
      <c r="G1462" s="28">
        <f>IF($M1462&lt;&gt;"",IF(INDEX(CalcPriceA,$M1462)=0,"",INDEX(CalcPriceA,$M1462)),"")</f>
        <v/>
      </c>
      <c r="H1462" s="28">
        <f>IF($N1462&lt;&gt;"",IF(INDEX(CalcWitB,$N1462)=0,"",INDEX(CalcWitB,$N1462)),"")</f>
        <v/>
      </c>
      <c r="I1462" s="29">
        <f>IF($M1462&lt;&gt;"",INDEX(CalcAmtA,$M1462),"")</f>
        <v/>
      </c>
      <c r="J1462" s="29">
        <f>IF($B1462="","",IF($J1461="",$C$8,$J1461)+IF($I1462="",0,$I1462)+IF($E1462="",0,$E1462)-IF($H1462="",0,$H1462))</f>
        <v/>
      </c>
      <c r="K1462" s="30">
        <f>IF($M1462&lt;&gt;"",IF(INDEX(CalcNoteA,$M1462)="","—",INDEX(CalcNoteA,$M1462)),IF($N1462&lt;&gt;"",IF(INDEX(CalcNoteB,$N1462)="","—",INDEX(CalcNoteB,$N1462)),""))</f>
        <v/>
      </c>
      <c r="M1462">
        <f>IFERROR(MATCH($C$5&amp;"|"&amp;RIGHT("000000"&amp;1446,6),CalcRankKeyA,0),"")</f>
        <v/>
      </c>
      <c r="N1462">
        <f>IFERROR(MATCH($C$5&amp;"|"&amp;RIGHT("000000"&amp;1446,6),CalcRankKeyB,0),"")</f>
        <v/>
      </c>
    </row>
    <row r="1463">
      <c r="A1463" s="21" t="n">
        <v>1447</v>
      </c>
      <c r="B1463" s="22">
        <f>IF(AND($M1463="",$N1463=""),"",IF($M1463&lt;&gt;"",INDEX(CalcDateA,$M1463),INDEX(CalcDateB,$N1463)))</f>
        <v/>
      </c>
      <c r="C1463" s="22">
        <f>IF($M1463&lt;&gt;"","خرید سبد",IF($N1463&lt;&gt;"",IF(N(INDEX(CalcDepB,$N1463))&gt;0,"دریافت بانکی","پرداخت بانکی"),""))</f>
        <v/>
      </c>
      <c r="D1463" s="22">
        <f>IF($M1463&lt;&gt;"",IF(INDEX(CalcDocA,$M1463)="","—",INDEX(CalcDocA,$M1463)),IF($N1463&lt;&gt;"",INDEX(CalcBankB,$N1463),""))</f>
        <v/>
      </c>
      <c r="E1463" s="23">
        <f>IF($N1463&lt;&gt;"",IF(INDEX(CalcDepB,$N1463)=0,"",INDEX(CalcDepB,$N1463)),"")</f>
        <v/>
      </c>
      <c r="F1463" s="23">
        <f>IF($M1463&lt;&gt;"",IF(INDEX(CalcQtyA,$M1463)=0,"",INDEX(CalcQtyA,$M1463)),"")</f>
        <v/>
      </c>
      <c r="G1463" s="23">
        <f>IF($M1463&lt;&gt;"",IF(INDEX(CalcPriceA,$M1463)=0,"",INDEX(CalcPriceA,$M1463)),"")</f>
        <v/>
      </c>
      <c r="H1463" s="23">
        <f>IF($N1463&lt;&gt;"",IF(INDEX(CalcWitB,$N1463)=0,"",INDEX(CalcWitB,$N1463)),"")</f>
        <v/>
      </c>
      <c r="I1463" s="24">
        <f>IF($M1463&lt;&gt;"",INDEX(CalcAmtA,$M1463),"")</f>
        <v/>
      </c>
      <c r="J1463" s="24">
        <f>IF($B1463="","",IF($J1462="",$C$8,$J1462)+IF($I1463="",0,$I1463)+IF($E1463="",0,$E1463)-IF($H1463="",0,$H1463))</f>
        <v/>
      </c>
      <c r="K1463" s="25">
        <f>IF($M1463&lt;&gt;"",IF(INDEX(CalcNoteA,$M1463)="","—",INDEX(CalcNoteA,$M1463)),IF($N1463&lt;&gt;"",IF(INDEX(CalcNoteB,$N1463)="","—",INDEX(CalcNoteB,$N1463)),""))</f>
        <v/>
      </c>
      <c r="M1463">
        <f>IFERROR(MATCH($C$5&amp;"|"&amp;RIGHT("000000"&amp;1447,6),CalcRankKeyA,0),"")</f>
        <v/>
      </c>
      <c r="N1463">
        <f>IFERROR(MATCH($C$5&amp;"|"&amp;RIGHT("000000"&amp;1447,6),CalcRankKeyB,0),"")</f>
        <v/>
      </c>
    </row>
    <row r="1464">
      <c r="A1464" s="26" t="n">
        <v>1448</v>
      </c>
      <c r="B1464" s="27">
        <f>IF(AND($M1464="",$N1464=""),"",IF($M1464&lt;&gt;"",INDEX(CalcDateA,$M1464),INDEX(CalcDateB,$N1464)))</f>
        <v/>
      </c>
      <c r="C1464" s="27">
        <f>IF($M1464&lt;&gt;"","خرید سبد",IF($N1464&lt;&gt;"",IF(N(INDEX(CalcDepB,$N1464))&gt;0,"دریافت بانکی","پرداخت بانکی"),""))</f>
        <v/>
      </c>
      <c r="D1464" s="27">
        <f>IF($M1464&lt;&gt;"",IF(INDEX(CalcDocA,$M1464)="","—",INDEX(CalcDocA,$M1464)),IF($N1464&lt;&gt;"",INDEX(CalcBankB,$N1464),""))</f>
        <v/>
      </c>
      <c r="E1464" s="28">
        <f>IF($N1464&lt;&gt;"",IF(INDEX(CalcDepB,$N1464)=0,"",INDEX(CalcDepB,$N1464)),"")</f>
        <v/>
      </c>
      <c r="F1464" s="28">
        <f>IF($M1464&lt;&gt;"",IF(INDEX(CalcQtyA,$M1464)=0,"",INDEX(CalcQtyA,$M1464)),"")</f>
        <v/>
      </c>
      <c r="G1464" s="28">
        <f>IF($M1464&lt;&gt;"",IF(INDEX(CalcPriceA,$M1464)=0,"",INDEX(CalcPriceA,$M1464)),"")</f>
        <v/>
      </c>
      <c r="H1464" s="28">
        <f>IF($N1464&lt;&gt;"",IF(INDEX(CalcWitB,$N1464)=0,"",INDEX(CalcWitB,$N1464)),"")</f>
        <v/>
      </c>
      <c r="I1464" s="29">
        <f>IF($M1464&lt;&gt;"",INDEX(CalcAmtA,$M1464),"")</f>
        <v/>
      </c>
      <c r="J1464" s="29">
        <f>IF($B1464="","",IF($J1463="",$C$8,$J1463)+IF($I1464="",0,$I1464)+IF($E1464="",0,$E1464)-IF($H1464="",0,$H1464))</f>
        <v/>
      </c>
      <c r="K1464" s="30">
        <f>IF($M1464&lt;&gt;"",IF(INDEX(CalcNoteA,$M1464)="","—",INDEX(CalcNoteA,$M1464)),IF($N1464&lt;&gt;"",IF(INDEX(CalcNoteB,$N1464)="","—",INDEX(CalcNoteB,$N1464)),""))</f>
        <v/>
      </c>
      <c r="M1464">
        <f>IFERROR(MATCH($C$5&amp;"|"&amp;RIGHT("000000"&amp;1448,6),CalcRankKeyA,0),"")</f>
        <v/>
      </c>
      <c r="N1464">
        <f>IFERROR(MATCH($C$5&amp;"|"&amp;RIGHT("000000"&amp;1448,6),CalcRankKeyB,0),"")</f>
        <v/>
      </c>
    </row>
    <row r="1465">
      <c r="A1465" s="21" t="n">
        <v>1449</v>
      </c>
      <c r="B1465" s="22">
        <f>IF(AND($M1465="",$N1465=""),"",IF($M1465&lt;&gt;"",INDEX(CalcDateA,$M1465),INDEX(CalcDateB,$N1465)))</f>
        <v/>
      </c>
      <c r="C1465" s="22">
        <f>IF($M1465&lt;&gt;"","خرید سبد",IF($N1465&lt;&gt;"",IF(N(INDEX(CalcDepB,$N1465))&gt;0,"دریافت بانکی","پرداخت بانکی"),""))</f>
        <v/>
      </c>
      <c r="D1465" s="22">
        <f>IF($M1465&lt;&gt;"",IF(INDEX(CalcDocA,$M1465)="","—",INDEX(CalcDocA,$M1465)),IF($N1465&lt;&gt;"",INDEX(CalcBankB,$N1465),""))</f>
        <v/>
      </c>
      <c r="E1465" s="23">
        <f>IF($N1465&lt;&gt;"",IF(INDEX(CalcDepB,$N1465)=0,"",INDEX(CalcDepB,$N1465)),"")</f>
        <v/>
      </c>
      <c r="F1465" s="23">
        <f>IF($M1465&lt;&gt;"",IF(INDEX(CalcQtyA,$M1465)=0,"",INDEX(CalcQtyA,$M1465)),"")</f>
        <v/>
      </c>
      <c r="G1465" s="23">
        <f>IF($M1465&lt;&gt;"",IF(INDEX(CalcPriceA,$M1465)=0,"",INDEX(CalcPriceA,$M1465)),"")</f>
        <v/>
      </c>
      <c r="H1465" s="23">
        <f>IF($N1465&lt;&gt;"",IF(INDEX(CalcWitB,$N1465)=0,"",INDEX(CalcWitB,$N1465)),"")</f>
        <v/>
      </c>
      <c r="I1465" s="24">
        <f>IF($M1465&lt;&gt;"",INDEX(CalcAmtA,$M1465),"")</f>
        <v/>
      </c>
      <c r="J1465" s="24">
        <f>IF($B1465="","",IF($J1464="",$C$8,$J1464)+IF($I1465="",0,$I1465)+IF($E1465="",0,$E1465)-IF($H1465="",0,$H1465))</f>
        <v/>
      </c>
      <c r="K1465" s="25">
        <f>IF($M1465&lt;&gt;"",IF(INDEX(CalcNoteA,$M1465)="","—",INDEX(CalcNoteA,$M1465)),IF($N1465&lt;&gt;"",IF(INDEX(CalcNoteB,$N1465)="","—",INDEX(CalcNoteB,$N1465)),""))</f>
        <v/>
      </c>
      <c r="M1465">
        <f>IFERROR(MATCH($C$5&amp;"|"&amp;RIGHT("000000"&amp;1449,6),CalcRankKeyA,0),"")</f>
        <v/>
      </c>
      <c r="N1465">
        <f>IFERROR(MATCH($C$5&amp;"|"&amp;RIGHT("000000"&amp;1449,6),CalcRankKeyB,0),"")</f>
        <v/>
      </c>
    </row>
    <row r="1466">
      <c r="A1466" s="26" t="n">
        <v>1450</v>
      </c>
      <c r="B1466" s="27">
        <f>IF(AND($M1466="",$N1466=""),"",IF($M1466&lt;&gt;"",INDEX(CalcDateA,$M1466),INDEX(CalcDateB,$N1466)))</f>
        <v/>
      </c>
      <c r="C1466" s="27">
        <f>IF($M1466&lt;&gt;"","خرید سبد",IF($N1466&lt;&gt;"",IF(N(INDEX(CalcDepB,$N1466))&gt;0,"دریافت بانکی","پرداخت بانکی"),""))</f>
        <v/>
      </c>
      <c r="D1466" s="27">
        <f>IF($M1466&lt;&gt;"",IF(INDEX(CalcDocA,$M1466)="","—",INDEX(CalcDocA,$M1466)),IF($N1466&lt;&gt;"",INDEX(CalcBankB,$N1466),""))</f>
        <v/>
      </c>
      <c r="E1466" s="28">
        <f>IF($N1466&lt;&gt;"",IF(INDEX(CalcDepB,$N1466)=0,"",INDEX(CalcDepB,$N1466)),"")</f>
        <v/>
      </c>
      <c r="F1466" s="28">
        <f>IF($M1466&lt;&gt;"",IF(INDEX(CalcQtyA,$M1466)=0,"",INDEX(CalcQtyA,$M1466)),"")</f>
        <v/>
      </c>
      <c r="G1466" s="28">
        <f>IF($M1466&lt;&gt;"",IF(INDEX(CalcPriceA,$M1466)=0,"",INDEX(CalcPriceA,$M1466)),"")</f>
        <v/>
      </c>
      <c r="H1466" s="28">
        <f>IF($N1466&lt;&gt;"",IF(INDEX(CalcWitB,$N1466)=0,"",INDEX(CalcWitB,$N1466)),"")</f>
        <v/>
      </c>
      <c r="I1466" s="29">
        <f>IF($M1466&lt;&gt;"",INDEX(CalcAmtA,$M1466),"")</f>
        <v/>
      </c>
      <c r="J1466" s="29">
        <f>IF($B1466="","",IF($J1465="",$C$8,$J1465)+IF($I1466="",0,$I1466)+IF($E1466="",0,$E1466)-IF($H1466="",0,$H1466))</f>
        <v/>
      </c>
      <c r="K1466" s="30">
        <f>IF($M1466&lt;&gt;"",IF(INDEX(CalcNoteA,$M1466)="","—",INDEX(CalcNoteA,$M1466)),IF($N1466&lt;&gt;"",IF(INDEX(CalcNoteB,$N1466)="","—",INDEX(CalcNoteB,$N1466)),""))</f>
        <v/>
      </c>
      <c r="M1466">
        <f>IFERROR(MATCH($C$5&amp;"|"&amp;RIGHT("000000"&amp;1450,6),CalcRankKeyA,0),"")</f>
        <v/>
      </c>
      <c r="N1466">
        <f>IFERROR(MATCH($C$5&amp;"|"&amp;RIGHT("000000"&amp;1450,6),CalcRankKeyB,0),"")</f>
        <v/>
      </c>
    </row>
    <row r="1467">
      <c r="A1467" s="21" t="n">
        <v>1451</v>
      </c>
      <c r="B1467" s="22">
        <f>IF(AND($M1467="",$N1467=""),"",IF($M1467&lt;&gt;"",INDEX(CalcDateA,$M1467),INDEX(CalcDateB,$N1467)))</f>
        <v/>
      </c>
      <c r="C1467" s="22">
        <f>IF($M1467&lt;&gt;"","خرید سبد",IF($N1467&lt;&gt;"",IF(N(INDEX(CalcDepB,$N1467))&gt;0,"دریافت بانکی","پرداخت بانکی"),""))</f>
        <v/>
      </c>
      <c r="D1467" s="22">
        <f>IF($M1467&lt;&gt;"",IF(INDEX(CalcDocA,$M1467)="","—",INDEX(CalcDocA,$M1467)),IF($N1467&lt;&gt;"",INDEX(CalcBankB,$N1467),""))</f>
        <v/>
      </c>
      <c r="E1467" s="23">
        <f>IF($N1467&lt;&gt;"",IF(INDEX(CalcDepB,$N1467)=0,"",INDEX(CalcDepB,$N1467)),"")</f>
        <v/>
      </c>
      <c r="F1467" s="23">
        <f>IF($M1467&lt;&gt;"",IF(INDEX(CalcQtyA,$M1467)=0,"",INDEX(CalcQtyA,$M1467)),"")</f>
        <v/>
      </c>
      <c r="G1467" s="23">
        <f>IF($M1467&lt;&gt;"",IF(INDEX(CalcPriceA,$M1467)=0,"",INDEX(CalcPriceA,$M1467)),"")</f>
        <v/>
      </c>
      <c r="H1467" s="23">
        <f>IF($N1467&lt;&gt;"",IF(INDEX(CalcWitB,$N1467)=0,"",INDEX(CalcWitB,$N1467)),"")</f>
        <v/>
      </c>
      <c r="I1467" s="24">
        <f>IF($M1467&lt;&gt;"",INDEX(CalcAmtA,$M1467),"")</f>
        <v/>
      </c>
      <c r="J1467" s="24">
        <f>IF($B1467="","",IF($J1466="",$C$8,$J1466)+IF($I1467="",0,$I1467)+IF($E1467="",0,$E1467)-IF($H1467="",0,$H1467))</f>
        <v/>
      </c>
      <c r="K1467" s="25">
        <f>IF($M1467&lt;&gt;"",IF(INDEX(CalcNoteA,$M1467)="","—",INDEX(CalcNoteA,$M1467)),IF($N1467&lt;&gt;"",IF(INDEX(CalcNoteB,$N1467)="","—",INDEX(CalcNoteB,$N1467)),""))</f>
        <v/>
      </c>
      <c r="M1467">
        <f>IFERROR(MATCH($C$5&amp;"|"&amp;RIGHT("000000"&amp;1451,6),CalcRankKeyA,0),"")</f>
        <v/>
      </c>
      <c r="N1467">
        <f>IFERROR(MATCH($C$5&amp;"|"&amp;RIGHT("000000"&amp;1451,6),CalcRankKeyB,0),"")</f>
        <v/>
      </c>
    </row>
    <row r="1468">
      <c r="A1468" s="26" t="n">
        <v>1452</v>
      </c>
      <c r="B1468" s="27">
        <f>IF(AND($M1468="",$N1468=""),"",IF($M1468&lt;&gt;"",INDEX(CalcDateA,$M1468),INDEX(CalcDateB,$N1468)))</f>
        <v/>
      </c>
      <c r="C1468" s="27">
        <f>IF($M1468&lt;&gt;"","خرید سبد",IF($N1468&lt;&gt;"",IF(N(INDEX(CalcDepB,$N1468))&gt;0,"دریافت بانکی","پرداخت بانکی"),""))</f>
        <v/>
      </c>
      <c r="D1468" s="27">
        <f>IF($M1468&lt;&gt;"",IF(INDEX(CalcDocA,$M1468)="","—",INDEX(CalcDocA,$M1468)),IF($N1468&lt;&gt;"",INDEX(CalcBankB,$N1468),""))</f>
        <v/>
      </c>
      <c r="E1468" s="28">
        <f>IF($N1468&lt;&gt;"",IF(INDEX(CalcDepB,$N1468)=0,"",INDEX(CalcDepB,$N1468)),"")</f>
        <v/>
      </c>
      <c r="F1468" s="28">
        <f>IF($M1468&lt;&gt;"",IF(INDEX(CalcQtyA,$M1468)=0,"",INDEX(CalcQtyA,$M1468)),"")</f>
        <v/>
      </c>
      <c r="G1468" s="28">
        <f>IF($M1468&lt;&gt;"",IF(INDEX(CalcPriceA,$M1468)=0,"",INDEX(CalcPriceA,$M1468)),"")</f>
        <v/>
      </c>
      <c r="H1468" s="28">
        <f>IF($N1468&lt;&gt;"",IF(INDEX(CalcWitB,$N1468)=0,"",INDEX(CalcWitB,$N1468)),"")</f>
        <v/>
      </c>
      <c r="I1468" s="29">
        <f>IF($M1468&lt;&gt;"",INDEX(CalcAmtA,$M1468),"")</f>
        <v/>
      </c>
      <c r="J1468" s="29">
        <f>IF($B1468="","",IF($J1467="",$C$8,$J1467)+IF($I1468="",0,$I1468)+IF($E1468="",0,$E1468)-IF($H1468="",0,$H1468))</f>
        <v/>
      </c>
      <c r="K1468" s="30">
        <f>IF($M1468&lt;&gt;"",IF(INDEX(CalcNoteA,$M1468)="","—",INDEX(CalcNoteA,$M1468)),IF($N1468&lt;&gt;"",IF(INDEX(CalcNoteB,$N1468)="","—",INDEX(CalcNoteB,$N1468)),""))</f>
        <v/>
      </c>
      <c r="M1468">
        <f>IFERROR(MATCH($C$5&amp;"|"&amp;RIGHT("000000"&amp;1452,6),CalcRankKeyA,0),"")</f>
        <v/>
      </c>
      <c r="N1468">
        <f>IFERROR(MATCH($C$5&amp;"|"&amp;RIGHT("000000"&amp;1452,6),CalcRankKeyB,0),"")</f>
        <v/>
      </c>
    </row>
    <row r="1469">
      <c r="A1469" s="21" t="n">
        <v>1453</v>
      </c>
      <c r="B1469" s="22">
        <f>IF(AND($M1469="",$N1469=""),"",IF($M1469&lt;&gt;"",INDEX(CalcDateA,$M1469),INDEX(CalcDateB,$N1469)))</f>
        <v/>
      </c>
      <c r="C1469" s="22">
        <f>IF($M1469&lt;&gt;"","خرید سبد",IF($N1469&lt;&gt;"",IF(N(INDEX(CalcDepB,$N1469))&gt;0,"دریافت بانکی","پرداخت بانکی"),""))</f>
        <v/>
      </c>
      <c r="D1469" s="22">
        <f>IF($M1469&lt;&gt;"",IF(INDEX(CalcDocA,$M1469)="","—",INDEX(CalcDocA,$M1469)),IF($N1469&lt;&gt;"",INDEX(CalcBankB,$N1469),""))</f>
        <v/>
      </c>
      <c r="E1469" s="23">
        <f>IF($N1469&lt;&gt;"",IF(INDEX(CalcDepB,$N1469)=0,"",INDEX(CalcDepB,$N1469)),"")</f>
        <v/>
      </c>
      <c r="F1469" s="23">
        <f>IF($M1469&lt;&gt;"",IF(INDEX(CalcQtyA,$M1469)=0,"",INDEX(CalcQtyA,$M1469)),"")</f>
        <v/>
      </c>
      <c r="G1469" s="23">
        <f>IF($M1469&lt;&gt;"",IF(INDEX(CalcPriceA,$M1469)=0,"",INDEX(CalcPriceA,$M1469)),"")</f>
        <v/>
      </c>
      <c r="H1469" s="23">
        <f>IF($N1469&lt;&gt;"",IF(INDEX(CalcWitB,$N1469)=0,"",INDEX(CalcWitB,$N1469)),"")</f>
        <v/>
      </c>
      <c r="I1469" s="24">
        <f>IF($M1469&lt;&gt;"",INDEX(CalcAmtA,$M1469),"")</f>
        <v/>
      </c>
      <c r="J1469" s="24">
        <f>IF($B1469="","",IF($J1468="",$C$8,$J1468)+IF($I1469="",0,$I1469)+IF($E1469="",0,$E1469)-IF($H1469="",0,$H1469))</f>
        <v/>
      </c>
      <c r="K1469" s="25">
        <f>IF($M1469&lt;&gt;"",IF(INDEX(CalcNoteA,$M1469)="","—",INDEX(CalcNoteA,$M1469)),IF($N1469&lt;&gt;"",IF(INDEX(CalcNoteB,$N1469)="","—",INDEX(CalcNoteB,$N1469)),""))</f>
        <v/>
      </c>
      <c r="M1469">
        <f>IFERROR(MATCH($C$5&amp;"|"&amp;RIGHT("000000"&amp;1453,6),CalcRankKeyA,0),"")</f>
        <v/>
      </c>
      <c r="N1469">
        <f>IFERROR(MATCH($C$5&amp;"|"&amp;RIGHT("000000"&amp;1453,6),CalcRankKeyB,0),"")</f>
        <v/>
      </c>
    </row>
    <row r="1470">
      <c r="A1470" s="26" t="n">
        <v>1454</v>
      </c>
      <c r="B1470" s="27">
        <f>IF(AND($M1470="",$N1470=""),"",IF($M1470&lt;&gt;"",INDEX(CalcDateA,$M1470),INDEX(CalcDateB,$N1470)))</f>
        <v/>
      </c>
      <c r="C1470" s="27">
        <f>IF($M1470&lt;&gt;"","خرید سبد",IF($N1470&lt;&gt;"",IF(N(INDEX(CalcDepB,$N1470))&gt;0,"دریافت بانکی","پرداخت بانکی"),""))</f>
        <v/>
      </c>
      <c r="D1470" s="27">
        <f>IF($M1470&lt;&gt;"",IF(INDEX(CalcDocA,$M1470)="","—",INDEX(CalcDocA,$M1470)),IF($N1470&lt;&gt;"",INDEX(CalcBankB,$N1470),""))</f>
        <v/>
      </c>
      <c r="E1470" s="28">
        <f>IF($N1470&lt;&gt;"",IF(INDEX(CalcDepB,$N1470)=0,"",INDEX(CalcDepB,$N1470)),"")</f>
        <v/>
      </c>
      <c r="F1470" s="28">
        <f>IF($M1470&lt;&gt;"",IF(INDEX(CalcQtyA,$M1470)=0,"",INDEX(CalcQtyA,$M1470)),"")</f>
        <v/>
      </c>
      <c r="G1470" s="28">
        <f>IF($M1470&lt;&gt;"",IF(INDEX(CalcPriceA,$M1470)=0,"",INDEX(CalcPriceA,$M1470)),"")</f>
        <v/>
      </c>
      <c r="H1470" s="28">
        <f>IF($N1470&lt;&gt;"",IF(INDEX(CalcWitB,$N1470)=0,"",INDEX(CalcWitB,$N1470)),"")</f>
        <v/>
      </c>
      <c r="I1470" s="29">
        <f>IF($M1470&lt;&gt;"",INDEX(CalcAmtA,$M1470),"")</f>
        <v/>
      </c>
      <c r="J1470" s="29">
        <f>IF($B1470="","",IF($J1469="",$C$8,$J1469)+IF($I1470="",0,$I1470)+IF($E1470="",0,$E1470)-IF($H1470="",0,$H1470))</f>
        <v/>
      </c>
      <c r="K1470" s="30">
        <f>IF($M1470&lt;&gt;"",IF(INDEX(CalcNoteA,$M1470)="","—",INDEX(CalcNoteA,$M1470)),IF($N1470&lt;&gt;"",IF(INDEX(CalcNoteB,$N1470)="","—",INDEX(CalcNoteB,$N1470)),""))</f>
        <v/>
      </c>
      <c r="M1470">
        <f>IFERROR(MATCH($C$5&amp;"|"&amp;RIGHT("000000"&amp;1454,6),CalcRankKeyA,0),"")</f>
        <v/>
      </c>
      <c r="N1470">
        <f>IFERROR(MATCH($C$5&amp;"|"&amp;RIGHT("000000"&amp;1454,6),CalcRankKeyB,0),"")</f>
        <v/>
      </c>
    </row>
    <row r="1471">
      <c r="A1471" s="21" t="n">
        <v>1455</v>
      </c>
      <c r="B1471" s="22">
        <f>IF(AND($M1471="",$N1471=""),"",IF($M1471&lt;&gt;"",INDEX(CalcDateA,$M1471),INDEX(CalcDateB,$N1471)))</f>
        <v/>
      </c>
      <c r="C1471" s="22">
        <f>IF($M1471&lt;&gt;"","خرید سبد",IF($N1471&lt;&gt;"",IF(N(INDEX(CalcDepB,$N1471))&gt;0,"دریافت بانکی","پرداخت بانکی"),""))</f>
        <v/>
      </c>
      <c r="D1471" s="22">
        <f>IF($M1471&lt;&gt;"",IF(INDEX(CalcDocA,$M1471)="","—",INDEX(CalcDocA,$M1471)),IF($N1471&lt;&gt;"",INDEX(CalcBankB,$N1471),""))</f>
        <v/>
      </c>
      <c r="E1471" s="23">
        <f>IF($N1471&lt;&gt;"",IF(INDEX(CalcDepB,$N1471)=0,"",INDEX(CalcDepB,$N1471)),"")</f>
        <v/>
      </c>
      <c r="F1471" s="23">
        <f>IF($M1471&lt;&gt;"",IF(INDEX(CalcQtyA,$M1471)=0,"",INDEX(CalcQtyA,$M1471)),"")</f>
        <v/>
      </c>
      <c r="G1471" s="23">
        <f>IF($M1471&lt;&gt;"",IF(INDEX(CalcPriceA,$M1471)=0,"",INDEX(CalcPriceA,$M1471)),"")</f>
        <v/>
      </c>
      <c r="H1471" s="23">
        <f>IF($N1471&lt;&gt;"",IF(INDEX(CalcWitB,$N1471)=0,"",INDEX(CalcWitB,$N1471)),"")</f>
        <v/>
      </c>
      <c r="I1471" s="24">
        <f>IF($M1471&lt;&gt;"",INDEX(CalcAmtA,$M1471),"")</f>
        <v/>
      </c>
      <c r="J1471" s="24">
        <f>IF($B1471="","",IF($J1470="",$C$8,$J1470)+IF($I1471="",0,$I1471)+IF($E1471="",0,$E1471)-IF($H1471="",0,$H1471))</f>
        <v/>
      </c>
      <c r="K1471" s="25">
        <f>IF($M1471&lt;&gt;"",IF(INDEX(CalcNoteA,$M1471)="","—",INDEX(CalcNoteA,$M1471)),IF($N1471&lt;&gt;"",IF(INDEX(CalcNoteB,$N1471)="","—",INDEX(CalcNoteB,$N1471)),""))</f>
        <v/>
      </c>
      <c r="M1471">
        <f>IFERROR(MATCH($C$5&amp;"|"&amp;RIGHT("000000"&amp;1455,6),CalcRankKeyA,0),"")</f>
        <v/>
      </c>
      <c r="N1471">
        <f>IFERROR(MATCH($C$5&amp;"|"&amp;RIGHT("000000"&amp;1455,6),CalcRankKeyB,0),"")</f>
        <v/>
      </c>
    </row>
    <row r="1472">
      <c r="A1472" s="26" t="n">
        <v>1456</v>
      </c>
      <c r="B1472" s="27">
        <f>IF(AND($M1472="",$N1472=""),"",IF($M1472&lt;&gt;"",INDEX(CalcDateA,$M1472),INDEX(CalcDateB,$N1472)))</f>
        <v/>
      </c>
      <c r="C1472" s="27">
        <f>IF($M1472&lt;&gt;"","خرید سبد",IF($N1472&lt;&gt;"",IF(N(INDEX(CalcDepB,$N1472))&gt;0,"دریافت بانکی","پرداخت بانکی"),""))</f>
        <v/>
      </c>
      <c r="D1472" s="27">
        <f>IF($M1472&lt;&gt;"",IF(INDEX(CalcDocA,$M1472)="","—",INDEX(CalcDocA,$M1472)),IF($N1472&lt;&gt;"",INDEX(CalcBankB,$N1472),""))</f>
        <v/>
      </c>
      <c r="E1472" s="28">
        <f>IF($N1472&lt;&gt;"",IF(INDEX(CalcDepB,$N1472)=0,"",INDEX(CalcDepB,$N1472)),"")</f>
        <v/>
      </c>
      <c r="F1472" s="28">
        <f>IF($M1472&lt;&gt;"",IF(INDEX(CalcQtyA,$M1472)=0,"",INDEX(CalcQtyA,$M1472)),"")</f>
        <v/>
      </c>
      <c r="G1472" s="28">
        <f>IF($M1472&lt;&gt;"",IF(INDEX(CalcPriceA,$M1472)=0,"",INDEX(CalcPriceA,$M1472)),"")</f>
        <v/>
      </c>
      <c r="H1472" s="28">
        <f>IF($N1472&lt;&gt;"",IF(INDEX(CalcWitB,$N1472)=0,"",INDEX(CalcWitB,$N1472)),"")</f>
        <v/>
      </c>
      <c r="I1472" s="29">
        <f>IF($M1472&lt;&gt;"",INDEX(CalcAmtA,$M1472),"")</f>
        <v/>
      </c>
      <c r="J1472" s="29">
        <f>IF($B1472="","",IF($J1471="",$C$8,$J1471)+IF($I1472="",0,$I1472)+IF($E1472="",0,$E1472)-IF($H1472="",0,$H1472))</f>
        <v/>
      </c>
      <c r="K1472" s="30">
        <f>IF($M1472&lt;&gt;"",IF(INDEX(CalcNoteA,$M1472)="","—",INDEX(CalcNoteA,$M1472)),IF($N1472&lt;&gt;"",IF(INDEX(CalcNoteB,$N1472)="","—",INDEX(CalcNoteB,$N1472)),""))</f>
        <v/>
      </c>
      <c r="M1472">
        <f>IFERROR(MATCH($C$5&amp;"|"&amp;RIGHT("000000"&amp;1456,6),CalcRankKeyA,0),"")</f>
        <v/>
      </c>
      <c r="N1472">
        <f>IFERROR(MATCH($C$5&amp;"|"&amp;RIGHT("000000"&amp;1456,6),CalcRankKeyB,0),"")</f>
        <v/>
      </c>
    </row>
    <row r="1473">
      <c r="A1473" s="21" t="n">
        <v>1457</v>
      </c>
      <c r="B1473" s="22">
        <f>IF(AND($M1473="",$N1473=""),"",IF($M1473&lt;&gt;"",INDEX(CalcDateA,$M1473),INDEX(CalcDateB,$N1473)))</f>
        <v/>
      </c>
      <c r="C1473" s="22">
        <f>IF($M1473&lt;&gt;"","خرید سبد",IF($N1473&lt;&gt;"",IF(N(INDEX(CalcDepB,$N1473))&gt;0,"دریافت بانکی","پرداخت بانکی"),""))</f>
        <v/>
      </c>
      <c r="D1473" s="22">
        <f>IF($M1473&lt;&gt;"",IF(INDEX(CalcDocA,$M1473)="","—",INDEX(CalcDocA,$M1473)),IF($N1473&lt;&gt;"",INDEX(CalcBankB,$N1473),""))</f>
        <v/>
      </c>
      <c r="E1473" s="23">
        <f>IF($N1473&lt;&gt;"",IF(INDEX(CalcDepB,$N1473)=0,"",INDEX(CalcDepB,$N1473)),"")</f>
        <v/>
      </c>
      <c r="F1473" s="23">
        <f>IF($M1473&lt;&gt;"",IF(INDEX(CalcQtyA,$M1473)=0,"",INDEX(CalcQtyA,$M1473)),"")</f>
        <v/>
      </c>
      <c r="G1473" s="23">
        <f>IF($M1473&lt;&gt;"",IF(INDEX(CalcPriceA,$M1473)=0,"",INDEX(CalcPriceA,$M1473)),"")</f>
        <v/>
      </c>
      <c r="H1473" s="23">
        <f>IF($N1473&lt;&gt;"",IF(INDEX(CalcWitB,$N1473)=0,"",INDEX(CalcWitB,$N1473)),"")</f>
        <v/>
      </c>
      <c r="I1473" s="24">
        <f>IF($M1473&lt;&gt;"",INDEX(CalcAmtA,$M1473),"")</f>
        <v/>
      </c>
      <c r="J1473" s="24">
        <f>IF($B1473="","",IF($J1472="",$C$8,$J1472)+IF($I1473="",0,$I1473)+IF($E1473="",0,$E1473)-IF($H1473="",0,$H1473))</f>
        <v/>
      </c>
      <c r="K1473" s="25">
        <f>IF($M1473&lt;&gt;"",IF(INDEX(CalcNoteA,$M1473)="","—",INDEX(CalcNoteA,$M1473)),IF($N1473&lt;&gt;"",IF(INDEX(CalcNoteB,$N1473)="","—",INDEX(CalcNoteB,$N1473)),""))</f>
        <v/>
      </c>
      <c r="M1473">
        <f>IFERROR(MATCH($C$5&amp;"|"&amp;RIGHT("000000"&amp;1457,6),CalcRankKeyA,0),"")</f>
        <v/>
      </c>
      <c r="N1473">
        <f>IFERROR(MATCH($C$5&amp;"|"&amp;RIGHT("000000"&amp;1457,6),CalcRankKeyB,0),"")</f>
        <v/>
      </c>
    </row>
    <row r="1474">
      <c r="A1474" s="26" t="n">
        <v>1458</v>
      </c>
      <c r="B1474" s="27">
        <f>IF(AND($M1474="",$N1474=""),"",IF($M1474&lt;&gt;"",INDEX(CalcDateA,$M1474),INDEX(CalcDateB,$N1474)))</f>
        <v/>
      </c>
      <c r="C1474" s="27">
        <f>IF($M1474&lt;&gt;"","خرید سبد",IF($N1474&lt;&gt;"",IF(N(INDEX(CalcDepB,$N1474))&gt;0,"دریافت بانکی","پرداخت بانکی"),""))</f>
        <v/>
      </c>
      <c r="D1474" s="27">
        <f>IF($M1474&lt;&gt;"",IF(INDEX(CalcDocA,$M1474)="","—",INDEX(CalcDocA,$M1474)),IF($N1474&lt;&gt;"",INDEX(CalcBankB,$N1474),""))</f>
        <v/>
      </c>
      <c r="E1474" s="28">
        <f>IF($N1474&lt;&gt;"",IF(INDEX(CalcDepB,$N1474)=0,"",INDEX(CalcDepB,$N1474)),"")</f>
        <v/>
      </c>
      <c r="F1474" s="28">
        <f>IF($M1474&lt;&gt;"",IF(INDEX(CalcQtyA,$M1474)=0,"",INDEX(CalcQtyA,$M1474)),"")</f>
        <v/>
      </c>
      <c r="G1474" s="28">
        <f>IF($M1474&lt;&gt;"",IF(INDEX(CalcPriceA,$M1474)=0,"",INDEX(CalcPriceA,$M1474)),"")</f>
        <v/>
      </c>
      <c r="H1474" s="28">
        <f>IF($N1474&lt;&gt;"",IF(INDEX(CalcWitB,$N1474)=0,"",INDEX(CalcWitB,$N1474)),"")</f>
        <v/>
      </c>
      <c r="I1474" s="29">
        <f>IF($M1474&lt;&gt;"",INDEX(CalcAmtA,$M1474),"")</f>
        <v/>
      </c>
      <c r="J1474" s="29">
        <f>IF($B1474="","",IF($J1473="",$C$8,$J1473)+IF($I1474="",0,$I1474)+IF($E1474="",0,$E1474)-IF($H1474="",0,$H1474))</f>
        <v/>
      </c>
      <c r="K1474" s="30">
        <f>IF($M1474&lt;&gt;"",IF(INDEX(CalcNoteA,$M1474)="","—",INDEX(CalcNoteA,$M1474)),IF($N1474&lt;&gt;"",IF(INDEX(CalcNoteB,$N1474)="","—",INDEX(CalcNoteB,$N1474)),""))</f>
        <v/>
      </c>
      <c r="M1474">
        <f>IFERROR(MATCH($C$5&amp;"|"&amp;RIGHT("000000"&amp;1458,6),CalcRankKeyA,0),"")</f>
        <v/>
      </c>
      <c r="N1474">
        <f>IFERROR(MATCH($C$5&amp;"|"&amp;RIGHT("000000"&amp;1458,6),CalcRankKeyB,0),"")</f>
        <v/>
      </c>
    </row>
    <row r="1475">
      <c r="A1475" s="21" t="n">
        <v>1459</v>
      </c>
      <c r="B1475" s="22">
        <f>IF(AND($M1475="",$N1475=""),"",IF($M1475&lt;&gt;"",INDEX(CalcDateA,$M1475),INDEX(CalcDateB,$N1475)))</f>
        <v/>
      </c>
      <c r="C1475" s="22">
        <f>IF($M1475&lt;&gt;"","خرید سبد",IF($N1475&lt;&gt;"",IF(N(INDEX(CalcDepB,$N1475))&gt;0,"دریافت بانکی","پرداخت بانکی"),""))</f>
        <v/>
      </c>
      <c r="D1475" s="22">
        <f>IF($M1475&lt;&gt;"",IF(INDEX(CalcDocA,$M1475)="","—",INDEX(CalcDocA,$M1475)),IF($N1475&lt;&gt;"",INDEX(CalcBankB,$N1475),""))</f>
        <v/>
      </c>
      <c r="E1475" s="23">
        <f>IF($N1475&lt;&gt;"",IF(INDEX(CalcDepB,$N1475)=0,"",INDEX(CalcDepB,$N1475)),"")</f>
        <v/>
      </c>
      <c r="F1475" s="23">
        <f>IF($M1475&lt;&gt;"",IF(INDEX(CalcQtyA,$M1475)=0,"",INDEX(CalcQtyA,$M1475)),"")</f>
        <v/>
      </c>
      <c r="G1475" s="23">
        <f>IF($M1475&lt;&gt;"",IF(INDEX(CalcPriceA,$M1475)=0,"",INDEX(CalcPriceA,$M1475)),"")</f>
        <v/>
      </c>
      <c r="H1475" s="23">
        <f>IF($N1475&lt;&gt;"",IF(INDEX(CalcWitB,$N1475)=0,"",INDEX(CalcWitB,$N1475)),"")</f>
        <v/>
      </c>
      <c r="I1475" s="24">
        <f>IF($M1475&lt;&gt;"",INDEX(CalcAmtA,$M1475),"")</f>
        <v/>
      </c>
      <c r="J1475" s="24">
        <f>IF($B1475="","",IF($J1474="",$C$8,$J1474)+IF($I1475="",0,$I1475)+IF($E1475="",0,$E1475)-IF($H1475="",0,$H1475))</f>
        <v/>
      </c>
      <c r="K1475" s="25">
        <f>IF($M1475&lt;&gt;"",IF(INDEX(CalcNoteA,$M1475)="","—",INDEX(CalcNoteA,$M1475)),IF($N1475&lt;&gt;"",IF(INDEX(CalcNoteB,$N1475)="","—",INDEX(CalcNoteB,$N1475)),""))</f>
        <v/>
      </c>
      <c r="M1475">
        <f>IFERROR(MATCH($C$5&amp;"|"&amp;RIGHT("000000"&amp;1459,6),CalcRankKeyA,0),"")</f>
        <v/>
      </c>
      <c r="N1475">
        <f>IFERROR(MATCH($C$5&amp;"|"&amp;RIGHT("000000"&amp;1459,6),CalcRankKeyB,0),"")</f>
        <v/>
      </c>
    </row>
    <row r="1476">
      <c r="A1476" s="26" t="n">
        <v>1460</v>
      </c>
      <c r="B1476" s="27">
        <f>IF(AND($M1476="",$N1476=""),"",IF($M1476&lt;&gt;"",INDEX(CalcDateA,$M1476),INDEX(CalcDateB,$N1476)))</f>
        <v/>
      </c>
      <c r="C1476" s="27">
        <f>IF($M1476&lt;&gt;"","خرید سبد",IF($N1476&lt;&gt;"",IF(N(INDEX(CalcDepB,$N1476))&gt;0,"دریافت بانکی","پرداخت بانکی"),""))</f>
        <v/>
      </c>
      <c r="D1476" s="27">
        <f>IF($M1476&lt;&gt;"",IF(INDEX(CalcDocA,$M1476)="","—",INDEX(CalcDocA,$M1476)),IF($N1476&lt;&gt;"",INDEX(CalcBankB,$N1476),""))</f>
        <v/>
      </c>
      <c r="E1476" s="28">
        <f>IF($N1476&lt;&gt;"",IF(INDEX(CalcDepB,$N1476)=0,"",INDEX(CalcDepB,$N1476)),"")</f>
        <v/>
      </c>
      <c r="F1476" s="28">
        <f>IF($M1476&lt;&gt;"",IF(INDEX(CalcQtyA,$M1476)=0,"",INDEX(CalcQtyA,$M1476)),"")</f>
        <v/>
      </c>
      <c r="G1476" s="28">
        <f>IF($M1476&lt;&gt;"",IF(INDEX(CalcPriceA,$M1476)=0,"",INDEX(CalcPriceA,$M1476)),"")</f>
        <v/>
      </c>
      <c r="H1476" s="28">
        <f>IF($N1476&lt;&gt;"",IF(INDEX(CalcWitB,$N1476)=0,"",INDEX(CalcWitB,$N1476)),"")</f>
        <v/>
      </c>
      <c r="I1476" s="29">
        <f>IF($M1476&lt;&gt;"",INDEX(CalcAmtA,$M1476),"")</f>
        <v/>
      </c>
      <c r="J1476" s="29">
        <f>IF($B1476="","",IF($J1475="",$C$8,$J1475)+IF($I1476="",0,$I1476)+IF($E1476="",0,$E1476)-IF($H1476="",0,$H1476))</f>
        <v/>
      </c>
      <c r="K1476" s="30">
        <f>IF($M1476&lt;&gt;"",IF(INDEX(CalcNoteA,$M1476)="","—",INDEX(CalcNoteA,$M1476)),IF($N1476&lt;&gt;"",IF(INDEX(CalcNoteB,$N1476)="","—",INDEX(CalcNoteB,$N1476)),""))</f>
        <v/>
      </c>
      <c r="M1476">
        <f>IFERROR(MATCH($C$5&amp;"|"&amp;RIGHT("000000"&amp;1460,6),CalcRankKeyA,0),"")</f>
        <v/>
      </c>
      <c r="N1476">
        <f>IFERROR(MATCH($C$5&amp;"|"&amp;RIGHT("000000"&amp;1460,6),CalcRankKeyB,0),"")</f>
        <v/>
      </c>
    </row>
    <row r="1477">
      <c r="A1477" s="21" t="n">
        <v>1461</v>
      </c>
      <c r="B1477" s="22">
        <f>IF(AND($M1477="",$N1477=""),"",IF($M1477&lt;&gt;"",INDEX(CalcDateA,$M1477),INDEX(CalcDateB,$N1477)))</f>
        <v/>
      </c>
      <c r="C1477" s="22">
        <f>IF($M1477&lt;&gt;"","خرید سبد",IF($N1477&lt;&gt;"",IF(N(INDEX(CalcDepB,$N1477))&gt;0,"دریافت بانکی","پرداخت بانکی"),""))</f>
        <v/>
      </c>
      <c r="D1477" s="22">
        <f>IF($M1477&lt;&gt;"",IF(INDEX(CalcDocA,$M1477)="","—",INDEX(CalcDocA,$M1477)),IF($N1477&lt;&gt;"",INDEX(CalcBankB,$N1477),""))</f>
        <v/>
      </c>
      <c r="E1477" s="23">
        <f>IF($N1477&lt;&gt;"",IF(INDEX(CalcDepB,$N1477)=0,"",INDEX(CalcDepB,$N1477)),"")</f>
        <v/>
      </c>
      <c r="F1477" s="23">
        <f>IF($M1477&lt;&gt;"",IF(INDEX(CalcQtyA,$M1477)=0,"",INDEX(CalcQtyA,$M1477)),"")</f>
        <v/>
      </c>
      <c r="G1477" s="23">
        <f>IF($M1477&lt;&gt;"",IF(INDEX(CalcPriceA,$M1477)=0,"",INDEX(CalcPriceA,$M1477)),"")</f>
        <v/>
      </c>
      <c r="H1477" s="23">
        <f>IF($N1477&lt;&gt;"",IF(INDEX(CalcWitB,$N1477)=0,"",INDEX(CalcWitB,$N1477)),"")</f>
        <v/>
      </c>
      <c r="I1477" s="24">
        <f>IF($M1477&lt;&gt;"",INDEX(CalcAmtA,$M1477),"")</f>
        <v/>
      </c>
      <c r="J1477" s="24">
        <f>IF($B1477="","",IF($J1476="",$C$8,$J1476)+IF($I1477="",0,$I1477)+IF($E1477="",0,$E1477)-IF($H1477="",0,$H1477))</f>
        <v/>
      </c>
      <c r="K1477" s="25">
        <f>IF($M1477&lt;&gt;"",IF(INDEX(CalcNoteA,$M1477)="","—",INDEX(CalcNoteA,$M1477)),IF($N1477&lt;&gt;"",IF(INDEX(CalcNoteB,$N1477)="","—",INDEX(CalcNoteB,$N1477)),""))</f>
        <v/>
      </c>
      <c r="M1477">
        <f>IFERROR(MATCH($C$5&amp;"|"&amp;RIGHT("000000"&amp;1461,6),CalcRankKeyA,0),"")</f>
        <v/>
      </c>
      <c r="N1477">
        <f>IFERROR(MATCH($C$5&amp;"|"&amp;RIGHT("000000"&amp;1461,6),CalcRankKeyB,0),"")</f>
        <v/>
      </c>
    </row>
    <row r="1478">
      <c r="A1478" s="26" t="n">
        <v>1462</v>
      </c>
      <c r="B1478" s="27">
        <f>IF(AND($M1478="",$N1478=""),"",IF($M1478&lt;&gt;"",INDEX(CalcDateA,$M1478),INDEX(CalcDateB,$N1478)))</f>
        <v/>
      </c>
      <c r="C1478" s="27">
        <f>IF($M1478&lt;&gt;"","خرید سبد",IF($N1478&lt;&gt;"",IF(N(INDEX(CalcDepB,$N1478))&gt;0,"دریافت بانکی","پرداخت بانکی"),""))</f>
        <v/>
      </c>
      <c r="D1478" s="27">
        <f>IF($M1478&lt;&gt;"",IF(INDEX(CalcDocA,$M1478)="","—",INDEX(CalcDocA,$M1478)),IF($N1478&lt;&gt;"",INDEX(CalcBankB,$N1478),""))</f>
        <v/>
      </c>
      <c r="E1478" s="28">
        <f>IF($N1478&lt;&gt;"",IF(INDEX(CalcDepB,$N1478)=0,"",INDEX(CalcDepB,$N1478)),"")</f>
        <v/>
      </c>
      <c r="F1478" s="28">
        <f>IF($M1478&lt;&gt;"",IF(INDEX(CalcQtyA,$M1478)=0,"",INDEX(CalcQtyA,$M1478)),"")</f>
        <v/>
      </c>
      <c r="G1478" s="28">
        <f>IF($M1478&lt;&gt;"",IF(INDEX(CalcPriceA,$M1478)=0,"",INDEX(CalcPriceA,$M1478)),"")</f>
        <v/>
      </c>
      <c r="H1478" s="28">
        <f>IF($N1478&lt;&gt;"",IF(INDEX(CalcWitB,$N1478)=0,"",INDEX(CalcWitB,$N1478)),"")</f>
        <v/>
      </c>
      <c r="I1478" s="29">
        <f>IF($M1478&lt;&gt;"",INDEX(CalcAmtA,$M1478),"")</f>
        <v/>
      </c>
      <c r="J1478" s="29">
        <f>IF($B1478="","",IF($J1477="",$C$8,$J1477)+IF($I1478="",0,$I1478)+IF($E1478="",0,$E1478)-IF($H1478="",0,$H1478))</f>
        <v/>
      </c>
      <c r="K1478" s="30">
        <f>IF($M1478&lt;&gt;"",IF(INDEX(CalcNoteA,$M1478)="","—",INDEX(CalcNoteA,$M1478)),IF($N1478&lt;&gt;"",IF(INDEX(CalcNoteB,$N1478)="","—",INDEX(CalcNoteB,$N1478)),""))</f>
        <v/>
      </c>
      <c r="M1478">
        <f>IFERROR(MATCH($C$5&amp;"|"&amp;RIGHT("000000"&amp;1462,6),CalcRankKeyA,0),"")</f>
        <v/>
      </c>
      <c r="N1478">
        <f>IFERROR(MATCH($C$5&amp;"|"&amp;RIGHT("000000"&amp;1462,6),CalcRankKeyB,0),"")</f>
        <v/>
      </c>
    </row>
    <row r="1479">
      <c r="A1479" s="21" t="n">
        <v>1463</v>
      </c>
      <c r="B1479" s="22">
        <f>IF(AND($M1479="",$N1479=""),"",IF($M1479&lt;&gt;"",INDEX(CalcDateA,$M1479),INDEX(CalcDateB,$N1479)))</f>
        <v/>
      </c>
      <c r="C1479" s="22">
        <f>IF($M1479&lt;&gt;"","خرید سبد",IF($N1479&lt;&gt;"",IF(N(INDEX(CalcDepB,$N1479))&gt;0,"دریافت بانکی","پرداخت بانکی"),""))</f>
        <v/>
      </c>
      <c r="D1479" s="22">
        <f>IF($M1479&lt;&gt;"",IF(INDEX(CalcDocA,$M1479)="","—",INDEX(CalcDocA,$M1479)),IF($N1479&lt;&gt;"",INDEX(CalcBankB,$N1479),""))</f>
        <v/>
      </c>
      <c r="E1479" s="23">
        <f>IF($N1479&lt;&gt;"",IF(INDEX(CalcDepB,$N1479)=0,"",INDEX(CalcDepB,$N1479)),"")</f>
        <v/>
      </c>
      <c r="F1479" s="23">
        <f>IF($M1479&lt;&gt;"",IF(INDEX(CalcQtyA,$M1479)=0,"",INDEX(CalcQtyA,$M1479)),"")</f>
        <v/>
      </c>
      <c r="G1479" s="23">
        <f>IF($M1479&lt;&gt;"",IF(INDEX(CalcPriceA,$M1479)=0,"",INDEX(CalcPriceA,$M1479)),"")</f>
        <v/>
      </c>
      <c r="H1479" s="23">
        <f>IF($N1479&lt;&gt;"",IF(INDEX(CalcWitB,$N1479)=0,"",INDEX(CalcWitB,$N1479)),"")</f>
        <v/>
      </c>
      <c r="I1479" s="24">
        <f>IF($M1479&lt;&gt;"",INDEX(CalcAmtA,$M1479),"")</f>
        <v/>
      </c>
      <c r="J1479" s="24">
        <f>IF($B1479="","",IF($J1478="",$C$8,$J1478)+IF($I1479="",0,$I1479)+IF($E1479="",0,$E1479)-IF($H1479="",0,$H1479))</f>
        <v/>
      </c>
      <c r="K1479" s="25">
        <f>IF($M1479&lt;&gt;"",IF(INDEX(CalcNoteA,$M1479)="","—",INDEX(CalcNoteA,$M1479)),IF($N1479&lt;&gt;"",IF(INDEX(CalcNoteB,$N1479)="","—",INDEX(CalcNoteB,$N1479)),""))</f>
        <v/>
      </c>
      <c r="M1479">
        <f>IFERROR(MATCH($C$5&amp;"|"&amp;RIGHT("000000"&amp;1463,6),CalcRankKeyA,0),"")</f>
        <v/>
      </c>
      <c r="N1479">
        <f>IFERROR(MATCH($C$5&amp;"|"&amp;RIGHT("000000"&amp;1463,6),CalcRankKeyB,0),"")</f>
        <v/>
      </c>
    </row>
    <row r="1480">
      <c r="A1480" s="26" t="n">
        <v>1464</v>
      </c>
      <c r="B1480" s="27">
        <f>IF(AND($M1480="",$N1480=""),"",IF($M1480&lt;&gt;"",INDEX(CalcDateA,$M1480),INDEX(CalcDateB,$N1480)))</f>
        <v/>
      </c>
      <c r="C1480" s="27">
        <f>IF($M1480&lt;&gt;"","خرید سبد",IF($N1480&lt;&gt;"",IF(N(INDEX(CalcDepB,$N1480))&gt;0,"دریافت بانکی","پرداخت بانکی"),""))</f>
        <v/>
      </c>
      <c r="D1480" s="27">
        <f>IF($M1480&lt;&gt;"",IF(INDEX(CalcDocA,$M1480)="","—",INDEX(CalcDocA,$M1480)),IF($N1480&lt;&gt;"",INDEX(CalcBankB,$N1480),""))</f>
        <v/>
      </c>
      <c r="E1480" s="28">
        <f>IF($N1480&lt;&gt;"",IF(INDEX(CalcDepB,$N1480)=0,"",INDEX(CalcDepB,$N1480)),"")</f>
        <v/>
      </c>
      <c r="F1480" s="28">
        <f>IF($M1480&lt;&gt;"",IF(INDEX(CalcQtyA,$M1480)=0,"",INDEX(CalcQtyA,$M1480)),"")</f>
        <v/>
      </c>
      <c r="G1480" s="28">
        <f>IF($M1480&lt;&gt;"",IF(INDEX(CalcPriceA,$M1480)=0,"",INDEX(CalcPriceA,$M1480)),"")</f>
        <v/>
      </c>
      <c r="H1480" s="28">
        <f>IF($N1480&lt;&gt;"",IF(INDEX(CalcWitB,$N1480)=0,"",INDEX(CalcWitB,$N1480)),"")</f>
        <v/>
      </c>
      <c r="I1480" s="29">
        <f>IF($M1480&lt;&gt;"",INDEX(CalcAmtA,$M1480),"")</f>
        <v/>
      </c>
      <c r="J1480" s="29">
        <f>IF($B1480="","",IF($J1479="",$C$8,$J1479)+IF($I1480="",0,$I1480)+IF($E1480="",0,$E1480)-IF($H1480="",0,$H1480))</f>
        <v/>
      </c>
      <c r="K1480" s="30">
        <f>IF($M1480&lt;&gt;"",IF(INDEX(CalcNoteA,$M1480)="","—",INDEX(CalcNoteA,$M1480)),IF($N1480&lt;&gt;"",IF(INDEX(CalcNoteB,$N1480)="","—",INDEX(CalcNoteB,$N1480)),""))</f>
        <v/>
      </c>
      <c r="M1480">
        <f>IFERROR(MATCH($C$5&amp;"|"&amp;RIGHT("000000"&amp;1464,6),CalcRankKeyA,0),"")</f>
        <v/>
      </c>
      <c r="N1480">
        <f>IFERROR(MATCH($C$5&amp;"|"&amp;RIGHT("000000"&amp;1464,6),CalcRankKeyB,0),"")</f>
        <v/>
      </c>
    </row>
    <row r="1481">
      <c r="A1481" s="21" t="n">
        <v>1465</v>
      </c>
      <c r="B1481" s="22">
        <f>IF(AND($M1481="",$N1481=""),"",IF($M1481&lt;&gt;"",INDEX(CalcDateA,$M1481),INDEX(CalcDateB,$N1481)))</f>
        <v/>
      </c>
      <c r="C1481" s="22">
        <f>IF($M1481&lt;&gt;"","خرید سبد",IF($N1481&lt;&gt;"",IF(N(INDEX(CalcDepB,$N1481))&gt;0,"دریافت بانکی","پرداخت بانکی"),""))</f>
        <v/>
      </c>
      <c r="D1481" s="22">
        <f>IF($M1481&lt;&gt;"",IF(INDEX(CalcDocA,$M1481)="","—",INDEX(CalcDocA,$M1481)),IF($N1481&lt;&gt;"",INDEX(CalcBankB,$N1481),""))</f>
        <v/>
      </c>
      <c r="E1481" s="23">
        <f>IF($N1481&lt;&gt;"",IF(INDEX(CalcDepB,$N1481)=0,"",INDEX(CalcDepB,$N1481)),"")</f>
        <v/>
      </c>
      <c r="F1481" s="23">
        <f>IF($M1481&lt;&gt;"",IF(INDEX(CalcQtyA,$M1481)=0,"",INDEX(CalcQtyA,$M1481)),"")</f>
        <v/>
      </c>
      <c r="G1481" s="23">
        <f>IF($M1481&lt;&gt;"",IF(INDEX(CalcPriceA,$M1481)=0,"",INDEX(CalcPriceA,$M1481)),"")</f>
        <v/>
      </c>
      <c r="H1481" s="23">
        <f>IF($N1481&lt;&gt;"",IF(INDEX(CalcWitB,$N1481)=0,"",INDEX(CalcWitB,$N1481)),"")</f>
        <v/>
      </c>
      <c r="I1481" s="24">
        <f>IF($M1481&lt;&gt;"",INDEX(CalcAmtA,$M1481),"")</f>
        <v/>
      </c>
      <c r="J1481" s="24">
        <f>IF($B1481="","",IF($J1480="",$C$8,$J1480)+IF($I1481="",0,$I1481)+IF($E1481="",0,$E1481)-IF($H1481="",0,$H1481))</f>
        <v/>
      </c>
      <c r="K1481" s="25">
        <f>IF($M1481&lt;&gt;"",IF(INDEX(CalcNoteA,$M1481)="","—",INDEX(CalcNoteA,$M1481)),IF($N1481&lt;&gt;"",IF(INDEX(CalcNoteB,$N1481)="","—",INDEX(CalcNoteB,$N1481)),""))</f>
        <v/>
      </c>
      <c r="M1481">
        <f>IFERROR(MATCH($C$5&amp;"|"&amp;RIGHT("000000"&amp;1465,6),CalcRankKeyA,0),"")</f>
        <v/>
      </c>
      <c r="N1481">
        <f>IFERROR(MATCH($C$5&amp;"|"&amp;RIGHT("000000"&amp;1465,6),CalcRankKeyB,0),"")</f>
        <v/>
      </c>
    </row>
    <row r="1482">
      <c r="A1482" s="26" t="n">
        <v>1466</v>
      </c>
      <c r="B1482" s="27">
        <f>IF(AND($M1482="",$N1482=""),"",IF($M1482&lt;&gt;"",INDEX(CalcDateA,$M1482),INDEX(CalcDateB,$N1482)))</f>
        <v/>
      </c>
      <c r="C1482" s="27">
        <f>IF($M1482&lt;&gt;"","خرید سبد",IF($N1482&lt;&gt;"",IF(N(INDEX(CalcDepB,$N1482))&gt;0,"دریافت بانکی","پرداخت بانکی"),""))</f>
        <v/>
      </c>
      <c r="D1482" s="27">
        <f>IF($M1482&lt;&gt;"",IF(INDEX(CalcDocA,$M1482)="","—",INDEX(CalcDocA,$M1482)),IF($N1482&lt;&gt;"",INDEX(CalcBankB,$N1482),""))</f>
        <v/>
      </c>
      <c r="E1482" s="28">
        <f>IF($N1482&lt;&gt;"",IF(INDEX(CalcDepB,$N1482)=0,"",INDEX(CalcDepB,$N1482)),"")</f>
        <v/>
      </c>
      <c r="F1482" s="28">
        <f>IF($M1482&lt;&gt;"",IF(INDEX(CalcQtyA,$M1482)=0,"",INDEX(CalcQtyA,$M1482)),"")</f>
        <v/>
      </c>
      <c r="G1482" s="28">
        <f>IF($M1482&lt;&gt;"",IF(INDEX(CalcPriceA,$M1482)=0,"",INDEX(CalcPriceA,$M1482)),"")</f>
        <v/>
      </c>
      <c r="H1482" s="28">
        <f>IF($N1482&lt;&gt;"",IF(INDEX(CalcWitB,$N1482)=0,"",INDEX(CalcWitB,$N1482)),"")</f>
        <v/>
      </c>
      <c r="I1482" s="29">
        <f>IF($M1482&lt;&gt;"",INDEX(CalcAmtA,$M1482),"")</f>
        <v/>
      </c>
      <c r="J1482" s="29">
        <f>IF($B1482="","",IF($J1481="",$C$8,$J1481)+IF($I1482="",0,$I1482)+IF($E1482="",0,$E1482)-IF($H1482="",0,$H1482))</f>
        <v/>
      </c>
      <c r="K1482" s="30">
        <f>IF($M1482&lt;&gt;"",IF(INDEX(CalcNoteA,$M1482)="","—",INDEX(CalcNoteA,$M1482)),IF($N1482&lt;&gt;"",IF(INDEX(CalcNoteB,$N1482)="","—",INDEX(CalcNoteB,$N1482)),""))</f>
        <v/>
      </c>
      <c r="M1482">
        <f>IFERROR(MATCH($C$5&amp;"|"&amp;RIGHT("000000"&amp;1466,6),CalcRankKeyA,0),"")</f>
        <v/>
      </c>
      <c r="N1482">
        <f>IFERROR(MATCH($C$5&amp;"|"&amp;RIGHT("000000"&amp;1466,6),CalcRankKeyB,0),"")</f>
        <v/>
      </c>
    </row>
    <row r="1483">
      <c r="A1483" s="21" t="n">
        <v>1467</v>
      </c>
      <c r="B1483" s="22">
        <f>IF(AND($M1483="",$N1483=""),"",IF($M1483&lt;&gt;"",INDEX(CalcDateA,$M1483),INDEX(CalcDateB,$N1483)))</f>
        <v/>
      </c>
      <c r="C1483" s="22">
        <f>IF($M1483&lt;&gt;"","خرید سبد",IF($N1483&lt;&gt;"",IF(N(INDEX(CalcDepB,$N1483))&gt;0,"دریافت بانکی","پرداخت بانکی"),""))</f>
        <v/>
      </c>
      <c r="D1483" s="22">
        <f>IF($M1483&lt;&gt;"",IF(INDEX(CalcDocA,$M1483)="","—",INDEX(CalcDocA,$M1483)),IF($N1483&lt;&gt;"",INDEX(CalcBankB,$N1483),""))</f>
        <v/>
      </c>
      <c r="E1483" s="23">
        <f>IF($N1483&lt;&gt;"",IF(INDEX(CalcDepB,$N1483)=0,"",INDEX(CalcDepB,$N1483)),"")</f>
        <v/>
      </c>
      <c r="F1483" s="23">
        <f>IF($M1483&lt;&gt;"",IF(INDEX(CalcQtyA,$M1483)=0,"",INDEX(CalcQtyA,$M1483)),"")</f>
        <v/>
      </c>
      <c r="G1483" s="23">
        <f>IF($M1483&lt;&gt;"",IF(INDEX(CalcPriceA,$M1483)=0,"",INDEX(CalcPriceA,$M1483)),"")</f>
        <v/>
      </c>
      <c r="H1483" s="23">
        <f>IF($N1483&lt;&gt;"",IF(INDEX(CalcWitB,$N1483)=0,"",INDEX(CalcWitB,$N1483)),"")</f>
        <v/>
      </c>
      <c r="I1483" s="24">
        <f>IF($M1483&lt;&gt;"",INDEX(CalcAmtA,$M1483),"")</f>
        <v/>
      </c>
      <c r="J1483" s="24">
        <f>IF($B1483="","",IF($J1482="",$C$8,$J1482)+IF($I1483="",0,$I1483)+IF($E1483="",0,$E1483)-IF($H1483="",0,$H1483))</f>
        <v/>
      </c>
      <c r="K1483" s="25">
        <f>IF($M1483&lt;&gt;"",IF(INDEX(CalcNoteA,$M1483)="","—",INDEX(CalcNoteA,$M1483)),IF($N1483&lt;&gt;"",IF(INDEX(CalcNoteB,$N1483)="","—",INDEX(CalcNoteB,$N1483)),""))</f>
        <v/>
      </c>
      <c r="M1483">
        <f>IFERROR(MATCH($C$5&amp;"|"&amp;RIGHT("000000"&amp;1467,6),CalcRankKeyA,0),"")</f>
        <v/>
      </c>
      <c r="N1483">
        <f>IFERROR(MATCH($C$5&amp;"|"&amp;RIGHT("000000"&amp;1467,6),CalcRankKeyB,0),"")</f>
        <v/>
      </c>
    </row>
    <row r="1484">
      <c r="A1484" s="26" t="n">
        <v>1468</v>
      </c>
      <c r="B1484" s="27">
        <f>IF(AND($M1484="",$N1484=""),"",IF($M1484&lt;&gt;"",INDEX(CalcDateA,$M1484),INDEX(CalcDateB,$N1484)))</f>
        <v/>
      </c>
      <c r="C1484" s="27">
        <f>IF($M1484&lt;&gt;"","خرید سبد",IF($N1484&lt;&gt;"",IF(N(INDEX(CalcDepB,$N1484))&gt;0,"دریافت بانکی","پرداخت بانکی"),""))</f>
        <v/>
      </c>
      <c r="D1484" s="27">
        <f>IF($M1484&lt;&gt;"",IF(INDEX(CalcDocA,$M1484)="","—",INDEX(CalcDocA,$M1484)),IF($N1484&lt;&gt;"",INDEX(CalcBankB,$N1484),""))</f>
        <v/>
      </c>
      <c r="E1484" s="28">
        <f>IF($N1484&lt;&gt;"",IF(INDEX(CalcDepB,$N1484)=0,"",INDEX(CalcDepB,$N1484)),"")</f>
        <v/>
      </c>
      <c r="F1484" s="28">
        <f>IF($M1484&lt;&gt;"",IF(INDEX(CalcQtyA,$M1484)=0,"",INDEX(CalcQtyA,$M1484)),"")</f>
        <v/>
      </c>
      <c r="G1484" s="28">
        <f>IF($M1484&lt;&gt;"",IF(INDEX(CalcPriceA,$M1484)=0,"",INDEX(CalcPriceA,$M1484)),"")</f>
        <v/>
      </c>
      <c r="H1484" s="28">
        <f>IF($N1484&lt;&gt;"",IF(INDEX(CalcWitB,$N1484)=0,"",INDEX(CalcWitB,$N1484)),"")</f>
        <v/>
      </c>
      <c r="I1484" s="29">
        <f>IF($M1484&lt;&gt;"",INDEX(CalcAmtA,$M1484),"")</f>
        <v/>
      </c>
      <c r="J1484" s="29">
        <f>IF($B1484="","",IF($J1483="",$C$8,$J1483)+IF($I1484="",0,$I1484)+IF($E1484="",0,$E1484)-IF($H1484="",0,$H1484))</f>
        <v/>
      </c>
      <c r="K1484" s="30">
        <f>IF($M1484&lt;&gt;"",IF(INDEX(CalcNoteA,$M1484)="","—",INDEX(CalcNoteA,$M1484)),IF($N1484&lt;&gt;"",IF(INDEX(CalcNoteB,$N1484)="","—",INDEX(CalcNoteB,$N1484)),""))</f>
        <v/>
      </c>
      <c r="M1484">
        <f>IFERROR(MATCH($C$5&amp;"|"&amp;RIGHT("000000"&amp;1468,6),CalcRankKeyA,0),"")</f>
        <v/>
      </c>
      <c r="N1484">
        <f>IFERROR(MATCH($C$5&amp;"|"&amp;RIGHT("000000"&amp;1468,6),CalcRankKeyB,0),"")</f>
        <v/>
      </c>
    </row>
    <row r="1485">
      <c r="A1485" s="21" t="n">
        <v>1469</v>
      </c>
      <c r="B1485" s="22">
        <f>IF(AND($M1485="",$N1485=""),"",IF($M1485&lt;&gt;"",INDEX(CalcDateA,$M1485),INDEX(CalcDateB,$N1485)))</f>
        <v/>
      </c>
      <c r="C1485" s="22">
        <f>IF($M1485&lt;&gt;"","خرید سبد",IF($N1485&lt;&gt;"",IF(N(INDEX(CalcDepB,$N1485))&gt;0,"دریافت بانکی","پرداخت بانکی"),""))</f>
        <v/>
      </c>
      <c r="D1485" s="22">
        <f>IF($M1485&lt;&gt;"",IF(INDEX(CalcDocA,$M1485)="","—",INDEX(CalcDocA,$M1485)),IF($N1485&lt;&gt;"",INDEX(CalcBankB,$N1485),""))</f>
        <v/>
      </c>
      <c r="E1485" s="23">
        <f>IF($N1485&lt;&gt;"",IF(INDEX(CalcDepB,$N1485)=0,"",INDEX(CalcDepB,$N1485)),"")</f>
        <v/>
      </c>
      <c r="F1485" s="23">
        <f>IF($M1485&lt;&gt;"",IF(INDEX(CalcQtyA,$M1485)=0,"",INDEX(CalcQtyA,$M1485)),"")</f>
        <v/>
      </c>
      <c r="G1485" s="23">
        <f>IF($M1485&lt;&gt;"",IF(INDEX(CalcPriceA,$M1485)=0,"",INDEX(CalcPriceA,$M1485)),"")</f>
        <v/>
      </c>
      <c r="H1485" s="23">
        <f>IF($N1485&lt;&gt;"",IF(INDEX(CalcWitB,$N1485)=0,"",INDEX(CalcWitB,$N1485)),"")</f>
        <v/>
      </c>
      <c r="I1485" s="24">
        <f>IF($M1485&lt;&gt;"",INDEX(CalcAmtA,$M1485),"")</f>
        <v/>
      </c>
      <c r="J1485" s="24">
        <f>IF($B1485="","",IF($J1484="",$C$8,$J1484)+IF($I1485="",0,$I1485)+IF($E1485="",0,$E1485)-IF($H1485="",0,$H1485))</f>
        <v/>
      </c>
      <c r="K1485" s="25">
        <f>IF($M1485&lt;&gt;"",IF(INDEX(CalcNoteA,$M1485)="","—",INDEX(CalcNoteA,$M1485)),IF($N1485&lt;&gt;"",IF(INDEX(CalcNoteB,$N1485)="","—",INDEX(CalcNoteB,$N1485)),""))</f>
        <v/>
      </c>
      <c r="M1485">
        <f>IFERROR(MATCH($C$5&amp;"|"&amp;RIGHT("000000"&amp;1469,6),CalcRankKeyA,0),"")</f>
        <v/>
      </c>
      <c r="N1485">
        <f>IFERROR(MATCH($C$5&amp;"|"&amp;RIGHT("000000"&amp;1469,6),CalcRankKeyB,0),"")</f>
        <v/>
      </c>
    </row>
    <row r="1486">
      <c r="A1486" s="26" t="n">
        <v>1470</v>
      </c>
      <c r="B1486" s="27">
        <f>IF(AND($M1486="",$N1486=""),"",IF($M1486&lt;&gt;"",INDEX(CalcDateA,$M1486),INDEX(CalcDateB,$N1486)))</f>
        <v/>
      </c>
      <c r="C1486" s="27">
        <f>IF($M1486&lt;&gt;"","خرید سبد",IF($N1486&lt;&gt;"",IF(N(INDEX(CalcDepB,$N1486))&gt;0,"دریافت بانکی","پرداخت بانکی"),""))</f>
        <v/>
      </c>
      <c r="D1486" s="27">
        <f>IF($M1486&lt;&gt;"",IF(INDEX(CalcDocA,$M1486)="","—",INDEX(CalcDocA,$M1486)),IF($N1486&lt;&gt;"",INDEX(CalcBankB,$N1486),""))</f>
        <v/>
      </c>
      <c r="E1486" s="28">
        <f>IF($N1486&lt;&gt;"",IF(INDEX(CalcDepB,$N1486)=0,"",INDEX(CalcDepB,$N1486)),"")</f>
        <v/>
      </c>
      <c r="F1486" s="28">
        <f>IF($M1486&lt;&gt;"",IF(INDEX(CalcQtyA,$M1486)=0,"",INDEX(CalcQtyA,$M1486)),"")</f>
        <v/>
      </c>
      <c r="G1486" s="28">
        <f>IF($M1486&lt;&gt;"",IF(INDEX(CalcPriceA,$M1486)=0,"",INDEX(CalcPriceA,$M1486)),"")</f>
        <v/>
      </c>
      <c r="H1486" s="28">
        <f>IF($N1486&lt;&gt;"",IF(INDEX(CalcWitB,$N1486)=0,"",INDEX(CalcWitB,$N1486)),"")</f>
        <v/>
      </c>
      <c r="I1486" s="29">
        <f>IF($M1486&lt;&gt;"",INDEX(CalcAmtA,$M1486),"")</f>
        <v/>
      </c>
      <c r="J1486" s="29">
        <f>IF($B1486="","",IF($J1485="",$C$8,$J1485)+IF($I1486="",0,$I1486)+IF($E1486="",0,$E1486)-IF($H1486="",0,$H1486))</f>
        <v/>
      </c>
      <c r="K1486" s="30">
        <f>IF($M1486&lt;&gt;"",IF(INDEX(CalcNoteA,$M1486)="","—",INDEX(CalcNoteA,$M1486)),IF($N1486&lt;&gt;"",IF(INDEX(CalcNoteB,$N1486)="","—",INDEX(CalcNoteB,$N1486)),""))</f>
        <v/>
      </c>
      <c r="M1486">
        <f>IFERROR(MATCH($C$5&amp;"|"&amp;RIGHT("000000"&amp;1470,6),CalcRankKeyA,0),"")</f>
        <v/>
      </c>
      <c r="N1486">
        <f>IFERROR(MATCH($C$5&amp;"|"&amp;RIGHT("000000"&amp;1470,6),CalcRankKeyB,0),"")</f>
        <v/>
      </c>
    </row>
    <row r="1487">
      <c r="A1487" s="21" t="n">
        <v>1471</v>
      </c>
      <c r="B1487" s="22">
        <f>IF(AND($M1487="",$N1487=""),"",IF($M1487&lt;&gt;"",INDEX(CalcDateA,$M1487),INDEX(CalcDateB,$N1487)))</f>
        <v/>
      </c>
      <c r="C1487" s="22">
        <f>IF($M1487&lt;&gt;"","خرید سبد",IF($N1487&lt;&gt;"",IF(N(INDEX(CalcDepB,$N1487))&gt;0,"دریافت بانکی","پرداخت بانکی"),""))</f>
        <v/>
      </c>
      <c r="D1487" s="22">
        <f>IF($M1487&lt;&gt;"",IF(INDEX(CalcDocA,$M1487)="","—",INDEX(CalcDocA,$M1487)),IF($N1487&lt;&gt;"",INDEX(CalcBankB,$N1487),""))</f>
        <v/>
      </c>
      <c r="E1487" s="23">
        <f>IF($N1487&lt;&gt;"",IF(INDEX(CalcDepB,$N1487)=0,"",INDEX(CalcDepB,$N1487)),"")</f>
        <v/>
      </c>
      <c r="F1487" s="23">
        <f>IF($M1487&lt;&gt;"",IF(INDEX(CalcQtyA,$M1487)=0,"",INDEX(CalcQtyA,$M1487)),"")</f>
        <v/>
      </c>
      <c r="G1487" s="23">
        <f>IF($M1487&lt;&gt;"",IF(INDEX(CalcPriceA,$M1487)=0,"",INDEX(CalcPriceA,$M1487)),"")</f>
        <v/>
      </c>
      <c r="H1487" s="23">
        <f>IF($N1487&lt;&gt;"",IF(INDEX(CalcWitB,$N1487)=0,"",INDEX(CalcWitB,$N1487)),"")</f>
        <v/>
      </c>
      <c r="I1487" s="24">
        <f>IF($M1487&lt;&gt;"",INDEX(CalcAmtA,$M1487),"")</f>
        <v/>
      </c>
      <c r="J1487" s="24">
        <f>IF($B1487="","",IF($J1486="",$C$8,$J1486)+IF($I1487="",0,$I1487)+IF($E1487="",0,$E1487)-IF($H1487="",0,$H1487))</f>
        <v/>
      </c>
      <c r="K1487" s="25">
        <f>IF($M1487&lt;&gt;"",IF(INDEX(CalcNoteA,$M1487)="","—",INDEX(CalcNoteA,$M1487)),IF($N1487&lt;&gt;"",IF(INDEX(CalcNoteB,$N1487)="","—",INDEX(CalcNoteB,$N1487)),""))</f>
        <v/>
      </c>
      <c r="M1487">
        <f>IFERROR(MATCH($C$5&amp;"|"&amp;RIGHT("000000"&amp;1471,6),CalcRankKeyA,0),"")</f>
        <v/>
      </c>
      <c r="N1487">
        <f>IFERROR(MATCH($C$5&amp;"|"&amp;RIGHT("000000"&amp;1471,6),CalcRankKeyB,0),"")</f>
        <v/>
      </c>
    </row>
    <row r="1488">
      <c r="A1488" s="26" t="n">
        <v>1472</v>
      </c>
      <c r="B1488" s="27">
        <f>IF(AND($M1488="",$N1488=""),"",IF($M1488&lt;&gt;"",INDEX(CalcDateA,$M1488),INDEX(CalcDateB,$N1488)))</f>
        <v/>
      </c>
      <c r="C1488" s="27">
        <f>IF($M1488&lt;&gt;"","خرید سبد",IF($N1488&lt;&gt;"",IF(N(INDEX(CalcDepB,$N1488))&gt;0,"دریافت بانکی","پرداخت بانکی"),""))</f>
        <v/>
      </c>
      <c r="D1488" s="27">
        <f>IF($M1488&lt;&gt;"",IF(INDEX(CalcDocA,$M1488)="","—",INDEX(CalcDocA,$M1488)),IF($N1488&lt;&gt;"",INDEX(CalcBankB,$N1488),""))</f>
        <v/>
      </c>
      <c r="E1488" s="28">
        <f>IF($N1488&lt;&gt;"",IF(INDEX(CalcDepB,$N1488)=0,"",INDEX(CalcDepB,$N1488)),"")</f>
        <v/>
      </c>
      <c r="F1488" s="28">
        <f>IF($M1488&lt;&gt;"",IF(INDEX(CalcQtyA,$M1488)=0,"",INDEX(CalcQtyA,$M1488)),"")</f>
        <v/>
      </c>
      <c r="G1488" s="28">
        <f>IF($M1488&lt;&gt;"",IF(INDEX(CalcPriceA,$M1488)=0,"",INDEX(CalcPriceA,$M1488)),"")</f>
        <v/>
      </c>
      <c r="H1488" s="28">
        <f>IF($N1488&lt;&gt;"",IF(INDEX(CalcWitB,$N1488)=0,"",INDEX(CalcWitB,$N1488)),"")</f>
        <v/>
      </c>
      <c r="I1488" s="29">
        <f>IF($M1488&lt;&gt;"",INDEX(CalcAmtA,$M1488),"")</f>
        <v/>
      </c>
      <c r="J1488" s="29">
        <f>IF($B1488="","",IF($J1487="",$C$8,$J1487)+IF($I1488="",0,$I1488)+IF($E1488="",0,$E1488)-IF($H1488="",0,$H1488))</f>
        <v/>
      </c>
      <c r="K1488" s="30">
        <f>IF($M1488&lt;&gt;"",IF(INDEX(CalcNoteA,$M1488)="","—",INDEX(CalcNoteA,$M1488)),IF($N1488&lt;&gt;"",IF(INDEX(CalcNoteB,$N1488)="","—",INDEX(CalcNoteB,$N1488)),""))</f>
        <v/>
      </c>
      <c r="M1488">
        <f>IFERROR(MATCH($C$5&amp;"|"&amp;RIGHT("000000"&amp;1472,6),CalcRankKeyA,0),"")</f>
        <v/>
      </c>
      <c r="N1488">
        <f>IFERROR(MATCH($C$5&amp;"|"&amp;RIGHT("000000"&amp;1472,6),CalcRankKeyB,0),"")</f>
        <v/>
      </c>
    </row>
    <row r="1489">
      <c r="A1489" s="21" t="n">
        <v>1473</v>
      </c>
      <c r="B1489" s="22">
        <f>IF(AND($M1489="",$N1489=""),"",IF($M1489&lt;&gt;"",INDEX(CalcDateA,$M1489),INDEX(CalcDateB,$N1489)))</f>
        <v/>
      </c>
      <c r="C1489" s="22">
        <f>IF($M1489&lt;&gt;"","خرید سبد",IF($N1489&lt;&gt;"",IF(N(INDEX(CalcDepB,$N1489))&gt;0,"دریافت بانکی","پرداخت بانکی"),""))</f>
        <v/>
      </c>
      <c r="D1489" s="22">
        <f>IF($M1489&lt;&gt;"",IF(INDEX(CalcDocA,$M1489)="","—",INDEX(CalcDocA,$M1489)),IF($N1489&lt;&gt;"",INDEX(CalcBankB,$N1489),""))</f>
        <v/>
      </c>
      <c r="E1489" s="23">
        <f>IF($N1489&lt;&gt;"",IF(INDEX(CalcDepB,$N1489)=0,"",INDEX(CalcDepB,$N1489)),"")</f>
        <v/>
      </c>
      <c r="F1489" s="23">
        <f>IF($M1489&lt;&gt;"",IF(INDEX(CalcQtyA,$M1489)=0,"",INDEX(CalcQtyA,$M1489)),"")</f>
        <v/>
      </c>
      <c r="G1489" s="23">
        <f>IF($M1489&lt;&gt;"",IF(INDEX(CalcPriceA,$M1489)=0,"",INDEX(CalcPriceA,$M1489)),"")</f>
        <v/>
      </c>
      <c r="H1489" s="23">
        <f>IF($N1489&lt;&gt;"",IF(INDEX(CalcWitB,$N1489)=0,"",INDEX(CalcWitB,$N1489)),"")</f>
        <v/>
      </c>
      <c r="I1489" s="24">
        <f>IF($M1489&lt;&gt;"",INDEX(CalcAmtA,$M1489),"")</f>
        <v/>
      </c>
      <c r="J1489" s="24">
        <f>IF($B1489="","",IF($J1488="",$C$8,$J1488)+IF($I1489="",0,$I1489)+IF($E1489="",0,$E1489)-IF($H1489="",0,$H1489))</f>
        <v/>
      </c>
      <c r="K1489" s="25">
        <f>IF($M1489&lt;&gt;"",IF(INDEX(CalcNoteA,$M1489)="","—",INDEX(CalcNoteA,$M1489)),IF($N1489&lt;&gt;"",IF(INDEX(CalcNoteB,$N1489)="","—",INDEX(CalcNoteB,$N1489)),""))</f>
        <v/>
      </c>
      <c r="M1489">
        <f>IFERROR(MATCH($C$5&amp;"|"&amp;RIGHT("000000"&amp;1473,6),CalcRankKeyA,0),"")</f>
        <v/>
      </c>
      <c r="N1489">
        <f>IFERROR(MATCH($C$5&amp;"|"&amp;RIGHT("000000"&amp;1473,6),CalcRankKeyB,0),"")</f>
        <v/>
      </c>
    </row>
    <row r="1490">
      <c r="A1490" s="26" t="n">
        <v>1474</v>
      </c>
      <c r="B1490" s="27">
        <f>IF(AND($M1490="",$N1490=""),"",IF($M1490&lt;&gt;"",INDEX(CalcDateA,$M1490),INDEX(CalcDateB,$N1490)))</f>
        <v/>
      </c>
      <c r="C1490" s="27">
        <f>IF($M1490&lt;&gt;"","خرید سبد",IF($N1490&lt;&gt;"",IF(N(INDEX(CalcDepB,$N1490))&gt;0,"دریافت بانکی","پرداخت بانکی"),""))</f>
        <v/>
      </c>
      <c r="D1490" s="27">
        <f>IF($M1490&lt;&gt;"",IF(INDEX(CalcDocA,$M1490)="","—",INDEX(CalcDocA,$M1490)),IF($N1490&lt;&gt;"",INDEX(CalcBankB,$N1490),""))</f>
        <v/>
      </c>
      <c r="E1490" s="28">
        <f>IF($N1490&lt;&gt;"",IF(INDEX(CalcDepB,$N1490)=0,"",INDEX(CalcDepB,$N1490)),"")</f>
        <v/>
      </c>
      <c r="F1490" s="28">
        <f>IF($M1490&lt;&gt;"",IF(INDEX(CalcQtyA,$M1490)=0,"",INDEX(CalcQtyA,$M1490)),"")</f>
        <v/>
      </c>
      <c r="G1490" s="28">
        <f>IF($M1490&lt;&gt;"",IF(INDEX(CalcPriceA,$M1490)=0,"",INDEX(CalcPriceA,$M1490)),"")</f>
        <v/>
      </c>
      <c r="H1490" s="28">
        <f>IF($N1490&lt;&gt;"",IF(INDEX(CalcWitB,$N1490)=0,"",INDEX(CalcWitB,$N1490)),"")</f>
        <v/>
      </c>
      <c r="I1490" s="29">
        <f>IF($M1490&lt;&gt;"",INDEX(CalcAmtA,$M1490),"")</f>
        <v/>
      </c>
      <c r="J1490" s="29">
        <f>IF($B1490="","",IF($J1489="",$C$8,$J1489)+IF($I1490="",0,$I1490)+IF($E1490="",0,$E1490)-IF($H1490="",0,$H1490))</f>
        <v/>
      </c>
      <c r="K1490" s="30">
        <f>IF($M1490&lt;&gt;"",IF(INDEX(CalcNoteA,$M1490)="","—",INDEX(CalcNoteA,$M1490)),IF($N1490&lt;&gt;"",IF(INDEX(CalcNoteB,$N1490)="","—",INDEX(CalcNoteB,$N1490)),""))</f>
        <v/>
      </c>
      <c r="M1490">
        <f>IFERROR(MATCH($C$5&amp;"|"&amp;RIGHT("000000"&amp;1474,6),CalcRankKeyA,0),"")</f>
        <v/>
      </c>
      <c r="N1490">
        <f>IFERROR(MATCH($C$5&amp;"|"&amp;RIGHT("000000"&amp;1474,6),CalcRankKeyB,0),"")</f>
        <v/>
      </c>
    </row>
    <row r="1491">
      <c r="A1491" s="21" t="n">
        <v>1475</v>
      </c>
      <c r="B1491" s="22">
        <f>IF(AND($M1491="",$N1491=""),"",IF($M1491&lt;&gt;"",INDEX(CalcDateA,$M1491),INDEX(CalcDateB,$N1491)))</f>
        <v/>
      </c>
      <c r="C1491" s="22">
        <f>IF($M1491&lt;&gt;"","خرید سبد",IF($N1491&lt;&gt;"",IF(N(INDEX(CalcDepB,$N1491))&gt;0,"دریافت بانکی","پرداخت بانکی"),""))</f>
        <v/>
      </c>
      <c r="D1491" s="22">
        <f>IF($M1491&lt;&gt;"",IF(INDEX(CalcDocA,$M1491)="","—",INDEX(CalcDocA,$M1491)),IF($N1491&lt;&gt;"",INDEX(CalcBankB,$N1491),""))</f>
        <v/>
      </c>
      <c r="E1491" s="23">
        <f>IF($N1491&lt;&gt;"",IF(INDEX(CalcDepB,$N1491)=0,"",INDEX(CalcDepB,$N1491)),"")</f>
        <v/>
      </c>
      <c r="F1491" s="23">
        <f>IF($M1491&lt;&gt;"",IF(INDEX(CalcQtyA,$M1491)=0,"",INDEX(CalcQtyA,$M1491)),"")</f>
        <v/>
      </c>
      <c r="G1491" s="23">
        <f>IF($M1491&lt;&gt;"",IF(INDEX(CalcPriceA,$M1491)=0,"",INDEX(CalcPriceA,$M1491)),"")</f>
        <v/>
      </c>
      <c r="H1491" s="23">
        <f>IF($N1491&lt;&gt;"",IF(INDEX(CalcWitB,$N1491)=0,"",INDEX(CalcWitB,$N1491)),"")</f>
        <v/>
      </c>
      <c r="I1491" s="24">
        <f>IF($M1491&lt;&gt;"",INDEX(CalcAmtA,$M1491),"")</f>
        <v/>
      </c>
      <c r="J1491" s="24">
        <f>IF($B1491="","",IF($J1490="",$C$8,$J1490)+IF($I1491="",0,$I1491)+IF($E1491="",0,$E1491)-IF($H1491="",0,$H1491))</f>
        <v/>
      </c>
      <c r="K1491" s="25">
        <f>IF($M1491&lt;&gt;"",IF(INDEX(CalcNoteA,$M1491)="","—",INDEX(CalcNoteA,$M1491)),IF($N1491&lt;&gt;"",IF(INDEX(CalcNoteB,$N1491)="","—",INDEX(CalcNoteB,$N1491)),""))</f>
        <v/>
      </c>
      <c r="M1491">
        <f>IFERROR(MATCH($C$5&amp;"|"&amp;RIGHT("000000"&amp;1475,6),CalcRankKeyA,0),"")</f>
        <v/>
      </c>
      <c r="N1491">
        <f>IFERROR(MATCH($C$5&amp;"|"&amp;RIGHT("000000"&amp;1475,6),CalcRankKeyB,0),"")</f>
        <v/>
      </c>
    </row>
    <row r="1492">
      <c r="A1492" s="26" t="n">
        <v>1476</v>
      </c>
      <c r="B1492" s="27">
        <f>IF(AND($M1492="",$N1492=""),"",IF($M1492&lt;&gt;"",INDEX(CalcDateA,$M1492),INDEX(CalcDateB,$N1492)))</f>
        <v/>
      </c>
      <c r="C1492" s="27">
        <f>IF($M1492&lt;&gt;"","خرید سبد",IF($N1492&lt;&gt;"",IF(N(INDEX(CalcDepB,$N1492))&gt;0,"دریافت بانکی","پرداخت بانکی"),""))</f>
        <v/>
      </c>
      <c r="D1492" s="27">
        <f>IF($M1492&lt;&gt;"",IF(INDEX(CalcDocA,$M1492)="","—",INDEX(CalcDocA,$M1492)),IF($N1492&lt;&gt;"",INDEX(CalcBankB,$N1492),""))</f>
        <v/>
      </c>
      <c r="E1492" s="28">
        <f>IF($N1492&lt;&gt;"",IF(INDEX(CalcDepB,$N1492)=0,"",INDEX(CalcDepB,$N1492)),"")</f>
        <v/>
      </c>
      <c r="F1492" s="28">
        <f>IF($M1492&lt;&gt;"",IF(INDEX(CalcQtyA,$M1492)=0,"",INDEX(CalcQtyA,$M1492)),"")</f>
        <v/>
      </c>
      <c r="G1492" s="28">
        <f>IF($M1492&lt;&gt;"",IF(INDEX(CalcPriceA,$M1492)=0,"",INDEX(CalcPriceA,$M1492)),"")</f>
        <v/>
      </c>
      <c r="H1492" s="28">
        <f>IF($N1492&lt;&gt;"",IF(INDEX(CalcWitB,$N1492)=0,"",INDEX(CalcWitB,$N1492)),"")</f>
        <v/>
      </c>
      <c r="I1492" s="29">
        <f>IF($M1492&lt;&gt;"",INDEX(CalcAmtA,$M1492),"")</f>
        <v/>
      </c>
      <c r="J1492" s="29">
        <f>IF($B1492="","",IF($J1491="",$C$8,$J1491)+IF($I1492="",0,$I1492)+IF($E1492="",0,$E1492)-IF($H1492="",0,$H1492))</f>
        <v/>
      </c>
      <c r="K1492" s="30">
        <f>IF($M1492&lt;&gt;"",IF(INDEX(CalcNoteA,$M1492)="","—",INDEX(CalcNoteA,$M1492)),IF($N1492&lt;&gt;"",IF(INDEX(CalcNoteB,$N1492)="","—",INDEX(CalcNoteB,$N1492)),""))</f>
        <v/>
      </c>
      <c r="M1492">
        <f>IFERROR(MATCH($C$5&amp;"|"&amp;RIGHT("000000"&amp;1476,6),CalcRankKeyA,0),"")</f>
        <v/>
      </c>
      <c r="N1492">
        <f>IFERROR(MATCH($C$5&amp;"|"&amp;RIGHT("000000"&amp;1476,6),CalcRankKeyB,0),"")</f>
        <v/>
      </c>
    </row>
    <row r="1493">
      <c r="A1493" s="21" t="n">
        <v>1477</v>
      </c>
      <c r="B1493" s="22">
        <f>IF(AND($M1493="",$N1493=""),"",IF($M1493&lt;&gt;"",INDEX(CalcDateA,$M1493),INDEX(CalcDateB,$N1493)))</f>
        <v/>
      </c>
      <c r="C1493" s="22">
        <f>IF($M1493&lt;&gt;"","خرید سبد",IF($N1493&lt;&gt;"",IF(N(INDEX(CalcDepB,$N1493))&gt;0,"دریافت بانکی","پرداخت بانکی"),""))</f>
        <v/>
      </c>
      <c r="D1493" s="22">
        <f>IF($M1493&lt;&gt;"",IF(INDEX(CalcDocA,$M1493)="","—",INDEX(CalcDocA,$M1493)),IF($N1493&lt;&gt;"",INDEX(CalcBankB,$N1493),""))</f>
        <v/>
      </c>
      <c r="E1493" s="23">
        <f>IF($N1493&lt;&gt;"",IF(INDEX(CalcDepB,$N1493)=0,"",INDEX(CalcDepB,$N1493)),"")</f>
        <v/>
      </c>
      <c r="F1493" s="23">
        <f>IF($M1493&lt;&gt;"",IF(INDEX(CalcQtyA,$M1493)=0,"",INDEX(CalcQtyA,$M1493)),"")</f>
        <v/>
      </c>
      <c r="G1493" s="23">
        <f>IF($M1493&lt;&gt;"",IF(INDEX(CalcPriceA,$M1493)=0,"",INDEX(CalcPriceA,$M1493)),"")</f>
        <v/>
      </c>
      <c r="H1493" s="23">
        <f>IF($N1493&lt;&gt;"",IF(INDEX(CalcWitB,$N1493)=0,"",INDEX(CalcWitB,$N1493)),"")</f>
        <v/>
      </c>
      <c r="I1493" s="24">
        <f>IF($M1493&lt;&gt;"",INDEX(CalcAmtA,$M1493),"")</f>
        <v/>
      </c>
      <c r="J1493" s="24">
        <f>IF($B1493="","",IF($J1492="",$C$8,$J1492)+IF($I1493="",0,$I1493)+IF($E1493="",0,$E1493)-IF($H1493="",0,$H1493))</f>
        <v/>
      </c>
      <c r="K1493" s="25">
        <f>IF($M1493&lt;&gt;"",IF(INDEX(CalcNoteA,$M1493)="","—",INDEX(CalcNoteA,$M1493)),IF($N1493&lt;&gt;"",IF(INDEX(CalcNoteB,$N1493)="","—",INDEX(CalcNoteB,$N1493)),""))</f>
        <v/>
      </c>
      <c r="M1493">
        <f>IFERROR(MATCH($C$5&amp;"|"&amp;RIGHT("000000"&amp;1477,6),CalcRankKeyA,0),"")</f>
        <v/>
      </c>
      <c r="N1493">
        <f>IFERROR(MATCH($C$5&amp;"|"&amp;RIGHT("000000"&amp;1477,6),CalcRankKeyB,0),"")</f>
        <v/>
      </c>
    </row>
    <row r="1494">
      <c r="A1494" s="26" t="n">
        <v>1478</v>
      </c>
      <c r="B1494" s="27">
        <f>IF(AND($M1494="",$N1494=""),"",IF($M1494&lt;&gt;"",INDEX(CalcDateA,$M1494),INDEX(CalcDateB,$N1494)))</f>
        <v/>
      </c>
      <c r="C1494" s="27">
        <f>IF($M1494&lt;&gt;"","خرید سبد",IF($N1494&lt;&gt;"",IF(N(INDEX(CalcDepB,$N1494))&gt;0,"دریافت بانکی","پرداخت بانکی"),""))</f>
        <v/>
      </c>
      <c r="D1494" s="27">
        <f>IF($M1494&lt;&gt;"",IF(INDEX(CalcDocA,$M1494)="","—",INDEX(CalcDocA,$M1494)),IF($N1494&lt;&gt;"",INDEX(CalcBankB,$N1494),""))</f>
        <v/>
      </c>
      <c r="E1494" s="28">
        <f>IF($N1494&lt;&gt;"",IF(INDEX(CalcDepB,$N1494)=0,"",INDEX(CalcDepB,$N1494)),"")</f>
        <v/>
      </c>
      <c r="F1494" s="28">
        <f>IF($M1494&lt;&gt;"",IF(INDEX(CalcQtyA,$M1494)=0,"",INDEX(CalcQtyA,$M1494)),"")</f>
        <v/>
      </c>
      <c r="G1494" s="28">
        <f>IF($M1494&lt;&gt;"",IF(INDEX(CalcPriceA,$M1494)=0,"",INDEX(CalcPriceA,$M1494)),"")</f>
        <v/>
      </c>
      <c r="H1494" s="28">
        <f>IF($N1494&lt;&gt;"",IF(INDEX(CalcWitB,$N1494)=0,"",INDEX(CalcWitB,$N1494)),"")</f>
        <v/>
      </c>
      <c r="I1494" s="29">
        <f>IF($M1494&lt;&gt;"",INDEX(CalcAmtA,$M1494),"")</f>
        <v/>
      </c>
      <c r="J1494" s="29">
        <f>IF($B1494="","",IF($J1493="",$C$8,$J1493)+IF($I1494="",0,$I1494)+IF($E1494="",0,$E1494)-IF($H1494="",0,$H1494))</f>
        <v/>
      </c>
      <c r="K1494" s="30">
        <f>IF($M1494&lt;&gt;"",IF(INDEX(CalcNoteA,$M1494)="","—",INDEX(CalcNoteA,$M1494)),IF($N1494&lt;&gt;"",IF(INDEX(CalcNoteB,$N1494)="","—",INDEX(CalcNoteB,$N1494)),""))</f>
        <v/>
      </c>
      <c r="M1494">
        <f>IFERROR(MATCH($C$5&amp;"|"&amp;RIGHT("000000"&amp;1478,6),CalcRankKeyA,0),"")</f>
        <v/>
      </c>
      <c r="N1494">
        <f>IFERROR(MATCH($C$5&amp;"|"&amp;RIGHT("000000"&amp;1478,6),CalcRankKeyB,0),"")</f>
        <v/>
      </c>
    </row>
    <row r="1495">
      <c r="A1495" s="21" t="n">
        <v>1479</v>
      </c>
      <c r="B1495" s="22">
        <f>IF(AND($M1495="",$N1495=""),"",IF($M1495&lt;&gt;"",INDEX(CalcDateA,$M1495),INDEX(CalcDateB,$N1495)))</f>
        <v/>
      </c>
      <c r="C1495" s="22">
        <f>IF($M1495&lt;&gt;"","خرید سبد",IF($N1495&lt;&gt;"",IF(N(INDEX(CalcDepB,$N1495))&gt;0,"دریافت بانکی","پرداخت بانکی"),""))</f>
        <v/>
      </c>
      <c r="D1495" s="22">
        <f>IF($M1495&lt;&gt;"",IF(INDEX(CalcDocA,$M1495)="","—",INDEX(CalcDocA,$M1495)),IF($N1495&lt;&gt;"",INDEX(CalcBankB,$N1495),""))</f>
        <v/>
      </c>
      <c r="E1495" s="23">
        <f>IF($N1495&lt;&gt;"",IF(INDEX(CalcDepB,$N1495)=0,"",INDEX(CalcDepB,$N1495)),"")</f>
        <v/>
      </c>
      <c r="F1495" s="23">
        <f>IF($M1495&lt;&gt;"",IF(INDEX(CalcQtyA,$M1495)=0,"",INDEX(CalcQtyA,$M1495)),"")</f>
        <v/>
      </c>
      <c r="G1495" s="23">
        <f>IF($M1495&lt;&gt;"",IF(INDEX(CalcPriceA,$M1495)=0,"",INDEX(CalcPriceA,$M1495)),"")</f>
        <v/>
      </c>
      <c r="H1495" s="23">
        <f>IF($N1495&lt;&gt;"",IF(INDEX(CalcWitB,$N1495)=0,"",INDEX(CalcWitB,$N1495)),"")</f>
        <v/>
      </c>
      <c r="I1495" s="24">
        <f>IF($M1495&lt;&gt;"",INDEX(CalcAmtA,$M1495),"")</f>
        <v/>
      </c>
      <c r="J1495" s="24">
        <f>IF($B1495="","",IF($J1494="",$C$8,$J1494)+IF($I1495="",0,$I1495)+IF($E1495="",0,$E1495)-IF($H1495="",0,$H1495))</f>
        <v/>
      </c>
      <c r="K1495" s="25">
        <f>IF($M1495&lt;&gt;"",IF(INDEX(CalcNoteA,$M1495)="","—",INDEX(CalcNoteA,$M1495)),IF($N1495&lt;&gt;"",IF(INDEX(CalcNoteB,$N1495)="","—",INDEX(CalcNoteB,$N1495)),""))</f>
        <v/>
      </c>
      <c r="M1495">
        <f>IFERROR(MATCH($C$5&amp;"|"&amp;RIGHT("000000"&amp;1479,6),CalcRankKeyA,0),"")</f>
        <v/>
      </c>
      <c r="N1495">
        <f>IFERROR(MATCH($C$5&amp;"|"&amp;RIGHT("000000"&amp;1479,6),CalcRankKeyB,0),"")</f>
        <v/>
      </c>
    </row>
    <row r="1496">
      <c r="A1496" s="26" t="n">
        <v>1480</v>
      </c>
      <c r="B1496" s="27">
        <f>IF(AND($M1496="",$N1496=""),"",IF($M1496&lt;&gt;"",INDEX(CalcDateA,$M1496),INDEX(CalcDateB,$N1496)))</f>
        <v/>
      </c>
      <c r="C1496" s="27">
        <f>IF($M1496&lt;&gt;"","خرید سبد",IF($N1496&lt;&gt;"",IF(N(INDEX(CalcDepB,$N1496))&gt;0,"دریافت بانکی","پرداخت بانکی"),""))</f>
        <v/>
      </c>
      <c r="D1496" s="27">
        <f>IF($M1496&lt;&gt;"",IF(INDEX(CalcDocA,$M1496)="","—",INDEX(CalcDocA,$M1496)),IF($N1496&lt;&gt;"",INDEX(CalcBankB,$N1496),""))</f>
        <v/>
      </c>
      <c r="E1496" s="28">
        <f>IF($N1496&lt;&gt;"",IF(INDEX(CalcDepB,$N1496)=0,"",INDEX(CalcDepB,$N1496)),"")</f>
        <v/>
      </c>
      <c r="F1496" s="28">
        <f>IF($M1496&lt;&gt;"",IF(INDEX(CalcQtyA,$M1496)=0,"",INDEX(CalcQtyA,$M1496)),"")</f>
        <v/>
      </c>
      <c r="G1496" s="28">
        <f>IF($M1496&lt;&gt;"",IF(INDEX(CalcPriceA,$M1496)=0,"",INDEX(CalcPriceA,$M1496)),"")</f>
        <v/>
      </c>
      <c r="H1496" s="28">
        <f>IF($N1496&lt;&gt;"",IF(INDEX(CalcWitB,$N1496)=0,"",INDEX(CalcWitB,$N1496)),"")</f>
        <v/>
      </c>
      <c r="I1496" s="29">
        <f>IF($M1496&lt;&gt;"",INDEX(CalcAmtA,$M1496),"")</f>
        <v/>
      </c>
      <c r="J1496" s="29">
        <f>IF($B1496="","",IF($J1495="",$C$8,$J1495)+IF($I1496="",0,$I1496)+IF($E1496="",0,$E1496)-IF($H1496="",0,$H1496))</f>
        <v/>
      </c>
      <c r="K1496" s="30">
        <f>IF($M1496&lt;&gt;"",IF(INDEX(CalcNoteA,$M1496)="","—",INDEX(CalcNoteA,$M1496)),IF($N1496&lt;&gt;"",IF(INDEX(CalcNoteB,$N1496)="","—",INDEX(CalcNoteB,$N1496)),""))</f>
        <v/>
      </c>
      <c r="M1496">
        <f>IFERROR(MATCH($C$5&amp;"|"&amp;RIGHT("000000"&amp;1480,6),CalcRankKeyA,0),"")</f>
        <v/>
      </c>
      <c r="N1496">
        <f>IFERROR(MATCH($C$5&amp;"|"&amp;RIGHT("000000"&amp;1480,6),CalcRankKeyB,0),"")</f>
        <v/>
      </c>
    </row>
    <row r="1497">
      <c r="A1497" s="21" t="n">
        <v>1481</v>
      </c>
      <c r="B1497" s="22">
        <f>IF(AND($M1497="",$N1497=""),"",IF($M1497&lt;&gt;"",INDEX(CalcDateA,$M1497),INDEX(CalcDateB,$N1497)))</f>
        <v/>
      </c>
      <c r="C1497" s="22">
        <f>IF($M1497&lt;&gt;"","خرید سبد",IF($N1497&lt;&gt;"",IF(N(INDEX(CalcDepB,$N1497))&gt;0,"دریافت بانکی","پرداخت بانکی"),""))</f>
        <v/>
      </c>
      <c r="D1497" s="22">
        <f>IF($M1497&lt;&gt;"",IF(INDEX(CalcDocA,$M1497)="","—",INDEX(CalcDocA,$M1497)),IF($N1497&lt;&gt;"",INDEX(CalcBankB,$N1497),""))</f>
        <v/>
      </c>
      <c r="E1497" s="23">
        <f>IF($N1497&lt;&gt;"",IF(INDEX(CalcDepB,$N1497)=0,"",INDEX(CalcDepB,$N1497)),"")</f>
        <v/>
      </c>
      <c r="F1497" s="23">
        <f>IF($M1497&lt;&gt;"",IF(INDEX(CalcQtyA,$M1497)=0,"",INDEX(CalcQtyA,$M1497)),"")</f>
        <v/>
      </c>
      <c r="G1497" s="23">
        <f>IF($M1497&lt;&gt;"",IF(INDEX(CalcPriceA,$M1497)=0,"",INDEX(CalcPriceA,$M1497)),"")</f>
        <v/>
      </c>
      <c r="H1497" s="23">
        <f>IF($N1497&lt;&gt;"",IF(INDEX(CalcWitB,$N1497)=0,"",INDEX(CalcWitB,$N1497)),"")</f>
        <v/>
      </c>
      <c r="I1497" s="24">
        <f>IF($M1497&lt;&gt;"",INDEX(CalcAmtA,$M1497),"")</f>
        <v/>
      </c>
      <c r="J1497" s="24">
        <f>IF($B1497="","",IF($J1496="",$C$8,$J1496)+IF($I1497="",0,$I1497)+IF($E1497="",0,$E1497)-IF($H1497="",0,$H1497))</f>
        <v/>
      </c>
      <c r="K1497" s="25">
        <f>IF($M1497&lt;&gt;"",IF(INDEX(CalcNoteA,$M1497)="","—",INDEX(CalcNoteA,$M1497)),IF($N1497&lt;&gt;"",IF(INDEX(CalcNoteB,$N1497)="","—",INDEX(CalcNoteB,$N1497)),""))</f>
        <v/>
      </c>
      <c r="M1497">
        <f>IFERROR(MATCH($C$5&amp;"|"&amp;RIGHT("000000"&amp;1481,6),CalcRankKeyA,0),"")</f>
        <v/>
      </c>
      <c r="N1497">
        <f>IFERROR(MATCH($C$5&amp;"|"&amp;RIGHT("000000"&amp;1481,6),CalcRankKeyB,0),"")</f>
        <v/>
      </c>
    </row>
    <row r="1498">
      <c r="A1498" s="26" t="n">
        <v>1482</v>
      </c>
      <c r="B1498" s="27">
        <f>IF(AND($M1498="",$N1498=""),"",IF($M1498&lt;&gt;"",INDEX(CalcDateA,$M1498),INDEX(CalcDateB,$N1498)))</f>
        <v/>
      </c>
      <c r="C1498" s="27">
        <f>IF($M1498&lt;&gt;"","خرید سبد",IF($N1498&lt;&gt;"",IF(N(INDEX(CalcDepB,$N1498))&gt;0,"دریافت بانکی","پرداخت بانکی"),""))</f>
        <v/>
      </c>
      <c r="D1498" s="27">
        <f>IF($M1498&lt;&gt;"",IF(INDEX(CalcDocA,$M1498)="","—",INDEX(CalcDocA,$M1498)),IF($N1498&lt;&gt;"",INDEX(CalcBankB,$N1498),""))</f>
        <v/>
      </c>
      <c r="E1498" s="28">
        <f>IF($N1498&lt;&gt;"",IF(INDEX(CalcDepB,$N1498)=0,"",INDEX(CalcDepB,$N1498)),"")</f>
        <v/>
      </c>
      <c r="F1498" s="28">
        <f>IF($M1498&lt;&gt;"",IF(INDEX(CalcQtyA,$M1498)=0,"",INDEX(CalcQtyA,$M1498)),"")</f>
        <v/>
      </c>
      <c r="G1498" s="28">
        <f>IF($M1498&lt;&gt;"",IF(INDEX(CalcPriceA,$M1498)=0,"",INDEX(CalcPriceA,$M1498)),"")</f>
        <v/>
      </c>
      <c r="H1498" s="28">
        <f>IF($N1498&lt;&gt;"",IF(INDEX(CalcWitB,$N1498)=0,"",INDEX(CalcWitB,$N1498)),"")</f>
        <v/>
      </c>
      <c r="I1498" s="29">
        <f>IF($M1498&lt;&gt;"",INDEX(CalcAmtA,$M1498),"")</f>
        <v/>
      </c>
      <c r="J1498" s="29">
        <f>IF($B1498="","",IF($J1497="",$C$8,$J1497)+IF($I1498="",0,$I1498)+IF($E1498="",0,$E1498)-IF($H1498="",0,$H1498))</f>
        <v/>
      </c>
      <c r="K1498" s="30">
        <f>IF($M1498&lt;&gt;"",IF(INDEX(CalcNoteA,$M1498)="","—",INDEX(CalcNoteA,$M1498)),IF($N1498&lt;&gt;"",IF(INDEX(CalcNoteB,$N1498)="","—",INDEX(CalcNoteB,$N1498)),""))</f>
        <v/>
      </c>
      <c r="M1498">
        <f>IFERROR(MATCH($C$5&amp;"|"&amp;RIGHT("000000"&amp;1482,6),CalcRankKeyA,0),"")</f>
        <v/>
      </c>
      <c r="N1498">
        <f>IFERROR(MATCH($C$5&amp;"|"&amp;RIGHT("000000"&amp;1482,6),CalcRankKeyB,0),"")</f>
        <v/>
      </c>
    </row>
    <row r="1499">
      <c r="A1499" s="21" t="n">
        <v>1483</v>
      </c>
      <c r="B1499" s="22">
        <f>IF(AND($M1499="",$N1499=""),"",IF($M1499&lt;&gt;"",INDEX(CalcDateA,$M1499),INDEX(CalcDateB,$N1499)))</f>
        <v/>
      </c>
      <c r="C1499" s="22">
        <f>IF($M1499&lt;&gt;"","خرید سبد",IF($N1499&lt;&gt;"",IF(N(INDEX(CalcDepB,$N1499))&gt;0,"دریافت بانکی","پرداخت بانکی"),""))</f>
        <v/>
      </c>
      <c r="D1499" s="22">
        <f>IF($M1499&lt;&gt;"",IF(INDEX(CalcDocA,$M1499)="","—",INDEX(CalcDocA,$M1499)),IF($N1499&lt;&gt;"",INDEX(CalcBankB,$N1499),""))</f>
        <v/>
      </c>
      <c r="E1499" s="23">
        <f>IF($N1499&lt;&gt;"",IF(INDEX(CalcDepB,$N1499)=0,"",INDEX(CalcDepB,$N1499)),"")</f>
        <v/>
      </c>
      <c r="F1499" s="23">
        <f>IF($M1499&lt;&gt;"",IF(INDEX(CalcQtyA,$M1499)=0,"",INDEX(CalcQtyA,$M1499)),"")</f>
        <v/>
      </c>
      <c r="G1499" s="23">
        <f>IF($M1499&lt;&gt;"",IF(INDEX(CalcPriceA,$M1499)=0,"",INDEX(CalcPriceA,$M1499)),"")</f>
        <v/>
      </c>
      <c r="H1499" s="23">
        <f>IF($N1499&lt;&gt;"",IF(INDEX(CalcWitB,$N1499)=0,"",INDEX(CalcWitB,$N1499)),"")</f>
        <v/>
      </c>
      <c r="I1499" s="24">
        <f>IF($M1499&lt;&gt;"",INDEX(CalcAmtA,$M1499),"")</f>
        <v/>
      </c>
      <c r="J1499" s="24">
        <f>IF($B1499="","",IF($J1498="",$C$8,$J1498)+IF($I1499="",0,$I1499)+IF($E1499="",0,$E1499)-IF($H1499="",0,$H1499))</f>
        <v/>
      </c>
      <c r="K1499" s="25">
        <f>IF($M1499&lt;&gt;"",IF(INDEX(CalcNoteA,$M1499)="","—",INDEX(CalcNoteA,$M1499)),IF($N1499&lt;&gt;"",IF(INDEX(CalcNoteB,$N1499)="","—",INDEX(CalcNoteB,$N1499)),""))</f>
        <v/>
      </c>
      <c r="M1499">
        <f>IFERROR(MATCH($C$5&amp;"|"&amp;RIGHT("000000"&amp;1483,6),CalcRankKeyA,0),"")</f>
        <v/>
      </c>
      <c r="N1499">
        <f>IFERROR(MATCH($C$5&amp;"|"&amp;RIGHT("000000"&amp;1483,6),CalcRankKeyB,0),"")</f>
        <v/>
      </c>
    </row>
    <row r="1500">
      <c r="A1500" s="26" t="n">
        <v>1484</v>
      </c>
      <c r="B1500" s="27">
        <f>IF(AND($M1500="",$N1500=""),"",IF($M1500&lt;&gt;"",INDEX(CalcDateA,$M1500),INDEX(CalcDateB,$N1500)))</f>
        <v/>
      </c>
      <c r="C1500" s="27">
        <f>IF($M1500&lt;&gt;"","خرید سبد",IF($N1500&lt;&gt;"",IF(N(INDEX(CalcDepB,$N1500))&gt;0,"دریافت بانکی","پرداخت بانکی"),""))</f>
        <v/>
      </c>
      <c r="D1500" s="27">
        <f>IF($M1500&lt;&gt;"",IF(INDEX(CalcDocA,$M1500)="","—",INDEX(CalcDocA,$M1500)),IF($N1500&lt;&gt;"",INDEX(CalcBankB,$N1500),""))</f>
        <v/>
      </c>
      <c r="E1500" s="28">
        <f>IF($N1500&lt;&gt;"",IF(INDEX(CalcDepB,$N1500)=0,"",INDEX(CalcDepB,$N1500)),"")</f>
        <v/>
      </c>
      <c r="F1500" s="28">
        <f>IF($M1500&lt;&gt;"",IF(INDEX(CalcQtyA,$M1500)=0,"",INDEX(CalcQtyA,$M1500)),"")</f>
        <v/>
      </c>
      <c r="G1500" s="28">
        <f>IF($M1500&lt;&gt;"",IF(INDEX(CalcPriceA,$M1500)=0,"",INDEX(CalcPriceA,$M1500)),"")</f>
        <v/>
      </c>
      <c r="H1500" s="28">
        <f>IF($N1500&lt;&gt;"",IF(INDEX(CalcWitB,$N1500)=0,"",INDEX(CalcWitB,$N1500)),"")</f>
        <v/>
      </c>
      <c r="I1500" s="29">
        <f>IF($M1500&lt;&gt;"",INDEX(CalcAmtA,$M1500),"")</f>
        <v/>
      </c>
      <c r="J1500" s="29">
        <f>IF($B1500="","",IF($J1499="",$C$8,$J1499)+IF($I1500="",0,$I1500)+IF($E1500="",0,$E1500)-IF($H1500="",0,$H1500))</f>
        <v/>
      </c>
      <c r="K1500" s="30">
        <f>IF($M1500&lt;&gt;"",IF(INDEX(CalcNoteA,$M1500)="","—",INDEX(CalcNoteA,$M1500)),IF($N1500&lt;&gt;"",IF(INDEX(CalcNoteB,$N1500)="","—",INDEX(CalcNoteB,$N1500)),""))</f>
        <v/>
      </c>
      <c r="M1500">
        <f>IFERROR(MATCH($C$5&amp;"|"&amp;RIGHT("000000"&amp;1484,6),CalcRankKeyA,0),"")</f>
        <v/>
      </c>
      <c r="N1500">
        <f>IFERROR(MATCH($C$5&amp;"|"&amp;RIGHT("000000"&amp;1484,6),CalcRankKeyB,0),"")</f>
        <v/>
      </c>
    </row>
    <row r="1501">
      <c r="A1501" s="21" t="n">
        <v>1485</v>
      </c>
      <c r="B1501" s="22">
        <f>IF(AND($M1501="",$N1501=""),"",IF($M1501&lt;&gt;"",INDEX(CalcDateA,$M1501),INDEX(CalcDateB,$N1501)))</f>
        <v/>
      </c>
      <c r="C1501" s="22">
        <f>IF($M1501&lt;&gt;"","خرید سبد",IF($N1501&lt;&gt;"",IF(N(INDEX(CalcDepB,$N1501))&gt;0,"دریافت بانکی","پرداخت بانکی"),""))</f>
        <v/>
      </c>
      <c r="D1501" s="22">
        <f>IF($M1501&lt;&gt;"",IF(INDEX(CalcDocA,$M1501)="","—",INDEX(CalcDocA,$M1501)),IF($N1501&lt;&gt;"",INDEX(CalcBankB,$N1501),""))</f>
        <v/>
      </c>
      <c r="E1501" s="23">
        <f>IF($N1501&lt;&gt;"",IF(INDEX(CalcDepB,$N1501)=0,"",INDEX(CalcDepB,$N1501)),"")</f>
        <v/>
      </c>
      <c r="F1501" s="23">
        <f>IF($M1501&lt;&gt;"",IF(INDEX(CalcQtyA,$M1501)=0,"",INDEX(CalcQtyA,$M1501)),"")</f>
        <v/>
      </c>
      <c r="G1501" s="23">
        <f>IF($M1501&lt;&gt;"",IF(INDEX(CalcPriceA,$M1501)=0,"",INDEX(CalcPriceA,$M1501)),"")</f>
        <v/>
      </c>
      <c r="H1501" s="23">
        <f>IF($N1501&lt;&gt;"",IF(INDEX(CalcWitB,$N1501)=0,"",INDEX(CalcWitB,$N1501)),"")</f>
        <v/>
      </c>
      <c r="I1501" s="24">
        <f>IF($M1501&lt;&gt;"",INDEX(CalcAmtA,$M1501),"")</f>
        <v/>
      </c>
      <c r="J1501" s="24">
        <f>IF($B1501="","",IF($J1500="",$C$8,$J1500)+IF($I1501="",0,$I1501)+IF($E1501="",0,$E1501)-IF($H1501="",0,$H1501))</f>
        <v/>
      </c>
      <c r="K1501" s="25">
        <f>IF($M1501&lt;&gt;"",IF(INDEX(CalcNoteA,$M1501)="","—",INDEX(CalcNoteA,$M1501)),IF($N1501&lt;&gt;"",IF(INDEX(CalcNoteB,$N1501)="","—",INDEX(CalcNoteB,$N1501)),""))</f>
        <v/>
      </c>
      <c r="M1501">
        <f>IFERROR(MATCH($C$5&amp;"|"&amp;RIGHT("000000"&amp;1485,6),CalcRankKeyA,0),"")</f>
        <v/>
      </c>
      <c r="N1501">
        <f>IFERROR(MATCH($C$5&amp;"|"&amp;RIGHT("000000"&amp;1485,6),CalcRankKeyB,0),"")</f>
        <v/>
      </c>
    </row>
    <row r="1502">
      <c r="A1502" s="26" t="n">
        <v>1486</v>
      </c>
      <c r="B1502" s="27">
        <f>IF(AND($M1502="",$N1502=""),"",IF($M1502&lt;&gt;"",INDEX(CalcDateA,$M1502),INDEX(CalcDateB,$N1502)))</f>
        <v/>
      </c>
      <c r="C1502" s="27">
        <f>IF($M1502&lt;&gt;"","خرید سبد",IF($N1502&lt;&gt;"",IF(N(INDEX(CalcDepB,$N1502))&gt;0,"دریافت بانکی","پرداخت بانکی"),""))</f>
        <v/>
      </c>
      <c r="D1502" s="27">
        <f>IF($M1502&lt;&gt;"",IF(INDEX(CalcDocA,$M1502)="","—",INDEX(CalcDocA,$M1502)),IF($N1502&lt;&gt;"",INDEX(CalcBankB,$N1502),""))</f>
        <v/>
      </c>
      <c r="E1502" s="28">
        <f>IF($N1502&lt;&gt;"",IF(INDEX(CalcDepB,$N1502)=0,"",INDEX(CalcDepB,$N1502)),"")</f>
        <v/>
      </c>
      <c r="F1502" s="28">
        <f>IF($M1502&lt;&gt;"",IF(INDEX(CalcQtyA,$M1502)=0,"",INDEX(CalcQtyA,$M1502)),"")</f>
        <v/>
      </c>
      <c r="G1502" s="28">
        <f>IF($M1502&lt;&gt;"",IF(INDEX(CalcPriceA,$M1502)=0,"",INDEX(CalcPriceA,$M1502)),"")</f>
        <v/>
      </c>
      <c r="H1502" s="28">
        <f>IF($N1502&lt;&gt;"",IF(INDEX(CalcWitB,$N1502)=0,"",INDEX(CalcWitB,$N1502)),"")</f>
        <v/>
      </c>
      <c r="I1502" s="29">
        <f>IF($M1502&lt;&gt;"",INDEX(CalcAmtA,$M1502),"")</f>
        <v/>
      </c>
      <c r="J1502" s="29">
        <f>IF($B1502="","",IF($J1501="",$C$8,$J1501)+IF($I1502="",0,$I1502)+IF($E1502="",0,$E1502)-IF($H1502="",0,$H1502))</f>
        <v/>
      </c>
      <c r="K1502" s="30">
        <f>IF($M1502&lt;&gt;"",IF(INDEX(CalcNoteA,$M1502)="","—",INDEX(CalcNoteA,$M1502)),IF($N1502&lt;&gt;"",IF(INDEX(CalcNoteB,$N1502)="","—",INDEX(CalcNoteB,$N1502)),""))</f>
        <v/>
      </c>
      <c r="M1502">
        <f>IFERROR(MATCH($C$5&amp;"|"&amp;RIGHT("000000"&amp;1486,6),CalcRankKeyA,0),"")</f>
        <v/>
      </c>
      <c r="N1502">
        <f>IFERROR(MATCH($C$5&amp;"|"&amp;RIGHT("000000"&amp;1486,6),CalcRankKeyB,0),"")</f>
        <v/>
      </c>
    </row>
    <row r="1503">
      <c r="A1503" s="21" t="n">
        <v>1487</v>
      </c>
      <c r="B1503" s="22">
        <f>IF(AND($M1503="",$N1503=""),"",IF($M1503&lt;&gt;"",INDEX(CalcDateA,$M1503),INDEX(CalcDateB,$N1503)))</f>
        <v/>
      </c>
      <c r="C1503" s="22">
        <f>IF($M1503&lt;&gt;"","خرید سبد",IF($N1503&lt;&gt;"",IF(N(INDEX(CalcDepB,$N1503))&gt;0,"دریافت بانکی","پرداخت بانکی"),""))</f>
        <v/>
      </c>
      <c r="D1503" s="22">
        <f>IF($M1503&lt;&gt;"",IF(INDEX(CalcDocA,$M1503)="","—",INDEX(CalcDocA,$M1503)),IF($N1503&lt;&gt;"",INDEX(CalcBankB,$N1503),""))</f>
        <v/>
      </c>
      <c r="E1503" s="23">
        <f>IF($N1503&lt;&gt;"",IF(INDEX(CalcDepB,$N1503)=0,"",INDEX(CalcDepB,$N1503)),"")</f>
        <v/>
      </c>
      <c r="F1503" s="23">
        <f>IF($M1503&lt;&gt;"",IF(INDEX(CalcQtyA,$M1503)=0,"",INDEX(CalcQtyA,$M1503)),"")</f>
        <v/>
      </c>
      <c r="G1503" s="23">
        <f>IF($M1503&lt;&gt;"",IF(INDEX(CalcPriceA,$M1503)=0,"",INDEX(CalcPriceA,$M1503)),"")</f>
        <v/>
      </c>
      <c r="H1503" s="23">
        <f>IF($N1503&lt;&gt;"",IF(INDEX(CalcWitB,$N1503)=0,"",INDEX(CalcWitB,$N1503)),"")</f>
        <v/>
      </c>
      <c r="I1503" s="24">
        <f>IF($M1503&lt;&gt;"",INDEX(CalcAmtA,$M1503),"")</f>
        <v/>
      </c>
      <c r="J1503" s="24">
        <f>IF($B1503="","",IF($J1502="",$C$8,$J1502)+IF($I1503="",0,$I1503)+IF($E1503="",0,$E1503)-IF($H1503="",0,$H1503))</f>
        <v/>
      </c>
      <c r="K1503" s="25">
        <f>IF($M1503&lt;&gt;"",IF(INDEX(CalcNoteA,$M1503)="","—",INDEX(CalcNoteA,$M1503)),IF($N1503&lt;&gt;"",IF(INDEX(CalcNoteB,$N1503)="","—",INDEX(CalcNoteB,$N1503)),""))</f>
        <v/>
      </c>
      <c r="M1503">
        <f>IFERROR(MATCH($C$5&amp;"|"&amp;RIGHT("000000"&amp;1487,6),CalcRankKeyA,0),"")</f>
        <v/>
      </c>
      <c r="N1503">
        <f>IFERROR(MATCH($C$5&amp;"|"&amp;RIGHT("000000"&amp;1487,6),CalcRankKeyB,0),"")</f>
        <v/>
      </c>
    </row>
    <row r="1504">
      <c r="A1504" s="26" t="n">
        <v>1488</v>
      </c>
      <c r="B1504" s="27">
        <f>IF(AND($M1504="",$N1504=""),"",IF($M1504&lt;&gt;"",INDEX(CalcDateA,$M1504),INDEX(CalcDateB,$N1504)))</f>
        <v/>
      </c>
      <c r="C1504" s="27">
        <f>IF($M1504&lt;&gt;"","خرید سبد",IF($N1504&lt;&gt;"",IF(N(INDEX(CalcDepB,$N1504))&gt;0,"دریافت بانکی","پرداخت بانکی"),""))</f>
        <v/>
      </c>
      <c r="D1504" s="27">
        <f>IF($M1504&lt;&gt;"",IF(INDEX(CalcDocA,$M1504)="","—",INDEX(CalcDocA,$M1504)),IF($N1504&lt;&gt;"",INDEX(CalcBankB,$N1504),""))</f>
        <v/>
      </c>
      <c r="E1504" s="28">
        <f>IF($N1504&lt;&gt;"",IF(INDEX(CalcDepB,$N1504)=0,"",INDEX(CalcDepB,$N1504)),"")</f>
        <v/>
      </c>
      <c r="F1504" s="28">
        <f>IF($M1504&lt;&gt;"",IF(INDEX(CalcQtyA,$M1504)=0,"",INDEX(CalcQtyA,$M1504)),"")</f>
        <v/>
      </c>
      <c r="G1504" s="28">
        <f>IF($M1504&lt;&gt;"",IF(INDEX(CalcPriceA,$M1504)=0,"",INDEX(CalcPriceA,$M1504)),"")</f>
        <v/>
      </c>
      <c r="H1504" s="28">
        <f>IF($N1504&lt;&gt;"",IF(INDEX(CalcWitB,$N1504)=0,"",INDEX(CalcWitB,$N1504)),"")</f>
        <v/>
      </c>
      <c r="I1504" s="29">
        <f>IF($M1504&lt;&gt;"",INDEX(CalcAmtA,$M1504),"")</f>
        <v/>
      </c>
      <c r="J1504" s="29">
        <f>IF($B1504="","",IF($J1503="",$C$8,$J1503)+IF($I1504="",0,$I1504)+IF($E1504="",0,$E1504)-IF($H1504="",0,$H1504))</f>
        <v/>
      </c>
      <c r="K1504" s="30">
        <f>IF($M1504&lt;&gt;"",IF(INDEX(CalcNoteA,$M1504)="","—",INDEX(CalcNoteA,$M1504)),IF($N1504&lt;&gt;"",IF(INDEX(CalcNoteB,$N1504)="","—",INDEX(CalcNoteB,$N1504)),""))</f>
        <v/>
      </c>
      <c r="M1504">
        <f>IFERROR(MATCH($C$5&amp;"|"&amp;RIGHT("000000"&amp;1488,6),CalcRankKeyA,0),"")</f>
        <v/>
      </c>
      <c r="N1504">
        <f>IFERROR(MATCH($C$5&amp;"|"&amp;RIGHT("000000"&amp;1488,6),CalcRankKeyB,0),"")</f>
        <v/>
      </c>
    </row>
    <row r="1505">
      <c r="A1505" s="21" t="n">
        <v>1489</v>
      </c>
      <c r="B1505" s="22">
        <f>IF(AND($M1505="",$N1505=""),"",IF($M1505&lt;&gt;"",INDEX(CalcDateA,$M1505),INDEX(CalcDateB,$N1505)))</f>
        <v/>
      </c>
      <c r="C1505" s="22">
        <f>IF($M1505&lt;&gt;"","خرید سبد",IF($N1505&lt;&gt;"",IF(N(INDEX(CalcDepB,$N1505))&gt;0,"دریافت بانکی","پرداخت بانکی"),""))</f>
        <v/>
      </c>
      <c r="D1505" s="22">
        <f>IF($M1505&lt;&gt;"",IF(INDEX(CalcDocA,$M1505)="","—",INDEX(CalcDocA,$M1505)),IF($N1505&lt;&gt;"",INDEX(CalcBankB,$N1505),""))</f>
        <v/>
      </c>
      <c r="E1505" s="23">
        <f>IF($N1505&lt;&gt;"",IF(INDEX(CalcDepB,$N1505)=0,"",INDEX(CalcDepB,$N1505)),"")</f>
        <v/>
      </c>
      <c r="F1505" s="23">
        <f>IF($M1505&lt;&gt;"",IF(INDEX(CalcQtyA,$M1505)=0,"",INDEX(CalcQtyA,$M1505)),"")</f>
        <v/>
      </c>
      <c r="G1505" s="23">
        <f>IF($M1505&lt;&gt;"",IF(INDEX(CalcPriceA,$M1505)=0,"",INDEX(CalcPriceA,$M1505)),"")</f>
        <v/>
      </c>
      <c r="H1505" s="23">
        <f>IF($N1505&lt;&gt;"",IF(INDEX(CalcWitB,$N1505)=0,"",INDEX(CalcWitB,$N1505)),"")</f>
        <v/>
      </c>
      <c r="I1505" s="24">
        <f>IF($M1505&lt;&gt;"",INDEX(CalcAmtA,$M1505),"")</f>
        <v/>
      </c>
      <c r="J1505" s="24">
        <f>IF($B1505="","",IF($J1504="",$C$8,$J1504)+IF($I1505="",0,$I1505)+IF($E1505="",0,$E1505)-IF($H1505="",0,$H1505))</f>
        <v/>
      </c>
      <c r="K1505" s="25">
        <f>IF($M1505&lt;&gt;"",IF(INDEX(CalcNoteA,$M1505)="","—",INDEX(CalcNoteA,$M1505)),IF($N1505&lt;&gt;"",IF(INDEX(CalcNoteB,$N1505)="","—",INDEX(CalcNoteB,$N1505)),""))</f>
        <v/>
      </c>
      <c r="M1505">
        <f>IFERROR(MATCH($C$5&amp;"|"&amp;RIGHT("000000"&amp;1489,6),CalcRankKeyA,0),"")</f>
        <v/>
      </c>
      <c r="N1505">
        <f>IFERROR(MATCH($C$5&amp;"|"&amp;RIGHT("000000"&amp;1489,6),CalcRankKeyB,0),"")</f>
        <v/>
      </c>
    </row>
    <row r="1506">
      <c r="A1506" s="26" t="n">
        <v>1490</v>
      </c>
      <c r="B1506" s="27">
        <f>IF(AND($M1506="",$N1506=""),"",IF($M1506&lt;&gt;"",INDEX(CalcDateA,$M1506),INDEX(CalcDateB,$N1506)))</f>
        <v/>
      </c>
      <c r="C1506" s="27">
        <f>IF($M1506&lt;&gt;"","خرید سبد",IF($N1506&lt;&gt;"",IF(N(INDEX(CalcDepB,$N1506))&gt;0,"دریافت بانکی","پرداخت بانکی"),""))</f>
        <v/>
      </c>
      <c r="D1506" s="27">
        <f>IF($M1506&lt;&gt;"",IF(INDEX(CalcDocA,$M1506)="","—",INDEX(CalcDocA,$M1506)),IF($N1506&lt;&gt;"",INDEX(CalcBankB,$N1506),""))</f>
        <v/>
      </c>
      <c r="E1506" s="28">
        <f>IF($N1506&lt;&gt;"",IF(INDEX(CalcDepB,$N1506)=0,"",INDEX(CalcDepB,$N1506)),"")</f>
        <v/>
      </c>
      <c r="F1506" s="28">
        <f>IF($M1506&lt;&gt;"",IF(INDEX(CalcQtyA,$M1506)=0,"",INDEX(CalcQtyA,$M1506)),"")</f>
        <v/>
      </c>
      <c r="G1506" s="28">
        <f>IF($M1506&lt;&gt;"",IF(INDEX(CalcPriceA,$M1506)=0,"",INDEX(CalcPriceA,$M1506)),"")</f>
        <v/>
      </c>
      <c r="H1506" s="28">
        <f>IF($N1506&lt;&gt;"",IF(INDEX(CalcWitB,$N1506)=0,"",INDEX(CalcWitB,$N1506)),"")</f>
        <v/>
      </c>
      <c r="I1506" s="29">
        <f>IF($M1506&lt;&gt;"",INDEX(CalcAmtA,$M1506),"")</f>
        <v/>
      </c>
      <c r="J1506" s="29">
        <f>IF($B1506="","",IF($J1505="",$C$8,$J1505)+IF($I1506="",0,$I1506)+IF($E1506="",0,$E1506)-IF($H1506="",0,$H1506))</f>
        <v/>
      </c>
      <c r="K1506" s="30">
        <f>IF($M1506&lt;&gt;"",IF(INDEX(CalcNoteA,$M1506)="","—",INDEX(CalcNoteA,$M1506)),IF($N1506&lt;&gt;"",IF(INDEX(CalcNoteB,$N1506)="","—",INDEX(CalcNoteB,$N1506)),""))</f>
        <v/>
      </c>
      <c r="M1506">
        <f>IFERROR(MATCH($C$5&amp;"|"&amp;RIGHT("000000"&amp;1490,6),CalcRankKeyA,0),"")</f>
        <v/>
      </c>
      <c r="N1506">
        <f>IFERROR(MATCH($C$5&amp;"|"&amp;RIGHT("000000"&amp;1490,6),CalcRankKeyB,0),"")</f>
        <v/>
      </c>
    </row>
    <row r="1507">
      <c r="A1507" s="21" t="n">
        <v>1491</v>
      </c>
      <c r="B1507" s="22">
        <f>IF(AND($M1507="",$N1507=""),"",IF($M1507&lt;&gt;"",INDEX(CalcDateA,$M1507),INDEX(CalcDateB,$N1507)))</f>
        <v/>
      </c>
      <c r="C1507" s="22">
        <f>IF($M1507&lt;&gt;"","خرید سبد",IF($N1507&lt;&gt;"",IF(N(INDEX(CalcDepB,$N1507))&gt;0,"دریافت بانکی","پرداخت بانکی"),""))</f>
        <v/>
      </c>
      <c r="D1507" s="22">
        <f>IF($M1507&lt;&gt;"",IF(INDEX(CalcDocA,$M1507)="","—",INDEX(CalcDocA,$M1507)),IF($N1507&lt;&gt;"",INDEX(CalcBankB,$N1507),""))</f>
        <v/>
      </c>
      <c r="E1507" s="23">
        <f>IF($N1507&lt;&gt;"",IF(INDEX(CalcDepB,$N1507)=0,"",INDEX(CalcDepB,$N1507)),"")</f>
        <v/>
      </c>
      <c r="F1507" s="23">
        <f>IF($M1507&lt;&gt;"",IF(INDEX(CalcQtyA,$M1507)=0,"",INDEX(CalcQtyA,$M1507)),"")</f>
        <v/>
      </c>
      <c r="G1507" s="23">
        <f>IF($M1507&lt;&gt;"",IF(INDEX(CalcPriceA,$M1507)=0,"",INDEX(CalcPriceA,$M1507)),"")</f>
        <v/>
      </c>
      <c r="H1507" s="23">
        <f>IF($N1507&lt;&gt;"",IF(INDEX(CalcWitB,$N1507)=0,"",INDEX(CalcWitB,$N1507)),"")</f>
        <v/>
      </c>
      <c r="I1507" s="24">
        <f>IF($M1507&lt;&gt;"",INDEX(CalcAmtA,$M1507),"")</f>
        <v/>
      </c>
      <c r="J1507" s="24">
        <f>IF($B1507="","",IF($J1506="",$C$8,$J1506)+IF($I1507="",0,$I1507)+IF($E1507="",0,$E1507)-IF($H1507="",0,$H1507))</f>
        <v/>
      </c>
      <c r="K1507" s="25">
        <f>IF($M1507&lt;&gt;"",IF(INDEX(CalcNoteA,$M1507)="","—",INDEX(CalcNoteA,$M1507)),IF($N1507&lt;&gt;"",IF(INDEX(CalcNoteB,$N1507)="","—",INDEX(CalcNoteB,$N1507)),""))</f>
        <v/>
      </c>
      <c r="M1507">
        <f>IFERROR(MATCH($C$5&amp;"|"&amp;RIGHT("000000"&amp;1491,6),CalcRankKeyA,0),"")</f>
        <v/>
      </c>
      <c r="N1507">
        <f>IFERROR(MATCH($C$5&amp;"|"&amp;RIGHT("000000"&amp;1491,6),CalcRankKeyB,0),"")</f>
        <v/>
      </c>
    </row>
    <row r="1508">
      <c r="A1508" s="26" t="n">
        <v>1492</v>
      </c>
      <c r="B1508" s="27">
        <f>IF(AND($M1508="",$N1508=""),"",IF($M1508&lt;&gt;"",INDEX(CalcDateA,$M1508),INDEX(CalcDateB,$N1508)))</f>
        <v/>
      </c>
      <c r="C1508" s="27">
        <f>IF($M1508&lt;&gt;"","خرید سبد",IF($N1508&lt;&gt;"",IF(N(INDEX(CalcDepB,$N1508))&gt;0,"دریافت بانکی","پرداخت بانکی"),""))</f>
        <v/>
      </c>
      <c r="D1508" s="27">
        <f>IF($M1508&lt;&gt;"",IF(INDEX(CalcDocA,$M1508)="","—",INDEX(CalcDocA,$M1508)),IF($N1508&lt;&gt;"",INDEX(CalcBankB,$N1508),""))</f>
        <v/>
      </c>
      <c r="E1508" s="28">
        <f>IF($N1508&lt;&gt;"",IF(INDEX(CalcDepB,$N1508)=0,"",INDEX(CalcDepB,$N1508)),"")</f>
        <v/>
      </c>
      <c r="F1508" s="28">
        <f>IF($M1508&lt;&gt;"",IF(INDEX(CalcQtyA,$M1508)=0,"",INDEX(CalcQtyA,$M1508)),"")</f>
        <v/>
      </c>
      <c r="G1508" s="28">
        <f>IF($M1508&lt;&gt;"",IF(INDEX(CalcPriceA,$M1508)=0,"",INDEX(CalcPriceA,$M1508)),"")</f>
        <v/>
      </c>
      <c r="H1508" s="28">
        <f>IF($N1508&lt;&gt;"",IF(INDEX(CalcWitB,$N1508)=0,"",INDEX(CalcWitB,$N1508)),"")</f>
        <v/>
      </c>
      <c r="I1508" s="29">
        <f>IF($M1508&lt;&gt;"",INDEX(CalcAmtA,$M1508),"")</f>
        <v/>
      </c>
      <c r="J1508" s="29">
        <f>IF($B1508="","",IF($J1507="",$C$8,$J1507)+IF($I1508="",0,$I1508)+IF($E1508="",0,$E1508)-IF($H1508="",0,$H1508))</f>
        <v/>
      </c>
      <c r="K1508" s="30">
        <f>IF($M1508&lt;&gt;"",IF(INDEX(CalcNoteA,$M1508)="","—",INDEX(CalcNoteA,$M1508)),IF($N1508&lt;&gt;"",IF(INDEX(CalcNoteB,$N1508)="","—",INDEX(CalcNoteB,$N1508)),""))</f>
        <v/>
      </c>
      <c r="M1508">
        <f>IFERROR(MATCH($C$5&amp;"|"&amp;RIGHT("000000"&amp;1492,6),CalcRankKeyA,0),"")</f>
        <v/>
      </c>
      <c r="N1508">
        <f>IFERROR(MATCH($C$5&amp;"|"&amp;RIGHT("000000"&amp;1492,6),CalcRankKeyB,0),"")</f>
        <v/>
      </c>
    </row>
    <row r="1509">
      <c r="A1509" s="21" t="n">
        <v>1493</v>
      </c>
      <c r="B1509" s="22">
        <f>IF(AND($M1509="",$N1509=""),"",IF($M1509&lt;&gt;"",INDEX(CalcDateA,$M1509),INDEX(CalcDateB,$N1509)))</f>
        <v/>
      </c>
      <c r="C1509" s="22">
        <f>IF($M1509&lt;&gt;"","خرید سبد",IF($N1509&lt;&gt;"",IF(N(INDEX(CalcDepB,$N1509))&gt;0,"دریافت بانکی","پرداخت بانکی"),""))</f>
        <v/>
      </c>
      <c r="D1509" s="22">
        <f>IF($M1509&lt;&gt;"",IF(INDEX(CalcDocA,$M1509)="","—",INDEX(CalcDocA,$M1509)),IF($N1509&lt;&gt;"",INDEX(CalcBankB,$N1509),""))</f>
        <v/>
      </c>
      <c r="E1509" s="23">
        <f>IF($N1509&lt;&gt;"",IF(INDEX(CalcDepB,$N1509)=0,"",INDEX(CalcDepB,$N1509)),"")</f>
        <v/>
      </c>
      <c r="F1509" s="23">
        <f>IF($M1509&lt;&gt;"",IF(INDEX(CalcQtyA,$M1509)=0,"",INDEX(CalcQtyA,$M1509)),"")</f>
        <v/>
      </c>
      <c r="G1509" s="23">
        <f>IF($M1509&lt;&gt;"",IF(INDEX(CalcPriceA,$M1509)=0,"",INDEX(CalcPriceA,$M1509)),"")</f>
        <v/>
      </c>
      <c r="H1509" s="23">
        <f>IF($N1509&lt;&gt;"",IF(INDEX(CalcWitB,$N1509)=0,"",INDEX(CalcWitB,$N1509)),"")</f>
        <v/>
      </c>
      <c r="I1509" s="24">
        <f>IF($M1509&lt;&gt;"",INDEX(CalcAmtA,$M1509),"")</f>
        <v/>
      </c>
      <c r="J1509" s="24">
        <f>IF($B1509="","",IF($J1508="",$C$8,$J1508)+IF($I1509="",0,$I1509)+IF($E1509="",0,$E1509)-IF($H1509="",0,$H1509))</f>
        <v/>
      </c>
      <c r="K1509" s="25">
        <f>IF($M1509&lt;&gt;"",IF(INDEX(CalcNoteA,$M1509)="","—",INDEX(CalcNoteA,$M1509)),IF($N1509&lt;&gt;"",IF(INDEX(CalcNoteB,$N1509)="","—",INDEX(CalcNoteB,$N1509)),""))</f>
        <v/>
      </c>
      <c r="M1509">
        <f>IFERROR(MATCH($C$5&amp;"|"&amp;RIGHT("000000"&amp;1493,6),CalcRankKeyA,0),"")</f>
        <v/>
      </c>
      <c r="N1509">
        <f>IFERROR(MATCH($C$5&amp;"|"&amp;RIGHT("000000"&amp;1493,6),CalcRankKeyB,0),"")</f>
        <v/>
      </c>
    </row>
    <row r="1510">
      <c r="A1510" s="26" t="n">
        <v>1494</v>
      </c>
      <c r="B1510" s="27">
        <f>IF(AND($M1510="",$N1510=""),"",IF($M1510&lt;&gt;"",INDEX(CalcDateA,$M1510),INDEX(CalcDateB,$N1510)))</f>
        <v/>
      </c>
      <c r="C1510" s="27">
        <f>IF($M1510&lt;&gt;"","خرید سبد",IF($N1510&lt;&gt;"",IF(N(INDEX(CalcDepB,$N1510))&gt;0,"دریافت بانکی","پرداخت بانکی"),""))</f>
        <v/>
      </c>
      <c r="D1510" s="27">
        <f>IF($M1510&lt;&gt;"",IF(INDEX(CalcDocA,$M1510)="","—",INDEX(CalcDocA,$M1510)),IF($N1510&lt;&gt;"",INDEX(CalcBankB,$N1510),""))</f>
        <v/>
      </c>
      <c r="E1510" s="28">
        <f>IF($N1510&lt;&gt;"",IF(INDEX(CalcDepB,$N1510)=0,"",INDEX(CalcDepB,$N1510)),"")</f>
        <v/>
      </c>
      <c r="F1510" s="28">
        <f>IF($M1510&lt;&gt;"",IF(INDEX(CalcQtyA,$M1510)=0,"",INDEX(CalcQtyA,$M1510)),"")</f>
        <v/>
      </c>
      <c r="G1510" s="28">
        <f>IF($M1510&lt;&gt;"",IF(INDEX(CalcPriceA,$M1510)=0,"",INDEX(CalcPriceA,$M1510)),"")</f>
        <v/>
      </c>
      <c r="H1510" s="28">
        <f>IF($N1510&lt;&gt;"",IF(INDEX(CalcWitB,$N1510)=0,"",INDEX(CalcWitB,$N1510)),"")</f>
        <v/>
      </c>
      <c r="I1510" s="29">
        <f>IF($M1510&lt;&gt;"",INDEX(CalcAmtA,$M1510),"")</f>
        <v/>
      </c>
      <c r="J1510" s="29">
        <f>IF($B1510="","",IF($J1509="",$C$8,$J1509)+IF($I1510="",0,$I1510)+IF($E1510="",0,$E1510)-IF($H1510="",0,$H1510))</f>
        <v/>
      </c>
      <c r="K1510" s="30">
        <f>IF($M1510&lt;&gt;"",IF(INDEX(CalcNoteA,$M1510)="","—",INDEX(CalcNoteA,$M1510)),IF($N1510&lt;&gt;"",IF(INDEX(CalcNoteB,$N1510)="","—",INDEX(CalcNoteB,$N1510)),""))</f>
        <v/>
      </c>
      <c r="M1510">
        <f>IFERROR(MATCH($C$5&amp;"|"&amp;RIGHT("000000"&amp;1494,6),CalcRankKeyA,0),"")</f>
        <v/>
      </c>
      <c r="N1510">
        <f>IFERROR(MATCH($C$5&amp;"|"&amp;RIGHT("000000"&amp;1494,6),CalcRankKeyB,0),"")</f>
        <v/>
      </c>
    </row>
    <row r="1511">
      <c r="A1511" s="21" t="n">
        <v>1495</v>
      </c>
      <c r="B1511" s="22">
        <f>IF(AND($M1511="",$N1511=""),"",IF($M1511&lt;&gt;"",INDEX(CalcDateA,$M1511),INDEX(CalcDateB,$N1511)))</f>
        <v/>
      </c>
      <c r="C1511" s="22">
        <f>IF($M1511&lt;&gt;"","خرید سبد",IF($N1511&lt;&gt;"",IF(N(INDEX(CalcDepB,$N1511))&gt;0,"دریافت بانکی","پرداخت بانکی"),""))</f>
        <v/>
      </c>
      <c r="D1511" s="22">
        <f>IF($M1511&lt;&gt;"",IF(INDEX(CalcDocA,$M1511)="","—",INDEX(CalcDocA,$M1511)),IF($N1511&lt;&gt;"",INDEX(CalcBankB,$N1511),""))</f>
        <v/>
      </c>
      <c r="E1511" s="23">
        <f>IF($N1511&lt;&gt;"",IF(INDEX(CalcDepB,$N1511)=0,"",INDEX(CalcDepB,$N1511)),"")</f>
        <v/>
      </c>
      <c r="F1511" s="23">
        <f>IF($M1511&lt;&gt;"",IF(INDEX(CalcQtyA,$M1511)=0,"",INDEX(CalcQtyA,$M1511)),"")</f>
        <v/>
      </c>
      <c r="G1511" s="23">
        <f>IF($M1511&lt;&gt;"",IF(INDEX(CalcPriceA,$M1511)=0,"",INDEX(CalcPriceA,$M1511)),"")</f>
        <v/>
      </c>
      <c r="H1511" s="23">
        <f>IF($N1511&lt;&gt;"",IF(INDEX(CalcWitB,$N1511)=0,"",INDEX(CalcWitB,$N1511)),"")</f>
        <v/>
      </c>
      <c r="I1511" s="24">
        <f>IF($M1511&lt;&gt;"",INDEX(CalcAmtA,$M1511),"")</f>
        <v/>
      </c>
      <c r="J1511" s="24">
        <f>IF($B1511="","",IF($J1510="",$C$8,$J1510)+IF($I1511="",0,$I1511)+IF($E1511="",0,$E1511)-IF($H1511="",0,$H1511))</f>
        <v/>
      </c>
      <c r="K1511" s="25">
        <f>IF($M1511&lt;&gt;"",IF(INDEX(CalcNoteA,$M1511)="","—",INDEX(CalcNoteA,$M1511)),IF($N1511&lt;&gt;"",IF(INDEX(CalcNoteB,$N1511)="","—",INDEX(CalcNoteB,$N1511)),""))</f>
        <v/>
      </c>
      <c r="M1511">
        <f>IFERROR(MATCH($C$5&amp;"|"&amp;RIGHT("000000"&amp;1495,6),CalcRankKeyA,0),"")</f>
        <v/>
      </c>
      <c r="N1511">
        <f>IFERROR(MATCH($C$5&amp;"|"&amp;RIGHT("000000"&amp;1495,6),CalcRankKeyB,0),"")</f>
        <v/>
      </c>
    </row>
    <row r="1512">
      <c r="A1512" s="26" t="n">
        <v>1496</v>
      </c>
      <c r="B1512" s="27">
        <f>IF(AND($M1512="",$N1512=""),"",IF($M1512&lt;&gt;"",INDEX(CalcDateA,$M1512),INDEX(CalcDateB,$N1512)))</f>
        <v/>
      </c>
      <c r="C1512" s="27">
        <f>IF($M1512&lt;&gt;"","خرید سبد",IF($N1512&lt;&gt;"",IF(N(INDEX(CalcDepB,$N1512))&gt;0,"دریافت بانکی","پرداخت بانکی"),""))</f>
        <v/>
      </c>
      <c r="D1512" s="27">
        <f>IF($M1512&lt;&gt;"",IF(INDEX(CalcDocA,$M1512)="","—",INDEX(CalcDocA,$M1512)),IF($N1512&lt;&gt;"",INDEX(CalcBankB,$N1512),""))</f>
        <v/>
      </c>
      <c r="E1512" s="28">
        <f>IF($N1512&lt;&gt;"",IF(INDEX(CalcDepB,$N1512)=0,"",INDEX(CalcDepB,$N1512)),"")</f>
        <v/>
      </c>
      <c r="F1512" s="28">
        <f>IF($M1512&lt;&gt;"",IF(INDEX(CalcQtyA,$M1512)=0,"",INDEX(CalcQtyA,$M1512)),"")</f>
        <v/>
      </c>
      <c r="G1512" s="28">
        <f>IF($M1512&lt;&gt;"",IF(INDEX(CalcPriceA,$M1512)=0,"",INDEX(CalcPriceA,$M1512)),"")</f>
        <v/>
      </c>
      <c r="H1512" s="28">
        <f>IF($N1512&lt;&gt;"",IF(INDEX(CalcWitB,$N1512)=0,"",INDEX(CalcWitB,$N1512)),"")</f>
        <v/>
      </c>
      <c r="I1512" s="29">
        <f>IF($M1512&lt;&gt;"",INDEX(CalcAmtA,$M1512),"")</f>
        <v/>
      </c>
      <c r="J1512" s="29">
        <f>IF($B1512="","",IF($J1511="",$C$8,$J1511)+IF($I1512="",0,$I1512)+IF($E1512="",0,$E1512)-IF($H1512="",0,$H1512))</f>
        <v/>
      </c>
      <c r="K1512" s="30">
        <f>IF($M1512&lt;&gt;"",IF(INDEX(CalcNoteA,$M1512)="","—",INDEX(CalcNoteA,$M1512)),IF($N1512&lt;&gt;"",IF(INDEX(CalcNoteB,$N1512)="","—",INDEX(CalcNoteB,$N1512)),""))</f>
        <v/>
      </c>
      <c r="M1512">
        <f>IFERROR(MATCH($C$5&amp;"|"&amp;RIGHT("000000"&amp;1496,6),CalcRankKeyA,0),"")</f>
        <v/>
      </c>
      <c r="N1512">
        <f>IFERROR(MATCH($C$5&amp;"|"&amp;RIGHT("000000"&amp;1496,6),CalcRankKeyB,0),"")</f>
        <v/>
      </c>
    </row>
    <row r="1513">
      <c r="A1513" s="21" t="n">
        <v>1497</v>
      </c>
      <c r="B1513" s="22">
        <f>IF(AND($M1513="",$N1513=""),"",IF($M1513&lt;&gt;"",INDEX(CalcDateA,$M1513),INDEX(CalcDateB,$N1513)))</f>
        <v/>
      </c>
      <c r="C1513" s="22">
        <f>IF($M1513&lt;&gt;"","خرید سبد",IF($N1513&lt;&gt;"",IF(N(INDEX(CalcDepB,$N1513))&gt;0,"دریافت بانکی","پرداخت بانکی"),""))</f>
        <v/>
      </c>
      <c r="D1513" s="22">
        <f>IF($M1513&lt;&gt;"",IF(INDEX(CalcDocA,$M1513)="","—",INDEX(CalcDocA,$M1513)),IF($N1513&lt;&gt;"",INDEX(CalcBankB,$N1513),""))</f>
        <v/>
      </c>
      <c r="E1513" s="23">
        <f>IF($N1513&lt;&gt;"",IF(INDEX(CalcDepB,$N1513)=0,"",INDEX(CalcDepB,$N1513)),"")</f>
        <v/>
      </c>
      <c r="F1513" s="23">
        <f>IF($M1513&lt;&gt;"",IF(INDEX(CalcQtyA,$M1513)=0,"",INDEX(CalcQtyA,$M1513)),"")</f>
        <v/>
      </c>
      <c r="G1513" s="23">
        <f>IF($M1513&lt;&gt;"",IF(INDEX(CalcPriceA,$M1513)=0,"",INDEX(CalcPriceA,$M1513)),"")</f>
        <v/>
      </c>
      <c r="H1513" s="23">
        <f>IF($N1513&lt;&gt;"",IF(INDEX(CalcWitB,$N1513)=0,"",INDEX(CalcWitB,$N1513)),"")</f>
        <v/>
      </c>
      <c r="I1513" s="24">
        <f>IF($M1513&lt;&gt;"",INDEX(CalcAmtA,$M1513),"")</f>
        <v/>
      </c>
      <c r="J1513" s="24">
        <f>IF($B1513="","",IF($J1512="",$C$8,$J1512)+IF($I1513="",0,$I1513)+IF($E1513="",0,$E1513)-IF($H1513="",0,$H1513))</f>
        <v/>
      </c>
      <c r="K1513" s="25">
        <f>IF($M1513&lt;&gt;"",IF(INDEX(CalcNoteA,$M1513)="","—",INDEX(CalcNoteA,$M1513)),IF($N1513&lt;&gt;"",IF(INDEX(CalcNoteB,$N1513)="","—",INDEX(CalcNoteB,$N1513)),""))</f>
        <v/>
      </c>
      <c r="M1513">
        <f>IFERROR(MATCH($C$5&amp;"|"&amp;RIGHT("000000"&amp;1497,6),CalcRankKeyA,0),"")</f>
        <v/>
      </c>
      <c r="N1513">
        <f>IFERROR(MATCH($C$5&amp;"|"&amp;RIGHT("000000"&amp;1497,6),CalcRankKeyB,0),"")</f>
        <v/>
      </c>
    </row>
    <row r="1514">
      <c r="A1514" s="26" t="n">
        <v>1498</v>
      </c>
      <c r="B1514" s="27">
        <f>IF(AND($M1514="",$N1514=""),"",IF($M1514&lt;&gt;"",INDEX(CalcDateA,$M1514),INDEX(CalcDateB,$N1514)))</f>
        <v/>
      </c>
      <c r="C1514" s="27">
        <f>IF($M1514&lt;&gt;"","خرید سبد",IF($N1514&lt;&gt;"",IF(N(INDEX(CalcDepB,$N1514))&gt;0,"دریافت بانکی","پرداخت بانکی"),""))</f>
        <v/>
      </c>
      <c r="D1514" s="27">
        <f>IF($M1514&lt;&gt;"",IF(INDEX(CalcDocA,$M1514)="","—",INDEX(CalcDocA,$M1514)),IF($N1514&lt;&gt;"",INDEX(CalcBankB,$N1514),""))</f>
        <v/>
      </c>
      <c r="E1514" s="28">
        <f>IF($N1514&lt;&gt;"",IF(INDEX(CalcDepB,$N1514)=0,"",INDEX(CalcDepB,$N1514)),"")</f>
        <v/>
      </c>
      <c r="F1514" s="28">
        <f>IF($M1514&lt;&gt;"",IF(INDEX(CalcQtyA,$M1514)=0,"",INDEX(CalcQtyA,$M1514)),"")</f>
        <v/>
      </c>
      <c r="G1514" s="28">
        <f>IF($M1514&lt;&gt;"",IF(INDEX(CalcPriceA,$M1514)=0,"",INDEX(CalcPriceA,$M1514)),"")</f>
        <v/>
      </c>
      <c r="H1514" s="28">
        <f>IF($N1514&lt;&gt;"",IF(INDEX(CalcWitB,$N1514)=0,"",INDEX(CalcWitB,$N1514)),"")</f>
        <v/>
      </c>
      <c r="I1514" s="29">
        <f>IF($M1514&lt;&gt;"",INDEX(CalcAmtA,$M1514),"")</f>
        <v/>
      </c>
      <c r="J1514" s="29">
        <f>IF($B1514="","",IF($J1513="",$C$8,$J1513)+IF($I1514="",0,$I1514)+IF($E1514="",0,$E1514)-IF($H1514="",0,$H1514))</f>
        <v/>
      </c>
      <c r="K1514" s="30">
        <f>IF($M1514&lt;&gt;"",IF(INDEX(CalcNoteA,$M1514)="","—",INDEX(CalcNoteA,$M1514)),IF($N1514&lt;&gt;"",IF(INDEX(CalcNoteB,$N1514)="","—",INDEX(CalcNoteB,$N1514)),""))</f>
        <v/>
      </c>
      <c r="M1514">
        <f>IFERROR(MATCH($C$5&amp;"|"&amp;RIGHT("000000"&amp;1498,6),CalcRankKeyA,0),"")</f>
        <v/>
      </c>
      <c r="N1514">
        <f>IFERROR(MATCH($C$5&amp;"|"&amp;RIGHT("000000"&amp;1498,6),CalcRankKeyB,0),"")</f>
        <v/>
      </c>
    </row>
    <row r="1515">
      <c r="A1515" s="21" t="n">
        <v>1499</v>
      </c>
      <c r="B1515" s="22">
        <f>IF(AND($M1515="",$N1515=""),"",IF($M1515&lt;&gt;"",INDEX(CalcDateA,$M1515),INDEX(CalcDateB,$N1515)))</f>
        <v/>
      </c>
      <c r="C1515" s="22">
        <f>IF($M1515&lt;&gt;"","خرید سبد",IF($N1515&lt;&gt;"",IF(N(INDEX(CalcDepB,$N1515))&gt;0,"دریافت بانکی","پرداخت بانکی"),""))</f>
        <v/>
      </c>
      <c r="D1515" s="22">
        <f>IF($M1515&lt;&gt;"",IF(INDEX(CalcDocA,$M1515)="","—",INDEX(CalcDocA,$M1515)),IF($N1515&lt;&gt;"",INDEX(CalcBankB,$N1515),""))</f>
        <v/>
      </c>
      <c r="E1515" s="23">
        <f>IF($N1515&lt;&gt;"",IF(INDEX(CalcDepB,$N1515)=0,"",INDEX(CalcDepB,$N1515)),"")</f>
        <v/>
      </c>
      <c r="F1515" s="23">
        <f>IF($M1515&lt;&gt;"",IF(INDEX(CalcQtyA,$M1515)=0,"",INDEX(CalcQtyA,$M1515)),"")</f>
        <v/>
      </c>
      <c r="G1515" s="23">
        <f>IF($M1515&lt;&gt;"",IF(INDEX(CalcPriceA,$M1515)=0,"",INDEX(CalcPriceA,$M1515)),"")</f>
        <v/>
      </c>
      <c r="H1515" s="23">
        <f>IF($N1515&lt;&gt;"",IF(INDEX(CalcWitB,$N1515)=0,"",INDEX(CalcWitB,$N1515)),"")</f>
        <v/>
      </c>
      <c r="I1515" s="24">
        <f>IF($M1515&lt;&gt;"",INDEX(CalcAmtA,$M1515),"")</f>
        <v/>
      </c>
      <c r="J1515" s="24">
        <f>IF($B1515="","",IF($J1514="",$C$8,$J1514)+IF($I1515="",0,$I1515)+IF($E1515="",0,$E1515)-IF($H1515="",0,$H1515))</f>
        <v/>
      </c>
      <c r="K1515" s="25">
        <f>IF($M1515&lt;&gt;"",IF(INDEX(CalcNoteA,$M1515)="","—",INDEX(CalcNoteA,$M1515)),IF($N1515&lt;&gt;"",IF(INDEX(CalcNoteB,$N1515)="","—",INDEX(CalcNoteB,$N1515)),""))</f>
        <v/>
      </c>
      <c r="M1515">
        <f>IFERROR(MATCH($C$5&amp;"|"&amp;RIGHT("000000"&amp;1499,6),CalcRankKeyA,0),"")</f>
        <v/>
      </c>
      <c r="N1515">
        <f>IFERROR(MATCH($C$5&amp;"|"&amp;RIGHT("000000"&amp;1499,6),CalcRankKeyB,0),"")</f>
        <v/>
      </c>
    </row>
    <row r="1516">
      <c r="A1516" s="26" t="n">
        <v>1500</v>
      </c>
      <c r="B1516" s="27">
        <f>IF(AND($M1516="",$N1516=""),"",IF($M1516&lt;&gt;"",INDEX(CalcDateA,$M1516),INDEX(CalcDateB,$N1516)))</f>
        <v/>
      </c>
      <c r="C1516" s="27">
        <f>IF($M1516&lt;&gt;"","خرید سبد",IF($N1516&lt;&gt;"",IF(N(INDEX(CalcDepB,$N1516))&gt;0,"دریافت بانکی","پرداخت بانکی"),""))</f>
        <v/>
      </c>
      <c r="D1516" s="27">
        <f>IF($M1516&lt;&gt;"",IF(INDEX(CalcDocA,$M1516)="","—",INDEX(CalcDocA,$M1516)),IF($N1516&lt;&gt;"",INDEX(CalcBankB,$N1516),""))</f>
        <v/>
      </c>
      <c r="E1516" s="28">
        <f>IF($N1516&lt;&gt;"",IF(INDEX(CalcDepB,$N1516)=0,"",INDEX(CalcDepB,$N1516)),"")</f>
        <v/>
      </c>
      <c r="F1516" s="28">
        <f>IF($M1516&lt;&gt;"",IF(INDEX(CalcQtyA,$M1516)=0,"",INDEX(CalcQtyA,$M1516)),"")</f>
        <v/>
      </c>
      <c r="G1516" s="28">
        <f>IF($M1516&lt;&gt;"",IF(INDEX(CalcPriceA,$M1516)=0,"",INDEX(CalcPriceA,$M1516)),"")</f>
        <v/>
      </c>
      <c r="H1516" s="28">
        <f>IF($N1516&lt;&gt;"",IF(INDEX(CalcWitB,$N1516)=0,"",INDEX(CalcWitB,$N1516)),"")</f>
        <v/>
      </c>
      <c r="I1516" s="29">
        <f>IF($M1516&lt;&gt;"",INDEX(CalcAmtA,$M1516),"")</f>
        <v/>
      </c>
      <c r="J1516" s="29">
        <f>IF($B1516="","",IF($J1515="",$C$8,$J1515)+IF($I1516="",0,$I1516)+IF($E1516="",0,$E1516)-IF($H1516="",0,$H1516))</f>
        <v/>
      </c>
      <c r="K1516" s="30">
        <f>IF($M1516&lt;&gt;"",IF(INDEX(CalcNoteA,$M1516)="","—",INDEX(CalcNoteA,$M1516)),IF($N1516&lt;&gt;"",IF(INDEX(CalcNoteB,$N1516)="","—",INDEX(CalcNoteB,$N1516)),""))</f>
        <v/>
      </c>
      <c r="M1516">
        <f>IFERROR(MATCH($C$5&amp;"|"&amp;RIGHT("000000"&amp;1500,6),CalcRankKeyA,0),"")</f>
        <v/>
      </c>
      <c r="N1516">
        <f>IFERROR(MATCH($C$5&amp;"|"&amp;RIGHT("000000"&amp;1500,6),CalcRankKeyB,0),"")</f>
        <v/>
      </c>
    </row>
    <row r="1517">
      <c r="A1517" s="21" t="n">
        <v>1501</v>
      </c>
      <c r="B1517" s="22">
        <f>IF(AND($M1517="",$N1517=""),"",IF($M1517&lt;&gt;"",INDEX(CalcDateA,$M1517),INDEX(CalcDateB,$N1517)))</f>
        <v/>
      </c>
      <c r="C1517" s="22">
        <f>IF($M1517&lt;&gt;"","خرید سبد",IF($N1517&lt;&gt;"",IF(N(INDEX(CalcDepB,$N1517))&gt;0,"دریافت بانکی","پرداخت بانکی"),""))</f>
        <v/>
      </c>
      <c r="D1517" s="22">
        <f>IF($M1517&lt;&gt;"",IF(INDEX(CalcDocA,$M1517)="","—",INDEX(CalcDocA,$M1517)),IF($N1517&lt;&gt;"",INDEX(CalcBankB,$N1517),""))</f>
        <v/>
      </c>
      <c r="E1517" s="23">
        <f>IF($N1517&lt;&gt;"",IF(INDEX(CalcDepB,$N1517)=0,"",INDEX(CalcDepB,$N1517)),"")</f>
        <v/>
      </c>
      <c r="F1517" s="23">
        <f>IF($M1517&lt;&gt;"",IF(INDEX(CalcQtyA,$M1517)=0,"",INDEX(CalcQtyA,$M1517)),"")</f>
        <v/>
      </c>
      <c r="G1517" s="23">
        <f>IF($M1517&lt;&gt;"",IF(INDEX(CalcPriceA,$M1517)=0,"",INDEX(CalcPriceA,$M1517)),"")</f>
        <v/>
      </c>
      <c r="H1517" s="23">
        <f>IF($N1517&lt;&gt;"",IF(INDEX(CalcWitB,$N1517)=0,"",INDEX(CalcWitB,$N1517)),"")</f>
        <v/>
      </c>
      <c r="I1517" s="24">
        <f>IF($M1517&lt;&gt;"",INDEX(CalcAmtA,$M1517),"")</f>
        <v/>
      </c>
      <c r="J1517" s="24">
        <f>IF($B1517="","",IF($J1516="",$C$8,$J1516)+IF($I1517="",0,$I1517)+IF($E1517="",0,$E1517)-IF($H1517="",0,$H1517))</f>
        <v/>
      </c>
      <c r="K1517" s="25">
        <f>IF($M1517&lt;&gt;"",IF(INDEX(CalcNoteA,$M1517)="","—",INDEX(CalcNoteA,$M1517)),IF($N1517&lt;&gt;"",IF(INDEX(CalcNoteB,$N1517)="","—",INDEX(CalcNoteB,$N1517)),""))</f>
        <v/>
      </c>
      <c r="M1517">
        <f>IFERROR(MATCH($C$5&amp;"|"&amp;RIGHT("000000"&amp;1501,6),CalcRankKeyA,0),"")</f>
        <v/>
      </c>
      <c r="N1517">
        <f>IFERROR(MATCH($C$5&amp;"|"&amp;RIGHT("000000"&amp;1501,6),CalcRankKeyB,0),"")</f>
        <v/>
      </c>
    </row>
    <row r="1518">
      <c r="A1518" s="26" t="n">
        <v>1502</v>
      </c>
      <c r="B1518" s="27">
        <f>IF(AND($M1518="",$N1518=""),"",IF($M1518&lt;&gt;"",INDEX(CalcDateA,$M1518),INDEX(CalcDateB,$N1518)))</f>
        <v/>
      </c>
      <c r="C1518" s="27">
        <f>IF($M1518&lt;&gt;"","خرید سبد",IF($N1518&lt;&gt;"",IF(N(INDEX(CalcDepB,$N1518))&gt;0,"دریافت بانکی","پرداخت بانکی"),""))</f>
        <v/>
      </c>
      <c r="D1518" s="27">
        <f>IF($M1518&lt;&gt;"",IF(INDEX(CalcDocA,$M1518)="","—",INDEX(CalcDocA,$M1518)),IF($N1518&lt;&gt;"",INDEX(CalcBankB,$N1518),""))</f>
        <v/>
      </c>
      <c r="E1518" s="28">
        <f>IF($N1518&lt;&gt;"",IF(INDEX(CalcDepB,$N1518)=0,"",INDEX(CalcDepB,$N1518)),"")</f>
        <v/>
      </c>
      <c r="F1518" s="28">
        <f>IF($M1518&lt;&gt;"",IF(INDEX(CalcQtyA,$M1518)=0,"",INDEX(CalcQtyA,$M1518)),"")</f>
        <v/>
      </c>
      <c r="G1518" s="28">
        <f>IF($M1518&lt;&gt;"",IF(INDEX(CalcPriceA,$M1518)=0,"",INDEX(CalcPriceA,$M1518)),"")</f>
        <v/>
      </c>
      <c r="H1518" s="28">
        <f>IF($N1518&lt;&gt;"",IF(INDEX(CalcWitB,$N1518)=0,"",INDEX(CalcWitB,$N1518)),"")</f>
        <v/>
      </c>
      <c r="I1518" s="29">
        <f>IF($M1518&lt;&gt;"",INDEX(CalcAmtA,$M1518),"")</f>
        <v/>
      </c>
      <c r="J1518" s="29">
        <f>IF($B1518="","",IF($J1517="",$C$8,$J1517)+IF($I1518="",0,$I1518)+IF($E1518="",0,$E1518)-IF($H1518="",0,$H1518))</f>
        <v/>
      </c>
      <c r="K1518" s="30">
        <f>IF($M1518&lt;&gt;"",IF(INDEX(CalcNoteA,$M1518)="","—",INDEX(CalcNoteA,$M1518)),IF($N1518&lt;&gt;"",IF(INDEX(CalcNoteB,$N1518)="","—",INDEX(CalcNoteB,$N1518)),""))</f>
        <v/>
      </c>
      <c r="M1518">
        <f>IFERROR(MATCH($C$5&amp;"|"&amp;RIGHT("000000"&amp;1502,6),CalcRankKeyA,0),"")</f>
        <v/>
      </c>
      <c r="N1518">
        <f>IFERROR(MATCH($C$5&amp;"|"&amp;RIGHT("000000"&amp;1502,6),CalcRankKeyB,0),"")</f>
        <v/>
      </c>
    </row>
    <row r="1519">
      <c r="A1519" s="21" t="n">
        <v>1503</v>
      </c>
      <c r="B1519" s="22">
        <f>IF(AND($M1519="",$N1519=""),"",IF($M1519&lt;&gt;"",INDEX(CalcDateA,$M1519),INDEX(CalcDateB,$N1519)))</f>
        <v/>
      </c>
      <c r="C1519" s="22">
        <f>IF($M1519&lt;&gt;"","خرید سبد",IF($N1519&lt;&gt;"",IF(N(INDEX(CalcDepB,$N1519))&gt;0,"دریافت بانکی","پرداخت بانکی"),""))</f>
        <v/>
      </c>
      <c r="D1519" s="22">
        <f>IF($M1519&lt;&gt;"",IF(INDEX(CalcDocA,$M1519)="","—",INDEX(CalcDocA,$M1519)),IF($N1519&lt;&gt;"",INDEX(CalcBankB,$N1519),""))</f>
        <v/>
      </c>
      <c r="E1519" s="23">
        <f>IF($N1519&lt;&gt;"",IF(INDEX(CalcDepB,$N1519)=0,"",INDEX(CalcDepB,$N1519)),"")</f>
        <v/>
      </c>
      <c r="F1519" s="23">
        <f>IF($M1519&lt;&gt;"",IF(INDEX(CalcQtyA,$M1519)=0,"",INDEX(CalcQtyA,$M1519)),"")</f>
        <v/>
      </c>
      <c r="G1519" s="23">
        <f>IF($M1519&lt;&gt;"",IF(INDEX(CalcPriceA,$M1519)=0,"",INDEX(CalcPriceA,$M1519)),"")</f>
        <v/>
      </c>
      <c r="H1519" s="23">
        <f>IF($N1519&lt;&gt;"",IF(INDEX(CalcWitB,$N1519)=0,"",INDEX(CalcWitB,$N1519)),"")</f>
        <v/>
      </c>
      <c r="I1519" s="24">
        <f>IF($M1519&lt;&gt;"",INDEX(CalcAmtA,$M1519),"")</f>
        <v/>
      </c>
      <c r="J1519" s="24">
        <f>IF($B1519="","",IF($J1518="",$C$8,$J1518)+IF($I1519="",0,$I1519)+IF($E1519="",0,$E1519)-IF($H1519="",0,$H1519))</f>
        <v/>
      </c>
      <c r="K1519" s="25">
        <f>IF($M1519&lt;&gt;"",IF(INDEX(CalcNoteA,$M1519)="","—",INDEX(CalcNoteA,$M1519)),IF($N1519&lt;&gt;"",IF(INDEX(CalcNoteB,$N1519)="","—",INDEX(CalcNoteB,$N1519)),""))</f>
        <v/>
      </c>
      <c r="M1519">
        <f>IFERROR(MATCH($C$5&amp;"|"&amp;RIGHT("000000"&amp;1503,6),CalcRankKeyA,0),"")</f>
        <v/>
      </c>
      <c r="N1519">
        <f>IFERROR(MATCH($C$5&amp;"|"&amp;RIGHT("000000"&amp;1503,6),CalcRankKeyB,0),"")</f>
        <v/>
      </c>
    </row>
    <row r="1520">
      <c r="A1520" s="26" t="n">
        <v>1504</v>
      </c>
      <c r="B1520" s="27">
        <f>IF(AND($M1520="",$N1520=""),"",IF($M1520&lt;&gt;"",INDEX(CalcDateA,$M1520),INDEX(CalcDateB,$N1520)))</f>
        <v/>
      </c>
      <c r="C1520" s="27">
        <f>IF($M1520&lt;&gt;"","خرید سبد",IF($N1520&lt;&gt;"",IF(N(INDEX(CalcDepB,$N1520))&gt;0,"دریافت بانکی","پرداخت بانکی"),""))</f>
        <v/>
      </c>
      <c r="D1520" s="27">
        <f>IF($M1520&lt;&gt;"",IF(INDEX(CalcDocA,$M1520)="","—",INDEX(CalcDocA,$M1520)),IF($N1520&lt;&gt;"",INDEX(CalcBankB,$N1520),""))</f>
        <v/>
      </c>
      <c r="E1520" s="28">
        <f>IF($N1520&lt;&gt;"",IF(INDEX(CalcDepB,$N1520)=0,"",INDEX(CalcDepB,$N1520)),"")</f>
        <v/>
      </c>
      <c r="F1520" s="28">
        <f>IF($M1520&lt;&gt;"",IF(INDEX(CalcQtyA,$M1520)=0,"",INDEX(CalcQtyA,$M1520)),"")</f>
        <v/>
      </c>
      <c r="G1520" s="28">
        <f>IF($M1520&lt;&gt;"",IF(INDEX(CalcPriceA,$M1520)=0,"",INDEX(CalcPriceA,$M1520)),"")</f>
        <v/>
      </c>
      <c r="H1520" s="28">
        <f>IF($N1520&lt;&gt;"",IF(INDEX(CalcWitB,$N1520)=0,"",INDEX(CalcWitB,$N1520)),"")</f>
        <v/>
      </c>
      <c r="I1520" s="29">
        <f>IF($M1520&lt;&gt;"",INDEX(CalcAmtA,$M1520),"")</f>
        <v/>
      </c>
      <c r="J1520" s="29">
        <f>IF($B1520="","",IF($J1519="",$C$8,$J1519)+IF($I1520="",0,$I1520)+IF($E1520="",0,$E1520)-IF($H1520="",0,$H1520))</f>
        <v/>
      </c>
      <c r="K1520" s="30">
        <f>IF($M1520&lt;&gt;"",IF(INDEX(CalcNoteA,$M1520)="","—",INDEX(CalcNoteA,$M1520)),IF($N1520&lt;&gt;"",IF(INDEX(CalcNoteB,$N1520)="","—",INDEX(CalcNoteB,$N1520)),""))</f>
        <v/>
      </c>
      <c r="M1520">
        <f>IFERROR(MATCH($C$5&amp;"|"&amp;RIGHT("000000"&amp;1504,6),CalcRankKeyA,0),"")</f>
        <v/>
      </c>
      <c r="N1520">
        <f>IFERROR(MATCH($C$5&amp;"|"&amp;RIGHT("000000"&amp;1504,6),CalcRankKeyB,0),"")</f>
        <v/>
      </c>
    </row>
    <row r="1521">
      <c r="A1521" s="21" t="n">
        <v>1505</v>
      </c>
      <c r="B1521" s="22">
        <f>IF(AND($M1521="",$N1521=""),"",IF($M1521&lt;&gt;"",INDEX(CalcDateA,$M1521),INDEX(CalcDateB,$N1521)))</f>
        <v/>
      </c>
      <c r="C1521" s="22">
        <f>IF($M1521&lt;&gt;"","خرید سبد",IF($N1521&lt;&gt;"",IF(N(INDEX(CalcDepB,$N1521))&gt;0,"دریافت بانکی","پرداخت بانکی"),""))</f>
        <v/>
      </c>
      <c r="D1521" s="22">
        <f>IF($M1521&lt;&gt;"",IF(INDEX(CalcDocA,$M1521)="","—",INDEX(CalcDocA,$M1521)),IF($N1521&lt;&gt;"",INDEX(CalcBankB,$N1521),""))</f>
        <v/>
      </c>
      <c r="E1521" s="23">
        <f>IF($N1521&lt;&gt;"",IF(INDEX(CalcDepB,$N1521)=0,"",INDEX(CalcDepB,$N1521)),"")</f>
        <v/>
      </c>
      <c r="F1521" s="23">
        <f>IF($M1521&lt;&gt;"",IF(INDEX(CalcQtyA,$M1521)=0,"",INDEX(CalcQtyA,$M1521)),"")</f>
        <v/>
      </c>
      <c r="G1521" s="23">
        <f>IF($M1521&lt;&gt;"",IF(INDEX(CalcPriceA,$M1521)=0,"",INDEX(CalcPriceA,$M1521)),"")</f>
        <v/>
      </c>
      <c r="H1521" s="23">
        <f>IF($N1521&lt;&gt;"",IF(INDEX(CalcWitB,$N1521)=0,"",INDEX(CalcWitB,$N1521)),"")</f>
        <v/>
      </c>
      <c r="I1521" s="24">
        <f>IF($M1521&lt;&gt;"",INDEX(CalcAmtA,$M1521),"")</f>
        <v/>
      </c>
      <c r="J1521" s="24">
        <f>IF($B1521="","",IF($J1520="",$C$8,$J1520)+IF($I1521="",0,$I1521)+IF($E1521="",0,$E1521)-IF($H1521="",0,$H1521))</f>
        <v/>
      </c>
      <c r="K1521" s="25">
        <f>IF($M1521&lt;&gt;"",IF(INDEX(CalcNoteA,$M1521)="","—",INDEX(CalcNoteA,$M1521)),IF($N1521&lt;&gt;"",IF(INDEX(CalcNoteB,$N1521)="","—",INDEX(CalcNoteB,$N1521)),""))</f>
        <v/>
      </c>
      <c r="M1521">
        <f>IFERROR(MATCH($C$5&amp;"|"&amp;RIGHT("000000"&amp;1505,6),CalcRankKeyA,0),"")</f>
        <v/>
      </c>
      <c r="N1521">
        <f>IFERROR(MATCH($C$5&amp;"|"&amp;RIGHT("000000"&amp;1505,6),CalcRankKeyB,0),"")</f>
        <v/>
      </c>
    </row>
    <row r="1522">
      <c r="A1522" s="26" t="n">
        <v>1506</v>
      </c>
      <c r="B1522" s="27">
        <f>IF(AND($M1522="",$N1522=""),"",IF($M1522&lt;&gt;"",INDEX(CalcDateA,$M1522),INDEX(CalcDateB,$N1522)))</f>
        <v/>
      </c>
      <c r="C1522" s="27">
        <f>IF($M1522&lt;&gt;"","خرید سبد",IF($N1522&lt;&gt;"",IF(N(INDEX(CalcDepB,$N1522))&gt;0,"دریافت بانکی","پرداخت بانکی"),""))</f>
        <v/>
      </c>
      <c r="D1522" s="27">
        <f>IF($M1522&lt;&gt;"",IF(INDEX(CalcDocA,$M1522)="","—",INDEX(CalcDocA,$M1522)),IF($N1522&lt;&gt;"",INDEX(CalcBankB,$N1522),""))</f>
        <v/>
      </c>
      <c r="E1522" s="28">
        <f>IF($N1522&lt;&gt;"",IF(INDEX(CalcDepB,$N1522)=0,"",INDEX(CalcDepB,$N1522)),"")</f>
        <v/>
      </c>
      <c r="F1522" s="28">
        <f>IF($M1522&lt;&gt;"",IF(INDEX(CalcQtyA,$M1522)=0,"",INDEX(CalcQtyA,$M1522)),"")</f>
        <v/>
      </c>
      <c r="G1522" s="28">
        <f>IF($M1522&lt;&gt;"",IF(INDEX(CalcPriceA,$M1522)=0,"",INDEX(CalcPriceA,$M1522)),"")</f>
        <v/>
      </c>
      <c r="H1522" s="28">
        <f>IF($N1522&lt;&gt;"",IF(INDEX(CalcWitB,$N1522)=0,"",INDEX(CalcWitB,$N1522)),"")</f>
        <v/>
      </c>
      <c r="I1522" s="29">
        <f>IF($M1522&lt;&gt;"",INDEX(CalcAmtA,$M1522),"")</f>
        <v/>
      </c>
      <c r="J1522" s="29">
        <f>IF($B1522="","",IF($J1521="",$C$8,$J1521)+IF($I1522="",0,$I1522)+IF($E1522="",0,$E1522)-IF($H1522="",0,$H1522))</f>
        <v/>
      </c>
      <c r="K1522" s="30">
        <f>IF($M1522&lt;&gt;"",IF(INDEX(CalcNoteA,$M1522)="","—",INDEX(CalcNoteA,$M1522)),IF($N1522&lt;&gt;"",IF(INDEX(CalcNoteB,$N1522)="","—",INDEX(CalcNoteB,$N1522)),""))</f>
        <v/>
      </c>
      <c r="M1522">
        <f>IFERROR(MATCH($C$5&amp;"|"&amp;RIGHT("000000"&amp;1506,6),CalcRankKeyA,0),"")</f>
        <v/>
      </c>
      <c r="N1522">
        <f>IFERROR(MATCH($C$5&amp;"|"&amp;RIGHT("000000"&amp;1506,6),CalcRankKeyB,0),"")</f>
        <v/>
      </c>
    </row>
    <row r="1523">
      <c r="A1523" s="21" t="n">
        <v>1507</v>
      </c>
      <c r="B1523" s="22">
        <f>IF(AND($M1523="",$N1523=""),"",IF($M1523&lt;&gt;"",INDEX(CalcDateA,$M1523),INDEX(CalcDateB,$N1523)))</f>
        <v/>
      </c>
      <c r="C1523" s="22">
        <f>IF($M1523&lt;&gt;"","خرید سبد",IF($N1523&lt;&gt;"",IF(N(INDEX(CalcDepB,$N1523))&gt;0,"دریافت بانکی","پرداخت بانکی"),""))</f>
        <v/>
      </c>
      <c r="D1523" s="22">
        <f>IF($M1523&lt;&gt;"",IF(INDEX(CalcDocA,$M1523)="","—",INDEX(CalcDocA,$M1523)),IF($N1523&lt;&gt;"",INDEX(CalcBankB,$N1523),""))</f>
        <v/>
      </c>
      <c r="E1523" s="23">
        <f>IF($N1523&lt;&gt;"",IF(INDEX(CalcDepB,$N1523)=0,"",INDEX(CalcDepB,$N1523)),"")</f>
        <v/>
      </c>
      <c r="F1523" s="23">
        <f>IF($M1523&lt;&gt;"",IF(INDEX(CalcQtyA,$M1523)=0,"",INDEX(CalcQtyA,$M1523)),"")</f>
        <v/>
      </c>
      <c r="G1523" s="23">
        <f>IF($M1523&lt;&gt;"",IF(INDEX(CalcPriceA,$M1523)=0,"",INDEX(CalcPriceA,$M1523)),"")</f>
        <v/>
      </c>
      <c r="H1523" s="23">
        <f>IF($N1523&lt;&gt;"",IF(INDEX(CalcWitB,$N1523)=0,"",INDEX(CalcWitB,$N1523)),"")</f>
        <v/>
      </c>
      <c r="I1523" s="24">
        <f>IF($M1523&lt;&gt;"",INDEX(CalcAmtA,$M1523),"")</f>
        <v/>
      </c>
      <c r="J1523" s="24">
        <f>IF($B1523="","",IF($J1522="",$C$8,$J1522)+IF($I1523="",0,$I1523)+IF($E1523="",0,$E1523)-IF($H1523="",0,$H1523))</f>
        <v/>
      </c>
      <c r="K1523" s="25">
        <f>IF($M1523&lt;&gt;"",IF(INDEX(CalcNoteA,$M1523)="","—",INDEX(CalcNoteA,$M1523)),IF($N1523&lt;&gt;"",IF(INDEX(CalcNoteB,$N1523)="","—",INDEX(CalcNoteB,$N1523)),""))</f>
        <v/>
      </c>
      <c r="M1523">
        <f>IFERROR(MATCH($C$5&amp;"|"&amp;RIGHT("000000"&amp;1507,6),CalcRankKeyA,0),"")</f>
        <v/>
      </c>
      <c r="N1523">
        <f>IFERROR(MATCH($C$5&amp;"|"&amp;RIGHT("000000"&amp;1507,6),CalcRankKeyB,0),"")</f>
        <v/>
      </c>
    </row>
    <row r="1524">
      <c r="A1524" s="26" t="n">
        <v>1508</v>
      </c>
      <c r="B1524" s="27">
        <f>IF(AND($M1524="",$N1524=""),"",IF($M1524&lt;&gt;"",INDEX(CalcDateA,$M1524),INDEX(CalcDateB,$N1524)))</f>
        <v/>
      </c>
      <c r="C1524" s="27">
        <f>IF($M1524&lt;&gt;"","خرید سبد",IF($N1524&lt;&gt;"",IF(N(INDEX(CalcDepB,$N1524))&gt;0,"دریافت بانکی","پرداخت بانکی"),""))</f>
        <v/>
      </c>
      <c r="D1524" s="27">
        <f>IF($M1524&lt;&gt;"",IF(INDEX(CalcDocA,$M1524)="","—",INDEX(CalcDocA,$M1524)),IF($N1524&lt;&gt;"",INDEX(CalcBankB,$N1524),""))</f>
        <v/>
      </c>
      <c r="E1524" s="28">
        <f>IF($N1524&lt;&gt;"",IF(INDEX(CalcDepB,$N1524)=0,"",INDEX(CalcDepB,$N1524)),"")</f>
        <v/>
      </c>
      <c r="F1524" s="28">
        <f>IF($M1524&lt;&gt;"",IF(INDEX(CalcQtyA,$M1524)=0,"",INDEX(CalcQtyA,$M1524)),"")</f>
        <v/>
      </c>
      <c r="G1524" s="28">
        <f>IF($M1524&lt;&gt;"",IF(INDEX(CalcPriceA,$M1524)=0,"",INDEX(CalcPriceA,$M1524)),"")</f>
        <v/>
      </c>
      <c r="H1524" s="28">
        <f>IF($N1524&lt;&gt;"",IF(INDEX(CalcWitB,$N1524)=0,"",INDEX(CalcWitB,$N1524)),"")</f>
        <v/>
      </c>
      <c r="I1524" s="29">
        <f>IF($M1524&lt;&gt;"",INDEX(CalcAmtA,$M1524),"")</f>
        <v/>
      </c>
      <c r="J1524" s="29">
        <f>IF($B1524="","",IF($J1523="",$C$8,$J1523)+IF($I1524="",0,$I1524)+IF($E1524="",0,$E1524)-IF($H1524="",0,$H1524))</f>
        <v/>
      </c>
      <c r="K1524" s="30">
        <f>IF($M1524&lt;&gt;"",IF(INDEX(CalcNoteA,$M1524)="","—",INDEX(CalcNoteA,$M1524)),IF($N1524&lt;&gt;"",IF(INDEX(CalcNoteB,$N1524)="","—",INDEX(CalcNoteB,$N1524)),""))</f>
        <v/>
      </c>
      <c r="M1524">
        <f>IFERROR(MATCH($C$5&amp;"|"&amp;RIGHT("000000"&amp;1508,6),CalcRankKeyA,0),"")</f>
        <v/>
      </c>
      <c r="N1524">
        <f>IFERROR(MATCH($C$5&amp;"|"&amp;RIGHT("000000"&amp;1508,6),CalcRankKeyB,0),"")</f>
        <v/>
      </c>
    </row>
    <row r="1525">
      <c r="A1525" s="21" t="n">
        <v>1509</v>
      </c>
      <c r="B1525" s="22">
        <f>IF(AND($M1525="",$N1525=""),"",IF($M1525&lt;&gt;"",INDEX(CalcDateA,$M1525),INDEX(CalcDateB,$N1525)))</f>
        <v/>
      </c>
      <c r="C1525" s="22">
        <f>IF($M1525&lt;&gt;"","خرید سبد",IF($N1525&lt;&gt;"",IF(N(INDEX(CalcDepB,$N1525))&gt;0,"دریافت بانکی","پرداخت بانکی"),""))</f>
        <v/>
      </c>
      <c r="D1525" s="22">
        <f>IF($M1525&lt;&gt;"",IF(INDEX(CalcDocA,$M1525)="","—",INDEX(CalcDocA,$M1525)),IF($N1525&lt;&gt;"",INDEX(CalcBankB,$N1525),""))</f>
        <v/>
      </c>
      <c r="E1525" s="23">
        <f>IF($N1525&lt;&gt;"",IF(INDEX(CalcDepB,$N1525)=0,"",INDEX(CalcDepB,$N1525)),"")</f>
        <v/>
      </c>
      <c r="F1525" s="23">
        <f>IF($M1525&lt;&gt;"",IF(INDEX(CalcQtyA,$M1525)=0,"",INDEX(CalcQtyA,$M1525)),"")</f>
        <v/>
      </c>
      <c r="G1525" s="23">
        <f>IF($M1525&lt;&gt;"",IF(INDEX(CalcPriceA,$M1525)=0,"",INDEX(CalcPriceA,$M1525)),"")</f>
        <v/>
      </c>
      <c r="H1525" s="23">
        <f>IF($N1525&lt;&gt;"",IF(INDEX(CalcWitB,$N1525)=0,"",INDEX(CalcWitB,$N1525)),"")</f>
        <v/>
      </c>
      <c r="I1525" s="24">
        <f>IF($M1525&lt;&gt;"",INDEX(CalcAmtA,$M1525),"")</f>
        <v/>
      </c>
      <c r="J1525" s="24">
        <f>IF($B1525="","",IF($J1524="",$C$8,$J1524)+IF($I1525="",0,$I1525)+IF($E1525="",0,$E1525)-IF($H1525="",0,$H1525))</f>
        <v/>
      </c>
      <c r="K1525" s="25">
        <f>IF($M1525&lt;&gt;"",IF(INDEX(CalcNoteA,$M1525)="","—",INDEX(CalcNoteA,$M1525)),IF($N1525&lt;&gt;"",IF(INDEX(CalcNoteB,$N1525)="","—",INDEX(CalcNoteB,$N1525)),""))</f>
        <v/>
      </c>
      <c r="M1525">
        <f>IFERROR(MATCH($C$5&amp;"|"&amp;RIGHT("000000"&amp;1509,6),CalcRankKeyA,0),"")</f>
        <v/>
      </c>
      <c r="N1525">
        <f>IFERROR(MATCH($C$5&amp;"|"&amp;RIGHT("000000"&amp;1509,6),CalcRankKeyB,0),"")</f>
        <v/>
      </c>
    </row>
    <row r="1526">
      <c r="A1526" s="26" t="n">
        <v>1510</v>
      </c>
      <c r="B1526" s="27">
        <f>IF(AND($M1526="",$N1526=""),"",IF($M1526&lt;&gt;"",INDEX(CalcDateA,$M1526),INDEX(CalcDateB,$N1526)))</f>
        <v/>
      </c>
      <c r="C1526" s="27">
        <f>IF($M1526&lt;&gt;"","خرید سبد",IF($N1526&lt;&gt;"",IF(N(INDEX(CalcDepB,$N1526))&gt;0,"دریافت بانکی","پرداخت بانکی"),""))</f>
        <v/>
      </c>
      <c r="D1526" s="27">
        <f>IF($M1526&lt;&gt;"",IF(INDEX(CalcDocA,$M1526)="","—",INDEX(CalcDocA,$M1526)),IF($N1526&lt;&gt;"",INDEX(CalcBankB,$N1526),""))</f>
        <v/>
      </c>
      <c r="E1526" s="28">
        <f>IF($N1526&lt;&gt;"",IF(INDEX(CalcDepB,$N1526)=0,"",INDEX(CalcDepB,$N1526)),"")</f>
        <v/>
      </c>
      <c r="F1526" s="28">
        <f>IF($M1526&lt;&gt;"",IF(INDEX(CalcQtyA,$M1526)=0,"",INDEX(CalcQtyA,$M1526)),"")</f>
        <v/>
      </c>
      <c r="G1526" s="28">
        <f>IF($M1526&lt;&gt;"",IF(INDEX(CalcPriceA,$M1526)=0,"",INDEX(CalcPriceA,$M1526)),"")</f>
        <v/>
      </c>
      <c r="H1526" s="28">
        <f>IF($N1526&lt;&gt;"",IF(INDEX(CalcWitB,$N1526)=0,"",INDEX(CalcWitB,$N1526)),"")</f>
        <v/>
      </c>
      <c r="I1526" s="29">
        <f>IF($M1526&lt;&gt;"",INDEX(CalcAmtA,$M1526),"")</f>
        <v/>
      </c>
      <c r="J1526" s="29">
        <f>IF($B1526="","",IF($J1525="",$C$8,$J1525)+IF($I1526="",0,$I1526)+IF($E1526="",0,$E1526)-IF($H1526="",0,$H1526))</f>
        <v/>
      </c>
      <c r="K1526" s="30">
        <f>IF($M1526&lt;&gt;"",IF(INDEX(CalcNoteA,$M1526)="","—",INDEX(CalcNoteA,$M1526)),IF($N1526&lt;&gt;"",IF(INDEX(CalcNoteB,$N1526)="","—",INDEX(CalcNoteB,$N1526)),""))</f>
        <v/>
      </c>
      <c r="M1526">
        <f>IFERROR(MATCH($C$5&amp;"|"&amp;RIGHT("000000"&amp;1510,6),CalcRankKeyA,0),"")</f>
        <v/>
      </c>
      <c r="N1526">
        <f>IFERROR(MATCH($C$5&amp;"|"&amp;RIGHT("000000"&amp;1510,6),CalcRankKeyB,0),"")</f>
        <v/>
      </c>
    </row>
    <row r="1527">
      <c r="A1527" s="21" t="n">
        <v>1511</v>
      </c>
      <c r="B1527" s="22">
        <f>IF(AND($M1527="",$N1527=""),"",IF($M1527&lt;&gt;"",INDEX(CalcDateA,$M1527),INDEX(CalcDateB,$N1527)))</f>
        <v/>
      </c>
      <c r="C1527" s="22">
        <f>IF($M1527&lt;&gt;"","خرید سبد",IF($N1527&lt;&gt;"",IF(N(INDEX(CalcDepB,$N1527))&gt;0,"دریافت بانکی","پرداخت بانکی"),""))</f>
        <v/>
      </c>
      <c r="D1527" s="22">
        <f>IF($M1527&lt;&gt;"",IF(INDEX(CalcDocA,$M1527)="","—",INDEX(CalcDocA,$M1527)),IF($N1527&lt;&gt;"",INDEX(CalcBankB,$N1527),""))</f>
        <v/>
      </c>
      <c r="E1527" s="23">
        <f>IF($N1527&lt;&gt;"",IF(INDEX(CalcDepB,$N1527)=0,"",INDEX(CalcDepB,$N1527)),"")</f>
        <v/>
      </c>
      <c r="F1527" s="23">
        <f>IF($M1527&lt;&gt;"",IF(INDEX(CalcQtyA,$M1527)=0,"",INDEX(CalcQtyA,$M1527)),"")</f>
        <v/>
      </c>
      <c r="G1527" s="23">
        <f>IF($M1527&lt;&gt;"",IF(INDEX(CalcPriceA,$M1527)=0,"",INDEX(CalcPriceA,$M1527)),"")</f>
        <v/>
      </c>
      <c r="H1527" s="23">
        <f>IF($N1527&lt;&gt;"",IF(INDEX(CalcWitB,$N1527)=0,"",INDEX(CalcWitB,$N1527)),"")</f>
        <v/>
      </c>
      <c r="I1527" s="24">
        <f>IF($M1527&lt;&gt;"",INDEX(CalcAmtA,$M1527),"")</f>
        <v/>
      </c>
      <c r="J1527" s="24">
        <f>IF($B1527="","",IF($J1526="",$C$8,$J1526)+IF($I1527="",0,$I1527)+IF($E1527="",0,$E1527)-IF($H1527="",0,$H1527))</f>
        <v/>
      </c>
      <c r="K1527" s="25">
        <f>IF($M1527&lt;&gt;"",IF(INDEX(CalcNoteA,$M1527)="","—",INDEX(CalcNoteA,$M1527)),IF($N1527&lt;&gt;"",IF(INDEX(CalcNoteB,$N1527)="","—",INDEX(CalcNoteB,$N1527)),""))</f>
        <v/>
      </c>
      <c r="M1527">
        <f>IFERROR(MATCH($C$5&amp;"|"&amp;RIGHT("000000"&amp;1511,6),CalcRankKeyA,0),"")</f>
        <v/>
      </c>
      <c r="N1527">
        <f>IFERROR(MATCH($C$5&amp;"|"&amp;RIGHT("000000"&amp;1511,6),CalcRankKeyB,0),"")</f>
        <v/>
      </c>
    </row>
    <row r="1528">
      <c r="A1528" s="26" t="n">
        <v>1512</v>
      </c>
      <c r="B1528" s="27">
        <f>IF(AND($M1528="",$N1528=""),"",IF($M1528&lt;&gt;"",INDEX(CalcDateA,$M1528),INDEX(CalcDateB,$N1528)))</f>
        <v/>
      </c>
      <c r="C1528" s="27">
        <f>IF($M1528&lt;&gt;"","خرید سبد",IF($N1528&lt;&gt;"",IF(N(INDEX(CalcDepB,$N1528))&gt;0,"دریافت بانکی","پرداخت بانکی"),""))</f>
        <v/>
      </c>
      <c r="D1528" s="27">
        <f>IF($M1528&lt;&gt;"",IF(INDEX(CalcDocA,$M1528)="","—",INDEX(CalcDocA,$M1528)),IF($N1528&lt;&gt;"",INDEX(CalcBankB,$N1528),""))</f>
        <v/>
      </c>
      <c r="E1528" s="28">
        <f>IF($N1528&lt;&gt;"",IF(INDEX(CalcDepB,$N1528)=0,"",INDEX(CalcDepB,$N1528)),"")</f>
        <v/>
      </c>
      <c r="F1528" s="28">
        <f>IF($M1528&lt;&gt;"",IF(INDEX(CalcQtyA,$M1528)=0,"",INDEX(CalcQtyA,$M1528)),"")</f>
        <v/>
      </c>
      <c r="G1528" s="28">
        <f>IF($M1528&lt;&gt;"",IF(INDEX(CalcPriceA,$M1528)=0,"",INDEX(CalcPriceA,$M1528)),"")</f>
        <v/>
      </c>
      <c r="H1528" s="28">
        <f>IF($N1528&lt;&gt;"",IF(INDEX(CalcWitB,$N1528)=0,"",INDEX(CalcWitB,$N1528)),"")</f>
        <v/>
      </c>
      <c r="I1528" s="29">
        <f>IF($M1528&lt;&gt;"",INDEX(CalcAmtA,$M1528),"")</f>
        <v/>
      </c>
      <c r="J1528" s="29">
        <f>IF($B1528="","",IF($J1527="",$C$8,$J1527)+IF($I1528="",0,$I1528)+IF($E1528="",0,$E1528)-IF($H1528="",0,$H1528))</f>
        <v/>
      </c>
      <c r="K1528" s="30">
        <f>IF($M1528&lt;&gt;"",IF(INDEX(CalcNoteA,$M1528)="","—",INDEX(CalcNoteA,$M1528)),IF($N1528&lt;&gt;"",IF(INDEX(CalcNoteB,$N1528)="","—",INDEX(CalcNoteB,$N1528)),""))</f>
        <v/>
      </c>
      <c r="M1528">
        <f>IFERROR(MATCH($C$5&amp;"|"&amp;RIGHT("000000"&amp;1512,6),CalcRankKeyA,0),"")</f>
        <v/>
      </c>
      <c r="N1528">
        <f>IFERROR(MATCH($C$5&amp;"|"&amp;RIGHT("000000"&amp;1512,6),CalcRankKeyB,0),"")</f>
        <v/>
      </c>
    </row>
    <row r="1529">
      <c r="A1529" s="21" t="n">
        <v>1513</v>
      </c>
      <c r="B1529" s="22">
        <f>IF(AND($M1529="",$N1529=""),"",IF($M1529&lt;&gt;"",INDEX(CalcDateA,$M1529),INDEX(CalcDateB,$N1529)))</f>
        <v/>
      </c>
      <c r="C1529" s="22">
        <f>IF($M1529&lt;&gt;"","خرید سبد",IF($N1529&lt;&gt;"",IF(N(INDEX(CalcDepB,$N1529))&gt;0,"دریافت بانکی","پرداخت بانکی"),""))</f>
        <v/>
      </c>
      <c r="D1529" s="22">
        <f>IF($M1529&lt;&gt;"",IF(INDEX(CalcDocA,$M1529)="","—",INDEX(CalcDocA,$M1529)),IF($N1529&lt;&gt;"",INDEX(CalcBankB,$N1529),""))</f>
        <v/>
      </c>
      <c r="E1529" s="23">
        <f>IF($N1529&lt;&gt;"",IF(INDEX(CalcDepB,$N1529)=0,"",INDEX(CalcDepB,$N1529)),"")</f>
        <v/>
      </c>
      <c r="F1529" s="23">
        <f>IF($M1529&lt;&gt;"",IF(INDEX(CalcQtyA,$M1529)=0,"",INDEX(CalcQtyA,$M1529)),"")</f>
        <v/>
      </c>
      <c r="G1529" s="23">
        <f>IF($M1529&lt;&gt;"",IF(INDEX(CalcPriceA,$M1529)=0,"",INDEX(CalcPriceA,$M1529)),"")</f>
        <v/>
      </c>
      <c r="H1529" s="23">
        <f>IF($N1529&lt;&gt;"",IF(INDEX(CalcWitB,$N1529)=0,"",INDEX(CalcWitB,$N1529)),"")</f>
        <v/>
      </c>
      <c r="I1529" s="24">
        <f>IF($M1529&lt;&gt;"",INDEX(CalcAmtA,$M1529),"")</f>
        <v/>
      </c>
      <c r="J1529" s="24">
        <f>IF($B1529="","",IF($J1528="",$C$8,$J1528)+IF($I1529="",0,$I1529)+IF($E1529="",0,$E1529)-IF($H1529="",0,$H1529))</f>
        <v/>
      </c>
      <c r="K1529" s="25">
        <f>IF($M1529&lt;&gt;"",IF(INDEX(CalcNoteA,$M1529)="","—",INDEX(CalcNoteA,$M1529)),IF($N1529&lt;&gt;"",IF(INDEX(CalcNoteB,$N1529)="","—",INDEX(CalcNoteB,$N1529)),""))</f>
        <v/>
      </c>
      <c r="M1529">
        <f>IFERROR(MATCH($C$5&amp;"|"&amp;RIGHT("000000"&amp;1513,6),CalcRankKeyA,0),"")</f>
        <v/>
      </c>
      <c r="N1529">
        <f>IFERROR(MATCH($C$5&amp;"|"&amp;RIGHT("000000"&amp;1513,6),CalcRankKeyB,0),"")</f>
        <v/>
      </c>
    </row>
    <row r="1530">
      <c r="A1530" s="26" t="n">
        <v>1514</v>
      </c>
      <c r="B1530" s="27">
        <f>IF(AND($M1530="",$N1530=""),"",IF($M1530&lt;&gt;"",INDEX(CalcDateA,$M1530),INDEX(CalcDateB,$N1530)))</f>
        <v/>
      </c>
      <c r="C1530" s="27">
        <f>IF($M1530&lt;&gt;"","خرید سبد",IF($N1530&lt;&gt;"",IF(N(INDEX(CalcDepB,$N1530))&gt;0,"دریافت بانکی","پرداخت بانکی"),""))</f>
        <v/>
      </c>
      <c r="D1530" s="27">
        <f>IF($M1530&lt;&gt;"",IF(INDEX(CalcDocA,$M1530)="","—",INDEX(CalcDocA,$M1530)),IF($N1530&lt;&gt;"",INDEX(CalcBankB,$N1530),""))</f>
        <v/>
      </c>
      <c r="E1530" s="28">
        <f>IF($N1530&lt;&gt;"",IF(INDEX(CalcDepB,$N1530)=0,"",INDEX(CalcDepB,$N1530)),"")</f>
        <v/>
      </c>
      <c r="F1530" s="28">
        <f>IF($M1530&lt;&gt;"",IF(INDEX(CalcQtyA,$M1530)=0,"",INDEX(CalcQtyA,$M1530)),"")</f>
        <v/>
      </c>
      <c r="G1530" s="28">
        <f>IF($M1530&lt;&gt;"",IF(INDEX(CalcPriceA,$M1530)=0,"",INDEX(CalcPriceA,$M1530)),"")</f>
        <v/>
      </c>
      <c r="H1530" s="28">
        <f>IF($N1530&lt;&gt;"",IF(INDEX(CalcWitB,$N1530)=0,"",INDEX(CalcWitB,$N1530)),"")</f>
        <v/>
      </c>
      <c r="I1530" s="29">
        <f>IF($M1530&lt;&gt;"",INDEX(CalcAmtA,$M1530),"")</f>
        <v/>
      </c>
      <c r="J1530" s="29">
        <f>IF($B1530="","",IF($J1529="",$C$8,$J1529)+IF($I1530="",0,$I1530)+IF($E1530="",0,$E1530)-IF($H1530="",0,$H1530))</f>
        <v/>
      </c>
      <c r="K1530" s="30">
        <f>IF($M1530&lt;&gt;"",IF(INDEX(CalcNoteA,$M1530)="","—",INDEX(CalcNoteA,$M1530)),IF($N1530&lt;&gt;"",IF(INDEX(CalcNoteB,$N1530)="","—",INDEX(CalcNoteB,$N1530)),""))</f>
        <v/>
      </c>
      <c r="M1530">
        <f>IFERROR(MATCH($C$5&amp;"|"&amp;RIGHT("000000"&amp;1514,6),CalcRankKeyA,0),"")</f>
        <v/>
      </c>
      <c r="N1530">
        <f>IFERROR(MATCH($C$5&amp;"|"&amp;RIGHT("000000"&amp;1514,6),CalcRankKeyB,0),"")</f>
        <v/>
      </c>
    </row>
    <row r="1531">
      <c r="A1531" s="21" t="n">
        <v>1515</v>
      </c>
      <c r="B1531" s="22">
        <f>IF(AND($M1531="",$N1531=""),"",IF($M1531&lt;&gt;"",INDEX(CalcDateA,$M1531),INDEX(CalcDateB,$N1531)))</f>
        <v/>
      </c>
      <c r="C1531" s="22">
        <f>IF($M1531&lt;&gt;"","خرید سبد",IF($N1531&lt;&gt;"",IF(N(INDEX(CalcDepB,$N1531))&gt;0,"دریافت بانکی","پرداخت بانکی"),""))</f>
        <v/>
      </c>
      <c r="D1531" s="22">
        <f>IF($M1531&lt;&gt;"",IF(INDEX(CalcDocA,$M1531)="","—",INDEX(CalcDocA,$M1531)),IF($N1531&lt;&gt;"",INDEX(CalcBankB,$N1531),""))</f>
        <v/>
      </c>
      <c r="E1531" s="23">
        <f>IF($N1531&lt;&gt;"",IF(INDEX(CalcDepB,$N1531)=0,"",INDEX(CalcDepB,$N1531)),"")</f>
        <v/>
      </c>
      <c r="F1531" s="23">
        <f>IF($M1531&lt;&gt;"",IF(INDEX(CalcQtyA,$M1531)=0,"",INDEX(CalcQtyA,$M1531)),"")</f>
        <v/>
      </c>
      <c r="G1531" s="23">
        <f>IF($M1531&lt;&gt;"",IF(INDEX(CalcPriceA,$M1531)=0,"",INDEX(CalcPriceA,$M1531)),"")</f>
        <v/>
      </c>
      <c r="H1531" s="23">
        <f>IF($N1531&lt;&gt;"",IF(INDEX(CalcWitB,$N1531)=0,"",INDEX(CalcWitB,$N1531)),"")</f>
        <v/>
      </c>
      <c r="I1531" s="24">
        <f>IF($M1531&lt;&gt;"",INDEX(CalcAmtA,$M1531),"")</f>
        <v/>
      </c>
      <c r="J1531" s="24">
        <f>IF($B1531="","",IF($J1530="",$C$8,$J1530)+IF($I1531="",0,$I1531)+IF($E1531="",0,$E1531)-IF($H1531="",0,$H1531))</f>
        <v/>
      </c>
      <c r="K1531" s="25">
        <f>IF($M1531&lt;&gt;"",IF(INDEX(CalcNoteA,$M1531)="","—",INDEX(CalcNoteA,$M1531)),IF($N1531&lt;&gt;"",IF(INDEX(CalcNoteB,$N1531)="","—",INDEX(CalcNoteB,$N1531)),""))</f>
        <v/>
      </c>
      <c r="M1531">
        <f>IFERROR(MATCH($C$5&amp;"|"&amp;RIGHT("000000"&amp;1515,6),CalcRankKeyA,0),"")</f>
        <v/>
      </c>
      <c r="N1531">
        <f>IFERROR(MATCH($C$5&amp;"|"&amp;RIGHT("000000"&amp;1515,6),CalcRankKeyB,0),"")</f>
        <v/>
      </c>
    </row>
    <row r="1532">
      <c r="A1532" s="26" t="n">
        <v>1516</v>
      </c>
      <c r="B1532" s="27">
        <f>IF(AND($M1532="",$N1532=""),"",IF($M1532&lt;&gt;"",INDEX(CalcDateA,$M1532),INDEX(CalcDateB,$N1532)))</f>
        <v/>
      </c>
      <c r="C1532" s="27">
        <f>IF($M1532&lt;&gt;"","خرید سبد",IF($N1532&lt;&gt;"",IF(N(INDEX(CalcDepB,$N1532))&gt;0,"دریافت بانکی","پرداخت بانکی"),""))</f>
        <v/>
      </c>
      <c r="D1532" s="27">
        <f>IF($M1532&lt;&gt;"",IF(INDEX(CalcDocA,$M1532)="","—",INDEX(CalcDocA,$M1532)),IF($N1532&lt;&gt;"",INDEX(CalcBankB,$N1532),""))</f>
        <v/>
      </c>
      <c r="E1532" s="28">
        <f>IF($N1532&lt;&gt;"",IF(INDEX(CalcDepB,$N1532)=0,"",INDEX(CalcDepB,$N1532)),"")</f>
        <v/>
      </c>
      <c r="F1532" s="28">
        <f>IF($M1532&lt;&gt;"",IF(INDEX(CalcQtyA,$M1532)=0,"",INDEX(CalcQtyA,$M1532)),"")</f>
        <v/>
      </c>
      <c r="G1532" s="28">
        <f>IF($M1532&lt;&gt;"",IF(INDEX(CalcPriceA,$M1532)=0,"",INDEX(CalcPriceA,$M1532)),"")</f>
        <v/>
      </c>
      <c r="H1532" s="28">
        <f>IF($N1532&lt;&gt;"",IF(INDEX(CalcWitB,$N1532)=0,"",INDEX(CalcWitB,$N1532)),"")</f>
        <v/>
      </c>
      <c r="I1532" s="29">
        <f>IF($M1532&lt;&gt;"",INDEX(CalcAmtA,$M1532),"")</f>
        <v/>
      </c>
      <c r="J1532" s="29">
        <f>IF($B1532="","",IF($J1531="",$C$8,$J1531)+IF($I1532="",0,$I1532)+IF($E1532="",0,$E1532)-IF($H1532="",0,$H1532))</f>
        <v/>
      </c>
      <c r="K1532" s="30">
        <f>IF($M1532&lt;&gt;"",IF(INDEX(CalcNoteA,$M1532)="","—",INDEX(CalcNoteA,$M1532)),IF($N1532&lt;&gt;"",IF(INDEX(CalcNoteB,$N1532)="","—",INDEX(CalcNoteB,$N1532)),""))</f>
        <v/>
      </c>
      <c r="M1532">
        <f>IFERROR(MATCH($C$5&amp;"|"&amp;RIGHT("000000"&amp;1516,6),CalcRankKeyA,0),"")</f>
        <v/>
      </c>
      <c r="N1532">
        <f>IFERROR(MATCH($C$5&amp;"|"&amp;RIGHT("000000"&amp;1516,6),CalcRankKeyB,0),"")</f>
        <v/>
      </c>
    </row>
    <row r="1533">
      <c r="A1533" s="21" t="n">
        <v>1517</v>
      </c>
      <c r="B1533" s="22">
        <f>IF(AND($M1533="",$N1533=""),"",IF($M1533&lt;&gt;"",INDEX(CalcDateA,$M1533),INDEX(CalcDateB,$N1533)))</f>
        <v/>
      </c>
      <c r="C1533" s="22">
        <f>IF($M1533&lt;&gt;"","خرید سبد",IF($N1533&lt;&gt;"",IF(N(INDEX(CalcDepB,$N1533))&gt;0,"دریافت بانکی","پرداخت بانکی"),""))</f>
        <v/>
      </c>
      <c r="D1533" s="22">
        <f>IF($M1533&lt;&gt;"",IF(INDEX(CalcDocA,$M1533)="","—",INDEX(CalcDocA,$M1533)),IF($N1533&lt;&gt;"",INDEX(CalcBankB,$N1533),""))</f>
        <v/>
      </c>
      <c r="E1533" s="23">
        <f>IF($N1533&lt;&gt;"",IF(INDEX(CalcDepB,$N1533)=0,"",INDEX(CalcDepB,$N1533)),"")</f>
        <v/>
      </c>
      <c r="F1533" s="23">
        <f>IF($M1533&lt;&gt;"",IF(INDEX(CalcQtyA,$M1533)=0,"",INDEX(CalcQtyA,$M1533)),"")</f>
        <v/>
      </c>
      <c r="G1533" s="23">
        <f>IF($M1533&lt;&gt;"",IF(INDEX(CalcPriceA,$M1533)=0,"",INDEX(CalcPriceA,$M1533)),"")</f>
        <v/>
      </c>
      <c r="H1533" s="23">
        <f>IF($N1533&lt;&gt;"",IF(INDEX(CalcWitB,$N1533)=0,"",INDEX(CalcWitB,$N1533)),"")</f>
        <v/>
      </c>
      <c r="I1533" s="24">
        <f>IF($M1533&lt;&gt;"",INDEX(CalcAmtA,$M1533),"")</f>
        <v/>
      </c>
      <c r="J1533" s="24">
        <f>IF($B1533="","",IF($J1532="",$C$8,$J1532)+IF($I1533="",0,$I1533)+IF($E1533="",0,$E1533)-IF($H1533="",0,$H1533))</f>
        <v/>
      </c>
      <c r="K1533" s="25">
        <f>IF($M1533&lt;&gt;"",IF(INDEX(CalcNoteA,$M1533)="","—",INDEX(CalcNoteA,$M1533)),IF($N1533&lt;&gt;"",IF(INDEX(CalcNoteB,$N1533)="","—",INDEX(CalcNoteB,$N1533)),""))</f>
        <v/>
      </c>
      <c r="M1533">
        <f>IFERROR(MATCH($C$5&amp;"|"&amp;RIGHT("000000"&amp;1517,6),CalcRankKeyA,0),"")</f>
        <v/>
      </c>
      <c r="N1533">
        <f>IFERROR(MATCH($C$5&amp;"|"&amp;RIGHT("000000"&amp;1517,6),CalcRankKeyB,0),"")</f>
        <v/>
      </c>
    </row>
    <row r="1534">
      <c r="A1534" s="26" t="n">
        <v>1518</v>
      </c>
      <c r="B1534" s="27">
        <f>IF(AND($M1534="",$N1534=""),"",IF($M1534&lt;&gt;"",INDEX(CalcDateA,$M1534),INDEX(CalcDateB,$N1534)))</f>
        <v/>
      </c>
      <c r="C1534" s="27">
        <f>IF($M1534&lt;&gt;"","خرید سبد",IF($N1534&lt;&gt;"",IF(N(INDEX(CalcDepB,$N1534))&gt;0,"دریافت بانکی","پرداخت بانکی"),""))</f>
        <v/>
      </c>
      <c r="D1534" s="27">
        <f>IF($M1534&lt;&gt;"",IF(INDEX(CalcDocA,$M1534)="","—",INDEX(CalcDocA,$M1534)),IF($N1534&lt;&gt;"",INDEX(CalcBankB,$N1534),""))</f>
        <v/>
      </c>
      <c r="E1534" s="28">
        <f>IF($N1534&lt;&gt;"",IF(INDEX(CalcDepB,$N1534)=0,"",INDEX(CalcDepB,$N1534)),"")</f>
        <v/>
      </c>
      <c r="F1534" s="28">
        <f>IF($M1534&lt;&gt;"",IF(INDEX(CalcQtyA,$M1534)=0,"",INDEX(CalcQtyA,$M1534)),"")</f>
        <v/>
      </c>
      <c r="G1534" s="28">
        <f>IF($M1534&lt;&gt;"",IF(INDEX(CalcPriceA,$M1534)=0,"",INDEX(CalcPriceA,$M1534)),"")</f>
        <v/>
      </c>
      <c r="H1534" s="28">
        <f>IF($N1534&lt;&gt;"",IF(INDEX(CalcWitB,$N1534)=0,"",INDEX(CalcWitB,$N1534)),"")</f>
        <v/>
      </c>
      <c r="I1534" s="29">
        <f>IF($M1534&lt;&gt;"",INDEX(CalcAmtA,$M1534),"")</f>
        <v/>
      </c>
      <c r="J1534" s="29">
        <f>IF($B1534="","",IF($J1533="",$C$8,$J1533)+IF($I1534="",0,$I1534)+IF($E1534="",0,$E1534)-IF($H1534="",0,$H1534))</f>
        <v/>
      </c>
      <c r="K1534" s="30">
        <f>IF($M1534&lt;&gt;"",IF(INDEX(CalcNoteA,$M1534)="","—",INDEX(CalcNoteA,$M1534)),IF($N1534&lt;&gt;"",IF(INDEX(CalcNoteB,$N1534)="","—",INDEX(CalcNoteB,$N1534)),""))</f>
        <v/>
      </c>
      <c r="M1534">
        <f>IFERROR(MATCH($C$5&amp;"|"&amp;RIGHT("000000"&amp;1518,6),CalcRankKeyA,0),"")</f>
        <v/>
      </c>
      <c r="N1534">
        <f>IFERROR(MATCH($C$5&amp;"|"&amp;RIGHT("000000"&amp;1518,6),CalcRankKeyB,0),"")</f>
        <v/>
      </c>
    </row>
    <row r="1535">
      <c r="A1535" s="21" t="n">
        <v>1519</v>
      </c>
      <c r="B1535" s="22">
        <f>IF(AND($M1535="",$N1535=""),"",IF($M1535&lt;&gt;"",INDEX(CalcDateA,$M1535),INDEX(CalcDateB,$N1535)))</f>
        <v/>
      </c>
      <c r="C1535" s="22">
        <f>IF($M1535&lt;&gt;"","خرید سبد",IF($N1535&lt;&gt;"",IF(N(INDEX(CalcDepB,$N1535))&gt;0,"دریافت بانکی","پرداخت بانکی"),""))</f>
        <v/>
      </c>
      <c r="D1535" s="22">
        <f>IF($M1535&lt;&gt;"",IF(INDEX(CalcDocA,$M1535)="","—",INDEX(CalcDocA,$M1535)),IF($N1535&lt;&gt;"",INDEX(CalcBankB,$N1535),""))</f>
        <v/>
      </c>
      <c r="E1535" s="23">
        <f>IF($N1535&lt;&gt;"",IF(INDEX(CalcDepB,$N1535)=0,"",INDEX(CalcDepB,$N1535)),"")</f>
        <v/>
      </c>
      <c r="F1535" s="23">
        <f>IF($M1535&lt;&gt;"",IF(INDEX(CalcQtyA,$M1535)=0,"",INDEX(CalcQtyA,$M1535)),"")</f>
        <v/>
      </c>
      <c r="G1535" s="23">
        <f>IF($M1535&lt;&gt;"",IF(INDEX(CalcPriceA,$M1535)=0,"",INDEX(CalcPriceA,$M1535)),"")</f>
        <v/>
      </c>
      <c r="H1535" s="23">
        <f>IF($N1535&lt;&gt;"",IF(INDEX(CalcWitB,$N1535)=0,"",INDEX(CalcWitB,$N1535)),"")</f>
        <v/>
      </c>
      <c r="I1535" s="24">
        <f>IF($M1535&lt;&gt;"",INDEX(CalcAmtA,$M1535),"")</f>
        <v/>
      </c>
      <c r="J1535" s="24">
        <f>IF($B1535="","",IF($J1534="",$C$8,$J1534)+IF($I1535="",0,$I1535)+IF($E1535="",0,$E1535)-IF($H1535="",0,$H1535))</f>
        <v/>
      </c>
      <c r="K1535" s="25">
        <f>IF($M1535&lt;&gt;"",IF(INDEX(CalcNoteA,$M1535)="","—",INDEX(CalcNoteA,$M1535)),IF($N1535&lt;&gt;"",IF(INDEX(CalcNoteB,$N1535)="","—",INDEX(CalcNoteB,$N1535)),""))</f>
        <v/>
      </c>
      <c r="M1535">
        <f>IFERROR(MATCH($C$5&amp;"|"&amp;RIGHT("000000"&amp;1519,6),CalcRankKeyA,0),"")</f>
        <v/>
      </c>
      <c r="N1535">
        <f>IFERROR(MATCH($C$5&amp;"|"&amp;RIGHT("000000"&amp;1519,6),CalcRankKeyB,0),"")</f>
        <v/>
      </c>
    </row>
    <row r="1536">
      <c r="A1536" s="26" t="n">
        <v>1520</v>
      </c>
      <c r="B1536" s="27">
        <f>IF(AND($M1536="",$N1536=""),"",IF($M1536&lt;&gt;"",INDEX(CalcDateA,$M1536),INDEX(CalcDateB,$N1536)))</f>
        <v/>
      </c>
      <c r="C1536" s="27">
        <f>IF($M1536&lt;&gt;"","خرید سبد",IF($N1536&lt;&gt;"",IF(N(INDEX(CalcDepB,$N1536))&gt;0,"دریافت بانکی","پرداخت بانکی"),""))</f>
        <v/>
      </c>
      <c r="D1536" s="27">
        <f>IF($M1536&lt;&gt;"",IF(INDEX(CalcDocA,$M1536)="","—",INDEX(CalcDocA,$M1536)),IF($N1536&lt;&gt;"",INDEX(CalcBankB,$N1536),""))</f>
        <v/>
      </c>
      <c r="E1536" s="28">
        <f>IF($N1536&lt;&gt;"",IF(INDEX(CalcDepB,$N1536)=0,"",INDEX(CalcDepB,$N1536)),"")</f>
        <v/>
      </c>
      <c r="F1536" s="28">
        <f>IF($M1536&lt;&gt;"",IF(INDEX(CalcQtyA,$M1536)=0,"",INDEX(CalcQtyA,$M1536)),"")</f>
        <v/>
      </c>
      <c r="G1536" s="28">
        <f>IF($M1536&lt;&gt;"",IF(INDEX(CalcPriceA,$M1536)=0,"",INDEX(CalcPriceA,$M1536)),"")</f>
        <v/>
      </c>
      <c r="H1536" s="28">
        <f>IF($N1536&lt;&gt;"",IF(INDEX(CalcWitB,$N1536)=0,"",INDEX(CalcWitB,$N1536)),"")</f>
        <v/>
      </c>
      <c r="I1536" s="29">
        <f>IF($M1536&lt;&gt;"",INDEX(CalcAmtA,$M1536),"")</f>
        <v/>
      </c>
      <c r="J1536" s="29">
        <f>IF($B1536="","",IF($J1535="",$C$8,$J1535)+IF($I1536="",0,$I1536)+IF($E1536="",0,$E1536)-IF($H1536="",0,$H1536))</f>
        <v/>
      </c>
      <c r="K1536" s="30">
        <f>IF($M1536&lt;&gt;"",IF(INDEX(CalcNoteA,$M1536)="","—",INDEX(CalcNoteA,$M1536)),IF($N1536&lt;&gt;"",IF(INDEX(CalcNoteB,$N1536)="","—",INDEX(CalcNoteB,$N1536)),""))</f>
        <v/>
      </c>
      <c r="M1536">
        <f>IFERROR(MATCH($C$5&amp;"|"&amp;RIGHT("000000"&amp;1520,6),CalcRankKeyA,0),"")</f>
        <v/>
      </c>
      <c r="N1536">
        <f>IFERROR(MATCH($C$5&amp;"|"&amp;RIGHT("000000"&amp;1520,6),CalcRankKeyB,0),"")</f>
        <v/>
      </c>
    </row>
    <row r="1537">
      <c r="A1537" s="21" t="n">
        <v>1521</v>
      </c>
      <c r="B1537" s="22">
        <f>IF(AND($M1537="",$N1537=""),"",IF($M1537&lt;&gt;"",INDEX(CalcDateA,$M1537),INDEX(CalcDateB,$N1537)))</f>
        <v/>
      </c>
      <c r="C1537" s="22">
        <f>IF($M1537&lt;&gt;"","خرید سبد",IF($N1537&lt;&gt;"",IF(N(INDEX(CalcDepB,$N1537))&gt;0,"دریافت بانکی","پرداخت بانکی"),""))</f>
        <v/>
      </c>
      <c r="D1537" s="22">
        <f>IF($M1537&lt;&gt;"",IF(INDEX(CalcDocA,$M1537)="","—",INDEX(CalcDocA,$M1537)),IF($N1537&lt;&gt;"",INDEX(CalcBankB,$N1537),""))</f>
        <v/>
      </c>
      <c r="E1537" s="23">
        <f>IF($N1537&lt;&gt;"",IF(INDEX(CalcDepB,$N1537)=0,"",INDEX(CalcDepB,$N1537)),"")</f>
        <v/>
      </c>
      <c r="F1537" s="23">
        <f>IF($M1537&lt;&gt;"",IF(INDEX(CalcQtyA,$M1537)=0,"",INDEX(CalcQtyA,$M1537)),"")</f>
        <v/>
      </c>
      <c r="G1537" s="23">
        <f>IF($M1537&lt;&gt;"",IF(INDEX(CalcPriceA,$M1537)=0,"",INDEX(CalcPriceA,$M1537)),"")</f>
        <v/>
      </c>
      <c r="H1537" s="23">
        <f>IF($N1537&lt;&gt;"",IF(INDEX(CalcWitB,$N1537)=0,"",INDEX(CalcWitB,$N1537)),"")</f>
        <v/>
      </c>
      <c r="I1537" s="24">
        <f>IF($M1537&lt;&gt;"",INDEX(CalcAmtA,$M1537),"")</f>
        <v/>
      </c>
      <c r="J1537" s="24">
        <f>IF($B1537="","",IF($J1536="",$C$8,$J1536)+IF($I1537="",0,$I1537)+IF($E1537="",0,$E1537)-IF($H1537="",0,$H1537))</f>
        <v/>
      </c>
      <c r="K1537" s="25">
        <f>IF($M1537&lt;&gt;"",IF(INDEX(CalcNoteA,$M1537)="","—",INDEX(CalcNoteA,$M1537)),IF($N1537&lt;&gt;"",IF(INDEX(CalcNoteB,$N1537)="","—",INDEX(CalcNoteB,$N1537)),""))</f>
        <v/>
      </c>
      <c r="M1537">
        <f>IFERROR(MATCH($C$5&amp;"|"&amp;RIGHT("000000"&amp;1521,6),CalcRankKeyA,0),"")</f>
        <v/>
      </c>
      <c r="N1537">
        <f>IFERROR(MATCH($C$5&amp;"|"&amp;RIGHT("000000"&amp;1521,6),CalcRankKeyB,0),"")</f>
        <v/>
      </c>
    </row>
    <row r="1538">
      <c r="A1538" s="26" t="n">
        <v>1522</v>
      </c>
      <c r="B1538" s="27">
        <f>IF(AND($M1538="",$N1538=""),"",IF($M1538&lt;&gt;"",INDEX(CalcDateA,$M1538),INDEX(CalcDateB,$N1538)))</f>
        <v/>
      </c>
      <c r="C1538" s="27">
        <f>IF($M1538&lt;&gt;"","خرید سبد",IF($N1538&lt;&gt;"",IF(N(INDEX(CalcDepB,$N1538))&gt;0,"دریافت بانکی","پرداخت بانکی"),""))</f>
        <v/>
      </c>
      <c r="D1538" s="27">
        <f>IF($M1538&lt;&gt;"",IF(INDEX(CalcDocA,$M1538)="","—",INDEX(CalcDocA,$M1538)),IF($N1538&lt;&gt;"",INDEX(CalcBankB,$N1538),""))</f>
        <v/>
      </c>
      <c r="E1538" s="28">
        <f>IF($N1538&lt;&gt;"",IF(INDEX(CalcDepB,$N1538)=0,"",INDEX(CalcDepB,$N1538)),"")</f>
        <v/>
      </c>
      <c r="F1538" s="28">
        <f>IF($M1538&lt;&gt;"",IF(INDEX(CalcQtyA,$M1538)=0,"",INDEX(CalcQtyA,$M1538)),"")</f>
        <v/>
      </c>
      <c r="G1538" s="28">
        <f>IF($M1538&lt;&gt;"",IF(INDEX(CalcPriceA,$M1538)=0,"",INDEX(CalcPriceA,$M1538)),"")</f>
        <v/>
      </c>
      <c r="H1538" s="28">
        <f>IF($N1538&lt;&gt;"",IF(INDEX(CalcWitB,$N1538)=0,"",INDEX(CalcWitB,$N1538)),"")</f>
        <v/>
      </c>
      <c r="I1538" s="29">
        <f>IF($M1538&lt;&gt;"",INDEX(CalcAmtA,$M1538),"")</f>
        <v/>
      </c>
      <c r="J1538" s="29">
        <f>IF($B1538="","",IF($J1537="",$C$8,$J1537)+IF($I1538="",0,$I1538)+IF($E1538="",0,$E1538)-IF($H1538="",0,$H1538))</f>
        <v/>
      </c>
      <c r="K1538" s="30">
        <f>IF($M1538&lt;&gt;"",IF(INDEX(CalcNoteA,$M1538)="","—",INDEX(CalcNoteA,$M1538)),IF($N1538&lt;&gt;"",IF(INDEX(CalcNoteB,$N1538)="","—",INDEX(CalcNoteB,$N1538)),""))</f>
        <v/>
      </c>
      <c r="M1538">
        <f>IFERROR(MATCH($C$5&amp;"|"&amp;RIGHT("000000"&amp;1522,6),CalcRankKeyA,0),"")</f>
        <v/>
      </c>
      <c r="N1538">
        <f>IFERROR(MATCH($C$5&amp;"|"&amp;RIGHT("000000"&amp;1522,6),CalcRankKeyB,0),"")</f>
        <v/>
      </c>
    </row>
    <row r="1539">
      <c r="A1539" s="21" t="n">
        <v>1523</v>
      </c>
      <c r="B1539" s="22">
        <f>IF(AND($M1539="",$N1539=""),"",IF($M1539&lt;&gt;"",INDEX(CalcDateA,$M1539),INDEX(CalcDateB,$N1539)))</f>
        <v/>
      </c>
      <c r="C1539" s="22">
        <f>IF($M1539&lt;&gt;"","خرید سبد",IF($N1539&lt;&gt;"",IF(N(INDEX(CalcDepB,$N1539))&gt;0,"دریافت بانکی","پرداخت بانکی"),""))</f>
        <v/>
      </c>
      <c r="D1539" s="22">
        <f>IF($M1539&lt;&gt;"",IF(INDEX(CalcDocA,$M1539)="","—",INDEX(CalcDocA,$M1539)),IF($N1539&lt;&gt;"",INDEX(CalcBankB,$N1539),""))</f>
        <v/>
      </c>
      <c r="E1539" s="23">
        <f>IF($N1539&lt;&gt;"",IF(INDEX(CalcDepB,$N1539)=0,"",INDEX(CalcDepB,$N1539)),"")</f>
        <v/>
      </c>
      <c r="F1539" s="23">
        <f>IF($M1539&lt;&gt;"",IF(INDEX(CalcQtyA,$M1539)=0,"",INDEX(CalcQtyA,$M1539)),"")</f>
        <v/>
      </c>
      <c r="G1539" s="23">
        <f>IF($M1539&lt;&gt;"",IF(INDEX(CalcPriceA,$M1539)=0,"",INDEX(CalcPriceA,$M1539)),"")</f>
        <v/>
      </c>
      <c r="H1539" s="23">
        <f>IF($N1539&lt;&gt;"",IF(INDEX(CalcWitB,$N1539)=0,"",INDEX(CalcWitB,$N1539)),"")</f>
        <v/>
      </c>
      <c r="I1539" s="24">
        <f>IF($M1539&lt;&gt;"",INDEX(CalcAmtA,$M1539),"")</f>
        <v/>
      </c>
      <c r="J1539" s="24">
        <f>IF($B1539="","",IF($J1538="",$C$8,$J1538)+IF($I1539="",0,$I1539)+IF($E1539="",0,$E1539)-IF($H1539="",0,$H1539))</f>
        <v/>
      </c>
      <c r="K1539" s="25">
        <f>IF($M1539&lt;&gt;"",IF(INDEX(CalcNoteA,$M1539)="","—",INDEX(CalcNoteA,$M1539)),IF($N1539&lt;&gt;"",IF(INDEX(CalcNoteB,$N1539)="","—",INDEX(CalcNoteB,$N1539)),""))</f>
        <v/>
      </c>
      <c r="M1539">
        <f>IFERROR(MATCH($C$5&amp;"|"&amp;RIGHT("000000"&amp;1523,6),CalcRankKeyA,0),"")</f>
        <v/>
      </c>
      <c r="N1539">
        <f>IFERROR(MATCH($C$5&amp;"|"&amp;RIGHT("000000"&amp;1523,6),CalcRankKeyB,0),"")</f>
        <v/>
      </c>
    </row>
    <row r="1540">
      <c r="A1540" s="26" t="n">
        <v>1524</v>
      </c>
      <c r="B1540" s="27">
        <f>IF(AND($M1540="",$N1540=""),"",IF($M1540&lt;&gt;"",INDEX(CalcDateA,$M1540),INDEX(CalcDateB,$N1540)))</f>
        <v/>
      </c>
      <c r="C1540" s="27">
        <f>IF($M1540&lt;&gt;"","خرید سبد",IF($N1540&lt;&gt;"",IF(N(INDEX(CalcDepB,$N1540))&gt;0,"دریافت بانکی","پرداخت بانکی"),""))</f>
        <v/>
      </c>
      <c r="D1540" s="27">
        <f>IF($M1540&lt;&gt;"",IF(INDEX(CalcDocA,$M1540)="","—",INDEX(CalcDocA,$M1540)),IF($N1540&lt;&gt;"",INDEX(CalcBankB,$N1540),""))</f>
        <v/>
      </c>
      <c r="E1540" s="28">
        <f>IF($N1540&lt;&gt;"",IF(INDEX(CalcDepB,$N1540)=0,"",INDEX(CalcDepB,$N1540)),"")</f>
        <v/>
      </c>
      <c r="F1540" s="28">
        <f>IF($M1540&lt;&gt;"",IF(INDEX(CalcQtyA,$M1540)=0,"",INDEX(CalcQtyA,$M1540)),"")</f>
        <v/>
      </c>
      <c r="G1540" s="28">
        <f>IF($M1540&lt;&gt;"",IF(INDEX(CalcPriceA,$M1540)=0,"",INDEX(CalcPriceA,$M1540)),"")</f>
        <v/>
      </c>
      <c r="H1540" s="28">
        <f>IF($N1540&lt;&gt;"",IF(INDEX(CalcWitB,$N1540)=0,"",INDEX(CalcWitB,$N1540)),"")</f>
        <v/>
      </c>
      <c r="I1540" s="29">
        <f>IF($M1540&lt;&gt;"",INDEX(CalcAmtA,$M1540),"")</f>
        <v/>
      </c>
      <c r="J1540" s="29">
        <f>IF($B1540="","",IF($J1539="",$C$8,$J1539)+IF($I1540="",0,$I1540)+IF($E1540="",0,$E1540)-IF($H1540="",0,$H1540))</f>
        <v/>
      </c>
      <c r="K1540" s="30">
        <f>IF($M1540&lt;&gt;"",IF(INDEX(CalcNoteA,$M1540)="","—",INDEX(CalcNoteA,$M1540)),IF($N1540&lt;&gt;"",IF(INDEX(CalcNoteB,$N1540)="","—",INDEX(CalcNoteB,$N1540)),""))</f>
        <v/>
      </c>
      <c r="M1540">
        <f>IFERROR(MATCH($C$5&amp;"|"&amp;RIGHT("000000"&amp;1524,6),CalcRankKeyA,0),"")</f>
        <v/>
      </c>
      <c r="N1540">
        <f>IFERROR(MATCH($C$5&amp;"|"&amp;RIGHT("000000"&amp;1524,6),CalcRankKeyB,0),"")</f>
        <v/>
      </c>
    </row>
    <row r="1541">
      <c r="A1541" s="21" t="n">
        <v>1525</v>
      </c>
      <c r="B1541" s="22">
        <f>IF(AND($M1541="",$N1541=""),"",IF($M1541&lt;&gt;"",INDEX(CalcDateA,$M1541),INDEX(CalcDateB,$N1541)))</f>
        <v/>
      </c>
      <c r="C1541" s="22">
        <f>IF($M1541&lt;&gt;"","خرید سبد",IF($N1541&lt;&gt;"",IF(N(INDEX(CalcDepB,$N1541))&gt;0,"دریافت بانکی","پرداخت بانکی"),""))</f>
        <v/>
      </c>
      <c r="D1541" s="22">
        <f>IF($M1541&lt;&gt;"",IF(INDEX(CalcDocA,$M1541)="","—",INDEX(CalcDocA,$M1541)),IF($N1541&lt;&gt;"",INDEX(CalcBankB,$N1541),""))</f>
        <v/>
      </c>
      <c r="E1541" s="23">
        <f>IF($N1541&lt;&gt;"",IF(INDEX(CalcDepB,$N1541)=0,"",INDEX(CalcDepB,$N1541)),"")</f>
        <v/>
      </c>
      <c r="F1541" s="23">
        <f>IF($M1541&lt;&gt;"",IF(INDEX(CalcQtyA,$M1541)=0,"",INDEX(CalcQtyA,$M1541)),"")</f>
        <v/>
      </c>
      <c r="G1541" s="23">
        <f>IF($M1541&lt;&gt;"",IF(INDEX(CalcPriceA,$M1541)=0,"",INDEX(CalcPriceA,$M1541)),"")</f>
        <v/>
      </c>
      <c r="H1541" s="23">
        <f>IF($N1541&lt;&gt;"",IF(INDEX(CalcWitB,$N1541)=0,"",INDEX(CalcWitB,$N1541)),"")</f>
        <v/>
      </c>
      <c r="I1541" s="24">
        <f>IF($M1541&lt;&gt;"",INDEX(CalcAmtA,$M1541),"")</f>
        <v/>
      </c>
      <c r="J1541" s="24">
        <f>IF($B1541="","",IF($J1540="",$C$8,$J1540)+IF($I1541="",0,$I1541)+IF($E1541="",0,$E1541)-IF($H1541="",0,$H1541))</f>
        <v/>
      </c>
      <c r="K1541" s="25">
        <f>IF($M1541&lt;&gt;"",IF(INDEX(CalcNoteA,$M1541)="","—",INDEX(CalcNoteA,$M1541)),IF($N1541&lt;&gt;"",IF(INDEX(CalcNoteB,$N1541)="","—",INDEX(CalcNoteB,$N1541)),""))</f>
        <v/>
      </c>
      <c r="M1541">
        <f>IFERROR(MATCH($C$5&amp;"|"&amp;RIGHT("000000"&amp;1525,6),CalcRankKeyA,0),"")</f>
        <v/>
      </c>
      <c r="N1541">
        <f>IFERROR(MATCH($C$5&amp;"|"&amp;RIGHT("000000"&amp;1525,6),CalcRankKeyB,0),"")</f>
        <v/>
      </c>
    </row>
    <row r="1542">
      <c r="A1542" s="26" t="n">
        <v>1526</v>
      </c>
      <c r="B1542" s="27">
        <f>IF(AND($M1542="",$N1542=""),"",IF($M1542&lt;&gt;"",INDEX(CalcDateA,$M1542),INDEX(CalcDateB,$N1542)))</f>
        <v/>
      </c>
      <c r="C1542" s="27">
        <f>IF($M1542&lt;&gt;"","خرید سبد",IF($N1542&lt;&gt;"",IF(N(INDEX(CalcDepB,$N1542))&gt;0,"دریافت بانکی","پرداخت بانکی"),""))</f>
        <v/>
      </c>
      <c r="D1542" s="27">
        <f>IF($M1542&lt;&gt;"",IF(INDEX(CalcDocA,$M1542)="","—",INDEX(CalcDocA,$M1542)),IF($N1542&lt;&gt;"",INDEX(CalcBankB,$N1542),""))</f>
        <v/>
      </c>
      <c r="E1542" s="28">
        <f>IF($N1542&lt;&gt;"",IF(INDEX(CalcDepB,$N1542)=0,"",INDEX(CalcDepB,$N1542)),"")</f>
        <v/>
      </c>
      <c r="F1542" s="28">
        <f>IF($M1542&lt;&gt;"",IF(INDEX(CalcQtyA,$M1542)=0,"",INDEX(CalcQtyA,$M1542)),"")</f>
        <v/>
      </c>
      <c r="G1542" s="28">
        <f>IF($M1542&lt;&gt;"",IF(INDEX(CalcPriceA,$M1542)=0,"",INDEX(CalcPriceA,$M1542)),"")</f>
        <v/>
      </c>
      <c r="H1542" s="28">
        <f>IF($N1542&lt;&gt;"",IF(INDEX(CalcWitB,$N1542)=0,"",INDEX(CalcWitB,$N1542)),"")</f>
        <v/>
      </c>
      <c r="I1542" s="29">
        <f>IF($M1542&lt;&gt;"",INDEX(CalcAmtA,$M1542),"")</f>
        <v/>
      </c>
      <c r="J1542" s="29">
        <f>IF($B1542="","",IF($J1541="",$C$8,$J1541)+IF($I1542="",0,$I1542)+IF($E1542="",0,$E1542)-IF($H1542="",0,$H1542))</f>
        <v/>
      </c>
      <c r="K1542" s="30">
        <f>IF($M1542&lt;&gt;"",IF(INDEX(CalcNoteA,$M1542)="","—",INDEX(CalcNoteA,$M1542)),IF($N1542&lt;&gt;"",IF(INDEX(CalcNoteB,$N1542)="","—",INDEX(CalcNoteB,$N1542)),""))</f>
        <v/>
      </c>
      <c r="M1542">
        <f>IFERROR(MATCH($C$5&amp;"|"&amp;RIGHT("000000"&amp;1526,6),CalcRankKeyA,0),"")</f>
        <v/>
      </c>
      <c r="N1542">
        <f>IFERROR(MATCH($C$5&amp;"|"&amp;RIGHT("000000"&amp;1526,6),CalcRankKeyB,0),"")</f>
        <v/>
      </c>
    </row>
    <row r="1543">
      <c r="A1543" s="21" t="n">
        <v>1527</v>
      </c>
      <c r="B1543" s="22">
        <f>IF(AND($M1543="",$N1543=""),"",IF($M1543&lt;&gt;"",INDEX(CalcDateA,$M1543),INDEX(CalcDateB,$N1543)))</f>
        <v/>
      </c>
      <c r="C1543" s="22">
        <f>IF($M1543&lt;&gt;"","خرید سبد",IF($N1543&lt;&gt;"",IF(N(INDEX(CalcDepB,$N1543))&gt;0,"دریافت بانکی","پرداخت بانکی"),""))</f>
        <v/>
      </c>
      <c r="D1543" s="22">
        <f>IF($M1543&lt;&gt;"",IF(INDEX(CalcDocA,$M1543)="","—",INDEX(CalcDocA,$M1543)),IF($N1543&lt;&gt;"",INDEX(CalcBankB,$N1543),""))</f>
        <v/>
      </c>
      <c r="E1543" s="23">
        <f>IF($N1543&lt;&gt;"",IF(INDEX(CalcDepB,$N1543)=0,"",INDEX(CalcDepB,$N1543)),"")</f>
        <v/>
      </c>
      <c r="F1543" s="23">
        <f>IF($M1543&lt;&gt;"",IF(INDEX(CalcQtyA,$M1543)=0,"",INDEX(CalcQtyA,$M1543)),"")</f>
        <v/>
      </c>
      <c r="G1543" s="23">
        <f>IF($M1543&lt;&gt;"",IF(INDEX(CalcPriceA,$M1543)=0,"",INDEX(CalcPriceA,$M1543)),"")</f>
        <v/>
      </c>
      <c r="H1543" s="23">
        <f>IF($N1543&lt;&gt;"",IF(INDEX(CalcWitB,$N1543)=0,"",INDEX(CalcWitB,$N1543)),"")</f>
        <v/>
      </c>
      <c r="I1543" s="24">
        <f>IF($M1543&lt;&gt;"",INDEX(CalcAmtA,$M1543),"")</f>
        <v/>
      </c>
      <c r="J1543" s="24">
        <f>IF($B1543="","",IF($J1542="",$C$8,$J1542)+IF($I1543="",0,$I1543)+IF($E1543="",0,$E1543)-IF($H1543="",0,$H1543))</f>
        <v/>
      </c>
      <c r="K1543" s="25">
        <f>IF($M1543&lt;&gt;"",IF(INDEX(CalcNoteA,$M1543)="","—",INDEX(CalcNoteA,$M1543)),IF($N1543&lt;&gt;"",IF(INDEX(CalcNoteB,$N1543)="","—",INDEX(CalcNoteB,$N1543)),""))</f>
        <v/>
      </c>
      <c r="M1543">
        <f>IFERROR(MATCH($C$5&amp;"|"&amp;RIGHT("000000"&amp;1527,6),CalcRankKeyA,0),"")</f>
        <v/>
      </c>
      <c r="N1543">
        <f>IFERROR(MATCH($C$5&amp;"|"&amp;RIGHT("000000"&amp;1527,6),CalcRankKeyB,0),"")</f>
        <v/>
      </c>
    </row>
    <row r="1544">
      <c r="A1544" s="26" t="n">
        <v>1528</v>
      </c>
      <c r="B1544" s="27">
        <f>IF(AND($M1544="",$N1544=""),"",IF($M1544&lt;&gt;"",INDEX(CalcDateA,$M1544),INDEX(CalcDateB,$N1544)))</f>
        <v/>
      </c>
      <c r="C1544" s="27">
        <f>IF($M1544&lt;&gt;"","خرید سبد",IF($N1544&lt;&gt;"",IF(N(INDEX(CalcDepB,$N1544))&gt;0,"دریافت بانکی","پرداخت بانکی"),""))</f>
        <v/>
      </c>
      <c r="D1544" s="27">
        <f>IF($M1544&lt;&gt;"",IF(INDEX(CalcDocA,$M1544)="","—",INDEX(CalcDocA,$M1544)),IF($N1544&lt;&gt;"",INDEX(CalcBankB,$N1544),""))</f>
        <v/>
      </c>
      <c r="E1544" s="28">
        <f>IF($N1544&lt;&gt;"",IF(INDEX(CalcDepB,$N1544)=0,"",INDEX(CalcDepB,$N1544)),"")</f>
        <v/>
      </c>
      <c r="F1544" s="28">
        <f>IF($M1544&lt;&gt;"",IF(INDEX(CalcQtyA,$M1544)=0,"",INDEX(CalcQtyA,$M1544)),"")</f>
        <v/>
      </c>
      <c r="G1544" s="28">
        <f>IF($M1544&lt;&gt;"",IF(INDEX(CalcPriceA,$M1544)=0,"",INDEX(CalcPriceA,$M1544)),"")</f>
        <v/>
      </c>
      <c r="H1544" s="28">
        <f>IF($N1544&lt;&gt;"",IF(INDEX(CalcWitB,$N1544)=0,"",INDEX(CalcWitB,$N1544)),"")</f>
        <v/>
      </c>
      <c r="I1544" s="29">
        <f>IF($M1544&lt;&gt;"",INDEX(CalcAmtA,$M1544),"")</f>
        <v/>
      </c>
      <c r="J1544" s="29">
        <f>IF($B1544="","",IF($J1543="",$C$8,$J1543)+IF($I1544="",0,$I1544)+IF($E1544="",0,$E1544)-IF($H1544="",0,$H1544))</f>
        <v/>
      </c>
      <c r="K1544" s="30">
        <f>IF($M1544&lt;&gt;"",IF(INDEX(CalcNoteA,$M1544)="","—",INDEX(CalcNoteA,$M1544)),IF($N1544&lt;&gt;"",IF(INDEX(CalcNoteB,$N1544)="","—",INDEX(CalcNoteB,$N1544)),""))</f>
        <v/>
      </c>
      <c r="M1544">
        <f>IFERROR(MATCH($C$5&amp;"|"&amp;RIGHT("000000"&amp;1528,6),CalcRankKeyA,0),"")</f>
        <v/>
      </c>
      <c r="N1544">
        <f>IFERROR(MATCH($C$5&amp;"|"&amp;RIGHT("000000"&amp;1528,6),CalcRankKeyB,0),"")</f>
        <v/>
      </c>
    </row>
    <row r="1545">
      <c r="A1545" s="21" t="n">
        <v>1529</v>
      </c>
      <c r="B1545" s="22">
        <f>IF(AND($M1545="",$N1545=""),"",IF($M1545&lt;&gt;"",INDEX(CalcDateA,$M1545),INDEX(CalcDateB,$N1545)))</f>
        <v/>
      </c>
      <c r="C1545" s="22">
        <f>IF($M1545&lt;&gt;"","خرید سبد",IF($N1545&lt;&gt;"",IF(N(INDEX(CalcDepB,$N1545))&gt;0,"دریافت بانکی","پرداخت بانکی"),""))</f>
        <v/>
      </c>
      <c r="D1545" s="22">
        <f>IF($M1545&lt;&gt;"",IF(INDEX(CalcDocA,$M1545)="","—",INDEX(CalcDocA,$M1545)),IF($N1545&lt;&gt;"",INDEX(CalcBankB,$N1545),""))</f>
        <v/>
      </c>
      <c r="E1545" s="23">
        <f>IF($N1545&lt;&gt;"",IF(INDEX(CalcDepB,$N1545)=0,"",INDEX(CalcDepB,$N1545)),"")</f>
        <v/>
      </c>
      <c r="F1545" s="23">
        <f>IF($M1545&lt;&gt;"",IF(INDEX(CalcQtyA,$M1545)=0,"",INDEX(CalcQtyA,$M1545)),"")</f>
        <v/>
      </c>
      <c r="G1545" s="23">
        <f>IF($M1545&lt;&gt;"",IF(INDEX(CalcPriceA,$M1545)=0,"",INDEX(CalcPriceA,$M1545)),"")</f>
        <v/>
      </c>
      <c r="H1545" s="23">
        <f>IF($N1545&lt;&gt;"",IF(INDEX(CalcWitB,$N1545)=0,"",INDEX(CalcWitB,$N1545)),"")</f>
        <v/>
      </c>
      <c r="I1545" s="24">
        <f>IF($M1545&lt;&gt;"",INDEX(CalcAmtA,$M1545),"")</f>
        <v/>
      </c>
      <c r="J1545" s="24">
        <f>IF($B1545="","",IF($J1544="",$C$8,$J1544)+IF($I1545="",0,$I1545)+IF($E1545="",0,$E1545)-IF($H1545="",0,$H1545))</f>
        <v/>
      </c>
      <c r="K1545" s="25">
        <f>IF($M1545&lt;&gt;"",IF(INDEX(CalcNoteA,$M1545)="","—",INDEX(CalcNoteA,$M1545)),IF($N1545&lt;&gt;"",IF(INDEX(CalcNoteB,$N1545)="","—",INDEX(CalcNoteB,$N1545)),""))</f>
        <v/>
      </c>
      <c r="M1545">
        <f>IFERROR(MATCH($C$5&amp;"|"&amp;RIGHT("000000"&amp;1529,6),CalcRankKeyA,0),"")</f>
        <v/>
      </c>
      <c r="N1545">
        <f>IFERROR(MATCH($C$5&amp;"|"&amp;RIGHT("000000"&amp;1529,6),CalcRankKeyB,0),"")</f>
        <v/>
      </c>
    </row>
    <row r="1546">
      <c r="A1546" s="26" t="n">
        <v>1530</v>
      </c>
      <c r="B1546" s="27">
        <f>IF(AND($M1546="",$N1546=""),"",IF($M1546&lt;&gt;"",INDEX(CalcDateA,$M1546),INDEX(CalcDateB,$N1546)))</f>
        <v/>
      </c>
      <c r="C1546" s="27">
        <f>IF($M1546&lt;&gt;"","خرید سبد",IF($N1546&lt;&gt;"",IF(N(INDEX(CalcDepB,$N1546))&gt;0,"دریافت بانکی","پرداخت بانکی"),""))</f>
        <v/>
      </c>
      <c r="D1546" s="27">
        <f>IF($M1546&lt;&gt;"",IF(INDEX(CalcDocA,$M1546)="","—",INDEX(CalcDocA,$M1546)),IF($N1546&lt;&gt;"",INDEX(CalcBankB,$N1546),""))</f>
        <v/>
      </c>
      <c r="E1546" s="28">
        <f>IF($N1546&lt;&gt;"",IF(INDEX(CalcDepB,$N1546)=0,"",INDEX(CalcDepB,$N1546)),"")</f>
        <v/>
      </c>
      <c r="F1546" s="28">
        <f>IF($M1546&lt;&gt;"",IF(INDEX(CalcQtyA,$M1546)=0,"",INDEX(CalcQtyA,$M1546)),"")</f>
        <v/>
      </c>
      <c r="G1546" s="28">
        <f>IF($M1546&lt;&gt;"",IF(INDEX(CalcPriceA,$M1546)=0,"",INDEX(CalcPriceA,$M1546)),"")</f>
        <v/>
      </c>
      <c r="H1546" s="28">
        <f>IF($N1546&lt;&gt;"",IF(INDEX(CalcWitB,$N1546)=0,"",INDEX(CalcWitB,$N1546)),"")</f>
        <v/>
      </c>
      <c r="I1546" s="29">
        <f>IF($M1546&lt;&gt;"",INDEX(CalcAmtA,$M1546),"")</f>
        <v/>
      </c>
      <c r="J1546" s="29">
        <f>IF($B1546="","",IF($J1545="",$C$8,$J1545)+IF($I1546="",0,$I1546)+IF($E1546="",0,$E1546)-IF($H1546="",0,$H1546))</f>
        <v/>
      </c>
      <c r="K1546" s="30">
        <f>IF($M1546&lt;&gt;"",IF(INDEX(CalcNoteA,$M1546)="","—",INDEX(CalcNoteA,$M1546)),IF($N1546&lt;&gt;"",IF(INDEX(CalcNoteB,$N1546)="","—",INDEX(CalcNoteB,$N1546)),""))</f>
        <v/>
      </c>
      <c r="M1546">
        <f>IFERROR(MATCH($C$5&amp;"|"&amp;RIGHT("000000"&amp;1530,6),CalcRankKeyA,0),"")</f>
        <v/>
      </c>
      <c r="N1546">
        <f>IFERROR(MATCH($C$5&amp;"|"&amp;RIGHT("000000"&amp;1530,6),CalcRankKeyB,0),"")</f>
        <v/>
      </c>
    </row>
    <row r="1547">
      <c r="A1547" s="21" t="n">
        <v>1531</v>
      </c>
      <c r="B1547" s="22">
        <f>IF(AND($M1547="",$N1547=""),"",IF($M1547&lt;&gt;"",INDEX(CalcDateA,$M1547),INDEX(CalcDateB,$N1547)))</f>
        <v/>
      </c>
      <c r="C1547" s="22">
        <f>IF($M1547&lt;&gt;"","خرید سبد",IF($N1547&lt;&gt;"",IF(N(INDEX(CalcDepB,$N1547))&gt;0,"دریافت بانکی","پرداخت بانکی"),""))</f>
        <v/>
      </c>
      <c r="D1547" s="22">
        <f>IF($M1547&lt;&gt;"",IF(INDEX(CalcDocA,$M1547)="","—",INDEX(CalcDocA,$M1547)),IF($N1547&lt;&gt;"",INDEX(CalcBankB,$N1547),""))</f>
        <v/>
      </c>
      <c r="E1547" s="23">
        <f>IF($N1547&lt;&gt;"",IF(INDEX(CalcDepB,$N1547)=0,"",INDEX(CalcDepB,$N1547)),"")</f>
        <v/>
      </c>
      <c r="F1547" s="23">
        <f>IF($M1547&lt;&gt;"",IF(INDEX(CalcQtyA,$M1547)=0,"",INDEX(CalcQtyA,$M1547)),"")</f>
        <v/>
      </c>
      <c r="G1547" s="23">
        <f>IF($M1547&lt;&gt;"",IF(INDEX(CalcPriceA,$M1547)=0,"",INDEX(CalcPriceA,$M1547)),"")</f>
        <v/>
      </c>
      <c r="H1547" s="23">
        <f>IF($N1547&lt;&gt;"",IF(INDEX(CalcWitB,$N1547)=0,"",INDEX(CalcWitB,$N1547)),"")</f>
        <v/>
      </c>
      <c r="I1547" s="24">
        <f>IF($M1547&lt;&gt;"",INDEX(CalcAmtA,$M1547),"")</f>
        <v/>
      </c>
      <c r="J1547" s="24">
        <f>IF($B1547="","",IF($J1546="",$C$8,$J1546)+IF($I1547="",0,$I1547)+IF($E1547="",0,$E1547)-IF($H1547="",0,$H1547))</f>
        <v/>
      </c>
      <c r="K1547" s="25">
        <f>IF($M1547&lt;&gt;"",IF(INDEX(CalcNoteA,$M1547)="","—",INDEX(CalcNoteA,$M1547)),IF($N1547&lt;&gt;"",IF(INDEX(CalcNoteB,$N1547)="","—",INDEX(CalcNoteB,$N1547)),""))</f>
        <v/>
      </c>
      <c r="M1547">
        <f>IFERROR(MATCH($C$5&amp;"|"&amp;RIGHT("000000"&amp;1531,6),CalcRankKeyA,0),"")</f>
        <v/>
      </c>
      <c r="N1547">
        <f>IFERROR(MATCH($C$5&amp;"|"&amp;RIGHT("000000"&amp;1531,6),CalcRankKeyB,0),"")</f>
        <v/>
      </c>
    </row>
    <row r="1548">
      <c r="A1548" s="26" t="n">
        <v>1532</v>
      </c>
      <c r="B1548" s="27">
        <f>IF(AND($M1548="",$N1548=""),"",IF($M1548&lt;&gt;"",INDEX(CalcDateA,$M1548),INDEX(CalcDateB,$N1548)))</f>
        <v/>
      </c>
      <c r="C1548" s="27">
        <f>IF($M1548&lt;&gt;"","خرید سبد",IF($N1548&lt;&gt;"",IF(N(INDEX(CalcDepB,$N1548))&gt;0,"دریافت بانکی","پرداخت بانکی"),""))</f>
        <v/>
      </c>
      <c r="D1548" s="27">
        <f>IF($M1548&lt;&gt;"",IF(INDEX(CalcDocA,$M1548)="","—",INDEX(CalcDocA,$M1548)),IF($N1548&lt;&gt;"",INDEX(CalcBankB,$N1548),""))</f>
        <v/>
      </c>
      <c r="E1548" s="28">
        <f>IF($N1548&lt;&gt;"",IF(INDEX(CalcDepB,$N1548)=0,"",INDEX(CalcDepB,$N1548)),"")</f>
        <v/>
      </c>
      <c r="F1548" s="28">
        <f>IF($M1548&lt;&gt;"",IF(INDEX(CalcQtyA,$M1548)=0,"",INDEX(CalcQtyA,$M1548)),"")</f>
        <v/>
      </c>
      <c r="G1548" s="28">
        <f>IF($M1548&lt;&gt;"",IF(INDEX(CalcPriceA,$M1548)=0,"",INDEX(CalcPriceA,$M1548)),"")</f>
        <v/>
      </c>
      <c r="H1548" s="28">
        <f>IF($N1548&lt;&gt;"",IF(INDEX(CalcWitB,$N1548)=0,"",INDEX(CalcWitB,$N1548)),"")</f>
        <v/>
      </c>
      <c r="I1548" s="29">
        <f>IF($M1548&lt;&gt;"",INDEX(CalcAmtA,$M1548),"")</f>
        <v/>
      </c>
      <c r="J1548" s="29">
        <f>IF($B1548="","",IF($J1547="",$C$8,$J1547)+IF($I1548="",0,$I1548)+IF($E1548="",0,$E1548)-IF($H1548="",0,$H1548))</f>
        <v/>
      </c>
      <c r="K1548" s="30">
        <f>IF($M1548&lt;&gt;"",IF(INDEX(CalcNoteA,$M1548)="","—",INDEX(CalcNoteA,$M1548)),IF($N1548&lt;&gt;"",IF(INDEX(CalcNoteB,$N1548)="","—",INDEX(CalcNoteB,$N1548)),""))</f>
        <v/>
      </c>
      <c r="M1548">
        <f>IFERROR(MATCH($C$5&amp;"|"&amp;RIGHT("000000"&amp;1532,6),CalcRankKeyA,0),"")</f>
        <v/>
      </c>
      <c r="N1548">
        <f>IFERROR(MATCH($C$5&amp;"|"&amp;RIGHT("000000"&amp;1532,6),CalcRankKeyB,0),"")</f>
        <v/>
      </c>
    </row>
    <row r="1549">
      <c r="A1549" s="21" t="n">
        <v>1533</v>
      </c>
      <c r="B1549" s="22">
        <f>IF(AND($M1549="",$N1549=""),"",IF($M1549&lt;&gt;"",INDEX(CalcDateA,$M1549),INDEX(CalcDateB,$N1549)))</f>
        <v/>
      </c>
      <c r="C1549" s="22">
        <f>IF($M1549&lt;&gt;"","خرید سبد",IF($N1549&lt;&gt;"",IF(N(INDEX(CalcDepB,$N1549))&gt;0,"دریافت بانکی","پرداخت بانکی"),""))</f>
        <v/>
      </c>
      <c r="D1549" s="22">
        <f>IF($M1549&lt;&gt;"",IF(INDEX(CalcDocA,$M1549)="","—",INDEX(CalcDocA,$M1549)),IF($N1549&lt;&gt;"",INDEX(CalcBankB,$N1549),""))</f>
        <v/>
      </c>
      <c r="E1549" s="23">
        <f>IF($N1549&lt;&gt;"",IF(INDEX(CalcDepB,$N1549)=0,"",INDEX(CalcDepB,$N1549)),"")</f>
        <v/>
      </c>
      <c r="F1549" s="23">
        <f>IF($M1549&lt;&gt;"",IF(INDEX(CalcQtyA,$M1549)=0,"",INDEX(CalcQtyA,$M1549)),"")</f>
        <v/>
      </c>
      <c r="G1549" s="23">
        <f>IF($M1549&lt;&gt;"",IF(INDEX(CalcPriceA,$M1549)=0,"",INDEX(CalcPriceA,$M1549)),"")</f>
        <v/>
      </c>
      <c r="H1549" s="23">
        <f>IF($N1549&lt;&gt;"",IF(INDEX(CalcWitB,$N1549)=0,"",INDEX(CalcWitB,$N1549)),"")</f>
        <v/>
      </c>
      <c r="I1549" s="24">
        <f>IF($M1549&lt;&gt;"",INDEX(CalcAmtA,$M1549),"")</f>
        <v/>
      </c>
      <c r="J1549" s="24">
        <f>IF($B1549="","",IF($J1548="",$C$8,$J1548)+IF($I1549="",0,$I1549)+IF($E1549="",0,$E1549)-IF($H1549="",0,$H1549))</f>
        <v/>
      </c>
      <c r="K1549" s="25">
        <f>IF($M1549&lt;&gt;"",IF(INDEX(CalcNoteA,$M1549)="","—",INDEX(CalcNoteA,$M1549)),IF($N1549&lt;&gt;"",IF(INDEX(CalcNoteB,$N1549)="","—",INDEX(CalcNoteB,$N1549)),""))</f>
        <v/>
      </c>
      <c r="M1549">
        <f>IFERROR(MATCH($C$5&amp;"|"&amp;RIGHT("000000"&amp;1533,6),CalcRankKeyA,0),"")</f>
        <v/>
      </c>
      <c r="N1549">
        <f>IFERROR(MATCH($C$5&amp;"|"&amp;RIGHT("000000"&amp;1533,6),CalcRankKeyB,0),"")</f>
        <v/>
      </c>
    </row>
    <row r="1550">
      <c r="A1550" s="26" t="n">
        <v>1534</v>
      </c>
      <c r="B1550" s="27">
        <f>IF(AND($M1550="",$N1550=""),"",IF($M1550&lt;&gt;"",INDEX(CalcDateA,$M1550),INDEX(CalcDateB,$N1550)))</f>
        <v/>
      </c>
      <c r="C1550" s="27">
        <f>IF($M1550&lt;&gt;"","خرید سبد",IF($N1550&lt;&gt;"",IF(N(INDEX(CalcDepB,$N1550))&gt;0,"دریافت بانکی","پرداخت بانکی"),""))</f>
        <v/>
      </c>
      <c r="D1550" s="27">
        <f>IF($M1550&lt;&gt;"",IF(INDEX(CalcDocA,$M1550)="","—",INDEX(CalcDocA,$M1550)),IF($N1550&lt;&gt;"",INDEX(CalcBankB,$N1550),""))</f>
        <v/>
      </c>
      <c r="E1550" s="28">
        <f>IF($N1550&lt;&gt;"",IF(INDEX(CalcDepB,$N1550)=0,"",INDEX(CalcDepB,$N1550)),"")</f>
        <v/>
      </c>
      <c r="F1550" s="28">
        <f>IF($M1550&lt;&gt;"",IF(INDEX(CalcQtyA,$M1550)=0,"",INDEX(CalcQtyA,$M1550)),"")</f>
        <v/>
      </c>
      <c r="G1550" s="28">
        <f>IF($M1550&lt;&gt;"",IF(INDEX(CalcPriceA,$M1550)=0,"",INDEX(CalcPriceA,$M1550)),"")</f>
        <v/>
      </c>
      <c r="H1550" s="28">
        <f>IF($N1550&lt;&gt;"",IF(INDEX(CalcWitB,$N1550)=0,"",INDEX(CalcWitB,$N1550)),"")</f>
        <v/>
      </c>
      <c r="I1550" s="29">
        <f>IF($M1550&lt;&gt;"",INDEX(CalcAmtA,$M1550),"")</f>
        <v/>
      </c>
      <c r="J1550" s="29">
        <f>IF($B1550="","",IF($J1549="",$C$8,$J1549)+IF($I1550="",0,$I1550)+IF($E1550="",0,$E1550)-IF($H1550="",0,$H1550))</f>
        <v/>
      </c>
      <c r="K1550" s="30">
        <f>IF($M1550&lt;&gt;"",IF(INDEX(CalcNoteA,$M1550)="","—",INDEX(CalcNoteA,$M1550)),IF($N1550&lt;&gt;"",IF(INDEX(CalcNoteB,$N1550)="","—",INDEX(CalcNoteB,$N1550)),""))</f>
        <v/>
      </c>
      <c r="M1550">
        <f>IFERROR(MATCH($C$5&amp;"|"&amp;RIGHT("000000"&amp;1534,6),CalcRankKeyA,0),"")</f>
        <v/>
      </c>
      <c r="N1550">
        <f>IFERROR(MATCH($C$5&amp;"|"&amp;RIGHT("000000"&amp;1534,6),CalcRankKeyB,0),"")</f>
        <v/>
      </c>
    </row>
    <row r="1551">
      <c r="A1551" s="21" t="n">
        <v>1535</v>
      </c>
      <c r="B1551" s="22">
        <f>IF(AND($M1551="",$N1551=""),"",IF($M1551&lt;&gt;"",INDEX(CalcDateA,$M1551),INDEX(CalcDateB,$N1551)))</f>
        <v/>
      </c>
      <c r="C1551" s="22">
        <f>IF($M1551&lt;&gt;"","خرید سبد",IF($N1551&lt;&gt;"",IF(N(INDEX(CalcDepB,$N1551))&gt;0,"دریافت بانکی","پرداخت بانکی"),""))</f>
        <v/>
      </c>
      <c r="D1551" s="22">
        <f>IF($M1551&lt;&gt;"",IF(INDEX(CalcDocA,$M1551)="","—",INDEX(CalcDocA,$M1551)),IF($N1551&lt;&gt;"",INDEX(CalcBankB,$N1551),""))</f>
        <v/>
      </c>
      <c r="E1551" s="23">
        <f>IF($N1551&lt;&gt;"",IF(INDEX(CalcDepB,$N1551)=0,"",INDEX(CalcDepB,$N1551)),"")</f>
        <v/>
      </c>
      <c r="F1551" s="23">
        <f>IF($M1551&lt;&gt;"",IF(INDEX(CalcQtyA,$M1551)=0,"",INDEX(CalcQtyA,$M1551)),"")</f>
        <v/>
      </c>
      <c r="G1551" s="23">
        <f>IF($M1551&lt;&gt;"",IF(INDEX(CalcPriceA,$M1551)=0,"",INDEX(CalcPriceA,$M1551)),"")</f>
        <v/>
      </c>
      <c r="H1551" s="23">
        <f>IF($N1551&lt;&gt;"",IF(INDEX(CalcWitB,$N1551)=0,"",INDEX(CalcWitB,$N1551)),"")</f>
        <v/>
      </c>
      <c r="I1551" s="24">
        <f>IF($M1551&lt;&gt;"",INDEX(CalcAmtA,$M1551),"")</f>
        <v/>
      </c>
      <c r="J1551" s="24">
        <f>IF($B1551="","",IF($J1550="",$C$8,$J1550)+IF($I1551="",0,$I1551)+IF($E1551="",0,$E1551)-IF($H1551="",0,$H1551))</f>
        <v/>
      </c>
      <c r="K1551" s="25">
        <f>IF($M1551&lt;&gt;"",IF(INDEX(CalcNoteA,$M1551)="","—",INDEX(CalcNoteA,$M1551)),IF($N1551&lt;&gt;"",IF(INDEX(CalcNoteB,$N1551)="","—",INDEX(CalcNoteB,$N1551)),""))</f>
        <v/>
      </c>
      <c r="M1551">
        <f>IFERROR(MATCH($C$5&amp;"|"&amp;RIGHT("000000"&amp;1535,6),CalcRankKeyA,0),"")</f>
        <v/>
      </c>
      <c r="N1551">
        <f>IFERROR(MATCH($C$5&amp;"|"&amp;RIGHT("000000"&amp;1535,6),CalcRankKeyB,0),"")</f>
        <v/>
      </c>
    </row>
    <row r="1552">
      <c r="A1552" s="26" t="n">
        <v>1536</v>
      </c>
      <c r="B1552" s="27">
        <f>IF(AND($M1552="",$N1552=""),"",IF($M1552&lt;&gt;"",INDEX(CalcDateA,$M1552),INDEX(CalcDateB,$N1552)))</f>
        <v/>
      </c>
      <c r="C1552" s="27">
        <f>IF($M1552&lt;&gt;"","خرید سبد",IF($N1552&lt;&gt;"",IF(N(INDEX(CalcDepB,$N1552))&gt;0,"دریافت بانکی","پرداخت بانکی"),""))</f>
        <v/>
      </c>
      <c r="D1552" s="27">
        <f>IF($M1552&lt;&gt;"",IF(INDEX(CalcDocA,$M1552)="","—",INDEX(CalcDocA,$M1552)),IF($N1552&lt;&gt;"",INDEX(CalcBankB,$N1552),""))</f>
        <v/>
      </c>
      <c r="E1552" s="28">
        <f>IF($N1552&lt;&gt;"",IF(INDEX(CalcDepB,$N1552)=0,"",INDEX(CalcDepB,$N1552)),"")</f>
        <v/>
      </c>
      <c r="F1552" s="28">
        <f>IF($M1552&lt;&gt;"",IF(INDEX(CalcQtyA,$M1552)=0,"",INDEX(CalcQtyA,$M1552)),"")</f>
        <v/>
      </c>
      <c r="G1552" s="28">
        <f>IF($M1552&lt;&gt;"",IF(INDEX(CalcPriceA,$M1552)=0,"",INDEX(CalcPriceA,$M1552)),"")</f>
        <v/>
      </c>
      <c r="H1552" s="28">
        <f>IF($N1552&lt;&gt;"",IF(INDEX(CalcWitB,$N1552)=0,"",INDEX(CalcWitB,$N1552)),"")</f>
        <v/>
      </c>
      <c r="I1552" s="29">
        <f>IF($M1552&lt;&gt;"",INDEX(CalcAmtA,$M1552),"")</f>
        <v/>
      </c>
      <c r="J1552" s="29">
        <f>IF($B1552="","",IF($J1551="",$C$8,$J1551)+IF($I1552="",0,$I1552)+IF($E1552="",0,$E1552)-IF($H1552="",0,$H1552))</f>
        <v/>
      </c>
      <c r="K1552" s="30">
        <f>IF($M1552&lt;&gt;"",IF(INDEX(CalcNoteA,$M1552)="","—",INDEX(CalcNoteA,$M1552)),IF($N1552&lt;&gt;"",IF(INDEX(CalcNoteB,$N1552)="","—",INDEX(CalcNoteB,$N1552)),""))</f>
        <v/>
      </c>
      <c r="M1552">
        <f>IFERROR(MATCH($C$5&amp;"|"&amp;RIGHT("000000"&amp;1536,6),CalcRankKeyA,0),"")</f>
        <v/>
      </c>
      <c r="N1552">
        <f>IFERROR(MATCH($C$5&amp;"|"&amp;RIGHT("000000"&amp;1536,6),CalcRankKeyB,0),"")</f>
        <v/>
      </c>
    </row>
    <row r="1553">
      <c r="A1553" s="21" t="n">
        <v>1537</v>
      </c>
      <c r="B1553" s="22">
        <f>IF(AND($M1553="",$N1553=""),"",IF($M1553&lt;&gt;"",INDEX(CalcDateA,$M1553),INDEX(CalcDateB,$N1553)))</f>
        <v/>
      </c>
      <c r="C1553" s="22">
        <f>IF($M1553&lt;&gt;"","خرید سبد",IF($N1553&lt;&gt;"",IF(N(INDEX(CalcDepB,$N1553))&gt;0,"دریافت بانکی","پرداخت بانکی"),""))</f>
        <v/>
      </c>
      <c r="D1553" s="22">
        <f>IF($M1553&lt;&gt;"",IF(INDEX(CalcDocA,$M1553)="","—",INDEX(CalcDocA,$M1553)),IF($N1553&lt;&gt;"",INDEX(CalcBankB,$N1553),""))</f>
        <v/>
      </c>
      <c r="E1553" s="23">
        <f>IF($N1553&lt;&gt;"",IF(INDEX(CalcDepB,$N1553)=0,"",INDEX(CalcDepB,$N1553)),"")</f>
        <v/>
      </c>
      <c r="F1553" s="23">
        <f>IF($M1553&lt;&gt;"",IF(INDEX(CalcQtyA,$M1553)=0,"",INDEX(CalcQtyA,$M1553)),"")</f>
        <v/>
      </c>
      <c r="G1553" s="23">
        <f>IF($M1553&lt;&gt;"",IF(INDEX(CalcPriceA,$M1553)=0,"",INDEX(CalcPriceA,$M1553)),"")</f>
        <v/>
      </c>
      <c r="H1553" s="23">
        <f>IF($N1553&lt;&gt;"",IF(INDEX(CalcWitB,$N1553)=0,"",INDEX(CalcWitB,$N1553)),"")</f>
        <v/>
      </c>
      <c r="I1553" s="24">
        <f>IF($M1553&lt;&gt;"",INDEX(CalcAmtA,$M1553),"")</f>
        <v/>
      </c>
      <c r="J1553" s="24">
        <f>IF($B1553="","",IF($J1552="",$C$8,$J1552)+IF($I1553="",0,$I1553)+IF($E1553="",0,$E1553)-IF($H1553="",0,$H1553))</f>
        <v/>
      </c>
      <c r="K1553" s="25">
        <f>IF($M1553&lt;&gt;"",IF(INDEX(CalcNoteA,$M1553)="","—",INDEX(CalcNoteA,$M1553)),IF($N1553&lt;&gt;"",IF(INDEX(CalcNoteB,$N1553)="","—",INDEX(CalcNoteB,$N1553)),""))</f>
        <v/>
      </c>
      <c r="M1553">
        <f>IFERROR(MATCH($C$5&amp;"|"&amp;RIGHT("000000"&amp;1537,6),CalcRankKeyA,0),"")</f>
        <v/>
      </c>
      <c r="N1553">
        <f>IFERROR(MATCH($C$5&amp;"|"&amp;RIGHT("000000"&amp;1537,6),CalcRankKeyB,0),"")</f>
        <v/>
      </c>
    </row>
    <row r="1554">
      <c r="A1554" s="26" t="n">
        <v>1538</v>
      </c>
      <c r="B1554" s="27">
        <f>IF(AND($M1554="",$N1554=""),"",IF($M1554&lt;&gt;"",INDEX(CalcDateA,$M1554),INDEX(CalcDateB,$N1554)))</f>
        <v/>
      </c>
      <c r="C1554" s="27">
        <f>IF($M1554&lt;&gt;"","خرید سبد",IF($N1554&lt;&gt;"",IF(N(INDEX(CalcDepB,$N1554))&gt;0,"دریافت بانکی","پرداخت بانکی"),""))</f>
        <v/>
      </c>
      <c r="D1554" s="27">
        <f>IF($M1554&lt;&gt;"",IF(INDEX(CalcDocA,$M1554)="","—",INDEX(CalcDocA,$M1554)),IF($N1554&lt;&gt;"",INDEX(CalcBankB,$N1554),""))</f>
        <v/>
      </c>
      <c r="E1554" s="28">
        <f>IF($N1554&lt;&gt;"",IF(INDEX(CalcDepB,$N1554)=0,"",INDEX(CalcDepB,$N1554)),"")</f>
        <v/>
      </c>
      <c r="F1554" s="28">
        <f>IF($M1554&lt;&gt;"",IF(INDEX(CalcQtyA,$M1554)=0,"",INDEX(CalcQtyA,$M1554)),"")</f>
        <v/>
      </c>
      <c r="G1554" s="28">
        <f>IF($M1554&lt;&gt;"",IF(INDEX(CalcPriceA,$M1554)=0,"",INDEX(CalcPriceA,$M1554)),"")</f>
        <v/>
      </c>
      <c r="H1554" s="28">
        <f>IF($N1554&lt;&gt;"",IF(INDEX(CalcWitB,$N1554)=0,"",INDEX(CalcWitB,$N1554)),"")</f>
        <v/>
      </c>
      <c r="I1554" s="29">
        <f>IF($M1554&lt;&gt;"",INDEX(CalcAmtA,$M1554),"")</f>
        <v/>
      </c>
      <c r="J1554" s="29">
        <f>IF($B1554="","",IF($J1553="",$C$8,$J1553)+IF($I1554="",0,$I1554)+IF($E1554="",0,$E1554)-IF($H1554="",0,$H1554))</f>
        <v/>
      </c>
      <c r="K1554" s="30">
        <f>IF($M1554&lt;&gt;"",IF(INDEX(CalcNoteA,$M1554)="","—",INDEX(CalcNoteA,$M1554)),IF($N1554&lt;&gt;"",IF(INDEX(CalcNoteB,$N1554)="","—",INDEX(CalcNoteB,$N1554)),""))</f>
        <v/>
      </c>
      <c r="M1554">
        <f>IFERROR(MATCH($C$5&amp;"|"&amp;RIGHT("000000"&amp;1538,6),CalcRankKeyA,0),"")</f>
        <v/>
      </c>
      <c r="N1554">
        <f>IFERROR(MATCH($C$5&amp;"|"&amp;RIGHT("000000"&amp;1538,6),CalcRankKeyB,0),"")</f>
        <v/>
      </c>
    </row>
    <row r="1555">
      <c r="A1555" s="21" t="n">
        <v>1539</v>
      </c>
      <c r="B1555" s="22">
        <f>IF(AND($M1555="",$N1555=""),"",IF($M1555&lt;&gt;"",INDEX(CalcDateA,$M1555),INDEX(CalcDateB,$N1555)))</f>
        <v/>
      </c>
      <c r="C1555" s="22">
        <f>IF($M1555&lt;&gt;"","خرید سبد",IF($N1555&lt;&gt;"",IF(N(INDEX(CalcDepB,$N1555))&gt;0,"دریافت بانکی","پرداخت بانکی"),""))</f>
        <v/>
      </c>
      <c r="D1555" s="22">
        <f>IF($M1555&lt;&gt;"",IF(INDEX(CalcDocA,$M1555)="","—",INDEX(CalcDocA,$M1555)),IF($N1555&lt;&gt;"",INDEX(CalcBankB,$N1555),""))</f>
        <v/>
      </c>
      <c r="E1555" s="23">
        <f>IF($N1555&lt;&gt;"",IF(INDEX(CalcDepB,$N1555)=0,"",INDEX(CalcDepB,$N1555)),"")</f>
        <v/>
      </c>
      <c r="F1555" s="23">
        <f>IF($M1555&lt;&gt;"",IF(INDEX(CalcQtyA,$M1555)=0,"",INDEX(CalcQtyA,$M1555)),"")</f>
        <v/>
      </c>
      <c r="G1555" s="23">
        <f>IF($M1555&lt;&gt;"",IF(INDEX(CalcPriceA,$M1555)=0,"",INDEX(CalcPriceA,$M1555)),"")</f>
        <v/>
      </c>
      <c r="H1555" s="23">
        <f>IF($N1555&lt;&gt;"",IF(INDEX(CalcWitB,$N1555)=0,"",INDEX(CalcWitB,$N1555)),"")</f>
        <v/>
      </c>
      <c r="I1555" s="24">
        <f>IF($M1555&lt;&gt;"",INDEX(CalcAmtA,$M1555),"")</f>
        <v/>
      </c>
      <c r="J1555" s="24">
        <f>IF($B1555="","",IF($J1554="",$C$8,$J1554)+IF($I1555="",0,$I1555)+IF($E1555="",0,$E1555)-IF($H1555="",0,$H1555))</f>
        <v/>
      </c>
      <c r="K1555" s="25">
        <f>IF($M1555&lt;&gt;"",IF(INDEX(CalcNoteA,$M1555)="","—",INDEX(CalcNoteA,$M1555)),IF($N1555&lt;&gt;"",IF(INDEX(CalcNoteB,$N1555)="","—",INDEX(CalcNoteB,$N1555)),""))</f>
        <v/>
      </c>
      <c r="M1555">
        <f>IFERROR(MATCH($C$5&amp;"|"&amp;RIGHT("000000"&amp;1539,6),CalcRankKeyA,0),"")</f>
        <v/>
      </c>
      <c r="N1555">
        <f>IFERROR(MATCH($C$5&amp;"|"&amp;RIGHT("000000"&amp;1539,6),CalcRankKeyB,0),"")</f>
        <v/>
      </c>
    </row>
    <row r="1556">
      <c r="A1556" s="26" t="n">
        <v>1540</v>
      </c>
      <c r="B1556" s="27">
        <f>IF(AND($M1556="",$N1556=""),"",IF($M1556&lt;&gt;"",INDEX(CalcDateA,$M1556),INDEX(CalcDateB,$N1556)))</f>
        <v/>
      </c>
      <c r="C1556" s="27">
        <f>IF($M1556&lt;&gt;"","خرید سبد",IF($N1556&lt;&gt;"",IF(N(INDEX(CalcDepB,$N1556))&gt;0,"دریافت بانکی","پرداخت بانکی"),""))</f>
        <v/>
      </c>
      <c r="D1556" s="27">
        <f>IF($M1556&lt;&gt;"",IF(INDEX(CalcDocA,$M1556)="","—",INDEX(CalcDocA,$M1556)),IF($N1556&lt;&gt;"",INDEX(CalcBankB,$N1556),""))</f>
        <v/>
      </c>
      <c r="E1556" s="28">
        <f>IF($N1556&lt;&gt;"",IF(INDEX(CalcDepB,$N1556)=0,"",INDEX(CalcDepB,$N1556)),"")</f>
        <v/>
      </c>
      <c r="F1556" s="28">
        <f>IF($M1556&lt;&gt;"",IF(INDEX(CalcQtyA,$M1556)=0,"",INDEX(CalcQtyA,$M1556)),"")</f>
        <v/>
      </c>
      <c r="G1556" s="28">
        <f>IF($M1556&lt;&gt;"",IF(INDEX(CalcPriceA,$M1556)=0,"",INDEX(CalcPriceA,$M1556)),"")</f>
        <v/>
      </c>
      <c r="H1556" s="28">
        <f>IF($N1556&lt;&gt;"",IF(INDEX(CalcWitB,$N1556)=0,"",INDEX(CalcWitB,$N1556)),"")</f>
        <v/>
      </c>
      <c r="I1556" s="29">
        <f>IF($M1556&lt;&gt;"",INDEX(CalcAmtA,$M1556),"")</f>
        <v/>
      </c>
      <c r="J1556" s="29">
        <f>IF($B1556="","",IF($J1555="",$C$8,$J1555)+IF($I1556="",0,$I1556)+IF($E1556="",0,$E1556)-IF($H1556="",0,$H1556))</f>
        <v/>
      </c>
      <c r="K1556" s="30">
        <f>IF($M1556&lt;&gt;"",IF(INDEX(CalcNoteA,$M1556)="","—",INDEX(CalcNoteA,$M1556)),IF($N1556&lt;&gt;"",IF(INDEX(CalcNoteB,$N1556)="","—",INDEX(CalcNoteB,$N1556)),""))</f>
        <v/>
      </c>
      <c r="M1556">
        <f>IFERROR(MATCH($C$5&amp;"|"&amp;RIGHT("000000"&amp;1540,6),CalcRankKeyA,0),"")</f>
        <v/>
      </c>
      <c r="N1556">
        <f>IFERROR(MATCH($C$5&amp;"|"&amp;RIGHT("000000"&amp;1540,6),CalcRankKeyB,0),"")</f>
        <v/>
      </c>
    </row>
    <row r="1557">
      <c r="A1557" s="21" t="n">
        <v>1541</v>
      </c>
      <c r="B1557" s="22">
        <f>IF(AND($M1557="",$N1557=""),"",IF($M1557&lt;&gt;"",INDEX(CalcDateA,$M1557),INDEX(CalcDateB,$N1557)))</f>
        <v/>
      </c>
      <c r="C1557" s="22">
        <f>IF($M1557&lt;&gt;"","خرید سبد",IF($N1557&lt;&gt;"",IF(N(INDEX(CalcDepB,$N1557))&gt;0,"دریافت بانکی","پرداخت بانکی"),""))</f>
        <v/>
      </c>
      <c r="D1557" s="22">
        <f>IF($M1557&lt;&gt;"",IF(INDEX(CalcDocA,$M1557)="","—",INDEX(CalcDocA,$M1557)),IF($N1557&lt;&gt;"",INDEX(CalcBankB,$N1557),""))</f>
        <v/>
      </c>
      <c r="E1557" s="23">
        <f>IF($N1557&lt;&gt;"",IF(INDEX(CalcDepB,$N1557)=0,"",INDEX(CalcDepB,$N1557)),"")</f>
        <v/>
      </c>
      <c r="F1557" s="23">
        <f>IF($M1557&lt;&gt;"",IF(INDEX(CalcQtyA,$M1557)=0,"",INDEX(CalcQtyA,$M1557)),"")</f>
        <v/>
      </c>
      <c r="G1557" s="23">
        <f>IF($M1557&lt;&gt;"",IF(INDEX(CalcPriceA,$M1557)=0,"",INDEX(CalcPriceA,$M1557)),"")</f>
        <v/>
      </c>
      <c r="H1557" s="23">
        <f>IF($N1557&lt;&gt;"",IF(INDEX(CalcWitB,$N1557)=0,"",INDEX(CalcWitB,$N1557)),"")</f>
        <v/>
      </c>
      <c r="I1557" s="24">
        <f>IF($M1557&lt;&gt;"",INDEX(CalcAmtA,$M1557),"")</f>
        <v/>
      </c>
      <c r="J1557" s="24">
        <f>IF($B1557="","",IF($J1556="",$C$8,$J1556)+IF($I1557="",0,$I1557)+IF($E1557="",0,$E1557)-IF($H1557="",0,$H1557))</f>
        <v/>
      </c>
      <c r="K1557" s="25">
        <f>IF($M1557&lt;&gt;"",IF(INDEX(CalcNoteA,$M1557)="","—",INDEX(CalcNoteA,$M1557)),IF($N1557&lt;&gt;"",IF(INDEX(CalcNoteB,$N1557)="","—",INDEX(CalcNoteB,$N1557)),""))</f>
        <v/>
      </c>
      <c r="M1557">
        <f>IFERROR(MATCH($C$5&amp;"|"&amp;RIGHT("000000"&amp;1541,6),CalcRankKeyA,0),"")</f>
        <v/>
      </c>
      <c r="N1557">
        <f>IFERROR(MATCH($C$5&amp;"|"&amp;RIGHT("000000"&amp;1541,6),CalcRankKeyB,0),"")</f>
        <v/>
      </c>
    </row>
    <row r="1558">
      <c r="A1558" s="26" t="n">
        <v>1542</v>
      </c>
      <c r="B1558" s="27">
        <f>IF(AND($M1558="",$N1558=""),"",IF($M1558&lt;&gt;"",INDEX(CalcDateA,$M1558),INDEX(CalcDateB,$N1558)))</f>
        <v/>
      </c>
      <c r="C1558" s="27">
        <f>IF($M1558&lt;&gt;"","خرید سبد",IF($N1558&lt;&gt;"",IF(N(INDEX(CalcDepB,$N1558))&gt;0,"دریافت بانکی","پرداخت بانکی"),""))</f>
        <v/>
      </c>
      <c r="D1558" s="27">
        <f>IF($M1558&lt;&gt;"",IF(INDEX(CalcDocA,$M1558)="","—",INDEX(CalcDocA,$M1558)),IF($N1558&lt;&gt;"",INDEX(CalcBankB,$N1558),""))</f>
        <v/>
      </c>
      <c r="E1558" s="28">
        <f>IF($N1558&lt;&gt;"",IF(INDEX(CalcDepB,$N1558)=0,"",INDEX(CalcDepB,$N1558)),"")</f>
        <v/>
      </c>
      <c r="F1558" s="28">
        <f>IF($M1558&lt;&gt;"",IF(INDEX(CalcQtyA,$M1558)=0,"",INDEX(CalcQtyA,$M1558)),"")</f>
        <v/>
      </c>
      <c r="G1558" s="28">
        <f>IF($M1558&lt;&gt;"",IF(INDEX(CalcPriceA,$M1558)=0,"",INDEX(CalcPriceA,$M1558)),"")</f>
        <v/>
      </c>
      <c r="H1558" s="28">
        <f>IF($N1558&lt;&gt;"",IF(INDEX(CalcWitB,$N1558)=0,"",INDEX(CalcWitB,$N1558)),"")</f>
        <v/>
      </c>
      <c r="I1558" s="29">
        <f>IF($M1558&lt;&gt;"",INDEX(CalcAmtA,$M1558),"")</f>
        <v/>
      </c>
      <c r="J1558" s="29">
        <f>IF($B1558="","",IF($J1557="",$C$8,$J1557)+IF($I1558="",0,$I1558)+IF($E1558="",0,$E1558)-IF($H1558="",0,$H1558))</f>
        <v/>
      </c>
      <c r="K1558" s="30">
        <f>IF($M1558&lt;&gt;"",IF(INDEX(CalcNoteA,$M1558)="","—",INDEX(CalcNoteA,$M1558)),IF($N1558&lt;&gt;"",IF(INDEX(CalcNoteB,$N1558)="","—",INDEX(CalcNoteB,$N1558)),""))</f>
        <v/>
      </c>
      <c r="M1558">
        <f>IFERROR(MATCH($C$5&amp;"|"&amp;RIGHT("000000"&amp;1542,6),CalcRankKeyA,0),"")</f>
        <v/>
      </c>
      <c r="N1558">
        <f>IFERROR(MATCH($C$5&amp;"|"&amp;RIGHT("000000"&amp;1542,6),CalcRankKeyB,0),"")</f>
        <v/>
      </c>
    </row>
    <row r="1559">
      <c r="A1559" s="21" t="n">
        <v>1543</v>
      </c>
      <c r="B1559" s="22">
        <f>IF(AND($M1559="",$N1559=""),"",IF($M1559&lt;&gt;"",INDEX(CalcDateA,$M1559),INDEX(CalcDateB,$N1559)))</f>
        <v/>
      </c>
      <c r="C1559" s="22">
        <f>IF($M1559&lt;&gt;"","خرید سبد",IF($N1559&lt;&gt;"",IF(N(INDEX(CalcDepB,$N1559))&gt;0,"دریافت بانکی","پرداخت بانکی"),""))</f>
        <v/>
      </c>
      <c r="D1559" s="22">
        <f>IF($M1559&lt;&gt;"",IF(INDEX(CalcDocA,$M1559)="","—",INDEX(CalcDocA,$M1559)),IF($N1559&lt;&gt;"",INDEX(CalcBankB,$N1559),""))</f>
        <v/>
      </c>
      <c r="E1559" s="23">
        <f>IF($N1559&lt;&gt;"",IF(INDEX(CalcDepB,$N1559)=0,"",INDEX(CalcDepB,$N1559)),"")</f>
        <v/>
      </c>
      <c r="F1559" s="23">
        <f>IF($M1559&lt;&gt;"",IF(INDEX(CalcQtyA,$M1559)=0,"",INDEX(CalcQtyA,$M1559)),"")</f>
        <v/>
      </c>
      <c r="G1559" s="23">
        <f>IF($M1559&lt;&gt;"",IF(INDEX(CalcPriceA,$M1559)=0,"",INDEX(CalcPriceA,$M1559)),"")</f>
        <v/>
      </c>
      <c r="H1559" s="23">
        <f>IF($N1559&lt;&gt;"",IF(INDEX(CalcWitB,$N1559)=0,"",INDEX(CalcWitB,$N1559)),"")</f>
        <v/>
      </c>
      <c r="I1559" s="24">
        <f>IF($M1559&lt;&gt;"",INDEX(CalcAmtA,$M1559),"")</f>
        <v/>
      </c>
      <c r="J1559" s="24">
        <f>IF($B1559="","",IF($J1558="",$C$8,$J1558)+IF($I1559="",0,$I1559)+IF($E1559="",0,$E1559)-IF($H1559="",0,$H1559))</f>
        <v/>
      </c>
      <c r="K1559" s="25">
        <f>IF($M1559&lt;&gt;"",IF(INDEX(CalcNoteA,$M1559)="","—",INDEX(CalcNoteA,$M1559)),IF($N1559&lt;&gt;"",IF(INDEX(CalcNoteB,$N1559)="","—",INDEX(CalcNoteB,$N1559)),""))</f>
        <v/>
      </c>
      <c r="M1559">
        <f>IFERROR(MATCH($C$5&amp;"|"&amp;RIGHT("000000"&amp;1543,6),CalcRankKeyA,0),"")</f>
        <v/>
      </c>
      <c r="N1559">
        <f>IFERROR(MATCH($C$5&amp;"|"&amp;RIGHT("000000"&amp;1543,6),CalcRankKeyB,0),"")</f>
        <v/>
      </c>
    </row>
    <row r="1560">
      <c r="A1560" s="26" t="n">
        <v>1544</v>
      </c>
      <c r="B1560" s="27">
        <f>IF(AND($M1560="",$N1560=""),"",IF($M1560&lt;&gt;"",INDEX(CalcDateA,$M1560),INDEX(CalcDateB,$N1560)))</f>
        <v/>
      </c>
      <c r="C1560" s="27">
        <f>IF($M1560&lt;&gt;"","خرید سبد",IF($N1560&lt;&gt;"",IF(N(INDEX(CalcDepB,$N1560))&gt;0,"دریافت بانکی","پرداخت بانکی"),""))</f>
        <v/>
      </c>
      <c r="D1560" s="27">
        <f>IF($M1560&lt;&gt;"",IF(INDEX(CalcDocA,$M1560)="","—",INDEX(CalcDocA,$M1560)),IF($N1560&lt;&gt;"",INDEX(CalcBankB,$N1560),""))</f>
        <v/>
      </c>
      <c r="E1560" s="28">
        <f>IF($N1560&lt;&gt;"",IF(INDEX(CalcDepB,$N1560)=0,"",INDEX(CalcDepB,$N1560)),"")</f>
        <v/>
      </c>
      <c r="F1560" s="28">
        <f>IF($M1560&lt;&gt;"",IF(INDEX(CalcQtyA,$M1560)=0,"",INDEX(CalcQtyA,$M1560)),"")</f>
        <v/>
      </c>
      <c r="G1560" s="28">
        <f>IF($M1560&lt;&gt;"",IF(INDEX(CalcPriceA,$M1560)=0,"",INDEX(CalcPriceA,$M1560)),"")</f>
        <v/>
      </c>
      <c r="H1560" s="28">
        <f>IF($N1560&lt;&gt;"",IF(INDEX(CalcWitB,$N1560)=0,"",INDEX(CalcWitB,$N1560)),"")</f>
        <v/>
      </c>
      <c r="I1560" s="29">
        <f>IF($M1560&lt;&gt;"",INDEX(CalcAmtA,$M1560),"")</f>
        <v/>
      </c>
      <c r="J1560" s="29">
        <f>IF($B1560="","",IF($J1559="",$C$8,$J1559)+IF($I1560="",0,$I1560)+IF($E1560="",0,$E1560)-IF($H1560="",0,$H1560))</f>
        <v/>
      </c>
      <c r="K1560" s="30">
        <f>IF($M1560&lt;&gt;"",IF(INDEX(CalcNoteA,$M1560)="","—",INDEX(CalcNoteA,$M1560)),IF($N1560&lt;&gt;"",IF(INDEX(CalcNoteB,$N1560)="","—",INDEX(CalcNoteB,$N1560)),""))</f>
        <v/>
      </c>
      <c r="M1560">
        <f>IFERROR(MATCH($C$5&amp;"|"&amp;RIGHT("000000"&amp;1544,6),CalcRankKeyA,0),"")</f>
        <v/>
      </c>
      <c r="N1560">
        <f>IFERROR(MATCH($C$5&amp;"|"&amp;RIGHT("000000"&amp;1544,6),CalcRankKeyB,0),"")</f>
        <v/>
      </c>
    </row>
    <row r="1561">
      <c r="A1561" s="21" t="n">
        <v>1545</v>
      </c>
      <c r="B1561" s="22">
        <f>IF(AND($M1561="",$N1561=""),"",IF($M1561&lt;&gt;"",INDEX(CalcDateA,$M1561),INDEX(CalcDateB,$N1561)))</f>
        <v/>
      </c>
      <c r="C1561" s="22">
        <f>IF($M1561&lt;&gt;"","خرید سبد",IF($N1561&lt;&gt;"",IF(N(INDEX(CalcDepB,$N1561))&gt;0,"دریافت بانکی","پرداخت بانکی"),""))</f>
        <v/>
      </c>
      <c r="D1561" s="22">
        <f>IF($M1561&lt;&gt;"",IF(INDEX(CalcDocA,$M1561)="","—",INDEX(CalcDocA,$M1561)),IF($N1561&lt;&gt;"",INDEX(CalcBankB,$N1561),""))</f>
        <v/>
      </c>
      <c r="E1561" s="23">
        <f>IF($N1561&lt;&gt;"",IF(INDEX(CalcDepB,$N1561)=0,"",INDEX(CalcDepB,$N1561)),"")</f>
        <v/>
      </c>
      <c r="F1561" s="23">
        <f>IF($M1561&lt;&gt;"",IF(INDEX(CalcQtyA,$M1561)=0,"",INDEX(CalcQtyA,$M1561)),"")</f>
        <v/>
      </c>
      <c r="G1561" s="23">
        <f>IF($M1561&lt;&gt;"",IF(INDEX(CalcPriceA,$M1561)=0,"",INDEX(CalcPriceA,$M1561)),"")</f>
        <v/>
      </c>
      <c r="H1561" s="23">
        <f>IF($N1561&lt;&gt;"",IF(INDEX(CalcWitB,$N1561)=0,"",INDEX(CalcWitB,$N1561)),"")</f>
        <v/>
      </c>
      <c r="I1561" s="24">
        <f>IF($M1561&lt;&gt;"",INDEX(CalcAmtA,$M1561),"")</f>
        <v/>
      </c>
      <c r="J1561" s="24">
        <f>IF($B1561="","",IF($J1560="",$C$8,$J1560)+IF($I1561="",0,$I1561)+IF($E1561="",0,$E1561)-IF($H1561="",0,$H1561))</f>
        <v/>
      </c>
      <c r="K1561" s="25">
        <f>IF($M1561&lt;&gt;"",IF(INDEX(CalcNoteA,$M1561)="","—",INDEX(CalcNoteA,$M1561)),IF($N1561&lt;&gt;"",IF(INDEX(CalcNoteB,$N1561)="","—",INDEX(CalcNoteB,$N1561)),""))</f>
        <v/>
      </c>
      <c r="M1561">
        <f>IFERROR(MATCH($C$5&amp;"|"&amp;RIGHT("000000"&amp;1545,6),CalcRankKeyA,0),"")</f>
        <v/>
      </c>
      <c r="N1561">
        <f>IFERROR(MATCH($C$5&amp;"|"&amp;RIGHT("000000"&amp;1545,6),CalcRankKeyB,0),"")</f>
        <v/>
      </c>
    </row>
    <row r="1562">
      <c r="A1562" s="26" t="n">
        <v>1546</v>
      </c>
      <c r="B1562" s="27">
        <f>IF(AND($M1562="",$N1562=""),"",IF($M1562&lt;&gt;"",INDEX(CalcDateA,$M1562),INDEX(CalcDateB,$N1562)))</f>
        <v/>
      </c>
      <c r="C1562" s="27">
        <f>IF($M1562&lt;&gt;"","خرید سبد",IF($N1562&lt;&gt;"",IF(N(INDEX(CalcDepB,$N1562))&gt;0,"دریافت بانکی","پرداخت بانکی"),""))</f>
        <v/>
      </c>
      <c r="D1562" s="27">
        <f>IF($M1562&lt;&gt;"",IF(INDEX(CalcDocA,$M1562)="","—",INDEX(CalcDocA,$M1562)),IF($N1562&lt;&gt;"",INDEX(CalcBankB,$N1562),""))</f>
        <v/>
      </c>
      <c r="E1562" s="28">
        <f>IF($N1562&lt;&gt;"",IF(INDEX(CalcDepB,$N1562)=0,"",INDEX(CalcDepB,$N1562)),"")</f>
        <v/>
      </c>
      <c r="F1562" s="28">
        <f>IF($M1562&lt;&gt;"",IF(INDEX(CalcQtyA,$M1562)=0,"",INDEX(CalcQtyA,$M1562)),"")</f>
        <v/>
      </c>
      <c r="G1562" s="28">
        <f>IF($M1562&lt;&gt;"",IF(INDEX(CalcPriceA,$M1562)=0,"",INDEX(CalcPriceA,$M1562)),"")</f>
        <v/>
      </c>
      <c r="H1562" s="28">
        <f>IF($N1562&lt;&gt;"",IF(INDEX(CalcWitB,$N1562)=0,"",INDEX(CalcWitB,$N1562)),"")</f>
        <v/>
      </c>
      <c r="I1562" s="29">
        <f>IF($M1562&lt;&gt;"",INDEX(CalcAmtA,$M1562),"")</f>
        <v/>
      </c>
      <c r="J1562" s="29">
        <f>IF($B1562="","",IF($J1561="",$C$8,$J1561)+IF($I1562="",0,$I1562)+IF($E1562="",0,$E1562)-IF($H1562="",0,$H1562))</f>
        <v/>
      </c>
      <c r="K1562" s="30">
        <f>IF($M1562&lt;&gt;"",IF(INDEX(CalcNoteA,$M1562)="","—",INDEX(CalcNoteA,$M1562)),IF($N1562&lt;&gt;"",IF(INDEX(CalcNoteB,$N1562)="","—",INDEX(CalcNoteB,$N1562)),""))</f>
        <v/>
      </c>
      <c r="M1562">
        <f>IFERROR(MATCH($C$5&amp;"|"&amp;RIGHT("000000"&amp;1546,6),CalcRankKeyA,0),"")</f>
        <v/>
      </c>
      <c r="N1562">
        <f>IFERROR(MATCH($C$5&amp;"|"&amp;RIGHT("000000"&amp;1546,6),CalcRankKeyB,0),"")</f>
        <v/>
      </c>
    </row>
    <row r="1563">
      <c r="A1563" s="21" t="n">
        <v>1547</v>
      </c>
      <c r="B1563" s="22">
        <f>IF(AND($M1563="",$N1563=""),"",IF($M1563&lt;&gt;"",INDEX(CalcDateA,$M1563),INDEX(CalcDateB,$N1563)))</f>
        <v/>
      </c>
      <c r="C1563" s="22">
        <f>IF($M1563&lt;&gt;"","خرید سبد",IF($N1563&lt;&gt;"",IF(N(INDEX(CalcDepB,$N1563))&gt;0,"دریافت بانکی","پرداخت بانکی"),""))</f>
        <v/>
      </c>
      <c r="D1563" s="22">
        <f>IF($M1563&lt;&gt;"",IF(INDEX(CalcDocA,$M1563)="","—",INDEX(CalcDocA,$M1563)),IF($N1563&lt;&gt;"",INDEX(CalcBankB,$N1563),""))</f>
        <v/>
      </c>
      <c r="E1563" s="23">
        <f>IF($N1563&lt;&gt;"",IF(INDEX(CalcDepB,$N1563)=0,"",INDEX(CalcDepB,$N1563)),"")</f>
        <v/>
      </c>
      <c r="F1563" s="23">
        <f>IF($M1563&lt;&gt;"",IF(INDEX(CalcQtyA,$M1563)=0,"",INDEX(CalcQtyA,$M1563)),"")</f>
        <v/>
      </c>
      <c r="G1563" s="23">
        <f>IF($M1563&lt;&gt;"",IF(INDEX(CalcPriceA,$M1563)=0,"",INDEX(CalcPriceA,$M1563)),"")</f>
        <v/>
      </c>
      <c r="H1563" s="23">
        <f>IF($N1563&lt;&gt;"",IF(INDEX(CalcWitB,$N1563)=0,"",INDEX(CalcWitB,$N1563)),"")</f>
        <v/>
      </c>
      <c r="I1563" s="24">
        <f>IF($M1563&lt;&gt;"",INDEX(CalcAmtA,$M1563),"")</f>
        <v/>
      </c>
      <c r="J1563" s="24">
        <f>IF($B1563="","",IF($J1562="",$C$8,$J1562)+IF($I1563="",0,$I1563)+IF($E1563="",0,$E1563)-IF($H1563="",0,$H1563))</f>
        <v/>
      </c>
      <c r="K1563" s="25">
        <f>IF($M1563&lt;&gt;"",IF(INDEX(CalcNoteA,$M1563)="","—",INDEX(CalcNoteA,$M1563)),IF($N1563&lt;&gt;"",IF(INDEX(CalcNoteB,$N1563)="","—",INDEX(CalcNoteB,$N1563)),""))</f>
        <v/>
      </c>
      <c r="M1563">
        <f>IFERROR(MATCH($C$5&amp;"|"&amp;RIGHT("000000"&amp;1547,6),CalcRankKeyA,0),"")</f>
        <v/>
      </c>
      <c r="N1563">
        <f>IFERROR(MATCH($C$5&amp;"|"&amp;RIGHT("000000"&amp;1547,6),CalcRankKeyB,0),"")</f>
        <v/>
      </c>
    </row>
    <row r="1564">
      <c r="A1564" s="26" t="n">
        <v>1548</v>
      </c>
      <c r="B1564" s="27">
        <f>IF(AND($M1564="",$N1564=""),"",IF($M1564&lt;&gt;"",INDEX(CalcDateA,$M1564),INDEX(CalcDateB,$N1564)))</f>
        <v/>
      </c>
      <c r="C1564" s="27">
        <f>IF($M1564&lt;&gt;"","خرید سبد",IF($N1564&lt;&gt;"",IF(N(INDEX(CalcDepB,$N1564))&gt;0,"دریافت بانکی","پرداخت بانکی"),""))</f>
        <v/>
      </c>
      <c r="D1564" s="27">
        <f>IF($M1564&lt;&gt;"",IF(INDEX(CalcDocA,$M1564)="","—",INDEX(CalcDocA,$M1564)),IF($N1564&lt;&gt;"",INDEX(CalcBankB,$N1564),""))</f>
        <v/>
      </c>
      <c r="E1564" s="28">
        <f>IF($N1564&lt;&gt;"",IF(INDEX(CalcDepB,$N1564)=0,"",INDEX(CalcDepB,$N1564)),"")</f>
        <v/>
      </c>
      <c r="F1564" s="28">
        <f>IF($M1564&lt;&gt;"",IF(INDEX(CalcQtyA,$M1564)=0,"",INDEX(CalcQtyA,$M1564)),"")</f>
        <v/>
      </c>
      <c r="G1564" s="28">
        <f>IF($M1564&lt;&gt;"",IF(INDEX(CalcPriceA,$M1564)=0,"",INDEX(CalcPriceA,$M1564)),"")</f>
        <v/>
      </c>
      <c r="H1564" s="28">
        <f>IF($N1564&lt;&gt;"",IF(INDEX(CalcWitB,$N1564)=0,"",INDEX(CalcWitB,$N1564)),"")</f>
        <v/>
      </c>
      <c r="I1564" s="29">
        <f>IF($M1564&lt;&gt;"",INDEX(CalcAmtA,$M1564),"")</f>
        <v/>
      </c>
      <c r="J1564" s="29">
        <f>IF($B1564="","",IF($J1563="",$C$8,$J1563)+IF($I1564="",0,$I1564)+IF($E1564="",0,$E1564)-IF($H1564="",0,$H1564))</f>
        <v/>
      </c>
      <c r="K1564" s="30">
        <f>IF($M1564&lt;&gt;"",IF(INDEX(CalcNoteA,$M1564)="","—",INDEX(CalcNoteA,$M1564)),IF($N1564&lt;&gt;"",IF(INDEX(CalcNoteB,$N1564)="","—",INDEX(CalcNoteB,$N1564)),""))</f>
        <v/>
      </c>
      <c r="M1564">
        <f>IFERROR(MATCH($C$5&amp;"|"&amp;RIGHT("000000"&amp;1548,6),CalcRankKeyA,0),"")</f>
        <v/>
      </c>
      <c r="N1564">
        <f>IFERROR(MATCH($C$5&amp;"|"&amp;RIGHT("000000"&amp;1548,6),CalcRankKeyB,0),"")</f>
        <v/>
      </c>
    </row>
    <row r="1565">
      <c r="A1565" s="21" t="n">
        <v>1549</v>
      </c>
      <c r="B1565" s="22">
        <f>IF(AND($M1565="",$N1565=""),"",IF($M1565&lt;&gt;"",INDEX(CalcDateA,$M1565),INDEX(CalcDateB,$N1565)))</f>
        <v/>
      </c>
      <c r="C1565" s="22">
        <f>IF($M1565&lt;&gt;"","خرید سبد",IF($N1565&lt;&gt;"",IF(N(INDEX(CalcDepB,$N1565))&gt;0,"دریافت بانکی","پرداخت بانکی"),""))</f>
        <v/>
      </c>
      <c r="D1565" s="22">
        <f>IF($M1565&lt;&gt;"",IF(INDEX(CalcDocA,$M1565)="","—",INDEX(CalcDocA,$M1565)),IF($N1565&lt;&gt;"",INDEX(CalcBankB,$N1565),""))</f>
        <v/>
      </c>
      <c r="E1565" s="23">
        <f>IF($N1565&lt;&gt;"",IF(INDEX(CalcDepB,$N1565)=0,"",INDEX(CalcDepB,$N1565)),"")</f>
        <v/>
      </c>
      <c r="F1565" s="23">
        <f>IF($M1565&lt;&gt;"",IF(INDEX(CalcQtyA,$M1565)=0,"",INDEX(CalcQtyA,$M1565)),"")</f>
        <v/>
      </c>
      <c r="G1565" s="23">
        <f>IF($M1565&lt;&gt;"",IF(INDEX(CalcPriceA,$M1565)=0,"",INDEX(CalcPriceA,$M1565)),"")</f>
        <v/>
      </c>
      <c r="H1565" s="23">
        <f>IF($N1565&lt;&gt;"",IF(INDEX(CalcWitB,$N1565)=0,"",INDEX(CalcWitB,$N1565)),"")</f>
        <v/>
      </c>
      <c r="I1565" s="24">
        <f>IF($M1565&lt;&gt;"",INDEX(CalcAmtA,$M1565),"")</f>
        <v/>
      </c>
      <c r="J1565" s="24">
        <f>IF($B1565="","",IF($J1564="",$C$8,$J1564)+IF($I1565="",0,$I1565)+IF($E1565="",0,$E1565)-IF($H1565="",0,$H1565))</f>
        <v/>
      </c>
      <c r="K1565" s="25">
        <f>IF($M1565&lt;&gt;"",IF(INDEX(CalcNoteA,$M1565)="","—",INDEX(CalcNoteA,$M1565)),IF($N1565&lt;&gt;"",IF(INDEX(CalcNoteB,$N1565)="","—",INDEX(CalcNoteB,$N1565)),""))</f>
        <v/>
      </c>
      <c r="M1565">
        <f>IFERROR(MATCH($C$5&amp;"|"&amp;RIGHT("000000"&amp;1549,6),CalcRankKeyA,0),"")</f>
        <v/>
      </c>
      <c r="N1565">
        <f>IFERROR(MATCH($C$5&amp;"|"&amp;RIGHT("000000"&amp;1549,6),CalcRankKeyB,0),"")</f>
        <v/>
      </c>
    </row>
    <row r="1566">
      <c r="A1566" s="26" t="n">
        <v>1550</v>
      </c>
      <c r="B1566" s="27">
        <f>IF(AND($M1566="",$N1566=""),"",IF($M1566&lt;&gt;"",INDEX(CalcDateA,$M1566),INDEX(CalcDateB,$N1566)))</f>
        <v/>
      </c>
      <c r="C1566" s="27">
        <f>IF($M1566&lt;&gt;"","خرید سبد",IF($N1566&lt;&gt;"",IF(N(INDEX(CalcDepB,$N1566))&gt;0,"دریافت بانکی","پرداخت بانکی"),""))</f>
        <v/>
      </c>
      <c r="D1566" s="27">
        <f>IF($M1566&lt;&gt;"",IF(INDEX(CalcDocA,$M1566)="","—",INDEX(CalcDocA,$M1566)),IF($N1566&lt;&gt;"",INDEX(CalcBankB,$N1566),""))</f>
        <v/>
      </c>
      <c r="E1566" s="28">
        <f>IF($N1566&lt;&gt;"",IF(INDEX(CalcDepB,$N1566)=0,"",INDEX(CalcDepB,$N1566)),"")</f>
        <v/>
      </c>
      <c r="F1566" s="28">
        <f>IF($M1566&lt;&gt;"",IF(INDEX(CalcQtyA,$M1566)=0,"",INDEX(CalcQtyA,$M1566)),"")</f>
        <v/>
      </c>
      <c r="G1566" s="28">
        <f>IF($M1566&lt;&gt;"",IF(INDEX(CalcPriceA,$M1566)=0,"",INDEX(CalcPriceA,$M1566)),"")</f>
        <v/>
      </c>
      <c r="H1566" s="28">
        <f>IF($N1566&lt;&gt;"",IF(INDEX(CalcWitB,$N1566)=0,"",INDEX(CalcWitB,$N1566)),"")</f>
        <v/>
      </c>
      <c r="I1566" s="29">
        <f>IF($M1566&lt;&gt;"",INDEX(CalcAmtA,$M1566),"")</f>
        <v/>
      </c>
      <c r="J1566" s="29">
        <f>IF($B1566="","",IF($J1565="",$C$8,$J1565)+IF($I1566="",0,$I1566)+IF($E1566="",0,$E1566)-IF($H1566="",0,$H1566))</f>
        <v/>
      </c>
      <c r="K1566" s="30">
        <f>IF($M1566&lt;&gt;"",IF(INDEX(CalcNoteA,$M1566)="","—",INDEX(CalcNoteA,$M1566)),IF($N1566&lt;&gt;"",IF(INDEX(CalcNoteB,$N1566)="","—",INDEX(CalcNoteB,$N1566)),""))</f>
        <v/>
      </c>
      <c r="M1566">
        <f>IFERROR(MATCH($C$5&amp;"|"&amp;RIGHT("000000"&amp;1550,6),CalcRankKeyA,0),"")</f>
        <v/>
      </c>
      <c r="N1566">
        <f>IFERROR(MATCH($C$5&amp;"|"&amp;RIGHT("000000"&amp;1550,6),CalcRankKeyB,0),"")</f>
        <v/>
      </c>
    </row>
    <row r="1567">
      <c r="A1567" s="21" t="n">
        <v>1551</v>
      </c>
      <c r="B1567" s="22">
        <f>IF(AND($M1567="",$N1567=""),"",IF($M1567&lt;&gt;"",INDEX(CalcDateA,$M1567),INDEX(CalcDateB,$N1567)))</f>
        <v/>
      </c>
      <c r="C1567" s="22">
        <f>IF($M1567&lt;&gt;"","خرید سبد",IF($N1567&lt;&gt;"",IF(N(INDEX(CalcDepB,$N1567))&gt;0,"دریافت بانکی","پرداخت بانکی"),""))</f>
        <v/>
      </c>
      <c r="D1567" s="22">
        <f>IF($M1567&lt;&gt;"",IF(INDEX(CalcDocA,$M1567)="","—",INDEX(CalcDocA,$M1567)),IF($N1567&lt;&gt;"",INDEX(CalcBankB,$N1567),""))</f>
        <v/>
      </c>
      <c r="E1567" s="23">
        <f>IF($N1567&lt;&gt;"",IF(INDEX(CalcDepB,$N1567)=0,"",INDEX(CalcDepB,$N1567)),"")</f>
        <v/>
      </c>
      <c r="F1567" s="23">
        <f>IF($M1567&lt;&gt;"",IF(INDEX(CalcQtyA,$M1567)=0,"",INDEX(CalcQtyA,$M1567)),"")</f>
        <v/>
      </c>
      <c r="G1567" s="23">
        <f>IF($M1567&lt;&gt;"",IF(INDEX(CalcPriceA,$M1567)=0,"",INDEX(CalcPriceA,$M1567)),"")</f>
        <v/>
      </c>
      <c r="H1567" s="23">
        <f>IF($N1567&lt;&gt;"",IF(INDEX(CalcWitB,$N1567)=0,"",INDEX(CalcWitB,$N1567)),"")</f>
        <v/>
      </c>
      <c r="I1567" s="24">
        <f>IF($M1567&lt;&gt;"",INDEX(CalcAmtA,$M1567),"")</f>
        <v/>
      </c>
      <c r="J1567" s="24">
        <f>IF($B1567="","",IF($J1566="",$C$8,$J1566)+IF($I1567="",0,$I1567)+IF($E1567="",0,$E1567)-IF($H1567="",0,$H1567))</f>
        <v/>
      </c>
      <c r="K1567" s="25">
        <f>IF($M1567&lt;&gt;"",IF(INDEX(CalcNoteA,$M1567)="","—",INDEX(CalcNoteA,$M1567)),IF($N1567&lt;&gt;"",IF(INDEX(CalcNoteB,$N1567)="","—",INDEX(CalcNoteB,$N1567)),""))</f>
        <v/>
      </c>
      <c r="M1567">
        <f>IFERROR(MATCH($C$5&amp;"|"&amp;RIGHT("000000"&amp;1551,6),CalcRankKeyA,0),"")</f>
        <v/>
      </c>
      <c r="N1567">
        <f>IFERROR(MATCH($C$5&amp;"|"&amp;RIGHT("000000"&amp;1551,6),CalcRankKeyB,0),"")</f>
        <v/>
      </c>
    </row>
    <row r="1568">
      <c r="A1568" s="26" t="n">
        <v>1552</v>
      </c>
      <c r="B1568" s="27">
        <f>IF(AND($M1568="",$N1568=""),"",IF($M1568&lt;&gt;"",INDEX(CalcDateA,$M1568),INDEX(CalcDateB,$N1568)))</f>
        <v/>
      </c>
      <c r="C1568" s="27">
        <f>IF($M1568&lt;&gt;"","خرید سبد",IF($N1568&lt;&gt;"",IF(N(INDEX(CalcDepB,$N1568))&gt;0,"دریافت بانکی","پرداخت بانکی"),""))</f>
        <v/>
      </c>
      <c r="D1568" s="27">
        <f>IF($M1568&lt;&gt;"",IF(INDEX(CalcDocA,$M1568)="","—",INDEX(CalcDocA,$M1568)),IF($N1568&lt;&gt;"",INDEX(CalcBankB,$N1568),""))</f>
        <v/>
      </c>
      <c r="E1568" s="28">
        <f>IF($N1568&lt;&gt;"",IF(INDEX(CalcDepB,$N1568)=0,"",INDEX(CalcDepB,$N1568)),"")</f>
        <v/>
      </c>
      <c r="F1568" s="28">
        <f>IF($M1568&lt;&gt;"",IF(INDEX(CalcQtyA,$M1568)=0,"",INDEX(CalcQtyA,$M1568)),"")</f>
        <v/>
      </c>
      <c r="G1568" s="28">
        <f>IF($M1568&lt;&gt;"",IF(INDEX(CalcPriceA,$M1568)=0,"",INDEX(CalcPriceA,$M1568)),"")</f>
        <v/>
      </c>
      <c r="H1568" s="28">
        <f>IF($N1568&lt;&gt;"",IF(INDEX(CalcWitB,$N1568)=0,"",INDEX(CalcWitB,$N1568)),"")</f>
        <v/>
      </c>
      <c r="I1568" s="29">
        <f>IF($M1568&lt;&gt;"",INDEX(CalcAmtA,$M1568),"")</f>
        <v/>
      </c>
      <c r="J1568" s="29">
        <f>IF($B1568="","",IF($J1567="",$C$8,$J1567)+IF($I1568="",0,$I1568)+IF($E1568="",0,$E1568)-IF($H1568="",0,$H1568))</f>
        <v/>
      </c>
      <c r="K1568" s="30">
        <f>IF($M1568&lt;&gt;"",IF(INDEX(CalcNoteA,$M1568)="","—",INDEX(CalcNoteA,$M1568)),IF($N1568&lt;&gt;"",IF(INDEX(CalcNoteB,$N1568)="","—",INDEX(CalcNoteB,$N1568)),""))</f>
        <v/>
      </c>
      <c r="M1568">
        <f>IFERROR(MATCH($C$5&amp;"|"&amp;RIGHT("000000"&amp;1552,6),CalcRankKeyA,0),"")</f>
        <v/>
      </c>
      <c r="N1568">
        <f>IFERROR(MATCH($C$5&amp;"|"&amp;RIGHT("000000"&amp;1552,6),CalcRankKeyB,0),"")</f>
        <v/>
      </c>
    </row>
    <row r="1569">
      <c r="A1569" s="21" t="n">
        <v>1553</v>
      </c>
      <c r="B1569" s="22">
        <f>IF(AND($M1569="",$N1569=""),"",IF($M1569&lt;&gt;"",INDEX(CalcDateA,$M1569),INDEX(CalcDateB,$N1569)))</f>
        <v/>
      </c>
      <c r="C1569" s="22">
        <f>IF($M1569&lt;&gt;"","خرید سبد",IF($N1569&lt;&gt;"",IF(N(INDEX(CalcDepB,$N1569))&gt;0,"دریافت بانکی","پرداخت بانکی"),""))</f>
        <v/>
      </c>
      <c r="D1569" s="22">
        <f>IF($M1569&lt;&gt;"",IF(INDEX(CalcDocA,$M1569)="","—",INDEX(CalcDocA,$M1569)),IF($N1569&lt;&gt;"",INDEX(CalcBankB,$N1569),""))</f>
        <v/>
      </c>
      <c r="E1569" s="23">
        <f>IF($N1569&lt;&gt;"",IF(INDEX(CalcDepB,$N1569)=0,"",INDEX(CalcDepB,$N1569)),"")</f>
        <v/>
      </c>
      <c r="F1569" s="23">
        <f>IF($M1569&lt;&gt;"",IF(INDEX(CalcQtyA,$M1569)=0,"",INDEX(CalcQtyA,$M1569)),"")</f>
        <v/>
      </c>
      <c r="G1569" s="23">
        <f>IF($M1569&lt;&gt;"",IF(INDEX(CalcPriceA,$M1569)=0,"",INDEX(CalcPriceA,$M1569)),"")</f>
        <v/>
      </c>
      <c r="H1569" s="23">
        <f>IF($N1569&lt;&gt;"",IF(INDEX(CalcWitB,$N1569)=0,"",INDEX(CalcWitB,$N1569)),"")</f>
        <v/>
      </c>
      <c r="I1569" s="24">
        <f>IF($M1569&lt;&gt;"",INDEX(CalcAmtA,$M1569),"")</f>
        <v/>
      </c>
      <c r="J1569" s="24">
        <f>IF($B1569="","",IF($J1568="",$C$8,$J1568)+IF($I1569="",0,$I1569)+IF($E1569="",0,$E1569)-IF($H1569="",0,$H1569))</f>
        <v/>
      </c>
      <c r="K1569" s="25">
        <f>IF($M1569&lt;&gt;"",IF(INDEX(CalcNoteA,$M1569)="","—",INDEX(CalcNoteA,$M1569)),IF($N1569&lt;&gt;"",IF(INDEX(CalcNoteB,$N1569)="","—",INDEX(CalcNoteB,$N1569)),""))</f>
        <v/>
      </c>
      <c r="M1569">
        <f>IFERROR(MATCH($C$5&amp;"|"&amp;RIGHT("000000"&amp;1553,6),CalcRankKeyA,0),"")</f>
        <v/>
      </c>
      <c r="N1569">
        <f>IFERROR(MATCH($C$5&amp;"|"&amp;RIGHT("000000"&amp;1553,6),CalcRankKeyB,0),"")</f>
        <v/>
      </c>
    </row>
    <row r="1570">
      <c r="A1570" s="26" t="n">
        <v>1554</v>
      </c>
      <c r="B1570" s="27">
        <f>IF(AND($M1570="",$N1570=""),"",IF($M1570&lt;&gt;"",INDEX(CalcDateA,$M1570),INDEX(CalcDateB,$N1570)))</f>
        <v/>
      </c>
      <c r="C1570" s="27">
        <f>IF($M1570&lt;&gt;"","خرید سبد",IF($N1570&lt;&gt;"",IF(N(INDEX(CalcDepB,$N1570))&gt;0,"دریافت بانکی","پرداخت بانکی"),""))</f>
        <v/>
      </c>
      <c r="D1570" s="27">
        <f>IF($M1570&lt;&gt;"",IF(INDEX(CalcDocA,$M1570)="","—",INDEX(CalcDocA,$M1570)),IF($N1570&lt;&gt;"",INDEX(CalcBankB,$N1570),""))</f>
        <v/>
      </c>
      <c r="E1570" s="28">
        <f>IF($N1570&lt;&gt;"",IF(INDEX(CalcDepB,$N1570)=0,"",INDEX(CalcDepB,$N1570)),"")</f>
        <v/>
      </c>
      <c r="F1570" s="28">
        <f>IF($M1570&lt;&gt;"",IF(INDEX(CalcQtyA,$M1570)=0,"",INDEX(CalcQtyA,$M1570)),"")</f>
        <v/>
      </c>
      <c r="G1570" s="28">
        <f>IF($M1570&lt;&gt;"",IF(INDEX(CalcPriceA,$M1570)=0,"",INDEX(CalcPriceA,$M1570)),"")</f>
        <v/>
      </c>
      <c r="H1570" s="28">
        <f>IF($N1570&lt;&gt;"",IF(INDEX(CalcWitB,$N1570)=0,"",INDEX(CalcWitB,$N1570)),"")</f>
        <v/>
      </c>
      <c r="I1570" s="29">
        <f>IF($M1570&lt;&gt;"",INDEX(CalcAmtA,$M1570),"")</f>
        <v/>
      </c>
      <c r="J1570" s="29">
        <f>IF($B1570="","",IF($J1569="",$C$8,$J1569)+IF($I1570="",0,$I1570)+IF($E1570="",0,$E1570)-IF($H1570="",0,$H1570))</f>
        <v/>
      </c>
      <c r="K1570" s="30">
        <f>IF($M1570&lt;&gt;"",IF(INDEX(CalcNoteA,$M1570)="","—",INDEX(CalcNoteA,$M1570)),IF($N1570&lt;&gt;"",IF(INDEX(CalcNoteB,$N1570)="","—",INDEX(CalcNoteB,$N1570)),""))</f>
        <v/>
      </c>
      <c r="M1570">
        <f>IFERROR(MATCH($C$5&amp;"|"&amp;RIGHT("000000"&amp;1554,6),CalcRankKeyA,0),"")</f>
        <v/>
      </c>
      <c r="N1570">
        <f>IFERROR(MATCH($C$5&amp;"|"&amp;RIGHT("000000"&amp;1554,6),CalcRankKeyB,0),"")</f>
        <v/>
      </c>
    </row>
    <row r="1571">
      <c r="A1571" s="21" t="n">
        <v>1555</v>
      </c>
      <c r="B1571" s="22">
        <f>IF(AND($M1571="",$N1571=""),"",IF($M1571&lt;&gt;"",INDEX(CalcDateA,$M1571),INDEX(CalcDateB,$N1571)))</f>
        <v/>
      </c>
      <c r="C1571" s="22">
        <f>IF($M1571&lt;&gt;"","خرید سبد",IF($N1571&lt;&gt;"",IF(N(INDEX(CalcDepB,$N1571))&gt;0,"دریافت بانکی","پرداخت بانکی"),""))</f>
        <v/>
      </c>
      <c r="D1571" s="22">
        <f>IF($M1571&lt;&gt;"",IF(INDEX(CalcDocA,$M1571)="","—",INDEX(CalcDocA,$M1571)),IF($N1571&lt;&gt;"",INDEX(CalcBankB,$N1571),""))</f>
        <v/>
      </c>
      <c r="E1571" s="23">
        <f>IF($N1571&lt;&gt;"",IF(INDEX(CalcDepB,$N1571)=0,"",INDEX(CalcDepB,$N1571)),"")</f>
        <v/>
      </c>
      <c r="F1571" s="23">
        <f>IF($M1571&lt;&gt;"",IF(INDEX(CalcQtyA,$M1571)=0,"",INDEX(CalcQtyA,$M1571)),"")</f>
        <v/>
      </c>
      <c r="G1571" s="23">
        <f>IF($M1571&lt;&gt;"",IF(INDEX(CalcPriceA,$M1571)=0,"",INDEX(CalcPriceA,$M1571)),"")</f>
        <v/>
      </c>
      <c r="H1571" s="23">
        <f>IF($N1571&lt;&gt;"",IF(INDEX(CalcWitB,$N1571)=0,"",INDEX(CalcWitB,$N1571)),"")</f>
        <v/>
      </c>
      <c r="I1571" s="24">
        <f>IF($M1571&lt;&gt;"",INDEX(CalcAmtA,$M1571),"")</f>
        <v/>
      </c>
      <c r="J1571" s="24">
        <f>IF($B1571="","",IF($J1570="",$C$8,$J1570)+IF($I1571="",0,$I1571)+IF($E1571="",0,$E1571)-IF($H1571="",0,$H1571))</f>
        <v/>
      </c>
      <c r="K1571" s="25">
        <f>IF($M1571&lt;&gt;"",IF(INDEX(CalcNoteA,$M1571)="","—",INDEX(CalcNoteA,$M1571)),IF($N1571&lt;&gt;"",IF(INDEX(CalcNoteB,$N1571)="","—",INDEX(CalcNoteB,$N1571)),""))</f>
        <v/>
      </c>
      <c r="M1571">
        <f>IFERROR(MATCH($C$5&amp;"|"&amp;RIGHT("000000"&amp;1555,6),CalcRankKeyA,0),"")</f>
        <v/>
      </c>
      <c r="N1571">
        <f>IFERROR(MATCH($C$5&amp;"|"&amp;RIGHT("000000"&amp;1555,6),CalcRankKeyB,0),"")</f>
        <v/>
      </c>
    </row>
    <row r="1572">
      <c r="A1572" s="26" t="n">
        <v>1556</v>
      </c>
      <c r="B1572" s="27">
        <f>IF(AND($M1572="",$N1572=""),"",IF($M1572&lt;&gt;"",INDEX(CalcDateA,$M1572),INDEX(CalcDateB,$N1572)))</f>
        <v/>
      </c>
      <c r="C1572" s="27">
        <f>IF($M1572&lt;&gt;"","خرید سبد",IF($N1572&lt;&gt;"",IF(N(INDEX(CalcDepB,$N1572))&gt;0,"دریافت بانکی","پرداخت بانکی"),""))</f>
        <v/>
      </c>
      <c r="D1572" s="27">
        <f>IF($M1572&lt;&gt;"",IF(INDEX(CalcDocA,$M1572)="","—",INDEX(CalcDocA,$M1572)),IF($N1572&lt;&gt;"",INDEX(CalcBankB,$N1572),""))</f>
        <v/>
      </c>
      <c r="E1572" s="28">
        <f>IF($N1572&lt;&gt;"",IF(INDEX(CalcDepB,$N1572)=0,"",INDEX(CalcDepB,$N1572)),"")</f>
        <v/>
      </c>
      <c r="F1572" s="28">
        <f>IF($M1572&lt;&gt;"",IF(INDEX(CalcQtyA,$M1572)=0,"",INDEX(CalcQtyA,$M1572)),"")</f>
        <v/>
      </c>
      <c r="G1572" s="28">
        <f>IF($M1572&lt;&gt;"",IF(INDEX(CalcPriceA,$M1572)=0,"",INDEX(CalcPriceA,$M1572)),"")</f>
        <v/>
      </c>
      <c r="H1572" s="28">
        <f>IF($N1572&lt;&gt;"",IF(INDEX(CalcWitB,$N1572)=0,"",INDEX(CalcWitB,$N1572)),"")</f>
        <v/>
      </c>
      <c r="I1572" s="29">
        <f>IF($M1572&lt;&gt;"",INDEX(CalcAmtA,$M1572),"")</f>
        <v/>
      </c>
      <c r="J1572" s="29">
        <f>IF($B1572="","",IF($J1571="",$C$8,$J1571)+IF($I1572="",0,$I1572)+IF($E1572="",0,$E1572)-IF($H1572="",0,$H1572))</f>
        <v/>
      </c>
      <c r="K1572" s="30">
        <f>IF($M1572&lt;&gt;"",IF(INDEX(CalcNoteA,$M1572)="","—",INDEX(CalcNoteA,$M1572)),IF($N1572&lt;&gt;"",IF(INDEX(CalcNoteB,$N1572)="","—",INDEX(CalcNoteB,$N1572)),""))</f>
        <v/>
      </c>
      <c r="M1572">
        <f>IFERROR(MATCH($C$5&amp;"|"&amp;RIGHT("000000"&amp;1556,6),CalcRankKeyA,0),"")</f>
        <v/>
      </c>
      <c r="N1572">
        <f>IFERROR(MATCH($C$5&amp;"|"&amp;RIGHT("000000"&amp;1556,6),CalcRankKeyB,0),"")</f>
        <v/>
      </c>
    </row>
    <row r="1573">
      <c r="A1573" s="21" t="n">
        <v>1557</v>
      </c>
      <c r="B1573" s="22">
        <f>IF(AND($M1573="",$N1573=""),"",IF($M1573&lt;&gt;"",INDEX(CalcDateA,$M1573),INDEX(CalcDateB,$N1573)))</f>
        <v/>
      </c>
      <c r="C1573" s="22">
        <f>IF($M1573&lt;&gt;"","خرید سبد",IF($N1573&lt;&gt;"",IF(N(INDEX(CalcDepB,$N1573))&gt;0,"دریافت بانکی","پرداخت بانکی"),""))</f>
        <v/>
      </c>
      <c r="D1573" s="22">
        <f>IF($M1573&lt;&gt;"",IF(INDEX(CalcDocA,$M1573)="","—",INDEX(CalcDocA,$M1573)),IF($N1573&lt;&gt;"",INDEX(CalcBankB,$N1573),""))</f>
        <v/>
      </c>
      <c r="E1573" s="23">
        <f>IF($N1573&lt;&gt;"",IF(INDEX(CalcDepB,$N1573)=0,"",INDEX(CalcDepB,$N1573)),"")</f>
        <v/>
      </c>
      <c r="F1573" s="23">
        <f>IF($M1573&lt;&gt;"",IF(INDEX(CalcQtyA,$M1573)=0,"",INDEX(CalcQtyA,$M1573)),"")</f>
        <v/>
      </c>
      <c r="G1573" s="23">
        <f>IF($M1573&lt;&gt;"",IF(INDEX(CalcPriceA,$M1573)=0,"",INDEX(CalcPriceA,$M1573)),"")</f>
        <v/>
      </c>
      <c r="H1573" s="23">
        <f>IF($N1573&lt;&gt;"",IF(INDEX(CalcWitB,$N1573)=0,"",INDEX(CalcWitB,$N1573)),"")</f>
        <v/>
      </c>
      <c r="I1573" s="24">
        <f>IF($M1573&lt;&gt;"",INDEX(CalcAmtA,$M1573),"")</f>
        <v/>
      </c>
      <c r="J1573" s="24">
        <f>IF($B1573="","",IF($J1572="",$C$8,$J1572)+IF($I1573="",0,$I1573)+IF($E1573="",0,$E1573)-IF($H1573="",0,$H1573))</f>
        <v/>
      </c>
      <c r="K1573" s="25">
        <f>IF($M1573&lt;&gt;"",IF(INDEX(CalcNoteA,$M1573)="","—",INDEX(CalcNoteA,$M1573)),IF($N1573&lt;&gt;"",IF(INDEX(CalcNoteB,$N1573)="","—",INDEX(CalcNoteB,$N1573)),""))</f>
        <v/>
      </c>
      <c r="M1573">
        <f>IFERROR(MATCH($C$5&amp;"|"&amp;RIGHT("000000"&amp;1557,6),CalcRankKeyA,0),"")</f>
        <v/>
      </c>
      <c r="N1573">
        <f>IFERROR(MATCH($C$5&amp;"|"&amp;RIGHT("000000"&amp;1557,6),CalcRankKeyB,0),"")</f>
        <v/>
      </c>
    </row>
    <row r="1574">
      <c r="A1574" s="26" t="n">
        <v>1558</v>
      </c>
      <c r="B1574" s="27">
        <f>IF(AND($M1574="",$N1574=""),"",IF($M1574&lt;&gt;"",INDEX(CalcDateA,$M1574),INDEX(CalcDateB,$N1574)))</f>
        <v/>
      </c>
      <c r="C1574" s="27">
        <f>IF($M1574&lt;&gt;"","خرید سبد",IF($N1574&lt;&gt;"",IF(N(INDEX(CalcDepB,$N1574))&gt;0,"دریافت بانکی","پرداخت بانکی"),""))</f>
        <v/>
      </c>
      <c r="D1574" s="27">
        <f>IF($M1574&lt;&gt;"",IF(INDEX(CalcDocA,$M1574)="","—",INDEX(CalcDocA,$M1574)),IF($N1574&lt;&gt;"",INDEX(CalcBankB,$N1574),""))</f>
        <v/>
      </c>
      <c r="E1574" s="28">
        <f>IF($N1574&lt;&gt;"",IF(INDEX(CalcDepB,$N1574)=0,"",INDEX(CalcDepB,$N1574)),"")</f>
        <v/>
      </c>
      <c r="F1574" s="28">
        <f>IF($M1574&lt;&gt;"",IF(INDEX(CalcQtyA,$M1574)=0,"",INDEX(CalcQtyA,$M1574)),"")</f>
        <v/>
      </c>
      <c r="G1574" s="28">
        <f>IF($M1574&lt;&gt;"",IF(INDEX(CalcPriceA,$M1574)=0,"",INDEX(CalcPriceA,$M1574)),"")</f>
        <v/>
      </c>
      <c r="H1574" s="28">
        <f>IF($N1574&lt;&gt;"",IF(INDEX(CalcWitB,$N1574)=0,"",INDEX(CalcWitB,$N1574)),"")</f>
        <v/>
      </c>
      <c r="I1574" s="29">
        <f>IF($M1574&lt;&gt;"",INDEX(CalcAmtA,$M1574),"")</f>
        <v/>
      </c>
      <c r="J1574" s="29">
        <f>IF($B1574="","",IF($J1573="",$C$8,$J1573)+IF($I1574="",0,$I1574)+IF($E1574="",0,$E1574)-IF($H1574="",0,$H1574))</f>
        <v/>
      </c>
      <c r="K1574" s="30">
        <f>IF($M1574&lt;&gt;"",IF(INDEX(CalcNoteA,$M1574)="","—",INDEX(CalcNoteA,$M1574)),IF($N1574&lt;&gt;"",IF(INDEX(CalcNoteB,$N1574)="","—",INDEX(CalcNoteB,$N1574)),""))</f>
        <v/>
      </c>
      <c r="M1574">
        <f>IFERROR(MATCH($C$5&amp;"|"&amp;RIGHT("000000"&amp;1558,6),CalcRankKeyA,0),"")</f>
        <v/>
      </c>
      <c r="N1574">
        <f>IFERROR(MATCH($C$5&amp;"|"&amp;RIGHT("000000"&amp;1558,6),CalcRankKeyB,0),"")</f>
        <v/>
      </c>
    </row>
    <row r="1575">
      <c r="A1575" s="21" t="n">
        <v>1559</v>
      </c>
      <c r="B1575" s="22">
        <f>IF(AND($M1575="",$N1575=""),"",IF($M1575&lt;&gt;"",INDEX(CalcDateA,$M1575),INDEX(CalcDateB,$N1575)))</f>
        <v/>
      </c>
      <c r="C1575" s="22">
        <f>IF($M1575&lt;&gt;"","خرید سبد",IF($N1575&lt;&gt;"",IF(N(INDEX(CalcDepB,$N1575))&gt;0,"دریافت بانکی","پرداخت بانکی"),""))</f>
        <v/>
      </c>
      <c r="D1575" s="22">
        <f>IF($M1575&lt;&gt;"",IF(INDEX(CalcDocA,$M1575)="","—",INDEX(CalcDocA,$M1575)),IF($N1575&lt;&gt;"",INDEX(CalcBankB,$N1575),""))</f>
        <v/>
      </c>
      <c r="E1575" s="23">
        <f>IF($N1575&lt;&gt;"",IF(INDEX(CalcDepB,$N1575)=0,"",INDEX(CalcDepB,$N1575)),"")</f>
        <v/>
      </c>
      <c r="F1575" s="23">
        <f>IF($M1575&lt;&gt;"",IF(INDEX(CalcQtyA,$M1575)=0,"",INDEX(CalcQtyA,$M1575)),"")</f>
        <v/>
      </c>
      <c r="G1575" s="23">
        <f>IF($M1575&lt;&gt;"",IF(INDEX(CalcPriceA,$M1575)=0,"",INDEX(CalcPriceA,$M1575)),"")</f>
        <v/>
      </c>
      <c r="H1575" s="23">
        <f>IF($N1575&lt;&gt;"",IF(INDEX(CalcWitB,$N1575)=0,"",INDEX(CalcWitB,$N1575)),"")</f>
        <v/>
      </c>
      <c r="I1575" s="24">
        <f>IF($M1575&lt;&gt;"",INDEX(CalcAmtA,$M1575),"")</f>
        <v/>
      </c>
      <c r="J1575" s="24">
        <f>IF($B1575="","",IF($J1574="",$C$8,$J1574)+IF($I1575="",0,$I1575)+IF($E1575="",0,$E1575)-IF($H1575="",0,$H1575))</f>
        <v/>
      </c>
      <c r="K1575" s="25">
        <f>IF($M1575&lt;&gt;"",IF(INDEX(CalcNoteA,$M1575)="","—",INDEX(CalcNoteA,$M1575)),IF($N1575&lt;&gt;"",IF(INDEX(CalcNoteB,$N1575)="","—",INDEX(CalcNoteB,$N1575)),""))</f>
        <v/>
      </c>
      <c r="M1575">
        <f>IFERROR(MATCH($C$5&amp;"|"&amp;RIGHT("000000"&amp;1559,6),CalcRankKeyA,0),"")</f>
        <v/>
      </c>
      <c r="N1575">
        <f>IFERROR(MATCH($C$5&amp;"|"&amp;RIGHT("000000"&amp;1559,6),CalcRankKeyB,0),"")</f>
        <v/>
      </c>
    </row>
    <row r="1576">
      <c r="A1576" s="26" t="n">
        <v>1560</v>
      </c>
      <c r="B1576" s="27">
        <f>IF(AND($M1576="",$N1576=""),"",IF($M1576&lt;&gt;"",INDEX(CalcDateA,$M1576),INDEX(CalcDateB,$N1576)))</f>
        <v/>
      </c>
      <c r="C1576" s="27">
        <f>IF($M1576&lt;&gt;"","خرید سبد",IF($N1576&lt;&gt;"",IF(N(INDEX(CalcDepB,$N1576))&gt;0,"دریافت بانکی","پرداخت بانکی"),""))</f>
        <v/>
      </c>
      <c r="D1576" s="27">
        <f>IF($M1576&lt;&gt;"",IF(INDEX(CalcDocA,$M1576)="","—",INDEX(CalcDocA,$M1576)),IF($N1576&lt;&gt;"",INDEX(CalcBankB,$N1576),""))</f>
        <v/>
      </c>
      <c r="E1576" s="28">
        <f>IF($N1576&lt;&gt;"",IF(INDEX(CalcDepB,$N1576)=0,"",INDEX(CalcDepB,$N1576)),"")</f>
        <v/>
      </c>
      <c r="F1576" s="28">
        <f>IF($M1576&lt;&gt;"",IF(INDEX(CalcQtyA,$M1576)=0,"",INDEX(CalcQtyA,$M1576)),"")</f>
        <v/>
      </c>
      <c r="G1576" s="28">
        <f>IF($M1576&lt;&gt;"",IF(INDEX(CalcPriceA,$M1576)=0,"",INDEX(CalcPriceA,$M1576)),"")</f>
        <v/>
      </c>
      <c r="H1576" s="28">
        <f>IF($N1576&lt;&gt;"",IF(INDEX(CalcWitB,$N1576)=0,"",INDEX(CalcWitB,$N1576)),"")</f>
        <v/>
      </c>
      <c r="I1576" s="29">
        <f>IF($M1576&lt;&gt;"",INDEX(CalcAmtA,$M1576),"")</f>
        <v/>
      </c>
      <c r="J1576" s="29">
        <f>IF($B1576="","",IF($J1575="",$C$8,$J1575)+IF($I1576="",0,$I1576)+IF($E1576="",0,$E1576)-IF($H1576="",0,$H1576))</f>
        <v/>
      </c>
      <c r="K1576" s="30">
        <f>IF($M1576&lt;&gt;"",IF(INDEX(CalcNoteA,$M1576)="","—",INDEX(CalcNoteA,$M1576)),IF($N1576&lt;&gt;"",IF(INDEX(CalcNoteB,$N1576)="","—",INDEX(CalcNoteB,$N1576)),""))</f>
        <v/>
      </c>
      <c r="M1576">
        <f>IFERROR(MATCH($C$5&amp;"|"&amp;RIGHT("000000"&amp;1560,6),CalcRankKeyA,0),"")</f>
        <v/>
      </c>
      <c r="N1576">
        <f>IFERROR(MATCH($C$5&amp;"|"&amp;RIGHT("000000"&amp;1560,6),CalcRankKeyB,0),"")</f>
        <v/>
      </c>
    </row>
    <row r="1577">
      <c r="A1577" s="21" t="n">
        <v>1561</v>
      </c>
      <c r="B1577" s="22">
        <f>IF(AND($M1577="",$N1577=""),"",IF($M1577&lt;&gt;"",INDEX(CalcDateA,$M1577),INDEX(CalcDateB,$N1577)))</f>
        <v/>
      </c>
      <c r="C1577" s="22">
        <f>IF($M1577&lt;&gt;"","خرید سبد",IF($N1577&lt;&gt;"",IF(N(INDEX(CalcDepB,$N1577))&gt;0,"دریافت بانکی","پرداخت بانکی"),""))</f>
        <v/>
      </c>
      <c r="D1577" s="22">
        <f>IF($M1577&lt;&gt;"",IF(INDEX(CalcDocA,$M1577)="","—",INDEX(CalcDocA,$M1577)),IF($N1577&lt;&gt;"",INDEX(CalcBankB,$N1577),""))</f>
        <v/>
      </c>
      <c r="E1577" s="23">
        <f>IF($N1577&lt;&gt;"",IF(INDEX(CalcDepB,$N1577)=0,"",INDEX(CalcDepB,$N1577)),"")</f>
        <v/>
      </c>
      <c r="F1577" s="23">
        <f>IF($M1577&lt;&gt;"",IF(INDEX(CalcQtyA,$M1577)=0,"",INDEX(CalcQtyA,$M1577)),"")</f>
        <v/>
      </c>
      <c r="G1577" s="23">
        <f>IF($M1577&lt;&gt;"",IF(INDEX(CalcPriceA,$M1577)=0,"",INDEX(CalcPriceA,$M1577)),"")</f>
        <v/>
      </c>
      <c r="H1577" s="23">
        <f>IF($N1577&lt;&gt;"",IF(INDEX(CalcWitB,$N1577)=0,"",INDEX(CalcWitB,$N1577)),"")</f>
        <v/>
      </c>
      <c r="I1577" s="24">
        <f>IF($M1577&lt;&gt;"",INDEX(CalcAmtA,$M1577),"")</f>
        <v/>
      </c>
      <c r="J1577" s="24">
        <f>IF($B1577="","",IF($J1576="",$C$8,$J1576)+IF($I1577="",0,$I1577)+IF($E1577="",0,$E1577)-IF($H1577="",0,$H1577))</f>
        <v/>
      </c>
      <c r="K1577" s="25">
        <f>IF($M1577&lt;&gt;"",IF(INDEX(CalcNoteA,$M1577)="","—",INDEX(CalcNoteA,$M1577)),IF($N1577&lt;&gt;"",IF(INDEX(CalcNoteB,$N1577)="","—",INDEX(CalcNoteB,$N1577)),""))</f>
        <v/>
      </c>
      <c r="M1577">
        <f>IFERROR(MATCH($C$5&amp;"|"&amp;RIGHT("000000"&amp;1561,6),CalcRankKeyA,0),"")</f>
        <v/>
      </c>
      <c r="N1577">
        <f>IFERROR(MATCH($C$5&amp;"|"&amp;RIGHT("000000"&amp;1561,6),CalcRankKeyB,0),"")</f>
        <v/>
      </c>
    </row>
    <row r="1578">
      <c r="A1578" s="26" t="n">
        <v>1562</v>
      </c>
      <c r="B1578" s="27">
        <f>IF(AND($M1578="",$N1578=""),"",IF($M1578&lt;&gt;"",INDEX(CalcDateA,$M1578),INDEX(CalcDateB,$N1578)))</f>
        <v/>
      </c>
      <c r="C1578" s="27">
        <f>IF($M1578&lt;&gt;"","خرید سبد",IF($N1578&lt;&gt;"",IF(N(INDEX(CalcDepB,$N1578))&gt;0,"دریافت بانکی","پرداخت بانکی"),""))</f>
        <v/>
      </c>
      <c r="D1578" s="27">
        <f>IF($M1578&lt;&gt;"",IF(INDEX(CalcDocA,$M1578)="","—",INDEX(CalcDocA,$M1578)),IF($N1578&lt;&gt;"",INDEX(CalcBankB,$N1578),""))</f>
        <v/>
      </c>
      <c r="E1578" s="28">
        <f>IF($N1578&lt;&gt;"",IF(INDEX(CalcDepB,$N1578)=0,"",INDEX(CalcDepB,$N1578)),"")</f>
        <v/>
      </c>
      <c r="F1578" s="28">
        <f>IF($M1578&lt;&gt;"",IF(INDEX(CalcQtyA,$M1578)=0,"",INDEX(CalcQtyA,$M1578)),"")</f>
        <v/>
      </c>
      <c r="G1578" s="28">
        <f>IF($M1578&lt;&gt;"",IF(INDEX(CalcPriceA,$M1578)=0,"",INDEX(CalcPriceA,$M1578)),"")</f>
        <v/>
      </c>
      <c r="H1578" s="28">
        <f>IF($N1578&lt;&gt;"",IF(INDEX(CalcWitB,$N1578)=0,"",INDEX(CalcWitB,$N1578)),"")</f>
        <v/>
      </c>
      <c r="I1578" s="29">
        <f>IF($M1578&lt;&gt;"",INDEX(CalcAmtA,$M1578),"")</f>
        <v/>
      </c>
      <c r="J1578" s="29">
        <f>IF($B1578="","",IF($J1577="",$C$8,$J1577)+IF($I1578="",0,$I1578)+IF($E1578="",0,$E1578)-IF($H1578="",0,$H1578))</f>
        <v/>
      </c>
      <c r="K1578" s="30">
        <f>IF($M1578&lt;&gt;"",IF(INDEX(CalcNoteA,$M1578)="","—",INDEX(CalcNoteA,$M1578)),IF($N1578&lt;&gt;"",IF(INDEX(CalcNoteB,$N1578)="","—",INDEX(CalcNoteB,$N1578)),""))</f>
        <v/>
      </c>
      <c r="M1578">
        <f>IFERROR(MATCH($C$5&amp;"|"&amp;RIGHT("000000"&amp;1562,6),CalcRankKeyA,0),"")</f>
        <v/>
      </c>
      <c r="N1578">
        <f>IFERROR(MATCH($C$5&amp;"|"&amp;RIGHT("000000"&amp;1562,6),CalcRankKeyB,0),"")</f>
        <v/>
      </c>
    </row>
    <row r="1579">
      <c r="A1579" s="21" t="n">
        <v>1563</v>
      </c>
      <c r="B1579" s="22">
        <f>IF(AND($M1579="",$N1579=""),"",IF($M1579&lt;&gt;"",INDEX(CalcDateA,$M1579),INDEX(CalcDateB,$N1579)))</f>
        <v/>
      </c>
      <c r="C1579" s="22">
        <f>IF($M1579&lt;&gt;"","خرید سبد",IF($N1579&lt;&gt;"",IF(N(INDEX(CalcDepB,$N1579))&gt;0,"دریافت بانکی","پرداخت بانکی"),""))</f>
        <v/>
      </c>
      <c r="D1579" s="22">
        <f>IF($M1579&lt;&gt;"",IF(INDEX(CalcDocA,$M1579)="","—",INDEX(CalcDocA,$M1579)),IF($N1579&lt;&gt;"",INDEX(CalcBankB,$N1579),""))</f>
        <v/>
      </c>
      <c r="E1579" s="23">
        <f>IF($N1579&lt;&gt;"",IF(INDEX(CalcDepB,$N1579)=0,"",INDEX(CalcDepB,$N1579)),"")</f>
        <v/>
      </c>
      <c r="F1579" s="23">
        <f>IF($M1579&lt;&gt;"",IF(INDEX(CalcQtyA,$M1579)=0,"",INDEX(CalcQtyA,$M1579)),"")</f>
        <v/>
      </c>
      <c r="G1579" s="23">
        <f>IF($M1579&lt;&gt;"",IF(INDEX(CalcPriceA,$M1579)=0,"",INDEX(CalcPriceA,$M1579)),"")</f>
        <v/>
      </c>
      <c r="H1579" s="23">
        <f>IF($N1579&lt;&gt;"",IF(INDEX(CalcWitB,$N1579)=0,"",INDEX(CalcWitB,$N1579)),"")</f>
        <v/>
      </c>
      <c r="I1579" s="24">
        <f>IF($M1579&lt;&gt;"",INDEX(CalcAmtA,$M1579),"")</f>
        <v/>
      </c>
      <c r="J1579" s="24">
        <f>IF($B1579="","",IF($J1578="",$C$8,$J1578)+IF($I1579="",0,$I1579)+IF($E1579="",0,$E1579)-IF($H1579="",0,$H1579))</f>
        <v/>
      </c>
      <c r="K1579" s="25">
        <f>IF($M1579&lt;&gt;"",IF(INDEX(CalcNoteA,$M1579)="","—",INDEX(CalcNoteA,$M1579)),IF($N1579&lt;&gt;"",IF(INDEX(CalcNoteB,$N1579)="","—",INDEX(CalcNoteB,$N1579)),""))</f>
        <v/>
      </c>
      <c r="M1579">
        <f>IFERROR(MATCH($C$5&amp;"|"&amp;RIGHT("000000"&amp;1563,6),CalcRankKeyA,0),"")</f>
        <v/>
      </c>
      <c r="N1579">
        <f>IFERROR(MATCH($C$5&amp;"|"&amp;RIGHT("000000"&amp;1563,6),CalcRankKeyB,0),"")</f>
        <v/>
      </c>
    </row>
    <row r="1580">
      <c r="A1580" s="26" t="n">
        <v>1564</v>
      </c>
      <c r="B1580" s="27">
        <f>IF(AND($M1580="",$N1580=""),"",IF($M1580&lt;&gt;"",INDEX(CalcDateA,$M1580),INDEX(CalcDateB,$N1580)))</f>
        <v/>
      </c>
      <c r="C1580" s="27">
        <f>IF($M1580&lt;&gt;"","خرید سبد",IF($N1580&lt;&gt;"",IF(N(INDEX(CalcDepB,$N1580))&gt;0,"دریافت بانکی","پرداخت بانکی"),""))</f>
        <v/>
      </c>
      <c r="D1580" s="27">
        <f>IF($M1580&lt;&gt;"",IF(INDEX(CalcDocA,$M1580)="","—",INDEX(CalcDocA,$M1580)),IF($N1580&lt;&gt;"",INDEX(CalcBankB,$N1580),""))</f>
        <v/>
      </c>
      <c r="E1580" s="28">
        <f>IF($N1580&lt;&gt;"",IF(INDEX(CalcDepB,$N1580)=0,"",INDEX(CalcDepB,$N1580)),"")</f>
        <v/>
      </c>
      <c r="F1580" s="28">
        <f>IF($M1580&lt;&gt;"",IF(INDEX(CalcQtyA,$M1580)=0,"",INDEX(CalcQtyA,$M1580)),"")</f>
        <v/>
      </c>
      <c r="G1580" s="28">
        <f>IF($M1580&lt;&gt;"",IF(INDEX(CalcPriceA,$M1580)=0,"",INDEX(CalcPriceA,$M1580)),"")</f>
        <v/>
      </c>
      <c r="H1580" s="28">
        <f>IF($N1580&lt;&gt;"",IF(INDEX(CalcWitB,$N1580)=0,"",INDEX(CalcWitB,$N1580)),"")</f>
        <v/>
      </c>
      <c r="I1580" s="29">
        <f>IF($M1580&lt;&gt;"",INDEX(CalcAmtA,$M1580),"")</f>
        <v/>
      </c>
      <c r="J1580" s="29">
        <f>IF($B1580="","",IF($J1579="",$C$8,$J1579)+IF($I1580="",0,$I1580)+IF($E1580="",0,$E1580)-IF($H1580="",0,$H1580))</f>
        <v/>
      </c>
      <c r="K1580" s="30">
        <f>IF($M1580&lt;&gt;"",IF(INDEX(CalcNoteA,$M1580)="","—",INDEX(CalcNoteA,$M1580)),IF($N1580&lt;&gt;"",IF(INDEX(CalcNoteB,$N1580)="","—",INDEX(CalcNoteB,$N1580)),""))</f>
        <v/>
      </c>
      <c r="M1580">
        <f>IFERROR(MATCH($C$5&amp;"|"&amp;RIGHT("000000"&amp;1564,6),CalcRankKeyA,0),"")</f>
        <v/>
      </c>
      <c r="N1580">
        <f>IFERROR(MATCH($C$5&amp;"|"&amp;RIGHT("000000"&amp;1564,6),CalcRankKeyB,0),"")</f>
        <v/>
      </c>
    </row>
    <row r="1581">
      <c r="A1581" s="21" t="n">
        <v>1565</v>
      </c>
      <c r="B1581" s="22">
        <f>IF(AND($M1581="",$N1581=""),"",IF($M1581&lt;&gt;"",INDEX(CalcDateA,$M1581),INDEX(CalcDateB,$N1581)))</f>
        <v/>
      </c>
      <c r="C1581" s="22">
        <f>IF($M1581&lt;&gt;"","خرید سبد",IF($N1581&lt;&gt;"",IF(N(INDEX(CalcDepB,$N1581))&gt;0,"دریافت بانکی","پرداخت بانکی"),""))</f>
        <v/>
      </c>
      <c r="D1581" s="22">
        <f>IF($M1581&lt;&gt;"",IF(INDEX(CalcDocA,$M1581)="","—",INDEX(CalcDocA,$M1581)),IF($N1581&lt;&gt;"",INDEX(CalcBankB,$N1581),""))</f>
        <v/>
      </c>
      <c r="E1581" s="23">
        <f>IF($N1581&lt;&gt;"",IF(INDEX(CalcDepB,$N1581)=0,"",INDEX(CalcDepB,$N1581)),"")</f>
        <v/>
      </c>
      <c r="F1581" s="23">
        <f>IF($M1581&lt;&gt;"",IF(INDEX(CalcQtyA,$M1581)=0,"",INDEX(CalcQtyA,$M1581)),"")</f>
        <v/>
      </c>
      <c r="G1581" s="23">
        <f>IF($M1581&lt;&gt;"",IF(INDEX(CalcPriceA,$M1581)=0,"",INDEX(CalcPriceA,$M1581)),"")</f>
        <v/>
      </c>
      <c r="H1581" s="23">
        <f>IF($N1581&lt;&gt;"",IF(INDEX(CalcWitB,$N1581)=0,"",INDEX(CalcWitB,$N1581)),"")</f>
        <v/>
      </c>
      <c r="I1581" s="24">
        <f>IF($M1581&lt;&gt;"",INDEX(CalcAmtA,$M1581),"")</f>
        <v/>
      </c>
      <c r="J1581" s="24">
        <f>IF($B1581="","",IF($J1580="",$C$8,$J1580)+IF($I1581="",0,$I1581)+IF($E1581="",0,$E1581)-IF($H1581="",0,$H1581))</f>
        <v/>
      </c>
      <c r="K1581" s="25">
        <f>IF($M1581&lt;&gt;"",IF(INDEX(CalcNoteA,$M1581)="","—",INDEX(CalcNoteA,$M1581)),IF($N1581&lt;&gt;"",IF(INDEX(CalcNoteB,$N1581)="","—",INDEX(CalcNoteB,$N1581)),""))</f>
        <v/>
      </c>
      <c r="M1581">
        <f>IFERROR(MATCH($C$5&amp;"|"&amp;RIGHT("000000"&amp;1565,6),CalcRankKeyA,0),"")</f>
        <v/>
      </c>
      <c r="N1581">
        <f>IFERROR(MATCH($C$5&amp;"|"&amp;RIGHT("000000"&amp;1565,6),CalcRankKeyB,0),"")</f>
        <v/>
      </c>
    </row>
    <row r="1582">
      <c r="A1582" s="26" t="n">
        <v>1566</v>
      </c>
      <c r="B1582" s="27">
        <f>IF(AND($M1582="",$N1582=""),"",IF($M1582&lt;&gt;"",INDEX(CalcDateA,$M1582),INDEX(CalcDateB,$N1582)))</f>
        <v/>
      </c>
      <c r="C1582" s="27">
        <f>IF($M1582&lt;&gt;"","خرید سبد",IF($N1582&lt;&gt;"",IF(N(INDEX(CalcDepB,$N1582))&gt;0,"دریافت بانکی","پرداخت بانکی"),""))</f>
        <v/>
      </c>
      <c r="D1582" s="27">
        <f>IF($M1582&lt;&gt;"",IF(INDEX(CalcDocA,$M1582)="","—",INDEX(CalcDocA,$M1582)),IF($N1582&lt;&gt;"",INDEX(CalcBankB,$N1582),""))</f>
        <v/>
      </c>
      <c r="E1582" s="28">
        <f>IF($N1582&lt;&gt;"",IF(INDEX(CalcDepB,$N1582)=0,"",INDEX(CalcDepB,$N1582)),"")</f>
        <v/>
      </c>
      <c r="F1582" s="28">
        <f>IF($M1582&lt;&gt;"",IF(INDEX(CalcQtyA,$M1582)=0,"",INDEX(CalcQtyA,$M1582)),"")</f>
        <v/>
      </c>
      <c r="G1582" s="28">
        <f>IF($M1582&lt;&gt;"",IF(INDEX(CalcPriceA,$M1582)=0,"",INDEX(CalcPriceA,$M1582)),"")</f>
        <v/>
      </c>
      <c r="H1582" s="28">
        <f>IF($N1582&lt;&gt;"",IF(INDEX(CalcWitB,$N1582)=0,"",INDEX(CalcWitB,$N1582)),"")</f>
        <v/>
      </c>
      <c r="I1582" s="29">
        <f>IF($M1582&lt;&gt;"",INDEX(CalcAmtA,$M1582),"")</f>
        <v/>
      </c>
      <c r="J1582" s="29">
        <f>IF($B1582="","",IF($J1581="",$C$8,$J1581)+IF($I1582="",0,$I1582)+IF($E1582="",0,$E1582)-IF($H1582="",0,$H1582))</f>
        <v/>
      </c>
      <c r="K1582" s="30">
        <f>IF($M1582&lt;&gt;"",IF(INDEX(CalcNoteA,$M1582)="","—",INDEX(CalcNoteA,$M1582)),IF($N1582&lt;&gt;"",IF(INDEX(CalcNoteB,$N1582)="","—",INDEX(CalcNoteB,$N1582)),""))</f>
        <v/>
      </c>
      <c r="M1582">
        <f>IFERROR(MATCH($C$5&amp;"|"&amp;RIGHT("000000"&amp;1566,6),CalcRankKeyA,0),"")</f>
        <v/>
      </c>
      <c r="N1582">
        <f>IFERROR(MATCH($C$5&amp;"|"&amp;RIGHT("000000"&amp;1566,6),CalcRankKeyB,0),"")</f>
        <v/>
      </c>
    </row>
    <row r="1583">
      <c r="A1583" s="21" t="n">
        <v>1567</v>
      </c>
      <c r="B1583" s="22">
        <f>IF(AND($M1583="",$N1583=""),"",IF($M1583&lt;&gt;"",INDEX(CalcDateA,$M1583),INDEX(CalcDateB,$N1583)))</f>
        <v/>
      </c>
      <c r="C1583" s="22">
        <f>IF($M1583&lt;&gt;"","خرید سبد",IF($N1583&lt;&gt;"",IF(N(INDEX(CalcDepB,$N1583))&gt;0,"دریافت بانکی","پرداخت بانکی"),""))</f>
        <v/>
      </c>
      <c r="D1583" s="22">
        <f>IF($M1583&lt;&gt;"",IF(INDEX(CalcDocA,$M1583)="","—",INDEX(CalcDocA,$M1583)),IF($N1583&lt;&gt;"",INDEX(CalcBankB,$N1583),""))</f>
        <v/>
      </c>
      <c r="E1583" s="23">
        <f>IF($N1583&lt;&gt;"",IF(INDEX(CalcDepB,$N1583)=0,"",INDEX(CalcDepB,$N1583)),"")</f>
        <v/>
      </c>
      <c r="F1583" s="23">
        <f>IF($M1583&lt;&gt;"",IF(INDEX(CalcQtyA,$M1583)=0,"",INDEX(CalcQtyA,$M1583)),"")</f>
        <v/>
      </c>
      <c r="G1583" s="23">
        <f>IF($M1583&lt;&gt;"",IF(INDEX(CalcPriceA,$M1583)=0,"",INDEX(CalcPriceA,$M1583)),"")</f>
        <v/>
      </c>
      <c r="H1583" s="23">
        <f>IF($N1583&lt;&gt;"",IF(INDEX(CalcWitB,$N1583)=0,"",INDEX(CalcWitB,$N1583)),"")</f>
        <v/>
      </c>
      <c r="I1583" s="24">
        <f>IF($M1583&lt;&gt;"",INDEX(CalcAmtA,$M1583),"")</f>
        <v/>
      </c>
      <c r="J1583" s="24">
        <f>IF($B1583="","",IF($J1582="",$C$8,$J1582)+IF($I1583="",0,$I1583)+IF($E1583="",0,$E1583)-IF($H1583="",0,$H1583))</f>
        <v/>
      </c>
      <c r="K1583" s="25">
        <f>IF($M1583&lt;&gt;"",IF(INDEX(CalcNoteA,$M1583)="","—",INDEX(CalcNoteA,$M1583)),IF($N1583&lt;&gt;"",IF(INDEX(CalcNoteB,$N1583)="","—",INDEX(CalcNoteB,$N1583)),""))</f>
        <v/>
      </c>
      <c r="M1583">
        <f>IFERROR(MATCH($C$5&amp;"|"&amp;RIGHT("000000"&amp;1567,6),CalcRankKeyA,0),"")</f>
        <v/>
      </c>
      <c r="N1583">
        <f>IFERROR(MATCH($C$5&amp;"|"&amp;RIGHT("000000"&amp;1567,6),CalcRankKeyB,0),"")</f>
        <v/>
      </c>
    </row>
    <row r="1584">
      <c r="A1584" s="26" t="n">
        <v>1568</v>
      </c>
      <c r="B1584" s="27">
        <f>IF(AND($M1584="",$N1584=""),"",IF($M1584&lt;&gt;"",INDEX(CalcDateA,$M1584),INDEX(CalcDateB,$N1584)))</f>
        <v/>
      </c>
      <c r="C1584" s="27">
        <f>IF($M1584&lt;&gt;"","خرید سبد",IF($N1584&lt;&gt;"",IF(N(INDEX(CalcDepB,$N1584))&gt;0,"دریافت بانکی","پرداخت بانکی"),""))</f>
        <v/>
      </c>
      <c r="D1584" s="27">
        <f>IF($M1584&lt;&gt;"",IF(INDEX(CalcDocA,$M1584)="","—",INDEX(CalcDocA,$M1584)),IF($N1584&lt;&gt;"",INDEX(CalcBankB,$N1584),""))</f>
        <v/>
      </c>
      <c r="E1584" s="28">
        <f>IF($N1584&lt;&gt;"",IF(INDEX(CalcDepB,$N1584)=0,"",INDEX(CalcDepB,$N1584)),"")</f>
        <v/>
      </c>
      <c r="F1584" s="28">
        <f>IF($M1584&lt;&gt;"",IF(INDEX(CalcQtyA,$M1584)=0,"",INDEX(CalcQtyA,$M1584)),"")</f>
        <v/>
      </c>
      <c r="G1584" s="28">
        <f>IF($M1584&lt;&gt;"",IF(INDEX(CalcPriceA,$M1584)=0,"",INDEX(CalcPriceA,$M1584)),"")</f>
        <v/>
      </c>
      <c r="H1584" s="28">
        <f>IF($N1584&lt;&gt;"",IF(INDEX(CalcWitB,$N1584)=0,"",INDEX(CalcWitB,$N1584)),"")</f>
        <v/>
      </c>
      <c r="I1584" s="29">
        <f>IF($M1584&lt;&gt;"",INDEX(CalcAmtA,$M1584),"")</f>
        <v/>
      </c>
      <c r="J1584" s="29">
        <f>IF($B1584="","",IF($J1583="",$C$8,$J1583)+IF($I1584="",0,$I1584)+IF($E1584="",0,$E1584)-IF($H1584="",0,$H1584))</f>
        <v/>
      </c>
      <c r="K1584" s="30">
        <f>IF($M1584&lt;&gt;"",IF(INDEX(CalcNoteA,$M1584)="","—",INDEX(CalcNoteA,$M1584)),IF($N1584&lt;&gt;"",IF(INDEX(CalcNoteB,$N1584)="","—",INDEX(CalcNoteB,$N1584)),""))</f>
        <v/>
      </c>
      <c r="M1584">
        <f>IFERROR(MATCH($C$5&amp;"|"&amp;RIGHT("000000"&amp;1568,6),CalcRankKeyA,0),"")</f>
        <v/>
      </c>
      <c r="N1584">
        <f>IFERROR(MATCH($C$5&amp;"|"&amp;RIGHT("000000"&amp;1568,6),CalcRankKeyB,0),"")</f>
        <v/>
      </c>
    </row>
    <row r="1585">
      <c r="A1585" s="21" t="n">
        <v>1569</v>
      </c>
      <c r="B1585" s="22">
        <f>IF(AND($M1585="",$N1585=""),"",IF($M1585&lt;&gt;"",INDEX(CalcDateA,$M1585),INDEX(CalcDateB,$N1585)))</f>
        <v/>
      </c>
      <c r="C1585" s="22">
        <f>IF($M1585&lt;&gt;"","خرید سبد",IF($N1585&lt;&gt;"",IF(N(INDEX(CalcDepB,$N1585))&gt;0,"دریافت بانکی","پرداخت بانکی"),""))</f>
        <v/>
      </c>
      <c r="D1585" s="22">
        <f>IF($M1585&lt;&gt;"",IF(INDEX(CalcDocA,$M1585)="","—",INDEX(CalcDocA,$M1585)),IF($N1585&lt;&gt;"",INDEX(CalcBankB,$N1585),""))</f>
        <v/>
      </c>
      <c r="E1585" s="23">
        <f>IF($N1585&lt;&gt;"",IF(INDEX(CalcDepB,$N1585)=0,"",INDEX(CalcDepB,$N1585)),"")</f>
        <v/>
      </c>
      <c r="F1585" s="23">
        <f>IF($M1585&lt;&gt;"",IF(INDEX(CalcQtyA,$M1585)=0,"",INDEX(CalcQtyA,$M1585)),"")</f>
        <v/>
      </c>
      <c r="G1585" s="23">
        <f>IF($M1585&lt;&gt;"",IF(INDEX(CalcPriceA,$M1585)=0,"",INDEX(CalcPriceA,$M1585)),"")</f>
        <v/>
      </c>
      <c r="H1585" s="23">
        <f>IF($N1585&lt;&gt;"",IF(INDEX(CalcWitB,$N1585)=0,"",INDEX(CalcWitB,$N1585)),"")</f>
        <v/>
      </c>
      <c r="I1585" s="24">
        <f>IF($M1585&lt;&gt;"",INDEX(CalcAmtA,$M1585),"")</f>
        <v/>
      </c>
      <c r="J1585" s="24">
        <f>IF($B1585="","",IF($J1584="",$C$8,$J1584)+IF($I1585="",0,$I1585)+IF($E1585="",0,$E1585)-IF($H1585="",0,$H1585))</f>
        <v/>
      </c>
      <c r="K1585" s="25">
        <f>IF($M1585&lt;&gt;"",IF(INDEX(CalcNoteA,$M1585)="","—",INDEX(CalcNoteA,$M1585)),IF($N1585&lt;&gt;"",IF(INDEX(CalcNoteB,$N1585)="","—",INDEX(CalcNoteB,$N1585)),""))</f>
        <v/>
      </c>
      <c r="M1585">
        <f>IFERROR(MATCH($C$5&amp;"|"&amp;RIGHT("000000"&amp;1569,6),CalcRankKeyA,0),"")</f>
        <v/>
      </c>
      <c r="N1585">
        <f>IFERROR(MATCH($C$5&amp;"|"&amp;RIGHT("000000"&amp;1569,6),CalcRankKeyB,0),"")</f>
        <v/>
      </c>
    </row>
    <row r="1586">
      <c r="A1586" s="26" t="n">
        <v>1570</v>
      </c>
      <c r="B1586" s="27">
        <f>IF(AND($M1586="",$N1586=""),"",IF($M1586&lt;&gt;"",INDEX(CalcDateA,$M1586),INDEX(CalcDateB,$N1586)))</f>
        <v/>
      </c>
      <c r="C1586" s="27">
        <f>IF($M1586&lt;&gt;"","خرید سبد",IF($N1586&lt;&gt;"",IF(N(INDEX(CalcDepB,$N1586))&gt;0,"دریافت بانکی","پرداخت بانکی"),""))</f>
        <v/>
      </c>
      <c r="D1586" s="27">
        <f>IF($M1586&lt;&gt;"",IF(INDEX(CalcDocA,$M1586)="","—",INDEX(CalcDocA,$M1586)),IF($N1586&lt;&gt;"",INDEX(CalcBankB,$N1586),""))</f>
        <v/>
      </c>
      <c r="E1586" s="28">
        <f>IF($N1586&lt;&gt;"",IF(INDEX(CalcDepB,$N1586)=0,"",INDEX(CalcDepB,$N1586)),"")</f>
        <v/>
      </c>
      <c r="F1586" s="28">
        <f>IF($M1586&lt;&gt;"",IF(INDEX(CalcQtyA,$M1586)=0,"",INDEX(CalcQtyA,$M1586)),"")</f>
        <v/>
      </c>
      <c r="G1586" s="28">
        <f>IF($M1586&lt;&gt;"",IF(INDEX(CalcPriceA,$M1586)=0,"",INDEX(CalcPriceA,$M1586)),"")</f>
        <v/>
      </c>
      <c r="H1586" s="28">
        <f>IF($N1586&lt;&gt;"",IF(INDEX(CalcWitB,$N1586)=0,"",INDEX(CalcWitB,$N1586)),"")</f>
        <v/>
      </c>
      <c r="I1586" s="29">
        <f>IF($M1586&lt;&gt;"",INDEX(CalcAmtA,$M1586),"")</f>
        <v/>
      </c>
      <c r="J1586" s="29">
        <f>IF($B1586="","",IF($J1585="",$C$8,$J1585)+IF($I1586="",0,$I1586)+IF($E1586="",0,$E1586)-IF($H1586="",0,$H1586))</f>
        <v/>
      </c>
      <c r="K1586" s="30">
        <f>IF($M1586&lt;&gt;"",IF(INDEX(CalcNoteA,$M1586)="","—",INDEX(CalcNoteA,$M1586)),IF($N1586&lt;&gt;"",IF(INDEX(CalcNoteB,$N1586)="","—",INDEX(CalcNoteB,$N1586)),""))</f>
        <v/>
      </c>
      <c r="M1586">
        <f>IFERROR(MATCH($C$5&amp;"|"&amp;RIGHT("000000"&amp;1570,6),CalcRankKeyA,0),"")</f>
        <v/>
      </c>
      <c r="N1586">
        <f>IFERROR(MATCH($C$5&amp;"|"&amp;RIGHT("000000"&amp;1570,6),CalcRankKeyB,0),"")</f>
        <v/>
      </c>
    </row>
    <row r="1587">
      <c r="A1587" s="21" t="n">
        <v>1571</v>
      </c>
      <c r="B1587" s="22">
        <f>IF(AND($M1587="",$N1587=""),"",IF($M1587&lt;&gt;"",INDEX(CalcDateA,$M1587),INDEX(CalcDateB,$N1587)))</f>
        <v/>
      </c>
      <c r="C1587" s="22">
        <f>IF($M1587&lt;&gt;"","خرید سبد",IF($N1587&lt;&gt;"",IF(N(INDEX(CalcDepB,$N1587))&gt;0,"دریافت بانکی","پرداخت بانکی"),""))</f>
        <v/>
      </c>
      <c r="D1587" s="22">
        <f>IF($M1587&lt;&gt;"",IF(INDEX(CalcDocA,$M1587)="","—",INDEX(CalcDocA,$M1587)),IF($N1587&lt;&gt;"",INDEX(CalcBankB,$N1587),""))</f>
        <v/>
      </c>
      <c r="E1587" s="23">
        <f>IF($N1587&lt;&gt;"",IF(INDEX(CalcDepB,$N1587)=0,"",INDEX(CalcDepB,$N1587)),"")</f>
        <v/>
      </c>
      <c r="F1587" s="23">
        <f>IF($M1587&lt;&gt;"",IF(INDEX(CalcQtyA,$M1587)=0,"",INDEX(CalcQtyA,$M1587)),"")</f>
        <v/>
      </c>
      <c r="G1587" s="23">
        <f>IF($M1587&lt;&gt;"",IF(INDEX(CalcPriceA,$M1587)=0,"",INDEX(CalcPriceA,$M1587)),"")</f>
        <v/>
      </c>
      <c r="H1587" s="23">
        <f>IF($N1587&lt;&gt;"",IF(INDEX(CalcWitB,$N1587)=0,"",INDEX(CalcWitB,$N1587)),"")</f>
        <v/>
      </c>
      <c r="I1587" s="24">
        <f>IF($M1587&lt;&gt;"",INDEX(CalcAmtA,$M1587),"")</f>
        <v/>
      </c>
      <c r="J1587" s="24">
        <f>IF($B1587="","",IF($J1586="",$C$8,$J1586)+IF($I1587="",0,$I1587)+IF($E1587="",0,$E1587)-IF($H1587="",0,$H1587))</f>
        <v/>
      </c>
      <c r="K1587" s="25">
        <f>IF($M1587&lt;&gt;"",IF(INDEX(CalcNoteA,$M1587)="","—",INDEX(CalcNoteA,$M1587)),IF($N1587&lt;&gt;"",IF(INDEX(CalcNoteB,$N1587)="","—",INDEX(CalcNoteB,$N1587)),""))</f>
        <v/>
      </c>
      <c r="M1587">
        <f>IFERROR(MATCH($C$5&amp;"|"&amp;RIGHT("000000"&amp;1571,6),CalcRankKeyA,0),"")</f>
        <v/>
      </c>
      <c r="N1587">
        <f>IFERROR(MATCH($C$5&amp;"|"&amp;RIGHT("000000"&amp;1571,6),CalcRankKeyB,0),"")</f>
        <v/>
      </c>
    </row>
    <row r="1588">
      <c r="A1588" s="26" t="n">
        <v>1572</v>
      </c>
      <c r="B1588" s="27">
        <f>IF(AND($M1588="",$N1588=""),"",IF($M1588&lt;&gt;"",INDEX(CalcDateA,$M1588),INDEX(CalcDateB,$N1588)))</f>
        <v/>
      </c>
      <c r="C1588" s="27">
        <f>IF($M1588&lt;&gt;"","خرید سبد",IF($N1588&lt;&gt;"",IF(N(INDEX(CalcDepB,$N1588))&gt;0,"دریافت بانکی","پرداخت بانکی"),""))</f>
        <v/>
      </c>
      <c r="D1588" s="27">
        <f>IF($M1588&lt;&gt;"",IF(INDEX(CalcDocA,$M1588)="","—",INDEX(CalcDocA,$M1588)),IF($N1588&lt;&gt;"",INDEX(CalcBankB,$N1588),""))</f>
        <v/>
      </c>
      <c r="E1588" s="28">
        <f>IF($N1588&lt;&gt;"",IF(INDEX(CalcDepB,$N1588)=0,"",INDEX(CalcDepB,$N1588)),"")</f>
        <v/>
      </c>
      <c r="F1588" s="28">
        <f>IF($M1588&lt;&gt;"",IF(INDEX(CalcQtyA,$M1588)=0,"",INDEX(CalcQtyA,$M1588)),"")</f>
        <v/>
      </c>
      <c r="G1588" s="28">
        <f>IF($M1588&lt;&gt;"",IF(INDEX(CalcPriceA,$M1588)=0,"",INDEX(CalcPriceA,$M1588)),"")</f>
        <v/>
      </c>
      <c r="H1588" s="28">
        <f>IF($N1588&lt;&gt;"",IF(INDEX(CalcWitB,$N1588)=0,"",INDEX(CalcWitB,$N1588)),"")</f>
        <v/>
      </c>
      <c r="I1588" s="29">
        <f>IF($M1588&lt;&gt;"",INDEX(CalcAmtA,$M1588),"")</f>
        <v/>
      </c>
      <c r="J1588" s="29">
        <f>IF($B1588="","",IF($J1587="",$C$8,$J1587)+IF($I1588="",0,$I1588)+IF($E1588="",0,$E1588)-IF($H1588="",0,$H1588))</f>
        <v/>
      </c>
      <c r="K1588" s="30">
        <f>IF($M1588&lt;&gt;"",IF(INDEX(CalcNoteA,$M1588)="","—",INDEX(CalcNoteA,$M1588)),IF($N1588&lt;&gt;"",IF(INDEX(CalcNoteB,$N1588)="","—",INDEX(CalcNoteB,$N1588)),""))</f>
        <v/>
      </c>
      <c r="M1588">
        <f>IFERROR(MATCH($C$5&amp;"|"&amp;RIGHT("000000"&amp;1572,6),CalcRankKeyA,0),"")</f>
        <v/>
      </c>
      <c r="N1588">
        <f>IFERROR(MATCH($C$5&amp;"|"&amp;RIGHT("000000"&amp;1572,6),CalcRankKeyB,0),"")</f>
        <v/>
      </c>
    </row>
    <row r="1589">
      <c r="A1589" s="21" t="n">
        <v>1573</v>
      </c>
      <c r="B1589" s="22">
        <f>IF(AND($M1589="",$N1589=""),"",IF($M1589&lt;&gt;"",INDEX(CalcDateA,$M1589),INDEX(CalcDateB,$N1589)))</f>
        <v/>
      </c>
      <c r="C1589" s="22">
        <f>IF($M1589&lt;&gt;"","خرید سبد",IF($N1589&lt;&gt;"",IF(N(INDEX(CalcDepB,$N1589))&gt;0,"دریافت بانکی","پرداخت بانکی"),""))</f>
        <v/>
      </c>
      <c r="D1589" s="22">
        <f>IF($M1589&lt;&gt;"",IF(INDEX(CalcDocA,$M1589)="","—",INDEX(CalcDocA,$M1589)),IF($N1589&lt;&gt;"",INDEX(CalcBankB,$N1589),""))</f>
        <v/>
      </c>
      <c r="E1589" s="23">
        <f>IF($N1589&lt;&gt;"",IF(INDEX(CalcDepB,$N1589)=0,"",INDEX(CalcDepB,$N1589)),"")</f>
        <v/>
      </c>
      <c r="F1589" s="23">
        <f>IF($M1589&lt;&gt;"",IF(INDEX(CalcQtyA,$M1589)=0,"",INDEX(CalcQtyA,$M1589)),"")</f>
        <v/>
      </c>
      <c r="G1589" s="23">
        <f>IF($M1589&lt;&gt;"",IF(INDEX(CalcPriceA,$M1589)=0,"",INDEX(CalcPriceA,$M1589)),"")</f>
        <v/>
      </c>
      <c r="H1589" s="23">
        <f>IF($N1589&lt;&gt;"",IF(INDEX(CalcWitB,$N1589)=0,"",INDEX(CalcWitB,$N1589)),"")</f>
        <v/>
      </c>
      <c r="I1589" s="24">
        <f>IF($M1589&lt;&gt;"",INDEX(CalcAmtA,$M1589),"")</f>
        <v/>
      </c>
      <c r="J1589" s="24">
        <f>IF($B1589="","",IF($J1588="",$C$8,$J1588)+IF($I1589="",0,$I1589)+IF($E1589="",0,$E1589)-IF($H1589="",0,$H1589))</f>
        <v/>
      </c>
      <c r="K1589" s="25">
        <f>IF($M1589&lt;&gt;"",IF(INDEX(CalcNoteA,$M1589)="","—",INDEX(CalcNoteA,$M1589)),IF($N1589&lt;&gt;"",IF(INDEX(CalcNoteB,$N1589)="","—",INDEX(CalcNoteB,$N1589)),""))</f>
        <v/>
      </c>
      <c r="M1589">
        <f>IFERROR(MATCH($C$5&amp;"|"&amp;RIGHT("000000"&amp;1573,6),CalcRankKeyA,0),"")</f>
        <v/>
      </c>
      <c r="N1589">
        <f>IFERROR(MATCH($C$5&amp;"|"&amp;RIGHT("000000"&amp;1573,6),CalcRankKeyB,0),"")</f>
        <v/>
      </c>
    </row>
    <row r="1590">
      <c r="A1590" s="26" t="n">
        <v>1574</v>
      </c>
      <c r="B1590" s="27">
        <f>IF(AND($M1590="",$N1590=""),"",IF($M1590&lt;&gt;"",INDEX(CalcDateA,$M1590),INDEX(CalcDateB,$N1590)))</f>
        <v/>
      </c>
      <c r="C1590" s="27">
        <f>IF($M1590&lt;&gt;"","خرید سبد",IF($N1590&lt;&gt;"",IF(N(INDEX(CalcDepB,$N1590))&gt;0,"دریافت بانکی","پرداخت بانکی"),""))</f>
        <v/>
      </c>
      <c r="D1590" s="27">
        <f>IF($M1590&lt;&gt;"",IF(INDEX(CalcDocA,$M1590)="","—",INDEX(CalcDocA,$M1590)),IF($N1590&lt;&gt;"",INDEX(CalcBankB,$N1590),""))</f>
        <v/>
      </c>
      <c r="E1590" s="28">
        <f>IF($N1590&lt;&gt;"",IF(INDEX(CalcDepB,$N1590)=0,"",INDEX(CalcDepB,$N1590)),"")</f>
        <v/>
      </c>
      <c r="F1590" s="28">
        <f>IF($M1590&lt;&gt;"",IF(INDEX(CalcQtyA,$M1590)=0,"",INDEX(CalcQtyA,$M1590)),"")</f>
        <v/>
      </c>
      <c r="G1590" s="28">
        <f>IF($M1590&lt;&gt;"",IF(INDEX(CalcPriceA,$M1590)=0,"",INDEX(CalcPriceA,$M1590)),"")</f>
        <v/>
      </c>
      <c r="H1590" s="28">
        <f>IF($N1590&lt;&gt;"",IF(INDEX(CalcWitB,$N1590)=0,"",INDEX(CalcWitB,$N1590)),"")</f>
        <v/>
      </c>
      <c r="I1590" s="29">
        <f>IF($M1590&lt;&gt;"",INDEX(CalcAmtA,$M1590),"")</f>
        <v/>
      </c>
      <c r="J1590" s="29">
        <f>IF($B1590="","",IF($J1589="",$C$8,$J1589)+IF($I1590="",0,$I1590)+IF($E1590="",0,$E1590)-IF($H1590="",0,$H1590))</f>
        <v/>
      </c>
      <c r="K1590" s="30">
        <f>IF($M1590&lt;&gt;"",IF(INDEX(CalcNoteA,$M1590)="","—",INDEX(CalcNoteA,$M1590)),IF($N1590&lt;&gt;"",IF(INDEX(CalcNoteB,$N1590)="","—",INDEX(CalcNoteB,$N1590)),""))</f>
        <v/>
      </c>
      <c r="M1590">
        <f>IFERROR(MATCH($C$5&amp;"|"&amp;RIGHT("000000"&amp;1574,6),CalcRankKeyA,0),"")</f>
        <v/>
      </c>
      <c r="N1590">
        <f>IFERROR(MATCH($C$5&amp;"|"&amp;RIGHT("000000"&amp;1574,6),CalcRankKeyB,0),"")</f>
        <v/>
      </c>
    </row>
    <row r="1591">
      <c r="A1591" s="21" t="n">
        <v>1575</v>
      </c>
      <c r="B1591" s="22">
        <f>IF(AND($M1591="",$N1591=""),"",IF($M1591&lt;&gt;"",INDEX(CalcDateA,$M1591),INDEX(CalcDateB,$N1591)))</f>
        <v/>
      </c>
      <c r="C1591" s="22">
        <f>IF($M1591&lt;&gt;"","خرید سبد",IF($N1591&lt;&gt;"",IF(N(INDEX(CalcDepB,$N1591))&gt;0,"دریافت بانکی","پرداخت بانکی"),""))</f>
        <v/>
      </c>
      <c r="D1591" s="22">
        <f>IF($M1591&lt;&gt;"",IF(INDEX(CalcDocA,$M1591)="","—",INDEX(CalcDocA,$M1591)),IF($N1591&lt;&gt;"",INDEX(CalcBankB,$N1591),""))</f>
        <v/>
      </c>
      <c r="E1591" s="23">
        <f>IF($N1591&lt;&gt;"",IF(INDEX(CalcDepB,$N1591)=0,"",INDEX(CalcDepB,$N1591)),"")</f>
        <v/>
      </c>
      <c r="F1591" s="23">
        <f>IF($M1591&lt;&gt;"",IF(INDEX(CalcQtyA,$M1591)=0,"",INDEX(CalcQtyA,$M1591)),"")</f>
        <v/>
      </c>
      <c r="G1591" s="23">
        <f>IF($M1591&lt;&gt;"",IF(INDEX(CalcPriceA,$M1591)=0,"",INDEX(CalcPriceA,$M1591)),"")</f>
        <v/>
      </c>
      <c r="H1591" s="23">
        <f>IF($N1591&lt;&gt;"",IF(INDEX(CalcWitB,$N1591)=0,"",INDEX(CalcWitB,$N1591)),"")</f>
        <v/>
      </c>
      <c r="I1591" s="24">
        <f>IF($M1591&lt;&gt;"",INDEX(CalcAmtA,$M1591),"")</f>
        <v/>
      </c>
      <c r="J1591" s="24">
        <f>IF($B1591="","",IF($J1590="",$C$8,$J1590)+IF($I1591="",0,$I1591)+IF($E1591="",0,$E1591)-IF($H1591="",0,$H1591))</f>
        <v/>
      </c>
      <c r="K1591" s="25">
        <f>IF($M1591&lt;&gt;"",IF(INDEX(CalcNoteA,$M1591)="","—",INDEX(CalcNoteA,$M1591)),IF($N1591&lt;&gt;"",IF(INDEX(CalcNoteB,$N1591)="","—",INDEX(CalcNoteB,$N1591)),""))</f>
        <v/>
      </c>
      <c r="M1591">
        <f>IFERROR(MATCH($C$5&amp;"|"&amp;RIGHT("000000"&amp;1575,6),CalcRankKeyA,0),"")</f>
        <v/>
      </c>
      <c r="N1591">
        <f>IFERROR(MATCH($C$5&amp;"|"&amp;RIGHT("000000"&amp;1575,6),CalcRankKeyB,0),"")</f>
        <v/>
      </c>
    </row>
    <row r="1592">
      <c r="A1592" s="26" t="n">
        <v>1576</v>
      </c>
      <c r="B1592" s="27">
        <f>IF(AND($M1592="",$N1592=""),"",IF($M1592&lt;&gt;"",INDEX(CalcDateA,$M1592),INDEX(CalcDateB,$N1592)))</f>
        <v/>
      </c>
      <c r="C1592" s="27">
        <f>IF($M1592&lt;&gt;"","خرید سبد",IF($N1592&lt;&gt;"",IF(N(INDEX(CalcDepB,$N1592))&gt;0,"دریافت بانکی","پرداخت بانکی"),""))</f>
        <v/>
      </c>
      <c r="D1592" s="27">
        <f>IF($M1592&lt;&gt;"",IF(INDEX(CalcDocA,$M1592)="","—",INDEX(CalcDocA,$M1592)),IF($N1592&lt;&gt;"",INDEX(CalcBankB,$N1592),""))</f>
        <v/>
      </c>
      <c r="E1592" s="28">
        <f>IF($N1592&lt;&gt;"",IF(INDEX(CalcDepB,$N1592)=0,"",INDEX(CalcDepB,$N1592)),"")</f>
        <v/>
      </c>
      <c r="F1592" s="28">
        <f>IF($M1592&lt;&gt;"",IF(INDEX(CalcQtyA,$M1592)=0,"",INDEX(CalcQtyA,$M1592)),"")</f>
        <v/>
      </c>
      <c r="G1592" s="28">
        <f>IF($M1592&lt;&gt;"",IF(INDEX(CalcPriceA,$M1592)=0,"",INDEX(CalcPriceA,$M1592)),"")</f>
        <v/>
      </c>
      <c r="H1592" s="28">
        <f>IF($N1592&lt;&gt;"",IF(INDEX(CalcWitB,$N1592)=0,"",INDEX(CalcWitB,$N1592)),"")</f>
        <v/>
      </c>
      <c r="I1592" s="29">
        <f>IF($M1592&lt;&gt;"",INDEX(CalcAmtA,$M1592),"")</f>
        <v/>
      </c>
      <c r="J1592" s="29">
        <f>IF($B1592="","",IF($J1591="",$C$8,$J1591)+IF($I1592="",0,$I1592)+IF($E1592="",0,$E1592)-IF($H1592="",0,$H1592))</f>
        <v/>
      </c>
      <c r="K1592" s="30">
        <f>IF($M1592&lt;&gt;"",IF(INDEX(CalcNoteA,$M1592)="","—",INDEX(CalcNoteA,$M1592)),IF($N1592&lt;&gt;"",IF(INDEX(CalcNoteB,$N1592)="","—",INDEX(CalcNoteB,$N1592)),""))</f>
        <v/>
      </c>
      <c r="M1592">
        <f>IFERROR(MATCH($C$5&amp;"|"&amp;RIGHT("000000"&amp;1576,6),CalcRankKeyA,0),"")</f>
        <v/>
      </c>
      <c r="N1592">
        <f>IFERROR(MATCH($C$5&amp;"|"&amp;RIGHT("000000"&amp;1576,6),CalcRankKeyB,0),"")</f>
        <v/>
      </c>
    </row>
    <row r="1593">
      <c r="A1593" s="21" t="n">
        <v>1577</v>
      </c>
      <c r="B1593" s="22">
        <f>IF(AND($M1593="",$N1593=""),"",IF($M1593&lt;&gt;"",INDEX(CalcDateA,$M1593),INDEX(CalcDateB,$N1593)))</f>
        <v/>
      </c>
      <c r="C1593" s="22">
        <f>IF($M1593&lt;&gt;"","خرید سبد",IF($N1593&lt;&gt;"",IF(N(INDEX(CalcDepB,$N1593))&gt;0,"دریافت بانکی","پرداخت بانکی"),""))</f>
        <v/>
      </c>
      <c r="D1593" s="22">
        <f>IF($M1593&lt;&gt;"",IF(INDEX(CalcDocA,$M1593)="","—",INDEX(CalcDocA,$M1593)),IF($N1593&lt;&gt;"",INDEX(CalcBankB,$N1593),""))</f>
        <v/>
      </c>
      <c r="E1593" s="23">
        <f>IF($N1593&lt;&gt;"",IF(INDEX(CalcDepB,$N1593)=0,"",INDEX(CalcDepB,$N1593)),"")</f>
        <v/>
      </c>
      <c r="F1593" s="23">
        <f>IF($M1593&lt;&gt;"",IF(INDEX(CalcQtyA,$M1593)=0,"",INDEX(CalcQtyA,$M1593)),"")</f>
        <v/>
      </c>
      <c r="G1593" s="23">
        <f>IF($M1593&lt;&gt;"",IF(INDEX(CalcPriceA,$M1593)=0,"",INDEX(CalcPriceA,$M1593)),"")</f>
        <v/>
      </c>
      <c r="H1593" s="23">
        <f>IF($N1593&lt;&gt;"",IF(INDEX(CalcWitB,$N1593)=0,"",INDEX(CalcWitB,$N1593)),"")</f>
        <v/>
      </c>
      <c r="I1593" s="24">
        <f>IF($M1593&lt;&gt;"",INDEX(CalcAmtA,$M1593),"")</f>
        <v/>
      </c>
      <c r="J1593" s="24">
        <f>IF($B1593="","",IF($J1592="",$C$8,$J1592)+IF($I1593="",0,$I1593)+IF($E1593="",0,$E1593)-IF($H1593="",0,$H1593))</f>
        <v/>
      </c>
      <c r="K1593" s="25">
        <f>IF($M1593&lt;&gt;"",IF(INDEX(CalcNoteA,$M1593)="","—",INDEX(CalcNoteA,$M1593)),IF($N1593&lt;&gt;"",IF(INDEX(CalcNoteB,$N1593)="","—",INDEX(CalcNoteB,$N1593)),""))</f>
        <v/>
      </c>
      <c r="M1593">
        <f>IFERROR(MATCH($C$5&amp;"|"&amp;RIGHT("000000"&amp;1577,6),CalcRankKeyA,0),"")</f>
        <v/>
      </c>
      <c r="N1593">
        <f>IFERROR(MATCH($C$5&amp;"|"&amp;RIGHT("000000"&amp;1577,6),CalcRankKeyB,0),"")</f>
        <v/>
      </c>
    </row>
    <row r="1594">
      <c r="A1594" s="26" t="n">
        <v>1578</v>
      </c>
      <c r="B1594" s="27">
        <f>IF(AND($M1594="",$N1594=""),"",IF($M1594&lt;&gt;"",INDEX(CalcDateA,$M1594),INDEX(CalcDateB,$N1594)))</f>
        <v/>
      </c>
      <c r="C1594" s="27">
        <f>IF($M1594&lt;&gt;"","خرید سبد",IF($N1594&lt;&gt;"",IF(N(INDEX(CalcDepB,$N1594))&gt;0,"دریافت بانکی","پرداخت بانکی"),""))</f>
        <v/>
      </c>
      <c r="D1594" s="27">
        <f>IF($M1594&lt;&gt;"",IF(INDEX(CalcDocA,$M1594)="","—",INDEX(CalcDocA,$M1594)),IF($N1594&lt;&gt;"",INDEX(CalcBankB,$N1594),""))</f>
        <v/>
      </c>
      <c r="E1594" s="28">
        <f>IF($N1594&lt;&gt;"",IF(INDEX(CalcDepB,$N1594)=0,"",INDEX(CalcDepB,$N1594)),"")</f>
        <v/>
      </c>
      <c r="F1594" s="28">
        <f>IF($M1594&lt;&gt;"",IF(INDEX(CalcQtyA,$M1594)=0,"",INDEX(CalcQtyA,$M1594)),"")</f>
        <v/>
      </c>
      <c r="G1594" s="28">
        <f>IF($M1594&lt;&gt;"",IF(INDEX(CalcPriceA,$M1594)=0,"",INDEX(CalcPriceA,$M1594)),"")</f>
        <v/>
      </c>
      <c r="H1594" s="28">
        <f>IF($N1594&lt;&gt;"",IF(INDEX(CalcWitB,$N1594)=0,"",INDEX(CalcWitB,$N1594)),"")</f>
        <v/>
      </c>
      <c r="I1594" s="29">
        <f>IF($M1594&lt;&gt;"",INDEX(CalcAmtA,$M1594),"")</f>
        <v/>
      </c>
      <c r="J1594" s="29">
        <f>IF($B1594="","",IF($J1593="",$C$8,$J1593)+IF($I1594="",0,$I1594)+IF($E1594="",0,$E1594)-IF($H1594="",0,$H1594))</f>
        <v/>
      </c>
      <c r="K1594" s="30">
        <f>IF($M1594&lt;&gt;"",IF(INDEX(CalcNoteA,$M1594)="","—",INDEX(CalcNoteA,$M1594)),IF($N1594&lt;&gt;"",IF(INDEX(CalcNoteB,$N1594)="","—",INDEX(CalcNoteB,$N1594)),""))</f>
        <v/>
      </c>
      <c r="M1594">
        <f>IFERROR(MATCH($C$5&amp;"|"&amp;RIGHT("000000"&amp;1578,6),CalcRankKeyA,0),"")</f>
        <v/>
      </c>
      <c r="N1594">
        <f>IFERROR(MATCH($C$5&amp;"|"&amp;RIGHT("000000"&amp;1578,6),CalcRankKeyB,0),"")</f>
        <v/>
      </c>
    </row>
    <row r="1595">
      <c r="A1595" s="21" t="n">
        <v>1579</v>
      </c>
      <c r="B1595" s="22">
        <f>IF(AND($M1595="",$N1595=""),"",IF($M1595&lt;&gt;"",INDEX(CalcDateA,$M1595),INDEX(CalcDateB,$N1595)))</f>
        <v/>
      </c>
      <c r="C1595" s="22">
        <f>IF($M1595&lt;&gt;"","خرید سبد",IF($N1595&lt;&gt;"",IF(N(INDEX(CalcDepB,$N1595))&gt;0,"دریافت بانکی","پرداخت بانکی"),""))</f>
        <v/>
      </c>
      <c r="D1595" s="22">
        <f>IF($M1595&lt;&gt;"",IF(INDEX(CalcDocA,$M1595)="","—",INDEX(CalcDocA,$M1595)),IF($N1595&lt;&gt;"",INDEX(CalcBankB,$N1595),""))</f>
        <v/>
      </c>
      <c r="E1595" s="23">
        <f>IF($N1595&lt;&gt;"",IF(INDEX(CalcDepB,$N1595)=0,"",INDEX(CalcDepB,$N1595)),"")</f>
        <v/>
      </c>
      <c r="F1595" s="23">
        <f>IF($M1595&lt;&gt;"",IF(INDEX(CalcQtyA,$M1595)=0,"",INDEX(CalcQtyA,$M1595)),"")</f>
        <v/>
      </c>
      <c r="G1595" s="23">
        <f>IF($M1595&lt;&gt;"",IF(INDEX(CalcPriceA,$M1595)=0,"",INDEX(CalcPriceA,$M1595)),"")</f>
        <v/>
      </c>
      <c r="H1595" s="23">
        <f>IF($N1595&lt;&gt;"",IF(INDEX(CalcWitB,$N1595)=0,"",INDEX(CalcWitB,$N1595)),"")</f>
        <v/>
      </c>
      <c r="I1595" s="24">
        <f>IF($M1595&lt;&gt;"",INDEX(CalcAmtA,$M1595),"")</f>
        <v/>
      </c>
      <c r="J1595" s="24">
        <f>IF($B1595="","",IF($J1594="",$C$8,$J1594)+IF($I1595="",0,$I1595)+IF($E1595="",0,$E1595)-IF($H1595="",0,$H1595))</f>
        <v/>
      </c>
      <c r="K1595" s="25">
        <f>IF($M1595&lt;&gt;"",IF(INDEX(CalcNoteA,$M1595)="","—",INDEX(CalcNoteA,$M1595)),IF($N1595&lt;&gt;"",IF(INDEX(CalcNoteB,$N1595)="","—",INDEX(CalcNoteB,$N1595)),""))</f>
        <v/>
      </c>
      <c r="M1595">
        <f>IFERROR(MATCH($C$5&amp;"|"&amp;RIGHT("000000"&amp;1579,6),CalcRankKeyA,0),"")</f>
        <v/>
      </c>
      <c r="N1595">
        <f>IFERROR(MATCH($C$5&amp;"|"&amp;RIGHT("000000"&amp;1579,6),CalcRankKeyB,0),"")</f>
        <v/>
      </c>
    </row>
    <row r="1596">
      <c r="A1596" s="26" t="n">
        <v>1580</v>
      </c>
      <c r="B1596" s="27">
        <f>IF(AND($M1596="",$N1596=""),"",IF($M1596&lt;&gt;"",INDEX(CalcDateA,$M1596),INDEX(CalcDateB,$N1596)))</f>
        <v/>
      </c>
      <c r="C1596" s="27">
        <f>IF($M1596&lt;&gt;"","خرید سبد",IF($N1596&lt;&gt;"",IF(N(INDEX(CalcDepB,$N1596))&gt;0,"دریافت بانکی","پرداخت بانکی"),""))</f>
        <v/>
      </c>
      <c r="D1596" s="27">
        <f>IF($M1596&lt;&gt;"",IF(INDEX(CalcDocA,$M1596)="","—",INDEX(CalcDocA,$M1596)),IF($N1596&lt;&gt;"",INDEX(CalcBankB,$N1596),""))</f>
        <v/>
      </c>
      <c r="E1596" s="28">
        <f>IF($N1596&lt;&gt;"",IF(INDEX(CalcDepB,$N1596)=0,"",INDEX(CalcDepB,$N1596)),"")</f>
        <v/>
      </c>
      <c r="F1596" s="28">
        <f>IF($M1596&lt;&gt;"",IF(INDEX(CalcQtyA,$M1596)=0,"",INDEX(CalcQtyA,$M1596)),"")</f>
        <v/>
      </c>
      <c r="G1596" s="28">
        <f>IF($M1596&lt;&gt;"",IF(INDEX(CalcPriceA,$M1596)=0,"",INDEX(CalcPriceA,$M1596)),"")</f>
        <v/>
      </c>
      <c r="H1596" s="28">
        <f>IF($N1596&lt;&gt;"",IF(INDEX(CalcWitB,$N1596)=0,"",INDEX(CalcWitB,$N1596)),"")</f>
        <v/>
      </c>
      <c r="I1596" s="29">
        <f>IF($M1596&lt;&gt;"",INDEX(CalcAmtA,$M1596),"")</f>
        <v/>
      </c>
      <c r="J1596" s="29">
        <f>IF($B1596="","",IF($J1595="",$C$8,$J1595)+IF($I1596="",0,$I1596)+IF($E1596="",0,$E1596)-IF($H1596="",0,$H1596))</f>
        <v/>
      </c>
      <c r="K1596" s="30">
        <f>IF($M1596&lt;&gt;"",IF(INDEX(CalcNoteA,$M1596)="","—",INDEX(CalcNoteA,$M1596)),IF($N1596&lt;&gt;"",IF(INDEX(CalcNoteB,$N1596)="","—",INDEX(CalcNoteB,$N1596)),""))</f>
        <v/>
      </c>
      <c r="M1596">
        <f>IFERROR(MATCH($C$5&amp;"|"&amp;RIGHT("000000"&amp;1580,6),CalcRankKeyA,0),"")</f>
        <v/>
      </c>
      <c r="N1596">
        <f>IFERROR(MATCH($C$5&amp;"|"&amp;RIGHT("000000"&amp;1580,6),CalcRankKeyB,0),"")</f>
        <v/>
      </c>
    </row>
    <row r="1597">
      <c r="A1597" s="21" t="n">
        <v>1581</v>
      </c>
      <c r="B1597" s="22">
        <f>IF(AND($M1597="",$N1597=""),"",IF($M1597&lt;&gt;"",INDEX(CalcDateA,$M1597),INDEX(CalcDateB,$N1597)))</f>
        <v/>
      </c>
      <c r="C1597" s="22">
        <f>IF($M1597&lt;&gt;"","خرید سبد",IF($N1597&lt;&gt;"",IF(N(INDEX(CalcDepB,$N1597))&gt;0,"دریافت بانکی","پرداخت بانکی"),""))</f>
        <v/>
      </c>
      <c r="D1597" s="22">
        <f>IF($M1597&lt;&gt;"",IF(INDEX(CalcDocA,$M1597)="","—",INDEX(CalcDocA,$M1597)),IF($N1597&lt;&gt;"",INDEX(CalcBankB,$N1597),""))</f>
        <v/>
      </c>
      <c r="E1597" s="23">
        <f>IF($N1597&lt;&gt;"",IF(INDEX(CalcDepB,$N1597)=0,"",INDEX(CalcDepB,$N1597)),"")</f>
        <v/>
      </c>
      <c r="F1597" s="23">
        <f>IF($M1597&lt;&gt;"",IF(INDEX(CalcQtyA,$M1597)=0,"",INDEX(CalcQtyA,$M1597)),"")</f>
        <v/>
      </c>
      <c r="G1597" s="23">
        <f>IF($M1597&lt;&gt;"",IF(INDEX(CalcPriceA,$M1597)=0,"",INDEX(CalcPriceA,$M1597)),"")</f>
        <v/>
      </c>
      <c r="H1597" s="23">
        <f>IF($N1597&lt;&gt;"",IF(INDEX(CalcWitB,$N1597)=0,"",INDEX(CalcWitB,$N1597)),"")</f>
        <v/>
      </c>
      <c r="I1597" s="24">
        <f>IF($M1597&lt;&gt;"",INDEX(CalcAmtA,$M1597),"")</f>
        <v/>
      </c>
      <c r="J1597" s="24">
        <f>IF($B1597="","",IF($J1596="",$C$8,$J1596)+IF($I1597="",0,$I1597)+IF($E1597="",0,$E1597)-IF($H1597="",0,$H1597))</f>
        <v/>
      </c>
      <c r="K1597" s="25">
        <f>IF($M1597&lt;&gt;"",IF(INDEX(CalcNoteA,$M1597)="","—",INDEX(CalcNoteA,$M1597)),IF($N1597&lt;&gt;"",IF(INDEX(CalcNoteB,$N1597)="","—",INDEX(CalcNoteB,$N1597)),""))</f>
        <v/>
      </c>
      <c r="M1597">
        <f>IFERROR(MATCH($C$5&amp;"|"&amp;RIGHT("000000"&amp;1581,6),CalcRankKeyA,0),"")</f>
        <v/>
      </c>
      <c r="N1597">
        <f>IFERROR(MATCH($C$5&amp;"|"&amp;RIGHT("000000"&amp;1581,6),CalcRankKeyB,0),"")</f>
        <v/>
      </c>
    </row>
    <row r="1598">
      <c r="A1598" s="26" t="n">
        <v>1582</v>
      </c>
      <c r="B1598" s="27">
        <f>IF(AND($M1598="",$N1598=""),"",IF($M1598&lt;&gt;"",INDEX(CalcDateA,$M1598),INDEX(CalcDateB,$N1598)))</f>
        <v/>
      </c>
      <c r="C1598" s="27">
        <f>IF($M1598&lt;&gt;"","خرید سبد",IF($N1598&lt;&gt;"",IF(N(INDEX(CalcDepB,$N1598))&gt;0,"دریافت بانکی","پرداخت بانکی"),""))</f>
        <v/>
      </c>
      <c r="D1598" s="27">
        <f>IF($M1598&lt;&gt;"",IF(INDEX(CalcDocA,$M1598)="","—",INDEX(CalcDocA,$M1598)),IF($N1598&lt;&gt;"",INDEX(CalcBankB,$N1598),""))</f>
        <v/>
      </c>
      <c r="E1598" s="28">
        <f>IF($N1598&lt;&gt;"",IF(INDEX(CalcDepB,$N1598)=0,"",INDEX(CalcDepB,$N1598)),"")</f>
        <v/>
      </c>
      <c r="F1598" s="28">
        <f>IF($M1598&lt;&gt;"",IF(INDEX(CalcQtyA,$M1598)=0,"",INDEX(CalcQtyA,$M1598)),"")</f>
        <v/>
      </c>
      <c r="G1598" s="28">
        <f>IF($M1598&lt;&gt;"",IF(INDEX(CalcPriceA,$M1598)=0,"",INDEX(CalcPriceA,$M1598)),"")</f>
        <v/>
      </c>
      <c r="H1598" s="28">
        <f>IF($N1598&lt;&gt;"",IF(INDEX(CalcWitB,$N1598)=0,"",INDEX(CalcWitB,$N1598)),"")</f>
        <v/>
      </c>
      <c r="I1598" s="29">
        <f>IF($M1598&lt;&gt;"",INDEX(CalcAmtA,$M1598),"")</f>
        <v/>
      </c>
      <c r="J1598" s="29">
        <f>IF($B1598="","",IF($J1597="",$C$8,$J1597)+IF($I1598="",0,$I1598)+IF($E1598="",0,$E1598)-IF($H1598="",0,$H1598))</f>
        <v/>
      </c>
      <c r="K1598" s="30">
        <f>IF($M1598&lt;&gt;"",IF(INDEX(CalcNoteA,$M1598)="","—",INDEX(CalcNoteA,$M1598)),IF($N1598&lt;&gt;"",IF(INDEX(CalcNoteB,$N1598)="","—",INDEX(CalcNoteB,$N1598)),""))</f>
        <v/>
      </c>
      <c r="M1598">
        <f>IFERROR(MATCH($C$5&amp;"|"&amp;RIGHT("000000"&amp;1582,6),CalcRankKeyA,0),"")</f>
        <v/>
      </c>
      <c r="N1598">
        <f>IFERROR(MATCH($C$5&amp;"|"&amp;RIGHT("000000"&amp;1582,6),CalcRankKeyB,0),"")</f>
        <v/>
      </c>
    </row>
    <row r="1599">
      <c r="A1599" s="21" t="n">
        <v>1583</v>
      </c>
      <c r="B1599" s="22">
        <f>IF(AND($M1599="",$N1599=""),"",IF($M1599&lt;&gt;"",INDEX(CalcDateA,$M1599),INDEX(CalcDateB,$N1599)))</f>
        <v/>
      </c>
      <c r="C1599" s="22">
        <f>IF($M1599&lt;&gt;"","خرید سبد",IF($N1599&lt;&gt;"",IF(N(INDEX(CalcDepB,$N1599))&gt;0,"دریافت بانکی","پرداخت بانکی"),""))</f>
        <v/>
      </c>
      <c r="D1599" s="22">
        <f>IF($M1599&lt;&gt;"",IF(INDEX(CalcDocA,$M1599)="","—",INDEX(CalcDocA,$M1599)),IF($N1599&lt;&gt;"",INDEX(CalcBankB,$N1599),""))</f>
        <v/>
      </c>
      <c r="E1599" s="23">
        <f>IF($N1599&lt;&gt;"",IF(INDEX(CalcDepB,$N1599)=0,"",INDEX(CalcDepB,$N1599)),"")</f>
        <v/>
      </c>
      <c r="F1599" s="23">
        <f>IF($M1599&lt;&gt;"",IF(INDEX(CalcQtyA,$M1599)=0,"",INDEX(CalcQtyA,$M1599)),"")</f>
        <v/>
      </c>
      <c r="G1599" s="23">
        <f>IF($M1599&lt;&gt;"",IF(INDEX(CalcPriceA,$M1599)=0,"",INDEX(CalcPriceA,$M1599)),"")</f>
        <v/>
      </c>
      <c r="H1599" s="23">
        <f>IF($N1599&lt;&gt;"",IF(INDEX(CalcWitB,$N1599)=0,"",INDEX(CalcWitB,$N1599)),"")</f>
        <v/>
      </c>
      <c r="I1599" s="24">
        <f>IF($M1599&lt;&gt;"",INDEX(CalcAmtA,$M1599),"")</f>
        <v/>
      </c>
      <c r="J1599" s="24">
        <f>IF($B1599="","",IF($J1598="",$C$8,$J1598)+IF($I1599="",0,$I1599)+IF($E1599="",0,$E1599)-IF($H1599="",0,$H1599))</f>
        <v/>
      </c>
      <c r="K1599" s="25">
        <f>IF($M1599&lt;&gt;"",IF(INDEX(CalcNoteA,$M1599)="","—",INDEX(CalcNoteA,$M1599)),IF($N1599&lt;&gt;"",IF(INDEX(CalcNoteB,$N1599)="","—",INDEX(CalcNoteB,$N1599)),""))</f>
        <v/>
      </c>
      <c r="M1599">
        <f>IFERROR(MATCH($C$5&amp;"|"&amp;RIGHT("000000"&amp;1583,6),CalcRankKeyA,0),"")</f>
        <v/>
      </c>
      <c r="N1599">
        <f>IFERROR(MATCH($C$5&amp;"|"&amp;RIGHT("000000"&amp;1583,6),CalcRankKeyB,0),"")</f>
        <v/>
      </c>
    </row>
    <row r="1600">
      <c r="A1600" s="26" t="n">
        <v>1584</v>
      </c>
      <c r="B1600" s="27">
        <f>IF(AND($M1600="",$N1600=""),"",IF($M1600&lt;&gt;"",INDEX(CalcDateA,$M1600),INDEX(CalcDateB,$N1600)))</f>
        <v/>
      </c>
      <c r="C1600" s="27">
        <f>IF($M1600&lt;&gt;"","خرید سبد",IF($N1600&lt;&gt;"",IF(N(INDEX(CalcDepB,$N1600))&gt;0,"دریافت بانکی","پرداخت بانکی"),""))</f>
        <v/>
      </c>
      <c r="D1600" s="27">
        <f>IF($M1600&lt;&gt;"",IF(INDEX(CalcDocA,$M1600)="","—",INDEX(CalcDocA,$M1600)),IF($N1600&lt;&gt;"",INDEX(CalcBankB,$N1600),""))</f>
        <v/>
      </c>
      <c r="E1600" s="28">
        <f>IF($N1600&lt;&gt;"",IF(INDEX(CalcDepB,$N1600)=0,"",INDEX(CalcDepB,$N1600)),"")</f>
        <v/>
      </c>
      <c r="F1600" s="28">
        <f>IF($M1600&lt;&gt;"",IF(INDEX(CalcQtyA,$M1600)=0,"",INDEX(CalcQtyA,$M1600)),"")</f>
        <v/>
      </c>
      <c r="G1600" s="28">
        <f>IF($M1600&lt;&gt;"",IF(INDEX(CalcPriceA,$M1600)=0,"",INDEX(CalcPriceA,$M1600)),"")</f>
        <v/>
      </c>
      <c r="H1600" s="28">
        <f>IF($N1600&lt;&gt;"",IF(INDEX(CalcWitB,$N1600)=0,"",INDEX(CalcWitB,$N1600)),"")</f>
        <v/>
      </c>
      <c r="I1600" s="29">
        <f>IF($M1600&lt;&gt;"",INDEX(CalcAmtA,$M1600),"")</f>
        <v/>
      </c>
      <c r="J1600" s="29">
        <f>IF($B1600="","",IF($J1599="",$C$8,$J1599)+IF($I1600="",0,$I1600)+IF($E1600="",0,$E1600)-IF($H1600="",0,$H1600))</f>
        <v/>
      </c>
      <c r="K1600" s="30">
        <f>IF($M1600&lt;&gt;"",IF(INDEX(CalcNoteA,$M1600)="","—",INDEX(CalcNoteA,$M1600)),IF($N1600&lt;&gt;"",IF(INDEX(CalcNoteB,$N1600)="","—",INDEX(CalcNoteB,$N1600)),""))</f>
        <v/>
      </c>
      <c r="M1600">
        <f>IFERROR(MATCH($C$5&amp;"|"&amp;RIGHT("000000"&amp;1584,6),CalcRankKeyA,0),"")</f>
        <v/>
      </c>
      <c r="N1600">
        <f>IFERROR(MATCH($C$5&amp;"|"&amp;RIGHT("000000"&amp;1584,6),CalcRankKeyB,0),"")</f>
        <v/>
      </c>
    </row>
    <row r="1601">
      <c r="A1601" s="21" t="n">
        <v>1585</v>
      </c>
      <c r="B1601" s="22">
        <f>IF(AND($M1601="",$N1601=""),"",IF($M1601&lt;&gt;"",INDEX(CalcDateA,$M1601),INDEX(CalcDateB,$N1601)))</f>
        <v/>
      </c>
      <c r="C1601" s="22">
        <f>IF($M1601&lt;&gt;"","خرید سبد",IF($N1601&lt;&gt;"",IF(N(INDEX(CalcDepB,$N1601))&gt;0,"دریافت بانکی","پرداخت بانکی"),""))</f>
        <v/>
      </c>
      <c r="D1601" s="22">
        <f>IF($M1601&lt;&gt;"",IF(INDEX(CalcDocA,$M1601)="","—",INDEX(CalcDocA,$M1601)),IF($N1601&lt;&gt;"",INDEX(CalcBankB,$N1601),""))</f>
        <v/>
      </c>
      <c r="E1601" s="23">
        <f>IF($N1601&lt;&gt;"",IF(INDEX(CalcDepB,$N1601)=0,"",INDEX(CalcDepB,$N1601)),"")</f>
        <v/>
      </c>
      <c r="F1601" s="23">
        <f>IF($M1601&lt;&gt;"",IF(INDEX(CalcQtyA,$M1601)=0,"",INDEX(CalcQtyA,$M1601)),"")</f>
        <v/>
      </c>
      <c r="G1601" s="23">
        <f>IF($M1601&lt;&gt;"",IF(INDEX(CalcPriceA,$M1601)=0,"",INDEX(CalcPriceA,$M1601)),"")</f>
        <v/>
      </c>
      <c r="H1601" s="23">
        <f>IF($N1601&lt;&gt;"",IF(INDEX(CalcWitB,$N1601)=0,"",INDEX(CalcWitB,$N1601)),"")</f>
        <v/>
      </c>
      <c r="I1601" s="24">
        <f>IF($M1601&lt;&gt;"",INDEX(CalcAmtA,$M1601),"")</f>
        <v/>
      </c>
      <c r="J1601" s="24">
        <f>IF($B1601="","",IF($J1600="",$C$8,$J1600)+IF($I1601="",0,$I1601)+IF($E1601="",0,$E1601)-IF($H1601="",0,$H1601))</f>
        <v/>
      </c>
      <c r="K1601" s="25">
        <f>IF($M1601&lt;&gt;"",IF(INDEX(CalcNoteA,$M1601)="","—",INDEX(CalcNoteA,$M1601)),IF($N1601&lt;&gt;"",IF(INDEX(CalcNoteB,$N1601)="","—",INDEX(CalcNoteB,$N1601)),""))</f>
        <v/>
      </c>
      <c r="M1601">
        <f>IFERROR(MATCH($C$5&amp;"|"&amp;RIGHT("000000"&amp;1585,6),CalcRankKeyA,0),"")</f>
        <v/>
      </c>
      <c r="N1601">
        <f>IFERROR(MATCH($C$5&amp;"|"&amp;RIGHT("000000"&amp;1585,6),CalcRankKeyB,0),"")</f>
        <v/>
      </c>
    </row>
    <row r="1602">
      <c r="A1602" s="26" t="n">
        <v>1586</v>
      </c>
      <c r="B1602" s="27">
        <f>IF(AND($M1602="",$N1602=""),"",IF($M1602&lt;&gt;"",INDEX(CalcDateA,$M1602),INDEX(CalcDateB,$N1602)))</f>
        <v/>
      </c>
      <c r="C1602" s="27">
        <f>IF($M1602&lt;&gt;"","خرید سبد",IF($N1602&lt;&gt;"",IF(N(INDEX(CalcDepB,$N1602))&gt;0,"دریافت بانکی","پرداخت بانکی"),""))</f>
        <v/>
      </c>
      <c r="D1602" s="27">
        <f>IF($M1602&lt;&gt;"",IF(INDEX(CalcDocA,$M1602)="","—",INDEX(CalcDocA,$M1602)),IF($N1602&lt;&gt;"",INDEX(CalcBankB,$N1602),""))</f>
        <v/>
      </c>
      <c r="E1602" s="28">
        <f>IF($N1602&lt;&gt;"",IF(INDEX(CalcDepB,$N1602)=0,"",INDEX(CalcDepB,$N1602)),"")</f>
        <v/>
      </c>
      <c r="F1602" s="28">
        <f>IF($M1602&lt;&gt;"",IF(INDEX(CalcQtyA,$M1602)=0,"",INDEX(CalcQtyA,$M1602)),"")</f>
        <v/>
      </c>
      <c r="G1602" s="28">
        <f>IF($M1602&lt;&gt;"",IF(INDEX(CalcPriceA,$M1602)=0,"",INDEX(CalcPriceA,$M1602)),"")</f>
        <v/>
      </c>
      <c r="H1602" s="28">
        <f>IF($N1602&lt;&gt;"",IF(INDEX(CalcWitB,$N1602)=0,"",INDEX(CalcWitB,$N1602)),"")</f>
        <v/>
      </c>
      <c r="I1602" s="29">
        <f>IF($M1602&lt;&gt;"",INDEX(CalcAmtA,$M1602),"")</f>
        <v/>
      </c>
      <c r="J1602" s="29">
        <f>IF($B1602="","",IF($J1601="",$C$8,$J1601)+IF($I1602="",0,$I1602)+IF($E1602="",0,$E1602)-IF($H1602="",0,$H1602))</f>
        <v/>
      </c>
      <c r="K1602" s="30">
        <f>IF($M1602&lt;&gt;"",IF(INDEX(CalcNoteA,$M1602)="","—",INDEX(CalcNoteA,$M1602)),IF($N1602&lt;&gt;"",IF(INDEX(CalcNoteB,$N1602)="","—",INDEX(CalcNoteB,$N1602)),""))</f>
        <v/>
      </c>
      <c r="M1602">
        <f>IFERROR(MATCH($C$5&amp;"|"&amp;RIGHT("000000"&amp;1586,6),CalcRankKeyA,0),"")</f>
        <v/>
      </c>
      <c r="N1602">
        <f>IFERROR(MATCH($C$5&amp;"|"&amp;RIGHT("000000"&amp;1586,6),CalcRankKeyB,0),"")</f>
        <v/>
      </c>
    </row>
    <row r="1603">
      <c r="A1603" s="21" t="n">
        <v>1587</v>
      </c>
      <c r="B1603" s="22">
        <f>IF(AND($M1603="",$N1603=""),"",IF($M1603&lt;&gt;"",INDEX(CalcDateA,$M1603),INDEX(CalcDateB,$N1603)))</f>
        <v/>
      </c>
      <c r="C1603" s="22">
        <f>IF($M1603&lt;&gt;"","خرید سبد",IF($N1603&lt;&gt;"",IF(N(INDEX(CalcDepB,$N1603))&gt;0,"دریافت بانکی","پرداخت بانکی"),""))</f>
        <v/>
      </c>
      <c r="D1603" s="22">
        <f>IF($M1603&lt;&gt;"",IF(INDEX(CalcDocA,$M1603)="","—",INDEX(CalcDocA,$M1603)),IF($N1603&lt;&gt;"",INDEX(CalcBankB,$N1603),""))</f>
        <v/>
      </c>
      <c r="E1603" s="23">
        <f>IF($N1603&lt;&gt;"",IF(INDEX(CalcDepB,$N1603)=0,"",INDEX(CalcDepB,$N1603)),"")</f>
        <v/>
      </c>
      <c r="F1603" s="23">
        <f>IF($M1603&lt;&gt;"",IF(INDEX(CalcQtyA,$M1603)=0,"",INDEX(CalcQtyA,$M1603)),"")</f>
        <v/>
      </c>
      <c r="G1603" s="23">
        <f>IF($M1603&lt;&gt;"",IF(INDEX(CalcPriceA,$M1603)=0,"",INDEX(CalcPriceA,$M1603)),"")</f>
        <v/>
      </c>
      <c r="H1603" s="23">
        <f>IF($N1603&lt;&gt;"",IF(INDEX(CalcWitB,$N1603)=0,"",INDEX(CalcWitB,$N1603)),"")</f>
        <v/>
      </c>
      <c r="I1603" s="24">
        <f>IF($M1603&lt;&gt;"",INDEX(CalcAmtA,$M1603),"")</f>
        <v/>
      </c>
      <c r="J1603" s="24">
        <f>IF($B1603="","",IF($J1602="",$C$8,$J1602)+IF($I1603="",0,$I1603)+IF($E1603="",0,$E1603)-IF($H1603="",0,$H1603))</f>
        <v/>
      </c>
      <c r="K1603" s="25">
        <f>IF($M1603&lt;&gt;"",IF(INDEX(CalcNoteA,$M1603)="","—",INDEX(CalcNoteA,$M1603)),IF($N1603&lt;&gt;"",IF(INDEX(CalcNoteB,$N1603)="","—",INDEX(CalcNoteB,$N1603)),""))</f>
        <v/>
      </c>
      <c r="M1603">
        <f>IFERROR(MATCH($C$5&amp;"|"&amp;RIGHT("000000"&amp;1587,6),CalcRankKeyA,0),"")</f>
        <v/>
      </c>
      <c r="N1603">
        <f>IFERROR(MATCH($C$5&amp;"|"&amp;RIGHT("000000"&amp;1587,6),CalcRankKeyB,0),"")</f>
        <v/>
      </c>
    </row>
    <row r="1604">
      <c r="A1604" s="26" t="n">
        <v>1588</v>
      </c>
      <c r="B1604" s="27">
        <f>IF(AND($M1604="",$N1604=""),"",IF($M1604&lt;&gt;"",INDEX(CalcDateA,$M1604),INDEX(CalcDateB,$N1604)))</f>
        <v/>
      </c>
      <c r="C1604" s="27">
        <f>IF($M1604&lt;&gt;"","خرید سبد",IF($N1604&lt;&gt;"",IF(N(INDEX(CalcDepB,$N1604))&gt;0,"دریافت بانکی","پرداخت بانکی"),""))</f>
        <v/>
      </c>
      <c r="D1604" s="27">
        <f>IF($M1604&lt;&gt;"",IF(INDEX(CalcDocA,$M1604)="","—",INDEX(CalcDocA,$M1604)),IF($N1604&lt;&gt;"",INDEX(CalcBankB,$N1604),""))</f>
        <v/>
      </c>
      <c r="E1604" s="28">
        <f>IF($N1604&lt;&gt;"",IF(INDEX(CalcDepB,$N1604)=0,"",INDEX(CalcDepB,$N1604)),"")</f>
        <v/>
      </c>
      <c r="F1604" s="28">
        <f>IF($M1604&lt;&gt;"",IF(INDEX(CalcQtyA,$M1604)=0,"",INDEX(CalcQtyA,$M1604)),"")</f>
        <v/>
      </c>
      <c r="G1604" s="28">
        <f>IF($M1604&lt;&gt;"",IF(INDEX(CalcPriceA,$M1604)=0,"",INDEX(CalcPriceA,$M1604)),"")</f>
        <v/>
      </c>
      <c r="H1604" s="28">
        <f>IF($N1604&lt;&gt;"",IF(INDEX(CalcWitB,$N1604)=0,"",INDEX(CalcWitB,$N1604)),"")</f>
        <v/>
      </c>
      <c r="I1604" s="29">
        <f>IF($M1604&lt;&gt;"",INDEX(CalcAmtA,$M1604),"")</f>
        <v/>
      </c>
      <c r="J1604" s="29">
        <f>IF($B1604="","",IF($J1603="",$C$8,$J1603)+IF($I1604="",0,$I1604)+IF($E1604="",0,$E1604)-IF($H1604="",0,$H1604))</f>
        <v/>
      </c>
      <c r="K1604" s="30">
        <f>IF($M1604&lt;&gt;"",IF(INDEX(CalcNoteA,$M1604)="","—",INDEX(CalcNoteA,$M1604)),IF($N1604&lt;&gt;"",IF(INDEX(CalcNoteB,$N1604)="","—",INDEX(CalcNoteB,$N1604)),""))</f>
        <v/>
      </c>
      <c r="M1604">
        <f>IFERROR(MATCH($C$5&amp;"|"&amp;RIGHT("000000"&amp;1588,6),CalcRankKeyA,0),"")</f>
        <v/>
      </c>
      <c r="N1604">
        <f>IFERROR(MATCH($C$5&amp;"|"&amp;RIGHT("000000"&amp;1588,6),CalcRankKeyB,0),"")</f>
        <v/>
      </c>
    </row>
    <row r="1605">
      <c r="A1605" s="21" t="n">
        <v>1589</v>
      </c>
      <c r="B1605" s="22">
        <f>IF(AND($M1605="",$N1605=""),"",IF($M1605&lt;&gt;"",INDEX(CalcDateA,$M1605),INDEX(CalcDateB,$N1605)))</f>
        <v/>
      </c>
      <c r="C1605" s="22">
        <f>IF($M1605&lt;&gt;"","خرید سبد",IF($N1605&lt;&gt;"",IF(N(INDEX(CalcDepB,$N1605))&gt;0,"دریافت بانکی","پرداخت بانکی"),""))</f>
        <v/>
      </c>
      <c r="D1605" s="22">
        <f>IF($M1605&lt;&gt;"",IF(INDEX(CalcDocA,$M1605)="","—",INDEX(CalcDocA,$M1605)),IF($N1605&lt;&gt;"",INDEX(CalcBankB,$N1605),""))</f>
        <v/>
      </c>
      <c r="E1605" s="23">
        <f>IF($N1605&lt;&gt;"",IF(INDEX(CalcDepB,$N1605)=0,"",INDEX(CalcDepB,$N1605)),"")</f>
        <v/>
      </c>
      <c r="F1605" s="23">
        <f>IF($M1605&lt;&gt;"",IF(INDEX(CalcQtyA,$M1605)=0,"",INDEX(CalcQtyA,$M1605)),"")</f>
        <v/>
      </c>
      <c r="G1605" s="23">
        <f>IF($M1605&lt;&gt;"",IF(INDEX(CalcPriceA,$M1605)=0,"",INDEX(CalcPriceA,$M1605)),"")</f>
        <v/>
      </c>
      <c r="H1605" s="23">
        <f>IF($N1605&lt;&gt;"",IF(INDEX(CalcWitB,$N1605)=0,"",INDEX(CalcWitB,$N1605)),"")</f>
        <v/>
      </c>
      <c r="I1605" s="24">
        <f>IF($M1605&lt;&gt;"",INDEX(CalcAmtA,$M1605),"")</f>
        <v/>
      </c>
      <c r="J1605" s="24">
        <f>IF($B1605="","",IF($J1604="",$C$8,$J1604)+IF($I1605="",0,$I1605)+IF($E1605="",0,$E1605)-IF($H1605="",0,$H1605))</f>
        <v/>
      </c>
      <c r="K1605" s="25">
        <f>IF($M1605&lt;&gt;"",IF(INDEX(CalcNoteA,$M1605)="","—",INDEX(CalcNoteA,$M1605)),IF($N1605&lt;&gt;"",IF(INDEX(CalcNoteB,$N1605)="","—",INDEX(CalcNoteB,$N1605)),""))</f>
        <v/>
      </c>
      <c r="M1605">
        <f>IFERROR(MATCH($C$5&amp;"|"&amp;RIGHT("000000"&amp;1589,6),CalcRankKeyA,0),"")</f>
        <v/>
      </c>
      <c r="N1605">
        <f>IFERROR(MATCH($C$5&amp;"|"&amp;RIGHT("000000"&amp;1589,6),CalcRankKeyB,0),"")</f>
        <v/>
      </c>
    </row>
    <row r="1606">
      <c r="A1606" s="26" t="n">
        <v>1590</v>
      </c>
      <c r="B1606" s="27">
        <f>IF(AND($M1606="",$N1606=""),"",IF($M1606&lt;&gt;"",INDEX(CalcDateA,$M1606),INDEX(CalcDateB,$N1606)))</f>
        <v/>
      </c>
      <c r="C1606" s="27">
        <f>IF($M1606&lt;&gt;"","خرید سبد",IF($N1606&lt;&gt;"",IF(N(INDEX(CalcDepB,$N1606))&gt;0,"دریافت بانکی","پرداخت بانکی"),""))</f>
        <v/>
      </c>
      <c r="D1606" s="27">
        <f>IF($M1606&lt;&gt;"",IF(INDEX(CalcDocA,$M1606)="","—",INDEX(CalcDocA,$M1606)),IF($N1606&lt;&gt;"",INDEX(CalcBankB,$N1606),""))</f>
        <v/>
      </c>
      <c r="E1606" s="28">
        <f>IF($N1606&lt;&gt;"",IF(INDEX(CalcDepB,$N1606)=0,"",INDEX(CalcDepB,$N1606)),"")</f>
        <v/>
      </c>
      <c r="F1606" s="28">
        <f>IF($M1606&lt;&gt;"",IF(INDEX(CalcQtyA,$M1606)=0,"",INDEX(CalcQtyA,$M1606)),"")</f>
        <v/>
      </c>
      <c r="G1606" s="28">
        <f>IF($M1606&lt;&gt;"",IF(INDEX(CalcPriceA,$M1606)=0,"",INDEX(CalcPriceA,$M1606)),"")</f>
        <v/>
      </c>
      <c r="H1606" s="28">
        <f>IF($N1606&lt;&gt;"",IF(INDEX(CalcWitB,$N1606)=0,"",INDEX(CalcWitB,$N1606)),"")</f>
        <v/>
      </c>
      <c r="I1606" s="29">
        <f>IF($M1606&lt;&gt;"",INDEX(CalcAmtA,$M1606),"")</f>
        <v/>
      </c>
      <c r="J1606" s="29">
        <f>IF($B1606="","",IF($J1605="",$C$8,$J1605)+IF($I1606="",0,$I1606)+IF($E1606="",0,$E1606)-IF($H1606="",0,$H1606))</f>
        <v/>
      </c>
      <c r="K1606" s="30">
        <f>IF($M1606&lt;&gt;"",IF(INDEX(CalcNoteA,$M1606)="","—",INDEX(CalcNoteA,$M1606)),IF($N1606&lt;&gt;"",IF(INDEX(CalcNoteB,$N1606)="","—",INDEX(CalcNoteB,$N1606)),""))</f>
        <v/>
      </c>
      <c r="M1606">
        <f>IFERROR(MATCH($C$5&amp;"|"&amp;RIGHT("000000"&amp;1590,6),CalcRankKeyA,0),"")</f>
        <v/>
      </c>
      <c r="N1606">
        <f>IFERROR(MATCH($C$5&amp;"|"&amp;RIGHT("000000"&amp;1590,6),CalcRankKeyB,0),"")</f>
        <v/>
      </c>
    </row>
    <row r="1607">
      <c r="A1607" s="21" t="n">
        <v>1591</v>
      </c>
      <c r="B1607" s="22">
        <f>IF(AND($M1607="",$N1607=""),"",IF($M1607&lt;&gt;"",INDEX(CalcDateA,$M1607),INDEX(CalcDateB,$N1607)))</f>
        <v/>
      </c>
      <c r="C1607" s="22">
        <f>IF($M1607&lt;&gt;"","خرید سبد",IF($N1607&lt;&gt;"",IF(N(INDEX(CalcDepB,$N1607))&gt;0,"دریافت بانکی","پرداخت بانکی"),""))</f>
        <v/>
      </c>
      <c r="D1607" s="22">
        <f>IF($M1607&lt;&gt;"",IF(INDEX(CalcDocA,$M1607)="","—",INDEX(CalcDocA,$M1607)),IF($N1607&lt;&gt;"",INDEX(CalcBankB,$N1607),""))</f>
        <v/>
      </c>
      <c r="E1607" s="23">
        <f>IF($N1607&lt;&gt;"",IF(INDEX(CalcDepB,$N1607)=0,"",INDEX(CalcDepB,$N1607)),"")</f>
        <v/>
      </c>
      <c r="F1607" s="23">
        <f>IF($M1607&lt;&gt;"",IF(INDEX(CalcQtyA,$M1607)=0,"",INDEX(CalcQtyA,$M1607)),"")</f>
        <v/>
      </c>
      <c r="G1607" s="23">
        <f>IF($M1607&lt;&gt;"",IF(INDEX(CalcPriceA,$M1607)=0,"",INDEX(CalcPriceA,$M1607)),"")</f>
        <v/>
      </c>
      <c r="H1607" s="23">
        <f>IF($N1607&lt;&gt;"",IF(INDEX(CalcWitB,$N1607)=0,"",INDEX(CalcWitB,$N1607)),"")</f>
        <v/>
      </c>
      <c r="I1607" s="24">
        <f>IF($M1607&lt;&gt;"",INDEX(CalcAmtA,$M1607),"")</f>
        <v/>
      </c>
      <c r="J1607" s="24">
        <f>IF($B1607="","",IF($J1606="",$C$8,$J1606)+IF($I1607="",0,$I1607)+IF($E1607="",0,$E1607)-IF($H1607="",0,$H1607))</f>
        <v/>
      </c>
      <c r="K1607" s="25">
        <f>IF($M1607&lt;&gt;"",IF(INDEX(CalcNoteA,$M1607)="","—",INDEX(CalcNoteA,$M1607)),IF($N1607&lt;&gt;"",IF(INDEX(CalcNoteB,$N1607)="","—",INDEX(CalcNoteB,$N1607)),""))</f>
        <v/>
      </c>
      <c r="M1607">
        <f>IFERROR(MATCH($C$5&amp;"|"&amp;RIGHT("000000"&amp;1591,6),CalcRankKeyA,0),"")</f>
        <v/>
      </c>
      <c r="N1607">
        <f>IFERROR(MATCH($C$5&amp;"|"&amp;RIGHT("000000"&amp;1591,6),CalcRankKeyB,0),"")</f>
        <v/>
      </c>
    </row>
    <row r="1608">
      <c r="A1608" s="26" t="n">
        <v>1592</v>
      </c>
      <c r="B1608" s="27">
        <f>IF(AND($M1608="",$N1608=""),"",IF($M1608&lt;&gt;"",INDEX(CalcDateA,$M1608),INDEX(CalcDateB,$N1608)))</f>
        <v/>
      </c>
      <c r="C1608" s="27">
        <f>IF($M1608&lt;&gt;"","خرید سبد",IF($N1608&lt;&gt;"",IF(N(INDEX(CalcDepB,$N1608))&gt;0,"دریافت بانکی","پرداخت بانکی"),""))</f>
        <v/>
      </c>
      <c r="D1608" s="27">
        <f>IF($M1608&lt;&gt;"",IF(INDEX(CalcDocA,$M1608)="","—",INDEX(CalcDocA,$M1608)),IF($N1608&lt;&gt;"",INDEX(CalcBankB,$N1608),""))</f>
        <v/>
      </c>
      <c r="E1608" s="28">
        <f>IF($N1608&lt;&gt;"",IF(INDEX(CalcDepB,$N1608)=0,"",INDEX(CalcDepB,$N1608)),"")</f>
        <v/>
      </c>
      <c r="F1608" s="28">
        <f>IF($M1608&lt;&gt;"",IF(INDEX(CalcQtyA,$M1608)=0,"",INDEX(CalcQtyA,$M1608)),"")</f>
        <v/>
      </c>
      <c r="G1608" s="28">
        <f>IF($M1608&lt;&gt;"",IF(INDEX(CalcPriceA,$M1608)=0,"",INDEX(CalcPriceA,$M1608)),"")</f>
        <v/>
      </c>
      <c r="H1608" s="28">
        <f>IF($N1608&lt;&gt;"",IF(INDEX(CalcWitB,$N1608)=0,"",INDEX(CalcWitB,$N1608)),"")</f>
        <v/>
      </c>
      <c r="I1608" s="29">
        <f>IF($M1608&lt;&gt;"",INDEX(CalcAmtA,$M1608),"")</f>
        <v/>
      </c>
      <c r="J1608" s="29">
        <f>IF($B1608="","",IF($J1607="",$C$8,$J1607)+IF($I1608="",0,$I1608)+IF($E1608="",0,$E1608)-IF($H1608="",0,$H1608))</f>
        <v/>
      </c>
      <c r="K1608" s="30">
        <f>IF($M1608&lt;&gt;"",IF(INDEX(CalcNoteA,$M1608)="","—",INDEX(CalcNoteA,$M1608)),IF($N1608&lt;&gt;"",IF(INDEX(CalcNoteB,$N1608)="","—",INDEX(CalcNoteB,$N1608)),""))</f>
        <v/>
      </c>
      <c r="M1608">
        <f>IFERROR(MATCH($C$5&amp;"|"&amp;RIGHT("000000"&amp;1592,6),CalcRankKeyA,0),"")</f>
        <v/>
      </c>
      <c r="N1608">
        <f>IFERROR(MATCH($C$5&amp;"|"&amp;RIGHT("000000"&amp;1592,6),CalcRankKeyB,0),"")</f>
        <v/>
      </c>
    </row>
    <row r="1609">
      <c r="A1609" s="21" t="n">
        <v>1593</v>
      </c>
      <c r="B1609" s="22">
        <f>IF(AND($M1609="",$N1609=""),"",IF($M1609&lt;&gt;"",INDEX(CalcDateA,$M1609),INDEX(CalcDateB,$N1609)))</f>
        <v/>
      </c>
      <c r="C1609" s="22">
        <f>IF($M1609&lt;&gt;"","خرید سبد",IF($N1609&lt;&gt;"",IF(N(INDEX(CalcDepB,$N1609))&gt;0,"دریافت بانکی","پرداخت بانکی"),""))</f>
        <v/>
      </c>
      <c r="D1609" s="22">
        <f>IF($M1609&lt;&gt;"",IF(INDEX(CalcDocA,$M1609)="","—",INDEX(CalcDocA,$M1609)),IF($N1609&lt;&gt;"",INDEX(CalcBankB,$N1609),""))</f>
        <v/>
      </c>
      <c r="E1609" s="23">
        <f>IF($N1609&lt;&gt;"",IF(INDEX(CalcDepB,$N1609)=0,"",INDEX(CalcDepB,$N1609)),"")</f>
        <v/>
      </c>
      <c r="F1609" s="23">
        <f>IF($M1609&lt;&gt;"",IF(INDEX(CalcQtyA,$M1609)=0,"",INDEX(CalcQtyA,$M1609)),"")</f>
        <v/>
      </c>
      <c r="G1609" s="23">
        <f>IF($M1609&lt;&gt;"",IF(INDEX(CalcPriceA,$M1609)=0,"",INDEX(CalcPriceA,$M1609)),"")</f>
        <v/>
      </c>
      <c r="H1609" s="23">
        <f>IF($N1609&lt;&gt;"",IF(INDEX(CalcWitB,$N1609)=0,"",INDEX(CalcWitB,$N1609)),"")</f>
        <v/>
      </c>
      <c r="I1609" s="24">
        <f>IF($M1609&lt;&gt;"",INDEX(CalcAmtA,$M1609),"")</f>
        <v/>
      </c>
      <c r="J1609" s="24">
        <f>IF($B1609="","",IF($J1608="",$C$8,$J1608)+IF($I1609="",0,$I1609)+IF($E1609="",0,$E1609)-IF($H1609="",0,$H1609))</f>
        <v/>
      </c>
      <c r="K1609" s="25">
        <f>IF($M1609&lt;&gt;"",IF(INDEX(CalcNoteA,$M1609)="","—",INDEX(CalcNoteA,$M1609)),IF($N1609&lt;&gt;"",IF(INDEX(CalcNoteB,$N1609)="","—",INDEX(CalcNoteB,$N1609)),""))</f>
        <v/>
      </c>
      <c r="M1609">
        <f>IFERROR(MATCH($C$5&amp;"|"&amp;RIGHT("000000"&amp;1593,6),CalcRankKeyA,0),"")</f>
        <v/>
      </c>
      <c r="N1609">
        <f>IFERROR(MATCH($C$5&amp;"|"&amp;RIGHT("000000"&amp;1593,6),CalcRankKeyB,0),"")</f>
        <v/>
      </c>
    </row>
    <row r="1610">
      <c r="A1610" s="26" t="n">
        <v>1594</v>
      </c>
      <c r="B1610" s="27">
        <f>IF(AND($M1610="",$N1610=""),"",IF($M1610&lt;&gt;"",INDEX(CalcDateA,$M1610),INDEX(CalcDateB,$N1610)))</f>
        <v/>
      </c>
      <c r="C1610" s="27">
        <f>IF($M1610&lt;&gt;"","خرید سبد",IF($N1610&lt;&gt;"",IF(N(INDEX(CalcDepB,$N1610))&gt;0,"دریافت بانکی","پرداخت بانکی"),""))</f>
        <v/>
      </c>
      <c r="D1610" s="27">
        <f>IF($M1610&lt;&gt;"",IF(INDEX(CalcDocA,$M1610)="","—",INDEX(CalcDocA,$M1610)),IF($N1610&lt;&gt;"",INDEX(CalcBankB,$N1610),""))</f>
        <v/>
      </c>
      <c r="E1610" s="28">
        <f>IF($N1610&lt;&gt;"",IF(INDEX(CalcDepB,$N1610)=0,"",INDEX(CalcDepB,$N1610)),"")</f>
        <v/>
      </c>
      <c r="F1610" s="28">
        <f>IF($M1610&lt;&gt;"",IF(INDEX(CalcQtyA,$M1610)=0,"",INDEX(CalcQtyA,$M1610)),"")</f>
        <v/>
      </c>
      <c r="G1610" s="28">
        <f>IF($M1610&lt;&gt;"",IF(INDEX(CalcPriceA,$M1610)=0,"",INDEX(CalcPriceA,$M1610)),"")</f>
        <v/>
      </c>
      <c r="H1610" s="28">
        <f>IF($N1610&lt;&gt;"",IF(INDEX(CalcWitB,$N1610)=0,"",INDEX(CalcWitB,$N1610)),"")</f>
        <v/>
      </c>
      <c r="I1610" s="29">
        <f>IF($M1610&lt;&gt;"",INDEX(CalcAmtA,$M1610),"")</f>
        <v/>
      </c>
      <c r="J1610" s="29">
        <f>IF($B1610="","",IF($J1609="",$C$8,$J1609)+IF($I1610="",0,$I1610)+IF($E1610="",0,$E1610)-IF($H1610="",0,$H1610))</f>
        <v/>
      </c>
      <c r="K1610" s="30">
        <f>IF($M1610&lt;&gt;"",IF(INDEX(CalcNoteA,$M1610)="","—",INDEX(CalcNoteA,$M1610)),IF($N1610&lt;&gt;"",IF(INDEX(CalcNoteB,$N1610)="","—",INDEX(CalcNoteB,$N1610)),""))</f>
        <v/>
      </c>
      <c r="M1610">
        <f>IFERROR(MATCH($C$5&amp;"|"&amp;RIGHT("000000"&amp;1594,6),CalcRankKeyA,0),"")</f>
        <v/>
      </c>
      <c r="N1610">
        <f>IFERROR(MATCH($C$5&amp;"|"&amp;RIGHT("000000"&amp;1594,6),CalcRankKeyB,0),"")</f>
        <v/>
      </c>
    </row>
    <row r="1611">
      <c r="A1611" s="21" t="n">
        <v>1595</v>
      </c>
      <c r="B1611" s="22">
        <f>IF(AND($M1611="",$N1611=""),"",IF($M1611&lt;&gt;"",INDEX(CalcDateA,$M1611),INDEX(CalcDateB,$N1611)))</f>
        <v/>
      </c>
      <c r="C1611" s="22">
        <f>IF($M1611&lt;&gt;"","خرید سبد",IF($N1611&lt;&gt;"",IF(N(INDEX(CalcDepB,$N1611))&gt;0,"دریافت بانکی","پرداخت بانکی"),""))</f>
        <v/>
      </c>
      <c r="D1611" s="22">
        <f>IF($M1611&lt;&gt;"",IF(INDEX(CalcDocA,$M1611)="","—",INDEX(CalcDocA,$M1611)),IF($N1611&lt;&gt;"",INDEX(CalcBankB,$N1611),""))</f>
        <v/>
      </c>
      <c r="E1611" s="23">
        <f>IF($N1611&lt;&gt;"",IF(INDEX(CalcDepB,$N1611)=0,"",INDEX(CalcDepB,$N1611)),"")</f>
        <v/>
      </c>
      <c r="F1611" s="23">
        <f>IF($M1611&lt;&gt;"",IF(INDEX(CalcQtyA,$M1611)=0,"",INDEX(CalcQtyA,$M1611)),"")</f>
        <v/>
      </c>
      <c r="G1611" s="23">
        <f>IF($M1611&lt;&gt;"",IF(INDEX(CalcPriceA,$M1611)=0,"",INDEX(CalcPriceA,$M1611)),"")</f>
        <v/>
      </c>
      <c r="H1611" s="23">
        <f>IF($N1611&lt;&gt;"",IF(INDEX(CalcWitB,$N1611)=0,"",INDEX(CalcWitB,$N1611)),"")</f>
        <v/>
      </c>
      <c r="I1611" s="24">
        <f>IF($M1611&lt;&gt;"",INDEX(CalcAmtA,$M1611),"")</f>
        <v/>
      </c>
      <c r="J1611" s="24">
        <f>IF($B1611="","",IF($J1610="",$C$8,$J1610)+IF($I1611="",0,$I1611)+IF($E1611="",0,$E1611)-IF($H1611="",0,$H1611))</f>
        <v/>
      </c>
      <c r="K1611" s="25">
        <f>IF($M1611&lt;&gt;"",IF(INDEX(CalcNoteA,$M1611)="","—",INDEX(CalcNoteA,$M1611)),IF($N1611&lt;&gt;"",IF(INDEX(CalcNoteB,$N1611)="","—",INDEX(CalcNoteB,$N1611)),""))</f>
        <v/>
      </c>
      <c r="M1611">
        <f>IFERROR(MATCH($C$5&amp;"|"&amp;RIGHT("000000"&amp;1595,6),CalcRankKeyA,0),"")</f>
        <v/>
      </c>
      <c r="N1611">
        <f>IFERROR(MATCH($C$5&amp;"|"&amp;RIGHT("000000"&amp;1595,6),CalcRankKeyB,0),"")</f>
        <v/>
      </c>
    </row>
    <row r="1612">
      <c r="A1612" s="26" t="n">
        <v>1596</v>
      </c>
      <c r="B1612" s="27">
        <f>IF(AND($M1612="",$N1612=""),"",IF($M1612&lt;&gt;"",INDEX(CalcDateA,$M1612),INDEX(CalcDateB,$N1612)))</f>
        <v/>
      </c>
      <c r="C1612" s="27">
        <f>IF($M1612&lt;&gt;"","خرید سبد",IF($N1612&lt;&gt;"",IF(N(INDEX(CalcDepB,$N1612))&gt;0,"دریافت بانکی","پرداخت بانکی"),""))</f>
        <v/>
      </c>
      <c r="D1612" s="27">
        <f>IF($M1612&lt;&gt;"",IF(INDEX(CalcDocA,$M1612)="","—",INDEX(CalcDocA,$M1612)),IF($N1612&lt;&gt;"",INDEX(CalcBankB,$N1612),""))</f>
        <v/>
      </c>
      <c r="E1612" s="28">
        <f>IF($N1612&lt;&gt;"",IF(INDEX(CalcDepB,$N1612)=0,"",INDEX(CalcDepB,$N1612)),"")</f>
        <v/>
      </c>
      <c r="F1612" s="28">
        <f>IF($M1612&lt;&gt;"",IF(INDEX(CalcQtyA,$M1612)=0,"",INDEX(CalcQtyA,$M1612)),"")</f>
        <v/>
      </c>
      <c r="G1612" s="28">
        <f>IF($M1612&lt;&gt;"",IF(INDEX(CalcPriceA,$M1612)=0,"",INDEX(CalcPriceA,$M1612)),"")</f>
        <v/>
      </c>
      <c r="H1612" s="28">
        <f>IF($N1612&lt;&gt;"",IF(INDEX(CalcWitB,$N1612)=0,"",INDEX(CalcWitB,$N1612)),"")</f>
        <v/>
      </c>
      <c r="I1612" s="29">
        <f>IF($M1612&lt;&gt;"",INDEX(CalcAmtA,$M1612),"")</f>
        <v/>
      </c>
      <c r="J1612" s="29">
        <f>IF($B1612="","",IF($J1611="",$C$8,$J1611)+IF($I1612="",0,$I1612)+IF($E1612="",0,$E1612)-IF($H1612="",0,$H1612))</f>
        <v/>
      </c>
      <c r="K1612" s="30">
        <f>IF($M1612&lt;&gt;"",IF(INDEX(CalcNoteA,$M1612)="","—",INDEX(CalcNoteA,$M1612)),IF($N1612&lt;&gt;"",IF(INDEX(CalcNoteB,$N1612)="","—",INDEX(CalcNoteB,$N1612)),""))</f>
        <v/>
      </c>
      <c r="M1612">
        <f>IFERROR(MATCH($C$5&amp;"|"&amp;RIGHT("000000"&amp;1596,6),CalcRankKeyA,0),"")</f>
        <v/>
      </c>
      <c r="N1612">
        <f>IFERROR(MATCH($C$5&amp;"|"&amp;RIGHT("000000"&amp;1596,6),CalcRankKeyB,0),"")</f>
        <v/>
      </c>
    </row>
    <row r="1613">
      <c r="A1613" s="21" t="n">
        <v>1597</v>
      </c>
      <c r="B1613" s="22">
        <f>IF(AND($M1613="",$N1613=""),"",IF($M1613&lt;&gt;"",INDEX(CalcDateA,$M1613),INDEX(CalcDateB,$N1613)))</f>
        <v/>
      </c>
      <c r="C1613" s="22">
        <f>IF($M1613&lt;&gt;"","خرید سبد",IF($N1613&lt;&gt;"",IF(N(INDEX(CalcDepB,$N1613))&gt;0,"دریافت بانکی","پرداخت بانکی"),""))</f>
        <v/>
      </c>
      <c r="D1613" s="22">
        <f>IF($M1613&lt;&gt;"",IF(INDEX(CalcDocA,$M1613)="","—",INDEX(CalcDocA,$M1613)),IF($N1613&lt;&gt;"",INDEX(CalcBankB,$N1613),""))</f>
        <v/>
      </c>
      <c r="E1613" s="23">
        <f>IF($N1613&lt;&gt;"",IF(INDEX(CalcDepB,$N1613)=0,"",INDEX(CalcDepB,$N1613)),"")</f>
        <v/>
      </c>
      <c r="F1613" s="23">
        <f>IF($M1613&lt;&gt;"",IF(INDEX(CalcQtyA,$M1613)=0,"",INDEX(CalcQtyA,$M1613)),"")</f>
        <v/>
      </c>
      <c r="G1613" s="23">
        <f>IF($M1613&lt;&gt;"",IF(INDEX(CalcPriceA,$M1613)=0,"",INDEX(CalcPriceA,$M1613)),"")</f>
        <v/>
      </c>
      <c r="H1613" s="23">
        <f>IF($N1613&lt;&gt;"",IF(INDEX(CalcWitB,$N1613)=0,"",INDEX(CalcWitB,$N1613)),"")</f>
        <v/>
      </c>
      <c r="I1613" s="24">
        <f>IF($M1613&lt;&gt;"",INDEX(CalcAmtA,$M1613),"")</f>
        <v/>
      </c>
      <c r="J1613" s="24">
        <f>IF($B1613="","",IF($J1612="",$C$8,$J1612)+IF($I1613="",0,$I1613)+IF($E1613="",0,$E1613)-IF($H1613="",0,$H1613))</f>
        <v/>
      </c>
      <c r="K1613" s="25">
        <f>IF($M1613&lt;&gt;"",IF(INDEX(CalcNoteA,$M1613)="","—",INDEX(CalcNoteA,$M1613)),IF($N1613&lt;&gt;"",IF(INDEX(CalcNoteB,$N1613)="","—",INDEX(CalcNoteB,$N1613)),""))</f>
        <v/>
      </c>
      <c r="M1613">
        <f>IFERROR(MATCH($C$5&amp;"|"&amp;RIGHT("000000"&amp;1597,6),CalcRankKeyA,0),"")</f>
        <v/>
      </c>
      <c r="N1613">
        <f>IFERROR(MATCH($C$5&amp;"|"&amp;RIGHT("000000"&amp;1597,6),CalcRankKeyB,0),"")</f>
        <v/>
      </c>
    </row>
    <row r="1614">
      <c r="A1614" s="26" t="n">
        <v>1598</v>
      </c>
      <c r="B1614" s="27">
        <f>IF(AND($M1614="",$N1614=""),"",IF($M1614&lt;&gt;"",INDEX(CalcDateA,$M1614),INDEX(CalcDateB,$N1614)))</f>
        <v/>
      </c>
      <c r="C1614" s="27">
        <f>IF($M1614&lt;&gt;"","خرید سبد",IF($N1614&lt;&gt;"",IF(N(INDEX(CalcDepB,$N1614))&gt;0,"دریافت بانکی","پرداخت بانکی"),""))</f>
        <v/>
      </c>
      <c r="D1614" s="27">
        <f>IF($M1614&lt;&gt;"",IF(INDEX(CalcDocA,$M1614)="","—",INDEX(CalcDocA,$M1614)),IF($N1614&lt;&gt;"",INDEX(CalcBankB,$N1614),""))</f>
        <v/>
      </c>
      <c r="E1614" s="28">
        <f>IF($N1614&lt;&gt;"",IF(INDEX(CalcDepB,$N1614)=0,"",INDEX(CalcDepB,$N1614)),"")</f>
        <v/>
      </c>
      <c r="F1614" s="28">
        <f>IF($M1614&lt;&gt;"",IF(INDEX(CalcQtyA,$M1614)=0,"",INDEX(CalcQtyA,$M1614)),"")</f>
        <v/>
      </c>
      <c r="G1614" s="28">
        <f>IF($M1614&lt;&gt;"",IF(INDEX(CalcPriceA,$M1614)=0,"",INDEX(CalcPriceA,$M1614)),"")</f>
        <v/>
      </c>
      <c r="H1614" s="28">
        <f>IF($N1614&lt;&gt;"",IF(INDEX(CalcWitB,$N1614)=0,"",INDEX(CalcWitB,$N1614)),"")</f>
        <v/>
      </c>
      <c r="I1614" s="29">
        <f>IF($M1614&lt;&gt;"",INDEX(CalcAmtA,$M1614),"")</f>
        <v/>
      </c>
      <c r="J1614" s="29">
        <f>IF($B1614="","",IF($J1613="",$C$8,$J1613)+IF($I1614="",0,$I1614)+IF($E1614="",0,$E1614)-IF($H1614="",0,$H1614))</f>
        <v/>
      </c>
      <c r="K1614" s="30">
        <f>IF($M1614&lt;&gt;"",IF(INDEX(CalcNoteA,$M1614)="","—",INDEX(CalcNoteA,$M1614)),IF($N1614&lt;&gt;"",IF(INDEX(CalcNoteB,$N1614)="","—",INDEX(CalcNoteB,$N1614)),""))</f>
        <v/>
      </c>
      <c r="M1614">
        <f>IFERROR(MATCH($C$5&amp;"|"&amp;RIGHT("000000"&amp;1598,6),CalcRankKeyA,0),"")</f>
        <v/>
      </c>
      <c r="N1614">
        <f>IFERROR(MATCH($C$5&amp;"|"&amp;RIGHT("000000"&amp;1598,6),CalcRankKeyB,0),"")</f>
        <v/>
      </c>
    </row>
    <row r="1615">
      <c r="A1615" s="21" t="n">
        <v>1599</v>
      </c>
      <c r="B1615" s="22">
        <f>IF(AND($M1615="",$N1615=""),"",IF($M1615&lt;&gt;"",INDEX(CalcDateA,$M1615),INDEX(CalcDateB,$N1615)))</f>
        <v/>
      </c>
      <c r="C1615" s="22">
        <f>IF($M1615&lt;&gt;"","خرید سبد",IF($N1615&lt;&gt;"",IF(N(INDEX(CalcDepB,$N1615))&gt;0,"دریافت بانکی","پرداخت بانکی"),""))</f>
        <v/>
      </c>
      <c r="D1615" s="22">
        <f>IF($M1615&lt;&gt;"",IF(INDEX(CalcDocA,$M1615)="","—",INDEX(CalcDocA,$M1615)),IF($N1615&lt;&gt;"",INDEX(CalcBankB,$N1615),""))</f>
        <v/>
      </c>
      <c r="E1615" s="23">
        <f>IF($N1615&lt;&gt;"",IF(INDEX(CalcDepB,$N1615)=0,"",INDEX(CalcDepB,$N1615)),"")</f>
        <v/>
      </c>
      <c r="F1615" s="23">
        <f>IF($M1615&lt;&gt;"",IF(INDEX(CalcQtyA,$M1615)=0,"",INDEX(CalcQtyA,$M1615)),"")</f>
        <v/>
      </c>
      <c r="G1615" s="23">
        <f>IF($M1615&lt;&gt;"",IF(INDEX(CalcPriceA,$M1615)=0,"",INDEX(CalcPriceA,$M1615)),"")</f>
        <v/>
      </c>
      <c r="H1615" s="23">
        <f>IF($N1615&lt;&gt;"",IF(INDEX(CalcWitB,$N1615)=0,"",INDEX(CalcWitB,$N1615)),"")</f>
        <v/>
      </c>
      <c r="I1615" s="24">
        <f>IF($M1615&lt;&gt;"",INDEX(CalcAmtA,$M1615),"")</f>
        <v/>
      </c>
      <c r="J1615" s="24">
        <f>IF($B1615="","",IF($J1614="",$C$8,$J1614)+IF($I1615="",0,$I1615)+IF($E1615="",0,$E1615)-IF($H1615="",0,$H1615))</f>
        <v/>
      </c>
      <c r="K1615" s="25">
        <f>IF($M1615&lt;&gt;"",IF(INDEX(CalcNoteA,$M1615)="","—",INDEX(CalcNoteA,$M1615)),IF($N1615&lt;&gt;"",IF(INDEX(CalcNoteB,$N1615)="","—",INDEX(CalcNoteB,$N1615)),""))</f>
        <v/>
      </c>
      <c r="M1615">
        <f>IFERROR(MATCH($C$5&amp;"|"&amp;RIGHT("000000"&amp;1599,6),CalcRankKeyA,0),"")</f>
        <v/>
      </c>
      <c r="N1615">
        <f>IFERROR(MATCH($C$5&amp;"|"&amp;RIGHT("000000"&amp;1599,6),CalcRankKeyB,0),"")</f>
        <v/>
      </c>
    </row>
    <row r="1616">
      <c r="A1616" s="26" t="n">
        <v>1600</v>
      </c>
      <c r="B1616" s="27">
        <f>IF(AND($M1616="",$N1616=""),"",IF($M1616&lt;&gt;"",INDEX(CalcDateA,$M1616),INDEX(CalcDateB,$N1616)))</f>
        <v/>
      </c>
      <c r="C1616" s="27">
        <f>IF($M1616&lt;&gt;"","خرید سبد",IF($N1616&lt;&gt;"",IF(N(INDEX(CalcDepB,$N1616))&gt;0,"دریافت بانکی","پرداخت بانکی"),""))</f>
        <v/>
      </c>
      <c r="D1616" s="27">
        <f>IF($M1616&lt;&gt;"",IF(INDEX(CalcDocA,$M1616)="","—",INDEX(CalcDocA,$M1616)),IF($N1616&lt;&gt;"",INDEX(CalcBankB,$N1616),""))</f>
        <v/>
      </c>
      <c r="E1616" s="28">
        <f>IF($N1616&lt;&gt;"",IF(INDEX(CalcDepB,$N1616)=0,"",INDEX(CalcDepB,$N1616)),"")</f>
        <v/>
      </c>
      <c r="F1616" s="28">
        <f>IF($M1616&lt;&gt;"",IF(INDEX(CalcQtyA,$M1616)=0,"",INDEX(CalcQtyA,$M1616)),"")</f>
        <v/>
      </c>
      <c r="G1616" s="28">
        <f>IF($M1616&lt;&gt;"",IF(INDEX(CalcPriceA,$M1616)=0,"",INDEX(CalcPriceA,$M1616)),"")</f>
        <v/>
      </c>
      <c r="H1616" s="28">
        <f>IF($N1616&lt;&gt;"",IF(INDEX(CalcWitB,$N1616)=0,"",INDEX(CalcWitB,$N1616)),"")</f>
        <v/>
      </c>
      <c r="I1616" s="29">
        <f>IF($M1616&lt;&gt;"",INDEX(CalcAmtA,$M1616),"")</f>
        <v/>
      </c>
      <c r="J1616" s="29">
        <f>IF($B1616="","",IF($J1615="",$C$8,$J1615)+IF($I1616="",0,$I1616)+IF($E1616="",0,$E1616)-IF($H1616="",0,$H1616))</f>
        <v/>
      </c>
      <c r="K1616" s="30">
        <f>IF($M1616&lt;&gt;"",IF(INDEX(CalcNoteA,$M1616)="","—",INDEX(CalcNoteA,$M1616)),IF($N1616&lt;&gt;"",IF(INDEX(CalcNoteB,$N1616)="","—",INDEX(CalcNoteB,$N1616)),""))</f>
        <v/>
      </c>
      <c r="M1616">
        <f>IFERROR(MATCH($C$5&amp;"|"&amp;RIGHT("000000"&amp;1600,6),CalcRankKeyA,0),"")</f>
        <v/>
      </c>
      <c r="N1616">
        <f>IFERROR(MATCH($C$5&amp;"|"&amp;RIGHT("000000"&amp;1600,6),CalcRankKeyB,0),"")</f>
        <v/>
      </c>
    </row>
    <row r="1617">
      <c r="A1617" s="21" t="n">
        <v>1601</v>
      </c>
      <c r="B1617" s="22">
        <f>IF(AND($M1617="",$N1617=""),"",IF($M1617&lt;&gt;"",INDEX(CalcDateA,$M1617),INDEX(CalcDateB,$N1617)))</f>
        <v/>
      </c>
      <c r="C1617" s="22">
        <f>IF($M1617&lt;&gt;"","خرید سبد",IF($N1617&lt;&gt;"",IF(N(INDEX(CalcDepB,$N1617))&gt;0,"دریافت بانکی","پرداخت بانکی"),""))</f>
        <v/>
      </c>
      <c r="D1617" s="22">
        <f>IF($M1617&lt;&gt;"",IF(INDEX(CalcDocA,$M1617)="","—",INDEX(CalcDocA,$M1617)),IF($N1617&lt;&gt;"",INDEX(CalcBankB,$N1617),""))</f>
        <v/>
      </c>
      <c r="E1617" s="23">
        <f>IF($N1617&lt;&gt;"",IF(INDEX(CalcDepB,$N1617)=0,"",INDEX(CalcDepB,$N1617)),"")</f>
        <v/>
      </c>
      <c r="F1617" s="23">
        <f>IF($M1617&lt;&gt;"",IF(INDEX(CalcQtyA,$M1617)=0,"",INDEX(CalcQtyA,$M1617)),"")</f>
        <v/>
      </c>
      <c r="G1617" s="23">
        <f>IF($M1617&lt;&gt;"",IF(INDEX(CalcPriceA,$M1617)=0,"",INDEX(CalcPriceA,$M1617)),"")</f>
        <v/>
      </c>
      <c r="H1617" s="23">
        <f>IF($N1617&lt;&gt;"",IF(INDEX(CalcWitB,$N1617)=0,"",INDEX(CalcWitB,$N1617)),"")</f>
        <v/>
      </c>
      <c r="I1617" s="24">
        <f>IF($M1617&lt;&gt;"",INDEX(CalcAmtA,$M1617),"")</f>
        <v/>
      </c>
      <c r="J1617" s="24">
        <f>IF($B1617="","",IF($J1616="",$C$8,$J1616)+IF($I1617="",0,$I1617)+IF($E1617="",0,$E1617)-IF($H1617="",0,$H1617))</f>
        <v/>
      </c>
      <c r="K1617" s="25">
        <f>IF($M1617&lt;&gt;"",IF(INDEX(CalcNoteA,$M1617)="","—",INDEX(CalcNoteA,$M1617)),IF($N1617&lt;&gt;"",IF(INDEX(CalcNoteB,$N1617)="","—",INDEX(CalcNoteB,$N1617)),""))</f>
        <v/>
      </c>
      <c r="M1617">
        <f>IFERROR(MATCH($C$5&amp;"|"&amp;RIGHT("000000"&amp;1601,6),CalcRankKeyA,0),"")</f>
        <v/>
      </c>
      <c r="N1617">
        <f>IFERROR(MATCH($C$5&amp;"|"&amp;RIGHT("000000"&amp;1601,6),CalcRankKeyB,0),"")</f>
        <v/>
      </c>
    </row>
    <row r="1618">
      <c r="A1618" s="26" t="n">
        <v>1602</v>
      </c>
      <c r="B1618" s="27">
        <f>IF(AND($M1618="",$N1618=""),"",IF($M1618&lt;&gt;"",INDEX(CalcDateA,$M1618),INDEX(CalcDateB,$N1618)))</f>
        <v/>
      </c>
      <c r="C1618" s="27">
        <f>IF($M1618&lt;&gt;"","خرید سبد",IF($N1618&lt;&gt;"",IF(N(INDEX(CalcDepB,$N1618))&gt;0,"دریافت بانکی","پرداخت بانکی"),""))</f>
        <v/>
      </c>
      <c r="D1618" s="27">
        <f>IF($M1618&lt;&gt;"",IF(INDEX(CalcDocA,$M1618)="","—",INDEX(CalcDocA,$M1618)),IF($N1618&lt;&gt;"",INDEX(CalcBankB,$N1618),""))</f>
        <v/>
      </c>
      <c r="E1618" s="28">
        <f>IF($N1618&lt;&gt;"",IF(INDEX(CalcDepB,$N1618)=0,"",INDEX(CalcDepB,$N1618)),"")</f>
        <v/>
      </c>
      <c r="F1618" s="28">
        <f>IF($M1618&lt;&gt;"",IF(INDEX(CalcQtyA,$M1618)=0,"",INDEX(CalcQtyA,$M1618)),"")</f>
        <v/>
      </c>
      <c r="G1618" s="28">
        <f>IF($M1618&lt;&gt;"",IF(INDEX(CalcPriceA,$M1618)=0,"",INDEX(CalcPriceA,$M1618)),"")</f>
        <v/>
      </c>
      <c r="H1618" s="28">
        <f>IF($N1618&lt;&gt;"",IF(INDEX(CalcWitB,$N1618)=0,"",INDEX(CalcWitB,$N1618)),"")</f>
        <v/>
      </c>
      <c r="I1618" s="29">
        <f>IF($M1618&lt;&gt;"",INDEX(CalcAmtA,$M1618),"")</f>
        <v/>
      </c>
      <c r="J1618" s="29">
        <f>IF($B1618="","",IF($J1617="",$C$8,$J1617)+IF($I1618="",0,$I1618)+IF($E1618="",0,$E1618)-IF($H1618="",0,$H1618))</f>
        <v/>
      </c>
      <c r="K1618" s="30">
        <f>IF($M1618&lt;&gt;"",IF(INDEX(CalcNoteA,$M1618)="","—",INDEX(CalcNoteA,$M1618)),IF($N1618&lt;&gt;"",IF(INDEX(CalcNoteB,$N1618)="","—",INDEX(CalcNoteB,$N1618)),""))</f>
        <v/>
      </c>
      <c r="M1618">
        <f>IFERROR(MATCH($C$5&amp;"|"&amp;RIGHT("000000"&amp;1602,6),CalcRankKeyA,0),"")</f>
        <v/>
      </c>
      <c r="N1618">
        <f>IFERROR(MATCH($C$5&amp;"|"&amp;RIGHT("000000"&amp;1602,6),CalcRankKeyB,0),"")</f>
        <v/>
      </c>
    </row>
    <row r="1619">
      <c r="A1619" s="21" t="n">
        <v>1603</v>
      </c>
      <c r="B1619" s="22">
        <f>IF(AND($M1619="",$N1619=""),"",IF($M1619&lt;&gt;"",INDEX(CalcDateA,$M1619),INDEX(CalcDateB,$N1619)))</f>
        <v/>
      </c>
      <c r="C1619" s="22">
        <f>IF($M1619&lt;&gt;"","خرید سبد",IF($N1619&lt;&gt;"",IF(N(INDEX(CalcDepB,$N1619))&gt;0,"دریافت بانکی","پرداخت بانکی"),""))</f>
        <v/>
      </c>
      <c r="D1619" s="22">
        <f>IF($M1619&lt;&gt;"",IF(INDEX(CalcDocA,$M1619)="","—",INDEX(CalcDocA,$M1619)),IF($N1619&lt;&gt;"",INDEX(CalcBankB,$N1619),""))</f>
        <v/>
      </c>
      <c r="E1619" s="23">
        <f>IF($N1619&lt;&gt;"",IF(INDEX(CalcDepB,$N1619)=0,"",INDEX(CalcDepB,$N1619)),"")</f>
        <v/>
      </c>
      <c r="F1619" s="23">
        <f>IF($M1619&lt;&gt;"",IF(INDEX(CalcQtyA,$M1619)=0,"",INDEX(CalcQtyA,$M1619)),"")</f>
        <v/>
      </c>
      <c r="G1619" s="23">
        <f>IF($M1619&lt;&gt;"",IF(INDEX(CalcPriceA,$M1619)=0,"",INDEX(CalcPriceA,$M1619)),"")</f>
        <v/>
      </c>
      <c r="H1619" s="23">
        <f>IF($N1619&lt;&gt;"",IF(INDEX(CalcWitB,$N1619)=0,"",INDEX(CalcWitB,$N1619)),"")</f>
        <v/>
      </c>
      <c r="I1619" s="24">
        <f>IF($M1619&lt;&gt;"",INDEX(CalcAmtA,$M1619),"")</f>
        <v/>
      </c>
      <c r="J1619" s="24">
        <f>IF($B1619="","",IF($J1618="",$C$8,$J1618)+IF($I1619="",0,$I1619)+IF($E1619="",0,$E1619)-IF($H1619="",0,$H1619))</f>
        <v/>
      </c>
      <c r="K1619" s="25">
        <f>IF($M1619&lt;&gt;"",IF(INDEX(CalcNoteA,$M1619)="","—",INDEX(CalcNoteA,$M1619)),IF($N1619&lt;&gt;"",IF(INDEX(CalcNoteB,$N1619)="","—",INDEX(CalcNoteB,$N1619)),""))</f>
        <v/>
      </c>
      <c r="M1619">
        <f>IFERROR(MATCH($C$5&amp;"|"&amp;RIGHT("000000"&amp;1603,6),CalcRankKeyA,0),"")</f>
        <v/>
      </c>
      <c r="N1619">
        <f>IFERROR(MATCH($C$5&amp;"|"&amp;RIGHT("000000"&amp;1603,6),CalcRankKeyB,0),"")</f>
        <v/>
      </c>
    </row>
    <row r="1620">
      <c r="A1620" s="26" t="n">
        <v>1604</v>
      </c>
      <c r="B1620" s="27">
        <f>IF(AND($M1620="",$N1620=""),"",IF($M1620&lt;&gt;"",INDEX(CalcDateA,$M1620),INDEX(CalcDateB,$N1620)))</f>
        <v/>
      </c>
      <c r="C1620" s="27">
        <f>IF($M1620&lt;&gt;"","خرید سبد",IF($N1620&lt;&gt;"",IF(N(INDEX(CalcDepB,$N1620))&gt;0,"دریافت بانکی","پرداخت بانکی"),""))</f>
        <v/>
      </c>
      <c r="D1620" s="27">
        <f>IF($M1620&lt;&gt;"",IF(INDEX(CalcDocA,$M1620)="","—",INDEX(CalcDocA,$M1620)),IF($N1620&lt;&gt;"",INDEX(CalcBankB,$N1620),""))</f>
        <v/>
      </c>
      <c r="E1620" s="28">
        <f>IF($N1620&lt;&gt;"",IF(INDEX(CalcDepB,$N1620)=0,"",INDEX(CalcDepB,$N1620)),"")</f>
        <v/>
      </c>
      <c r="F1620" s="28">
        <f>IF($M1620&lt;&gt;"",IF(INDEX(CalcQtyA,$M1620)=0,"",INDEX(CalcQtyA,$M1620)),"")</f>
        <v/>
      </c>
      <c r="G1620" s="28">
        <f>IF($M1620&lt;&gt;"",IF(INDEX(CalcPriceA,$M1620)=0,"",INDEX(CalcPriceA,$M1620)),"")</f>
        <v/>
      </c>
      <c r="H1620" s="28">
        <f>IF($N1620&lt;&gt;"",IF(INDEX(CalcWitB,$N1620)=0,"",INDEX(CalcWitB,$N1620)),"")</f>
        <v/>
      </c>
      <c r="I1620" s="29">
        <f>IF($M1620&lt;&gt;"",INDEX(CalcAmtA,$M1620),"")</f>
        <v/>
      </c>
      <c r="J1620" s="29">
        <f>IF($B1620="","",IF($J1619="",$C$8,$J1619)+IF($I1620="",0,$I1620)+IF($E1620="",0,$E1620)-IF($H1620="",0,$H1620))</f>
        <v/>
      </c>
      <c r="K1620" s="30">
        <f>IF($M1620&lt;&gt;"",IF(INDEX(CalcNoteA,$M1620)="","—",INDEX(CalcNoteA,$M1620)),IF($N1620&lt;&gt;"",IF(INDEX(CalcNoteB,$N1620)="","—",INDEX(CalcNoteB,$N1620)),""))</f>
        <v/>
      </c>
      <c r="M1620">
        <f>IFERROR(MATCH($C$5&amp;"|"&amp;RIGHT("000000"&amp;1604,6),CalcRankKeyA,0),"")</f>
        <v/>
      </c>
      <c r="N1620">
        <f>IFERROR(MATCH($C$5&amp;"|"&amp;RIGHT("000000"&amp;1604,6),CalcRankKeyB,0),"")</f>
        <v/>
      </c>
    </row>
    <row r="1621">
      <c r="A1621" s="21" t="n">
        <v>1605</v>
      </c>
      <c r="B1621" s="22">
        <f>IF(AND($M1621="",$N1621=""),"",IF($M1621&lt;&gt;"",INDEX(CalcDateA,$M1621),INDEX(CalcDateB,$N1621)))</f>
        <v/>
      </c>
      <c r="C1621" s="22">
        <f>IF($M1621&lt;&gt;"","خرید سبد",IF($N1621&lt;&gt;"",IF(N(INDEX(CalcDepB,$N1621))&gt;0,"دریافت بانکی","پرداخت بانکی"),""))</f>
        <v/>
      </c>
      <c r="D1621" s="22">
        <f>IF($M1621&lt;&gt;"",IF(INDEX(CalcDocA,$M1621)="","—",INDEX(CalcDocA,$M1621)),IF($N1621&lt;&gt;"",INDEX(CalcBankB,$N1621),""))</f>
        <v/>
      </c>
      <c r="E1621" s="23">
        <f>IF($N1621&lt;&gt;"",IF(INDEX(CalcDepB,$N1621)=0,"",INDEX(CalcDepB,$N1621)),"")</f>
        <v/>
      </c>
      <c r="F1621" s="23">
        <f>IF($M1621&lt;&gt;"",IF(INDEX(CalcQtyA,$M1621)=0,"",INDEX(CalcQtyA,$M1621)),"")</f>
        <v/>
      </c>
      <c r="G1621" s="23">
        <f>IF($M1621&lt;&gt;"",IF(INDEX(CalcPriceA,$M1621)=0,"",INDEX(CalcPriceA,$M1621)),"")</f>
        <v/>
      </c>
      <c r="H1621" s="23">
        <f>IF($N1621&lt;&gt;"",IF(INDEX(CalcWitB,$N1621)=0,"",INDEX(CalcWitB,$N1621)),"")</f>
        <v/>
      </c>
      <c r="I1621" s="24">
        <f>IF($M1621&lt;&gt;"",INDEX(CalcAmtA,$M1621),"")</f>
        <v/>
      </c>
      <c r="J1621" s="24">
        <f>IF($B1621="","",IF($J1620="",$C$8,$J1620)+IF($I1621="",0,$I1621)+IF($E1621="",0,$E1621)-IF($H1621="",0,$H1621))</f>
        <v/>
      </c>
      <c r="K1621" s="25">
        <f>IF($M1621&lt;&gt;"",IF(INDEX(CalcNoteA,$M1621)="","—",INDEX(CalcNoteA,$M1621)),IF($N1621&lt;&gt;"",IF(INDEX(CalcNoteB,$N1621)="","—",INDEX(CalcNoteB,$N1621)),""))</f>
        <v/>
      </c>
      <c r="M1621">
        <f>IFERROR(MATCH($C$5&amp;"|"&amp;RIGHT("000000"&amp;1605,6),CalcRankKeyA,0),"")</f>
        <v/>
      </c>
      <c r="N1621">
        <f>IFERROR(MATCH($C$5&amp;"|"&amp;RIGHT("000000"&amp;1605,6),CalcRankKeyB,0),"")</f>
        <v/>
      </c>
    </row>
    <row r="1622">
      <c r="A1622" s="26" t="n">
        <v>1606</v>
      </c>
      <c r="B1622" s="27">
        <f>IF(AND($M1622="",$N1622=""),"",IF($M1622&lt;&gt;"",INDEX(CalcDateA,$M1622),INDEX(CalcDateB,$N1622)))</f>
        <v/>
      </c>
      <c r="C1622" s="27">
        <f>IF($M1622&lt;&gt;"","خرید سبد",IF($N1622&lt;&gt;"",IF(N(INDEX(CalcDepB,$N1622))&gt;0,"دریافت بانکی","پرداخت بانکی"),""))</f>
        <v/>
      </c>
      <c r="D1622" s="27">
        <f>IF($M1622&lt;&gt;"",IF(INDEX(CalcDocA,$M1622)="","—",INDEX(CalcDocA,$M1622)),IF($N1622&lt;&gt;"",INDEX(CalcBankB,$N1622),""))</f>
        <v/>
      </c>
      <c r="E1622" s="28">
        <f>IF($N1622&lt;&gt;"",IF(INDEX(CalcDepB,$N1622)=0,"",INDEX(CalcDepB,$N1622)),"")</f>
        <v/>
      </c>
      <c r="F1622" s="28">
        <f>IF($M1622&lt;&gt;"",IF(INDEX(CalcQtyA,$M1622)=0,"",INDEX(CalcQtyA,$M1622)),"")</f>
        <v/>
      </c>
      <c r="G1622" s="28">
        <f>IF($M1622&lt;&gt;"",IF(INDEX(CalcPriceA,$M1622)=0,"",INDEX(CalcPriceA,$M1622)),"")</f>
        <v/>
      </c>
      <c r="H1622" s="28">
        <f>IF($N1622&lt;&gt;"",IF(INDEX(CalcWitB,$N1622)=0,"",INDEX(CalcWitB,$N1622)),"")</f>
        <v/>
      </c>
      <c r="I1622" s="29">
        <f>IF($M1622&lt;&gt;"",INDEX(CalcAmtA,$M1622),"")</f>
        <v/>
      </c>
      <c r="J1622" s="29">
        <f>IF($B1622="","",IF($J1621="",$C$8,$J1621)+IF($I1622="",0,$I1622)+IF($E1622="",0,$E1622)-IF($H1622="",0,$H1622))</f>
        <v/>
      </c>
      <c r="K1622" s="30">
        <f>IF($M1622&lt;&gt;"",IF(INDEX(CalcNoteA,$M1622)="","—",INDEX(CalcNoteA,$M1622)),IF($N1622&lt;&gt;"",IF(INDEX(CalcNoteB,$N1622)="","—",INDEX(CalcNoteB,$N1622)),""))</f>
        <v/>
      </c>
      <c r="M1622">
        <f>IFERROR(MATCH($C$5&amp;"|"&amp;RIGHT("000000"&amp;1606,6),CalcRankKeyA,0),"")</f>
        <v/>
      </c>
      <c r="N1622">
        <f>IFERROR(MATCH($C$5&amp;"|"&amp;RIGHT("000000"&amp;1606,6),CalcRankKeyB,0),"")</f>
        <v/>
      </c>
    </row>
    <row r="1623">
      <c r="A1623" s="21" t="n">
        <v>1607</v>
      </c>
      <c r="B1623" s="22">
        <f>IF(AND($M1623="",$N1623=""),"",IF($M1623&lt;&gt;"",INDEX(CalcDateA,$M1623),INDEX(CalcDateB,$N1623)))</f>
        <v/>
      </c>
      <c r="C1623" s="22">
        <f>IF($M1623&lt;&gt;"","خرید سبد",IF($N1623&lt;&gt;"",IF(N(INDEX(CalcDepB,$N1623))&gt;0,"دریافت بانکی","پرداخت بانکی"),""))</f>
        <v/>
      </c>
      <c r="D1623" s="22">
        <f>IF($M1623&lt;&gt;"",IF(INDEX(CalcDocA,$M1623)="","—",INDEX(CalcDocA,$M1623)),IF($N1623&lt;&gt;"",INDEX(CalcBankB,$N1623),""))</f>
        <v/>
      </c>
      <c r="E1623" s="23">
        <f>IF($N1623&lt;&gt;"",IF(INDEX(CalcDepB,$N1623)=0,"",INDEX(CalcDepB,$N1623)),"")</f>
        <v/>
      </c>
      <c r="F1623" s="23">
        <f>IF($M1623&lt;&gt;"",IF(INDEX(CalcQtyA,$M1623)=0,"",INDEX(CalcQtyA,$M1623)),"")</f>
        <v/>
      </c>
      <c r="G1623" s="23">
        <f>IF($M1623&lt;&gt;"",IF(INDEX(CalcPriceA,$M1623)=0,"",INDEX(CalcPriceA,$M1623)),"")</f>
        <v/>
      </c>
      <c r="H1623" s="23">
        <f>IF($N1623&lt;&gt;"",IF(INDEX(CalcWitB,$N1623)=0,"",INDEX(CalcWitB,$N1623)),"")</f>
        <v/>
      </c>
      <c r="I1623" s="24">
        <f>IF($M1623&lt;&gt;"",INDEX(CalcAmtA,$M1623),"")</f>
        <v/>
      </c>
      <c r="J1623" s="24">
        <f>IF($B1623="","",IF($J1622="",$C$8,$J1622)+IF($I1623="",0,$I1623)+IF($E1623="",0,$E1623)-IF($H1623="",0,$H1623))</f>
        <v/>
      </c>
      <c r="K1623" s="25">
        <f>IF($M1623&lt;&gt;"",IF(INDEX(CalcNoteA,$M1623)="","—",INDEX(CalcNoteA,$M1623)),IF($N1623&lt;&gt;"",IF(INDEX(CalcNoteB,$N1623)="","—",INDEX(CalcNoteB,$N1623)),""))</f>
        <v/>
      </c>
      <c r="M1623">
        <f>IFERROR(MATCH($C$5&amp;"|"&amp;RIGHT("000000"&amp;1607,6),CalcRankKeyA,0),"")</f>
        <v/>
      </c>
      <c r="N1623">
        <f>IFERROR(MATCH($C$5&amp;"|"&amp;RIGHT("000000"&amp;1607,6),CalcRankKeyB,0),"")</f>
        <v/>
      </c>
    </row>
    <row r="1624">
      <c r="A1624" s="26" t="n">
        <v>1608</v>
      </c>
      <c r="B1624" s="27">
        <f>IF(AND($M1624="",$N1624=""),"",IF($M1624&lt;&gt;"",INDEX(CalcDateA,$M1624),INDEX(CalcDateB,$N1624)))</f>
        <v/>
      </c>
      <c r="C1624" s="27">
        <f>IF($M1624&lt;&gt;"","خرید سبد",IF($N1624&lt;&gt;"",IF(N(INDEX(CalcDepB,$N1624))&gt;0,"دریافت بانکی","پرداخت بانکی"),""))</f>
        <v/>
      </c>
      <c r="D1624" s="27">
        <f>IF($M1624&lt;&gt;"",IF(INDEX(CalcDocA,$M1624)="","—",INDEX(CalcDocA,$M1624)),IF($N1624&lt;&gt;"",INDEX(CalcBankB,$N1624),""))</f>
        <v/>
      </c>
      <c r="E1624" s="28">
        <f>IF($N1624&lt;&gt;"",IF(INDEX(CalcDepB,$N1624)=0,"",INDEX(CalcDepB,$N1624)),"")</f>
        <v/>
      </c>
      <c r="F1624" s="28">
        <f>IF($M1624&lt;&gt;"",IF(INDEX(CalcQtyA,$M1624)=0,"",INDEX(CalcQtyA,$M1624)),"")</f>
        <v/>
      </c>
      <c r="G1624" s="28">
        <f>IF($M1624&lt;&gt;"",IF(INDEX(CalcPriceA,$M1624)=0,"",INDEX(CalcPriceA,$M1624)),"")</f>
        <v/>
      </c>
      <c r="H1624" s="28">
        <f>IF($N1624&lt;&gt;"",IF(INDEX(CalcWitB,$N1624)=0,"",INDEX(CalcWitB,$N1624)),"")</f>
        <v/>
      </c>
      <c r="I1624" s="29">
        <f>IF($M1624&lt;&gt;"",INDEX(CalcAmtA,$M1624),"")</f>
        <v/>
      </c>
      <c r="J1624" s="29">
        <f>IF($B1624="","",IF($J1623="",$C$8,$J1623)+IF($I1624="",0,$I1624)+IF($E1624="",0,$E1624)-IF($H1624="",0,$H1624))</f>
        <v/>
      </c>
      <c r="K1624" s="30">
        <f>IF($M1624&lt;&gt;"",IF(INDEX(CalcNoteA,$M1624)="","—",INDEX(CalcNoteA,$M1624)),IF($N1624&lt;&gt;"",IF(INDEX(CalcNoteB,$N1624)="","—",INDEX(CalcNoteB,$N1624)),""))</f>
        <v/>
      </c>
      <c r="M1624">
        <f>IFERROR(MATCH($C$5&amp;"|"&amp;RIGHT("000000"&amp;1608,6),CalcRankKeyA,0),"")</f>
        <v/>
      </c>
      <c r="N1624">
        <f>IFERROR(MATCH($C$5&amp;"|"&amp;RIGHT("000000"&amp;1608,6),CalcRankKeyB,0),"")</f>
        <v/>
      </c>
    </row>
    <row r="1625">
      <c r="A1625" s="21" t="n">
        <v>1609</v>
      </c>
      <c r="B1625" s="22">
        <f>IF(AND($M1625="",$N1625=""),"",IF($M1625&lt;&gt;"",INDEX(CalcDateA,$M1625),INDEX(CalcDateB,$N1625)))</f>
        <v/>
      </c>
      <c r="C1625" s="22">
        <f>IF($M1625&lt;&gt;"","خرید سبد",IF($N1625&lt;&gt;"",IF(N(INDEX(CalcDepB,$N1625))&gt;0,"دریافت بانکی","پرداخت بانکی"),""))</f>
        <v/>
      </c>
      <c r="D1625" s="22">
        <f>IF($M1625&lt;&gt;"",IF(INDEX(CalcDocA,$M1625)="","—",INDEX(CalcDocA,$M1625)),IF($N1625&lt;&gt;"",INDEX(CalcBankB,$N1625),""))</f>
        <v/>
      </c>
      <c r="E1625" s="23">
        <f>IF($N1625&lt;&gt;"",IF(INDEX(CalcDepB,$N1625)=0,"",INDEX(CalcDepB,$N1625)),"")</f>
        <v/>
      </c>
      <c r="F1625" s="23">
        <f>IF($M1625&lt;&gt;"",IF(INDEX(CalcQtyA,$M1625)=0,"",INDEX(CalcQtyA,$M1625)),"")</f>
        <v/>
      </c>
      <c r="G1625" s="23">
        <f>IF($M1625&lt;&gt;"",IF(INDEX(CalcPriceA,$M1625)=0,"",INDEX(CalcPriceA,$M1625)),"")</f>
        <v/>
      </c>
      <c r="H1625" s="23">
        <f>IF($N1625&lt;&gt;"",IF(INDEX(CalcWitB,$N1625)=0,"",INDEX(CalcWitB,$N1625)),"")</f>
        <v/>
      </c>
      <c r="I1625" s="24">
        <f>IF($M1625&lt;&gt;"",INDEX(CalcAmtA,$M1625),"")</f>
        <v/>
      </c>
      <c r="J1625" s="24">
        <f>IF($B1625="","",IF($J1624="",$C$8,$J1624)+IF($I1625="",0,$I1625)+IF($E1625="",0,$E1625)-IF($H1625="",0,$H1625))</f>
        <v/>
      </c>
      <c r="K1625" s="25">
        <f>IF($M1625&lt;&gt;"",IF(INDEX(CalcNoteA,$M1625)="","—",INDEX(CalcNoteA,$M1625)),IF($N1625&lt;&gt;"",IF(INDEX(CalcNoteB,$N1625)="","—",INDEX(CalcNoteB,$N1625)),""))</f>
        <v/>
      </c>
      <c r="M1625">
        <f>IFERROR(MATCH($C$5&amp;"|"&amp;RIGHT("000000"&amp;1609,6),CalcRankKeyA,0),"")</f>
        <v/>
      </c>
      <c r="N1625">
        <f>IFERROR(MATCH($C$5&amp;"|"&amp;RIGHT("000000"&amp;1609,6),CalcRankKeyB,0),"")</f>
        <v/>
      </c>
    </row>
    <row r="1626">
      <c r="A1626" s="26" t="n">
        <v>1610</v>
      </c>
      <c r="B1626" s="27">
        <f>IF(AND($M1626="",$N1626=""),"",IF($M1626&lt;&gt;"",INDEX(CalcDateA,$M1626),INDEX(CalcDateB,$N1626)))</f>
        <v/>
      </c>
      <c r="C1626" s="27">
        <f>IF($M1626&lt;&gt;"","خرید سبد",IF($N1626&lt;&gt;"",IF(N(INDEX(CalcDepB,$N1626))&gt;0,"دریافت بانکی","پرداخت بانکی"),""))</f>
        <v/>
      </c>
      <c r="D1626" s="27">
        <f>IF($M1626&lt;&gt;"",IF(INDEX(CalcDocA,$M1626)="","—",INDEX(CalcDocA,$M1626)),IF($N1626&lt;&gt;"",INDEX(CalcBankB,$N1626),""))</f>
        <v/>
      </c>
      <c r="E1626" s="28">
        <f>IF($N1626&lt;&gt;"",IF(INDEX(CalcDepB,$N1626)=0,"",INDEX(CalcDepB,$N1626)),"")</f>
        <v/>
      </c>
      <c r="F1626" s="28">
        <f>IF($M1626&lt;&gt;"",IF(INDEX(CalcQtyA,$M1626)=0,"",INDEX(CalcQtyA,$M1626)),"")</f>
        <v/>
      </c>
      <c r="G1626" s="28">
        <f>IF($M1626&lt;&gt;"",IF(INDEX(CalcPriceA,$M1626)=0,"",INDEX(CalcPriceA,$M1626)),"")</f>
        <v/>
      </c>
      <c r="H1626" s="28">
        <f>IF($N1626&lt;&gt;"",IF(INDEX(CalcWitB,$N1626)=0,"",INDEX(CalcWitB,$N1626)),"")</f>
        <v/>
      </c>
      <c r="I1626" s="29">
        <f>IF($M1626&lt;&gt;"",INDEX(CalcAmtA,$M1626),"")</f>
        <v/>
      </c>
      <c r="J1626" s="29">
        <f>IF($B1626="","",IF($J1625="",$C$8,$J1625)+IF($I1626="",0,$I1626)+IF($E1626="",0,$E1626)-IF($H1626="",0,$H1626))</f>
        <v/>
      </c>
      <c r="K1626" s="30">
        <f>IF($M1626&lt;&gt;"",IF(INDEX(CalcNoteA,$M1626)="","—",INDEX(CalcNoteA,$M1626)),IF($N1626&lt;&gt;"",IF(INDEX(CalcNoteB,$N1626)="","—",INDEX(CalcNoteB,$N1626)),""))</f>
        <v/>
      </c>
      <c r="M1626">
        <f>IFERROR(MATCH($C$5&amp;"|"&amp;RIGHT("000000"&amp;1610,6),CalcRankKeyA,0),"")</f>
        <v/>
      </c>
      <c r="N1626">
        <f>IFERROR(MATCH($C$5&amp;"|"&amp;RIGHT("000000"&amp;1610,6),CalcRankKeyB,0),"")</f>
        <v/>
      </c>
    </row>
    <row r="1627">
      <c r="A1627" s="21" t="n">
        <v>1611</v>
      </c>
      <c r="B1627" s="22">
        <f>IF(AND($M1627="",$N1627=""),"",IF($M1627&lt;&gt;"",INDEX(CalcDateA,$M1627),INDEX(CalcDateB,$N1627)))</f>
        <v/>
      </c>
      <c r="C1627" s="22">
        <f>IF($M1627&lt;&gt;"","خرید سبد",IF($N1627&lt;&gt;"",IF(N(INDEX(CalcDepB,$N1627))&gt;0,"دریافت بانکی","پرداخت بانکی"),""))</f>
        <v/>
      </c>
      <c r="D1627" s="22">
        <f>IF($M1627&lt;&gt;"",IF(INDEX(CalcDocA,$M1627)="","—",INDEX(CalcDocA,$M1627)),IF($N1627&lt;&gt;"",INDEX(CalcBankB,$N1627),""))</f>
        <v/>
      </c>
      <c r="E1627" s="23">
        <f>IF($N1627&lt;&gt;"",IF(INDEX(CalcDepB,$N1627)=0,"",INDEX(CalcDepB,$N1627)),"")</f>
        <v/>
      </c>
      <c r="F1627" s="23">
        <f>IF($M1627&lt;&gt;"",IF(INDEX(CalcQtyA,$M1627)=0,"",INDEX(CalcQtyA,$M1627)),"")</f>
        <v/>
      </c>
      <c r="G1627" s="23">
        <f>IF($M1627&lt;&gt;"",IF(INDEX(CalcPriceA,$M1627)=0,"",INDEX(CalcPriceA,$M1627)),"")</f>
        <v/>
      </c>
      <c r="H1627" s="23">
        <f>IF($N1627&lt;&gt;"",IF(INDEX(CalcWitB,$N1627)=0,"",INDEX(CalcWitB,$N1627)),"")</f>
        <v/>
      </c>
      <c r="I1627" s="24">
        <f>IF($M1627&lt;&gt;"",INDEX(CalcAmtA,$M1627),"")</f>
        <v/>
      </c>
      <c r="J1627" s="24">
        <f>IF($B1627="","",IF($J1626="",$C$8,$J1626)+IF($I1627="",0,$I1627)+IF($E1627="",0,$E1627)-IF($H1627="",0,$H1627))</f>
        <v/>
      </c>
      <c r="K1627" s="25">
        <f>IF($M1627&lt;&gt;"",IF(INDEX(CalcNoteA,$M1627)="","—",INDEX(CalcNoteA,$M1627)),IF($N1627&lt;&gt;"",IF(INDEX(CalcNoteB,$N1627)="","—",INDEX(CalcNoteB,$N1627)),""))</f>
        <v/>
      </c>
      <c r="M1627">
        <f>IFERROR(MATCH($C$5&amp;"|"&amp;RIGHT("000000"&amp;1611,6),CalcRankKeyA,0),"")</f>
        <v/>
      </c>
      <c r="N1627">
        <f>IFERROR(MATCH($C$5&amp;"|"&amp;RIGHT("000000"&amp;1611,6),CalcRankKeyB,0),"")</f>
        <v/>
      </c>
    </row>
    <row r="1628">
      <c r="A1628" s="26" t="n">
        <v>1612</v>
      </c>
      <c r="B1628" s="27">
        <f>IF(AND($M1628="",$N1628=""),"",IF($M1628&lt;&gt;"",INDEX(CalcDateA,$M1628),INDEX(CalcDateB,$N1628)))</f>
        <v/>
      </c>
      <c r="C1628" s="27">
        <f>IF($M1628&lt;&gt;"","خرید سبد",IF($N1628&lt;&gt;"",IF(N(INDEX(CalcDepB,$N1628))&gt;0,"دریافت بانکی","پرداخت بانکی"),""))</f>
        <v/>
      </c>
      <c r="D1628" s="27">
        <f>IF($M1628&lt;&gt;"",IF(INDEX(CalcDocA,$M1628)="","—",INDEX(CalcDocA,$M1628)),IF($N1628&lt;&gt;"",INDEX(CalcBankB,$N1628),""))</f>
        <v/>
      </c>
      <c r="E1628" s="28">
        <f>IF($N1628&lt;&gt;"",IF(INDEX(CalcDepB,$N1628)=0,"",INDEX(CalcDepB,$N1628)),"")</f>
        <v/>
      </c>
      <c r="F1628" s="28">
        <f>IF($M1628&lt;&gt;"",IF(INDEX(CalcQtyA,$M1628)=0,"",INDEX(CalcQtyA,$M1628)),"")</f>
        <v/>
      </c>
      <c r="G1628" s="28">
        <f>IF($M1628&lt;&gt;"",IF(INDEX(CalcPriceA,$M1628)=0,"",INDEX(CalcPriceA,$M1628)),"")</f>
        <v/>
      </c>
      <c r="H1628" s="28">
        <f>IF($N1628&lt;&gt;"",IF(INDEX(CalcWitB,$N1628)=0,"",INDEX(CalcWitB,$N1628)),"")</f>
        <v/>
      </c>
      <c r="I1628" s="29">
        <f>IF($M1628&lt;&gt;"",INDEX(CalcAmtA,$M1628),"")</f>
        <v/>
      </c>
      <c r="J1628" s="29">
        <f>IF($B1628="","",IF($J1627="",$C$8,$J1627)+IF($I1628="",0,$I1628)+IF($E1628="",0,$E1628)-IF($H1628="",0,$H1628))</f>
        <v/>
      </c>
      <c r="K1628" s="30">
        <f>IF($M1628&lt;&gt;"",IF(INDEX(CalcNoteA,$M1628)="","—",INDEX(CalcNoteA,$M1628)),IF($N1628&lt;&gt;"",IF(INDEX(CalcNoteB,$N1628)="","—",INDEX(CalcNoteB,$N1628)),""))</f>
        <v/>
      </c>
      <c r="M1628">
        <f>IFERROR(MATCH($C$5&amp;"|"&amp;RIGHT("000000"&amp;1612,6),CalcRankKeyA,0),"")</f>
        <v/>
      </c>
      <c r="N1628">
        <f>IFERROR(MATCH($C$5&amp;"|"&amp;RIGHT("000000"&amp;1612,6),CalcRankKeyB,0),"")</f>
        <v/>
      </c>
    </row>
    <row r="1629">
      <c r="A1629" s="21" t="n">
        <v>1613</v>
      </c>
      <c r="B1629" s="22">
        <f>IF(AND($M1629="",$N1629=""),"",IF($M1629&lt;&gt;"",INDEX(CalcDateA,$M1629),INDEX(CalcDateB,$N1629)))</f>
        <v/>
      </c>
      <c r="C1629" s="22">
        <f>IF($M1629&lt;&gt;"","خرید سبد",IF($N1629&lt;&gt;"",IF(N(INDEX(CalcDepB,$N1629))&gt;0,"دریافت بانکی","پرداخت بانکی"),""))</f>
        <v/>
      </c>
      <c r="D1629" s="22">
        <f>IF($M1629&lt;&gt;"",IF(INDEX(CalcDocA,$M1629)="","—",INDEX(CalcDocA,$M1629)),IF($N1629&lt;&gt;"",INDEX(CalcBankB,$N1629),""))</f>
        <v/>
      </c>
      <c r="E1629" s="23">
        <f>IF($N1629&lt;&gt;"",IF(INDEX(CalcDepB,$N1629)=0,"",INDEX(CalcDepB,$N1629)),"")</f>
        <v/>
      </c>
      <c r="F1629" s="23">
        <f>IF($M1629&lt;&gt;"",IF(INDEX(CalcQtyA,$M1629)=0,"",INDEX(CalcQtyA,$M1629)),"")</f>
        <v/>
      </c>
      <c r="G1629" s="23">
        <f>IF($M1629&lt;&gt;"",IF(INDEX(CalcPriceA,$M1629)=0,"",INDEX(CalcPriceA,$M1629)),"")</f>
        <v/>
      </c>
      <c r="H1629" s="23">
        <f>IF($N1629&lt;&gt;"",IF(INDEX(CalcWitB,$N1629)=0,"",INDEX(CalcWitB,$N1629)),"")</f>
        <v/>
      </c>
      <c r="I1629" s="24">
        <f>IF($M1629&lt;&gt;"",INDEX(CalcAmtA,$M1629),"")</f>
        <v/>
      </c>
      <c r="J1629" s="24">
        <f>IF($B1629="","",IF($J1628="",$C$8,$J1628)+IF($I1629="",0,$I1629)+IF($E1629="",0,$E1629)-IF($H1629="",0,$H1629))</f>
        <v/>
      </c>
      <c r="K1629" s="25">
        <f>IF($M1629&lt;&gt;"",IF(INDEX(CalcNoteA,$M1629)="","—",INDEX(CalcNoteA,$M1629)),IF($N1629&lt;&gt;"",IF(INDEX(CalcNoteB,$N1629)="","—",INDEX(CalcNoteB,$N1629)),""))</f>
        <v/>
      </c>
      <c r="M1629">
        <f>IFERROR(MATCH($C$5&amp;"|"&amp;RIGHT("000000"&amp;1613,6),CalcRankKeyA,0),"")</f>
        <v/>
      </c>
      <c r="N1629">
        <f>IFERROR(MATCH($C$5&amp;"|"&amp;RIGHT("000000"&amp;1613,6),CalcRankKeyB,0),"")</f>
        <v/>
      </c>
    </row>
    <row r="1630">
      <c r="A1630" s="26" t="n">
        <v>1614</v>
      </c>
      <c r="B1630" s="27">
        <f>IF(AND($M1630="",$N1630=""),"",IF($M1630&lt;&gt;"",INDEX(CalcDateA,$M1630),INDEX(CalcDateB,$N1630)))</f>
        <v/>
      </c>
      <c r="C1630" s="27">
        <f>IF($M1630&lt;&gt;"","خرید سبد",IF($N1630&lt;&gt;"",IF(N(INDEX(CalcDepB,$N1630))&gt;0,"دریافت بانکی","پرداخت بانکی"),""))</f>
        <v/>
      </c>
      <c r="D1630" s="27">
        <f>IF($M1630&lt;&gt;"",IF(INDEX(CalcDocA,$M1630)="","—",INDEX(CalcDocA,$M1630)),IF($N1630&lt;&gt;"",INDEX(CalcBankB,$N1630),""))</f>
        <v/>
      </c>
      <c r="E1630" s="28">
        <f>IF($N1630&lt;&gt;"",IF(INDEX(CalcDepB,$N1630)=0,"",INDEX(CalcDepB,$N1630)),"")</f>
        <v/>
      </c>
      <c r="F1630" s="28">
        <f>IF($M1630&lt;&gt;"",IF(INDEX(CalcQtyA,$M1630)=0,"",INDEX(CalcQtyA,$M1630)),"")</f>
        <v/>
      </c>
      <c r="G1630" s="28">
        <f>IF($M1630&lt;&gt;"",IF(INDEX(CalcPriceA,$M1630)=0,"",INDEX(CalcPriceA,$M1630)),"")</f>
        <v/>
      </c>
      <c r="H1630" s="28">
        <f>IF($N1630&lt;&gt;"",IF(INDEX(CalcWitB,$N1630)=0,"",INDEX(CalcWitB,$N1630)),"")</f>
        <v/>
      </c>
      <c r="I1630" s="29">
        <f>IF($M1630&lt;&gt;"",INDEX(CalcAmtA,$M1630),"")</f>
        <v/>
      </c>
      <c r="J1630" s="29">
        <f>IF($B1630="","",IF($J1629="",$C$8,$J1629)+IF($I1630="",0,$I1630)+IF($E1630="",0,$E1630)-IF($H1630="",0,$H1630))</f>
        <v/>
      </c>
      <c r="K1630" s="30">
        <f>IF($M1630&lt;&gt;"",IF(INDEX(CalcNoteA,$M1630)="","—",INDEX(CalcNoteA,$M1630)),IF($N1630&lt;&gt;"",IF(INDEX(CalcNoteB,$N1630)="","—",INDEX(CalcNoteB,$N1630)),""))</f>
        <v/>
      </c>
      <c r="M1630">
        <f>IFERROR(MATCH($C$5&amp;"|"&amp;RIGHT("000000"&amp;1614,6),CalcRankKeyA,0),"")</f>
        <v/>
      </c>
      <c r="N1630">
        <f>IFERROR(MATCH($C$5&amp;"|"&amp;RIGHT("000000"&amp;1614,6),CalcRankKeyB,0),"")</f>
        <v/>
      </c>
    </row>
    <row r="1631">
      <c r="A1631" s="21" t="n">
        <v>1615</v>
      </c>
      <c r="B1631" s="22">
        <f>IF(AND($M1631="",$N1631=""),"",IF($M1631&lt;&gt;"",INDEX(CalcDateA,$M1631),INDEX(CalcDateB,$N1631)))</f>
        <v/>
      </c>
      <c r="C1631" s="22">
        <f>IF($M1631&lt;&gt;"","خرید سبد",IF($N1631&lt;&gt;"",IF(N(INDEX(CalcDepB,$N1631))&gt;0,"دریافت بانکی","پرداخت بانکی"),""))</f>
        <v/>
      </c>
      <c r="D1631" s="22">
        <f>IF($M1631&lt;&gt;"",IF(INDEX(CalcDocA,$M1631)="","—",INDEX(CalcDocA,$M1631)),IF($N1631&lt;&gt;"",INDEX(CalcBankB,$N1631),""))</f>
        <v/>
      </c>
      <c r="E1631" s="23">
        <f>IF($N1631&lt;&gt;"",IF(INDEX(CalcDepB,$N1631)=0,"",INDEX(CalcDepB,$N1631)),"")</f>
        <v/>
      </c>
      <c r="F1631" s="23">
        <f>IF($M1631&lt;&gt;"",IF(INDEX(CalcQtyA,$M1631)=0,"",INDEX(CalcQtyA,$M1631)),"")</f>
        <v/>
      </c>
      <c r="G1631" s="23">
        <f>IF($M1631&lt;&gt;"",IF(INDEX(CalcPriceA,$M1631)=0,"",INDEX(CalcPriceA,$M1631)),"")</f>
        <v/>
      </c>
      <c r="H1631" s="23">
        <f>IF($N1631&lt;&gt;"",IF(INDEX(CalcWitB,$N1631)=0,"",INDEX(CalcWitB,$N1631)),"")</f>
        <v/>
      </c>
      <c r="I1631" s="24">
        <f>IF($M1631&lt;&gt;"",INDEX(CalcAmtA,$M1631),"")</f>
        <v/>
      </c>
      <c r="J1631" s="24">
        <f>IF($B1631="","",IF($J1630="",$C$8,$J1630)+IF($I1631="",0,$I1631)+IF($E1631="",0,$E1631)-IF($H1631="",0,$H1631))</f>
        <v/>
      </c>
      <c r="K1631" s="25">
        <f>IF($M1631&lt;&gt;"",IF(INDEX(CalcNoteA,$M1631)="","—",INDEX(CalcNoteA,$M1631)),IF($N1631&lt;&gt;"",IF(INDEX(CalcNoteB,$N1631)="","—",INDEX(CalcNoteB,$N1631)),""))</f>
        <v/>
      </c>
      <c r="M1631">
        <f>IFERROR(MATCH($C$5&amp;"|"&amp;RIGHT("000000"&amp;1615,6),CalcRankKeyA,0),"")</f>
        <v/>
      </c>
      <c r="N1631">
        <f>IFERROR(MATCH($C$5&amp;"|"&amp;RIGHT("000000"&amp;1615,6),CalcRankKeyB,0),"")</f>
        <v/>
      </c>
    </row>
    <row r="1632">
      <c r="A1632" s="26" t="n">
        <v>1616</v>
      </c>
      <c r="B1632" s="27">
        <f>IF(AND($M1632="",$N1632=""),"",IF($M1632&lt;&gt;"",INDEX(CalcDateA,$M1632),INDEX(CalcDateB,$N1632)))</f>
        <v/>
      </c>
      <c r="C1632" s="27">
        <f>IF($M1632&lt;&gt;"","خرید سبد",IF($N1632&lt;&gt;"",IF(N(INDEX(CalcDepB,$N1632))&gt;0,"دریافت بانکی","پرداخت بانکی"),""))</f>
        <v/>
      </c>
      <c r="D1632" s="27">
        <f>IF($M1632&lt;&gt;"",IF(INDEX(CalcDocA,$M1632)="","—",INDEX(CalcDocA,$M1632)),IF($N1632&lt;&gt;"",INDEX(CalcBankB,$N1632),""))</f>
        <v/>
      </c>
      <c r="E1632" s="28">
        <f>IF($N1632&lt;&gt;"",IF(INDEX(CalcDepB,$N1632)=0,"",INDEX(CalcDepB,$N1632)),"")</f>
        <v/>
      </c>
      <c r="F1632" s="28">
        <f>IF($M1632&lt;&gt;"",IF(INDEX(CalcQtyA,$M1632)=0,"",INDEX(CalcQtyA,$M1632)),"")</f>
        <v/>
      </c>
      <c r="G1632" s="28">
        <f>IF($M1632&lt;&gt;"",IF(INDEX(CalcPriceA,$M1632)=0,"",INDEX(CalcPriceA,$M1632)),"")</f>
        <v/>
      </c>
      <c r="H1632" s="28">
        <f>IF($N1632&lt;&gt;"",IF(INDEX(CalcWitB,$N1632)=0,"",INDEX(CalcWitB,$N1632)),"")</f>
        <v/>
      </c>
      <c r="I1632" s="29">
        <f>IF($M1632&lt;&gt;"",INDEX(CalcAmtA,$M1632),"")</f>
        <v/>
      </c>
      <c r="J1632" s="29">
        <f>IF($B1632="","",IF($J1631="",$C$8,$J1631)+IF($I1632="",0,$I1632)+IF($E1632="",0,$E1632)-IF($H1632="",0,$H1632))</f>
        <v/>
      </c>
      <c r="K1632" s="30">
        <f>IF($M1632&lt;&gt;"",IF(INDEX(CalcNoteA,$M1632)="","—",INDEX(CalcNoteA,$M1632)),IF($N1632&lt;&gt;"",IF(INDEX(CalcNoteB,$N1632)="","—",INDEX(CalcNoteB,$N1632)),""))</f>
        <v/>
      </c>
      <c r="M1632">
        <f>IFERROR(MATCH($C$5&amp;"|"&amp;RIGHT("000000"&amp;1616,6),CalcRankKeyA,0),"")</f>
        <v/>
      </c>
      <c r="N1632">
        <f>IFERROR(MATCH($C$5&amp;"|"&amp;RIGHT("000000"&amp;1616,6),CalcRankKeyB,0),"")</f>
        <v/>
      </c>
    </row>
    <row r="1633">
      <c r="A1633" s="21" t="n">
        <v>1617</v>
      </c>
      <c r="B1633" s="22">
        <f>IF(AND($M1633="",$N1633=""),"",IF($M1633&lt;&gt;"",INDEX(CalcDateA,$M1633),INDEX(CalcDateB,$N1633)))</f>
        <v/>
      </c>
      <c r="C1633" s="22">
        <f>IF($M1633&lt;&gt;"","خرید سبد",IF($N1633&lt;&gt;"",IF(N(INDEX(CalcDepB,$N1633))&gt;0,"دریافت بانکی","پرداخت بانکی"),""))</f>
        <v/>
      </c>
      <c r="D1633" s="22">
        <f>IF($M1633&lt;&gt;"",IF(INDEX(CalcDocA,$M1633)="","—",INDEX(CalcDocA,$M1633)),IF($N1633&lt;&gt;"",INDEX(CalcBankB,$N1633),""))</f>
        <v/>
      </c>
      <c r="E1633" s="23">
        <f>IF($N1633&lt;&gt;"",IF(INDEX(CalcDepB,$N1633)=0,"",INDEX(CalcDepB,$N1633)),"")</f>
        <v/>
      </c>
      <c r="F1633" s="23">
        <f>IF($M1633&lt;&gt;"",IF(INDEX(CalcQtyA,$M1633)=0,"",INDEX(CalcQtyA,$M1633)),"")</f>
        <v/>
      </c>
      <c r="G1633" s="23">
        <f>IF($M1633&lt;&gt;"",IF(INDEX(CalcPriceA,$M1633)=0,"",INDEX(CalcPriceA,$M1633)),"")</f>
        <v/>
      </c>
      <c r="H1633" s="23">
        <f>IF($N1633&lt;&gt;"",IF(INDEX(CalcWitB,$N1633)=0,"",INDEX(CalcWitB,$N1633)),"")</f>
        <v/>
      </c>
      <c r="I1633" s="24">
        <f>IF($M1633&lt;&gt;"",INDEX(CalcAmtA,$M1633),"")</f>
        <v/>
      </c>
      <c r="J1633" s="24">
        <f>IF($B1633="","",IF($J1632="",$C$8,$J1632)+IF($I1633="",0,$I1633)+IF($E1633="",0,$E1633)-IF($H1633="",0,$H1633))</f>
        <v/>
      </c>
      <c r="K1633" s="25">
        <f>IF($M1633&lt;&gt;"",IF(INDEX(CalcNoteA,$M1633)="","—",INDEX(CalcNoteA,$M1633)),IF($N1633&lt;&gt;"",IF(INDEX(CalcNoteB,$N1633)="","—",INDEX(CalcNoteB,$N1633)),""))</f>
        <v/>
      </c>
      <c r="M1633">
        <f>IFERROR(MATCH($C$5&amp;"|"&amp;RIGHT("000000"&amp;1617,6),CalcRankKeyA,0),"")</f>
        <v/>
      </c>
      <c r="N1633">
        <f>IFERROR(MATCH($C$5&amp;"|"&amp;RIGHT("000000"&amp;1617,6),CalcRankKeyB,0),"")</f>
        <v/>
      </c>
    </row>
    <row r="1634">
      <c r="A1634" s="26" t="n">
        <v>1618</v>
      </c>
      <c r="B1634" s="27">
        <f>IF(AND($M1634="",$N1634=""),"",IF($M1634&lt;&gt;"",INDEX(CalcDateA,$M1634),INDEX(CalcDateB,$N1634)))</f>
        <v/>
      </c>
      <c r="C1634" s="27">
        <f>IF($M1634&lt;&gt;"","خرید سبد",IF($N1634&lt;&gt;"",IF(N(INDEX(CalcDepB,$N1634))&gt;0,"دریافت بانکی","پرداخت بانکی"),""))</f>
        <v/>
      </c>
      <c r="D1634" s="27">
        <f>IF($M1634&lt;&gt;"",IF(INDEX(CalcDocA,$M1634)="","—",INDEX(CalcDocA,$M1634)),IF($N1634&lt;&gt;"",INDEX(CalcBankB,$N1634),""))</f>
        <v/>
      </c>
      <c r="E1634" s="28">
        <f>IF($N1634&lt;&gt;"",IF(INDEX(CalcDepB,$N1634)=0,"",INDEX(CalcDepB,$N1634)),"")</f>
        <v/>
      </c>
      <c r="F1634" s="28">
        <f>IF($M1634&lt;&gt;"",IF(INDEX(CalcQtyA,$M1634)=0,"",INDEX(CalcQtyA,$M1634)),"")</f>
        <v/>
      </c>
      <c r="G1634" s="28">
        <f>IF($M1634&lt;&gt;"",IF(INDEX(CalcPriceA,$M1634)=0,"",INDEX(CalcPriceA,$M1634)),"")</f>
        <v/>
      </c>
      <c r="H1634" s="28">
        <f>IF($N1634&lt;&gt;"",IF(INDEX(CalcWitB,$N1634)=0,"",INDEX(CalcWitB,$N1634)),"")</f>
        <v/>
      </c>
      <c r="I1634" s="29">
        <f>IF($M1634&lt;&gt;"",INDEX(CalcAmtA,$M1634),"")</f>
        <v/>
      </c>
      <c r="J1634" s="29">
        <f>IF($B1634="","",IF($J1633="",$C$8,$J1633)+IF($I1634="",0,$I1634)+IF($E1634="",0,$E1634)-IF($H1634="",0,$H1634))</f>
        <v/>
      </c>
      <c r="K1634" s="30">
        <f>IF($M1634&lt;&gt;"",IF(INDEX(CalcNoteA,$M1634)="","—",INDEX(CalcNoteA,$M1634)),IF($N1634&lt;&gt;"",IF(INDEX(CalcNoteB,$N1634)="","—",INDEX(CalcNoteB,$N1634)),""))</f>
        <v/>
      </c>
      <c r="M1634">
        <f>IFERROR(MATCH($C$5&amp;"|"&amp;RIGHT("000000"&amp;1618,6),CalcRankKeyA,0),"")</f>
        <v/>
      </c>
      <c r="N1634">
        <f>IFERROR(MATCH($C$5&amp;"|"&amp;RIGHT("000000"&amp;1618,6),CalcRankKeyB,0),"")</f>
        <v/>
      </c>
    </row>
    <row r="1635">
      <c r="A1635" s="21" t="n">
        <v>1619</v>
      </c>
      <c r="B1635" s="22">
        <f>IF(AND($M1635="",$N1635=""),"",IF($M1635&lt;&gt;"",INDEX(CalcDateA,$M1635),INDEX(CalcDateB,$N1635)))</f>
        <v/>
      </c>
      <c r="C1635" s="22">
        <f>IF($M1635&lt;&gt;"","خرید سبد",IF($N1635&lt;&gt;"",IF(N(INDEX(CalcDepB,$N1635))&gt;0,"دریافت بانکی","پرداخت بانکی"),""))</f>
        <v/>
      </c>
      <c r="D1635" s="22">
        <f>IF($M1635&lt;&gt;"",IF(INDEX(CalcDocA,$M1635)="","—",INDEX(CalcDocA,$M1635)),IF($N1635&lt;&gt;"",INDEX(CalcBankB,$N1635),""))</f>
        <v/>
      </c>
      <c r="E1635" s="23">
        <f>IF($N1635&lt;&gt;"",IF(INDEX(CalcDepB,$N1635)=0,"",INDEX(CalcDepB,$N1635)),"")</f>
        <v/>
      </c>
      <c r="F1635" s="23">
        <f>IF($M1635&lt;&gt;"",IF(INDEX(CalcQtyA,$M1635)=0,"",INDEX(CalcQtyA,$M1635)),"")</f>
        <v/>
      </c>
      <c r="G1635" s="23">
        <f>IF($M1635&lt;&gt;"",IF(INDEX(CalcPriceA,$M1635)=0,"",INDEX(CalcPriceA,$M1635)),"")</f>
        <v/>
      </c>
      <c r="H1635" s="23">
        <f>IF($N1635&lt;&gt;"",IF(INDEX(CalcWitB,$N1635)=0,"",INDEX(CalcWitB,$N1635)),"")</f>
        <v/>
      </c>
      <c r="I1635" s="24">
        <f>IF($M1635&lt;&gt;"",INDEX(CalcAmtA,$M1635),"")</f>
        <v/>
      </c>
      <c r="J1635" s="24">
        <f>IF($B1635="","",IF($J1634="",$C$8,$J1634)+IF($I1635="",0,$I1635)+IF($E1635="",0,$E1635)-IF($H1635="",0,$H1635))</f>
        <v/>
      </c>
      <c r="K1635" s="25">
        <f>IF($M1635&lt;&gt;"",IF(INDEX(CalcNoteA,$M1635)="","—",INDEX(CalcNoteA,$M1635)),IF($N1635&lt;&gt;"",IF(INDEX(CalcNoteB,$N1635)="","—",INDEX(CalcNoteB,$N1635)),""))</f>
        <v/>
      </c>
      <c r="M1635">
        <f>IFERROR(MATCH($C$5&amp;"|"&amp;RIGHT("000000"&amp;1619,6),CalcRankKeyA,0),"")</f>
        <v/>
      </c>
      <c r="N1635">
        <f>IFERROR(MATCH($C$5&amp;"|"&amp;RIGHT("000000"&amp;1619,6),CalcRankKeyB,0),"")</f>
        <v/>
      </c>
    </row>
    <row r="1636">
      <c r="A1636" s="26" t="n">
        <v>1620</v>
      </c>
      <c r="B1636" s="27">
        <f>IF(AND($M1636="",$N1636=""),"",IF($M1636&lt;&gt;"",INDEX(CalcDateA,$M1636),INDEX(CalcDateB,$N1636)))</f>
        <v/>
      </c>
      <c r="C1636" s="27">
        <f>IF($M1636&lt;&gt;"","خرید سبد",IF($N1636&lt;&gt;"",IF(N(INDEX(CalcDepB,$N1636))&gt;0,"دریافت بانکی","پرداخت بانکی"),""))</f>
        <v/>
      </c>
      <c r="D1636" s="27">
        <f>IF($M1636&lt;&gt;"",IF(INDEX(CalcDocA,$M1636)="","—",INDEX(CalcDocA,$M1636)),IF($N1636&lt;&gt;"",INDEX(CalcBankB,$N1636),""))</f>
        <v/>
      </c>
      <c r="E1636" s="28">
        <f>IF($N1636&lt;&gt;"",IF(INDEX(CalcDepB,$N1636)=0,"",INDEX(CalcDepB,$N1636)),"")</f>
        <v/>
      </c>
      <c r="F1636" s="28">
        <f>IF($M1636&lt;&gt;"",IF(INDEX(CalcQtyA,$M1636)=0,"",INDEX(CalcQtyA,$M1636)),"")</f>
        <v/>
      </c>
      <c r="G1636" s="28">
        <f>IF($M1636&lt;&gt;"",IF(INDEX(CalcPriceA,$M1636)=0,"",INDEX(CalcPriceA,$M1636)),"")</f>
        <v/>
      </c>
      <c r="H1636" s="28">
        <f>IF($N1636&lt;&gt;"",IF(INDEX(CalcWitB,$N1636)=0,"",INDEX(CalcWitB,$N1636)),"")</f>
        <v/>
      </c>
      <c r="I1636" s="29">
        <f>IF($M1636&lt;&gt;"",INDEX(CalcAmtA,$M1636),"")</f>
        <v/>
      </c>
      <c r="J1636" s="29">
        <f>IF($B1636="","",IF($J1635="",$C$8,$J1635)+IF($I1636="",0,$I1636)+IF($E1636="",0,$E1636)-IF($H1636="",0,$H1636))</f>
        <v/>
      </c>
      <c r="K1636" s="30">
        <f>IF($M1636&lt;&gt;"",IF(INDEX(CalcNoteA,$M1636)="","—",INDEX(CalcNoteA,$M1636)),IF($N1636&lt;&gt;"",IF(INDEX(CalcNoteB,$N1636)="","—",INDEX(CalcNoteB,$N1636)),""))</f>
        <v/>
      </c>
      <c r="M1636">
        <f>IFERROR(MATCH($C$5&amp;"|"&amp;RIGHT("000000"&amp;1620,6),CalcRankKeyA,0),"")</f>
        <v/>
      </c>
      <c r="N1636">
        <f>IFERROR(MATCH($C$5&amp;"|"&amp;RIGHT("000000"&amp;1620,6),CalcRankKeyB,0),"")</f>
        <v/>
      </c>
    </row>
    <row r="1637">
      <c r="A1637" s="21" t="n">
        <v>1621</v>
      </c>
      <c r="B1637" s="22">
        <f>IF(AND($M1637="",$N1637=""),"",IF($M1637&lt;&gt;"",INDEX(CalcDateA,$M1637),INDEX(CalcDateB,$N1637)))</f>
        <v/>
      </c>
      <c r="C1637" s="22">
        <f>IF($M1637&lt;&gt;"","خرید سبد",IF($N1637&lt;&gt;"",IF(N(INDEX(CalcDepB,$N1637))&gt;0,"دریافت بانکی","پرداخت بانکی"),""))</f>
        <v/>
      </c>
      <c r="D1637" s="22">
        <f>IF($M1637&lt;&gt;"",IF(INDEX(CalcDocA,$M1637)="","—",INDEX(CalcDocA,$M1637)),IF($N1637&lt;&gt;"",INDEX(CalcBankB,$N1637),""))</f>
        <v/>
      </c>
      <c r="E1637" s="23">
        <f>IF($N1637&lt;&gt;"",IF(INDEX(CalcDepB,$N1637)=0,"",INDEX(CalcDepB,$N1637)),"")</f>
        <v/>
      </c>
      <c r="F1637" s="23">
        <f>IF($M1637&lt;&gt;"",IF(INDEX(CalcQtyA,$M1637)=0,"",INDEX(CalcQtyA,$M1637)),"")</f>
        <v/>
      </c>
      <c r="G1637" s="23">
        <f>IF($M1637&lt;&gt;"",IF(INDEX(CalcPriceA,$M1637)=0,"",INDEX(CalcPriceA,$M1637)),"")</f>
        <v/>
      </c>
      <c r="H1637" s="23">
        <f>IF($N1637&lt;&gt;"",IF(INDEX(CalcWitB,$N1637)=0,"",INDEX(CalcWitB,$N1637)),"")</f>
        <v/>
      </c>
      <c r="I1637" s="24">
        <f>IF($M1637&lt;&gt;"",INDEX(CalcAmtA,$M1637),"")</f>
        <v/>
      </c>
      <c r="J1637" s="24">
        <f>IF($B1637="","",IF($J1636="",$C$8,$J1636)+IF($I1637="",0,$I1637)+IF($E1637="",0,$E1637)-IF($H1637="",0,$H1637))</f>
        <v/>
      </c>
      <c r="K1637" s="25">
        <f>IF($M1637&lt;&gt;"",IF(INDEX(CalcNoteA,$M1637)="","—",INDEX(CalcNoteA,$M1637)),IF($N1637&lt;&gt;"",IF(INDEX(CalcNoteB,$N1637)="","—",INDEX(CalcNoteB,$N1637)),""))</f>
        <v/>
      </c>
      <c r="M1637">
        <f>IFERROR(MATCH($C$5&amp;"|"&amp;RIGHT("000000"&amp;1621,6),CalcRankKeyA,0),"")</f>
        <v/>
      </c>
      <c r="N1637">
        <f>IFERROR(MATCH($C$5&amp;"|"&amp;RIGHT("000000"&amp;1621,6),CalcRankKeyB,0),"")</f>
        <v/>
      </c>
    </row>
    <row r="1638">
      <c r="A1638" s="26" t="n">
        <v>1622</v>
      </c>
      <c r="B1638" s="27">
        <f>IF(AND($M1638="",$N1638=""),"",IF($M1638&lt;&gt;"",INDEX(CalcDateA,$M1638),INDEX(CalcDateB,$N1638)))</f>
        <v/>
      </c>
      <c r="C1638" s="27">
        <f>IF($M1638&lt;&gt;"","خرید سبد",IF($N1638&lt;&gt;"",IF(N(INDEX(CalcDepB,$N1638))&gt;0,"دریافت بانکی","پرداخت بانکی"),""))</f>
        <v/>
      </c>
      <c r="D1638" s="27">
        <f>IF($M1638&lt;&gt;"",IF(INDEX(CalcDocA,$M1638)="","—",INDEX(CalcDocA,$M1638)),IF($N1638&lt;&gt;"",INDEX(CalcBankB,$N1638),""))</f>
        <v/>
      </c>
      <c r="E1638" s="28">
        <f>IF($N1638&lt;&gt;"",IF(INDEX(CalcDepB,$N1638)=0,"",INDEX(CalcDepB,$N1638)),"")</f>
        <v/>
      </c>
      <c r="F1638" s="28">
        <f>IF($M1638&lt;&gt;"",IF(INDEX(CalcQtyA,$M1638)=0,"",INDEX(CalcQtyA,$M1638)),"")</f>
        <v/>
      </c>
      <c r="G1638" s="28">
        <f>IF($M1638&lt;&gt;"",IF(INDEX(CalcPriceA,$M1638)=0,"",INDEX(CalcPriceA,$M1638)),"")</f>
        <v/>
      </c>
      <c r="H1638" s="28">
        <f>IF($N1638&lt;&gt;"",IF(INDEX(CalcWitB,$N1638)=0,"",INDEX(CalcWitB,$N1638)),"")</f>
        <v/>
      </c>
      <c r="I1638" s="29">
        <f>IF($M1638&lt;&gt;"",INDEX(CalcAmtA,$M1638),"")</f>
        <v/>
      </c>
      <c r="J1638" s="29">
        <f>IF($B1638="","",IF($J1637="",$C$8,$J1637)+IF($I1638="",0,$I1638)+IF($E1638="",0,$E1638)-IF($H1638="",0,$H1638))</f>
        <v/>
      </c>
      <c r="K1638" s="30">
        <f>IF($M1638&lt;&gt;"",IF(INDEX(CalcNoteA,$M1638)="","—",INDEX(CalcNoteA,$M1638)),IF($N1638&lt;&gt;"",IF(INDEX(CalcNoteB,$N1638)="","—",INDEX(CalcNoteB,$N1638)),""))</f>
        <v/>
      </c>
      <c r="M1638">
        <f>IFERROR(MATCH($C$5&amp;"|"&amp;RIGHT("000000"&amp;1622,6),CalcRankKeyA,0),"")</f>
        <v/>
      </c>
      <c r="N1638">
        <f>IFERROR(MATCH($C$5&amp;"|"&amp;RIGHT("000000"&amp;1622,6),CalcRankKeyB,0),"")</f>
        <v/>
      </c>
    </row>
    <row r="1639">
      <c r="A1639" s="21" t="n">
        <v>1623</v>
      </c>
      <c r="B1639" s="22">
        <f>IF(AND($M1639="",$N1639=""),"",IF($M1639&lt;&gt;"",INDEX(CalcDateA,$M1639),INDEX(CalcDateB,$N1639)))</f>
        <v/>
      </c>
      <c r="C1639" s="22">
        <f>IF($M1639&lt;&gt;"","خرید سبد",IF($N1639&lt;&gt;"",IF(N(INDEX(CalcDepB,$N1639))&gt;0,"دریافت بانکی","پرداخت بانکی"),""))</f>
        <v/>
      </c>
      <c r="D1639" s="22">
        <f>IF($M1639&lt;&gt;"",IF(INDEX(CalcDocA,$M1639)="","—",INDEX(CalcDocA,$M1639)),IF($N1639&lt;&gt;"",INDEX(CalcBankB,$N1639),""))</f>
        <v/>
      </c>
      <c r="E1639" s="23">
        <f>IF($N1639&lt;&gt;"",IF(INDEX(CalcDepB,$N1639)=0,"",INDEX(CalcDepB,$N1639)),"")</f>
        <v/>
      </c>
      <c r="F1639" s="23">
        <f>IF($M1639&lt;&gt;"",IF(INDEX(CalcQtyA,$M1639)=0,"",INDEX(CalcQtyA,$M1639)),"")</f>
        <v/>
      </c>
      <c r="G1639" s="23">
        <f>IF($M1639&lt;&gt;"",IF(INDEX(CalcPriceA,$M1639)=0,"",INDEX(CalcPriceA,$M1639)),"")</f>
        <v/>
      </c>
      <c r="H1639" s="23">
        <f>IF($N1639&lt;&gt;"",IF(INDEX(CalcWitB,$N1639)=0,"",INDEX(CalcWitB,$N1639)),"")</f>
        <v/>
      </c>
      <c r="I1639" s="24">
        <f>IF($M1639&lt;&gt;"",INDEX(CalcAmtA,$M1639),"")</f>
        <v/>
      </c>
      <c r="J1639" s="24">
        <f>IF($B1639="","",IF($J1638="",$C$8,$J1638)+IF($I1639="",0,$I1639)+IF($E1639="",0,$E1639)-IF($H1639="",0,$H1639))</f>
        <v/>
      </c>
      <c r="K1639" s="25">
        <f>IF($M1639&lt;&gt;"",IF(INDEX(CalcNoteA,$M1639)="","—",INDEX(CalcNoteA,$M1639)),IF($N1639&lt;&gt;"",IF(INDEX(CalcNoteB,$N1639)="","—",INDEX(CalcNoteB,$N1639)),""))</f>
        <v/>
      </c>
      <c r="M1639">
        <f>IFERROR(MATCH($C$5&amp;"|"&amp;RIGHT("000000"&amp;1623,6),CalcRankKeyA,0),"")</f>
        <v/>
      </c>
      <c r="N1639">
        <f>IFERROR(MATCH($C$5&amp;"|"&amp;RIGHT("000000"&amp;1623,6),CalcRankKeyB,0),"")</f>
        <v/>
      </c>
    </row>
    <row r="1640">
      <c r="A1640" s="26" t="n">
        <v>1624</v>
      </c>
      <c r="B1640" s="27">
        <f>IF(AND($M1640="",$N1640=""),"",IF($M1640&lt;&gt;"",INDEX(CalcDateA,$M1640),INDEX(CalcDateB,$N1640)))</f>
        <v/>
      </c>
      <c r="C1640" s="27">
        <f>IF($M1640&lt;&gt;"","خرید سبد",IF($N1640&lt;&gt;"",IF(N(INDEX(CalcDepB,$N1640))&gt;0,"دریافت بانکی","پرداخت بانکی"),""))</f>
        <v/>
      </c>
      <c r="D1640" s="27">
        <f>IF($M1640&lt;&gt;"",IF(INDEX(CalcDocA,$M1640)="","—",INDEX(CalcDocA,$M1640)),IF($N1640&lt;&gt;"",INDEX(CalcBankB,$N1640),""))</f>
        <v/>
      </c>
      <c r="E1640" s="28">
        <f>IF($N1640&lt;&gt;"",IF(INDEX(CalcDepB,$N1640)=0,"",INDEX(CalcDepB,$N1640)),"")</f>
        <v/>
      </c>
      <c r="F1640" s="28">
        <f>IF($M1640&lt;&gt;"",IF(INDEX(CalcQtyA,$M1640)=0,"",INDEX(CalcQtyA,$M1640)),"")</f>
        <v/>
      </c>
      <c r="G1640" s="28">
        <f>IF($M1640&lt;&gt;"",IF(INDEX(CalcPriceA,$M1640)=0,"",INDEX(CalcPriceA,$M1640)),"")</f>
        <v/>
      </c>
      <c r="H1640" s="28">
        <f>IF($N1640&lt;&gt;"",IF(INDEX(CalcWitB,$N1640)=0,"",INDEX(CalcWitB,$N1640)),"")</f>
        <v/>
      </c>
      <c r="I1640" s="29">
        <f>IF($M1640&lt;&gt;"",INDEX(CalcAmtA,$M1640),"")</f>
        <v/>
      </c>
      <c r="J1640" s="29">
        <f>IF($B1640="","",IF($J1639="",$C$8,$J1639)+IF($I1640="",0,$I1640)+IF($E1640="",0,$E1640)-IF($H1640="",0,$H1640))</f>
        <v/>
      </c>
      <c r="K1640" s="30">
        <f>IF($M1640&lt;&gt;"",IF(INDEX(CalcNoteA,$M1640)="","—",INDEX(CalcNoteA,$M1640)),IF($N1640&lt;&gt;"",IF(INDEX(CalcNoteB,$N1640)="","—",INDEX(CalcNoteB,$N1640)),""))</f>
        <v/>
      </c>
      <c r="M1640">
        <f>IFERROR(MATCH($C$5&amp;"|"&amp;RIGHT("000000"&amp;1624,6),CalcRankKeyA,0),"")</f>
        <v/>
      </c>
      <c r="N1640">
        <f>IFERROR(MATCH($C$5&amp;"|"&amp;RIGHT("000000"&amp;1624,6),CalcRankKeyB,0),"")</f>
        <v/>
      </c>
    </row>
    <row r="1641">
      <c r="A1641" s="21" t="n">
        <v>1625</v>
      </c>
      <c r="B1641" s="22">
        <f>IF(AND($M1641="",$N1641=""),"",IF($M1641&lt;&gt;"",INDEX(CalcDateA,$M1641),INDEX(CalcDateB,$N1641)))</f>
        <v/>
      </c>
      <c r="C1641" s="22">
        <f>IF($M1641&lt;&gt;"","خرید سبد",IF($N1641&lt;&gt;"",IF(N(INDEX(CalcDepB,$N1641))&gt;0,"دریافت بانکی","پرداخت بانکی"),""))</f>
        <v/>
      </c>
      <c r="D1641" s="22">
        <f>IF($M1641&lt;&gt;"",IF(INDEX(CalcDocA,$M1641)="","—",INDEX(CalcDocA,$M1641)),IF($N1641&lt;&gt;"",INDEX(CalcBankB,$N1641),""))</f>
        <v/>
      </c>
      <c r="E1641" s="23">
        <f>IF($N1641&lt;&gt;"",IF(INDEX(CalcDepB,$N1641)=0,"",INDEX(CalcDepB,$N1641)),"")</f>
        <v/>
      </c>
      <c r="F1641" s="23">
        <f>IF($M1641&lt;&gt;"",IF(INDEX(CalcQtyA,$M1641)=0,"",INDEX(CalcQtyA,$M1641)),"")</f>
        <v/>
      </c>
      <c r="G1641" s="23">
        <f>IF($M1641&lt;&gt;"",IF(INDEX(CalcPriceA,$M1641)=0,"",INDEX(CalcPriceA,$M1641)),"")</f>
        <v/>
      </c>
      <c r="H1641" s="23">
        <f>IF($N1641&lt;&gt;"",IF(INDEX(CalcWitB,$N1641)=0,"",INDEX(CalcWitB,$N1641)),"")</f>
        <v/>
      </c>
      <c r="I1641" s="24">
        <f>IF($M1641&lt;&gt;"",INDEX(CalcAmtA,$M1641),"")</f>
        <v/>
      </c>
      <c r="J1641" s="24">
        <f>IF($B1641="","",IF($J1640="",$C$8,$J1640)+IF($I1641="",0,$I1641)+IF($E1641="",0,$E1641)-IF($H1641="",0,$H1641))</f>
        <v/>
      </c>
      <c r="K1641" s="25">
        <f>IF($M1641&lt;&gt;"",IF(INDEX(CalcNoteA,$M1641)="","—",INDEX(CalcNoteA,$M1641)),IF($N1641&lt;&gt;"",IF(INDEX(CalcNoteB,$N1641)="","—",INDEX(CalcNoteB,$N1641)),""))</f>
        <v/>
      </c>
      <c r="M1641">
        <f>IFERROR(MATCH($C$5&amp;"|"&amp;RIGHT("000000"&amp;1625,6),CalcRankKeyA,0),"")</f>
        <v/>
      </c>
      <c r="N1641">
        <f>IFERROR(MATCH($C$5&amp;"|"&amp;RIGHT("000000"&amp;1625,6),CalcRankKeyB,0),"")</f>
        <v/>
      </c>
    </row>
    <row r="1642">
      <c r="A1642" s="26" t="n">
        <v>1626</v>
      </c>
      <c r="B1642" s="27">
        <f>IF(AND($M1642="",$N1642=""),"",IF($M1642&lt;&gt;"",INDEX(CalcDateA,$M1642),INDEX(CalcDateB,$N1642)))</f>
        <v/>
      </c>
      <c r="C1642" s="27">
        <f>IF($M1642&lt;&gt;"","خرید سبد",IF($N1642&lt;&gt;"",IF(N(INDEX(CalcDepB,$N1642))&gt;0,"دریافت بانکی","پرداخت بانکی"),""))</f>
        <v/>
      </c>
      <c r="D1642" s="27">
        <f>IF($M1642&lt;&gt;"",IF(INDEX(CalcDocA,$M1642)="","—",INDEX(CalcDocA,$M1642)),IF($N1642&lt;&gt;"",INDEX(CalcBankB,$N1642),""))</f>
        <v/>
      </c>
      <c r="E1642" s="28">
        <f>IF($N1642&lt;&gt;"",IF(INDEX(CalcDepB,$N1642)=0,"",INDEX(CalcDepB,$N1642)),"")</f>
        <v/>
      </c>
      <c r="F1642" s="28">
        <f>IF($M1642&lt;&gt;"",IF(INDEX(CalcQtyA,$M1642)=0,"",INDEX(CalcQtyA,$M1642)),"")</f>
        <v/>
      </c>
      <c r="G1642" s="28">
        <f>IF($M1642&lt;&gt;"",IF(INDEX(CalcPriceA,$M1642)=0,"",INDEX(CalcPriceA,$M1642)),"")</f>
        <v/>
      </c>
      <c r="H1642" s="28">
        <f>IF($N1642&lt;&gt;"",IF(INDEX(CalcWitB,$N1642)=0,"",INDEX(CalcWitB,$N1642)),"")</f>
        <v/>
      </c>
      <c r="I1642" s="29">
        <f>IF($M1642&lt;&gt;"",INDEX(CalcAmtA,$M1642),"")</f>
        <v/>
      </c>
      <c r="J1642" s="29">
        <f>IF($B1642="","",IF($J1641="",$C$8,$J1641)+IF($I1642="",0,$I1642)+IF($E1642="",0,$E1642)-IF($H1642="",0,$H1642))</f>
        <v/>
      </c>
      <c r="K1642" s="30">
        <f>IF($M1642&lt;&gt;"",IF(INDEX(CalcNoteA,$M1642)="","—",INDEX(CalcNoteA,$M1642)),IF($N1642&lt;&gt;"",IF(INDEX(CalcNoteB,$N1642)="","—",INDEX(CalcNoteB,$N1642)),""))</f>
        <v/>
      </c>
      <c r="M1642">
        <f>IFERROR(MATCH($C$5&amp;"|"&amp;RIGHT("000000"&amp;1626,6),CalcRankKeyA,0),"")</f>
        <v/>
      </c>
      <c r="N1642">
        <f>IFERROR(MATCH($C$5&amp;"|"&amp;RIGHT("000000"&amp;1626,6),CalcRankKeyB,0),"")</f>
        <v/>
      </c>
    </row>
    <row r="1643">
      <c r="A1643" s="21" t="n">
        <v>1627</v>
      </c>
      <c r="B1643" s="22">
        <f>IF(AND($M1643="",$N1643=""),"",IF($M1643&lt;&gt;"",INDEX(CalcDateA,$M1643),INDEX(CalcDateB,$N1643)))</f>
        <v/>
      </c>
      <c r="C1643" s="22">
        <f>IF($M1643&lt;&gt;"","خرید سبد",IF($N1643&lt;&gt;"",IF(N(INDEX(CalcDepB,$N1643))&gt;0,"دریافت بانکی","پرداخت بانکی"),""))</f>
        <v/>
      </c>
      <c r="D1643" s="22">
        <f>IF($M1643&lt;&gt;"",IF(INDEX(CalcDocA,$M1643)="","—",INDEX(CalcDocA,$M1643)),IF($N1643&lt;&gt;"",INDEX(CalcBankB,$N1643),""))</f>
        <v/>
      </c>
      <c r="E1643" s="23">
        <f>IF($N1643&lt;&gt;"",IF(INDEX(CalcDepB,$N1643)=0,"",INDEX(CalcDepB,$N1643)),"")</f>
        <v/>
      </c>
      <c r="F1643" s="23">
        <f>IF($M1643&lt;&gt;"",IF(INDEX(CalcQtyA,$M1643)=0,"",INDEX(CalcQtyA,$M1643)),"")</f>
        <v/>
      </c>
      <c r="G1643" s="23">
        <f>IF($M1643&lt;&gt;"",IF(INDEX(CalcPriceA,$M1643)=0,"",INDEX(CalcPriceA,$M1643)),"")</f>
        <v/>
      </c>
      <c r="H1643" s="23">
        <f>IF($N1643&lt;&gt;"",IF(INDEX(CalcWitB,$N1643)=0,"",INDEX(CalcWitB,$N1643)),"")</f>
        <v/>
      </c>
      <c r="I1643" s="24">
        <f>IF($M1643&lt;&gt;"",INDEX(CalcAmtA,$M1643),"")</f>
        <v/>
      </c>
      <c r="J1643" s="24">
        <f>IF($B1643="","",IF($J1642="",$C$8,$J1642)+IF($I1643="",0,$I1643)+IF($E1643="",0,$E1643)-IF($H1643="",0,$H1643))</f>
        <v/>
      </c>
      <c r="K1643" s="25">
        <f>IF($M1643&lt;&gt;"",IF(INDEX(CalcNoteA,$M1643)="","—",INDEX(CalcNoteA,$M1643)),IF($N1643&lt;&gt;"",IF(INDEX(CalcNoteB,$N1643)="","—",INDEX(CalcNoteB,$N1643)),""))</f>
        <v/>
      </c>
      <c r="M1643">
        <f>IFERROR(MATCH($C$5&amp;"|"&amp;RIGHT("000000"&amp;1627,6),CalcRankKeyA,0),"")</f>
        <v/>
      </c>
      <c r="N1643">
        <f>IFERROR(MATCH($C$5&amp;"|"&amp;RIGHT("000000"&amp;1627,6),CalcRankKeyB,0),"")</f>
        <v/>
      </c>
    </row>
    <row r="1644">
      <c r="A1644" s="26" t="n">
        <v>1628</v>
      </c>
      <c r="B1644" s="27">
        <f>IF(AND($M1644="",$N1644=""),"",IF($M1644&lt;&gt;"",INDEX(CalcDateA,$M1644),INDEX(CalcDateB,$N1644)))</f>
        <v/>
      </c>
      <c r="C1644" s="27">
        <f>IF($M1644&lt;&gt;"","خرید سبد",IF($N1644&lt;&gt;"",IF(N(INDEX(CalcDepB,$N1644))&gt;0,"دریافت بانکی","پرداخت بانکی"),""))</f>
        <v/>
      </c>
      <c r="D1644" s="27">
        <f>IF($M1644&lt;&gt;"",IF(INDEX(CalcDocA,$M1644)="","—",INDEX(CalcDocA,$M1644)),IF($N1644&lt;&gt;"",INDEX(CalcBankB,$N1644),""))</f>
        <v/>
      </c>
      <c r="E1644" s="28">
        <f>IF($N1644&lt;&gt;"",IF(INDEX(CalcDepB,$N1644)=0,"",INDEX(CalcDepB,$N1644)),"")</f>
        <v/>
      </c>
      <c r="F1644" s="28">
        <f>IF($M1644&lt;&gt;"",IF(INDEX(CalcQtyA,$M1644)=0,"",INDEX(CalcQtyA,$M1644)),"")</f>
        <v/>
      </c>
      <c r="G1644" s="28">
        <f>IF($M1644&lt;&gt;"",IF(INDEX(CalcPriceA,$M1644)=0,"",INDEX(CalcPriceA,$M1644)),"")</f>
        <v/>
      </c>
      <c r="H1644" s="28">
        <f>IF($N1644&lt;&gt;"",IF(INDEX(CalcWitB,$N1644)=0,"",INDEX(CalcWitB,$N1644)),"")</f>
        <v/>
      </c>
      <c r="I1644" s="29">
        <f>IF($M1644&lt;&gt;"",INDEX(CalcAmtA,$M1644),"")</f>
        <v/>
      </c>
      <c r="J1644" s="29">
        <f>IF($B1644="","",IF($J1643="",$C$8,$J1643)+IF($I1644="",0,$I1644)+IF($E1644="",0,$E1644)-IF($H1644="",0,$H1644))</f>
        <v/>
      </c>
      <c r="K1644" s="30">
        <f>IF($M1644&lt;&gt;"",IF(INDEX(CalcNoteA,$M1644)="","—",INDEX(CalcNoteA,$M1644)),IF($N1644&lt;&gt;"",IF(INDEX(CalcNoteB,$N1644)="","—",INDEX(CalcNoteB,$N1644)),""))</f>
        <v/>
      </c>
      <c r="M1644">
        <f>IFERROR(MATCH($C$5&amp;"|"&amp;RIGHT("000000"&amp;1628,6),CalcRankKeyA,0),"")</f>
        <v/>
      </c>
      <c r="N1644">
        <f>IFERROR(MATCH($C$5&amp;"|"&amp;RIGHT("000000"&amp;1628,6),CalcRankKeyB,0),"")</f>
        <v/>
      </c>
    </row>
    <row r="1645">
      <c r="A1645" s="21" t="n">
        <v>1629</v>
      </c>
      <c r="B1645" s="22">
        <f>IF(AND($M1645="",$N1645=""),"",IF($M1645&lt;&gt;"",INDEX(CalcDateA,$M1645),INDEX(CalcDateB,$N1645)))</f>
        <v/>
      </c>
      <c r="C1645" s="22">
        <f>IF($M1645&lt;&gt;"","خرید سبد",IF($N1645&lt;&gt;"",IF(N(INDEX(CalcDepB,$N1645))&gt;0,"دریافت بانکی","پرداخت بانکی"),""))</f>
        <v/>
      </c>
      <c r="D1645" s="22">
        <f>IF($M1645&lt;&gt;"",IF(INDEX(CalcDocA,$M1645)="","—",INDEX(CalcDocA,$M1645)),IF($N1645&lt;&gt;"",INDEX(CalcBankB,$N1645),""))</f>
        <v/>
      </c>
      <c r="E1645" s="23">
        <f>IF($N1645&lt;&gt;"",IF(INDEX(CalcDepB,$N1645)=0,"",INDEX(CalcDepB,$N1645)),"")</f>
        <v/>
      </c>
      <c r="F1645" s="23">
        <f>IF($M1645&lt;&gt;"",IF(INDEX(CalcQtyA,$M1645)=0,"",INDEX(CalcQtyA,$M1645)),"")</f>
        <v/>
      </c>
      <c r="G1645" s="23">
        <f>IF($M1645&lt;&gt;"",IF(INDEX(CalcPriceA,$M1645)=0,"",INDEX(CalcPriceA,$M1645)),"")</f>
        <v/>
      </c>
      <c r="H1645" s="23">
        <f>IF($N1645&lt;&gt;"",IF(INDEX(CalcWitB,$N1645)=0,"",INDEX(CalcWitB,$N1645)),"")</f>
        <v/>
      </c>
      <c r="I1645" s="24">
        <f>IF($M1645&lt;&gt;"",INDEX(CalcAmtA,$M1645),"")</f>
        <v/>
      </c>
      <c r="J1645" s="24">
        <f>IF($B1645="","",IF($J1644="",$C$8,$J1644)+IF($I1645="",0,$I1645)+IF($E1645="",0,$E1645)-IF($H1645="",0,$H1645))</f>
        <v/>
      </c>
      <c r="K1645" s="25">
        <f>IF($M1645&lt;&gt;"",IF(INDEX(CalcNoteA,$M1645)="","—",INDEX(CalcNoteA,$M1645)),IF($N1645&lt;&gt;"",IF(INDEX(CalcNoteB,$N1645)="","—",INDEX(CalcNoteB,$N1645)),""))</f>
        <v/>
      </c>
      <c r="M1645">
        <f>IFERROR(MATCH($C$5&amp;"|"&amp;RIGHT("000000"&amp;1629,6),CalcRankKeyA,0),"")</f>
        <v/>
      </c>
      <c r="N1645">
        <f>IFERROR(MATCH($C$5&amp;"|"&amp;RIGHT("000000"&amp;1629,6),CalcRankKeyB,0),"")</f>
        <v/>
      </c>
    </row>
    <row r="1646">
      <c r="A1646" s="26" t="n">
        <v>1630</v>
      </c>
      <c r="B1646" s="27">
        <f>IF(AND($M1646="",$N1646=""),"",IF($M1646&lt;&gt;"",INDEX(CalcDateA,$M1646),INDEX(CalcDateB,$N1646)))</f>
        <v/>
      </c>
      <c r="C1646" s="27">
        <f>IF($M1646&lt;&gt;"","خرید سبد",IF($N1646&lt;&gt;"",IF(N(INDEX(CalcDepB,$N1646))&gt;0,"دریافت بانکی","پرداخت بانکی"),""))</f>
        <v/>
      </c>
      <c r="D1646" s="27">
        <f>IF($M1646&lt;&gt;"",IF(INDEX(CalcDocA,$M1646)="","—",INDEX(CalcDocA,$M1646)),IF($N1646&lt;&gt;"",INDEX(CalcBankB,$N1646),""))</f>
        <v/>
      </c>
      <c r="E1646" s="28">
        <f>IF($N1646&lt;&gt;"",IF(INDEX(CalcDepB,$N1646)=0,"",INDEX(CalcDepB,$N1646)),"")</f>
        <v/>
      </c>
      <c r="F1646" s="28">
        <f>IF($M1646&lt;&gt;"",IF(INDEX(CalcQtyA,$M1646)=0,"",INDEX(CalcQtyA,$M1646)),"")</f>
        <v/>
      </c>
      <c r="G1646" s="28">
        <f>IF($M1646&lt;&gt;"",IF(INDEX(CalcPriceA,$M1646)=0,"",INDEX(CalcPriceA,$M1646)),"")</f>
        <v/>
      </c>
      <c r="H1646" s="28">
        <f>IF($N1646&lt;&gt;"",IF(INDEX(CalcWitB,$N1646)=0,"",INDEX(CalcWitB,$N1646)),"")</f>
        <v/>
      </c>
      <c r="I1646" s="29">
        <f>IF($M1646&lt;&gt;"",INDEX(CalcAmtA,$M1646),"")</f>
        <v/>
      </c>
      <c r="J1646" s="29">
        <f>IF($B1646="","",IF($J1645="",$C$8,$J1645)+IF($I1646="",0,$I1646)+IF($E1646="",0,$E1646)-IF($H1646="",0,$H1646))</f>
        <v/>
      </c>
      <c r="K1646" s="30">
        <f>IF($M1646&lt;&gt;"",IF(INDEX(CalcNoteA,$M1646)="","—",INDEX(CalcNoteA,$M1646)),IF($N1646&lt;&gt;"",IF(INDEX(CalcNoteB,$N1646)="","—",INDEX(CalcNoteB,$N1646)),""))</f>
        <v/>
      </c>
      <c r="M1646">
        <f>IFERROR(MATCH($C$5&amp;"|"&amp;RIGHT("000000"&amp;1630,6),CalcRankKeyA,0),"")</f>
        <v/>
      </c>
      <c r="N1646">
        <f>IFERROR(MATCH($C$5&amp;"|"&amp;RIGHT("000000"&amp;1630,6),CalcRankKeyB,0),"")</f>
        <v/>
      </c>
    </row>
    <row r="1647">
      <c r="A1647" s="21" t="n">
        <v>1631</v>
      </c>
      <c r="B1647" s="22">
        <f>IF(AND($M1647="",$N1647=""),"",IF($M1647&lt;&gt;"",INDEX(CalcDateA,$M1647),INDEX(CalcDateB,$N1647)))</f>
        <v/>
      </c>
      <c r="C1647" s="22">
        <f>IF($M1647&lt;&gt;"","خرید سبد",IF($N1647&lt;&gt;"",IF(N(INDEX(CalcDepB,$N1647))&gt;0,"دریافت بانکی","پرداخت بانکی"),""))</f>
        <v/>
      </c>
      <c r="D1647" s="22">
        <f>IF($M1647&lt;&gt;"",IF(INDEX(CalcDocA,$M1647)="","—",INDEX(CalcDocA,$M1647)),IF($N1647&lt;&gt;"",INDEX(CalcBankB,$N1647),""))</f>
        <v/>
      </c>
      <c r="E1647" s="23">
        <f>IF($N1647&lt;&gt;"",IF(INDEX(CalcDepB,$N1647)=0,"",INDEX(CalcDepB,$N1647)),"")</f>
        <v/>
      </c>
      <c r="F1647" s="23">
        <f>IF($M1647&lt;&gt;"",IF(INDEX(CalcQtyA,$M1647)=0,"",INDEX(CalcQtyA,$M1647)),"")</f>
        <v/>
      </c>
      <c r="G1647" s="23">
        <f>IF($M1647&lt;&gt;"",IF(INDEX(CalcPriceA,$M1647)=0,"",INDEX(CalcPriceA,$M1647)),"")</f>
        <v/>
      </c>
      <c r="H1647" s="23">
        <f>IF($N1647&lt;&gt;"",IF(INDEX(CalcWitB,$N1647)=0,"",INDEX(CalcWitB,$N1647)),"")</f>
        <v/>
      </c>
      <c r="I1647" s="24">
        <f>IF($M1647&lt;&gt;"",INDEX(CalcAmtA,$M1647),"")</f>
        <v/>
      </c>
      <c r="J1647" s="24">
        <f>IF($B1647="","",IF($J1646="",$C$8,$J1646)+IF($I1647="",0,$I1647)+IF($E1647="",0,$E1647)-IF($H1647="",0,$H1647))</f>
        <v/>
      </c>
      <c r="K1647" s="25">
        <f>IF($M1647&lt;&gt;"",IF(INDEX(CalcNoteA,$M1647)="","—",INDEX(CalcNoteA,$M1647)),IF($N1647&lt;&gt;"",IF(INDEX(CalcNoteB,$N1647)="","—",INDEX(CalcNoteB,$N1647)),""))</f>
        <v/>
      </c>
      <c r="M1647">
        <f>IFERROR(MATCH($C$5&amp;"|"&amp;RIGHT("000000"&amp;1631,6),CalcRankKeyA,0),"")</f>
        <v/>
      </c>
      <c r="N1647">
        <f>IFERROR(MATCH($C$5&amp;"|"&amp;RIGHT("000000"&amp;1631,6),CalcRankKeyB,0),"")</f>
        <v/>
      </c>
    </row>
    <row r="1648">
      <c r="A1648" s="26" t="n">
        <v>1632</v>
      </c>
      <c r="B1648" s="27">
        <f>IF(AND($M1648="",$N1648=""),"",IF($M1648&lt;&gt;"",INDEX(CalcDateA,$M1648),INDEX(CalcDateB,$N1648)))</f>
        <v/>
      </c>
      <c r="C1648" s="27">
        <f>IF($M1648&lt;&gt;"","خرید سبد",IF($N1648&lt;&gt;"",IF(N(INDEX(CalcDepB,$N1648))&gt;0,"دریافت بانکی","پرداخت بانکی"),""))</f>
        <v/>
      </c>
      <c r="D1648" s="27">
        <f>IF($M1648&lt;&gt;"",IF(INDEX(CalcDocA,$M1648)="","—",INDEX(CalcDocA,$M1648)),IF($N1648&lt;&gt;"",INDEX(CalcBankB,$N1648),""))</f>
        <v/>
      </c>
      <c r="E1648" s="28">
        <f>IF($N1648&lt;&gt;"",IF(INDEX(CalcDepB,$N1648)=0,"",INDEX(CalcDepB,$N1648)),"")</f>
        <v/>
      </c>
      <c r="F1648" s="28">
        <f>IF($M1648&lt;&gt;"",IF(INDEX(CalcQtyA,$M1648)=0,"",INDEX(CalcQtyA,$M1648)),"")</f>
        <v/>
      </c>
      <c r="G1648" s="28">
        <f>IF($M1648&lt;&gt;"",IF(INDEX(CalcPriceA,$M1648)=0,"",INDEX(CalcPriceA,$M1648)),"")</f>
        <v/>
      </c>
      <c r="H1648" s="28">
        <f>IF($N1648&lt;&gt;"",IF(INDEX(CalcWitB,$N1648)=0,"",INDEX(CalcWitB,$N1648)),"")</f>
        <v/>
      </c>
      <c r="I1648" s="29">
        <f>IF($M1648&lt;&gt;"",INDEX(CalcAmtA,$M1648),"")</f>
        <v/>
      </c>
      <c r="J1648" s="29">
        <f>IF($B1648="","",IF($J1647="",$C$8,$J1647)+IF($I1648="",0,$I1648)+IF($E1648="",0,$E1648)-IF($H1648="",0,$H1648))</f>
        <v/>
      </c>
      <c r="K1648" s="30">
        <f>IF($M1648&lt;&gt;"",IF(INDEX(CalcNoteA,$M1648)="","—",INDEX(CalcNoteA,$M1648)),IF($N1648&lt;&gt;"",IF(INDEX(CalcNoteB,$N1648)="","—",INDEX(CalcNoteB,$N1648)),""))</f>
        <v/>
      </c>
      <c r="M1648">
        <f>IFERROR(MATCH($C$5&amp;"|"&amp;RIGHT("000000"&amp;1632,6),CalcRankKeyA,0),"")</f>
        <v/>
      </c>
      <c r="N1648">
        <f>IFERROR(MATCH($C$5&amp;"|"&amp;RIGHT("000000"&amp;1632,6),CalcRankKeyB,0),"")</f>
        <v/>
      </c>
    </row>
    <row r="1649">
      <c r="A1649" s="21" t="n">
        <v>1633</v>
      </c>
      <c r="B1649" s="22">
        <f>IF(AND($M1649="",$N1649=""),"",IF($M1649&lt;&gt;"",INDEX(CalcDateA,$M1649),INDEX(CalcDateB,$N1649)))</f>
        <v/>
      </c>
      <c r="C1649" s="22">
        <f>IF($M1649&lt;&gt;"","خرید سبد",IF($N1649&lt;&gt;"",IF(N(INDEX(CalcDepB,$N1649))&gt;0,"دریافت بانکی","پرداخت بانکی"),""))</f>
        <v/>
      </c>
      <c r="D1649" s="22">
        <f>IF($M1649&lt;&gt;"",IF(INDEX(CalcDocA,$M1649)="","—",INDEX(CalcDocA,$M1649)),IF($N1649&lt;&gt;"",INDEX(CalcBankB,$N1649),""))</f>
        <v/>
      </c>
      <c r="E1649" s="23">
        <f>IF($N1649&lt;&gt;"",IF(INDEX(CalcDepB,$N1649)=0,"",INDEX(CalcDepB,$N1649)),"")</f>
        <v/>
      </c>
      <c r="F1649" s="23">
        <f>IF($M1649&lt;&gt;"",IF(INDEX(CalcQtyA,$M1649)=0,"",INDEX(CalcQtyA,$M1649)),"")</f>
        <v/>
      </c>
      <c r="G1649" s="23">
        <f>IF($M1649&lt;&gt;"",IF(INDEX(CalcPriceA,$M1649)=0,"",INDEX(CalcPriceA,$M1649)),"")</f>
        <v/>
      </c>
      <c r="H1649" s="23">
        <f>IF($N1649&lt;&gt;"",IF(INDEX(CalcWitB,$N1649)=0,"",INDEX(CalcWitB,$N1649)),"")</f>
        <v/>
      </c>
      <c r="I1649" s="24">
        <f>IF($M1649&lt;&gt;"",INDEX(CalcAmtA,$M1649),"")</f>
        <v/>
      </c>
      <c r="J1649" s="24">
        <f>IF($B1649="","",IF($J1648="",$C$8,$J1648)+IF($I1649="",0,$I1649)+IF($E1649="",0,$E1649)-IF($H1649="",0,$H1649))</f>
        <v/>
      </c>
      <c r="K1649" s="25">
        <f>IF($M1649&lt;&gt;"",IF(INDEX(CalcNoteA,$M1649)="","—",INDEX(CalcNoteA,$M1649)),IF($N1649&lt;&gt;"",IF(INDEX(CalcNoteB,$N1649)="","—",INDEX(CalcNoteB,$N1649)),""))</f>
        <v/>
      </c>
      <c r="M1649">
        <f>IFERROR(MATCH($C$5&amp;"|"&amp;RIGHT("000000"&amp;1633,6),CalcRankKeyA,0),"")</f>
        <v/>
      </c>
      <c r="N1649">
        <f>IFERROR(MATCH($C$5&amp;"|"&amp;RIGHT("000000"&amp;1633,6),CalcRankKeyB,0),"")</f>
        <v/>
      </c>
    </row>
    <row r="1650">
      <c r="A1650" s="26" t="n">
        <v>1634</v>
      </c>
      <c r="B1650" s="27">
        <f>IF(AND($M1650="",$N1650=""),"",IF($M1650&lt;&gt;"",INDEX(CalcDateA,$M1650),INDEX(CalcDateB,$N1650)))</f>
        <v/>
      </c>
      <c r="C1650" s="27">
        <f>IF($M1650&lt;&gt;"","خرید سبد",IF($N1650&lt;&gt;"",IF(N(INDEX(CalcDepB,$N1650))&gt;0,"دریافت بانکی","پرداخت بانکی"),""))</f>
        <v/>
      </c>
      <c r="D1650" s="27">
        <f>IF($M1650&lt;&gt;"",IF(INDEX(CalcDocA,$M1650)="","—",INDEX(CalcDocA,$M1650)),IF($N1650&lt;&gt;"",INDEX(CalcBankB,$N1650),""))</f>
        <v/>
      </c>
      <c r="E1650" s="28">
        <f>IF($N1650&lt;&gt;"",IF(INDEX(CalcDepB,$N1650)=0,"",INDEX(CalcDepB,$N1650)),"")</f>
        <v/>
      </c>
      <c r="F1650" s="28">
        <f>IF($M1650&lt;&gt;"",IF(INDEX(CalcQtyA,$M1650)=0,"",INDEX(CalcQtyA,$M1650)),"")</f>
        <v/>
      </c>
      <c r="G1650" s="28">
        <f>IF($M1650&lt;&gt;"",IF(INDEX(CalcPriceA,$M1650)=0,"",INDEX(CalcPriceA,$M1650)),"")</f>
        <v/>
      </c>
      <c r="H1650" s="28">
        <f>IF($N1650&lt;&gt;"",IF(INDEX(CalcWitB,$N1650)=0,"",INDEX(CalcWitB,$N1650)),"")</f>
        <v/>
      </c>
      <c r="I1650" s="29">
        <f>IF($M1650&lt;&gt;"",INDEX(CalcAmtA,$M1650),"")</f>
        <v/>
      </c>
      <c r="J1650" s="29">
        <f>IF($B1650="","",IF($J1649="",$C$8,$J1649)+IF($I1650="",0,$I1650)+IF($E1650="",0,$E1650)-IF($H1650="",0,$H1650))</f>
        <v/>
      </c>
      <c r="K1650" s="30">
        <f>IF($M1650&lt;&gt;"",IF(INDEX(CalcNoteA,$M1650)="","—",INDEX(CalcNoteA,$M1650)),IF($N1650&lt;&gt;"",IF(INDEX(CalcNoteB,$N1650)="","—",INDEX(CalcNoteB,$N1650)),""))</f>
        <v/>
      </c>
      <c r="M1650">
        <f>IFERROR(MATCH($C$5&amp;"|"&amp;RIGHT("000000"&amp;1634,6),CalcRankKeyA,0),"")</f>
        <v/>
      </c>
      <c r="N1650">
        <f>IFERROR(MATCH($C$5&amp;"|"&amp;RIGHT("000000"&amp;1634,6),CalcRankKeyB,0),"")</f>
        <v/>
      </c>
    </row>
    <row r="1651">
      <c r="A1651" s="21" t="n">
        <v>1635</v>
      </c>
      <c r="B1651" s="22">
        <f>IF(AND($M1651="",$N1651=""),"",IF($M1651&lt;&gt;"",INDEX(CalcDateA,$M1651),INDEX(CalcDateB,$N1651)))</f>
        <v/>
      </c>
      <c r="C1651" s="22">
        <f>IF($M1651&lt;&gt;"","خرید سبد",IF($N1651&lt;&gt;"",IF(N(INDEX(CalcDepB,$N1651))&gt;0,"دریافت بانکی","پرداخت بانکی"),""))</f>
        <v/>
      </c>
      <c r="D1651" s="22">
        <f>IF($M1651&lt;&gt;"",IF(INDEX(CalcDocA,$M1651)="","—",INDEX(CalcDocA,$M1651)),IF($N1651&lt;&gt;"",INDEX(CalcBankB,$N1651),""))</f>
        <v/>
      </c>
      <c r="E1651" s="23">
        <f>IF($N1651&lt;&gt;"",IF(INDEX(CalcDepB,$N1651)=0,"",INDEX(CalcDepB,$N1651)),"")</f>
        <v/>
      </c>
      <c r="F1651" s="23">
        <f>IF($M1651&lt;&gt;"",IF(INDEX(CalcQtyA,$M1651)=0,"",INDEX(CalcQtyA,$M1651)),"")</f>
        <v/>
      </c>
      <c r="G1651" s="23">
        <f>IF($M1651&lt;&gt;"",IF(INDEX(CalcPriceA,$M1651)=0,"",INDEX(CalcPriceA,$M1651)),"")</f>
        <v/>
      </c>
      <c r="H1651" s="23">
        <f>IF($N1651&lt;&gt;"",IF(INDEX(CalcWitB,$N1651)=0,"",INDEX(CalcWitB,$N1651)),"")</f>
        <v/>
      </c>
      <c r="I1651" s="24">
        <f>IF($M1651&lt;&gt;"",INDEX(CalcAmtA,$M1651),"")</f>
        <v/>
      </c>
      <c r="J1651" s="24">
        <f>IF($B1651="","",IF($J1650="",$C$8,$J1650)+IF($I1651="",0,$I1651)+IF($E1651="",0,$E1651)-IF($H1651="",0,$H1651))</f>
        <v/>
      </c>
      <c r="K1651" s="25">
        <f>IF($M1651&lt;&gt;"",IF(INDEX(CalcNoteA,$M1651)="","—",INDEX(CalcNoteA,$M1651)),IF($N1651&lt;&gt;"",IF(INDEX(CalcNoteB,$N1651)="","—",INDEX(CalcNoteB,$N1651)),""))</f>
        <v/>
      </c>
      <c r="M1651">
        <f>IFERROR(MATCH($C$5&amp;"|"&amp;RIGHT("000000"&amp;1635,6),CalcRankKeyA,0),"")</f>
        <v/>
      </c>
      <c r="N1651">
        <f>IFERROR(MATCH($C$5&amp;"|"&amp;RIGHT("000000"&amp;1635,6),CalcRankKeyB,0),"")</f>
        <v/>
      </c>
    </row>
    <row r="1652">
      <c r="A1652" s="26" t="n">
        <v>1636</v>
      </c>
      <c r="B1652" s="27">
        <f>IF(AND($M1652="",$N1652=""),"",IF($M1652&lt;&gt;"",INDEX(CalcDateA,$M1652),INDEX(CalcDateB,$N1652)))</f>
        <v/>
      </c>
      <c r="C1652" s="27">
        <f>IF($M1652&lt;&gt;"","خرید سبد",IF($N1652&lt;&gt;"",IF(N(INDEX(CalcDepB,$N1652))&gt;0,"دریافت بانکی","پرداخت بانکی"),""))</f>
        <v/>
      </c>
      <c r="D1652" s="27">
        <f>IF($M1652&lt;&gt;"",IF(INDEX(CalcDocA,$M1652)="","—",INDEX(CalcDocA,$M1652)),IF($N1652&lt;&gt;"",INDEX(CalcBankB,$N1652),""))</f>
        <v/>
      </c>
      <c r="E1652" s="28">
        <f>IF($N1652&lt;&gt;"",IF(INDEX(CalcDepB,$N1652)=0,"",INDEX(CalcDepB,$N1652)),"")</f>
        <v/>
      </c>
      <c r="F1652" s="28">
        <f>IF($M1652&lt;&gt;"",IF(INDEX(CalcQtyA,$M1652)=0,"",INDEX(CalcQtyA,$M1652)),"")</f>
        <v/>
      </c>
      <c r="G1652" s="28">
        <f>IF($M1652&lt;&gt;"",IF(INDEX(CalcPriceA,$M1652)=0,"",INDEX(CalcPriceA,$M1652)),"")</f>
        <v/>
      </c>
      <c r="H1652" s="28">
        <f>IF($N1652&lt;&gt;"",IF(INDEX(CalcWitB,$N1652)=0,"",INDEX(CalcWitB,$N1652)),"")</f>
        <v/>
      </c>
      <c r="I1652" s="29">
        <f>IF($M1652&lt;&gt;"",INDEX(CalcAmtA,$M1652),"")</f>
        <v/>
      </c>
      <c r="J1652" s="29">
        <f>IF($B1652="","",IF($J1651="",$C$8,$J1651)+IF($I1652="",0,$I1652)+IF($E1652="",0,$E1652)-IF($H1652="",0,$H1652))</f>
        <v/>
      </c>
      <c r="K1652" s="30">
        <f>IF($M1652&lt;&gt;"",IF(INDEX(CalcNoteA,$M1652)="","—",INDEX(CalcNoteA,$M1652)),IF($N1652&lt;&gt;"",IF(INDEX(CalcNoteB,$N1652)="","—",INDEX(CalcNoteB,$N1652)),""))</f>
        <v/>
      </c>
      <c r="M1652">
        <f>IFERROR(MATCH($C$5&amp;"|"&amp;RIGHT("000000"&amp;1636,6),CalcRankKeyA,0),"")</f>
        <v/>
      </c>
      <c r="N1652">
        <f>IFERROR(MATCH($C$5&amp;"|"&amp;RIGHT("000000"&amp;1636,6),CalcRankKeyB,0),"")</f>
        <v/>
      </c>
    </row>
    <row r="1653">
      <c r="A1653" s="21" t="n">
        <v>1637</v>
      </c>
      <c r="B1653" s="22">
        <f>IF(AND($M1653="",$N1653=""),"",IF($M1653&lt;&gt;"",INDEX(CalcDateA,$M1653),INDEX(CalcDateB,$N1653)))</f>
        <v/>
      </c>
      <c r="C1653" s="22">
        <f>IF($M1653&lt;&gt;"","خرید سبد",IF($N1653&lt;&gt;"",IF(N(INDEX(CalcDepB,$N1653))&gt;0,"دریافت بانکی","پرداخت بانکی"),""))</f>
        <v/>
      </c>
      <c r="D1653" s="22">
        <f>IF($M1653&lt;&gt;"",IF(INDEX(CalcDocA,$M1653)="","—",INDEX(CalcDocA,$M1653)),IF($N1653&lt;&gt;"",INDEX(CalcBankB,$N1653),""))</f>
        <v/>
      </c>
      <c r="E1653" s="23">
        <f>IF($N1653&lt;&gt;"",IF(INDEX(CalcDepB,$N1653)=0,"",INDEX(CalcDepB,$N1653)),"")</f>
        <v/>
      </c>
      <c r="F1653" s="23">
        <f>IF($M1653&lt;&gt;"",IF(INDEX(CalcQtyA,$M1653)=0,"",INDEX(CalcQtyA,$M1653)),"")</f>
        <v/>
      </c>
      <c r="G1653" s="23">
        <f>IF($M1653&lt;&gt;"",IF(INDEX(CalcPriceA,$M1653)=0,"",INDEX(CalcPriceA,$M1653)),"")</f>
        <v/>
      </c>
      <c r="H1653" s="23">
        <f>IF($N1653&lt;&gt;"",IF(INDEX(CalcWitB,$N1653)=0,"",INDEX(CalcWitB,$N1653)),"")</f>
        <v/>
      </c>
      <c r="I1653" s="24">
        <f>IF($M1653&lt;&gt;"",INDEX(CalcAmtA,$M1653),"")</f>
        <v/>
      </c>
      <c r="J1653" s="24">
        <f>IF($B1653="","",IF($J1652="",$C$8,$J1652)+IF($I1653="",0,$I1653)+IF($E1653="",0,$E1653)-IF($H1653="",0,$H1653))</f>
        <v/>
      </c>
      <c r="K1653" s="25">
        <f>IF($M1653&lt;&gt;"",IF(INDEX(CalcNoteA,$M1653)="","—",INDEX(CalcNoteA,$M1653)),IF($N1653&lt;&gt;"",IF(INDEX(CalcNoteB,$N1653)="","—",INDEX(CalcNoteB,$N1653)),""))</f>
        <v/>
      </c>
      <c r="M1653">
        <f>IFERROR(MATCH($C$5&amp;"|"&amp;RIGHT("000000"&amp;1637,6),CalcRankKeyA,0),"")</f>
        <v/>
      </c>
      <c r="N1653">
        <f>IFERROR(MATCH($C$5&amp;"|"&amp;RIGHT("000000"&amp;1637,6),CalcRankKeyB,0),"")</f>
        <v/>
      </c>
    </row>
    <row r="1654">
      <c r="A1654" s="26" t="n">
        <v>1638</v>
      </c>
      <c r="B1654" s="27">
        <f>IF(AND($M1654="",$N1654=""),"",IF($M1654&lt;&gt;"",INDEX(CalcDateA,$M1654),INDEX(CalcDateB,$N1654)))</f>
        <v/>
      </c>
      <c r="C1654" s="27">
        <f>IF($M1654&lt;&gt;"","خرید سبد",IF($N1654&lt;&gt;"",IF(N(INDEX(CalcDepB,$N1654))&gt;0,"دریافت بانکی","پرداخت بانکی"),""))</f>
        <v/>
      </c>
      <c r="D1654" s="27">
        <f>IF($M1654&lt;&gt;"",IF(INDEX(CalcDocA,$M1654)="","—",INDEX(CalcDocA,$M1654)),IF($N1654&lt;&gt;"",INDEX(CalcBankB,$N1654),""))</f>
        <v/>
      </c>
      <c r="E1654" s="28">
        <f>IF($N1654&lt;&gt;"",IF(INDEX(CalcDepB,$N1654)=0,"",INDEX(CalcDepB,$N1654)),"")</f>
        <v/>
      </c>
      <c r="F1654" s="28">
        <f>IF($M1654&lt;&gt;"",IF(INDEX(CalcQtyA,$M1654)=0,"",INDEX(CalcQtyA,$M1654)),"")</f>
        <v/>
      </c>
      <c r="G1654" s="28">
        <f>IF($M1654&lt;&gt;"",IF(INDEX(CalcPriceA,$M1654)=0,"",INDEX(CalcPriceA,$M1654)),"")</f>
        <v/>
      </c>
      <c r="H1654" s="28">
        <f>IF($N1654&lt;&gt;"",IF(INDEX(CalcWitB,$N1654)=0,"",INDEX(CalcWitB,$N1654)),"")</f>
        <v/>
      </c>
      <c r="I1654" s="29">
        <f>IF($M1654&lt;&gt;"",INDEX(CalcAmtA,$M1654),"")</f>
        <v/>
      </c>
      <c r="J1654" s="29">
        <f>IF($B1654="","",IF($J1653="",$C$8,$J1653)+IF($I1654="",0,$I1654)+IF($E1654="",0,$E1654)-IF($H1654="",0,$H1654))</f>
        <v/>
      </c>
      <c r="K1654" s="30">
        <f>IF($M1654&lt;&gt;"",IF(INDEX(CalcNoteA,$M1654)="","—",INDEX(CalcNoteA,$M1654)),IF($N1654&lt;&gt;"",IF(INDEX(CalcNoteB,$N1654)="","—",INDEX(CalcNoteB,$N1654)),""))</f>
        <v/>
      </c>
      <c r="M1654">
        <f>IFERROR(MATCH($C$5&amp;"|"&amp;RIGHT("000000"&amp;1638,6),CalcRankKeyA,0),"")</f>
        <v/>
      </c>
      <c r="N1654">
        <f>IFERROR(MATCH($C$5&amp;"|"&amp;RIGHT("000000"&amp;1638,6),CalcRankKeyB,0),"")</f>
        <v/>
      </c>
    </row>
    <row r="1655">
      <c r="A1655" s="21" t="n">
        <v>1639</v>
      </c>
      <c r="B1655" s="22">
        <f>IF(AND($M1655="",$N1655=""),"",IF($M1655&lt;&gt;"",INDEX(CalcDateA,$M1655),INDEX(CalcDateB,$N1655)))</f>
        <v/>
      </c>
      <c r="C1655" s="22">
        <f>IF($M1655&lt;&gt;"","خرید سبد",IF($N1655&lt;&gt;"",IF(N(INDEX(CalcDepB,$N1655))&gt;0,"دریافت بانکی","پرداخت بانکی"),""))</f>
        <v/>
      </c>
      <c r="D1655" s="22">
        <f>IF($M1655&lt;&gt;"",IF(INDEX(CalcDocA,$M1655)="","—",INDEX(CalcDocA,$M1655)),IF($N1655&lt;&gt;"",INDEX(CalcBankB,$N1655),""))</f>
        <v/>
      </c>
      <c r="E1655" s="23">
        <f>IF($N1655&lt;&gt;"",IF(INDEX(CalcDepB,$N1655)=0,"",INDEX(CalcDepB,$N1655)),"")</f>
        <v/>
      </c>
      <c r="F1655" s="23">
        <f>IF($M1655&lt;&gt;"",IF(INDEX(CalcQtyA,$M1655)=0,"",INDEX(CalcQtyA,$M1655)),"")</f>
        <v/>
      </c>
      <c r="G1655" s="23">
        <f>IF($M1655&lt;&gt;"",IF(INDEX(CalcPriceA,$M1655)=0,"",INDEX(CalcPriceA,$M1655)),"")</f>
        <v/>
      </c>
      <c r="H1655" s="23">
        <f>IF($N1655&lt;&gt;"",IF(INDEX(CalcWitB,$N1655)=0,"",INDEX(CalcWitB,$N1655)),"")</f>
        <v/>
      </c>
      <c r="I1655" s="24">
        <f>IF($M1655&lt;&gt;"",INDEX(CalcAmtA,$M1655),"")</f>
        <v/>
      </c>
      <c r="J1655" s="24">
        <f>IF($B1655="","",IF($J1654="",$C$8,$J1654)+IF($I1655="",0,$I1655)+IF($E1655="",0,$E1655)-IF($H1655="",0,$H1655))</f>
        <v/>
      </c>
      <c r="K1655" s="25">
        <f>IF($M1655&lt;&gt;"",IF(INDEX(CalcNoteA,$M1655)="","—",INDEX(CalcNoteA,$M1655)),IF($N1655&lt;&gt;"",IF(INDEX(CalcNoteB,$N1655)="","—",INDEX(CalcNoteB,$N1655)),""))</f>
        <v/>
      </c>
      <c r="M1655">
        <f>IFERROR(MATCH($C$5&amp;"|"&amp;RIGHT("000000"&amp;1639,6),CalcRankKeyA,0),"")</f>
        <v/>
      </c>
      <c r="N1655">
        <f>IFERROR(MATCH($C$5&amp;"|"&amp;RIGHT("000000"&amp;1639,6),CalcRankKeyB,0),"")</f>
        <v/>
      </c>
    </row>
    <row r="1656">
      <c r="A1656" s="26" t="n">
        <v>1640</v>
      </c>
      <c r="B1656" s="27">
        <f>IF(AND($M1656="",$N1656=""),"",IF($M1656&lt;&gt;"",INDEX(CalcDateA,$M1656),INDEX(CalcDateB,$N1656)))</f>
        <v/>
      </c>
      <c r="C1656" s="27">
        <f>IF($M1656&lt;&gt;"","خرید سبد",IF($N1656&lt;&gt;"",IF(N(INDEX(CalcDepB,$N1656))&gt;0,"دریافت بانکی","پرداخت بانکی"),""))</f>
        <v/>
      </c>
      <c r="D1656" s="27">
        <f>IF($M1656&lt;&gt;"",IF(INDEX(CalcDocA,$M1656)="","—",INDEX(CalcDocA,$M1656)),IF($N1656&lt;&gt;"",INDEX(CalcBankB,$N1656),""))</f>
        <v/>
      </c>
      <c r="E1656" s="28">
        <f>IF($N1656&lt;&gt;"",IF(INDEX(CalcDepB,$N1656)=0,"",INDEX(CalcDepB,$N1656)),"")</f>
        <v/>
      </c>
      <c r="F1656" s="28">
        <f>IF($M1656&lt;&gt;"",IF(INDEX(CalcQtyA,$M1656)=0,"",INDEX(CalcQtyA,$M1656)),"")</f>
        <v/>
      </c>
      <c r="G1656" s="28">
        <f>IF($M1656&lt;&gt;"",IF(INDEX(CalcPriceA,$M1656)=0,"",INDEX(CalcPriceA,$M1656)),"")</f>
        <v/>
      </c>
      <c r="H1656" s="28">
        <f>IF($N1656&lt;&gt;"",IF(INDEX(CalcWitB,$N1656)=0,"",INDEX(CalcWitB,$N1656)),"")</f>
        <v/>
      </c>
      <c r="I1656" s="29">
        <f>IF($M1656&lt;&gt;"",INDEX(CalcAmtA,$M1656),"")</f>
        <v/>
      </c>
      <c r="J1656" s="29">
        <f>IF($B1656="","",IF($J1655="",$C$8,$J1655)+IF($I1656="",0,$I1656)+IF($E1656="",0,$E1656)-IF($H1656="",0,$H1656))</f>
        <v/>
      </c>
      <c r="K1656" s="30">
        <f>IF($M1656&lt;&gt;"",IF(INDEX(CalcNoteA,$M1656)="","—",INDEX(CalcNoteA,$M1656)),IF($N1656&lt;&gt;"",IF(INDEX(CalcNoteB,$N1656)="","—",INDEX(CalcNoteB,$N1656)),""))</f>
        <v/>
      </c>
      <c r="M1656">
        <f>IFERROR(MATCH($C$5&amp;"|"&amp;RIGHT("000000"&amp;1640,6),CalcRankKeyA,0),"")</f>
        <v/>
      </c>
      <c r="N1656">
        <f>IFERROR(MATCH($C$5&amp;"|"&amp;RIGHT("000000"&amp;1640,6),CalcRankKeyB,0),"")</f>
        <v/>
      </c>
    </row>
    <row r="1657">
      <c r="A1657" s="21" t="n">
        <v>1641</v>
      </c>
      <c r="B1657" s="22">
        <f>IF(AND($M1657="",$N1657=""),"",IF($M1657&lt;&gt;"",INDEX(CalcDateA,$M1657),INDEX(CalcDateB,$N1657)))</f>
        <v/>
      </c>
      <c r="C1657" s="22">
        <f>IF($M1657&lt;&gt;"","خرید سبد",IF($N1657&lt;&gt;"",IF(N(INDEX(CalcDepB,$N1657))&gt;0,"دریافت بانکی","پرداخت بانکی"),""))</f>
        <v/>
      </c>
      <c r="D1657" s="22">
        <f>IF($M1657&lt;&gt;"",IF(INDEX(CalcDocA,$M1657)="","—",INDEX(CalcDocA,$M1657)),IF($N1657&lt;&gt;"",INDEX(CalcBankB,$N1657),""))</f>
        <v/>
      </c>
      <c r="E1657" s="23">
        <f>IF($N1657&lt;&gt;"",IF(INDEX(CalcDepB,$N1657)=0,"",INDEX(CalcDepB,$N1657)),"")</f>
        <v/>
      </c>
      <c r="F1657" s="23">
        <f>IF($M1657&lt;&gt;"",IF(INDEX(CalcQtyA,$M1657)=0,"",INDEX(CalcQtyA,$M1657)),"")</f>
        <v/>
      </c>
      <c r="G1657" s="23">
        <f>IF($M1657&lt;&gt;"",IF(INDEX(CalcPriceA,$M1657)=0,"",INDEX(CalcPriceA,$M1657)),"")</f>
        <v/>
      </c>
      <c r="H1657" s="23">
        <f>IF($N1657&lt;&gt;"",IF(INDEX(CalcWitB,$N1657)=0,"",INDEX(CalcWitB,$N1657)),"")</f>
        <v/>
      </c>
      <c r="I1657" s="24">
        <f>IF($M1657&lt;&gt;"",INDEX(CalcAmtA,$M1657),"")</f>
        <v/>
      </c>
      <c r="J1657" s="24">
        <f>IF($B1657="","",IF($J1656="",$C$8,$J1656)+IF($I1657="",0,$I1657)+IF($E1657="",0,$E1657)-IF($H1657="",0,$H1657))</f>
        <v/>
      </c>
      <c r="K1657" s="25">
        <f>IF($M1657&lt;&gt;"",IF(INDEX(CalcNoteA,$M1657)="","—",INDEX(CalcNoteA,$M1657)),IF($N1657&lt;&gt;"",IF(INDEX(CalcNoteB,$N1657)="","—",INDEX(CalcNoteB,$N1657)),""))</f>
        <v/>
      </c>
      <c r="M1657">
        <f>IFERROR(MATCH($C$5&amp;"|"&amp;RIGHT("000000"&amp;1641,6),CalcRankKeyA,0),"")</f>
        <v/>
      </c>
      <c r="N1657">
        <f>IFERROR(MATCH($C$5&amp;"|"&amp;RIGHT("000000"&amp;1641,6),CalcRankKeyB,0),"")</f>
        <v/>
      </c>
    </row>
    <row r="1658">
      <c r="A1658" s="26" t="n">
        <v>1642</v>
      </c>
      <c r="B1658" s="27">
        <f>IF(AND($M1658="",$N1658=""),"",IF($M1658&lt;&gt;"",INDEX(CalcDateA,$M1658),INDEX(CalcDateB,$N1658)))</f>
        <v/>
      </c>
      <c r="C1658" s="27">
        <f>IF($M1658&lt;&gt;"","خرید سبد",IF($N1658&lt;&gt;"",IF(N(INDEX(CalcDepB,$N1658))&gt;0,"دریافت بانکی","پرداخت بانکی"),""))</f>
        <v/>
      </c>
      <c r="D1658" s="27">
        <f>IF($M1658&lt;&gt;"",IF(INDEX(CalcDocA,$M1658)="","—",INDEX(CalcDocA,$M1658)),IF($N1658&lt;&gt;"",INDEX(CalcBankB,$N1658),""))</f>
        <v/>
      </c>
      <c r="E1658" s="28">
        <f>IF($N1658&lt;&gt;"",IF(INDEX(CalcDepB,$N1658)=0,"",INDEX(CalcDepB,$N1658)),"")</f>
        <v/>
      </c>
      <c r="F1658" s="28">
        <f>IF($M1658&lt;&gt;"",IF(INDEX(CalcQtyA,$M1658)=0,"",INDEX(CalcQtyA,$M1658)),"")</f>
        <v/>
      </c>
      <c r="G1658" s="28">
        <f>IF($M1658&lt;&gt;"",IF(INDEX(CalcPriceA,$M1658)=0,"",INDEX(CalcPriceA,$M1658)),"")</f>
        <v/>
      </c>
      <c r="H1658" s="28">
        <f>IF($N1658&lt;&gt;"",IF(INDEX(CalcWitB,$N1658)=0,"",INDEX(CalcWitB,$N1658)),"")</f>
        <v/>
      </c>
      <c r="I1658" s="29">
        <f>IF($M1658&lt;&gt;"",INDEX(CalcAmtA,$M1658),"")</f>
        <v/>
      </c>
      <c r="J1658" s="29">
        <f>IF($B1658="","",IF($J1657="",$C$8,$J1657)+IF($I1658="",0,$I1658)+IF($E1658="",0,$E1658)-IF($H1658="",0,$H1658))</f>
        <v/>
      </c>
      <c r="K1658" s="30">
        <f>IF($M1658&lt;&gt;"",IF(INDEX(CalcNoteA,$M1658)="","—",INDEX(CalcNoteA,$M1658)),IF($N1658&lt;&gt;"",IF(INDEX(CalcNoteB,$N1658)="","—",INDEX(CalcNoteB,$N1658)),""))</f>
        <v/>
      </c>
      <c r="M1658">
        <f>IFERROR(MATCH($C$5&amp;"|"&amp;RIGHT("000000"&amp;1642,6),CalcRankKeyA,0),"")</f>
        <v/>
      </c>
      <c r="N1658">
        <f>IFERROR(MATCH($C$5&amp;"|"&amp;RIGHT("000000"&amp;1642,6),CalcRankKeyB,0),"")</f>
        <v/>
      </c>
    </row>
    <row r="1659">
      <c r="A1659" s="21" t="n">
        <v>1643</v>
      </c>
      <c r="B1659" s="22">
        <f>IF(AND($M1659="",$N1659=""),"",IF($M1659&lt;&gt;"",INDEX(CalcDateA,$M1659),INDEX(CalcDateB,$N1659)))</f>
        <v/>
      </c>
      <c r="C1659" s="22">
        <f>IF($M1659&lt;&gt;"","خرید سبد",IF($N1659&lt;&gt;"",IF(N(INDEX(CalcDepB,$N1659))&gt;0,"دریافت بانکی","پرداخت بانکی"),""))</f>
        <v/>
      </c>
      <c r="D1659" s="22">
        <f>IF($M1659&lt;&gt;"",IF(INDEX(CalcDocA,$M1659)="","—",INDEX(CalcDocA,$M1659)),IF($N1659&lt;&gt;"",INDEX(CalcBankB,$N1659),""))</f>
        <v/>
      </c>
      <c r="E1659" s="23">
        <f>IF($N1659&lt;&gt;"",IF(INDEX(CalcDepB,$N1659)=0,"",INDEX(CalcDepB,$N1659)),"")</f>
        <v/>
      </c>
      <c r="F1659" s="23">
        <f>IF($M1659&lt;&gt;"",IF(INDEX(CalcQtyA,$M1659)=0,"",INDEX(CalcQtyA,$M1659)),"")</f>
        <v/>
      </c>
      <c r="G1659" s="23">
        <f>IF($M1659&lt;&gt;"",IF(INDEX(CalcPriceA,$M1659)=0,"",INDEX(CalcPriceA,$M1659)),"")</f>
        <v/>
      </c>
      <c r="H1659" s="23">
        <f>IF($N1659&lt;&gt;"",IF(INDEX(CalcWitB,$N1659)=0,"",INDEX(CalcWitB,$N1659)),"")</f>
        <v/>
      </c>
      <c r="I1659" s="24">
        <f>IF($M1659&lt;&gt;"",INDEX(CalcAmtA,$M1659),"")</f>
        <v/>
      </c>
      <c r="J1659" s="24">
        <f>IF($B1659="","",IF($J1658="",$C$8,$J1658)+IF($I1659="",0,$I1659)+IF($E1659="",0,$E1659)-IF($H1659="",0,$H1659))</f>
        <v/>
      </c>
      <c r="K1659" s="25">
        <f>IF($M1659&lt;&gt;"",IF(INDEX(CalcNoteA,$M1659)="","—",INDEX(CalcNoteA,$M1659)),IF($N1659&lt;&gt;"",IF(INDEX(CalcNoteB,$N1659)="","—",INDEX(CalcNoteB,$N1659)),""))</f>
        <v/>
      </c>
      <c r="M1659">
        <f>IFERROR(MATCH($C$5&amp;"|"&amp;RIGHT("000000"&amp;1643,6),CalcRankKeyA,0),"")</f>
        <v/>
      </c>
      <c r="N1659">
        <f>IFERROR(MATCH($C$5&amp;"|"&amp;RIGHT("000000"&amp;1643,6),CalcRankKeyB,0),"")</f>
        <v/>
      </c>
    </row>
    <row r="1660">
      <c r="A1660" s="26" t="n">
        <v>1644</v>
      </c>
      <c r="B1660" s="27">
        <f>IF(AND($M1660="",$N1660=""),"",IF($M1660&lt;&gt;"",INDEX(CalcDateA,$M1660),INDEX(CalcDateB,$N1660)))</f>
        <v/>
      </c>
      <c r="C1660" s="27">
        <f>IF($M1660&lt;&gt;"","خرید سبد",IF($N1660&lt;&gt;"",IF(N(INDEX(CalcDepB,$N1660))&gt;0,"دریافت بانکی","پرداخت بانکی"),""))</f>
        <v/>
      </c>
      <c r="D1660" s="27">
        <f>IF($M1660&lt;&gt;"",IF(INDEX(CalcDocA,$M1660)="","—",INDEX(CalcDocA,$M1660)),IF($N1660&lt;&gt;"",INDEX(CalcBankB,$N1660),""))</f>
        <v/>
      </c>
      <c r="E1660" s="28">
        <f>IF($N1660&lt;&gt;"",IF(INDEX(CalcDepB,$N1660)=0,"",INDEX(CalcDepB,$N1660)),"")</f>
        <v/>
      </c>
      <c r="F1660" s="28">
        <f>IF($M1660&lt;&gt;"",IF(INDEX(CalcQtyA,$M1660)=0,"",INDEX(CalcQtyA,$M1660)),"")</f>
        <v/>
      </c>
      <c r="G1660" s="28">
        <f>IF($M1660&lt;&gt;"",IF(INDEX(CalcPriceA,$M1660)=0,"",INDEX(CalcPriceA,$M1660)),"")</f>
        <v/>
      </c>
      <c r="H1660" s="28">
        <f>IF($N1660&lt;&gt;"",IF(INDEX(CalcWitB,$N1660)=0,"",INDEX(CalcWitB,$N1660)),"")</f>
        <v/>
      </c>
      <c r="I1660" s="29">
        <f>IF($M1660&lt;&gt;"",INDEX(CalcAmtA,$M1660),"")</f>
        <v/>
      </c>
      <c r="J1660" s="29">
        <f>IF($B1660="","",IF($J1659="",$C$8,$J1659)+IF($I1660="",0,$I1660)+IF($E1660="",0,$E1660)-IF($H1660="",0,$H1660))</f>
        <v/>
      </c>
      <c r="K1660" s="30">
        <f>IF($M1660&lt;&gt;"",IF(INDEX(CalcNoteA,$M1660)="","—",INDEX(CalcNoteA,$M1660)),IF($N1660&lt;&gt;"",IF(INDEX(CalcNoteB,$N1660)="","—",INDEX(CalcNoteB,$N1660)),""))</f>
        <v/>
      </c>
      <c r="M1660">
        <f>IFERROR(MATCH($C$5&amp;"|"&amp;RIGHT("000000"&amp;1644,6),CalcRankKeyA,0),"")</f>
        <v/>
      </c>
      <c r="N1660">
        <f>IFERROR(MATCH($C$5&amp;"|"&amp;RIGHT("000000"&amp;1644,6),CalcRankKeyB,0),"")</f>
        <v/>
      </c>
    </row>
    <row r="1661">
      <c r="A1661" s="21" t="n">
        <v>1645</v>
      </c>
      <c r="B1661" s="22">
        <f>IF(AND($M1661="",$N1661=""),"",IF($M1661&lt;&gt;"",INDEX(CalcDateA,$M1661),INDEX(CalcDateB,$N1661)))</f>
        <v/>
      </c>
      <c r="C1661" s="22">
        <f>IF($M1661&lt;&gt;"","خرید سبد",IF($N1661&lt;&gt;"",IF(N(INDEX(CalcDepB,$N1661))&gt;0,"دریافت بانکی","پرداخت بانکی"),""))</f>
        <v/>
      </c>
      <c r="D1661" s="22">
        <f>IF($M1661&lt;&gt;"",IF(INDEX(CalcDocA,$M1661)="","—",INDEX(CalcDocA,$M1661)),IF($N1661&lt;&gt;"",INDEX(CalcBankB,$N1661),""))</f>
        <v/>
      </c>
      <c r="E1661" s="23">
        <f>IF($N1661&lt;&gt;"",IF(INDEX(CalcDepB,$N1661)=0,"",INDEX(CalcDepB,$N1661)),"")</f>
        <v/>
      </c>
      <c r="F1661" s="23">
        <f>IF($M1661&lt;&gt;"",IF(INDEX(CalcQtyA,$M1661)=0,"",INDEX(CalcQtyA,$M1661)),"")</f>
        <v/>
      </c>
      <c r="G1661" s="23">
        <f>IF($M1661&lt;&gt;"",IF(INDEX(CalcPriceA,$M1661)=0,"",INDEX(CalcPriceA,$M1661)),"")</f>
        <v/>
      </c>
      <c r="H1661" s="23">
        <f>IF($N1661&lt;&gt;"",IF(INDEX(CalcWitB,$N1661)=0,"",INDEX(CalcWitB,$N1661)),"")</f>
        <v/>
      </c>
      <c r="I1661" s="24">
        <f>IF($M1661&lt;&gt;"",INDEX(CalcAmtA,$M1661),"")</f>
        <v/>
      </c>
      <c r="J1661" s="24">
        <f>IF($B1661="","",IF($J1660="",$C$8,$J1660)+IF($I1661="",0,$I1661)+IF($E1661="",0,$E1661)-IF($H1661="",0,$H1661))</f>
        <v/>
      </c>
      <c r="K1661" s="25">
        <f>IF($M1661&lt;&gt;"",IF(INDEX(CalcNoteA,$M1661)="","—",INDEX(CalcNoteA,$M1661)),IF($N1661&lt;&gt;"",IF(INDEX(CalcNoteB,$N1661)="","—",INDEX(CalcNoteB,$N1661)),""))</f>
        <v/>
      </c>
      <c r="M1661">
        <f>IFERROR(MATCH($C$5&amp;"|"&amp;RIGHT("000000"&amp;1645,6),CalcRankKeyA,0),"")</f>
        <v/>
      </c>
      <c r="N1661">
        <f>IFERROR(MATCH($C$5&amp;"|"&amp;RIGHT("000000"&amp;1645,6),CalcRankKeyB,0),"")</f>
        <v/>
      </c>
    </row>
    <row r="1662">
      <c r="A1662" s="26" t="n">
        <v>1646</v>
      </c>
      <c r="B1662" s="27">
        <f>IF(AND($M1662="",$N1662=""),"",IF($M1662&lt;&gt;"",INDEX(CalcDateA,$M1662),INDEX(CalcDateB,$N1662)))</f>
        <v/>
      </c>
      <c r="C1662" s="27">
        <f>IF($M1662&lt;&gt;"","خرید سبد",IF($N1662&lt;&gt;"",IF(N(INDEX(CalcDepB,$N1662))&gt;0,"دریافت بانکی","پرداخت بانکی"),""))</f>
        <v/>
      </c>
      <c r="D1662" s="27">
        <f>IF($M1662&lt;&gt;"",IF(INDEX(CalcDocA,$M1662)="","—",INDEX(CalcDocA,$M1662)),IF($N1662&lt;&gt;"",INDEX(CalcBankB,$N1662),""))</f>
        <v/>
      </c>
      <c r="E1662" s="28">
        <f>IF($N1662&lt;&gt;"",IF(INDEX(CalcDepB,$N1662)=0,"",INDEX(CalcDepB,$N1662)),"")</f>
        <v/>
      </c>
      <c r="F1662" s="28">
        <f>IF($M1662&lt;&gt;"",IF(INDEX(CalcQtyA,$M1662)=0,"",INDEX(CalcQtyA,$M1662)),"")</f>
        <v/>
      </c>
      <c r="G1662" s="28">
        <f>IF($M1662&lt;&gt;"",IF(INDEX(CalcPriceA,$M1662)=0,"",INDEX(CalcPriceA,$M1662)),"")</f>
        <v/>
      </c>
      <c r="H1662" s="28">
        <f>IF($N1662&lt;&gt;"",IF(INDEX(CalcWitB,$N1662)=0,"",INDEX(CalcWitB,$N1662)),"")</f>
        <v/>
      </c>
      <c r="I1662" s="29">
        <f>IF($M1662&lt;&gt;"",INDEX(CalcAmtA,$M1662),"")</f>
        <v/>
      </c>
      <c r="J1662" s="29">
        <f>IF($B1662="","",IF($J1661="",$C$8,$J1661)+IF($I1662="",0,$I1662)+IF($E1662="",0,$E1662)-IF($H1662="",0,$H1662))</f>
        <v/>
      </c>
      <c r="K1662" s="30">
        <f>IF($M1662&lt;&gt;"",IF(INDEX(CalcNoteA,$M1662)="","—",INDEX(CalcNoteA,$M1662)),IF($N1662&lt;&gt;"",IF(INDEX(CalcNoteB,$N1662)="","—",INDEX(CalcNoteB,$N1662)),""))</f>
        <v/>
      </c>
      <c r="M1662">
        <f>IFERROR(MATCH($C$5&amp;"|"&amp;RIGHT("000000"&amp;1646,6),CalcRankKeyA,0),"")</f>
        <v/>
      </c>
      <c r="N1662">
        <f>IFERROR(MATCH($C$5&amp;"|"&amp;RIGHT("000000"&amp;1646,6),CalcRankKeyB,0),"")</f>
        <v/>
      </c>
    </row>
    <row r="1663">
      <c r="A1663" s="21" t="n">
        <v>1647</v>
      </c>
      <c r="B1663" s="22">
        <f>IF(AND($M1663="",$N1663=""),"",IF($M1663&lt;&gt;"",INDEX(CalcDateA,$M1663),INDEX(CalcDateB,$N1663)))</f>
        <v/>
      </c>
      <c r="C1663" s="22">
        <f>IF($M1663&lt;&gt;"","خرید سبد",IF($N1663&lt;&gt;"",IF(N(INDEX(CalcDepB,$N1663))&gt;0,"دریافت بانکی","پرداخت بانکی"),""))</f>
        <v/>
      </c>
      <c r="D1663" s="22">
        <f>IF($M1663&lt;&gt;"",IF(INDEX(CalcDocA,$M1663)="","—",INDEX(CalcDocA,$M1663)),IF($N1663&lt;&gt;"",INDEX(CalcBankB,$N1663),""))</f>
        <v/>
      </c>
      <c r="E1663" s="23">
        <f>IF($N1663&lt;&gt;"",IF(INDEX(CalcDepB,$N1663)=0,"",INDEX(CalcDepB,$N1663)),"")</f>
        <v/>
      </c>
      <c r="F1663" s="23">
        <f>IF($M1663&lt;&gt;"",IF(INDEX(CalcQtyA,$M1663)=0,"",INDEX(CalcQtyA,$M1663)),"")</f>
        <v/>
      </c>
      <c r="G1663" s="23">
        <f>IF($M1663&lt;&gt;"",IF(INDEX(CalcPriceA,$M1663)=0,"",INDEX(CalcPriceA,$M1663)),"")</f>
        <v/>
      </c>
      <c r="H1663" s="23">
        <f>IF($N1663&lt;&gt;"",IF(INDEX(CalcWitB,$N1663)=0,"",INDEX(CalcWitB,$N1663)),"")</f>
        <v/>
      </c>
      <c r="I1663" s="24">
        <f>IF($M1663&lt;&gt;"",INDEX(CalcAmtA,$M1663),"")</f>
        <v/>
      </c>
      <c r="J1663" s="24">
        <f>IF($B1663="","",IF($J1662="",$C$8,$J1662)+IF($I1663="",0,$I1663)+IF($E1663="",0,$E1663)-IF($H1663="",0,$H1663))</f>
        <v/>
      </c>
      <c r="K1663" s="25">
        <f>IF($M1663&lt;&gt;"",IF(INDEX(CalcNoteA,$M1663)="","—",INDEX(CalcNoteA,$M1663)),IF($N1663&lt;&gt;"",IF(INDEX(CalcNoteB,$N1663)="","—",INDEX(CalcNoteB,$N1663)),""))</f>
        <v/>
      </c>
      <c r="M1663">
        <f>IFERROR(MATCH($C$5&amp;"|"&amp;RIGHT("000000"&amp;1647,6),CalcRankKeyA,0),"")</f>
        <v/>
      </c>
      <c r="N1663">
        <f>IFERROR(MATCH($C$5&amp;"|"&amp;RIGHT("000000"&amp;1647,6),CalcRankKeyB,0),"")</f>
        <v/>
      </c>
    </row>
    <row r="1664">
      <c r="A1664" s="26" t="n">
        <v>1648</v>
      </c>
      <c r="B1664" s="27">
        <f>IF(AND($M1664="",$N1664=""),"",IF($M1664&lt;&gt;"",INDEX(CalcDateA,$M1664),INDEX(CalcDateB,$N1664)))</f>
        <v/>
      </c>
      <c r="C1664" s="27">
        <f>IF($M1664&lt;&gt;"","خرید سبد",IF($N1664&lt;&gt;"",IF(N(INDEX(CalcDepB,$N1664))&gt;0,"دریافت بانکی","پرداخت بانکی"),""))</f>
        <v/>
      </c>
      <c r="D1664" s="27">
        <f>IF($M1664&lt;&gt;"",IF(INDEX(CalcDocA,$M1664)="","—",INDEX(CalcDocA,$M1664)),IF($N1664&lt;&gt;"",INDEX(CalcBankB,$N1664),""))</f>
        <v/>
      </c>
      <c r="E1664" s="28">
        <f>IF($N1664&lt;&gt;"",IF(INDEX(CalcDepB,$N1664)=0,"",INDEX(CalcDepB,$N1664)),"")</f>
        <v/>
      </c>
      <c r="F1664" s="28">
        <f>IF($M1664&lt;&gt;"",IF(INDEX(CalcQtyA,$M1664)=0,"",INDEX(CalcQtyA,$M1664)),"")</f>
        <v/>
      </c>
      <c r="G1664" s="28">
        <f>IF($M1664&lt;&gt;"",IF(INDEX(CalcPriceA,$M1664)=0,"",INDEX(CalcPriceA,$M1664)),"")</f>
        <v/>
      </c>
      <c r="H1664" s="28">
        <f>IF($N1664&lt;&gt;"",IF(INDEX(CalcWitB,$N1664)=0,"",INDEX(CalcWitB,$N1664)),"")</f>
        <v/>
      </c>
      <c r="I1664" s="29">
        <f>IF($M1664&lt;&gt;"",INDEX(CalcAmtA,$M1664),"")</f>
        <v/>
      </c>
      <c r="J1664" s="29">
        <f>IF($B1664="","",IF($J1663="",$C$8,$J1663)+IF($I1664="",0,$I1664)+IF($E1664="",0,$E1664)-IF($H1664="",0,$H1664))</f>
        <v/>
      </c>
      <c r="K1664" s="30">
        <f>IF($M1664&lt;&gt;"",IF(INDEX(CalcNoteA,$M1664)="","—",INDEX(CalcNoteA,$M1664)),IF($N1664&lt;&gt;"",IF(INDEX(CalcNoteB,$N1664)="","—",INDEX(CalcNoteB,$N1664)),""))</f>
        <v/>
      </c>
      <c r="M1664">
        <f>IFERROR(MATCH($C$5&amp;"|"&amp;RIGHT("000000"&amp;1648,6),CalcRankKeyA,0),"")</f>
        <v/>
      </c>
      <c r="N1664">
        <f>IFERROR(MATCH($C$5&amp;"|"&amp;RIGHT("000000"&amp;1648,6),CalcRankKeyB,0),"")</f>
        <v/>
      </c>
    </row>
    <row r="1665">
      <c r="A1665" s="21" t="n">
        <v>1649</v>
      </c>
      <c r="B1665" s="22">
        <f>IF(AND($M1665="",$N1665=""),"",IF($M1665&lt;&gt;"",INDEX(CalcDateA,$M1665),INDEX(CalcDateB,$N1665)))</f>
        <v/>
      </c>
      <c r="C1665" s="22">
        <f>IF($M1665&lt;&gt;"","خرید سبد",IF($N1665&lt;&gt;"",IF(N(INDEX(CalcDepB,$N1665))&gt;0,"دریافت بانکی","پرداخت بانکی"),""))</f>
        <v/>
      </c>
      <c r="D1665" s="22">
        <f>IF($M1665&lt;&gt;"",IF(INDEX(CalcDocA,$M1665)="","—",INDEX(CalcDocA,$M1665)),IF($N1665&lt;&gt;"",INDEX(CalcBankB,$N1665),""))</f>
        <v/>
      </c>
      <c r="E1665" s="23">
        <f>IF($N1665&lt;&gt;"",IF(INDEX(CalcDepB,$N1665)=0,"",INDEX(CalcDepB,$N1665)),"")</f>
        <v/>
      </c>
      <c r="F1665" s="23">
        <f>IF($M1665&lt;&gt;"",IF(INDEX(CalcQtyA,$M1665)=0,"",INDEX(CalcQtyA,$M1665)),"")</f>
        <v/>
      </c>
      <c r="G1665" s="23">
        <f>IF($M1665&lt;&gt;"",IF(INDEX(CalcPriceA,$M1665)=0,"",INDEX(CalcPriceA,$M1665)),"")</f>
        <v/>
      </c>
      <c r="H1665" s="23">
        <f>IF($N1665&lt;&gt;"",IF(INDEX(CalcWitB,$N1665)=0,"",INDEX(CalcWitB,$N1665)),"")</f>
        <v/>
      </c>
      <c r="I1665" s="24">
        <f>IF($M1665&lt;&gt;"",INDEX(CalcAmtA,$M1665),"")</f>
        <v/>
      </c>
      <c r="J1665" s="24">
        <f>IF($B1665="","",IF($J1664="",$C$8,$J1664)+IF($I1665="",0,$I1665)+IF($E1665="",0,$E1665)-IF($H1665="",0,$H1665))</f>
        <v/>
      </c>
      <c r="K1665" s="25">
        <f>IF($M1665&lt;&gt;"",IF(INDEX(CalcNoteA,$M1665)="","—",INDEX(CalcNoteA,$M1665)),IF($N1665&lt;&gt;"",IF(INDEX(CalcNoteB,$N1665)="","—",INDEX(CalcNoteB,$N1665)),""))</f>
        <v/>
      </c>
      <c r="M1665">
        <f>IFERROR(MATCH($C$5&amp;"|"&amp;RIGHT("000000"&amp;1649,6),CalcRankKeyA,0),"")</f>
        <v/>
      </c>
      <c r="N1665">
        <f>IFERROR(MATCH($C$5&amp;"|"&amp;RIGHT("000000"&amp;1649,6),CalcRankKeyB,0),"")</f>
        <v/>
      </c>
    </row>
    <row r="1666">
      <c r="A1666" s="26" t="n">
        <v>1650</v>
      </c>
      <c r="B1666" s="27">
        <f>IF(AND($M1666="",$N1666=""),"",IF($M1666&lt;&gt;"",INDEX(CalcDateA,$M1666),INDEX(CalcDateB,$N1666)))</f>
        <v/>
      </c>
      <c r="C1666" s="27">
        <f>IF($M1666&lt;&gt;"","خرید سبد",IF($N1666&lt;&gt;"",IF(N(INDEX(CalcDepB,$N1666))&gt;0,"دریافت بانکی","پرداخت بانکی"),""))</f>
        <v/>
      </c>
      <c r="D1666" s="27">
        <f>IF($M1666&lt;&gt;"",IF(INDEX(CalcDocA,$M1666)="","—",INDEX(CalcDocA,$M1666)),IF($N1666&lt;&gt;"",INDEX(CalcBankB,$N1666),""))</f>
        <v/>
      </c>
      <c r="E1666" s="28">
        <f>IF($N1666&lt;&gt;"",IF(INDEX(CalcDepB,$N1666)=0,"",INDEX(CalcDepB,$N1666)),"")</f>
        <v/>
      </c>
      <c r="F1666" s="28">
        <f>IF($M1666&lt;&gt;"",IF(INDEX(CalcQtyA,$M1666)=0,"",INDEX(CalcQtyA,$M1666)),"")</f>
        <v/>
      </c>
      <c r="G1666" s="28">
        <f>IF($M1666&lt;&gt;"",IF(INDEX(CalcPriceA,$M1666)=0,"",INDEX(CalcPriceA,$M1666)),"")</f>
        <v/>
      </c>
      <c r="H1666" s="28">
        <f>IF($N1666&lt;&gt;"",IF(INDEX(CalcWitB,$N1666)=0,"",INDEX(CalcWitB,$N1666)),"")</f>
        <v/>
      </c>
      <c r="I1666" s="29">
        <f>IF($M1666&lt;&gt;"",INDEX(CalcAmtA,$M1666),"")</f>
        <v/>
      </c>
      <c r="J1666" s="29">
        <f>IF($B1666="","",IF($J1665="",$C$8,$J1665)+IF($I1666="",0,$I1666)+IF($E1666="",0,$E1666)-IF($H1666="",0,$H1666))</f>
        <v/>
      </c>
      <c r="K1666" s="30">
        <f>IF($M1666&lt;&gt;"",IF(INDEX(CalcNoteA,$M1666)="","—",INDEX(CalcNoteA,$M1666)),IF($N1666&lt;&gt;"",IF(INDEX(CalcNoteB,$N1666)="","—",INDEX(CalcNoteB,$N1666)),""))</f>
        <v/>
      </c>
      <c r="M1666">
        <f>IFERROR(MATCH($C$5&amp;"|"&amp;RIGHT("000000"&amp;1650,6),CalcRankKeyA,0),"")</f>
        <v/>
      </c>
      <c r="N1666">
        <f>IFERROR(MATCH($C$5&amp;"|"&amp;RIGHT("000000"&amp;1650,6),CalcRankKeyB,0),"")</f>
        <v/>
      </c>
    </row>
    <row r="1667">
      <c r="A1667" s="21" t="n">
        <v>1651</v>
      </c>
      <c r="B1667" s="22">
        <f>IF(AND($M1667="",$N1667=""),"",IF($M1667&lt;&gt;"",INDEX(CalcDateA,$M1667),INDEX(CalcDateB,$N1667)))</f>
        <v/>
      </c>
      <c r="C1667" s="22">
        <f>IF($M1667&lt;&gt;"","خرید سبد",IF($N1667&lt;&gt;"",IF(N(INDEX(CalcDepB,$N1667))&gt;0,"دریافت بانکی","پرداخت بانکی"),""))</f>
        <v/>
      </c>
      <c r="D1667" s="22">
        <f>IF($M1667&lt;&gt;"",IF(INDEX(CalcDocA,$M1667)="","—",INDEX(CalcDocA,$M1667)),IF($N1667&lt;&gt;"",INDEX(CalcBankB,$N1667),""))</f>
        <v/>
      </c>
      <c r="E1667" s="23">
        <f>IF($N1667&lt;&gt;"",IF(INDEX(CalcDepB,$N1667)=0,"",INDEX(CalcDepB,$N1667)),"")</f>
        <v/>
      </c>
      <c r="F1667" s="23">
        <f>IF($M1667&lt;&gt;"",IF(INDEX(CalcQtyA,$M1667)=0,"",INDEX(CalcQtyA,$M1667)),"")</f>
        <v/>
      </c>
      <c r="G1667" s="23">
        <f>IF($M1667&lt;&gt;"",IF(INDEX(CalcPriceA,$M1667)=0,"",INDEX(CalcPriceA,$M1667)),"")</f>
        <v/>
      </c>
      <c r="H1667" s="23">
        <f>IF($N1667&lt;&gt;"",IF(INDEX(CalcWitB,$N1667)=0,"",INDEX(CalcWitB,$N1667)),"")</f>
        <v/>
      </c>
      <c r="I1667" s="24">
        <f>IF($M1667&lt;&gt;"",INDEX(CalcAmtA,$M1667),"")</f>
        <v/>
      </c>
      <c r="J1667" s="24">
        <f>IF($B1667="","",IF($J1666="",$C$8,$J1666)+IF($I1667="",0,$I1667)+IF($E1667="",0,$E1667)-IF($H1667="",0,$H1667))</f>
        <v/>
      </c>
      <c r="K1667" s="25">
        <f>IF($M1667&lt;&gt;"",IF(INDEX(CalcNoteA,$M1667)="","—",INDEX(CalcNoteA,$M1667)),IF($N1667&lt;&gt;"",IF(INDEX(CalcNoteB,$N1667)="","—",INDEX(CalcNoteB,$N1667)),""))</f>
        <v/>
      </c>
      <c r="M1667">
        <f>IFERROR(MATCH($C$5&amp;"|"&amp;RIGHT("000000"&amp;1651,6),CalcRankKeyA,0),"")</f>
        <v/>
      </c>
      <c r="N1667">
        <f>IFERROR(MATCH($C$5&amp;"|"&amp;RIGHT("000000"&amp;1651,6),CalcRankKeyB,0),"")</f>
        <v/>
      </c>
    </row>
    <row r="1668">
      <c r="A1668" s="26" t="n">
        <v>1652</v>
      </c>
      <c r="B1668" s="27">
        <f>IF(AND($M1668="",$N1668=""),"",IF($M1668&lt;&gt;"",INDEX(CalcDateA,$M1668),INDEX(CalcDateB,$N1668)))</f>
        <v/>
      </c>
      <c r="C1668" s="27">
        <f>IF($M1668&lt;&gt;"","خرید سبد",IF($N1668&lt;&gt;"",IF(N(INDEX(CalcDepB,$N1668))&gt;0,"دریافت بانکی","پرداخت بانکی"),""))</f>
        <v/>
      </c>
      <c r="D1668" s="27">
        <f>IF($M1668&lt;&gt;"",IF(INDEX(CalcDocA,$M1668)="","—",INDEX(CalcDocA,$M1668)),IF($N1668&lt;&gt;"",INDEX(CalcBankB,$N1668),""))</f>
        <v/>
      </c>
      <c r="E1668" s="28">
        <f>IF($N1668&lt;&gt;"",IF(INDEX(CalcDepB,$N1668)=0,"",INDEX(CalcDepB,$N1668)),"")</f>
        <v/>
      </c>
      <c r="F1668" s="28">
        <f>IF($M1668&lt;&gt;"",IF(INDEX(CalcQtyA,$M1668)=0,"",INDEX(CalcQtyA,$M1668)),"")</f>
        <v/>
      </c>
      <c r="G1668" s="28">
        <f>IF($M1668&lt;&gt;"",IF(INDEX(CalcPriceA,$M1668)=0,"",INDEX(CalcPriceA,$M1668)),"")</f>
        <v/>
      </c>
      <c r="H1668" s="28">
        <f>IF($N1668&lt;&gt;"",IF(INDEX(CalcWitB,$N1668)=0,"",INDEX(CalcWitB,$N1668)),"")</f>
        <v/>
      </c>
      <c r="I1668" s="29">
        <f>IF($M1668&lt;&gt;"",INDEX(CalcAmtA,$M1668),"")</f>
        <v/>
      </c>
      <c r="J1668" s="29">
        <f>IF($B1668="","",IF($J1667="",$C$8,$J1667)+IF($I1668="",0,$I1668)+IF($E1668="",0,$E1668)-IF($H1668="",0,$H1668))</f>
        <v/>
      </c>
      <c r="K1668" s="30">
        <f>IF($M1668&lt;&gt;"",IF(INDEX(CalcNoteA,$M1668)="","—",INDEX(CalcNoteA,$M1668)),IF($N1668&lt;&gt;"",IF(INDEX(CalcNoteB,$N1668)="","—",INDEX(CalcNoteB,$N1668)),""))</f>
        <v/>
      </c>
      <c r="M1668">
        <f>IFERROR(MATCH($C$5&amp;"|"&amp;RIGHT("000000"&amp;1652,6),CalcRankKeyA,0),"")</f>
        <v/>
      </c>
      <c r="N1668">
        <f>IFERROR(MATCH($C$5&amp;"|"&amp;RIGHT("000000"&amp;1652,6),CalcRankKeyB,0),"")</f>
        <v/>
      </c>
    </row>
    <row r="1669">
      <c r="A1669" s="21" t="n">
        <v>1653</v>
      </c>
      <c r="B1669" s="22">
        <f>IF(AND($M1669="",$N1669=""),"",IF($M1669&lt;&gt;"",INDEX(CalcDateA,$M1669),INDEX(CalcDateB,$N1669)))</f>
        <v/>
      </c>
      <c r="C1669" s="22">
        <f>IF($M1669&lt;&gt;"","خرید سبد",IF($N1669&lt;&gt;"",IF(N(INDEX(CalcDepB,$N1669))&gt;0,"دریافت بانکی","پرداخت بانکی"),""))</f>
        <v/>
      </c>
      <c r="D1669" s="22">
        <f>IF($M1669&lt;&gt;"",IF(INDEX(CalcDocA,$M1669)="","—",INDEX(CalcDocA,$M1669)),IF($N1669&lt;&gt;"",INDEX(CalcBankB,$N1669),""))</f>
        <v/>
      </c>
      <c r="E1669" s="23">
        <f>IF($N1669&lt;&gt;"",IF(INDEX(CalcDepB,$N1669)=0,"",INDEX(CalcDepB,$N1669)),"")</f>
        <v/>
      </c>
      <c r="F1669" s="23">
        <f>IF($M1669&lt;&gt;"",IF(INDEX(CalcQtyA,$M1669)=0,"",INDEX(CalcQtyA,$M1669)),"")</f>
        <v/>
      </c>
      <c r="G1669" s="23">
        <f>IF($M1669&lt;&gt;"",IF(INDEX(CalcPriceA,$M1669)=0,"",INDEX(CalcPriceA,$M1669)),"")</f>
        <v/>
      </c>
      <c r="H1669" s="23">
        <f>IF($N1669&lt;&gt;"",IF(INDEX(CalcWitB,$N1669)=0,"",INDEX(CalcWitB,$N1669)),"")</f>
        <v/>
      </c>
      <c r="I1669" s="24">
        <f>IF($M1669&lt;&gt;"",INDEX(CalcAmtA,$M1669),"")</f>
        <v/>
      </c>
      <c r="J1669" s="24">
        <f>IF($B1669="","",IF($J1668="",$C$8,$J1668)+IF($I1669="",0,$I1669)+IF($E1669="",0,$E1669)-IF($H1669="",0,$H1669))</f>
        <v/>
      </c>
      <c r="K1669" s="25">
        <f>IF($M1669&lt;&gt;"",IF(INDEX(CalcNoteA,$M1669)="","—",INDEX(CalcNoteA,$M1669)),IF($N1669&lt;&gt;"",IF(INDEX(CalcNoteB,$N1669)="","—",INDEX(CalcNoteB,$N1669)),""))</f>
        <v/>
      </c>
      <c r="M1669">
        <f>IFERROR(MATCH($C$5&amp;"|"&amp;RIGHT("000000"&amp;1653,6),CalcRankKeyA,0),"")</f>
        <v/>
      </c>
      <c r="N1669">
        <f>IFERROR(MATCH($C$5&amp;"|"&amp;RIGHT("000000"&amp;1653,6),CalcRankKeyB,0),"")</f>
        <v/>
      </c>
    </row>
    <row r="1670">
      <c r="A1670" s="26" t="n">
        <v>1654</v>
      </c>
      <c r="B1670" s="27">
        <f>IF(AND($M1670="",$N1670=""),"",IF($M1670&lt;&gt;"",INDEX(CalcDateA,$M1670),INDEX(CalcDateB,$N1670)))</f>
        <v/>
      </c>
      <c r="C1670" s="27">
        <f>IF($M1670&lt;&gt;"","خرید سبد",IF($N1670&lt;&gt;"",IF(N(INDEX(CalcDepB,$N1670))&gt;0,"دریافت بانکی","پرداخت بانکی"),""))</f>
        <v/>
      </c>
      <c r="D1670" s="27">
        <f>IF($M1670&lt;&gt;"",IF(INDEX(CalcDocA,$M1670)="","—",INDEX(CalcDocA,$M1670)),IF($N1670&lt;&gt;"",INDEX(CalcBankB,$N1670),""))</f>
        <v/>
      </c>
      <c r="E1670" s="28">
        <f>IF($N1670&lt;&gt;"",IF(INDEX(CalcDepB,$N1670)=0,"",INDEX(CalcDepB,$N1670)),"")</f>
        <v/>
      </c>
      <c r="F1670" s="28">
        <f>IF($M1670&lt;&gt;"",IF(INDEX(CalcQtyA,$M1670)=0,"",INDEX(CalcQtyA,$M1670)),"")</f>
        <v/>
      </c>
      <c r="G1670" s="28">
        <f>IF($M1670&lt;&gt;"",IF(INDEX(CalcPriceA,$M1670)=0,"",INDEX(CalcPriceA,$M1670)),"")</f>
        <v/>
      </c>
      <c r="H1670" s="28">
        <f>IF($N1670&lt;&gt;"",IF(INDEX(CalcWitB,$N1670)=0,"",INDEX(CalcWitB,$N1670)),"")</f>
        <v/>
      </c>
      <c r="I1670" s="29">
        <f>IF($M1670&lt;&gt;"",INDEX(CalcAmtA,$M1670),"")</f>
        <v/>
      </c>
      <c r="J1670" s="29">
        <f>IF($B1670="","",IF($J1669="",$C$8,$J1669)+IF($I1670="",0,$I1670)+IF($E1670="",0,$E1670)-IF($H1670="",0,$H1670))</f>
        <v/>
      </c>
      <c r="K1670" s="30">
        <f>IF($M1670&lt;&gt;"",IF(INDEX(CalcNoteA,$M1670)="","—",INDEX(CalcNoteA,$M1670)),IF($N1670&lt;&gt;"",IF(INDEX(CalcNoteB,$N1670)="","—",INDEX(CalcNoteB,$N1670)),""))</f>
        <v/>
      </c>
      <c r="M1670">
        <f>IFERROR(MATCH($C$5&amp;"|"&amp;RIGHT("000000"&amp;1654,6),CalcRankKeyA,0),"")</f>
        <v/>
      </c>
      <c r="N1670">
        <f>IFERROR(MATCH($C$5&amp;"|"&amp;RIGHT("000000"&amp;1654,6),CalcRankKeyB,0),"")</f>
        <v/>
      </c>
    </row>
    <row r="1671">
      <c r="A1671" s="21" t="n">
        <v>1655</v>
      </c>
      <c r="B1671" s="22">
        <f>IF(AND($M1671="",$N1671=""),"",IF($M1671&lt;&gt;"",INDEX(CalcDateA,$M1671),INDEX(CalcDateB,$N1671)))</f>
        <v/>
      </c>
      <c r="C1671" s="22">
        <f>IF($M1671&lt;&gt;"","خرید سبد",IF($N1671&lt;&gt;"",IF(N(INDEX(CalcDepB,$N1671))&gt;0,"دریافت بانکی","پرداخت بانکی"),""))</f>
        <v/>
      </c>
      <c r="D1671" s="22">
        <f>IF($M1671&lt;&gt;"",IF(INDEX(CalcDocA,$M1671)="","—",INDEX(CalcDocA,$M1671)),IF($N1671&lt;&gt;"",INDEX(CalcBankB,$N1671),""))</f>
        <v/>
      </c>
      <c r="E1671" s="23">
        <f>IF($N1671&lt;&gt;"",IF(INDEX(CalcDepB,$N1671)=0,"",INDEX(CalcDepB,$N1671)),"")</f>
        <v/>
      </c>
      <c r="F1671" s="23">
        <f>IF($M1671&lt;&gt;"",IF(INDEX(CalcQtyA,$M1671)=0,"",INDEX(CalcQtyA,$M1671)),"")</f>
        <v/>
      </c>
      <c r="G1671" s="23">
        <f>IF($M1671&lt;&gt;"",IF(INDEX(CalcPriceA,$M1671)=0,"",INDEX(CalcPriceA,$M1671)),"")</f>
        <v/>
      </c>
      <c r="H1671" s="23">
        <f>IF($N1671&lt;&gt;"",IF(INDEX(CalcWitB,$N1671)=0,"",INDEX(CalcWitB,$N1671)),"")</f>
        <v/>
      </c>
      <c r="I1671" s="24">
        <f>IF($M1671&lt;&gt;"",INDEX(CalcAmtA,$M1671),"")</f>
        <v/>
      </c>
      <c r="J1671" s="24">
        <f>IF($B1671="","",IF($J1670="",$C$8,$J1670)+IF($I1671="",0,$I1671)+IF($E1671="",0,$E1671)-IF($H1671="",0,$H1671))</f>
        <v/>
      </c>
      <c r="K1671" s="25">
        <f>IF($M1671&lt;&gt;"",IF(INDEX(CalcNoteA,$M1671)="","—",INDEX(CalcNoteA,$M1671)),IF($N1671&lt;&gt;"",IF(INDEX(CalcNoteB,$N1671)="","—",INDEX(CalcNoteB,$N1671)),""))</f>
        <v/>
      </c>
      <c r="M1671">
        <f>IFERROR(MATCH($C$5&amp;"|"&amp;RIGHT("000000"&amp;1655,6),CalcRankKeyA,0),"")</f>
        <v/>
      </c>
      <c r="N1671">
        <f>IFERROR(MATCH($C$5&amp;"|"&amp;RIGHT("000000"&amp;1655,6),CalcRankKeyB,0),"")</f>
        <v/>
      </c>
    </row>
    <row r="1672">
      <c r="A1672" s="26" t="n">
        <v>1656</v>
      </c>
      <c r="B1672" s="27">
        <f>IF(AND($M1672="",$N1672=""),"",IF($M1672&lt;&gt;"",INDEX(CalcDateA,$M1672),INDEX(CalcDateB,$N1672)))</f>
        <v/>
      </c>
      <c r="C1672" s="27">
        <f>IF($M1672&lt;&gt;"","خرید سبد",IF($N1672&lt;&gt;"",IF(N(INDEX(CalcDepB,$N1672))&gt;0,"دریافت بانکی","پرداخت بانکی"),""))</f>
        <v/>
      </c>
      <c r="D1672" s="27">
        <f>IF($M1672&lt;&gt;"",IF(INDEX(CalcDocA,$M1672)="","—",INDEX(CalcDocA,$M1672)),IF($N1672&lt;&gt;"",INDEX(CalcBankB,$N1672),""))</f>
        <v/>
      </c>
      <c r="E1672" s="28">
        <f>IF($N1672&lt;&gt;"",IF(INDEX(CalcDepB,$N1672)=0,"",INDEX(CalcDepB,$N1672)),"")</f>
        <v/>
      </c>
      <c r="F1672" s="28">
        <f>IF($M1672&lt;&gt;"",IF(INDEX(CalcQtyA,$M1672)=0,"",INDEX(CalcQtyA,$M1672)),"")</f>
        <v/>
      </c>
      <c r="G1672" s="28">
        <f>IF($M1672&lt;&gt;"",IF(INDEX(CalcPriceA,$M1672)=0,"",INDEX(CalcPriceA,$M1672)),"")</f>
        <v/>
      </c>
      <c r="H1672" s="28">
        <f>IF($N1672&lt;&gt;"",IF(INDEX(CalcWitB,$N1672)=0,"",INDEX(CalcWitB,$N1672)),"")</f>
        <v/>
      </c>
      <c r="I1672" s="29">
        <f>IF($M1672&lt;&gt;"",INDEX(CalcAmtA,$M1672),"")</f>
        <v/>
      </c>
      <c r="J1672" s="29">
        <f>IF($B1672="","",IF($J1671="",$C$8,$J1671)+IF($I1672="",0,$I1672)+IF($E1672="",0,$E1672)-IF($H1672="",0,$H1672))</f>
        <v/>
      </c>
      <c r="K1672" s="30">
        <f>IF($M1672&lt;&gt;"",IF(INDEX(CalcNoteA,$M1672)="","—",INDEX(CalcNoteA,$M1672)),IF($N1672&lt;&gt;"",IF(INDEX(CalcNoteB,$N1672)="","—",INDEX(CalcNoteB,$N1672)),""))</f>
        <v/>
      </c>
      <c r="M1672">
        <f>IFERROR(MATCH($C$5&amp;"|"&amp;RIGHT("000000"&amp;1656,6),CalcRankKeyA,0),"")</f>
        <v/>
      </c>
      <c r="N1672">
        <f>IFERROR(MATCH($C$5&amp;"|"&amp;RIGHT("000000"&amp;1656,6),CalcRankKeyB,0),"")</f>
        <v/>
      </c>
    </row>
    <row r="1673">
      <c r="A1673" s="21" t="n">
        <v>1657</v>
      </c>
      <c r="B1673" s="22">
        <f>IF(AND($M1673="",$N1673=""),"",IF($M1673&lt;&gt;"",INDEX(CalcDateA,$M1673),INDEX(CalcDateB,$N1673)))</f>
        <v/>
      </c>
      <c r="C1673" s="22">
        <f>IF($M1673&lt;&gt;"","خرید سبد",IF($N1673&lt;&gt;"",IF(N(INDEX(CalcDepB,$N1673))&gt;0,"دریافت بانکی","پرداخت بانکی"),""))</f>
        <v/>
      </c>
      <c r="D1673" s="22">
        <f>IF($M1673&lt;&gt;"",IF(INDEX(CalcDocA,$M1673)="","—",INDEX(CalcDocA,$M1673)),IF($N1673&lt;&gt;"",INDEX(CalcBankB,$N1673),""))</f>
        <v/>
      </c>
      <c r="E1673" s="23">
        <f>IF($N1673&lt;&gt;"",IF(INDEX(CalcDepB,$N1673)=0,"",INDEX(CalcDepB,$N1673)),"")</f>
        <v/>
      </c>
      <c r="F1673" s="23">
        <f>IF($M1673&lt;&gt;"",IF(INDEX(CalcQtyA,$M1673)=0,"",INDEX(CalcQtyA,$M1673)),"")</f>
        <v/>
      </c>
      <c r="G1673" s="23">
        <f>IF($M1673&lt;&gt;"",IF(INDEX(CalcPriceA,$M1673)=0,"",INDEX(CalcPriceA,$M1673)),"")</f>
        <v/>
      </c>
      <c r="H1673" s="23">
        <f>IF($N1673&lt;&gt;"",IF(INDEX(CalcWitB,$N1673)=0,"",INDEX(CalcWitB,$N1673)),"")</f>
        <v/>
      </c>
      <c r="I1673" s="24">
        <f>IF($M1673&lt;&gt;"",INDEX(CalcAmtA,$M1673),"")</f>
        <v/>
      </c>
      <c r="J1673" s="24">
        <f>IF($B1673="","",IF($J1672="",$C$8,$J1672)+IF($I1673="",0,$I1673)+IF($E1673="",0,$E1673)-IF($H1673="",0,$H1673))</f>
        <v/>
      </c>
      <c r="K1673" s="25">
        <f>IF($M1673&lt;&gt;"",IF(INDEX(CalcNoteA,$M1673)="","—",INDEX(CalcNoteA,$M1673)),IF($N1673&lt;&gt;"",IF(INDEX(CalcNoteB,$N1673)="","—",INDEX(CalcNoteB,$N1673)),""))</f>
        <v/>
      </c>
      <c r="M1673">
        <f>IFERROR(MATCH($C$5&amp;"|"&amp;RIGHT("000000"&amp;1657,6),CalcRankKeyA,0),"")</f>
        <v/>
      </c>
      <c r="N1673">
        <f>IFERROR(MATCH($C$5&amp;"|"&amp;RIGHT("000000"&amp;1657,6),CalcRankKeyB,0),"")</f>
        <v/>
      </c>
    </row>
    <row r="1674">
      <c r="A1674" s="26" t="n">
        <v>1658</v>
      </c>
      <c r="B1674" s="27">
        <f>IF(AND($M1674="",$N1674=""),"",IF($M1674&lt;&gt;"",INDEX(CalcDateA,$M1674),INDEX(CalcDateB,$N1674)))</f>
        <v/>
      </c>
      <c r="C1674" s="27">
        <f>IF($M1674&lt;&gt;"","خرید سبد",IF($N1674&lt;&gt;"",IF(N(INDEX(CalcDepB,$N1674))&gt;0,"دریافت بانکی","پرداخت بانکی"),""))</f>
        <v/>
      </c>
      <c r="D1674" s="27">
        <f>IF($M1674&lt;&gt;"",IF(INDEX(CalcDocA,$M1674)="","—",INDEX(CalcDocA,$M1674)),IF($N1674&lt;&gt;"",INDEX(CalcBankB,$N1674),""))</f>
        <v/>
      </c>
      <c r="E1674" s="28">
        <f>IF($N1674&lt;&gt;"",IF(INDEX(CalcDepB,$N1674)=0,"",INDEX(CalcDepB,$N1674)),"")</f>
        <v/>
      </c>
      <c r="F1674" s="28">
        <f>IF($M1674&lt;&gt;"",IF(INDEX(CalcQtyA,$M1674)=0,"",INDEX(CalcQtyA,$M1674)),"")</f>
        <v/>
      </c>
      <c r="G1674" s="28">
        <f>IF($M1674&lt;&gt;"",IF(INDEX(CalcPriceA,$M1674)=0,"",INDEX(CalcPriceA,$M1674)),"")</f>
        <v/>
      </c>
      <c r="H1674" s="28">
        <f>IF($N1674&lt;&gt;"",IF(INDEX(CalcWitB,$N1674)=0,"",INDEX(CalcWitB,$N1674)),"")</f>
        <v/>
      </c>
      <c r="I1674" s="29">
        <f>IF($M1674&lt;&gt;"",INDEX(CalcAmtA,$M1674),"")</f>
        <v/>
      </c>
      <c r="J1674" s="29">
        <f>IF($B1674="","",IF($J1673="",$C$8,$J1673)+IF($I1674="",0,$I1674)+IF($E1674="",0,$E1674)-IF($H1674="",0,$H1674))</f>
        <v/>
      </c>
      <c r="K1674" s="30">
        <f>IF($M1674&lt;&gt;"",IF(INDEX(CalcNoteA,$M1674)="","—",INDEX(CalcNoteA,$M1674)),IF($N1674&lt;&gt;"",IF(INDEX(CalcNoteB,$N1674)="","—",INDEX(CalcNoteB,$N1674)),""))</f>
        <v/>
      </c>
      <c r="M1674">
        <f>IFERROR(MATCH($C$5&amp;"|"&amp;RIGHT("000000"&amp;1658,6),CalcRankKeyA,0),"")</f>
        <v/>
      </c>
      <c r="N1674">
        <f>IFERROR(MATCH($C$5&amp;"|"&amp;RIGHT("000000"&amp;1658,6),CalcRankKeyB,0),"")</f>
        <v/>
      </c>
    </row>
    <row r="1675">
      <c r="A1675" s="21" t="n">
        <v>1659</v>
      </c>
      <c r="B1675" s="22">
        <f>IF(AND($M1675="",$N1675=""),"",IF($M1675&lt;&gt;"",INDEX(CalcDateA,$M1675),INDEX(CalcDateB,$N1675)))</f>
        <v/>
      </c>
      <c r="C1675" s="22">
        <f>IF($M1675&lt;&gt;"","خرید سبد",IF($N1675&lt;&gt;"",IF(N(INDEX(CalcDepB,$N1675))&gt;0,"دریافت بانکی","پرداخت بانکی"),""))</f>
        <v/>
      </c>
      <c r="D1675" s="22">
        <f>IF($M1675&lt;&gt;"",IF(INDEX(CalcDocA,$M1675)="","—",INDEX(CalcDocA,$M1675)),IF($N1675&lt;&gt;"",INDEX(CalcBankB,$N1675),""))</f>
        <v/>
      </c>
      <c r="E1675" s="23">
        <f>IF($N1675&lt;&gt;"",IF(INDEX(CalcDepB,$N1675)=0,"",INDEX(CalcDepB,$N1675)),"")</f>
        <v/>
      </c>
      <c r="F1675" s="23">
        <f>IF($M1675&lt;&gt;"",IF(INDEX(CalcQtyA,$M1675)=0,"",INDEX(CalcQtyA,$M1675)),"")</f>
        <v/>
      </c>
      <c r="G1675" s="23">
        <f>IF($M1675&lt;&gt;"",IF(INDEX(CalcPriceA,$M1675)=0,"",INDEX(CalcPriceA,$M1675)),"")</f>
        <v/>
      </c>
      <c r="H1675" s="23">
        <f>IF($N1675&lt;&gt;"",IF(INDEX(CalcWitB,$N1675)=0,"",INDEX(CalcWitB,$N1675)),"")</f>
        <v/>
      </c>
      <c r="I1675" s="24">
        <f>IF($M1675&lt;&gt;"",INDEX(CalcAmtA,$M1675),"")</f>
        <v/>
      </c>
      <c r="J1675" s="24">
        <f>IF($B1675="","",IF($J1674="",$C$8,$J1674)+IF($I1675="",0,$I1675)+IF($E1675="",0,$E1675)-IF($H1675="",0,$H1675))</f>
        <v/>
      </c>
      <c r="K1675" s="25">
        <f>IF($M1675&lt;&gt;"",IF(INDEX(CalcNoteA,$M1675)="","—",INDEX(CalcNoteA,$M1675)),IF($N1675&lt;&gt;"",IF(INDEX(CalcNoteB,$N1675)="","—",INDEX(CalcNoteB,$N1675)),""))</f>
        <v/>
      </c>
      <c r="M1675">
        <f>IFERROR(MATCH($C$5&amp;"|"&amp;RIGHT("000000"&amp;1659,6),CalcRankKeyA,0),"")</f>
        <v/>
      </c>
      <c r="N1675">
        <f>IFERROR(MATCH($C$5&amp;"|"&amp;RIGHT("000000"&amp;1659,6),CalcRankKeyB,0),"")</f>
        <v/>
      </c>
    </row>
    <row r="1676">
      <c r="A1676" s="26" t="n">
        <v>1660</v>
      </c>
      <c r="B1676" s="27">
        <f>IF(AND($M1676="",$N1676=""),"",IF($M1676&lt;&gt;"",INDEX(CalcDateA,$M1676),INDEX(CalcDateB,$N1676)))</f>
        <v/>
      </c>
      <c r="C1676" s="27">
        <f>IF($M1676&lt;&gt;"","خرید سبد",IF($N1676&lt;&gt;"",IF(N(INDEX(CalcDepB,$N1676))&gt;0,"دریافت بانکی","پرداخت بانکی"),""))</f>
        <v/>
      </c>
      <c r="D1676" s="27">
        <f>IF($M1676&lt;&gt;"",IF(INDEX(CalcDocA,$M1676)="","—",INDEX(CalcDocA,$M1676)),IF($N1676&lt;&gt;"",INDEX(CalcBankB,$N1676),""))</f>
        <v/>
      </c>
      <c r="E1676" s="28">
        <f>IF($N1676&lt;&gt;"",IF(INDEX(CalcDepB,$N1676)=0,"",INDEX(CalcDepB,$N1676)),"")</f>
        <v/>
      </c>
      <c r="F1676" s="28">
        <f>IF($M1676&lt;&gt;"",IF(INDEX(CalcQtyA,$M1676)=0,"",INDEX(CalcQtyA,$M1676)),"")</f>
        <v/>
      </c>
      <c r="G1676" s="28">
        <f>IF($M1676&lt;&gt;"",IF(INDEX(CalcPriceA,$M1676)=0,"",INDEX(CalcPriceA,$M1676)),"")</f>
        <v/>
      </c>
      <c r="H1676" s="28">
        <f>IF($N1676&lt;&gt;"",IF(INDEX(CalcWitB,$N1676)=0,"",INDEX(CalcWitB,$N1676)),"")</f>
        <v/>
      </c>
      <c r="I1676" s="29">
        <f>IF($M1676&lt;&gt;"",INDEX(CalcAmtA,$M1676),"")</f>
        <v/>
      </c>
      <c r="J1676" s="29">
        <f>IF($B1676="","",IF($J1675="",$C$8,$J1675)+IF($I1676="",0,$I1676)+IF($E1676="",0,$E1676)-IF($H1676="",0,$H1676))</f>
        <v/>
      </c>
      <c r="K1676" s="30">
        <f>IF($M1676&lt;&gt;"",IF(INDEX(CalcNoteA,$M1676)="","—",INDEX(CalcNoteA,$M1676)),IF($N1676&lt;&gt;"",IF(INDEX(CalcNoteB,$N1676)="","—",INDEX(CalcNoteB,$N1676)),""))</f>
        <v/>
      </c>
      <c r="M1676">
        <f>IFERROR(MATCH($C$5&amp;"|"&amp;RIGHT("000000"&amp;1660,6),CalcRankKeyA,0),"")</f>
        <v/>
      </c>
      <c r="N1676">
        <f>IFERROR(MATCH($C$5&amp;"|"&amp;RIGHT("000000"&amp;1660,6),CalcRankKeyB,0),"")</f>
        <v/>
      </c>
    </row>
    <row r="1677">
      <c r="A1677" s="21" t="n">
        <v>1661</v>
      </c>
      <c r="B1677" s="22">
        <f>IF(AND($M1677="",$N1677=""),"",IF($M1677&lt;&gt;"",INDEX(CalcDateA,$M1677),INDEX(CalcDateB,$N1677)))</f>
        <v/>
      </c>
      <c r="C1677" s="22">
        <f>IF($M1677&lt;&gt;"","خرید سبد",IF($N1677&lt;&gt;"",IF(N(INDEX(CalcDepB,$N1677))&gt;0,"دریافت بانکی","پرداخت بانکی"),""))</f>
        <v/>
      </c>
      <c r="D1677" s="22">
        <f>IF($M1677&lt;&gt;"",IF(INDEX(CalcDocA,$M1677)="","—",INDEX(CalcDocA,$M1677)),IF($N1677&lt;&gt;"",INDEX(CalcBankB,$N1677),""))</f>
        <v/>
      </c>
      <c r="E1677" s="23">
        <f>IF($N1677&lt;&gt;"",IF(INDEX(CalcDepB,$N1677)=0,"",INDEX(CalcDepB,$N1677)),"")</f>
        <v/>
      </c>
      <c r="F1677" s="23">
        <f>IF($M1677&lt;&gt;"",IF(INDEX(CalcQtyA,$M1677)=0,"",INDEX(CalcQtyA,$M1677)),"")</f>
        <v/>
      </c>
      <c r="G1677" s="23">
        <f>IF($M1677&lt;&gt;"",IF(INDEX(CalcPriceA,$M1677)=0,"",INDEX(CalcPriceA,$M1677)),"")</f>
        <v/>
      </c>
      <c r="H1677" s="23">
        <f>IF($N1677&lt;&gt;"",IF(INDEX(CalcWitB,$N1677)=0,"",INDEX(CalcWitB,$N1677)),"")</f>
        <v/>
      </c>
      <c r="I1677" s="24">
        <f>IF($M1677&lt;&gt;"",INDEX(CalcAmtA,$M1677),"")</f>
        <v/>
      </c>
      <c r="J1677" s="24">
        <f>IF($B1677="","",IF($J1676="",$C$8,$J1676)+IF($I1677="",0,$I1677)+IF($E1677="",0,$E1677)-IF($H1677="",0,$H1677))</f>
        <v/>
      </c>
      <c r="K1677" s="25">
        <f>IF($M1677&lt;&gt;"",IF(INDEX(CalcNoteA,$M1677)="","—",INDEX(CalcNoteA,$M1677)),IF($N1677&lt;&gt;"",IF(INDEX(CalcNoteB,$N1677)="","—",INDEX(CalcNoteB,$N1677)),""))</f>
        <v/>
      </c>
      <c r="M1677">
        <f>IFERROR(MATCH($C$5&amp;"|"&amp;RIGHT("000000"&amp;1661,6),CalcRankKeyA,0),"")</f>
        <v/>
      </c>
      <c r="N1677">
        <f>IFERROR(MATCH($C$5&amp;"|"&amp;RIGHT("000000"&amp;1661,6),CalcRankKeyB,0),"")</f>
        <v/>
      </c>
    </row>
    <row r="1678">
      <c r="A1678" s="26" t="n">
        <v>1662</v>
      </c>
      <c r="B1678" s="27">
        <f>IF(AND($M1678="",$N1678=""),"",IF($M1678&lt;&gt;"",INDEX(CalcDateA,$M1678),INDEX(CalcDateB,$N1678)))</f>
        <v/>
      </c>
      <c r="C1678" s="27">
        <f>IF($M1678&lt;&gt;"","خرید سبد",IF($N1678&lt;&gt;"",IF(N(INDEX(CalcDepB,$N1678))&gt;0,"دریافت بانکی","پرداخت بانکی"),""))</f>
        <v/>
      </c>
      <c r="D1678" s="27">
        <f>IF($M1678&lt;&gt;"",IF(INDEX(CalcDocA,$M1678)="","—",INDEX(CalcDocA,$M1678)),IF($N1678&lt;&gt;"",INDEX(CalcBankB,$N1678),""))</f>
        <v/>
      </c>
      <c r="E1678" s="28">
        <f>IF($N1678&lt;&gt;"",IF(INDEX(CalcDepB,$N1678)=0,"",INDEX(CalcDepB,$N1678)),"")</f>
        <v/>
      </c>
      <c r="F1678" s="28">
        <f>IF($M1678&lt;&gt;"",IF(INDEX(CalcQtyA,$M1678)=0,"",INDEX(CalcQtyA,$M1678)),"")</f>
        <v/>
      </c>
      <c r="G1678" s="28">
        <f>IF($M1678&lt;&gt;"",IF(INDEX(CalcPriceA,$M1678)=0,"",INDEX(CalcPriceA,$M1678)),"")</f>
        <v/>
      </c>
      <c r="H1678" s="28">
        <f>IF($N1678&lt;&gt;"",IF(INDEX(CalcWitB,$N1678)=0,"",INDEX(CalcWitB,$N1678)),"")</f>
        <v/>
      </c>
      <c r="I1678" s="29">
        <f>IF($M1678&lt;&gt;"",INDEX(CalcAmtA,$M1678),"")</f>
        <v/>
      </c>
      <c r="J1678" s="29">
        <f>IF($B1678="","",IF($J1677="",$C$8,$J1677)+IF($I1678="",0,$I1678)+IF($E1678="",0,$E1678)-IF($H1678="",0,$H1678))</f>
        <v/>
      </c>
      <c r="K1678" s="30">
        <f>IF($M1678&lt;&gt;"",IF(INDEX(CalcNoteA,$M1678)="","—",INDEX(CalcNoteA,$M1678)),IF($N1678&lt;&gt;"",IF(INDEX(CalcNoteB,$N1678)="","—",INDEX(CalcNoteB,$N1678)),""))</f>
        <v/>
      </c>
      <c r="M1678">
        <f>IFERROR(MATCH($C$5&amp;"|"&amp;RIGHT("000000"&amp;1662,6),CalcRankKeyA,0),"")</f>
        <v/>
      </c>
      <c r="N1678">
        <f>IFERROR(MATCH($C$5&amp;"|"&amp;RIGHT("000000"&amp;1662,6),CalcRankKeyB,0),"")</f>
        <v/>
      </c>
    </row>
    <row r="1679">
      <c r="A1679" s="21" t="n">
        <v>1663</v>
      </c>
      <c r="B1679" s="22">
        <f>IF(AND($M1679="",$N1679=""),"",IF($M1679&lt;&gt;"",INDEX(CalcDateA,$M1679),INDEX(CalcDateB,$N1679)))</f>
        <v/>
      </c>
      <c r="C1679" s="22">
        <f>IF($M1679&lt;&gt;"","خرید سبد",IF($N1679&lt;&gt;"",IF(N(INDEX(CalcDepB,$N1679))&gt;0,"دریافت بانکی","پرداخت بانکی"),""))</f>
        <v/>
      </c>
      <c r="D1679" s="22">
        <f>IF($M1679&lt;&gt;"",IF(INDEX(CalcDocA,$M1679)="","—",INDEX(CalcDocA,$M1679)),IF($N1679&lt;&gt;"",INDEX(CalcBankB,$N1679),""))</f>
        <v/>
      </c>
      <c r="E1679" s="23">
        <f>IF($N1679&lt;&gt;"",IF(INDEX(CalcDepB,$N1679)=0,"",INDEX(CalcDepB,$N1679)),"")</f>
        <v/>
      </c>
      <c r="F1679" s="23">
        <f>IF($M1679&lt;&gt;"",IF(INDEX(CalcQtyA,$M1679)=0,"",INDEX(CalcQtyA,$M1679)),"")</f>
        <v/>
      </c>
      <c r="G1679" s="23">
        <f>IF($M1679&lt;&gt;"",IF(INDEX(CalcPriceA,$M1679)=0,"",INDEX(CalcPriceA,$M1679)),"")</f>
        <v/>
      </c>
      <c r="H1679" s="23">
        <f>IF($N1679&lt;&gt;"",IF(INDEX(CalcWitB,$N1679)=0,"",INDEX(CalcWitB,$N1679)),"")</f>
        <v/>
      </c>
      <c r="I1679" s="24">
        <f>IF($M1679&lt;&gt;"",INDEX(CalcAmtA,$M1679),"")</f>
        <v/>
      </c>
      <c r="J1679" s="24">
        <f>IF($B1679="","",IF($J1678="",$C$8,$J1678)+IF($I1679="",0,$I1679)+IF($E1679="",0,$E1679)-IF($H1679="",0,$H1679))</f>
        <v/>
      </c>
      <c r="K1679" s="25">
        <f>IF($M1679&lt;&gt;"",IF(INDEX(CalcNoteA,$M1679)="","—",INDEX(CalcNoteA,$M1679)),IF($N1679&lt;&gt;"",IF(INDEX(CalcNoteB,$N1679)="","—",INDEX(CalcNoteB,$N1679)),""))</f>
        <v/>
      </c>
      <c r="M1679">
        <f>IFERROR(MATCH($C$5&amp;"|"&amp;RIGHT("000000"&amp;1663,6),CalcRankKeyA,0),"")</f>
        <v/>
      </c>
      <c r="N1679">
        <f>IFERROR(MATCH($C$5&amp;"|"&amp;RIGHT("000000"&amp;1663,6),CalcRankKeyB,0),"")</f>
        <v/>
      </c>
    </row>
    <row r="1680">
      <c r="A1680" s="26" t="n">
        <v>1664</v>
      </c>
      <c r="B1680" s="27">
        <f>IF(AND($M1680="",$N1680=""),"",IF($M1680&lt;&gt;"",INDEX(CalcDateA,$M1680),INDEX(CalcDateB,$N1680)))</f>
        <v/>
      </c>
      <c r="C1680" s="27">
        <f>IF($M1680&lt;&gt;"","خرید سبد",IF($N1680&lt;&gt;"",IF(N(INDEX(CalcDepB,$N1680))&gt;0,"دریافت بانکی","پرداخت بانکی"),""))</f>
        <v/>
      </c>
      <c r="D1680" s="27">
        <f>IF($M1680&lt;&gt;"",IF(INDEX(CalcDocA,$M1680)="","—",INDEX(CalcDocA,$M1680)),IF($N1680&lt;&gt;"",INDEX(CalcBankB,$N1680),""))</f>
        <v/>
      </c>
      <c r="E1680" s="28">
        <f>IF($N1680&lt;&gt;"",IF(INDEX(CalcDepB,$N1680)=0,"",INDEX(CalcDepB,$N1680)),"")</f>
        <v/>
      </c>
      <c r="F1680" s="28">
        <f>IF($M1680&lt;&gt;"",IF(INDEX(CalcQtyA,$M1680)=0,"",INDEX(CalcQtyA,$M1680)),"")</f>
        <v/>
      </c>
      <c r="G1680" s="28">
        <f>IF($M1680&lt;&gt;"",IF(INDEX(CalcPriceA,$M1680)=0,"",INDEX(CalcPriceA,$M1680)),"")</f>
        <v/>
      </c>
      <c r="H1680" s="28">
        <f>IF($N1680&lt;&gt;"",IF(INDEX(CalcWitB,$N1680)=0,"",INDEX(CalcWitB,$N1680)),"")</f>
        <v/>
      </c>
      <c r="I1680" s="29">
        <f>IF($M1680&lt;&gt;"",INDEX(CalcAmtA,$M1680),"")</f>
        <v/>
      </c>
      <c r="J1680" s="29">
        <f>IF($B1680="","",IF($J1679="",$C$8,$J1679)+IF($I1680="",0,$I1680)+IF($E1680="",0,$E1680)-IF($H1680="",0,$H1680))</f>
        <v/>
      </c>
      <c r="K1680" s="30">
        <f>IF($M1680&lt;&gt;"",IF(INDEX(CalcNoteA,$M1680)="","—",INDEX(CalcNoteA,$M1680)),IF($N1680&lt;&gt;"",IF(INDEX(CalcNoteB,$N1680)="","—",INDEX(CalcNoteB,$N1680)),""))</f>
        <v/>
      </c>
      <c r="M1680">
        <f>IFERROR(MATCH($C$5&amp;"|"&amp;RIGHT("000000"&amp;1664,6),CalcRankKeyA,0),"")</f>
        <v/>
      </c>
      <c r="N1680">
        <f>IFERROR(MATCH($C$5&amp;"|"&amp;RIGHT("000000"&amp;1664,6),CalcRankKeyB,0),"")</f>
        <v/>
      </c>
    </row>
    <row r="1681">
      <c r="A1681" s="21" t="n">
        <v>1665</v>
      </c>
      <c r="B1681" s="22">
        <f>IF(AND($M1681="",$N1681=""),"",IF($M1681&lt;&gt;"",INDEX(CalcDateA,$M1681),INDEX(CalcDateB,$N1681)))</f>
        <v/>
      </c>
      <c r="C1681" s="22">
        <f>IF($M1681&lt;&gt;"","خرید سبد",IF($N1681&lt;&gt;"",IF(N(INDEX(CalcDepB,$N1681))&gt;0,"دریافت بانکی","پرداخت بانکی"),""))</f>
        <v/>
      </c>
      <c r="D1681" s="22">
        <f>IF($M1681&lt;&gt;"",IF(INDEX(CalcDocA,$M1681)="","—",INDEX(CalcDocA,$M1681)),IF($N1681&lt;&gt;"",INDEX(CalcBankB,$N1681),""))</f>
        <v/>
      </c>
      <c r="E1681" s="23">
        <f>IF($N1681&lt;&gt;"",IF(INDEX(CalcDepB,$N1681)=0,"",INDEX(CalcDepB,$N1681)),"")</f>
        <v/>
      </c>
      <c r="F1681" s="23">
        <f>IF($M1681&lt;&gt;"",IF(INDEX(CalcQtyA,$M1681)=0,"",INDEX(CalcQtyA,$M1681)),"")</f>
        <v/>
      </c>
      <c r="G1681" s="23">
        <f>IF($M1681&lt;&gt;"",IF(INDEX(CalcPriceA,$M1681)=0,"",INDEX(CalcPriceA,$M1681)),"")</f>
        <v/>
      </c>
      <c r="H1681" s="23">
        <f>IF($N1681&lt;&gt;"",IF(INDEX(CalcWitB,$N1681)=0,"",INDEX(CalcWitB,$N1681)),"")</f>
        <v/>
      </c>
      <c r="I1681" s="24">
        <f>IF($M1681&lt;&gt;"",INDEX(CalcAmtA,$M1681),"")</f>
        <v/>
      </c>
      <c r="J1681" s="24">
        <f>IF($B1681="","",IF($J1680="",$C$8,$J1680)+IF($I1681="",0,$I1681)+IF($E1681="",0,$E1681)-IF($H1681="",0,$H1681))</f>
        <v/>
      </c>
      <c r="K1681" s="25">
        <f>IF($M1681&lt;&gt;"",IF(INDEX(CalcNoteA,$M1681)="","—",INDEX(CalcNoteA,$M1681)),IF($N1681&lt;&gt;"",IF(INDEX(CalcNoteB,$N1681)="","—",INDEX(CalcNoteB,$N1681)),""))</f>
        <v/>
      </c>
      <c r="M1681">
        <f>IFERROR(MATCH($C$5&amp;"|"&amp;RIGHT("000000"&amp;1665,6),CalcRankKeyA,0),"")</f>
        <v/>
      </c>
      <c r="N1681">
        <f>IFERROR(MATCH($C$5&amp;"|"&amp;RIGHT("000000"&amp;1665,6),CalcRankKeyB,0),"")</f>
        <v/>
      </c>
    </row>
    <row r="1682">
      <c r="A1682" s="26" t="n">
        <v>1666</v>
      </c>
      <c r="B1682" s="27">
        <f>IF(AND($M1682="",$N1682=""),"",IF($M1682&lt;&gt;"",INDEX(CalcDateA,$M1682),INDEX(CalcDateB,$N1682)))</f>
        <v/>
      </c>
      <c r="C1682" s="27">
        <f>IF($M1682&lt;&gt;"","خرید سبد",IF($N1682&lt;&gt;"",IF(N(INDEX(CalcDepB,$N1682))&gt;0,"دریافت بانکی","پرداخت بانکی"),""))</f>
        <v/>
      </c>
      <c r="D1682" s="27">
        <f>IF($M1682&lt;&gt;"",IF(INDEX(CalcDocA,$M1682)="","—",INDEX(CalcDocA,$M1682)),IF($N1682&lt;&gt;"",INDEX(CalcBankB,$N1682),""))</f>
        <v/>
      </c>
      <c r="E1682" s="28">
        <f>IF($N1682&lt;&gt;"",IF(INDEX(CalcDepB,$N1682)=0,"",INDEX(CalcDepB,$N1682)),"")</f>
        <v/>
      </c>
      <c r="F1682" s="28">
        <f>IF($M1682&lt;&gt;"",IF(INDEX(CalcQtyA,$M1682)=0,"",INDEX(CalcQtyA,$M1682)),"")</f>
        <v/>
      </c>
      <c r="G1682" s="28">
        <f>IF($M1682&lt;&gt;"",IF(INDEX(CalcPriceA,$M1682)=0,"",INDEX(CalcPriceA,$M1682)),"")</f>
        <v/>
      </c>
      <c r="H1682" s="28">
        <f>IF($N1682&lt;&gt;"",IF(INDEX(CalcWitB,$N1682)=0,"",INDEX(CalcWitB,$N1682)),"")</f>
        <v/>
      </c>
      <c r="I1682" s="29">
        <f>IF($M1682&lt;&gt;"",INDEX(CalcAmtA,$M1682),"")</f>
        <v/>
      </c>
      <c r="J1682" s="29">
        <f>IF($B1682="","",IF($J1681="",$C$8,$J1681)+IF($I1682="",0,$I1682)+IF($E1682="",0,$E1682)-IF($H1682="",0,$H1682))</f>
        <v/>
      </c>
      <c r="K1682" s="30">
        <f>IF($M1682&lt;&gt;"",IF(INDEX(CalcNoteA,$M1682)="","—",INDEX(CalcNoteA,$M1682)),IF($N1682&lt;&gt;"",IF(INDEX(CalcNoteB,$N1682)="","—",INDEX(CalcNoteB,$N1682)),""))</f>
        <v/>
      </c>
      <c r="M1682">
        <f>IFERROR(MATCH($C$5&amp;"|"&amp;RIGHT("000000"&amp;1666,6),CalcRankKeyA,0),"")</f>
        <v/>
      </c>
      <c r="N1682">
        <f>IFERROR(MATCH($C$5&amp;"|"&amp;RIGHT("000000"&amp;1666,6),CalcRankKeyB,0),"")</f>
        <v/>
      </c>
    </row>
    <row r="1683">
      <c r="A1683" s="21" t="n">
        <v>1667</v>
      </c>
      <c r="B1683" s="22">
        <f>IF(AND($M1683="",$N1683=""),"",IF($M1683&lt;&gt;"",INDEX(CalcDateA,$M1683),INDEX(CalcDateB,$N1683)))</f>
        <v/>
      </c>
      <c r="C1683" s="22">
        <f>IF($M1683&lt;&gt;"","خرید سبد",IF($N1683&lt;&gt;"",IF(N(INDEX(CalcDepB,$N1683))&gt;0,"دریافت بانکی","پرداخت بانکی"),""))</f>
        <v/>
      </c>
      <c r="D1683" s="22">
        <f>IF($M1683&lt;&gt;"",IF(INDEX(CalcDocA,$M1683)="","—",INDEX(CalcDocA,$M1683)),IF($N1683&lt;&gt;"",INDEX(CalcBankB,$N1683),""))</f>
        <v/>
      </c>
      <c r="E1683" s="23">
        <f>IF($N1683&lt;&gt;"",IF(INDEX(CalcDepB,$N1683)=0,"",INDEX(CalcDepB,$N1683)),"")</f>
        <v/>
      </c>
      <c r="F1683" s="23">
        <f>IF($M1683&lt;&gt;"",IF(INDEX(CalcQtyA,$M1683)=0,"",INDEX(CalcQtyA,$M1683)),"")</f>
        <v/>
      </c>
      <c r="G1683" s="23">
        <f>IF($M1683&lt;&gt;"",IF(INDEX(CalcPriceA,$M1683)=0,"",INDEX(CalcPriceA,$M1683)),"")</f>
        <v/>
      </c>
      <c r="H1683" s="23">
        <f>IF($N1683&lt;&gt;"",IF(INDEX(CalcWitB,$N1683)=0,"",INDEX(CalcWitB,$N1683)),"")</f>
        <v/>
      </c>
      <c r="I1683" s="24">
        <f>IF($M1683&lt;&gt;"",INDEX(CalcAmtA,$M1683),"")</f>
        <v/>
      </c>
      <c r="J1683" s="24">
        <f>IF($B1683="","",IF($J1682="",$C$8,$J1682)+IF($I1683="",0,$I1683)+IF($E1683="",0,$E1683)-IF($H1683="",0,$H1683))</f>
        <v/>
      </c>
      <c r="K1683" s="25">
        <f>IF($M1683&lt;&gt;"",IF(INDEX(CalcNoteA,$M1683)="","—",INDEX(CalcNoteA,$M1683)),IF($N1683&lt;&gt;"",IF(INDEX(CalcNoteB,$N1683)="","—",INDEX(CalcNoteB,$N1683)),""))</f>
        <v/>
      </c>
      <c r="M1683">
        <f>IFERROR(MATCH($C$5&amp;"|"&amp;RIGHT("000000"&amp;1667,6),CalcRankKeyA,0),"")</f>
        <v/>
      </c>
      <c r="N1683">
        <f>IFERROR(MATCH($C$5&amp;"|"&amp;RIGHT("000000"&amp;1667,6),CalcRankKeyB,0),"")</f>
        <v/>
      </c>
    </row>
    <row r="1684">
      <c r="A1684" s="26" t="n">
        <v>1668</v>
      </c>
      <c r="B1684" s="27">
        <f>IF(AND($M1684="",$N1684=""),"",IF($M1684&lt;&gt;"",INDEX(CalcDateA,$M1684),INDEX(CalcDateB,$N1684)))</f>
        <v/>
      </c>
      <c r="C1684" s="27">
        <f>IF($M1684&lt;&gt;"","خرید سبد",IF($N1684&lt;&gt;"",IF(N(INDEX(CalcDepB,$N1684))&gt;0,"دریافت بانکی","پرداخت بانکی"),""))</f>
        <v/>
      </c>
      <c r="D1684" s="27">
        <f>IF($M1684&lt;&gt;"",IF(INDEX(CalcDocA,$M1684)="","—",INDEX(CalcDocA,$M1684)),IF($N1684&lt;&gt;"",INDEX(CalcBankB,$N1684),""))</f>
        <v/>
      </c>
      <c r="E1684" s="28">
        <f>IF($N1684&lt;&gt;"",IF(INDEX(CalcDepB,$N1684)=0,"",INDEX(CalcDepB,$N1684)),"")</f>
        <v/>
      </c>
      <c r="F1684" s="28">
        <f>IF($M1684&lt;&gt;"",IF(INDEX(CalcQtyA,$M1684)=0,"",INDEX(CalcQtyA,$M1684)),"")</f>
        <v/>
      </c>
      <c r="G1684" s="28">
        <f>IF($M1684&lt;&gt;"",IF(INDEX(CalcPriceA,$M1684)=0,"",INDEX(CalcPriceA,$M1684)),"")</f>
        <v/>
      </c>
      <c r="H1684" s="28">
        <f>IF($N1684&lt;&gt;"",IF(INDEX(CalcWitB,$N1684)=0,"",INDEX(CalcWitB,$N1684)),"")</f>
        <v/>
      </c>
      <c r="I1684" s="29">
        <f>IF($M1684&lt;&gt;"",INDEX(CalcAmtA,$M1684),"")</f>
        <v/>
      </c>
      <c r="J1684" s="29">
        <f>IF($B1684="","",IF($J1683="",$C$8,$J1683)+IF($I1684="",0,$I1684)+IF($E1684="",0,$E1684)-IF($H1684="",0,$H1684))</f>
        <v/>
      </c>
      <c r="K1684" s="30">
        <f>IF($M1684&lt;&gt;"",IF(INDEX(CalcNoteA,$M1684)="","—",INDEX(CalcNoteA,$M1684)),IF($N1684&lt;&gt;"",IF(INDEX(CalcNoteB,$N1684)="","—",INDEX(CalcNoteB,$N1684)),""))</f>
        <v/>
      </c>
      <c r="M1684">
        <f>IFERROR(MATCH($C$5&amp;"|"&amp;RIGHT("000000"&amp;1668,6),CalcRankKeyA,0),"")</f>
        <v/>
      </c>
      <c r="N1684">
        <f>IFERROR(MATCH($C$5&amp;"|"&amp;RIGHT("000000"&amp;1668,6),CalcRankKeyB,0),"")</f>
        <v/>
      </c>
    </row>
    <row r="1685">
      <c r="A1685" s="21" t="n">
        <v>1669</v>
      </c>
      <c r="B1685" s="22">
        <f>IF(AND($M1685="",$N1685=""),"",IF($M1685&lt;&gt;"",INDEX(CalcDateA,$M1685),INDEX(CalcDateB,$N1685)))</f>
        <v/>
      </c>
      <c r="C1685" s="22">
        <f>IF($M1685&lt;&gt;"","خرید سبد",IF($N1685&lt;&gt;"",IF(N(INDEX(CalcDepB,$N1685))&gt;0,"دریافت بانکی","پرداخت بانکی"),""))</f>
        <v/>
      </c>
      <c r="D1685" s="22">
        <f>IF($M1685&lt;&gt;"",IF(INDEX(CalcDocA,$M1685)="","—",INDEX(CalcDocA,$M1685)),IF($N1685&lt;&gt;"",INDEX(CalcBankB,$N1685),""))</f>
        <v/>
      </c>
      <c r="E1685" s="23">
        <f>IF($N1685&lt;&gt;"",IF(INDEX(CalcDepB,$N1685)=0,"",INDEX(CalcDepB,$N1685)),"")</f>
        <v/>
      </c>
      <c r="F1685" s="23">
        <f>IF($M1685&lt;&gt;"",IF(INDEX(CalcQtyA,$M1685)=0,"",INDEX(CalcQtyA,$M1685)),"")</f>
        <v/>
      </c>
      <c r="G1685" s="23">
        <f>IF($M1685&lt;&gt;"",IF(INDEX(CalcPriceA,$M1685)=0,"",INDEX(CalcPriceA,$M1685)),"")</f>
        <v/>
      </c>
      <c r="H1685" s="23">
        <f>IF($N1685&lt;&gt;"",IF(INDEX(CalcWitB,$N1685)=0,"",INDEX(CalcWitB,$N1685)),"")</f>
        <v/>
      </c>
      <c r="I1685" s="24">
        <f>IF($M1685&lt;&gt;"",INDEX(CalcAmtA,$M1685),"")</f>
        <v/>
      </c>
      <c r="J1685" s="24">
        <f>IF($B1685="","",IF($J1684="",$C$8,$J1684)+IF($I1685="",0,$I1685)+IF($E1685="",0,$E1685)-IF($H1685="",0,$H1685))</f>
        <v/>
      </c>
      <c r="K1685" s="25">
        <f>IF($M1685&lt;&gt;"",IF(INDEX(CalcNoteA,$M1685)="","—",INDEX(CalcNoteA,$M1685)),IF($N1685&lt;&gt;"",IF(INDEX(CalcNoteB,$N1685)="","—",INDEX(CalcNoteB,$N1685)),""))</f>
        <v/>
      </c>
      <c r="M1685">
        <f>IFERROR(MATCH($C$5&amp;"|"&amp;RIGHT("000000"&amp;1669,6),CalcRankKeyA,0),"")</f>
        <v/>
      </c>
      <c r="N1685">
        <f>IFERROR(MATCH($C$5&amp;"|"&amp;RIGHT("000000"&amp;1669,6),CalcRankKeyB,0),"")</f>
        <v/>
      </c>
    </row>
    <row r="1686">
      <c r="A1686" s="26" t="n">
        <v>1670</v>
      </c>
      <c r="B1686" s="27">
        <f>IF(AND($M1686="",$N1686=""),"",IF($M1686&lt;&gt;"",INDEX(CalcDateA,$M1686),INDEX(CalcDateB,$N1686)))</f>
        <v/>
      </c>
      <c r="C1686" s="27">
        <f>IF($M1686&lt;&gt;"","خرید سبد",IF($N1686&lt;&gt;"",IF(N(INDEX(CalcDepB,$N1686))&gt;0,"دریافت بانکی","پرداخت بانکی"),""))</f>
        <v/>
      </c>
      <c r="D1686" s="27">
        <f>IF($M1686&lt;&gt;"",IF(INDEX(CalcDocA,$M1686)="","—",INDEX(CalcDocA,$M1686)),IF($N1686&lt;&gt;"",INDEX(CalcBankB,$N1686),""))</f>
        <v/>
      </c>
      <c r="E1686" s="28">
        <f>IF($N1686&lt;&gt;"",IF(INDEX(CalcDepB,$N1686)=0,"",INDEX(CalcDepB,$N1686)),"")</f>
        <v/>
      </c>
      <c r="F1686" s="28">
        <f>IF($M1686&lt;&gt;"",IF(INDEX(CalcQtyA,$M1686)=0,"",INDEX(CalcQtyA,$M1686)),"")</f>
        <v/>
      </c>
      <c r="G1686" s="28">
        <f>IF($M1686&lt;&gt;"",IF(INDEX(CalcPriceA,$M1686)=0,"",INDEX(CalcPriceA,$M1686)),"")</f>
        <v/>
      </c>
      <c r="H1686" s="28">
        <f>IF($N1686&lt;&gt;"",IF(INDEX(CalcWitB,$N1686)=0,"",INDEX(CalcWitB,$N1686)),"")</f>
        <v/>
      </c>
      <c r="I1686" s="29">
        <f>IF($M1686&lt;&gt;"",INDEX(CalcAmtA,$M1686),"")</f>
        <v/>
      </c>
      <c r="J1686" s="29">
        <f>IF($B1686="","",IF($J1685="",$C$8,$J1685)+IF($I1686="",0,$I1686)+IF($E1686="",0,$E1686)-IF($H1686="",0,$H1686))</f>
        <v/>
      </c>
      <c r="K1686" s="30">
        <f>IF($M1686&lt;&gt;"",IF(INDEX(CalcNoteA,$M1686)="","—",INDEX(CalcNoteA,$M1686)),IF($N1686&lt;&gt;"",IF(INDEX(CalcNoteB,$N1686)="","—",INDEX(CalcNoteB,$N1686)),""))</f>
        <v/>
      </c>
      <c r="M1686">
        <f>IFERROR(MATCH($C$5&amp;"|"&amp;RIGHT("000000"&amp;1670,6),CalcRankKeyA,0),"")</f>
        <v/>
      </c>
      <c r="N1686">
        <f>IFERROR(MATCH($C$5&amp;"|"&amp;RIGHT("000000"&amp;1670,6),CalcRankKeyB,0),"")</f>
        <v/>
      </c>
    </row>
    <row r="1687">
      <c r="A1687" s="21" t="n">
        <v>1671</v>
      </c>
      <c r="B1687" s="22">
        <f>IF(AND($M1687="",$N1687=""),"",IF($M1687&lt;&gt;"",INDEX(CalcDateA,$M1687),INDEX(CalcDateB,$N1687)))</f>
        <v/>
      </c>
      <c r="C1687" s="22">
        <f>IF($M1687&lt;&gt;"","خرید سبد",IF($N1687&lt;&gt;"",IF(N(INDEX(CalcDepB,$N1687))&gt;0,"دریافت بانکی","پرداخت بانکی"),""))</f>
        <v/>
      </c>
      <c r="D1687" s="22">
        <f>IF($M1687&lt;&gt;"",IF(INDEX(CalcDocA,$M1687)="","—",INDEX(CalcDocA,$M1687)),IF($N1687&lt;&gt;"",INDEX(CalcBankB,$N1687),""))</f>
        <v/>
      </c>
      <c r="E1687" s="23">
        <f>IF($N1687&lt;&gt;"",IF(INDEX(CalcDepB,$N1687)=0,"",INDEX(CalcDepB,$N1687)),"")</f>
        <v/>
      </c>
      <c r="F1687" s="23">
        <f>IF($M1687&lt;&gt;"",IF(INDEX(CalcQtyA,$M1687)=0,"",INDEX(CalcQtyA,$M1687)),"")</f>
        <v/>
      </c>
      <c r="G1687" s="23">
        <f>IF($M1687&lt;&gt;"",IF(INDEX(CalcPriceA,$M1687)=0,"",INDEX(CalcPriceA,$M1687)),"")</f>
        <v/>
      </c>
      <c r="H1687" s="23">
        <f>IF($N1687&lt;&gt;"",IF(INDEX(CalcWitB,$N1687)=0,"",INDEX(CalcWitB,$N1687)),"")</f>
        <v/>
      </c>
      <c r="I1687" s="24">
        <f>IF($M1687&lt;&gt;"",INDEX(CalcAmtA,$M1687),"")</f>
        <v/>
      </c>
      <c r="J1687" s="24">
        <f>IF($B1687="","",IF($J1686="",$C$8,$J1686)+IF($I1687="",0,$I1687)+IF($E1687="",0,$E1687)-IF($H1687="",0,$H1687))</f>
        <v/>
      </c>
      <c r="K1687" s="25">
        <f>IF($M1687&lt;&gt;"",IF(INDEX(CalcNoteA,$M1687)="","—",INDEX(CalcNoteA,$M1687)),IF($N1687&lt;&gt;"",IF(INDEX(CalcNoteB,$N1687)="","—",INDEX(CalcNoteB,$N1687)),""))</f>
        <v/>
      </c>
      <c r="M1687">
        <f>IFERROR(MATCH($C$5&amp;"|"&amp;RIGHT("000000"&amp;1671,6),CalcRankKeyA,0),"")</f>
        <v/>
      </c>
      <c r="N1687">
        <f>IFERROR(MATCH($C$5&amp;"|"&amp;RIGHT("000000"&amp;1671,6),CalcRankKeyB,0),"")</f>
        <v/>
      </c>
    </row>
    <row r="1688">
      <c r="A1688" s="26" t="n">
        <v>1672</v>
      </c>
      <c r="B1688" s="27">
        <f>IF(AND($M1688="",$N1688=""),"",IF($M1688&lt;&gt;"",INDEX(CalcDateA,$M1688),INDEX(CalcDateB,$N1688)))</f>
        <v/>
      </c>
      <c r="C1688" s="27">
        <f>IF($M1688&lt;&gt;"","خرید سبد",IF($N1688&lt;&gt;"",IF(N(INDEX(CalcDepB,$N1688))&gt;0,"دریافت بانکی","پرداخت بانکی"),""))</f>
        <v/>
      </c>
      <c r="D1688" s="27">
        <f>IF($M1688&lt;&gt;"",IF(INDEX(CalcDocA,$M1688)="","—",INDEX(CalcDocA,$M1688)),IF($N1688&lt;&gt;"",INDEX(CalcBankB,$N1688),""))</f>
        <v/>
      </c>
      <c r="E1688" s="28">
        <f>IF($N1688&lt;&gt;"",IF(INDEX(CalcDepB,$N1688)=0,"",INDEX(CalcDepB,$N1688)),"")</f>
        <v/>
      </c>
      <c r="F1688" s="28">
        <f>IF($M1688&lt;&gt;"",IF(INDEX(CalcQtyA,$M1688)=0,"",INDEX(CalcQtyA,$M1688)),"")</f>
        <v/>
      </c>
      <c r="G1688" s="28">
        <f>IF($M1688&lt;&gt;"",IF(INDEX(CalcPriceA,$M1688)=0,"",INDEX(CalcPriceA,$M1688)),"")</f>
        <v/>
      </c>
      <c r="H1688" s="28">
        <f>IF($N1688&lt;&gt;"",IF(INDEX(CalcWitB,$N1688)=0,"",INDEX(CalcWitB,$N1688)),"")</f>
        <v/>
      </c>
      <c r="I1688" s="29">
        <f>IF($M1688&lt;&gt;"",INDEX(CalcAmtA,$M1688),"")</f>
        <v/>
      </c>
      <c r="J1688" s="29">
        <f>IF($B1688="","",IF($J1687="",$C$8,$J1687)+IF($I1688="",0,$I1688)+IF($E1688="",0,$E1688)-IF($H1688="",0,$H1688))</f>
        <v/>
      </c>
      <c r="K1688" s="30">
        <f>IF($M1688&lt;&gt;"",IF(INDEX(CalcNoteA,$M1688)="","—",INDEX(CalcNoteA,$M1688)),IF($N1688&lt;&gt;"",IF(INDEX(CalcNoteB,$N1688)="","—",INDEX(CalcNoteB,$N1688)),""))</f>
        <v/>
      </c>
      <c r="M1688">
        <f>IFERROR(MATCH($C$5&amp;"|"&amp;RIGHT("000000"&amp;1672,6),CalcRankKeyA,0),"")</f>
        <v/>
      </c>
      <c r="N1688">
        <f>IFERROR(MATCH($C$5&amp;"|"&amp;RIGHT("000000"&amp;1672,6),CalcRankKeyB,0),"")</f>
        <v/>
      </c>
    </row>
    <row r="1689">
      <c r="A1689" s="21" t="n">
        <v>1673</v>
      </c>
      <c r="B1689" s="22">
        <f>IF(AND($M1689="",$N1689=""),"",IF($M1689&lt;&gt;"",INDEX(CalcDateA,$M1689),INDEX(CalcDateB,$N1689)))</f>
        <v/>
      </c>
      <c r="C1689" s="22">
        <f>IF($M1689&lt;&gt;"","خرید سبد",IF($N1689&lt;&gt;"",IF(N(INDEX(CalcDepB,$N1689))&gt;0,"دریافت بانکی","پرداخت بانکی"),""))</f>
        <v/>
      </c>
      <c r="D1689" s="22">
        <f>IF($M1689&lt;&gt;"",IF(INDEX(CalcDocA,$M1689)="","—",INDEX(CalcDocA,$M1689)),IF($N1689&lt;&gt;"",INDEX(CalcBankB,$N1689),""))</f>
        <v/>
      </c>
      <c r="E1689" s="23">
        <f>IF($N1689&lt;&gt;"",IF(INDEX(CalcDepB,$N1689)=0,"",INDEX(CalcDepB,$N1689)),"")</f>
        <v/>
      </c>
      <c r="F1689" s="23">
        <f>IF($M1689&lt;&gt;"",IF(INDEX(CalcQtyA,$M1689)=0,"",INDEX(CalcQtyA,$M1689)),"")</f>
        <v/>
      </c>
      <c r="G1689" s="23">
        <f>IF($M1689&lt;&gt;"",IF(INDEX(CalcPriceA,$M1689)=0,"",INDEX(CalcPriceA,$M1689)),"")</f>
        <v/>
      </c>
      <c r="H1689" s="23">
        <f>IF($N1689&lt;&gt;"",IF(INDEX(CalcWitB,$N1689)=0,"",INDEX(CalcWitB,$N1689)),"")</f>
        <v/>
      </c>
      <c r="I1689" s="24">
        <f>IF($M1689&lt;&gt;"",INDEX(CalcAmtA,$M1689),"")</f>
        <v/>
      </c>
      <c r="J1689" s="24">
        <f>IF($B1689="","",IF($J1688="",$C$8,$J1688)+IF($I1689="",0,$I1689)+IF($E1689="",0,$E1689)-IF($H1689="",0,$H1689))</f>
        <v/>
      </c>
      <c r="K1689" s="25">
        <f>IF($M1689&lt;&gt;"",IF(INDEX(CalcNoteA,$M1689)="","—",INDEX(CalcNoteA,$M1689)),IF($N1689&lt;&gt;"",IF(INDEX(CalcNoteB,$N1689)="","—",INDEX(CalcNoteB,$N1689)),""))</f>
        <v/>
      </c>
      <c r="M1689">
        <f>IFERROR(MATCH($C$5&amp;"|"&amp;RIGHT("000000"&amp;1673,6),CalcRankKeyA,0),"")</f>
        <v/>
      </c>
      <c r="N1689">
        <f>IFERROR(MATCH($C$5&amp;"|"&amp;RIGHT("000000"&amp;1673,6),CalcRankKeyB,0),"")</f>
        <v/>
      </c>
    </row>
    <row r="1690">
      <c r="A1690" s="26" t="n">
        <v>1674</v>
      </c>
      <c r="B1690" s="27">
        <f>IF(AND($M1690="",$N1690=""),"",IF($M1690&lt;&gt;"",INDEX(CalcDateA,$M1690),INDEX(CalcDateB,$N1690)))</f>
        <v/>
      </c>
      <c r="C1690" s="27">
        <f>IF($M1690&lt;&gt;"","خرید سبد",IF($N1690&lt;&gt;"",IF(N(INDEX(CalcDepB,$N1690))&gt;0,"دریافت بانکی","پرداخت بانکی"),""))</f>
        <v/>
      </c>
      <c r="D1690" s="27">
        <f>IF($M1690&lt;&gt;"",IF(INDEX(CalcDocA,$M1690)="","—",INDEX(CalcDocA,$M1690)),IF($N1690&lt;&gt;"",INDEX(CalcBankB,$N1690),""))</f>
        <v/>
      </c>
      <c r="E1690" s="28">
        <f>IF($N1690&lt;&gt;"",IF(INDEX(CalcDepB,$N1690)=0,"",INDEX(CalcDepB,$N1690)),"")</f>
        <v/>
      </c>
      <c r="F1690" s="28">
        <f>IF($M1690&lt;&gt;"",IF(INDEX(CalcQtyA,$M1690)=0,"",INDEX(CalcQtyA,$M1690)),"")</f>
        <v/>
      </c>
      <c r="G1690" s="28">
        <f>IF($M1690&lt;&gt;"",IF(INDEX(CalcPriceA,$M1690)=0,"",INDEX(CalcPriceA,$M1690)),"")</f>
        <v/>
      </c>
      <c r="H1690" s="28">
        <f>IF($N1690&lt;&gt;"",IF(INDEX(CalcWitB,$N1690)=0,"",INDEX(CalcWitB,$N1690)),"")</f>
        <v/>
      </c>
      <c r="I1690" s="29">
        <f>IF($M1690&lt;&gt;"",INDEX(CalcAmtA,$M1690),"")</f>
        <v/>
      </c>
      <c r="J1690" s="29">
        <f>IF($B1690="","",IF($J1689="",$C$8,$J1689)+IF($I1690="",0,$I1690)+IF($E1690="",0,$E1690)-IF($H1690="",0,$H1690))</f>
        <v/>
      </c>
      <c r="K1690" s="30">
        <f>IF($M1690&lt;&gt;"",IF(INDEX(CalcNoteA,$M1690)="","—",INDEX(CalcNoteA,$M1690)),IF($N1690&lt;&gt;"",IF(INDEX(CalcNoteB,$N1690)="","—",INDEX(CalcNoteB,$N1690)),""))</f>
        <v/>
      </c>
      <c r="M1690">
        <f>IFERROR(MATCH($C$5&amp;"|"&amp;RIGHT("000000"&amp;1674,6),CalcRankKeyA,0),"")</f>
        <v/>
      </c>
      <c r="N1690">
        <f>IFERROR(MATCH($C$5&amp;"|"&amp;RIGHT("000000"&amp;1674,6),CalcRankKeyB,0),"")</f>
        <v/>
      </c>
    </row>
    <row r="1691">
      <c r="A1691" s="21" t="n">
        <v>1675</v>
      </c>
      <c r="B1691" s="22">
        <f>IF(AND($M1691="",$N1691=""),"",IF($M1691&lt;&gt;"",INDEX(CalcDateA,$M1691),INDEX(CalcDateB,$N1691)))</f>
        <v/>
      </c>
      <c r="C1691" s="22">
        <f>IF($M1691&lt;&gt;"","خرید سبد",IF($N1691&lt;&gt;"",IF(N(INDEX(CalcDepB,$N1691))&gt;0,"دریافت بانکی","پرداخت بانکی"),""))</f>
        <v/>
      </c>
      <c r="D1691" s="22">
        <f>IF($M1691&lt;&gt;"",IF(INDEX(CalcDocA,$M1691)="","—",INDEX(CalcDocA,$M1691)),IF($N1691&lt;&gt;"",INDEX(CalcBankB,$N1691),""))</f>
        <v/>
      </c>
      <c r="E1691" s="23">
        <f>IF($N1691&lt;&gt;"",IF(INDEX(CalcDepB,$N1691)=0,"",INDEX(CalcDepB,$N1691)),"")</f>
        <v/>
      </c>
      <c r="F1691" s="23">
        <f>IF($M1691&lt;&gt;"",IF(INDEX(CalcQtyA,$M1691)=0,"",INDEX(CalcQtyA,$M1691)),"")</f>
        <v/>
      </c>
      <c r="G1691" s="23">
        <f>IF($M1691&lt;&gt;"",IF(INDEX(CalcPriceA,$M1691)=0,"",INDEX(CalcPriceA,$M1691)),"")</f>
        <v/>
      </c>
      <c r="H1691" s="23">
        <f>IF($N1691&lt;&gt;"",IF(INDEX(CalcWitB,$N1691)=0,"",INDEX(CalcWitB,$N1691)),"")</f>
        <v/>
      </c>
      <c r="I1691" s="24">
        <f>IF($M1691&lt;&gt;"",INDEX(CalcAmtA,$M1691),"")</f>
        <v/>
      </c>
      <c r="J1691" s="24">
        <f>IF($B1691="","",IF($J1690="",$C$8,$J1690)+IF($I1691="",0,$I1691)+IF($E1691="",0,$E1691)-IF($H1691="",0,$H1691))</f>
        <v/>
      </c>
      <c r="K1691" s="25">
        <f>IF($M1691&lt;&gt;"",IF(INDEX(CalcNoteA,$M1691)="","—",INDEX(CalcNoteA,$M1691)),IF($N1691&lt;&gt;"",IF(INDEX(CalcNoteB,$N1691)="","—",INDEX(CalcNoteB,$N1691)),""))</f>
        <v/>
      </c>
      <c r="M1691">
        <f>IFERROR(MATCH($C$5&amp;"|"&amp;RIGHT("000000"&amp;1675,6),CalcRankKeyA,0),"")</f>
        <v/>
      </c>
      <c r="N1691">
        <f>IFERROR(MATCH($C$5&amp;"|"&amp;RIGHT("000000"&amp;1675,6),CalcRankKeyB,0),"")</f>
        <v/>
      </c>
    </row>
    <row r="1692">
      <c r="A1692" s="26" t="n">
        <v>1676</v>
      </c>
      <c r="B1692" s="27">
        <f>IF(AND($M1692="",$N1692=""),"",IF($M1692&lt;&gt;"",INDEX(CalcDateA,$M1692),INDEX(CalcDateB,$N1692)))</f>
        <v/>
      </c>
      <c r="C1692" s="27">
        <f>IF($M1692&lt;&gt;"","خرید سبد",IF($N1692&lt;&gt;"",IF(N(INDEX(CalcDepB,$N1692))&gt;0,"دریافت بانکی","پرداخت بانکی"),""))</f>
        <v/>
      </c>
      <c r="D1692" s="27">
        <f>IF($M1692&lt;&gt;"",IF(INDEX(CalcDocA,$M1692)="","—",INDEX(CalcDocA,$M1692)),IF($N1692&lt;&gt;"",INDEX(CalcBankB,$N1692),""))</f>
        <v/>
      </c>
      <c r="E1692" s="28">
        <f>IF($N1692&lt;&gt;"",IF(INDEX(CalcDepB,$N1692)=0,"",INDEX(CalcDepB,$N1692)),"")</f>
        <v/>
      </c>
      <c r="F1692" s="28">
        <f>IF($M1692&lt;&gt;"",IF(INDEX(CalcQtyA,$M1692)=0,"",INDEX(CalcQtyA,$M1692)),"")</f>
        <v/>
      </c>
      <c r="G1692" s="28">
        <f>IF($M1692&lt;&gt;"",IF(INDEX(CalcPriceA,$M1692)=0,"",INDEX(CalcPriceA,$M1692)),"")</f>
        <v/>
      </c>
      <c r="H1692" s="28">
        <f>IF($N1692&lt;&gt;"",IF(INDEX(CalcWitB,$N1692)=0,"",INDEX(CalcWitB,$N1692)),"")</f>
        <v/>
      </c>
      <c r="I1692" s="29">
        <f>IF($M1692&lt;&gt;"",INDEX(CalcAmtA,$M1692),"")</f>
        <v/>
      </c>
      <c r="J1692" s="29">
        <f>IF($B1692="","",IF($J1691="",$C$8,$J1691)+IF($I1692="",0,$I1692)+IF($E1692="",0,$E1692)-IF($H1692="",0,$H1692))</f>
        <v/>
      </c>
      <c r="K1692" s="30">
        <f>IF($M1692&lt;&gt;"",IF(INDEX(CalcNoteA,$M1692)="","—",INDEX(CalcNoteA,$M1692)),IF($N1692&lt;&gt;"",IF(INDEX(CalcNoteB,$N1692)="","—",INDEX(CalcNoteB,$N1692)),""))</f>
        <v/>
      </c>
      <c r="M1692">
        <f>IFERROR(MATCH($C$5&amp;"|"&amp;RIGHT("000000"&amp;1676,6),CalcRankKeyA,0),"")</f>
        <v/>
      </c>
      <c r="N1692">
        <f>IFERROR(MATCH($C$5&amp;"|"&amp;RIGHT("000000"&amp;1676,6),CalcRankKeyB,0),"")</f>
        <v/>
      </c>
    </row>
    <row r="1693">
      <c r="A1693" s="21" t="n">
        <v>1677</v>
      </c>
      <c r="B1693" s="22">
        <f>IF(AND($M1693="",$N1693=""),"",IF($M1693&lt;&gt;"",INDEX(CalcDateA,$M1693),INDEX(CalcDateB,$N1693)))</f>
        <v/>
      </c>
      <c r="C1693" s="22">
        <f>IF($M1693&lt;&gt;"","خرید سبد",IF($N1693&lt;&gt;"",IF(N(INDEX(CalcDepB,$N1693))&gt;0,"دریافت بانکی","پرداخت بانکی"),""))</f>
        <v/>
      </c>
      <c r="D1693" s="22">
        <f>IF($M1693&lt;&gt;"",IF(INDEX(CalcDocA,$M1693)="","—",INDEX(CalcDocA,$M1693)),IF($N1693&lt;&gt;"",INDEX(CalcBankB,$N1693),""))</f>
        <v/>
      </c>
      <c r="E1693" s="23">
        <f>IF($N1693&lt;&gt;"",IF(INDEX(CalcDepB,$N1693)=0,"",INDEX(CalcDepB,$N1693)),"")</f>
        <v/>
      </c>
      <c r="F1693" s="23">
        <f>IF($M1693&lt;&gt;"",IF(INDEX(CalcQtyA,$M1693)=0,"",INDEX(CalcQtyA,$M1693)),"")</f>
        <v/>
      </c>
      <c r="G1693" s="23">
        <f>IF($M1693&lt;&gt;"",IF(INDEX(CalcPriceA,$M1693)=0,"",INDEX(CalcPriceA,$M1693)),"")</f>
        <v/>
      </c>
      <c r="H1693" s="23">
        <f>IF($N1693&lt;&gt;"",IF(INDEX(CalcWitB,$N1693)=0,"",INDEX(CalcWitB,$N1693)),"")</f>
        <v/>
      </c>
      <c r="I1693" s="24">
        <f>IF($M1693&lt;&gt;"",INDEX(CalcAmtA,$M1693),"")</f>
        <v/>
      </c>
      <c r="J1693" s="24">
        <f>IF($B1693="","",IF($J1692="",$C$8,$J1692)+IF($I1693="",0,$I1693)+IF($E1693="",0,$E1693)-IF($H1693="",0,$H1693))</f>
        <v/>
      </c>
      <c r="K1693" s="25">
        <f>IF($M1693&lt;&gt;"",IF(INDEX(CalcNoteA,$M1693)="","—",INDEX(CalcNoteA,$M1693)),IF($N1693&lt;&gt;"",IF(INDEX(CalcNoteB,$N1693)="","—",INDEX(CalcNoteB,$N1693)),""))</f>
        <v/>
      </c>
      <c r="M1693">
        <f>IFERROR(MATCH($C$5&amp;"|"&amp;RIGHT("000000"&amp;1677,6),CalcRankKeyA,0),"")</f>
        <v/>
      </c>
      <c r="N1693">
        <f>IFERROR(MATCH($C$5&amp;"|"&amp;RIGHT("000000"&amp;1677,6),CalcRankKeyB,0),"")</f>
        <v/>
      </c>
    </row>
    <row r="1694">
      <c r="A1694" s="26" t="n">
        <v>1678</v>
      </c>
      <c r="B1694" s="27">
        <f>IF(AND($M1694="",$N1694=""),"",IF($M1694&lt;&gt;"",INDEX(CalcDateA,$M1694),INDEX(CalcDateB,$N1694)))</f>
        <v/>
      </c>
      <c r="C1694" s="27">
        <f>IF($M1694&lt;&gt;"","خرید سبد",IF($N1694&lt;&gt;"",IF(N(INDEX(CalcDepB,$N1694))&gt;0,"دریافت بانکی","پرداخت بانکی"),""))</f>
        <v/>
      </c>
      <c r="D1694" s="27">
        <f>IF($M1694&lt;&gt;"",IF(INDEX(CalcDocA,$M1694)="","—",INDEX(CalcDocA,$M1694)),IF($N1694&lt;&gt;"",INDEX(CalcBankB,$N1694),""))</f>
        <v/>
      </c>
      <c r="E1694" s="28">
        <f>IF($N1694&lt;&gt;"",IF(INDEX(CalcDepB,$N1694)=0,"",INDEX(CalcDepB,$N1694)),"")</f>
        <v/>
      </c>
      <c r="F1694" s="28">
        <f>IF($M1694&lt;&gt;"",IF(INDEX(CalcQtyA,$M1694)=0,"",INDEX(CalcQtyA,$M1694)),"")</f>
        <v/>
      </c>
      <c r="G1694" s="28">
        <f>IF($M1694&lt;&gt;"",IF(INDEX(CalcPriceA,$M1694)=0,"",INDEX(CalcPriceA,$M1694)),"")</f>
        <v/>
      </c>
      <c r="H1694" s="28">
        <f>IF($N1694&lt;&gt;"",IF(INDEX(CalcWitB,$N1694)=0,"",INDEX(CalcWitB,$N1694)),"")</f>
        <v/>
      </c>
      <c r="I1694" s="29">
        <f>IF($M1694&lt;&gt;"",INDEX(CalcAmtA,$M1694),"")</f>
        <v/>
      </c>
      <c r="J1694" s="29">
        <f>IF($B1694="","",IF($J1693="",$C$8,$J1693)+IF($I1694="",0,$I1694)+IF($E1694="",0,$E1694)-IF($H1694="",0,$H1694))</f>
        <v/>
      </c>
      <c r="K1694" s="30">
        <f>IF($M1694&lt;&gt;"",IF(INDEX(CalcNoteA,$M1694)="","—",INDEX(CalcNoteA,$M1694)),IF($N1694&lt;&gt;"",IF(INDEX(CalcNoteB,$N1694)="","—",INDEX(CalcNoteB,$N1694)),""))</f>
        <v/>
      </c>
      <c r="M1694">
        <f>IFERROR(MATCH($C$5&amp;"|"&amp;RIGHT("000000"&amp;1678,6),CalcRankKeyA,0),"")</f>
        <v/>
      </c>
      <c r="N1694">
        <f>IFERROR(MATCH($C$5&amp;"|"&amp;RIGHT("000000"&amp;1678,6),CalcRankKeyB,0),"")</f>
        <v/>
      </c>
    </row>
    <row r="1695">
      <c r="A1695" s="21" t="n">
        <v>1679</v>
      </c>
      <c r="B1695" s="22">
        <f>IF(AND($M1695="",$N1695=""),"",IF($M1695&lt;&gt;"",INDEX(CalcDateA,$M1695),INDEX(CalcDateB,$N1695)))</f>
        <v/>
      </c>
      <c r="C1695" s="22">
        <f>IF($M1695&lt;&gt;"","خرید سبد",IF($N1695&lt;&gt;"",IF(N(INDEX(CalcDepB,$N1695))&gt;0,"دریافت بانکی","پرداخت بانکی"),""))</f>
        <v/>
      </c>
      <c r="D1695" s="22">
        <f>IF($M1695&lt;&gt;"",IF(INDEX(CalcDocA,$M1695)="","—",INDEX(CalcDocA,$M1695)),IF($N1695&lt;&gt;"",INDEX(CalcBankB,$N1695),""))</f>
        <v/>
      </c>
      <c r="E1695" s="23">
        <f>IF($N1695&lt;&gt;"",IF(INDEX(CalcDepB,$N1695)=0,"",INDEX(CalcDepB,$N1695)),"")</f>
        <v/>
      </c>
      <c r="F1695" s="23">
        <f>IF($M1695&lt;&gt;"",IF(INDEX(CalcQtyA,$M1695)=0,"",INDEX(CalcQtyA,$M1695)),"")</f>
        <v/>
      </c>
      <c r="G1695" s="23">
        <f>IF($M1695&lt;&gt;"",IF(INDEX(CalcPriceA,$M1695)=0,"",INDEX(CalcPriceA,$M1695)),"")</f>
        <v/>
      </c>
      <c r="H1695" s="23">
        <f>IF($N1695&lt;&gt;"",IF(INDEX(CalcWitB,$N1695)=0,"",INDEX(CalcWitB,$N1695)),"")</f>
        <v/>
      </c>
      <c r="I1695" s="24">
        <f>IF($M1695&lt;&gt;"",INDEX(CalcAmtA,$M1695),"")</f>
        <v/>
      </c>
      <c r="J1695" s="24">
        <f>IF($B1695="","",IF($J1694="",$C$8,$J1694)+IF($I1695="",0,$I1695)+IF($E1695="",0,$E1695)-IF($H1695="",0,$H1695))</f>
        <v/>
      </c>
      <c r="K1695" s="25">
        <f>IF($M1695&lt;&gt;"",IF(INDEX(CalcNoteA,$M1695)="","—",INDEX(CalcNoteA,$M1695)),IF($N1695&lt;&gt;"",IF(INDEX(CalcNoteB,$N1695)="","—",INDEX(CalcNoteB,$N1695)),""))</f>
        <v/>
      </c>
      <c r="M1695">
        <f>IFERROR(MATCH($C$5&amp;"|"&amp;RIGHT("000000"&amp;1679,6),CalcRankKeyA,0),"")</f>
        <v/>
      </c>
      <c r="N1695">
        <f>IFERROR(MATCH($C$5&amp;"|"&amp;RIGHT("000000"&amp;1679,6),CalcRankKeyB,0),"")</f>
        <v/>
      </c>
    </row>
    <row r="1696">
      <c r="A1696" s="26" t="n">
        <v>1680</v>
      </c>
      <c r="B1696" s="27">
        <f>IF(AND($M1696="",$N1696=""),"",IF($M1696&lt;&gt;"",INDEX(CalcDateA,$M1696),INDEX(CalcDateB,$N1696)))</f>
        <v/>
      </c>
      <c r="C1696" s="27">
        <f>IF($M1696&lt;&gt;"","خرید سبد",IF($N1696&lt;&gt;"",IF(N(INDEX(CalcDepB,$N1696))&gt;0,"دریافت بانکی","پرداخت بانکی"),""))</f>
        <v/>
      </c>
      <c r="D1696" s="27">
        <f>IF($M1696&lt;&gt;"",IF(INDEX(CalcDocA,$M1696)="","—",INDEX(CalcDocA,$M1696)),IF($N1696&lt;&gt;"",INDEX(CalcBankB,$N1696),""))</f>
        <v/>
      </c>
      <c r="E1696" s="28">
        <f>IF($N1696&lt;&gt;"",IF(INDEX(CalcDepB,$N1696)=0,"",INDEX(CalcDepB,$N1696)),"")</f>
        <v/>
      </c>
      <c r="F1696" s="28">
        <f>IF($M1696&lt;&gt;"",IF(INDEX(CalcQtyA,$M1696)=0,"",INDEX(CalcQtyA,$M1696)),"")</f>
        <v/>
      </c>
      <c r="G1696" s="28">
        <f>IF($M1696&lt;&gt;"",IF(INDEX(CalcPriceA,$M1696)=0,"",INDEX(CalcPriceA,$M1696)),"")</f>
        <v/>
      </c>
      <c r="H1696" s="28">
        <f>IF($N1696&lt;&gt;"",IF(INDEX(CalcWitB,$N1696)=0,"",INDEX(CalcWitB,$N1696)),"")</f>
        <v/>
      </c>
      <c r="I1696" s="29">
        <f>IF($M1696&lt;&gt;"",INDEX(CalcAmtA,$M1696),"")</f>
        <v/>
      </c>
      <c r="J1696" s="29">
        <f>IF($B1696="","",IF($J1695="",$C$8,$J1695)+IF($I1696="",0,$I1696)+IF($E1696="",0,$E1696)-IF($H1696="",0,$H1696))</f>
        <v/>
      </c>
      <c r="K1696" s="30">
        <f>IF($M1696&lt;&gt;"",IF(INDEX(CalcNoteA,$M1696)="","—",INDEX(CalcNoteA,$M1696)),IF($N1696&lt;&gt;"",IF(INDEX(CalcNoteB,$N1696)="","—",INDEX(CalcNoteB,$N1696)),""))</f>
        <v/>
      </c>
      <c r="M1696">
        <f>IFERROR(MATCH($C$5&amp;"|"&amp;RIGHT("000000"&amp;1680,6),CalcRankKeyA,0),"")</f>
        <v/>
      </c>
      <c r="N1696">
        <f>IFERROR(MATCH($C$5&amp;"|"&amp;RIGHT("000000"&amp;1680,6),CalcRankKeyB,0),"")</f>
        <v/>
      </c>
    </row>
    <row r="1697">
      <c r="A1697" s="21" t="n">
        <v>1681</v>
      </c>
      <c r="B1697" s="22">
        <f>IF(AND($M1697="",$N1697=""),"",IF($M1697&lt;&gt;"",INDEX(CalcDateA,$M1697),INDEX(CalcDateB,$N1697)))</f>
        <v/>
      </c>
      <c r="C1697" s="22">
        <f>IF($M1697&lt;&gt;"","خرید سبد",IF($N1697&lt;&gt;"",IF(N(INDEX(CalcDepB,$N1697))&gt;0,"دریافت بانکی","پرداخت بانکی"),""))</f>
        <v/>
      </c>
      <c r="D1697" s="22">
        <f>IF($M1697&lt;&gt;"",IF(INDEX(CalcDocA,$M1697)="","—",INDEX(CalcDocA,$M1697)),IF($N1697&lt;&gt;"",INDEX(CalcBankB,$N1697),""))</f>
        <v/>
      </c>
      <c r="E1697" s="23">
        <f>IF($N1697&lt;&gt;"",IF(INDEX(CalcDepB,$N1697)=0,"",INDEX(CalcDepB,$N1697)),"")</f>
        <v/>
      </c>
      <c r="F1697" s="23">
        <f>IF($M1697&lt;&gt;"",IF(INDEX(CalcQtyA,$M1697)=0,"",INDEX(CalcQtyA,$M1697)),"")</f>
        <v/>
      </c>
      <c r="G1697" s="23">
        <f>IF($M1697&lt;&gt;"",IF(INDEX(CalcPriceA,$M1697)=0,"",INDEX(CalcPriceA,$M1697)),"")</f>
        <v/>
      </c>
      <c r="H1697" s="23">
        <f>IF($N1697&lt;&gt;"",IF(INDEX(CalcWitB,$N1697)=0,"",INDEX(CalcWitB,$N1697)),"")</f>
        <v/>
      </c>
      <c r="I1697" s="24">
        <f>IF($M1697&lt;&gt;"",INDEX(CalcAmtA,$M1697),"")</f>
        <v/>
      </c>
      <c r="J1697" s="24">
        <f>IF($B1697="","",IF($J1696="",$C$8,$J1696)+IF($I1697="",0,$I1697)+IF($E1697="",0,$E1697)-IF($H1697="",0,$H1697))</f>
        <v/>
      </c>
      <c r="K1697" s="25">
        <f>IF($M1697&lt;&gt;"",IF(INDEX(CalcNoteA,$M1697)="","—",INDEX(CalcNoteA,$M1697)),IF($N1697&lt;&gt;"",IF(INDEX(CalcNoteB,$N1697)="","—",INDEX(CalcNoteB,$N1697)),""))</f>
        <v/>
      </c>
      <c r="M1697">
        <f>IFERROR(MATCH($C$5&amp;"|"&amp;RIGHT("000000"&amp;1681,6),CalcRankKeyA,0),"")</f>
        <v/>
      </c>
      <c r="N1697">
        <f>IFERROR(MATCH($C$5&amp;"|"&amp;RIGHT("000000"&amp;1681,6),CalcRankKeyB,0),"")</f>
        <v/>
      </c>
    </row>
    <row r="1698">
      <c r="A1698" s="26" t="n">
        <v>1682</v>
      </c>
      <c r="B1698" s="27">
        <f>IF(AND($M1698="",$N1698=""),"",IF($M1698&lt;&gt;"",INDEX(CalcDateA,$M1698),INDEX(CalcDateB,$N1698)))</f>
        <v/>
      </c>
      <c r="C1698" s="27">
        <f>IF($M1698&lt;&gt;"","خرید سبد",IF($N1698&lt;&gt;"",IF(N(INDEX(CalcDepB,$N1698))&gt;0,"دریافت بانکی","پرداخت بانکی"),""))</f>
        <v/>
      </c>
      <c r="D1698" s="27">
        <f>IF($M1698&lt;&gt;"",IF(INDEX(CalcDocA,$M1698)="","—",INDEX(CalcDocA,$M1698)),IF($N1698&lt;&gt;"",INDEX(CalcBankB,$N1698),""))</f>
        <v/>
      </c>
      <c r="E1698" s="28">
        <f>IF($N1698&lt;&gt;"",IF(INDEX(CalcDepB,$N1698)=0,"",INDEX(CalcDepB,$N1698)),"")</f>
        <v/>
      </c>
      <c r="F1698" s="28">
        <f>IF($M1698&lt;&gt;"",IF(INDEX(CalcQtyA,$M1698)=0,"",INDEX(CalcQtyA,$M1698)),"")</f>
        <v/>
      </c>
      <c r="G1698" s="28">
        <f>IF($M1698&lt;&gt;"",IF(INDEX(CalcPriceA,$M1698)=0,"",INDEX(CalcPriceA,$M1698)),"")</f>
        <v/>
      </c>
      <c r="H1698" s="28">
        <f>IF($N1698&lt;&gt;"",IF(INDEX(CalcWitB,$N1698)=0,"",INDEX(CalcWitB,$N1698)),"")</f>
        <v/>
      </c>
      <c r="I1698" s="29">
        <f>IF($M1698&lt;&gt;"",INDEX(CalcAmtA,$M1698),"")</f>
        <v/>
      </c>
      <c r="J1698" s="29">
        <f>IF($B1698="","",IF($J1697="",$C$8,$J1697)+IF($I1698="",0,$I1698)+IF($E1698="",0,$E1698)-IF($H1698="",0,$H1698))</f>
        <v/>
      </c>
      <c r="K1698" s="30">
        <f>IF($M1698&lt;&gt;"",IF(INDEX(CalcNoteA,$M1698)="","—",INDEX(CalcNoteA,$M1698)),IF($N1698&lt;&gt;"",IF(INDEX(CalcNoteB,$N1698)="","—",INDEX(CalcNoteB,$N1698)),""))</f>
        <v/>
      </c>
      <c r="M1698">
        <f>IFERROR(MATCH($C$5&amp;"|"&amp;RIGHT("000000"&amp;1682,6),CalcRankKeyA,0),"")</f>
        <v/>
      </c>
      <c r="N1698">
        <f>IFERROR(MATCH($C$5&amp;"|"&amp;RIGHT("000000"&amp;1682,6),CalcRankKeyB,0),"")</f>
        <v/>
      </c>
    </row>
    <row r="1699">
      <c r="A1699" s="21" t="n">
        <v>1683</v>
      </c>
      <c r="B1699" s="22">
        <f>IF(AND($M1699="",$N1699=""),"",IF($M1699&lt;&gt;"",INDEX(CalcDateA,$M1699),INDEX(CalcDateB,$N1699)))</f>
        <v/>
      </c>
      <c r="C1699" s="22">
        <f>IF($M1699&lt;&gt;"","خرید سبد",IF($N1699&lt;&gt;"",IF(N(INDEX(CalcDepB,$N1699))&gt;0,"دریافت بانکی","پرداخت بانکی"),""))</f>
        <v/>
      </c>
      <c r="D1699" s="22">
        <f>IF($M1699&lt;&gt;"",IF(INDEX(CalcDocA,$M1699)="","—",INDEX(CalcDocA,$M1699)),IF($N1699&lt;&gt;"",INDEX(CalcBankB,$N1699),""))</f>
        <v/>
      </c>
      <c r="E1699" s="23">
        <f>IF($N1699&lt;&gt;"",IF(INDEX(CalcDepB,$N1699)=0,"",INDEX(CalcDepB,$N1699)),"")</f>
        <v/>
      </c>
      <c r="F1699" s="23">
        <f>IF($M1699&lt;&gt;"",IF(INDEX(CalcQtyA,$M1699)=0,"",INDEX(CalcQtyA,$M1699)),"")</f>
        <v/>
      </c>
      <c r="G1699" s="23">
        <f>IF($M1699&lt;&gt;"",IF(INDEX(CalcPriceA,$M1699)=0,"",INDEX(CalcPriceA,$M1699)),"")</f>
        <v/>
      </c>
      <c r="H1699" s="23">
        <f>IF($N1699&lt;&gt;"",IF(INDEX(CalcWitB,$N1699)=0,"",INDEX(CalcWitB,$N1699)),"")</f>
        <v/>
      </c>
      <c r="I1699" s="24">
        <f>IF($M1699&lt;&gt;"",INDEX(CalcAmtA,$M1699),"")</f>
        <v/>
      </c>
      <c r="J1699" s="24">
        <f>IF($B1699="","",IF($J1698="",$C$8,$J1698)+IF($I1699="",0,$I1699)+IF($E1699="",0,$E1699)-IF($H1699="",0,$H1699))</f>
        <v/>
      </c>
      <c r="K1699" s="25">
        <f>IF($M1699&lt;&gt;"",IF(INDEX(CalcNoteA,$M1699)="","—",INDEX(CalcNoteA,$M1699)),IF($N1699&lt;&gt;"",IF(INDEX(CalcNoteB,$N1699)="","—",INDEX(CalcNoteB,$N1699)),""))</f>
        <v/>
      </c>
      <c r="M1699">
        <f>IFERROR(MATCH($C$5&amp;"|"&amp;RIGHT("000000"&amp;1683,6),CalcRankKeyA,0),"")</f>
        <v/>
      </c>
      <c r="N1699">
        <f>IFERROR(MATCH($C$5&amp;"|"&amp;RIGHT("000000"&amp;1683,6),CalcRankKeyB,0),"")</f>
        <v/>
      </c>
    </row>
    <row r="1700">
      <c r="A1700" s="26" t="n">
        <v>1684</v>
      </c>
      <c r="B1700" s="27">
        <f>IF(AND($M1700="",$N1700=""),"",IF($M1700&lt;&gt;"",INDEX(CalcDateA,$M1700),INDEX(CalcDateB,$N1700)))</f>
        <v/>
      </c>
      <c r="C1700" s="27">
        <f>IF($M1700&lt;&gt;"","خرید سبد",IF($N1700&lt;&gt;"",IF(N(INDEX(CalcDepB,$N1700))&gt;0,"دریافت بانکی","پرداخت بانکی"),""))</f>
        <v/>
      </c>
      <c r="D1700" s="27">
        <f>IF($M1700&lt;&gt;"",IF(INDEX(CalcDocA,$M1700)="","—",INDEX(CalcDocA,$M1700)),IF($N1700&lt;&gt;"",INDEX(CalcBankB,$N1700),""))</f>
        <v/>
      </c>
      <c r="E1700" s="28">
        <f>IF($N1700&lt;&gt;"",IF(INDEX(CalcDepB,$N1700)=0,"",INDEX(CalcDepB,$N1700)),"")</f>
        <v/>
      </c>
      <c r="F1700" s="28">
        <f>IF($M1700&lt;&gt;"",IF(INDEX(CalcQtyA,$M1700)=0,"",INDEX(CalcQtyA,$M1700)),"")</f>
        <v/>
      </c>
      <c r="G1700" s="28">
        <f>IF($M1700&lt;&gt;"",IF(INDEX(CalcPriceA,$M1700)=0,"",INDEX(CalcPriceA,$M1700)),"")</f>
        <v/>
      </c>
      <c r="H1700" s="28">
        <f>IF($N1700&lt;&gt;"",IF(INDEX(CalcWitB,$N1700)=0,"",INDEX(CalcWitB,$N1700)),"")</f>
        <v/>
      </c>
      <c r="I1700" s="29">
        <f>IF($M1700&lt;&gt;"",INDEX(CalcAmtA,$M1700),"")</f>
        <v/>
      </c>
      <c r="J1700" s="29">
        <f>IF($B1700="","",IF($J1699="",$C$8,$J1699)+IF($I1700="",0,$I1700)+IF($E1700="",0,$E1700)-IF($H1700="",0,$H1700))</f>
        <v/>
      </c>
      <c r="K1700" s="30">
        <f>IF($M1700&lt;&gt;"",IF(INDEX(CalcNoteA,$M1700)="","—",INDEX(CalcNoteA,$M1700)),IF($N1700&lt;&gt;"",IF(INDEX(CalcNoteB,$N1700)="","—",INDEX(CalcNoteB,$N1700)),""))</f>
        <v/>
      </c>
      <c r="M1700">
        <f>IFERROR(MATCH($C$5&amp;"|"&amp;RIGHT("000000"&amp;1684,6),CalcRankKeyA,0),"")</f>
        <v/>
      </c>
      <c r="N1700">
        <f>IFERROR(MATCH($C$5&amp;"|"&amp;RIGHT("000000"&amp;1684,6),CalcRankKeyB,0),"")</f>
        <v/>
      </c>
    </row>
    <row r="1701">
      <c r="A1701" s="21" t="n">
        <v>1685</v>
      </c>
      <c r="B1701" s="22">
        <f>IF(AND($M1701="",$N1701=""),"",IF($M1701&lt;&gt;"",INDEX(CalcDateA,$M1701),INDEX(CalcDateB,$N1701)))</f>
        <v/>
      </c>
      <c r="C1701" s="22">
        <f>IF($M1701&lt;&gt;"","خرید سبد",IF($N1701&lt;&gt;"",IF(N(INDEX(CalcDepB,$N1701))&gt;0,"دریافت بانکی","پرداخت بانکی"),""))</f>
        <v/>
      </c>
      <c r="D1701" s="22">
        <f>IF($M1701&lt;&gt;"",IF(INDEX(CalcDocA,$M1701)="","—",INDEX(CalcDocA,$M1701)),IF($N1701&lt;&gt;"",INDEX(CalcBankB,$N1701),""))</f>
        <v/>
      </c>
      <c r="E1701" s="23">
        <f>IF($N1701&lt;&gt;"",IF(INDEX(CalcDepB,$N1701)=0,"",INDEX(CalcDepB,$N1701)),"")</f>
        <v/>
      </c>
      <c r="F1701" s="23">
        <f>IF($M1701&lt;&gt;"",IF(INDEX(CalcQtyA,$M1701)=0,"",INDEX(CalcQtyA,$M1701)),"")</f>
        <v/>
      </c>
      <c r="G1701" s="23">
        <f>IF($M1701&lt;&gt;"",IF(INDEX(CalcPriceA,$M1701)=0,"",INDEX(CalcPriceA,$M1701)),"")</f>
        <v/>
      </c>
      <c r="H1701" s="23">
        <f>IF($N1701&lt;&gt;"",IF(INDEX(CalcWitB,$N1701)=0,"",INDEX(CalcWitB,$N1701)),"")</f>
        <v/>
      </c>
      <c r="I1701" s="24">
        <f>IF($M1701&lt;&gt;"",INDEX(CalcAmtA,$M1701),"")</f>
        <v/>
      </c>
      <c r="J1701" s="24">
        <f>IF($B1701="","",IF($J1700="",$C$8,$J1700)+IF($I1701="",0,$I1701)+IF($E1701="",0,$E1701)-IF($H1701="",0,$H1701))</f>
        <v/>
      </c>
      <c r="K1701" s="25">
        <f>IF($M1701&lt;&gt;"",IF(INDEX(CalcNoteA,$M1701)="","—",INDEX(CalcNoteA,$M1701)),IF($N1701&lt;&gt;"",IF(INDEX(CalcNoteB,$N1701)="","—",INDEX(CalcNoteB,$N1701)),""))</f>
        <v/>
      </c>
      <c r="M1701">
        <f>IFERROR(MATCH($C$5&amp;"|"&amp;RIGHT("000000"&amp;1685,6),CalcRankKeyA,0),"")</f>
        <v/>
      </c>
      <c r="N1701">
        <f>IFERROR(MATCH($C$5&amp;"|"&amp;RIGHT("000000"&amp;1685,6),CalcRankKeyB,0),"")</f>
        <v/>
      </c>
    </row>
    <row r="1702">
      <c r="A1702" s="26" t="n">
        <v>1686</v>
      </c>
      <c r="B1702" s="27">
        <f>IF(AND($M1702="",$N1702=""),"",IF($M1702&lt;&gt;"",INDEX(CalcDateA,$M1702),INDEX(CalcDateB,$N1702)))</f>
        <v/>
      </c>
      <c r="C1702" s="27">
        <f>IF($M1702&lt;&gt;"","خرید سبد",IF($N1702&lt;&gt;"",IF(N(INDEX(CalcDepB,$N1702))&gt;0,"دریافت بانکی","پرداخت بانکی"),""))</f>
        <v/>
      </c>
      <c r="D1702" s="27">
        <f>IF($M1702&lt;&gt;"",IF(INDEX(CalcDocA,$M1702)="","—",INDEX(CalcDocA,$M1702)),IF($N1702&lt;&gt;"",INDEX(CalcBankB,$N1702),""))</f>
        <v/>
      </c>
      <c r="E1702" s="28">
        <f>IF($N1702&lt;&gt;"",IF(INDEX(CalcDepB,$N1702)=0,"",INDEX(CalcDepB,$N1702)),"")</f>
        <v/>
      </c>
      <c r="F1702" s="28">
        <f>IF($M1702&lt;&gt;"",IF(INDEX(CalcQtyA,$M1702)=0,"",INDEX(CalcQtyA,$M1702)),"")</f>
        <v/>
      </c>
      <c r="G1702" s="28">
        <f>IF($M1702&lt;&gt;"",IF(INDEX(CalcPriceA,$M1702)=0,"",INDEX(CalcPriceA,$M1702)),"")</f>
        <v/>
      </c>
      <c r="H1702" s="28">
        <f>IF($N1702&lt;&gt;"",IF(INDEX(CalcWitB,$N1702)=0,"",INDEX(CalcWitB,$N1702)),"")</f>
        <v/>
      </c>
      <c r="I1702" s="29">
        <f>IF($M1702&lt;&gt;"",INDEX(CalcAmtA,$M1702),"")</f>
        <v/>
      </c>
      <c r="J1702" s="29">
        <f>IF($B1702="","",IF($J1701="",$C$8,$J1701)+IF($I1702="",0,$I1702)+IF($E1702="",0,$E1702)-IF($H1702="",0,$H1702))</f>
        <v/>
      </c>
      <c r="K1702" s="30">
        <f>IF($M1702&lt;&gt;"",IF(INDEX(CalcNoteA,$M1702)="","—",INDEX(CalcNoteA,$M1702)),IF($N1702&lt;&gt;"",IF(INDEX(CalcNoteB,$N1702)="","—",INDEX(CalcNoteB,$N1702)),""))</f>
        <v/>
      </c>
      <c r="M1702">
        <f>IFERROR(MATCH($C$5&amp;"|"&amp;RIGHT("000000"&amp;1686,6),CalcRankKeyA,0),"")</f>
        <v/>
      </c>
      <c r="N1702">
        <f>IFERROR(MATCH($C$5&amp;"|"&amp;RIGHT("000000"&amp;1686,6),CalcRankKeyB,0),"")</f>
        <v/>
      </c>
    </row>
    <row r="1703">
      <c r="A1703" s="21" t="n">
        <v>1687</v>
      </c>
      <c r="B1703" s="22">
        <f>IF(AND($M1703="",$N1703=""),"",IF($M1703&lt;&gt;"",INDEX(CalcDateA,$M1703),INDEX(CalcDateB,$N1703)))</f>
        <v/>
      </c>
      <c r="C1703" s="22">
        <f>IF($M1703&lt;&gt;"","خرید سبد",IF($N1703&lt;&gt;"",IF(N(INDEX(CalcDepB,$N1703))&gt;0,"دریافت بانکی","پرداخت بانکی"),""))</f>
        <v/>
      </c>
      <c r="D1703" s="22">
        <f>IF($M1703&lt;&gt;"",IF(INDEX(CalcDocA,$M1703)="","—",INDEX(CalcDocA,$M1703)),IF($N1703&lt;&gt;"",INDEX(CalcBankB,$N1703),""))</f>
        <v/>
      </c>
      <c r="E1703" s="23">
        <f>IF($N1703&lt;&gt;"",IF(INDEX(CalcDepB,$N1703)=0,"",INDEX(CalcDepB,$N1703)),"")</f>
        <v/>
      </c>
      <c r="F1703" s="23">
        <f>IF($M1703&lt;&gt;"",IF(INDEX(CalcQtyA,$M1703)=0,"",INDEX(CalcQtyA,$M1703)),"")</f>
        <v/>
      </c>
      <c r="G1703" s="23">
        <f>IF($M1703&lt;&gt;"",IF(INDEX(CalcPriceA,$M1703)=0,"",INDEX(CalcPriceA,$M1703)),"")</f>
        <v/>
      </c>
      <c r="H1703" s="23">
        <f>IF($N1703&lt;&gt;"",IF(INDEX(CalcWitB,$N1703)=0,"",INDEX(CalcWitB,$N1703)),"")</f>
        <v/>
      </c>
      <c r="I1703" s="24">
        <f>IF($M1703&lt;&gt;"",INDEX(CalcAmtA,$M1703),"")</f>
        <v/>
      </c>
      <c r="J1703" s="24">
        <f>IF($B1703="","",IF($J1702="",$C$8,$J1702)+IF($I1703="",0,$I1703)+IF($E1703="",0,$E1703)-IF($H1703="",0,$H1703))</f>
        <v/>
      </c>
      <c r="K1703" s="25">
        <f>IF($M1703&lt;&gt;"",IF(INDEX(CalcNoteA,$M1703)="","—",INDEX(CalcNoteA,$M1703)),IF($N1703&lt;&gt;"",IF(INDEX(CalcNoteB,$N1703)="","—",INDEX(CalcNoteB,$N1703)),""))</f>
        <v/>
      </c>
      <c r="M1703">
        <f>IFERROR(MATCH($C$5&amp;"|"&amp;RIGHT("000000"&amp;1687,6),CalcRankKeyA,0),"")</f>
        <v/>
      </c>
      <c r="N1703">
        <f>IFERROR(MATCH($C$5&amp;"|"&amp;RIGHT("000000"&amp;1687,6),CalcRankKeyB,0),"")</f>
        <v/>
      </c>
    </row>
    <row r="1704">
      <c r="A1704" s="26" t="n">
        <v>1688</v>
      </c>
      <c r="B1704" s="27">
        <f>IF(AND($M1704="",$N1704=""),"",IF($M1704&lt;&gt;"",INDEX(CalcDateA,$M1704),INDEX(CalcDateB,$N1704)))</f>
        <v/>
      </c>
      <c r="C1704" s="27">
        <f>IF($M1704&lt;&gt;"","خرید سبد",IF($N1704&lt;&gt;"",IF(N(INDEX(CalcDepB,$N1704))&gt;0,"دریافت بانکی","پرداخت بانکی"),""))</f>
        <v/>
      </c>
      <c r="D1704" s="27">
        <f>IF($M1704&lt;&gt;"",IF(INDEX(CalcDocA,$M1704)="","—",INDEX(CalcDocA,$M1704)),IF($N1704&lt;&gt;"",INDEX(CalcBankB,$N1704),""))</f>
        <v/>
      </c>
      <c r="E1704" s="28">
        <f>IF($N1704&lt;&gt;"",IF(INDEX(CalcDepB,$N1704)=0,"",INDEX(CalcDepB,$N1704)),"")</f>
        <v/>
      </c>
      <c r="F1704" s="28">
        <f>IF($M1704&lt;&gt;"",IF(INDEX(CalcQtyA,$M1704)=0,"",INDEX(CalcQtyA,$M1704)),"")</f>
        <v/>
      </c>
      <c r="G1704" s="28">
        <f>IF($M1704&lt;&gt;"",IF(INDEX(CalcPriceA,$M1704)=0,"",INDEX(CalcPriceA,$M1704)),"")</f>
        <v/>
      </c>
      <c r="H1704" s="28">
        <f>IF($N1704&lt;&gt;"",IF(INDEX(CalcWitB,$N1704)=0,"",INDEX(CalcWitB,$N1704)),"")</f>
        <v/>
      </c>
      <c r="I1704" s="29">
        <f>IF($M1704&lt;&gt;"",INDEX(CalcAmtA,$M1704),"")</f>
        <v/>
      </c>
      <c r="J1704" s="29">
        <f>IF($B1704="","",IF($J1703="",$C$8,$J1703)+IF($I1704="",0,$I1704)+IF($E1704="",0,$E1704)-IF($H1704="",0,$H1704))</f>
        <v/>
      </c>
      <c r="K1704" s="30">
        <f>IF($M1704&lt;&gt;"",IF(INDEX(CalcNoteA,$M1704)="","—",INDEX(CalcNoteA,$M1704)),IF($N1704&lt;&gt;"",IF(INDEX(CalcNoteB,$N1704)="","—",INDEX(CalcNoteB,$N1704)),""))</f>
        <v/>
      </c>
      <c r="M1704">
        <f>IFERROR(MATCH($C$5&amp;"|"&amp;RIGHT("000000"&amp;1688,6),CalcRankKeyA,0),"")</f>
        <v/>
      </c>
      <c r="N1704">
        <f>IFERROR(MATCH($C$5&amp;"|"&amp;RIGHT("000000"&amp;1688,6),CalcRankKeyB,0),"")</f>
        <v/>
      </c>
    </row>
    <row r="1705">
      <c r="A1705" s="21" t="n">
        <v>1689</v>
      </c>
      <c r="B1705" s="22">
        <f>IF(AND($M1705="",$N1705=""),"",IF($M1705&lt;&gt;"",INDEX(CalcDateA,$M1705),INDEX(CalcDateB,$N1705)))</f>
        <v/>
      </c>
      <c r="C1705" s="22">
        <f>IF($M1705&lt;&gt;"","خرید سبد",IF($N1705&lt;&gt;"",IF(N(INDEX(CalcDepB,$N1705))&gt;0,"دریافت بانکی","پرداخت بانکی"),""))</f>
        <v/>
      </c>
      <c r="D1705" s="22">
        <f>IF($M1705&lt;&gt;"",IF(INDEX(CalcDocA,$M1705)="","—",INDEX(CalcDocA,$M1705)),IF($N1705&lt;&gt;"",INDEX(CalcBankB,$N1705),""))</f>
        <v/>
      </c>
      <c r="E1705" s="23">
        <f>IF($N1705&lt;&gt;"",IF(INDEX(CalcDepB,$N1705)=0,"",INDEX(CalcDepB,$N1705)),"")</f>
        <v/>
      </c>
      <c r="F1705" s="23">
        <f>IF($M1705&lt;&gt;"",IF(INDEX(CalcQtyA,$M1705)=0,"",INDEX(CalcQtyA,$M1705)),"")</f>
        <v/>
      </c>
      <c r="G1705" s="23">
        <f>IF($M1705&lt;&gt;"",IF(INDEX(CalcPriceA,$M1705)=0,"",INDEX(CalcPriceA,$M1705)),"")</f>
        <v/>
      </c>
      <c r="H1705" s="23">
        <f>IF($N1705&lt;&gt;"",IF(INDEX(CalcWitB,$N1705)=0,"",INDEX(CalcWitB,$N1705)),"")</f>
        <v/>
      </c>
      <c r="I1705" s="24">
        <f>IF($M1705&lt;&gt;"",INDEX(CalcAmtA,$M1705),"")</f>
        <v/>
      </c>
      <c r="J1705" s="24">
        <f>IF($B1705="","",IF($J1704="",$C$8,$J1704)+IF($I1705="",0,$I1705)+IF($E1705="",0,$E1705)-IF($H1705="",0,$H1705))</f>
        <v/>
      </c>
      <c r="K1705" s="25">
        <f>IF($M1705&lt;&gt;"",IF(INDEX(CalcNoteA,$M1705)="","—",INDEX(CalcNoteA,$M1705)),IF($N1705&lt;&gt;"",IF(INDEX(CalcNoteB,$N1705)="","—",INDEX(CalcNoteB,$N1705)),""))</f>
        <v/>
      </c>
      <c r="M1705">
        <f>IFERROR(MATCH($C$5&amp;"|"&amp;RIGHT("000000"&amp;1689,6),CalcRankKeyA,0),"")</f>
        <v/>
      </c>
      <c r="N1705">
        <f>IFERROR(MATCH($C$5&amp;"|"&amp;RIGHT("000000"&amp;1689,6),CalcRankKeyB,0),"")</f>
        <v/>
      </c>
    </row>
    <row r="1706">
      <c r="A1706" s="26" t="n">
        <v>1690</v>
      </c>
      <c r="B1706" s="27">
        <f>IF(AND($M1706="",$N1706=""),"",IF($M1706&lt;&gt;"",INDEX(CalcDateA,$M1706),INDEX(CalcDateB,$N1706)))</f>
        <v/>
      </c>
      <c r="C1706" s="27">
        <f>IF($M1706&lt;&gt;"","خرید سبد",IF($N1706&lt;&gt;"",IF(N(INDEX(CalcDepB,$N1706))&gt;0,"دریافت بانکی","پرداخت بانکی"),""))</f>
        <v/>
      </c>
      <c r="D1706" s="27">
        <f>IF($M1706&lt;&gt;"",IF(INDEX(CalcDocA,$M1706)="","—",INDEX(CalcDocA,$M1706)),IF($N1706&lt;&gt;"",INDEX(CalcBankB,$N1706),""))</f>
        <v/>
      </c>
      <c r="E1706" s="28">
        <f>IF($N1706&lt;&gt;"",IF(INDEX(CalcDepB,$N1706)=0,"",INDEX(CalcDepB,$N1706)),"")</f>
        <v/>
      </c>
      <c r="F1706" s="28">
        <f>IF($M1706&lt;&gt;"",IF(INDEX(CalcQtyA,$M1706)=0,"",INDEX(CalcQtyA,$M1706)),"")</f>
        <v/>
      </c>
      <c r="G1706" s="28">
        <f>IF($M1706&lt;&gt;"",IF(INDEX(CalcPriceA,$M1706)=0,"",INDEX(CalcPriceA,$M1706)),"")</f>
        <v/>
      </c>
      <c r="H1706" s="28">
        <f>IF($N1706&lt;&gt;"",IF(INDEX(CalcWitB,$N1706)=0,"",INDEX(CalcWitB,$N1706)),"")</f>
        <v/>
      </c>
      <c r="I1706" s="29">
        <f>IF($M1706&lt;&gt;"",INDEX(CalcAmtA,$M1706),"")</f>
        <v/>
      </c>
      <c r="J1706" s="29">
        <f>IF($B1706="","",IF($J1705="",$C$8,$J1705)+IF($I1706="",0,$I1706)+IF($E1706="",0,$E1706)-IF($H1706="",0,$H1706))</f>
        <v/>
      </c>
      <c r="K1706" s="30">
        <f>IF($M1706&lt;&gt;"",IF(INDEX(CalcNoteA,$M1706)="","—",INDEX(CalcNoteA,$M1706)),IF($N1706&lt;&gt;"",IF(INDEX(CalcNoteB,$N1706)="","—",INDEX(CalcNoteB,$N1706)),""))</f>
        <v/>
      </c>
      <c r="M1706">
        <f>IFERROR(MATCH($C$5&amp;"|"&amp;RIGHT("000000"&amp;1690,6),CalcRankKeyA,0),"")</f>
        <v/>
      </c>
      <c r="N1706">
        <f>IFERROR(MATCH($C$5&amp;"|"&amp;RIGHT("000000"&amp;1690,6),CalcRankKeyB,0),"")</f>
        <v/>
      </c>
    </row>
    <row r="1707">
      <c r="A1707" s="21" t="n">
        <v>1691</v>
      </c>
      <c r="B1707" s="22">
        <f>IF(AND($M1707="",$N1707=""),"",IF($M1707&lt;&gt;"",INDEX(CalcDateA,$M1707),INDEX(CalcDateB,$N1707)))</f>
        <v/>
      </c>
      <c r="C1707" s="22">
        <f>IF($M1707&lt;&gt;"","خرید سبد",IF($N1707&lt;&gt;"",IF(N(INDEX(CalcDepB,$N1707))&gt;0,"دریافت بانکی","پرداخت بانکی"),""))</f>
        <v/>
      </c>
      <c r="D1707" s="22">
        <f>IF($M1707&lt;&gt;"",IF(INDEX(CalcDocA,$M1707)="","—",INDEX(CalcDocA,$M1707)),IF($N1707&lt;&gt;"",INDEX(CalcBankB,$N1707),""))</f>
        <v/>
      </c>
      <c r="E1707" s="23">
        <f>IF($N1707&lt;&gt;"",IF(INDEX(CalcDepB,$N1707)=0,"",INDEX(CalcDepB,$N1707)),"")</f>
        <v/>
      </c>
      <c r="F1707" s="23">
        <f>IF($M1707&lt;&gt;"",IF(INDEX(CalcQtyA,$M1707)=0,"",INDEX(CalcQtyA,$M1707)),"")</f>
        <v/>
      </c>
      <c r="G1707" s="23">
        <f>IF($M1707&lt;&gt;"",IF(INDEX(CalcPriceA,$M1707)=0,"",INDEX(CalcPriceA,$M1707)),"")</f>
        <v/>
      </c>
      <c r="H1707" s="23">
        <f>IF($N1707&lt;&gt;"",IF(INDEX(CalcWitB,$N1707)=0,"",INDEX(CalcWitB,$N1707)),"")</f>
        <v/>
      </c>
      <c r="I1707" s="24">
        <f>IF($M1707&lt;&gt;"",INDEX(CalcAmtA,$M1707),"")</f>
        <v/>
      </c>
      <c r="J1707" s="24">
        <f>IF($B1707="","",IF($J1706="",$C$8,$J1706)+IF($I1707="",0,$I1707)+IF($E1707="",0,$E1707)-IF($H1707="",0,$H1707))</f>
        <v/>
      </c>
      <c r="K1707" s="25">
        <f>IF($M1707&lt;&gt;"",IF(INDEX(CalcNoteA,$M1707)="","—",INDEX(CalcNoteA,$M1707)),IF($N1707&lt;&gt;"",IF(INDEX(CalcNoteB,$N1707)="","—",INDEX(CalcNoteB,$N1707)),""))</f>
        <v/>
      </c>
      <c r="M1707">
        <f>IFERROR(MATCH($C$5&amp;"|"&amp;RIGHT("000000"&amp;1691,6),CalcRankKeyA,0),"")</f>
        <v/>
      </c>
      <c r="N1707">
        <f>IFERROR(MATCH($C$5&amp;"|"&amp;RIGHT("000000"&amp;1691,6),CalcRankKeyB,0),"")</f>
        <v/>
      </c>
    </row>
    <row r="1708">
      <c r="A1708" s="26" t="n">
        <v>1692</v>
      </c>
      <c r="B1708" s="27">
        <f>IF(AND($M1708="",$N1708=""),"",IF($M1708&lt;&gt;"",INDEX(CalcDateA,$M1708),INDEX(CalcDateB,$N1708)))</f>
        <v/>
      </c>
      <c r="C1708" s="27">
        <f>IF($M1708&lt;&gt;"","خرید سبد",IF($N1708&lt;&gt;"",IF(N(INDEX(CalcDepB,$N1708))&gt;0,"دریافت بانکی","پرداخت بانکی"),""))</f>
        <v/>
      </c>
      <c r="D1708" s="27">
        <f>IF($M1708&lt;&gt;"",IF(INDEX(CalcDocA,$M1708)="","—",INDEX(CalcDocA,$M1708)),IF($N1708&lt;&gt;"",INDEX(CalcBankB,$N1708),""))</f>
        <v/>
      </c>
      <c r="E1708" s="28">
        <f>IF($N1708&lt;&gt;"",IF(INDEX(CalcDepB,$N1708)=0,"",INDEX(CalcDepB,$N1708)),"")</f>
        <v/>
      </c>
      <c r="F1708" s="28">
        <f>IF($M1708&lt;&gt;"",IF(INDEX(CalcQtyA,$M1708)=0,"",INDEX(CalcQtyA,$M1708)),"")</f>
        <v/>
      </c>
      <c r="G1708" s="28">
        <f>IF($M1708&lt;&gt;"",IF(INDEX(CalcPriceA,$M1708)=0,"",INDEX(CalcPriceA,$M1708)),"")</f>
        <v/>
      </c>
      <c r="H1708" s="28">
        <f>IF($N1708&lt;&gt;"",IF(INDEX(CalcWitB,$N1708)=0,"",INDEX(CalcWitB,$N1708)),"")</f>
        <v/>
      </c>
      <c r="I1708" s="29">
        <f>IF($M1708&lt;&gt;"",INDEX(CalcAmtA,$M1708),"")</f>
        <v/>
      </c>
      <c r="J1708" s="29">
        <f>IF($B1708="","",IF($J1707="",$C$8,$J1707)+IF($I1708="",0,$I1708)+IF($E1708="",0,$E1708)-IF($H1708="",0,$H1708))</f>
        <v/>
      </c>
      <c r="K1708" s="30">
        <f>IF($M1708&lt;&gt;"",IF(INDEX(CalcNoteA,$M1708)="","—",INDEX(CalcNoteA,$M1708)),IF($N1708&lt;&gt;"",IF(INDEX(CalcNoteB,$N1708)="","—",INDEX(CalcNoteB,$N1708)),""))</f>
        <v/>
      </c>
      <c r="M1708">
        <f>IFERROR(MATCH($C$5&amp;"|"&amp;RIGHT("000000"&amp;1692,6),CalcRankKeyA,0),"")</f>
        <v/>
      </c>
      <c r="N1708">
        <f>IFERROR(MATCH($C$5&amp;"|"&amp;RIGHT("000000"&amp;1692,6),CalcRankKeyB,0),"")</f>
        <v/>
      </c>
    </row>
    <row r="1709">
      <c r="A1709" s="21" t="n">
        <v>1693</v>
      </c>
      <c r="B1709" s="22">
        <f>IF(AND($M1709="",$N1709=""),"",IF($M1709&lt;&gt;"",INDEX(CalcDateA,$M1709),INDEX(CalcDateB,$N1709)))</f>
        <v/>
      </c>
      <c r="C1709" s="22">
        <f>IF($M1709&lt;&gt;"","خرید سبد",IF($N1709&lt;&gt;"",IF(N(INDEX(CalcDepB,$N1709))&gt;0,"دریافت بانکی","پرداخت بانکی"),""))</f>
        <v/>
      </c>
      <c r="D1709" s="22">
        <f>IF($M1709&lt;&gt;"",IF(INDEX(CalcDocA,$M1709)="","—",INDEX(CalcDocA,$M1709)),IF($N1709&lt;&gt;"",INDEX(CalcBankB,$N1709),""))</f>
        <v/>
      </c>
      <c r="E1709" s="23">
        <f>IF($N1709&lt;&gt;"",IF(INDEX(CalcDepB,$N1709)=0,"",INDEX(CalcDepB,$N1709)),"")</f>
        <v/>
      </c>
      <c r="F1709" s="23">
        <f>IF($M1709&lt;&gt;"",IF(INDEX(CalcQtyA,$M1709)=0,"",INDEX(CalcQtyA,$M1709)),"")</f>
        <v/>
      </c>
      <c r="G1709" s="23">
        <f>IF($M1709&lt;&gt;"",IF(INDEX(CalcPriceA,$M1709)=0,"",INDEX(CalcPriceA,$M1709)),"")</f>
        <v/>
      </c>
      <c r="H1709" s="23">
        <f>IF($N1709&lt;&gt;"",IF(INDEX(CalcWitB,$N1709)=0,"",INDEX(CalcWitB,$N1709)),"")</f>
        <v/>
      </c>
      <c r="I1709" s="24">
        <f>IF($M1709&lt;&gt;"",INDEX(CalcAmtA,$M1709),"")</f>
        <v/>
      </c>
      <c r="J1709" s="24">
        <f>IF($B1709="","",IF($J1708="",$C$8,$J1708)+IF($I1709="",0,$I1709)+IF($E1709="",0,$E1709)-IF($H1709="",0,$H1709))</f>
        <v/>
      </c>
      <c r="K1709" s="25">
        <f>IF($M1709&lt;&gt;"",IF(INDEX(CalcNoteA,$M1709)="","—",INDEX(CalcNoteA,$M1709)),IF($N1709&lt;&gt;"",IF(INDEX(CalcNoteB,$N1709)="","—",INDEX(CalcNoteB,$N1709)),""))</f>
        <v/>
      </c>
      <c r="M1709">
        <f>IFERROR(MATCH($C$5&amp;"|"&amp;RIGHT("000000"&amp;1693,6),CalcRankKeyA,0),"")</f>
        <v/>
      </c>
      <c r="N1709">
        <f>IFERROR(MATCH($C$5&amp;"|"&amp;RIGHT("000000"&amp;1693,6),CalcRankKeyB,0),"")</f>
        <v/>
      </c>
    </row>
    <row r="1710">
      <c r="A1710" s="26" t="n">
        <v>1694</v>
      </c>
      <c r="B1710" s="27">
        <f>IF(AND($M1710="",$N1710=""),"",IF($M1710&lt;&gt;"",INDEX(CalcDateA,$M1710),INDEX(CalcDateB,$N1710)))</f>
        <v/>
      </c>
      <c r="C1710" s="27">
        <f>IF($M1710&lt;&gt;"","خرید سبد",IF($N1710&lt;&gt;"",IF(N(INDEX(CalcDepB,$N1710))&gt;0,"دریافت بانکی","پرداخت بانکی"),""))</f>
        <v/>
      </c>
      <c r="D1710" s="27">
        <f>IF($M1710&lt;&gt;"",IF(INDEX(CalcDocA,$M1710)="","—",INDEX(CalcDocA,$M1710)),IF($N1710&lt;&gt;"",INDEX(CalcBankB,$N1710),""))</f>
        <v/>
      </c>
      <c r="E1710" s="28">
        <f>IF($N1710&lt;&gt;"",IF(INDEX(CalcDepB,$N1710)=0,"",INDEX(CalcDepB,$N1710)),"")</f>
        <v/>
      </c>
      <c r="F1710" s="28">
        <f>IF($M1710&lt;&gt;"",IF(INDEX(CalcQtyA,$M1710)=0,"",INDEX(CalcQtyA,$M1710)),"")</f>
        <v/>
      </c>
      <c r="G1710" s="28">
        <f>IF($M1710&lt;&gt;"",IF(INDEX(CalcPriceA,$M1710)=0,"",INDEX(CalcPriceA,$M1710)),"")</f>
        <v/>
      </c>
      <c r="H1710" s="28">
        <f>IF($N1710&lt;&gt;"",IF(INDEX(CalcWitB,$N1710)=0,"",INDEX(CalcWitB,$N1710)),"")</f>
        <v/>
      </c>
      <c r="I1710" s="29">
        <f>IF($M1710&lt;&gt;"",INDEX(CalcAmtA,$M1710),"")</f>
        <v/>
      </c>
      <c r="J1710" s="29">
        <f>IF($B1710="","",IF($J1709="",$C$8,$J1709)+IF($I1710="",0,$I1710)+IF($E1710="",0,$E1710)-IF($H1710="",0,$H1710))</f>
        <v/>
      </c>
      <c r="K1710" s="30">
        <f>IF($M1710&lt;&gt;"",IF(INDEX(CalcNoteA,$M1710)="","—",INDEX(CalcNoteA,$M1710)),IF($N1710&lt;&gt;"",IF(INDEX(CalcNoteB,$N1710)="","—",INDEX(CalcNoteB,$N1710)),""))</f>
        <v/>
      </c>
      <c r="M1710">
        <f>IFERROR(MATCH($C$5&amp;"|"&amp;RIGHT("000000"&amp;1694,6),CalcRankKeyA,0),"")</f>
        <v/>
      </c>
      <c r="N1710">
        <f>IFERROR(MATCH($C$5&amp;"|"&amp;RIGHT("000000"&amp;1694,6),CalcRankKeyB,0),"")</f>
        <v/>
      </c>
    </row>
    <row r="1711">
      <c r="A1711" s="21" t="n">
        <v>1695</v>
      </c>
      <c r="B1711" s="22">
        <f>IF(AND($M1711="",$N1711=""),"",IF($M1711&lt;&gt;"",INDEX(CalcDateA,$M1711),INDEX(CalcDateB,$N1711)))</f>
        <v/>
      </c>
      <c r="C1711" s="22">
        <f>IF($M1711&lt;&gt;"","خرید سبد",IF($N1711&lt;&gt;"",IF(N(INDEX(CalcDepB,$N1711))&gt;0,"دریافت بانکی","پرداخت بانکی"),""))</f>
        <v/>
      </c>
      <c r="D1711" s="22">
        <f>IF($M1711&lt;&gt;"",IF(INDEX(CalcDocA,$M1711)="","—",INDEX(CalcDocA,$M1711)),IF($N1711&lt;&gt;"",INDEX(CalcBankB,$N1711),""))</f>
        <v/>
      </c>
      <c r="E1711" s="23">
        <f>IF($N1711&lt;&gt;"",IF(INDEX(CalcDepB,$N1711)=0,"",INDEX(CalcDepB,$N1711)),"")</f>
        <v/>
      </c>
      <c r="F1711" s="23">
        <f>IF($M1711&lt;&gt;"",IF(INDEX(CalcQtyA,$M1711)=0,"",INDEX(CalcQtyA,$M1711)),"")</f>
        <v/>
      </c>
      <c r="G1711" s="23">
        <f>IF($M1711&lt;&gt;"",IF(INDEX(CalcPriceA,$M1711)=0,"",INDEX(CalcPriceA,$M1711)),"")</f>
        <v/>
      </c>
      <c r="H1711" s="23">
        <f>IF($N1711&lt;&gt;"",IF(INDEX(CalcWitB,$N1711)=0,"",INDEX(CalcWitB,$N1711)),"")</f>
        <v/>
      </c>
      <c r="I1711" s="24">
        <f>IF($M1711&lt;&gt;"",INDEX(CalcAmtA,$M1711),"")</f>
        <v/>
      </c>
      <c r="J1711" s="24">
        <f>IF($B1711="","",IF($J1710="",$C$8,$J1710)+IF($I1711="",0,$I1711)+IF($E1711="",0,$E1711)-IF($H1711="",0,$H1711))</f>
        <v/>
      </c>
      <c r="K1711" s="25">
        <f>IF($M1711&lt;&gt;"",IF(INDEX(CalcNoteA,$M1711)="","—",INDEX(CalcNoteA,$M1711)),IF($N1711&lt;&gt;"",IF(INDEX(CalcNoteB,$N1711)="","—",INDEX(CalcNoteB,$N1711)),""))</f>
        <v/>
      </c>
      <c r="M1711">
        <f>IFERROR(MATCH($C$5&amp;"|"&amp;RIGHT("000000"&amp;1695,6),CalcRankKeyA,0),"")</f>
        <v/>
      </c>
      <c r="N1711">
        <f>IFERROR(MATCH($C$5&amp;"|"&amp;RIGHT("000000"&amp;1695,6),CalcRankKeyB,0),"")</f>
        <v/>
      </c>
    </row>
    <row r="1712">
      <c r="A1712" s="26" t="n">
        <v>1696</v>
      </c>
      <c r="B1712" s="27">
        <f>IF(AND($M1712="",$N1712=""),"",IF($M1712&lt;&gt;"",INDEX(CalcDateA,$M1712),INDEX(CalcDateB,$N1712)))</f>
        <v/>
      </c>
      <c r="C1712" s="27">
        <f>IF($M1712&lt;&gt;"","خرید سبد",IF($N1712&lt;&gt;"",IF(N(INDEX(CalcDepB,$N1712))&gt;0,"دریافت بانکی","پرداخت بانکی"),""))</f>
        <v/>
      </c>
      <c r="D1712" s="27">
        <f>IF($M1712&lt;&gt;"",IF(INDEX(CalcDocA,$M1712)="","—",INDEX(CalcDocA,$M1712)),IF($N1712&lt;&gt;"",INDEX(CalcBankB,$N1712),""))</f>
        <v/>
      </c>
      <c r="E1712" s="28">
        <f>IF($N1712&lt;&gt;"",IF(INDEX(CalcDepB,$N1712)=0,"",INDEX(CalcDepB,$N1712)),"")</f>
        <v/>
      </c>
      <c r="F1712" s="28">
        <f>IF($M1712&lt;&gt;"",IF(INDEX(CalcQtyA,$M1712)=0,"",INDEX(CalcQtyA,$M1712)),"")</f>
        <v/>
      </c>
      <c r="G1712" s="28">
        <f>IF($M1712&lt;&gt;"",IF(INDEX(CalcPriceA,$M1712)=0,"",INDEX(CalcPriceA,$M1712)),"")</f>
        <v/>
      </c>
      <c r="H1712" s="28">
        <f>IF($N1712&lt;&gt;"",IF(INDEX(CalcWitB,$N1712)=0,"",INDEX(CalcWitB,$N1712)),"")</f>
        <v/>
      </c>
      <c r="I1712" s="29">
        <f>IF($M1712&lt;&gt;"",INDEX(CalcAmtA,$M1712),"")</f>
        <v/>
      </c>
      <c r="J1712" s="29">
        <f>IF($B1712="","",IF($J1711="",$C$8,$J1711)+IF($I1712="",0,$I1712)+IF($E1712="",0,$E1712)-IF($H1712="",0,$H1712))</f>
        <v/>
      </c>
      <c r="K1712" s="30">
        <f>IF($M1712&lt;&gt;"",IF(INDEX(CalcNoteA,$M1712)="","—",INDEX(CalcNoteA,$M1712)),IF($N1712&lt;&gt;"",IF(INDEX(CalcNoteB,$N1712)="","—",INDEX(CalcNoteB,$N1712)),""))</f>
        <v/>
      </c>
      <c r="M1712">
        <f>IFERROR(MATCH($C$5&amp;"|"&amp;RIGHT("000000"&amp;1696,6),CalcRankKeyA,0),"")</f>
        <v/>
      </c>
      <c r="N1712">
        <f>IFERROR(MATCH($C$5&amp;"|"&amp;RIGHT("000000"&amp;1696,6),CalcRankKeyB,0),"")</f>
        <v/>
      </c>
    </row>
    <row r="1713">
      <c r="A1713" s="21" t="n">
        <v>1697</v>
      </c>
      <c r="B1713" s="22">
        <f>IF(AND($M1713="",$N1713=""),"",IF($M1713&lt;&gt;"",INDEX(CalcDateA,$M1713),INDEX(CalcDateB,$N1713)))</f>
        <v/>
      </c>
      <c r="C1713" s="22">
        <f>IF($M1713&lt;&gt;"","خرید سبد",IF($N1713&lt;&gt;"",IF(N(INDEX(CalcDepB,$N1713))&gt;0,"دریافت بانکی","پرداخت بانکی"),""))</f>
        <v/>
      </c>
      <c r="D1713" s="22">
        <f>IF($M1713&lt;&gt;"",IF(INDEX(CalcDocA,$M1713)="","—",INDEX(CalcDocA,$M1713)),IF($N1713&lt;&gt;"",INDEX(CalcBankB,$N1713),""))</f>
        <v/>
      </c>
      <c r="E1713" s="23">
        <f>IF($N1713&lt;&gt;"",IF(INDEX(CalcDepB,$N1713)=0,"",INDEX(CalcDepB,$N1713)),"")</f>
        <v/>
      </c>
      <c r="F1713" s="23">
        <f>IF($M1713&lt;&gt;"",IF(INDEX(CalcQtyA,$M1713)=0,"",INDEX(CalcQtyA,$M1713)),"")</f>
        <v/>
      </c>
      <c r="G1713" s="23">
        <f>IF($M1713&lt;&gt;"",IF(INDEX(CalcPriceA,$M1713)=0,"",INDEX(CalcPriceA,$M1713)),"")</f>
        <v/>
      </c>
      <c r="H1713" s="23">
        <f>IF($N1713&lt;&gt;"",IF(INDEX(CalcWitB,$N1713)=0,"",INDEX(CalcWitB,$N1713)),"")</f>
        <v/>
      </c>
      <c r="I1713" s="24">
        <f>IF($M1713&lt;&gt;"",INDEX(CalcAmtA,$M1713),"")</f>
        <v/>
      </c>
      <c r="J1713" s="24">
        <f>IF($B1713="","",IF($J1712="",$C$8,$J1712)+IF($I1713="",0,$I1713)+IF($E1713="",0,$E1713)-IF($H1713="",0,$H1713))</f>
        <v/>
      </c>
      <c r="K1713" s="25">
        <f>IF($M1713&lt;&gt;"",IF(INDEX(CalcNoteA,$M1713)="","—",INDEX(CalcNoteA,$M1713)),IF($N1713&lt;&gt;"",IF(INDEX(CalcNoteB,$N1713)="","—",INDEX(CalcNoteB,$N1713)),""))</f>
        <v/>
      </c>
      <c r="M1713">
        <f>IFERROR(MATCH($C$5&amp;"|"&amp;RIGHT("000000"&amp;1697,6),CalcRankKeyA,0),"")</f>
        <v/>
      </c>
      <c r="N1713">
        <f>IFERROR(MATCH($C$5&amp;"|"&amp;RIGHT("000000"&amp;1697,6),CalcRankKeyB,0),"")</f>
        <v/>
      </c>
    </row>
    <row r="1714">
      <c r="A1714" s="26" t="n">
        <v>1698</v>
      </c>
      <c r="B1714" s="27">
        <f>IF(AND($M1714="",$N1714=""),"",IF($M1714&lt;&gt;"",INDEX(CalcDateA,$M1714),INDEX(CalcDateB,$N1714)))</f>
        <v/>
      </c>
      <c r="C1714" s="27">
        <f>IF($M1714&lt;&gt;"","خرید سبد",IF($N1714&lt;&gt;"",IF(N(INDEX(CalcDepB,$N1714))&gt;0,"دریافت بانکی","پرداخت بانکی"),""))</f>
        <v/>
      </c>
      <c r="D1714" s="27">
        <f>IF($M1714&lt;&gt;"",IF(INDEX(CalcDocA,$M1714)="","—",INDEX(CalcDocA,$M1714)),IF($N1714&lt;&gt;"",INDEX(CalcBankB,$N1714),""))</f>
        <v/>
      </c>
      <c r="E1714" s="28">
        <f>IF($N1714&lt;&gt;"",IF(INDEX(CalcDepB,$N1714)=0,"",INDEX(CalcDepB,$N1714)),"")</f>
        <v/>
      </c>
      <c r="F1714" s="28">
        <f>IF($M1714&lt;&gt;"",IF(INDEX(CalcQtyA,$M1714)=0,"",INDEX(CalcQtyA,$M1714)),"")</f>
        <v/>
      </c>
      <c r="G1714" s="28">
        <f>IF($M1714&lt;&gt;"",IF(INDEX(CalcPriceA,$M1714)=0,"",INDEX(CalcPriceA,$M1714)),"")</f>
        <v/>
      </c>
      <c r="H1714" s="28">
        <f>IF($N1714&lt;&gt;"",IF(INDEX(CalcWitB,$N1714)=0,"",INDEX(CalcWitB,$N1714)),"")</f>
        <v/>
      </c>
      <c r="I1714" s="29">
        <f>IF($M1714&lt;&gt;"",INDEX(CalcAmtA,$M1714),"")</f>
        <v/>
      </c>
      <c r="J1714" s="29">
        <f>IF($B1714="","",IF($J1713="",$C$8,$J1713)+IF($I1714="",0,$I1714)+IF($E1714="",0,$E1714)-IF($H1714="",0,$H1714))</f>
        <v/>
      </c>
      <c r="K1714" s="30">
        <f>IF($M1714&lt;&gt;"",IF(INDEX(CalcNoteA,$M1714)="","—",INDEX(CalcNoteA,$M1714)),IF($N1714&lt;&gt;"",IF(INDEX(CalcNoteB,$N1714)="","—",INDEX(CalcNoteB,$N1714)),""))</f>
        <v/>
      </c>
      <c r="M1714">
        <f>IFERROR(MATCH($C$5&amp;"|"&amp;RIGHT("000000"&amp;1698,6),CalcRankKeyA,0),"")</f>
        <v/>
      </c>
      <c r="N1714">
        <f>IFERROR(MATCH($C$5&amp;"|"&amp;RIGHT("000000"&amp;1698,6),CalcRankKeyB,0),"")</f>
        <v/>
      </c>
    </row>
    <row r="1715">
      <c r="A1715" s="21" t="n">
        <v>1699</v>
      </c>
      <c r="B1715" s="22">
        <f>IF(AND($M1715="",$N1715=""),"",IF($M1715&lt;&gt;"",INDEX(CalcDateA,$M1715),INDEX(CalcDateB,$N1715)))</f>
        <v/>
      </c>
      <c r="C1715" s="22">
        <f>IF($M1715&lt;&gt;"","خرید سبد",IF($N1715&lt;&gt;"",IF(N(INDEX(CalcDepB,$N1715))&gt;0,"دریافت بانکی","پرداخت بانکی"),""))</f>
        <v/>
      </c>
      <c r="D1715" s="22">
        <f>IF($M1715&lt;&gt;"",IF(INDEX(CalcDocA,$M1715)="","—",INDEX(CalcDocA,$M1715)),IF($N1715&lt;&gt;"",INDEX(CalcBankB,$N1715),""))</f>
        <v/>
      </c>
      <c r="E1715" s="23">
        <f>IF($N1715&lt;&gt;"",IF(INDEX(CalcDepB,$N1715)=0,"",INDEX(CalcDepB,$N1715)),"")</f>
        <v/>
      </c>
      <c r="F1715" s="23">
        <f>IF($M1715&lt;&gt;"",IF(INDEX(CalcQtyA,$M1715)=0,"",INDEX(CalcQtyA,$M1715)),"")</f>
        <v/>
      </c>
      <c r="G1715" s="23">
        <f>IF($M1715&lt;&gt;"",IF(INDEX(CalcPriceA,$M1715)=0,"",INDEX(CalcPriceA,$M1715)),"")</f>
        <v/>
      </c>
      <c r="H1715" s="23">
        <f>IF($N1715&lt;&gt;"",IF(INDEX(CalcWitB,$N1715)=0,"",INDEX(CalcWitB,$N1715)),"")</f>
        <v/>
      </c>
      <c r="I1715" s="24">
        <f>IF($M1715&lt;&gt;"",INDEX(CalcAmtA,$M1715),"")</f>
        <v/>
      </c>
      <c r="J1715" s="24">
        <f>IF($B1715="","",IF($J1714="",$C$8,$J1714)+IF($I1715="",0,$I1715)+IF($E1715="",0,$E1715)-IF($H1715="",0,$H1715))</f>
        <v/>
      </c>
      <c r="K1715" s="25">
        <f>IF($M1715&lt;&gt;"",IF(INDEX(CalcNoteA,$M1715)="","—",INDEX(CalcNoteA,$M1715)),IF($N1715&lt;&gt;"",IF(INDEX(CalcNoteB,$N1715)="","—",INDEX(CalcNoteB,$N1715)),""))</f>
        <v/>
      </c>
      <c r="M1715">
        <f>IFERROR(MATCH($C$5&amp;"|"&amp;RIGHT("000000"&amp;1699,6),CalcRankKeyA,0),"")</f>
        <v/>
      </c>
      <c r="N1715">
        <f>IFERROR(MATCH($C$5&amp;"|"&amp;RIGHT("000000"&amp;1699,6),CalcRankKeyB,0),"")</f>
        <v/>
      </c>
    </row>
    <row r="1716">
      <c r="A1716" s="26" t="n">
        <v>1700</v>
      </c>
      <c r="B1716" s="27">
        <f>IF(AND($M1716="",$N1716=""),"",IF($M1716&lt;&gt;"",INDEX(CalcDateA,$M1716),INDEX(CalcDateB,$N1716)))</f>
        <v/>
      </c>
      <c r="C1716" s="27">
        <f>IF($M1716&lt;&gt;"","خرید سبد",IF($N1716&lt;&gt;"",IF(N(INDEX(CalcDepB,$N1716))&gt;0,"دریافت بانکی","پرداخت بانکی"),""))</f>
        <v/>
      </c>
      <c r="D1716" s="27">
        <f>IF($M1716&lt;&gt;"",IF(INDEX(CalcDocA,$M1716)="","—",INDEX(CalcDocA,$M1716)),IF($N1716&lt;&gt;"",INDEX(CalcBankB,$N1716),""))</f>
        <v/>
      </c>
      <c r="E1716" s="28">
        <f>IF($N1716&lt;&gt;"",IF(INDEX(CalcDepB,$N1716)=0,"",INDEX(CalcDepB,$N1716)),"")</f>
        <v/>
      </c>
      <c r="F1716" s="28">
        <f>IF($M1716&lt;&gt;"",IF(INDEX(CalcQtyA,$M1716)=0,"",INDEX(CalcQtyA,$M1716)),"")</f>
        <v/>
      </c>
      <c r="G1716" s="28">
        <f>IF($M1716&lt;&gt;"",IF(INDEX(CalcPriceA,$M1716)=0,"",INDEX(CalcPriceA,$M1716)),"")</f>
        <v/>
      </c>
      <c r="H1716" s="28">
        <f>IF($N1716&lt;&gt;"",IF(INDEX(CalcWitB,$N1716)=0,"",INDEX(CalcWitB,$N1716)),"")</f>
        <v/>
      </c>
      <c r="I1716" s="29">
        <f>IF($M1716&lt;&gt;"",INDEX(CalcAmtA,$M1716),"")</f>
        <v/>
      </c>
      <c r="J1716" s="29">
        <f>IF($B1716="","",IF($J1715="",$C$8,$J1715)+IF($I1716="",0,$I1716)+IF($E1716="",0,$E1716)-IF($H1716="",0,$H1716))</f>
        <v/>
      </c>
      <c r="K1716" s="30">
        <f>IF($M1716&lt;&gt;"",IF(INDEX(CalcNoteA,$M1716)="","—",INDEX(CalcNoteA,$M1716)),IF($N1716&lt;&gt;"",IF(INDEX(CalcNoteB,$N1716)="","—",INDEX(CalcNoteB,$N1716)),""))</f>
        <v/>
      </c>
      <c r="M1716">
        <f>IFERROR(MATCH($C$5&amp;"|"&amp;RIGHT("000000"&amp;1700,6),CalcRankKeyA,0),"")</f>
        <v/>
      </c>
      <c r="N1716">
        <f>IFERROR(MATCH($C$5&amp;"|"&amp;RIGHT("000000"&amp;1700,6),CalcRankKeyB,0),"")</f>
        <v/>
      </c>
    </row>
    <row r="1717">
      <c r="A1717" s="21" t="n">
        <v>1701</v>
      </c>
      <c r="B1717" s="22">
        <f>IF(AND($M1717="",$N1717=""),"",IF($M1717&lt;&gt;"",INDEX(CalcDateA,$M1717),INDEX(CalcDateB,$N1717)))</f>
        <v/>
      </c>
      <c r="C1717" s="22">
        <f>IF($M1717&lt;&gt;"","خرید سبد",IF($N1717&lt;&gt;"",IF(N(INDEX(CalcDepB,$N1717))&gt;0,"دریافت بانکی","پرداخت بانکی"),""))</f>
        <v/>
      </c>
      <c r="D1717" s="22">
        <f>IF($M1717&lt;&gt;"",IF(INDEX(CalcDocA,$M1717)="","—",INDEX(CalcDocA,$M1717)),IF($N1717&lt;&gt;"",INDEX(CalcBankB,$N1717),""))</f>
        <v/>
      </c>
      <c r="E1717" s="23">
        <f>IF($N1717&lt;&gt;"",IF(INDEX(CalcDepB,$N1717)=0,"",INDEX(CalcDepB,$N1717)),"")</f>
        <v/>
      </c>
      <c r="F1717" s="23">
        <f>IF($M1717&lt;&gt;"",IF(INDEX(CalcQtyA,$M1717)=0,"",INDEX(CalcQtyA,$M1717)),"")</f>
        <v/>
      </c>
      <c r="G1717" s="23">
        <f>IF($M1717&lt;&gt;"",IF(INDEX(CalcPriceA,$M1717)=0,"",INDEX(CalcPriceA,$M1717)),"")</f>
        <v/>
      </c>
      <c r="H1717" s="23">
        <f>IF($N1717&lt;&gt;"",IF(INDEX(CalcWitB,$N1717)=0,"",INDEX(CalcWitB,$N1717)),"")</f>
        <v/>
      </c>
      <c r="I1717" s="24">
        <f>IF($M1717&lt;&gt;"",INDEX(CalcAmtA,$M1717),"")</f>
        <v/>
      </c>
      <c r="J1717" s="24">
        <f>IF($B1717="","",IF($J1716="",$C$8,$J1716)+IF($I1717="",0,$I1717)+IF($E1717="",0,$E1717)-IF($H1717="",0,$H1717))</f>
        <v/>
      </c>
      <c r="K1717" s="25">
        <f>IF($M1717&lt;&gt;"",IF(INDEX(CalcNoteA,$M1717)="","—",INDEX(CalcNoteA,$M1717)),IF($N1717&lt;&gt;"",IF(INDEX(CalcNoteB,$N1717)="","—",INDEX(CalcNoteB,$N1717)),""))</f>
        <v/>
      </c>
      <c r="M1717">
        <f>IFERROR(MATCH($C$5&amp;"|"&amp;RIGHT("000000"&amp;1701,6),CalcRankKeyA,0),"")</f>
        <v/>
      </c>
      <c r="N1717">
        <f>IFERROR(MATCH($C$5&amp;"|"&amp;RIGHT("000000"&amp;1701,6),CalcRankKeyB,0),"")</f>
        <v/>
      </c>
    </row>
    <row r="1718">
      <c r="A1718" s="26" t="n">
        <v>1702</v>
      </c>
      <c r="B1718" s="27">
        <f>IF(AND($M1718="",$N1718=""),"",IF($M1718&lt;&gt;"",INDEX(CalcDateA,$M1718),INDEX(CalcDateB,$N1718)))</f>
        <v/>
      </c>
      <c r="C1718" s="27">
        <f>IF($M1718&lt;&gt;"","خرید سبد",IF($N1718&lt;&gt;"",IF(N(INDEX(CalcDepB,$N1718))&gt;0,"دریافت بانکی","پرداخت بانکی"),""))</f>
        <v/>
      </c>
      <c r="D1718" s="27">
        <f>IF($M1718&lt;&gt;"",IF(INDEX(CalcDocA,$M1718)="","—",INDEX(CalcDocA,$M1718)),IF($N1718&lt;&gt;"",INDEX(CalcBankB,$N1718),""))</f>
        <v/>
      </c>
      <c r="E1718" s="28">
        <f>IF($N1718&lt;&gt;"",IF(INDEX(CalcDepB,$N1718)=0,"",INDEX(CalcDepB,$N1718)),"")</f>
        <v/>
      </c>
      <c r="F1718" s="28">
        <f>IF($M1718&lt;&gt;"",IF(INDEX(CalcQtyA,$M1718)=0,"",INDEX(CalcQtyA,$M1718)),"")</f>
        <v/>
      </c>
      <c r="G1718" s="28">
        <f>IF($M1718&lt;&gt;"",IF(INDEX(CalcPriceA,$M1718)=0,"",INDEX(CalcPriceA,$M1718)),"")</f>
        <v/>
      </c>
      <c r="H1718" s="28">
        <f>IF($N1718&lt;&gt;"",IF(INDEX(CalcWitB,$N1718)=0,"",INDEX(CalcWitB,$N1718)),"")</f>
        <v/>
      </c>
      <c r="I1718" s="29">
        <f>IF($M1718&lt;&gt;"",INDEX(CalcAmtA,$M1718),"")</f>
        <v/>
      </c>
      <c r="J1718" s="29">
        <f>IF($B1718="","",IF($J1717="",$C$8,$J1717)+IF($I1718="",0,$I1718)+IF($E1718="",0,$E1718)-IF($H1718="",0,$H1718))</f>
        <v/>
      </c>
      <c r="K1718" s="30">
        <f>IF($M1718&lt;&gt;"",IF(INDEX(CalcNoteA,$M1718)="","—",INDEX(CalcNoteA,$M1718)),IF($N1718&lt;&gt;"",IF(INDEX(CalcNoteB,$N1718)="","—",INDEX(CalcNoteB,$N1718)),""))</f>
        <v/>
      </c>
      <c r="M1718">
        <f>IFERROR(MATCH($C$5&amp;"|"&amp;RIGHT("000000"&amp;1702,6),CalcRankKeyA,0),"")</f>
        <v/>
      </c>
      <c r="N1718">
        <f>IFERROR(MATCH($C$5&amp;"|"&amp;RIGHT("000000"&amp;1702,6),CalcRankKeyB,0),"")</f>
        <v/>
      </c>
    </row>
    <row r="1719">
      <c r="A1719" s="21" t="n">
        <v>1703</v>
      </c>
      <c r="B1719" s="22">
        <f>IF(AND($M1719="",$N1719=""),"",IF($M1719&lt;&gt;"",INDEX(CalcDateA,$M1719),INDEX(CalcDateB,$N1719)))</f>
        <v/>
      </c>
      <c r="C1719" s="22">
        <f>IF($M1719&lt;&gt;"","خرید سبد",IF($N1719&lt;&gt;"",IF(N(INDEX(CalcDepB,$N1719))&gt;0,"دریافت بانکی","پرداخت بانکی"),""))</f>
        <v/>
      </c>
      <c r="D1719" s="22">
        <f>IF($M1719&lt;&gt;"",IF(INDEX(CalcDocA,$M1719)="","—",INDEX(CalcDocA,$M1719)),IF($N1719&lt;&gt;"",INDEX(CalcBankB,$N1719),""))</f>
        <v/>
      </c>
      <c r="E1719" s="23">
        <f>IF($N1719&lt;&gt;"",IF(INDEX(CalcDepB,$N1719)=0,"",INDEX(CalcDepB,$N1719)),"")</f>
        <v/>
      </c>
      <c r="F1719" s="23">
        <f>IF($M1719&lt;&gt;"",IF(INDEX(CalcQtyA,$M1719)=0,"",INDEX(CalcQtyA,$M1719)),"")</f>
        <v/>
      </c>
      <c r="G1719" s="23">
        <f>IF($M1719&lt;&gt;"",IF(INDEX(CalcPriceA,$M1719)=0,"",INDEX(CalcPriceA,$M1719)),"")</f>
        <v/>
      </c>
      <c r="H1719" s="23">
        <f>IF($N1719&lt;&gt;"",IF(INDEX(CalcWitB,$N1719)=0,"",INDEX(CalcWitB,$N1719)),"")</f>
        <v/>
      </c>
      <c r="I1719" s="24">
        <f>IF($M1719&lt;&gt;"",INDEX(CalcAmtA,$M1719),"")</f>
        <v/>
      </c>
      <c r="J1719" s="24">
        <f>IF($B1719="","",IF($J1718="",$C$8,$J1718)+IF($I1719="",0,$I1719)+IF($E1719="",0,$E1719)-IF($H1719="",0,$H1719))</f>
        <v/>
      </c>
      <c r="K1719" s="25">
        <f>IF($M1719&lt;&gt;"",IF(INDEX(CalcNoteA,$M1719)="","—",INDEX(CalcNoteA,$M1719)),IF($N1719&lt;&gt;"",IF(INDEX(CalcNoteB,$N1719)="","—",INDEX(CalcNoteB,$N1719)),""))</f>
        <v/>
      </c>
      <c r="M1719">
        <f>IFERROR(MATCH($C$5&amp;"|"&amp;RIGHT("000000"&amp;1703,6),CalcRankKeyA,0),"")</f>
        <v/>
      </c>
      <c r="N1719">
        <f>IFERROR(MATCH($C$5&amp;"|"&amp;RIGHT("000000"&amp;1703,6),CalcRankKeyB,0),"")</f>
        <v/>
      </c>
    </row>
    <row r="1720">
      <c r="A1720" s="26" t="n">
        <v>1704</v>
      </c>
      <c r="B1720" s="27">
        <f>IF(AND($M1720="",$N1720=""),"",IF($M1720&lt;&gt;"",INDEX(CalcDateA,$M1720),INDEX(CalcDateB,$N1720)))</f>
        <v/>
      </c>
      <c r="C1720" s="27">
        <f>IF($M1720&lt;&gt;"","خرید سبد",IF($N1720&lt;&gt;"",IF(N(INDEX(CalcDepB,$N1720))&gt;0,"دریافت بانکی","پرداخت بانکی"),""))</f>
        <v/>
      </c>
      <c r="D1720" s="27">
        <f>IF($M1720&lt;&gt;"",IF(INDEX(CalcDocA,$M1720)="","—",INDEX(CalcDocA,$M1720)),IF($N1720&lt;&gt;"",INDEX(CalcBankB,$N1720),""))</f>
        <v/>
      </c>
      <c r="E1720" s="28">
        <f>IF($N1720&lt;&gt;"",IF(INDEX(CalcDepB,$N1720)=0,"",INDEX(CalcDepB,$N1720)),"")</f>
        <v/>
      </c>
      <c r="F1720" s="28">
        <f>IF($M1720&lt;&gt;"",IF(INDEX(CalcQtyA,$M1720)=0,"",INDEX(CalcQtyA,$M1720)),"")</f>
        <v/>
      </c>
      <c r="G1720" s="28">
        <f>IF($M1720&lt;&gt;"",IF(INDEX(CalcPriceA,$M1720)=0,"",INDEX(CalcPriceA,$M1720)),"")</f>
        <v/>
      </c>
      <c r="H1720" s="28">
        <f>IF($N1720&lt;&gt;"",IF(INDEX(CalcWitB,$N1720)=0,"",INDEX(CalcWitB,$N1720)),"")</f>
        <v/>
      </c>
      <c r="I1720" s="29">
        <f>IF($M1720&lt;&gt;"",INDEX(CalcAmtA,$M1720),"")</f>
        <v/>
      </c>
      <c r="J1720" s="29">
        <f>IF($B1720="","",IF($J1719="",$C$8,$J1719)+IF($I1720="",0,$I1720)+IF($E1720="",0,$E1720)-IF($H1720="",0,$H1720))</f>
        <v/>
      </c>
      <c r="K1720" s="30">
        <f>IF($M1720&lt;&gt;"",IF(INDEX(CalcNoteA,$M1720)="","—",INDEX(CalcNoteA,$M1720)),IF($N1720&lt;&gt;"",IF(INDEX(CalcNoteB,$N1720)="","—",INDEX(CalcNoteB,$N1720)),""))</f>
        <v/>
      </c>
      <c r="M1720">
        <f>IFERROR(MATCH($C$5&amp;"|"&amp;RIGHT("000000"&amp;1704,6),CalcRankKeyA,0),"")</f>
        <v/>
      </c>
      <c r="N1720">
        <f>IFERROR(MATCH($C$5&amp;"|"&amp;RIGHT("000000"&amp;1704,6),CalcRankKeyB,0),"")</f>
        <v/>
      </c>
    </row>
    <row r="1721">
      <c r="A1721" s="21" t="n">
        <v>1705</v>
      </c>
      <c r="B1721" s="22">
        <f>IF(AND($M1721="",$N1721=""),"",IF($M1721&lt;&gt;"",INDEX(CalcDateA,$M1721),INDEX(CalcDateB,$N1721)))</f>
        <v/>
      </c>
      <c r="C1721" s="22">
        <f>IF($M1721&lt;&gt;"","خرید سبد",IF($N1721&lt;&gt;"",IF(N(INDEX(CalcDepB,$N1721))&gt;0,"دریافت بانکی","پرداخت بانکی"),""))</f>
        <v/>
      </c>
      <c r="D1721" s="22">
        <f>IF($M1721&lt;&gt;"",IF(INDEX(CalcDocA,$M1721)="","—",INDEX(CalcDocA,$M1721)),IF($N1721&lt;&gt;"",INDEX(CalcBankB,$N1721),""))</f>
        <v/>
      </c>
      <c r="E1721" s="23">
        <f>IF($N1721&lt;&gt;"",IF(INDEX(CalcDepB,$N1721)=0,"",INDEX(CalcDepB,$N1721)),"")</f>
        <v/>
      </c>
      <c r="F1721" s="23">
        <f>IF($M1721&lt;&gt;"",IF(INDEX(CalcQtyA,$M1721)=0,"",INDEX(CalcQtyA,$M1721)),"")</f>
        <v/>
      </c>
      <c r="G1721" s="23">
        <f>IF($M1721&lt;&gt;"",IF(INDEX(CalcPriceA,$M1721)=0,"",INDEX(CalcPriceA,$M1721)),"")</f>
        <v/>
      </c>
      <c r="H1721" s="23">
        <f>IF($N1721&lt;&gt;"",IF(INDEX(CalcWitB,$N1721)=0,"",INDEX(CalcWitB,$N1721)),"")</f>
        <v/>
      </c>
      <c r="I1721" s="24">
        <f>IF($M1721&lt;&gt;"",INDEX(CalcAmtA,$M1721),"")</f>
        <v/>
      </c>
      <c r="J1721" s="24">
        <f>IF($B1721="","",IF($J1720="",$C$8,$J1720)+IF($I1721="",0,$I1721)+IF($E1721="",0,$E1721)-IF($H1721="",0,$H1721))</f>
        <v/>
      </c>
      <c r="K1721" s="25">
        <f>IF($M1721&lt;&gt;"",IF(INDEX(CalcNoteA,$M1721)="","—",INDEX(CalcNoteA,$M1721)),IF($N1721&lt;&gt;"",IF(INDEX(CalcNoteB,$N1721)="","—",INDEX(CalcNoteB,$N1721)),""))</f>
        <v/>
      </c>
      <c r="M1721">
        <f>IFERROR(MATCH($C$5&amp;"|"&amp;RIGHT("000000"&amp;1705,6),CalcRankKeyA,0),"")</f>
        <v/>
      </c>
      <c r="N1721">
        <f>IFERROR(MATCH($C$5&amp;"|"&amp;RIGHT("000000"&amp;1705,6),CalcRankKeyB,0),"")</f>
        <v/>
      </c>
    </row>
    <row r="1722">
      <c r="A1722" s="26" t="n">
        <v>1706</v>
      </c>
      <c r="B1722" s="27">
        <f>IF(AND($M1722="",$N1722=""),"",IF($M1722&lt;&gt;"",INDEX(CalcDateA,$M1722),INDEX(CalcDateB,$N1722)))</f>
        <v/>
      </c>
      <c r="C1722" s="27">
        <f>IF($M1722&lt;&gt;"","خرید سبد",IF($N1722&lt;&gt;"",IF(N(INDEX(CalcDepB,$N1722))&gt;0,"دریافت بانکی","پرداخت بانکی"),""))</f>
        <v/>
      </c>
      <c r="D1722" s="27">
        <f>IF($M1722&lt;&gt;"",IF(INDEX(CalcDocA,$M1722)="","—",INDEX(CalcDocA,$M1722)),IF($N1722&lt;&gt;"",INDEX(CalcBankB,$N1722),""))</f>
        <v/>
      </c>
      <c r="E1722" s="28">
        <f>IF($N1722&lt;&gt;"",IF(INDEX(CalcDepB,$N1722)=0,"",INDEX(CalcDepB,$N1722)),"")</f>
        <v/>
      </c>
      <c r="F1722" s="28">
        <f>IF($M1722&lt;&gt;"",IF(INDEX(CalcQtyA,$M1722)=0,"",INDEX(CalcQtyA,$M1722)),"")</f>
        <v/>
      </c>
      <c r="G1722" s="28">
        <f>IF($M1722&lt;&gt;"",IF(INDEX(CalcPriceA,$M1722)=0,"",INDEX(CalcPriceA,$M1722)),"")</f>
        <v/>
      </c>
      <c r="H1722" s="28">
        <f>IF($N1722&lt;&gt;"",IF(INDEX(CalcWitB,$N1722)=0,"",INDEX(CalcWitB,$N1722)),"")</f>
        <v/>
      </c>
      <c r="I1722" s="29">
        <f>IF($M1722&lt;&gt;"",INDEX(CalcAmtA,$M1722),"")</f>
        <v/>
      </c>
      <c r="J1722" s="29">
        <f>IF($B1722="","",IF($J1721="",$C$8,$J1721)+IF($I1722="",0,$I1722)+IF($E1722="",0,$E1722)-IF($H1722="",0,$H1722))</f>
        <v/>
      </c>
      <c r="K1722" s="30">
        <f>IF($M1722&lt;&gt;"",IF(INDEX(CalcNoteA,$M1722)="","—",INDEX(CalcNoteA,$M1722)),IF($N1722&lt;&gt;"",IF(INDEX(CalcNoteB,$N1722)="","—",INDEX(CalcNoteB,$N1722)),""))</f>
        <v/>
      </c>
      <c r="M1722">
        <f>IFERROR(MATCH($C$5&amp;"|"&amp;RIGHT("000000"&amp;1706,6),CalcRankKeyA,0),"")</f>
        <v/>
      </c>
      <c r="N1722">
        <f>IFERROR(MATCH($C$5&amp;"|"&amp;RIGHT("000000"&amp;1706,6),CalcRankKeyB,0),"")</f>
        <v/>
      </c>
    </row>
    <row r="1723">
      <c r="A1723" s="21" t="n">
        <v>1707</v>
      </c>
      <c r="B1723" s="22">
        <f>IF(AND($M1723="",$N1723=""),"",IF($M1723&lt;&gt;"",INDEX(CalcDateA,$M1723),INDEX(CalcDateB,$N1723)))</f>
        <v/>
      </c>
      <c r="C1723" s="22">
        <f>IF($M1723&lt;&gt;"","خرید سبد",IF($N1723&lt;&gt;"",IF(N(INDEX(CalcDepB,$N1723))&gt;0,"دریافت بانکی","پرداخت بانکی"),""))</f>
        <v/>
      </c>
      <c r="D1723" s="22">
        <f>IF($M1723&lt;&gt;"",IF(INDEX(CalcDocA,$M1723)="","—",INDEX(CalcDocA,$M1723)),IF($N1723&lt;&gt;"",INDEX(CalcBankB,$N1723),""))</f>
        <v/>
      </c>
      <c r="E1723" s="23">
        <f>IF($N1723&lt;&gt;"",IF(INDEX(CalcDepB,$N1723)=0,"",INDEX(CalcDepB,$N1723)),"")</f>
        <v/>
      </c>
      <c r="F1723" s="23">
        <f>IF($M1723&lt;&gt;"",IF(INDEX(CalcQtyA,$M1723)=0,"",INDEX(CalcQtyA,$M1723)),"")</f>
        <v/>
      </c>
      <c r="G1723" s="23">
        <f>IF($M1723&lt;&gt;"",IF(INDEX(CalcPriceA,$M1723)=0,"",INDEX(CalcPriceA,$M1723)),"")</f>
        <v/>
      </c>
      <c r="H1723" s="23">
        <f>IF($N1723&lt;&gt;"",IF(INDEX(CalcWitB,$N1723)=0,"",INDEX(CalcWitB,$N1723)),"")</f>
        <v/>
      </c>
      <c r="I1723" s="24">
        <f>IF($M1723&lt;&gt;"",INDEX(CalcAmtA,$M1723),"")</f>
        <v/>
      </c>
      <c r="J1723" s="24">
        <f>IF($B1723="","",IF($J1722="",$C$8,$J1722)+IF($I1723="",0,$I1723)+IF($E1723="",0,$E1723)-IF($H1723="",0,$H1723))</f>
        <v/>
      </c>
      <c r="K1723" s="25">
        <f>IF($M1723&lt;&gt;"",IF(INDEX(CalcNoteA,$M1723)="","—",INDEX(CalcNoteA,$M1723)),IF($N1723&lt;&gt;"",IF(INDEX(CalcNoteB,$N1723)="","—",INDEX(CalcNoteB,$N1723)),""))</f>
        <v/>
      </c>
      <c r="M1723">
        <f>IFERROR(MATCH($C$5&amp;"|"&amp;RIGHT("000000"&amp;1707,6),CalcRankKeyA,0),"")</f>
        <v/>
      </c>
      <c r="N1723">
        <f>IFERROR(MATCH($C$5&amp;"|"&amp;RIGHT("000000"&amp;1707,6),CalcRankKeyB,0),"")</f>
        <v/>
      </c>
    </row>
    <row r="1724">
      <c r="A1724" s="26" t="n">
        <v>1708</v>
      </c>
      <c r="B1724" s="27">
        <f>IF(AND($M1724="",$N1724=""),"",IF($M1724&lt;&gt;"",INDEX(CalcDateA,$M1724),INDEX(CalcDateB,$N1724)))</f>
        <v/>
      </c>
      <c r="C1724" s="27">
        <f>IF($M1724&lt;&gt;"","خرید سبد",IF($N1724&lt;&gt;"",IF(N(INDEX(CalcDepB,$N1724))&gt;0,"دریافت بانکی","پرداخت بانکی"),""))</f>
        <v/>
      </c>
      <c r="D1724" s="27">
        <f>IF($M1724&lt;&gt;"",IF(INDEX(CalcDocA,$M1724)="","—",INDEX(CalcDocA,$M1724)),IF($N1724&lt;&gt;"",INDEX(CalcBankB,$N1724),""))</f>
        <v/>
      </c>
      <c r="E1724" s="28">
        <f>IF($N1724&lt;&gt;"",IF(INDEX(CalcDepB,$N1724)=0,"",INDEX(CalcDepB,$N1724)),"")</f>
        <v/>
      </c>
      <c r="F1724" s="28">
        <f>IF($M1724&lt;&gt;"",IF(INDEX(CalcQtyA,$M1724)=0,"",INDEX(CalcQtyA,$M1724)),"")</f>
        <v/>
      </c>
      <c r="G1724" s="28">
        <f>IF($M1724&lt;&gt;"",IF(INDEX(CalcPriceA,$M1724)=0,"",INDEX(CalcPriceA,$M1724)),"")</f>
        <v/>
      </c>
      <c r="H1724" s="28">
        <f>IF($N1724&lt;&gt;"",IF(INDEX(CalcWitB,$N1724)=0,"",INDEX(CalcWitB,$N1724)),"")</f>
        <v/>
      </c>
      <c r="I1724" s="29">
        <f>IF($M1724&lt;&gt;"",INDEX(CalcAmtA,$M1724),"")</f>
        <v/>
      </c>
      <c r="J1724" s="29">
        <f>IF($B1724="","",IF($J1723="",$C$8,$J1723)+IF($I1724="",0,$I1724)+IF($E1724="",0,$E1724)-IF($H1724="",0,$H1724))</f>
        <v/>
      </c>
      <c r="K1724" s="30">
        <f>IF($M1724&lt;&gt;"",IF(INDEX(CalcNoteA,$M1724)="","—",INDEX(CalcNoteA,$M1724)),IF($N1724&lt;&gt;"",IF(INDEX(CalcNoteB,$N1724)="","—",INDEX(CalcNoteB,$N1724)),""))</f>
        <v/>
      </c>
      <c r="M1724">
        <f>IFERROR(MATCH($C$5&amp;"|"&amp;RIGHT("000000"&amp;1708,6),CalcRankKeyA,0),"")</f>
        <v/>
      </c>
      <c r="N1724">
        <f>IFERROR(MATCH($C$5&amp;"|"&amp;RIGHT("000000"&amp;1708,6),CalcRankKeyB,0),"")</f>
        <v/>
      </c>
    </row>
    <row r="1725">
      <c r="A1725" s="21" t="n">
        <v>1709</v>
      </c>
      <c r="B1725" s="22">
        <f>IF(AND($M1725="",$N1725=""),"",IF($M1725&lt;&gt;"",INDEX(CalcDateA,$M1725),INDEX(CalcDateB,$N1725)))</f>
        <v/>
      </c>
      <c r="C1725" s="22">
        <f>IF($M1725&lt;&gt;"","خرید سبد",IF($N1725&lt;&gt;"",IF(N(INDEX(CalcDepB,$N1725))&gt;0,"دریافت بانکی","پرداخت بانکی"),""))</f>
        <v/>
      </c>
      <c r="D1725" s="22">
        <f>IF($M1725&lt;&gt;"",IF(INDEX(CalcDocA,$M1725)="","—",INDEX(CalcDocA,$M1725)),IF($N1725&lt;&gt;"",INDEX(CalcBankB,$N1725),""))</f>
        <v/>
      </c>
      <c r="E1725" s="23">
        <f>IF($N1725&lt;&gt;"",IF(INDEX(CalcDepB,$N1725)=0,"",INDEX(CalcDepB,$N1725)),"")</f>
        <v/>
      </c>
      <c r="F1725" s="23">
        <f>IF($M1725&lt;&gt;"",IF(INDEX(CalcQtyA,$M1725)=0,"",INDEX(CalcQtyA,$M1725)),"")</f>
        <v/>
      </c>
      <c r="G1725" s="23">
        <f>IF($M1725&lt;&gt;"",IF(INDEX(CalcPriceA,$M1725)=0,"",INDEX(CalcPriceA,$M1725)),"")</f>
        <v/>
      </c>
      <c r="H1725" s="23">
        <f>IF($N1725&lt;&gt;"",IF(INDEX(CalcWitB,$N1725)=0,"",INDEX(CalcWitB,$N1725)),"")</f>
        <v/>
      </c>
      <c r="I1725" s="24">
        <f>IF($M1725&lt;&gt;"",INDEX(CalcAmtA,$M1725),"")</f>
        <v/>
      </c>
      <c r="J1725" s="24">
        <f>IF($B1725="","",IF($J1724="",$C$8,$J1724)+IF($I1725="",0,$I1725)+IF($E1725="",0,$E1725)-IF($H1725="",0,$H1725))</f>
        <v/>
      </c>
      <c r="K1725" s="25">
        <f>IF($M1725&lt;&gt;"",IF(INDEX(CalcNoteA,$M1725)="","—",INDEX(CalcNoteA,$M1725)),IF($N1725&lt;&gt;"",IF(INDEX(CalcNoteB,$N1725)="","—",INDEX(CalcNoteB,$N1725)),""))</f>
        <v/>
      </c>
      <c r="M1725">
        <f>IFERROR(MATCH($C$5&amp;"|"&amp;RIGHT("000000"&amp;1709,6),CalcRankKeyA,0),"")</f>
        <v/>
      </c>
      <c r="N1725">
        <f>IFERROR(MATCH($C$5&amp;"|"&amp;RIGHT("000000"&amp;1709,6),CalcRankKeyB,0),"")</f>
        <v/>
      </c>
    </row>
    <row r="1726">
      <c r="A1726" s="26" t="n">
        <v>1710</v>
      </c>
      <c r="B1726" s="27">
        <f>IF(AND($M1726="",$N1726=""),"",IF($M1726&lt;&gt;"",INDEX(CalcDateA,$M1726),INDEX(CalcDateB,$N1726)))</f>
        <v/>
      </c>
      <c r="C1726" s="27">
        <f>IF($M1726&lt;&gt;"","خرید سبد",IF($N1726&lt;&gt;"",IF(N(INDEX(CalcDepB,$N1726))&gt;0,"دریافت بانکی","پرداخت بانکی"),""))</f>
        <v/>
      </c>
      <c r="D1726" s="27">
        <f>IF($M1726&lt;&gt;"",IF(INDEX(CalcDocA,$M1726)="","—",INDEX(CalcDocA,$M1726)),IF($N1726&lt;&gt;"",INDEX(CalcBankB,$N1726),""))</f>
        <v/>
      </c>
      <c r="E1726" s="28">
        <f>IF($N1726&lt;&gt;"",IF(INDEX(CalcDepB,$N1726)=0,"",INDEX(CalcDepB,$N1726)),"")</f>
        <v/>
      </c>
      <c r="F1726" s="28">
        <f>IF($M1726&lt;&gt;"",IF(INDEX(CalcQtyA,$M1726)=0,"",INDEX(CalcQtyA,$M1726)),"")</f>
        <v/>
      </c>
      <c r="G1726" s="28">
        <f>IF($M1726&lt;&gt;"",IF(INDEX(CalcPriceA,$M1726)=0,"",INDEX(CalcPriceA,$M1726)),"")</f>
        <v/>
      </c>
      <c r="H1726" s="28">
        <f>IF($N1726&lt;&gt;"",IF(INDEX(CalcWitB,$N1726)=0,"",INDEX(CalcWitB,$N1726)),"")</f>
        <v/>
      </c>
      <c r="I1726" s="29">
        <f>IF($M1726&lt;&gt;"",INDEX(CalcAmtA,$M1726),"")</f>
        <v/>
      </c>
      <c r="J1726" s="29">
        <f>IF($B1726="","",IF($J1725="",$C$8,$J1725)+IF($I1726="",0,$I1726)+IF($E1726="",0,$E1726)-IF($H1726="",0,$H1726))</f>
        <v/>
      </c>
      <c r="K1726" s="30">
        <f>IF($M1726&lt;&gt;"",IF(INDEX(CalcNoteA,$M1726)="","—",INDEX(CalcNoteA,$M1726)),IF($N1726&lt;&gt;"",IF(INDEX(CalcNoteB,$N1726)="","—",INDEX(CalcNoteB,$N1726)),""))</f>
        <v/>
      </c>
      <c r="M1726">
        <f>IFERROR(MATCH($C$5&amp;"|"&amp;RIGHT("000000"&amp;1710,6),CalcRankKeyA,0),"")</f>
        <v/>
      </c>
      <c r="N1726">
        <f>IFERROR(MATCH($C$5&amp;"|"&amp;RIGHT("000000"&amp;1710,6),CalcRankKeyB,0),"")</f>
        <v/>
      </c>
    </row>
    <row r="1727">
      <c r="A1727" s="21" t="n">
        <v>1711</v>
      </c>
      <c r="B1727" s="22">
        <f>IF(AND($M1727="",$N1727=""),"",IF($M1727&lt;&gt;"",INDEX(CalcDateA,$M1727),INDEX(CalcDateB,$N1727)))</f>
        <v/>
      </c>
      <c r="C1727" s="22">
        <f>IF($M1727&lt;&gt;"","خرید سبد",IF($N1727&lt;&gt;"",IF(N(INDEX(CalcDepB,$N1727))&gt;0,"دریافت بانکی","پرداخت بانکی"),""))</f>
        <v/>
      </c>
      <c r="D1727" s="22">
        <f>IF($M1727&lt;&gt;"",IF(INDEX(CalcDocA,$M1727)="","—",INDEX(CalcDocA,$M1727)),IF($N1727&lt;&gt;"",INDEX(CalcBankB,$N1727),""))</f>
        <v/>
      </c>
      <c r="E1727" s="23">
        <f>IF($N1727&lt;&gt;"",IF(INDEX(CalcDepB,$N1727)=0,"",INDEX(CalcDepB,$N1727)),"")</f>
        <v/>
      </c>
      <c r="F1727" s="23">
        <f>IF($M1727&lt;&gt;"",IF(INDEX(CalcQtyA,$M1727)=0,"",INDEX(CalcQtyA,$M1727)),"")</f>
        <v/>
      </c>
      <c r="G1727" s="23">
        <f>IF($M1727&lt;&gt;"",IF(INDEX(CalcPriceA,$M1727)=0,"",INDEX(CalcPriceA,$M1727)),"")</f>
        <v/>
      </c>
      <c r="H1727" s="23">
        <f>IF($N1727&lt;&gt;"",IF(INDEX(CalcWitB,$N1727)=0,"",INDEX(CalcWitB,$N1727)),"")</f>
        <v/>
      </c>
      <c r="I1727" s="24">
        <f>IF($M1727&lt;&gt;"",INDEX(CalcAmtA,$M1727),"")</f>
        <v/>
      </c>
      <c r="J1727" s="24">
        <f>IF($B1727="","",IF($J1726="",$C$8,$J1726)+IF($I1727="",0,$I1727)+IF($E1727="",0,$E1727)-IF($H1727="",0,$H1727))</f>
        <v/>
      </c>
      <c r="K1727" s="25">
        <f>IF($M1727&lt;&gt;"",IF(INDEX(CalcNoteA,$M1727)="","—",INDEX(CalcNoteA,$M1727)),IF($N1727&lt;&gt;"",IF(INDEX(CalcNoteB,$N1727)="","—",INDEX(CalcNoteB,$N1727)),""))</f>
        <v/>
      </c>
      <c r="M1727">
        <f>IFERROR(MATCH($C$5&amp;"|"&amp;RIGHT("000000"&amp;1711,6),CalcRankKeyA,0),"")</f>
        <v/>
      </c>
      <c r="N1727">
        <f>IFERROR(MATCH($C$5&amp;"|"&amp;RIGHT("000000"&amp;1711,6),CalcRankKeyB,0),"")</f>
        <v/>
      </c>
    </row>
    <row r="1728">
      <c r="A1728" s="26" t="n">
        <v>1712</v>
      </c>
      <c r="B1728" s="27">
        <f>IF(AND($M1728="",$N1728=""),"",IF($M1728&lt;&gt;"",INDEX(CalcDateA,$M1728),INDEX(CalcDateB,$N1728)))</f>
        <v/>
      </c>
      <c r="C1728" s="27">
        <f>IF($M1728&lt;&gt;"","خرید سبد",IF($N1728&lt;&gt;"",IF(N(INDEX(CalcDepB,$N1728))&gt;0,"دریافت بانکی","پرداخت بانکی"),""))</f>
        <v/>
      </c>
      <c r="D1728" s="27">
        <f>IF($M1728&lt;&gt;"",IF(INDEX(CalcDocA,$M1728)="","—",INDEX(CalcDocA,$M1728)),IF($N1728&lt;&gt;"",INDEX(CalcBankB,$N1728),""))</f>
        <v/>
      </c>
      <c r="E1728" s="28">
        <f>IF($N1728&lt;&gt;"",IF(INDEX(CalcDepB,$N1728)=0,"",INDEX(CalcDepB,$N1728)),"")</f>
        <v/>
      </c>
      <c r="F1728" s="28">
        <f>IF($M1728&lt;&gt;"",IF(INDEX(CalcQtyA,$M1728)=0,"",INDEX(CalcQtyA,$M1728)),"")</f>
        <v/>
      </c>
      <c r="G1728" s="28">
        <f>IF($M1728&lt;&gt;"",IF(INDEX(CalcPriceA,$M1728)=0,"",INDEX(CalcPriceA,$M1728)),"")</f>
        <v/>
      </c>
      <c r="H1728" s="28">
        <f>IF($N1728&lt;&gt;"",IF(INDEX(CalcWitB,$N1728)=0,"",INDEX(CalcWitB,$N1728)),"")</f>
        <v/>
      </c>
      <c r="I1728" s="29">
        <f>IF($M1728&lt;&gt;"",INDEX(CalcAmtA,$M1728),"")</f>
        <v/>
      </c>
      <c r="J1728" s="29">
        <f>IF($B1728="","",IF($J1727="",$C$8,$J1727)+IF($I1728="",0,$I1728)+IF($E1728="",0,$E1728)-IF($H1728="",0,$H1728))</f>
        <v/>
      </c>
      <c r="K1728" s="30">
        <f>IF($M1728&lt;&gt;"",IF(INDEX(CalcNoteA,$M1728)="","—",INDEX(CalcNoteA,$M1728)),IF($N1728&lt;&gt;"",IF(INDEX(CalcNoteB,$N1728)="","—",INDEX(CalcNoteB,$N1728)),""))</f>
        <v/>
      </c>
      <c r="M1728">
        <f>IFERROR(MATCH($C$5&amp;"|"&amp;RIGHT("000000"&amp;1712,6),CalcRankKeyA,0),"")</f>
        <v/>
      </c>
      <c r="N1728">
        <f>IFERROR(MATCH($C$5&amp;"|"&amp;RIGHT("000000"&amp;1712,6),CalcRankKeyB,0),"")</f>
        <v/>
      </c>
    </row>
    <row r="1729">
      <c r="A1729" s="21" t="n">
        <v>1713</v>
      </c>
      <c r="B1729" s="22">
        <f>IF(AND($M1729="",$N1729=""),"",IF($M1729&lt;&gt;"",INDEX(CalcDateA,$M1729),INDEX(CalcDateB,$N1729)))</f>
        <v/>
      </c>
      <c r="C1729" s="22">
        <f>IF($M1729&lt;&gt;"","خرید سبد",IF($N1729&lt;&gt;"",IF(N(INDEX(CalcDepB,$N1729))&gt;0,"دریافت بانکی","پرداخت بانکی"),""))</f>
        <v/>
      </c>
      <c r="D1729" s="22">
        <f>IF($M1729&lt;&gt;"",IF(INDEX(CalcDocA,$M1729)="","—",INDEX(CalcDocA,$M1729)),IF($N1729&lt;&gt;"",INDEX(CalcBankB,$N1729),""))</f>
        <v/>
      </c>
      <c r="E1729" s="23">
        <f>IF($N1729&lt;&gt;"",IF(INDEX(CalcDepB,$N1729)=0,"",INDEX(CalcDepB,$N1729)),"")</f>
        <v/>
      </c>
      <c r="F1729" s="23">
        <f>IF($M1729&lt;&gt;"",IF(INDEX(CalcQtyA,$M1729)=0,"",INDEX(CalcQtyA,$M1729)),"")</f>
        <v/>
      </c>
      <c r="G1729" s="23">
        <f>IF($M1729&lt;&gt;"",IF(INDEX(CalcPriceA,$M1729)=0,"",INDEX(CalcPriceA,$M1729)),"")</f>
        <v/>
      </c>
      <c r="H1729" s="23">
        <f>IF($N1729&lt;&gt;"",IF(INDEX(CalcWitB,$N1729)=0,"",INDEX(CalcWitB,$N1729)),"")</f>
        <v/>
      </c>
      <c r="I1729" s="24">
        <f>IF($M1729&lt;&gt;"",INDEX(CalcAmtA,$M1729),"")</f>
        <v/>
      </c>
      <c r="J1729" s="24">
        <f>IF($B1729="","",IF($J1728="",$C$8,$J1728)+IF($I1729="",0,$I1729)+IF($E1729="",0,$E1729)-IF($H1729="",0,$H1729))</f>
        <v/>
      </c>
      <c r="K1729" s="25">
        <f>IF($M1729&lt;&gt;"",IF(INDEX(CalcNoteA,$M1729)="","—",INDEX(CalcNoteA,$M1729)),IF($N1729&lt;&gt;"",IF(INDEX(CalcNoteB,$N1729)="","—",INDEX(CalcNoteB,$N1729)),""))</f>
        <v/>
      </c>
      <c r="M1729">
        <f>IFERROR(MATCH($C$5&amp;"|"&amp;RIGHT("000000"&amp;1713,6),CalcRankKeyA,0),"")</f>
        <v/>
      </c>
      <c r="N1729">
        <f>IFERROR(MATCH($C$5&amp;"|"&amp;RIGHT("000000"&amp;1713,6),CalcRankKeyB,0),"")</f>
        <v/>
      </c>
    </row>
    <row r="1730">
      <c r="A1730" s="26" t="n">
        <v>1714</v>
      </c>
      <c r="B1730" s="27">
        <f>IF(AND($M1730="",$N1730=""),"",IF($M1730&lt;&gt;"",INDEX(CalcDateA,$M1730),INDEX(CalcDateB,$N1730)))</f>
        <v/>
      </c>
      <c r="C1730" s="27">
        <f>IF($M1730&lt;&gt;"","خرید سبد",IF($N1730&lt;&gt;"",IF(N(INDEX(CalcDepB,$N1730))&gt;0,"دریافت بانکی","پرداخت بانکی"),""))</f>
        <v/>
      </c>
      <c r="D1730" s="27">
        <f>IF($M1730&lt;&gt;"",IF(INDEX(CalcDocA,$M1730)="","—",INDEX(CalcDocA,$M1730)),IF($N1730&lt;&gt;"",INDEX(CalcBankB,$N1730),""))</f>
        <v/>
      </c>
      <c r="E1730" s="28">
        <f>IF($N1730&lt;&gt;"",IF(INDEX(CalcDepB,$N1730)=0,"",INDEX(CalcDepB,$N1730)),"")</f>
        <v/>
      </c>
      <c r="F1730" s="28">
        <f>IF($M1730&lt;&gt;"",IF(INDEX(CalcQtyA,$M1730)=0,"",INDEX(CalcQtyA,$M1730)),"")</f>
        <v/>
      </c>
      <c r="G1730" s="28">
        <f>IF($M1730&lt;&gt;"",IF(INDEX(CalcPriceA,$M1730)=0,"",INDEX(CalcPriceA,$M1730)),"")</f>
        <v/>
      </c>
      <c r="H1730" s="28">
        <f>IF($N1730&lt;&gt;"",IF(INDEX(CalcWitB,$N1730)=0,"",INDEX(CalcWitB,$N1730)),"")</f>
        <v/>
      </c>
      <c r="I1730" s="29">
        <f>IF($M1730&lt;&gt;"",INDEX(CalcAmtA,$M1730),"")</f>
        <v/>
      </c>
      <c r="J1730" s="29">
        <f>IF($B1730="","",IF($J1729="",$C$8,$J1729)+IF($I1730="",0,$I1730)+IF($E1730="",0,$E1730)-IF($H1730="",0,$H1730))</f>
        <v/>
      </c>
      <c r="K1730" s="30">
        <f>IF($M1730&lt;&gt;"",IF(INDEX(CalcNoteA,$M1730)="","—",INDEX(CalcNoteA,$M1730)),IF($N1730&lt;&gt;"",IF(INDEX(CalcNoteB,$N1730)="","—",INDEX(CalcNoteB,$N1730)),""))</f>
        <v/>
      </c>
      <c r="M1730">
        <f>IFERROR(MATCH($C$5&amp;"|"&amp;RIGHT("000000"&amp;1714,6),CalcRankKeyA,0),"")</f>
        <v/>
      </c>
      <c r="N1730">
        <f>IFERROR(MATCH($C$5&amp;"|"&amp;RIGHT("000000"&amp;1714,6),CalcRankKeyB,0),"")</f>
        <v/>
      </c>
    </row>
    <row r="1731">
      <c r="A1731" s="21" t="n">
        <v>1715</v>
      </c>
      <c r="B1731" s="22">
        <f>IF(AND($M1731="",$N1731=""),"",IF($M1731&lt;&gt;"",INDEX(CalcDateA,$M1731),INDEX(CalcDateB,$N1731)))</f>
        <v/>
      </c>
      <c r="C1731" s="22">
        <f>IF($M1731&lt;&gt;"","خرید سبد",IF($N1731&lt;&gt;"",IF(N(INDEX(CalcDepB,$N1731))&gt;0,"دریافت بانکی","پرداخت بانکی"),""))</f>
        <v/>
      </c>
      <c r="D1731" s="22">
        <f>IF($M1731&lt;&gt;"",IF(INDEX(CalcDocA,$M1731)="","—",INDEX(CalcDocA,$M1731)),IF($N1731&lt;&gt;"",INDEX(CalcBankB,$N1731),""))</f>
        <v/>
      </c>
      <c r="E1731" s="23">
        <f>IF($N1731&lt;&gt;"",IF(INDEX(CalcDepB,$N1731)=0,"",INDEX(CalcDepB,$N1731)),"")</f>
        <v/>
      </c>
      <c r="F1731" s="23">
        <f>IF($M1731&lt;&gt;"",IF(INDEX(CalcQtyA,$M1731)=0,"",INDEX(CalcQtyA,$M1731)),"")</f>
        <v/>
      </c>
      <c r="G1731" s="23">
        <f>IF($M1731&lt;&gt;"",IF(INDEX(CalcPriceA,$M1731)=0,"",INDEX(CalcPriceA,$M1731)),"")</f>
        <v/>
      </c>
      <c r="H1731" s="23">
        <f>IF($N1731&lt;&gt;"",IF(INDEX(CalcWitB,$N1731)=0,"",INDEX(CalcWitB,$N1731)),"")</f>
        <v/>
      </c>
      <c r="I1731" s="24">
        <f>IF($M1731&lt;&gt;"",INDEX(CalcAmtA,$M1731),"")</f>
        <v/>
      </c>
      <c r="J1731" s="24">
        <f>IF($B1731="","",IF($J1730="",$C$8,$J1730)+IF($I1731="",0,$I1731)+IF($E1731="",0,$E1731)-IF($H1731="",0,$H1731))</f>
        <v/>
      </c>
      <c r="K1731" s="25">
        <f>IF($M1731&lt;&gt;"",IF(INDEX(CalcNoteA,$M1731)="","—",INDEX(CalcNoteA,$M1731)),IF($N1731&lt;&gt;"",IF(INDEX(CalcNoteB,$N1731)="","—",INDEX(CalcNoteB,$N1731)),""))</f>
        <v/>
      </c>
      <c r="M1731">
        <f>IFERROR(MATCH($C$5&amp;"|"&amp;RIGHT("000000"&amp;1715,6),CalcRankKeyA,0),"")</f>
        <v/>
      </c>
      <c r="N1731">
        <f>IFERROR(MATCH($C$5&amp;"|"&amp;RIGHT("000000"&amp;1715,6),CalcRankKeyB,0),"")</f>
        <v/>
      </c>
    </row>
    <row r="1732">
      <c r="A1732" s="26" t="n">
        <v>1716</v>
      </c>
      <c r="B1732" s="27">
        <f>IF(AND($M1732="",$N1732=""),"",IF($M1732&lt;&gt;"",INDEX(CalcDateA,$M1732),INDEX(CalcDateB,$N1732)))</f>
        <v/>
      </c>
      <c r="C1732" s="27">
        <f>IF($M1732&lt;&gt;"","خرید سبد",IF($N1732&lt;&gt;"",IF(N(INDEX(CalcDepB,$N1732))&gt;0,"دریافت بانکی","پرداخت بانکی"),""))</f>
        <v/>
      </c>
      <c r="D1732" s="27">
        <f>IF($M1732&lt;&gt;"",IF(INDEX(CalcDocA,$M1732)="","—",INDEX(CalcDocA,$M1732)),IF($N1732&lt;&gt;"",INDEX(CalcBankB,$N1732),""))</f>
        <v/>
      </c>
      <c r="E1732" s="28">
        <f>IF($N1732&lt;&gt;"",IF(INDEX(CalcDepB,$N1732)=0,"",INDEX(CalcDepB,$N1732)),"")</f>
        <v/>
      </c>
      <c r="F1732" s="28">
        <f>IF($M1732&lt;&gt;"",IF(INDEX(CalcQtyA,$M1732)=0,"",INDEX(CalcQtyA,$M1732)),"")</f>
        <v/>
      </c>
      <c r="G1732" s="28">
        <f>IF($M1732&lt;&gt;"",IF(INDEX(CalcPriceA,$M1732)=0,"",INDEX(CalcPriceA,$M1732)),"")</f>
        <v/>
      </c>
      <c r="H1732" s="28">
        <f>IF($N1732&lt;&gt;"",IF(INDEX(CalcWitB,$N1732)=0,"",INDEX(CalcWitB,$N1732)),"")</f>
        <v/>
      </c>
      <c r="I1732" s="29">
        <f>IF($M1732&lt;&gt;"",INDEX(CalcAmtA,$M1732),"")</f>
        <v/>
      </c>
      <c r="J1732" s="29">
        <f>IF($B1732="","",IF($J1731="",$C$8,$J1731)+IF($I1732="",0,$I1732)+IF($E1732="",0,$E1732)-IF($H1732="",0,$H1732))</f>
        <v/>
      </c>
      <c r="K1732" s="30">
        <f>IF($M1732&lt;&gt;"",IF(INDEX(CalcNoteA,$M1732)="","—",INDEX(CalcNoteA,$M1732)),IF($N1732&lt;&gt;"",IF(INDEX(CalcNoteB,$N1732)="","—",INDEX(CalcNoteB,$N1732)),""))</f>
        <v/>
      </c>
      <c r="M1732">
        <f>IFERROR(MATCH($C$5&amp;"|"&amp;RIGHT("000000"&amp;1716,6),CalcRankKeyA,0),"")</f>
        <v/>
      </c>
      <c r="N1732">
        <f>IFERROR(MATCH($C$5&amp;"|"&amp;RIGHT("000000"&amp;1716,6),CalcRankKeyB,0),"")</f>
        <v/>
      </c>
    </row>
    <row r="1733">
      <c r="A1733" s="21" t="n">
        <v>1717</v>
      </c>
      <c r="B1733" s="22">
        <f>IF(AND($M1733="",$N1733=""),"",IF($M1733&lt;&gt;"",INDEX(CalcDateA,$M1733),INDEX(CalcDateB,$N1733)))</f>
        <v/>
      </c>
      <c r="C1733" s="22">
        <f>IF($M1733&lt;&gt;"","خرید سبد",IF($N1733&lt;&gt;"",IF(N(INDEX(CalcDepB,$N1733))&gt;0,"دریافت بانکی","پرداخت بانکی"),""))</f>
        <v/>
      </c>
      <c r="D1733" s="22">
        <f>IF($M1733&lt;&gt;"",IF(INDEX(CalcDocA,$M1733)="","—",INDEX(CalcDocA,$M1733)),IF($N1733&lt;&gt;"",INDEX(CalcBankB,$N1733),""))</f>
        <v/>
      </c>
      <c r="E1733" s="23">
        <f>IF($N1733&lt;&gt;"",IF(INDEX(CalcDepB,$N1733)=0,"",INDEX(CalcDepB,$N1733)),"")</f>
        <v/>
      </c>
      <c r="F1733" s="23">
        <f>IF($M1733&lt;&gt;"",IF(INDEX(CalcQtyA,$M1733)=0,"",INDEX(CalcQtyA,$M1733)),"")</f>
        <v/>
      </c>
      <c r="G1733" s="23">
        <f>IF($M1733&lt;&gt;"",IF(INDEX(CalcPriceA,$M1733)=0,"",INDEX(CalcPriceA,$M1733)),"")</f>
        <v/>
      </c>
      <c r="H1733" s="23">
        <f>IF($N1733&lt;&gt;"",IF(INDEX(CalcWitB,$N1733)=0,"",INDEX(CalcWitB,$N1733)),"")</f>
        <v/>
      </c>
      <c r="I1733" s="24">
        <f>IF($M1733&lt;&gt;"",INDEX(CalcAmtA,$M1733),"")</f>
        <v/>
      </c>
      <c r="J1733" s="24">
        <f>IF($B1733="","",IF($J1732="",$C$8,$J1732)+IF($I1733="",0,$I1733)+IF($E1733="",0,$E1733)-IF($H1733="",0,$H1733))</f>
        <v/>
      </c>
      <c r="K1733" s="25">
        <f>IF($M1733&lt;&gt;"",IF(INDEX(CalcNoteA,$M1733)="","—",INDEX(CalcNoteA,$M1733)),IF($N1733&lt;&gt;"",IF(INDEX(CalcNoteB,$N1733)="","—",INDEX(CalcNoteB,$N1733)),""))</f>
        <v/>
      </c>
      <c r="M1733">
        <f>IFERROR(MATCH($C$5&amp;"|"&amp;RIGHT("000000"&amp;1717,6),CalcRankKeyA,0),"")</f>
        <v/>
      </c>
      <c r="N1733">
        <f>IFERROR(MATCH($C$5&amp;"|"&amp;RIGHT("000000"&amp;1717,6),CalcRankKeyB,0),"")</f>
        <v/>
      </c>
    </row>
    <row r="1734">
      <c r="A1734" s="26" t="n">
        <v>1718</v>
      </c>
      <c r="B1734" s="27">
        <f>IF(AND($M1734="",$N1734=""),"",IF($M1734&lt;&gt;"",INDEX(CalcDateA,$M1734),INDEX(CalcDateB,$N1734)))</f>
        <v/>
      </c>
      <c r="C1734" s="27">
        <f>IF($M1734&lt;&gt;"","خرید سبد",IF($N1734&lt;&gt;"",IF(N(INDEX(CalcDepB,$N1734))&gt;0,"دریافت بانکی","پرداخت بانکی"),""))</f>
        <v/>
      </c>
      <c r="D1734" s="27">
        <f>IF($M1734&lt;&gt;"",IF(INDEX(CalcDocA,$M1734)="","—",INDEX(CalcDocA,$M1734)),IF($N1734&lt;&gt;"",INDEX(CalcBankB,$N1734),""))</f>
        <v/>
      </c>
      <c r="E1734" s="28">
        <f>IF($N1734&lt;&gt;"",IF(INDEX(CalcDepB,$N1734)=0,"",INDEX(CalcDepB,$N1734)),"")</f>
        <v/>
      </c>
      <c r="F1734" s="28">
        <f>IF($M1734&lt;&gt;"",IF(INDEX(CalcQtyA,$M1734)=0,"",INDEX(CalcQtyA,$M1734)),"")</f>
        <v/>
      </c>
      <c r="G1734" s="28">
        <f>IF($M1734&lt;&gt;"",IF(INDEX(CalcPriceA,$M1734)=0,"",INDEX(CalcPriceA,$M1734)),"")</f>
        <v/>
      </c>
      <c r="H1734" s="28">
        <f>IF($N1734&lt;&gt;"",IF(INDEX(CalcWitB,$N1734)=0,"",INDEX(CalcWitB,$N1734)),"")</f>
        <v/>
      </c>
      <c r="I1734" s="29">
        <f>IF($M1734&lt;&gt;"",INDEX(CalcAmtA,$M1734),"")</f>
        <v/>
      </c>
      <c r="J1734" s="29">
        <f>IF($B1734="","",IF($J1733="",$C$8,$J1733)+IF($I1734="",0,$I1734)+IF($E1734="",0,$E1734)-IF($H1734="",0,$H1734))</f>
        <v/>
      </c>
      <c r="K1734" s="30">
        <f>IF($M1734&lt;&gt;"",IF(INDEX(CalcNoteA,$M1734)="","—",INDEX(CalcNoteA,$M1734)),IF($N1734&lt;&gt;"",IF(INDEX(CalcNoteB,$N1734)="","—",INDEX(CalcNoteB,$N1734)),""))</f>
        <v/>
      </c>
      <c r="M1734">
        <f>IFERROR(MATCH($C$5&amp;"|"&amp;RIGHT("000000"&amp;1718,6),CalcRankKeyA,0),"")</f>
        <v/>
      </c>
      <c r="N1734">
        <f>IFERROR(MATCH($C$5&amp;"|"&amp;RIGHT("000000"&amp;1718,6),CalcRankKeyB,0),"")</f>
        <v/>
      </c>
    </row>
    <row r="1735">
      <c r="A1735" s="21" t="n">
        <v>1719</v>
      </c>
      <c r="B1735" s="22">
        <f>IF(AND($M1735="",$N1735=""),"",IF($M1735&lt;&gt;"",INDEX(CalcDateA,$M1735),INDEX(CalcDateB,$N1735)))</f>
        <v/>
      </c>
      <c r="C1735" s="22">
        <f>IF($M1735&lt;&gt;"","خرید سبد",IF($N1735&lt;&gt;"",IF(N(INDEX(CalcDepB,$N1735))&gt;0,"دریافت بانکی","پرداخت بانکی"),""))</f>
        <v/>
      </c>
      <c r="D1735" s="22">
        <f>IF($M1735&lt;&gt;"",IF(INDEX(CalcDocA,$M1735)="","—",INDEX(CalcDocA,$M1735)),IF($N1735&lt;&gt;"",INDEX(CalcBankB,$N1735),""))</f>
        <v/>
      </c>
      <c r="E1735" s="23">
        <f>IF($N1735&lt;&gt;"",IF(INDEX(CalcDepB,$N1735)=0,"",INDEX(CalcDepB,$N1735)),"")</f>
        <v/>
      </c>
      <c r="F1735" s="23">
        <f>IF($M1735&lt;&gt;"",IF(INDEX(CalcQtyA,$M1735)=0,"",INDEX(CalcQtyA,$M1735)),"")</f>
        <v/>
      </c>
      <c r="G1735" s="23">
        <f>IF($M1735&lt;&gt;"",IF(INDEX(CalcPriceA,$M1735)=0,"",INDEX(CalcPriceA,$M1735)),"")</f>
        <v/>
      </c>
      <c r="H1735" s="23">
        <f>IF($N1735&lt;&gt;"",IF(INDEX(CalcWitB,$N1735)=0,"",INDEX(CalcWitB,$N1735)),"")</f>
        <v/>
      </c>
      <c r="I1735" s="24">
        <f>IF($M1735&lt;&gt;"",INDEX(CalcAmtA,$M1735),"")</f>
        <v/>
      </c>
      <c r="J1735" s="24">
        <f>IF($B1735="","",IF($J1734="",$C$8,$J1734)+IF($I1735="",0,$I1735)+IF($E1735="",0,$E1735)-IF($H1735="",0,$H1735))</f>
        <v/>
      </c>
      <c r="K1735" s="25">
        <f>IF($M1735&lt;&gt;"",IF(INDEX(CalcNoteA,$M1735)="","—",INDEX(CalcNoteA,$M1735)),IF($N1735&lt;&gt;"",IF(INDEX(CalcNoteB,$N1735)="","—",INDEX(CalcNoteB,$N1735)),""))</f>
        <v/>
      </c>
      <c r="M1735">
        <f>IFERROR(MATCH($C$5&amp;"|"&amp;RIGHT("000000"&amp;1719,6),CalcRankKeyA,0),"")</f>
        <v/>
      </c>
      <c r="N1735">
        <f>IFERROR(MATCH($C$5&amp;"|"&amp;RIGHT("000000"&amp;1719,6),CalcRankKeyB,0),"")</f>
        <v/>
      </c>
    </row>
    <row r="1736">
      <c r="A1736" s="26" t="n">
        <v>1720</v>
      </c>
      <c r="B1736" s="27">
        <f>IF(AND($M1736="",$N1736=""),"",IF($M1736&lt;&gt;"",INDEX(CalcDateA,$M1736),INDEX(CalcDateB,$N1736)))</f>
        <v/>
      </c>
      <c r="C1736" s="27">
        <f>IF($M1736&lt;&gt;"","خرید سبد",IF($N1736&lt;&gt;"",IF(N(INDEX(CalcDepB,$N1736))&gt;0,"دریافت بانکی","پرداخت بانکی"),""))</f>
        <v/>
      </c>
      <c r="D1736" s="27">
        <f>IF($M1736&lt;&gt;"",IF(INDEX(CalcDocA,$M1736)="","—",INDEX(CalcDocA,$M1736)),IF($N1736&lt;&gt;"",INDEX(CalcBankB,$N1736),""))</f>
        <v/>
      </c>
      <c r="E1736" s="28">
        <f>IF($N1736&lt;&gt;"",IF(INDEX(CalcDepB,$N1736)=0,"",INDEX(CalcDepB,$N1736)),"")</f>
        <v/>
      </c>
      <c r="F1736" s="28">
        <f>IF($M1736&lt;&gt;"",IF(INDEX(CalcQtyA,$M1736)=0,"",INDEX(CalcQtyA,$M1736)),"")</f>
        <v/>
      </c>
      <c r="G1736" s="28">
        <f>IF($M1736&lt;&gt;"",IF(INDEX(CalcPriceA,$M1736)=0,"",INDEX(CalcPriceA,$M1736)),"")</f>
        <v/>
      </c>
      <c r="H1736" s="28">
        <f>IF($N1736&lt;&gt;"",IF(INDEX(CalcWitB,$N1736)=0,"",INDEX(CalcWitB,$N1736)),"")</f>
        <v/>
      </c>
      <c r="I1736" s="29">
        <f>IF($M1736&lt;&gt;"",INDEX(CalcAmtA,$M1736),"")</f>
        <v/>
      </c>
      <c r="J1736" s="29">
        <f>IF($B1736="","",IF($J1735="",$C$8,$J1735)+IF($I1736="",0,$I1736)+IF($E1736="",0,$E1736)-IF($H1736="",0,$H1736))</f>
        <v/>
      </c>
      <c r="K1736" s="30">
        <f>IF($M1736&lt;&gt;"",IF(INDEX(CalcNoteA,$M1736)="","—",INDEX(CalcNoteA,$M1736)),IF($N1736&lt;&gt;"",IF(INDEX(CalcNoteB,$N1736)="","—",INDEX(CalcNoteB,$N1736)),""))</f>
        <v/>
      </c>
      <c r="M1736">
        <f>IFERROR(MATCH($C$5&amp;"|"&amp;RIGHT("000000"&amp;1720,6),CalcRankKeyA,0),"")</f>
        <v/>
      </c>
      <c r="N1736">
        <f>IFERROR(MATCH($C$5&amp;"|"&amp;RIGHT("000000"&amp;1720,6),CalcRankKeyB,0),"")</f>
        <v/>
      </c>
    </row>
    <row r="1737">
      <c r="A1737" s="21" t="n">
        <v>1721</v>
      </c>
      <c r="B1737" s="22">
        <f>IF(AND($M1737="",$N1737=""),"",IF($M1737&lt;&gt;"",INDEX(CalcDateA,$M1737),INDEX(CalcDateB,$N1737)))</f>
        <v/>
      </c>
      <c r="C1737" s="22">
        <f>IF($M1737&lt;&gt;"","خرید سبد",IF($N1737&lt;&gt;"",IF(N(INDEX(CalcDepB,$N1737))&gt;0,"دریافت بانکی","پرداخت بانکی"),""))</f>
        <v/>
      </c>
      <c r="D1737" s="22">
        <f>IF($M1737&lt;&gt;"",IF(INDEX(CalcDocA,$M1737)="","—",INDEX(CalcDocA,$M1737)),IF($N1737&lt;&gt;"",INDEX(CalcBankB,$N1737),""))</f>
        <v/>
      </c>
      <c r="E1737" s="23">
        <f>IF($N1737&lt;&gt;"",IF(INDEX(CalcDepB,$N1737)=0,"",INDEX(CalcDepB,$N1737)),"")</f>
        <v/>
      </c>
      <c r="F1737" s="23">
        <f>IF($M1737&lt;&gt;"",IF(INDEX(CalcQtyA,$M1737)=0,"",INDEX(CalcQtyA,$M1737)),"")</f>
        <v/>
      </c>
      <c r="G1737" s="23">
        <f>IF($M1737&lt;&gt;"",IF(INDEX(CalcPriceA,$M1737)=0,"",INDEX(CalcPriceA,$M1737)),"")</f>
        <v/>
      </c>
      <c r="H1737" s="23">
        <f>IF($N1737&lt;&gt;"",IF(INDEX(CalcWitB,$N1737)=0,"",INDEX(CalcWitB,$N1737)),"")</f>
        <v/>
      </c>
      <c r="I1737" s="24">
        <f>IF($M1737&lt;&gt;"",INDEX(CalcAmtA,$M1737),"")</f>
        <v/>
      </c>
      <c r="J1737" s="24">
        <f>IF($B1737="","",IF($J1736="",$C$8,$J1736)+IF($I1737="",0,$I1737)+IF($E1737="",0,$E1737)-IF($H1737="",0,$H1737))</f>
        <v/>
      </c>
      <c r="K1737" s="25">
        <f>IF($M1737&lt;&gt;"",IF(INDEX(CalcNoteA,$M1737)="","—",INDEX(CalcNoteA,$M1737)),IF($N1737&lt;&gt;"",IF(INDEX(CalcNoteB,$N1737)="","—",INDEX(CalcNoteB,$N1737)),""))</f>
        <v/>
      </c>
      <c r="M1737">
        <f>IFERROR(MATCH($C$5&amp;"|"&amp;RIGHT("000000"&amp;1721,6),CalcRankKeyA,0),"")</f>
        <v/>
      </c>
      <c r="N1737">
        <f>IFERROR(MATCH($C$5&amp;"|"&amp;RIGHT("000000"&amp;1721,6),CalcRankKeyB,0),"")</f>
        <v/>
      </c>
    </row>
    <row r="1738">
      <c r="A1738" s="26" t="n">
        <v>1722</v>
      </c>
      <c r="B1738" s="27">
        <f>IF(AND($M1738="",$N1738=""),"",IF($M1738&lt;&gt;"",INDEX(CalcDateA,$M1738),INDEX(CalcDateB,$N1738)))</f>
        <v/>
      </c>
      <c r="C1738" s="27">
        <f>IF($M1738&lt;&gt;"","خرید سبد",IF($N1738&lt;&gt;"",IF(N(INDEX(CalcDepB,$N1738))&gt;0,"دریافت بانکی","پرداخت بانکی"),""))</f>
        <v/>
      </c>
      <c r="D1738" s="27">
        <f>IF($M1738&lt;&gt;"",IF(INDEX(CalcDocA,$M1738)="","—",INDEX(CalcDocA,$M1738)),IF($N1738&lt;&gt;"",INDEX(CalcBankB,$N1738),""))</f>
        <v/>
      </c>
      <c r="E1738" s="28">
        <f>IF($N1738&lt;&gt;"",IF(INDEX(CalcDepB,$N1738)=0,"",INDEX(CalcDepB,$N1738)),"")</f>
        <v/>
      </c>
      <c r="F1738" s="28">
        <f>IF($M1738&lt;&gt;"",IF(INDEX(CalcQtyA,$M1738)=0,"",INDEX(CalcQtyA,$M1738)),"")</f>
        <v/>
      </c>
      <c r="G1738" s="28">
        <f>IF($M1738&lt;&gt;"",IF(INDEX(CalcPriceA,$M1738)=0,"",INDEX(CalcPriceA,$M1738)),"")</f>
        <v/>
      </c>
      <c r="H1738" s="28">
        <f>IF($N1738&lt;&gt;"",IF(INDEX(CalcWitB,$N1738)=0,"",INDEX(CalcWitB,$N1738)),"")</f>
        <v/>
      </c>
      <c r="I1738" s="29">
        <f>IF($M1738&lt;&gt;"",INDEX(CalcAmtA,$M1738),"")</f>
        <v/>
      </c>
      <c r="J1738" s="29">
        <f>IF($B1738="","",IF($J1737="",$C$8,$J1737)+IF($I1738="",0,$I1738)+IF($E1738="",0,$E1738)-IF($H1738="",0,$H1738))</f>
        <v/>
      </c>
      <c r="K1738" s="30">
        <f>IF($M1738&lt;&gt;"",IF(INDEX(CalcNoteA,$M1738)="","—",INDEX(CalcNoteA,$M1738)),IF($N1738&lt;&gt;"",IF(INDEX(CalcNoteB,$N1738)="","—",INDEX(CalcNoteB,$N1738)),""))</f>
        <v/>
      </c>
      <c r="M1738">
        <f>IFERROR(MATCH($C$5&amp;"|"&amp;RIGHT("000000"&amp;1722,6),CalcRankKeyA,0),"")</f>
        <v/>
      </c>
      <c r="N1738">
        <f>IFERROR(MATCH($C$5&amp;"|"&amp;RIGHT("000000"&amp;1722,6),CalcRankKeyB,0),"")</f>
        <v/>
      </c>
    </row>
    <row r="1739">
      <c r="A1739" s="21" t="n">
        <v>1723</v>
      </c>
      <c r="B1739" s="22">
        <f>IF(AND($M1739="",$N1739=""),"",IF($M1739&lt;&gt;"",INDEX(CalcDateA,$M1739),INDEX(CalcDateB,$N1739)))</f>
        <v/>
      </c>
      <c r="C1739" s="22">
        <f>IF($M1739&lt;&gt;"","خرید سبد",IF($N1739&lt;&gt;"",IF(N(INDEX(CalcDepB,$N1739))&gt;0,"دریافت بانکی","پرداخت بانکی"),""))</f>
        <v/>
      </c>
      <c r="D1739" s="22">
        <f>IF($M1739&lt;&gt;"",IF(INDEX(CalcDocA,$M1739)="","—",INDEX(CalcDocA,$M1739)),IF($N1739&lt;&gt;"",INDEX(CalcBankB,$N1739),""))</f>
        <v/>
      </c>
      <c r="E1739" s="23">
        <f>IF($N1739&lt;&gt;"",IF(INDEX(CalcDepB,$N1739)=0,"",INDEX(CalcDepB,$N1739)),"")</f>
        <v/>
      </c>
      <c r="F1739" s="23">
        <f>IF($M1739&lt;&gt;"",IF(INDEX(CalcQtyA,$M1739)=0,"",INDEX(CalcQtyA,$M1739)),"")</f>
        <v/>
      </c>
      <c r="G1739" s="23">
        <f>IF($M1739&lt;&gt;"",IF(INDEX(CalcPriceA,$M1739)=0,"",INDEX(CalcPriceA,$M1739)),"")</f>
        <v/>
      </c>
      <c r="H1739" s="23">
        <f>IF($N1739&lt;&gt;"",IF(INDEX(CalcWitB,$N1739)=0,"",INDEX(CalcWitB,$N1739)),"")</f>
        <v/>
      </c>
      <c r="I1739" s="24">
        <f>IF($M1739&lt;&gt;"",INDEX(CalcAmtA,$M1739),"")</f>
        <v/>
      </c>
      <c r="J1739" s="24">
        <f>IF($B1739="","",IF($J1738="",$C$8,$J1738)+IF($I1739="",0,$I1739)+IF($E1739="",0,$E1739)-IF($H1739="",0,$H1739))</f>
        <v/>
      </c>
      <c r="K1739" s="25">
        <f>IF($M1739&lt;&gt;"",IF(INDEX(CalcNoteA,$M1739)="","—",INDEX(CalcNoteA,$M1739)),IF($N1739&lt;&gt;"",IF(INDEX(CalcNoteB,$N1739)="","—",INDEX(CalcNoteB,$N1739)),""))</f>
        <v/>
      </c>
      <c r="M1739">
        <f>IFERROR(MATCH($C$5&amp;"|"&amp;RIGHT("000000"&amp;1723,6),CalcRankKeyA,0),"")</f>
        <v/>
      </c>
      <c r="N1739">
        <f>IFERROR(MATCH($C$5&amp;"|"&amp;RIGHT("000000"&amp;1723,6),CalcRankKeyB,0),"")</f>
        <v/>
      </c>
    </row>
    <row r="1740">
      <c r="A1740" s="26" t="n">
        <v>1724</v>
      </c>
      <c r="B1740" s="27">
        <f>IF(AND($M1740="",$N1740=""),"",IF($M1740&lt;&gt;"",INDEX(CalcDateA,$M1740),INDEX(CalcDateB,$N1740)))</f>
        <v/>
      </c>
      <c r="C1740" s="27">
        <f>IF($M1740&lt;&gt;"","خرید سبد",IF($N1740&lt;&gt;"",IF(N(INDEX(CalcDepB,$N1740))&gt;0,"دریافت بانکی","پرداخت بانکی"),""))</f>
        <v/>
      </c>
      <c r="D1740" s="27">
        <f>IF($M1740&lt;&gt;"",IF(INDEX(CalcDocA,$M1740)="","—",INDEX(CalcDocA,$M1740)),IF($N1740&lt;&gt;"",INDEX(CalcBankB,$N1740),""))</f>
        <v/>
      </c>
      <c r="E1740" s="28">
        <f>IF($N1740&lt;&gt;"",IF(INDEX(CalcDepB,$N1740)=0,"",INDEX(CalcDepB,$N1740)),"")</f>
        <v/>
      </c>
      <c r="F1740" s="28">
        <f>IF($M1740&lt;&gt;"",IF(INDEX(CalcQtyA,$M1740)=0,"",INDEX(CalcQtyA,$M1740)),"")</f>
        <v/>
      </c>
      <c r="G1740" s="28">
        <f>IF($M1740&lt;&gt;"",IF(INDEX(CalcPriceA,$M1740)=0,"",INDEX(CalcPriceA,$M1740)),"")</f>
        <v/>
      </c>
      <c r="H1740" s="28">
        <f>IF($N1740&lt;&gt;"",IF(INDEX(CalcWitB,$N1740)=0,"",INDEX(CalcWitB,$N1740)),"")</f>
        <v/>
      </c>
      <c r="I1740" s="29">
        <f>IF($M1740&lt;&gt;"",INDEX(CalcAmtA,$M1740),"")</f>
        <v/>
      </c>
      <c r="J1740" s="29">
        <f>IF($B1740="","",IF($J1739="",$C$8,$J1739)+IF($I1740="",0,$I1740)+IF($E1740="",0,$E1740)-IF($H1740="",0,$H1740))</f>
        <v/>
      </c>
      <c r="K1740" s="30">
        <f>IF($M1740&lt;&gt;"",IF(INDEX(CalcNoteA,$M1740)="","—",INDEX(CalcNoteA,$M1740)),IF($N1740&lt;&gt;"",IF(INDEX(CalcNoteB,$N1740)="","—",INDEX(CalcNoteB,$N1740)),""))</f>
        <v/>
      </c>
      <c r="M1740">
        <f>IFERROR(MATCH($C$5&amp;"|"&amp;RIGHT("000000"&amp;1724,6),CalcRankKeyA,0),"")</f>
        <v/>
      </c>
      <c r="N1740">
        <f>IFERROR(MATCH($C$5&amp;"|"&amp;RIGHT("000000"&amp;1724,6),CalcRankKeyB,0),"")</f>
        <v/>
      </c>
    </row>
    <row r="1741">
      <c r="A1741" s="21" t="n">
        <v>1725</v>
      </c>
      <c r="B1741" s="22">
        <f>IF(AND($M1741="",$N1741=""),"",IF($M1741&lt;&gt;"",INDEX(CalcDateA,$M1741),INDEX(CalcDateB,$N1741)))</f>
        <v/>
      </c>
      <c r="C1741" s="22">
        <f>IF($M1741&lt;&gt;"","خرید سبد",IF($N1741&lt;&gt;"",IF(N(INDEX(CalcDepB,$N1741))&gt;0,"دریافت بانکی","پرداخت بانکی"),""))</f>
        <v/>
      </c>
      <c r="D1741" s="22">
        <f>IF($M1741&lt;&gt;"",IF(INDEX(CalcDocA,$M1741)="","—",INDEX(CalcDocA,$M1741)),IF($N1741&lt;&gt;"",INDEX(CalcBankB,$N1741),""))</f>
        <v/>
      </c>
      <c r="E1741" s="23">
        <f>IF($N1741&lt;&gt;"",IF(INDEX(CalcDepB,$N1741)=0,"",INDEX(CalcDepB,$N1741)),"")</f>
        <v/>
      </c>
      <c r="F1741" s="23">
        <f>IF($M1741&lt;&gt;"",IF(INDEX(CalcQtyA,$M1741)=0,"",INDEX(CalcQtyA,$M1741)),"")</f>
        <v/>
      </c>
      <c r="G1741" s="23">
        <f>IF($M1741&lt;&gt;"",IF(INDEX(CalcPriceA,$M1741)=0,"",INDEX(CalcPriceA,$M1741)),"")</f>
        <v/>
      </c>
      <c r="H1741" s="23">
        <f>IF($N1741&lt;&gt;"",IF(INDEX(CalcWitB,$N1741)=0,"",INDEX(CalcWitB,$N1741)),"")</f>
        <v/>
      </c>
      <c r="I1741" s="24">
        <f>IF($M1741&lt;&gt;"",INDEX(CalcAmtA,$M1741),"")</f>
        <v/>
      </c>
      <c r="J1741" s="24">
        <f>IF($B1741="","",IF($J1740="",$C$8,$J1740)+IF($I1741="",0,$I1741)+IF($E1741="",0,$E1741)-IF($H1741="",0,$H1741))</f>
        <v/>
      </c>
      <c r="K1741" s="25">
        <f>IF($M1741&lt;&gt;"",IF(INDEX(CalcNoteA,$M1741)="","—",INDEX(CalcNoteA,$M1741)),IF($N1741&lt;&gt;"",IF(INDEX(CalcNoteB,$N1741)="","—",INDEX(CalcNoteB,$N1741)),""))</f>
        <v/>
      </c>
      <c r="M1741">
        <f>IFERROR(MATCH($C$5&amp;"|"&amp;RIGHT("000000"&amp;1725,6),CalcRankKeyA,0),"")</f>
        <v/>
      </c>
      <c r="N1741">
        <f>IFERROR(MATCH($C$5&amp;"|"&amp;RIGHT("000000"&amp;1725,6),CalcRankKeyB,0),"")</f>
        <v/>
      </c>
    </row>
    <row r="1742">
      <c r="A1742" s="26" t="n">
        <v>1726</v>
      </c>
      <c r="B1742" s="27">
        <f>IF(AND($M1742="",$N1742=""),"",IF($M1742&lt;&gt;"",INDEX(CalcDateA,$M1742),INDEX(CalcDateB,$N1742)))</f>
        <v/>
      </c>
      <c r="C1742" s="27">
        <f>IF($M1742&lt;&gt;"","خرید سبد",IF($N1742&lt;&gt;"",IF(N(INDEX(CalcDepB,$N1742))&gt;0,"دریافت بانکی","پرداخت بانکی"),""))</f>
        <v/>
      </c>
      <c r="D1742" s="27">
        <f>IF($M1742&lt;&gt;"",IF(INDEX(CalcDocA,$M1742)="","—",INDEX(CalcDocA,$M1742)),IF($N1742&lt;&gt;"",INDEX(CalcBankB,$N1742),""))</f>
        <v/>
      </c>
      <c r="E1742" s="28">
        <f>IF($N1742&lt;&gt;"",IF(INDEX(CalcDepB,$N1742)=0,"",INDEX(CalcDepB,$N1742)),"")</f>
        <v/>
      </c>
      <c r="F1742" s="28">
        <f>IF($M1742&lt;&gt;"",IF(INDEX(CalcQtyA,$M1742)=0,"",INDEX(CalcQtyA,$M1742)),"")</f>
        <v/>
      </c>
      <c r="G1742" s="28">
        <f>IF($M1742&lt;&gt;"",IF(INDEX(CalcPriceA,$M1742)=0,"",INDEX(CalcPriceA,$M1742)),"")</f>
        <v/>
      </c>
      <c r="H1742" s="28">
        <f>IF($N1742&lt;&gt;"",IF(INDEX(CalcWitB,$N1742)=0,"",INDEX(CalcWitB,$N1742)),"")</f>
        <v/>
      </c>
      <c r="I1742" s="29">
        <f>IF($M1742&lt;&gt;"",INDEX(CalcAmtA,$M1742),"")</f>
        <v/>
      </c>
      <c r="J1742" s="29">
        <f>IF($B1742="","",IF($J1741="",$C$8,$J1741)+IF($I1742="",0,$I1742)+IF($E1742="",0,$E1742)-IF($H1742="",0,$H1742))</f>
        <v/>
      </c>
      <c r="K1742" s="30">
        <f>IF($M1742&lt;&gt;"",IF(INDEX(CalcNoteA,$M1742)="","—",INDEX(CalcNoteA,$M1742)),IF($N1742&lt;&gt;"",IF(INDEX(CalcNoteB,$N1742)="","—",INDEX(CalcNoteB,$N1742)),""))</f>
        <v/>
      </c>
      <c r="M1742">
        <f>IFERROR(MATCH($C$5&amp;"|"&amp;RIGHT("000000"&amp;1726,6),CalcRankKeyA,0),"")</f>
        <v/>
      </c>
      <c r="N1742">
        <f>IFERROR(MATCH($C$5&amp;"|"&amp;RIGHT("000000"&amp;1726,6),CalcRankKeyB,0),"")</f>
        <v/>
      </c>
    </row>
    <row r="1743">
      <c r="A1743" s="21" t="n">
        <v>1727</v>
      </c>
      <c r="B1743" s="22">
        <f>IF(AND($M1743="",$N1743=""),"",IF($M1743&lt;&gt;"",INDEX(CalcDateA,$M1743),INDEX(CalcDateB,$N1743)))</f>
        <v/>
      </c>
      <c r="C1743" s="22">
        <f>IF($M1743&lt;&gt;"","خرید سبد",IF($N1743&lt;&gt;"",IF(N(INDEX(CalcDepB,$N1743))&gt;0,"دریافت بانکی","پرداخت بانکی"),""))</f>
        <v/>
      </c>
      <c r="D1743" s="22">
        <f>IF($M1743&lt;&gt;"",IF(INDEX(CalcDocA,$M1743)="","—",INDEX(CalcDocA,$M1743)),IF($N1743&lt;&gt;"",INDEX(CalcBankB,$N1743),""))</f>
        <v/>
      </c>
      <c r="E1743" s="23">
        <f>IF($N1743&lt;&gt;"",IF(INDEX(CalcDepB,$N1743)=0,"",INDEX(CalcDepB,$N1743)),"")</f>
        <v/>
      </c>
      <c r="F1743" s="23">
        <f>IF($M1743&lt;&gt;"",IF(INDEX(CalcQtyA,$M1743)=0,"",INDEX(CalcQtyA,$M1743)),"")</f>
        <v/>
      </c>
      <c r="G1743" s="23">
        <f>IF($M1743&lt;&gt;"",IF(INDEX(CalcPriceA,$M1743)=0,"",INDEX(CalcPriceA,$M1743)),"")</f>
        <v/>
      </c>
      <c r="H1743" s="23">
        <f>IF($N1743&lt;&gt;"",IF(INDEX(CalcWitB,$N1743)=0,"",INDEX(CalcWitB,$N1743)),"")</f>
        <v/>
      </c>
      <c r="I1743" s="24">
        <f>IF($M1743&lt;&gt;"",INDEX(CalcAmtA,$M1743),"")</f>
        <v/>
      </c>
      <c r="J1743" s="24">
        <f>IF($B1743="","",IF($J1742="",$C$8,$J1742)+IF($I1743="",0,$I1743)+IF($E1743="",0,$E1743)-IF($H1743="",0,$H1743))</f>
        <v/>
      </c>
      <c r="K1743" s="25">
        <f>IF($M1743&lt;&gt;"",IF(INDEX(CalcNoteA,$M1743)="","—",INDEX(CalcNoteA,$M1743)),IF($N1743&lt;&gt;"",IF(INDEX(CalcNoteB,$N1743)="","—",INDEX(CalcNoteB,$N1743)),""))</f>
        <v/>
      </c>
      <c r="M1743">
        <f>IFERROR(MATCH($C$5&amp;"|"&amp;RIGHT("000000"&amp;1727,6),CalcRankKeyA,0),"")</f>
        <v/>
      </c>
      <c r="N1743">
        <f>IFERROR(MATCH($C$5&amp;"|"&amp;RIGHT("000000"&amp;1727,6),CalcRankKeyB,0),"")</f>
        <v/>
      </c>
    </row>
    <row r="1744">
      <c r="A1744" s="26" t="n">
        <v>1728</v>
      </c>
      <c r="B1744" s="27">
        <f>IF(AND($M1744="",$N1744=""),"",IF($M1744&lt;&gt;"",INDEX(CalcDateA,$M1744),INDEX(CalcDateB,$N1744)))</f>
        <v/>
      </c>
      <c r="C1744" s="27">
        <f>IF($M1744&lt;&gt;"","خرید سبد",IF($N1744&lt;&gt;"",IF(N(INDEX(CalcDepB,$N1744))&gt;0,"دریافت بانکی","پرداخت بانکی"),""))</f>
        <v/>
      </c>
      <c r="D1744" s="27">
        <f>IF($M1744&lt;&gt;"",IF(INDEX(CalcDocA,$M1744)="","—",INDEX(CalcDocA,$M1744)),IF($N1744&lt;&gt;"",INDEX(CalcBankB,$N1744),""))</f>
        <v/>
      </c>
      <c r="E1744" s="28">
        <f>IF($N1744&lt;&gt;"",IF(INDEX(CalcDepB,$N1744)=0,"",INDEX(CalcDepB,$N1744)),"")</f>
        <v/>
      </c>
      <c r="F1744" s="28">
        <f>IF($M1744&lt;&gt;"",IF(INDEX(CalcQtyA,$M1744)=0,"",INDEX(CalcQtyA,$M1744)),"")</f>
        <v/>
      </c>
      <c r="G1744" s="28">
        <f>IF($M1744&lt;&gt;"",IF(INDEX(CalcPriceA,$M1744)=0,"",INDEX(CalcPriceA,$M1744)),"")</f>
        <v/>
      </c>
      <c r="H1744" s="28">
        <f>IF($N1744&lt;&gt;"",IF(INDEX(CalcWitB,$N1744)=0,"",INDEX(CalcWitB,$N1744)),"")</f>
        <v/>
      </c>
      <c r="I1744" s="29">
        <f>IF($M1744&lt;&gt;"",INDEX(CalcAmtA,$M1744),"")</f>
        <v/>
      </c>
      <c r="J1744" s="29">
        <f>IF($B1744="","",IF($J1743="",$C$8,$J1743)+IF($I1744="",0,$I1744)+IF($E1744="",0,$E1744)-IF($H1744="",0,$H1744))</f>
        <v/>
      </c>
      <c r="K1744" s="30">
        <f>IF($M1744&lt;&gt;"",IF(INDEX(CalcNoteA,$M1744)="","—",INDEX(CalcNoteA,$M1744)),IF($N1744&lt;&gt;"",IF(INDEX(CalcNoteB,$N1744)="","—",INDEX(CalcNoteB,$N1744)),""))</f>
        <v/>
      </c>
      <c r="M1744">
        <f>IFERROR(MATCH($C$5&amp;"|"&amp;RIGHT("000000"&amp;1728,6),CalcRankKeyA,0),"")</f>
        <v/>
      </c>
      <c r="N1744">
        <f>IFERROR(MATCH($C$5&amp;"|"&amp;RIGHT("000000"&amp;1728,6),CalcRankKeyB,0),"")</f>
        <v/>
      </c>
    </row>
    <row r="1745">
      <c r="A1745" s="21" t="n">
        <v>1729</v>
      </c>
      <c r="B1745" s="22">
        <f>IF(AND($M1745="",$N1745=""),"",IF($M1745&lt;&gt;"",INDEX(CalcDateA,$M1745),INDEX(CalcDateB,$N1745)))</f>
        <v/>
      </c>
      <c r="C1745" s="22">
        <f>IF($M1745&lt;&gt;"","خرید سبد",IF($N1745&lt;&gt;"",IF(N(INDEX(CalcDepB,$N1745))&gt;0,"دریافت بانکی","پرداخت بانکی"),""))</f>
        <v/>
      </c>
      <c r="D1745" s="22">
        <f>IF($M1745&lt;&gt;"",IF(INDEX(CalcDocA,$M1745)="","—",INDEX(CalcDocA,$M1745)),IF($N1745&lt;&gt;"",INDEX(CalcBankB,$N1745),""))</f>
        <v/>
      </c>
      <c r="E1745" s="23">
        <f>IF($N1745&lt;&gt;"",IF(INDEX(CalcDepB,$N1745)=0,"",INDEX(CalcDepB,$N1745)),"")</f>
        <v/>
      </c>
      <c r="F1745" s="23">
        <f>IF($M1745&lt;&gt;"",IF(INDEX(CalcQtyA,$M1745)=0,"",INDEX(CalcQtyA,$M1745)),"")</f>
        <v/>
      </c>
      <c r="G1745" s="23">
        <f>IF($M1745&lt;&gt;"",IF(INDEX(CalcPriceA,$M1745)=0,"",INDEX(CalcPriceA,$M1745)),"")</f>
        <v/>
      </c>
      <c r="H1745" s="23">
        <f>IF($N1745&lt;&gt;"",IF(INDEX(CalcWitB,$N1745)=0,"",INDEX(CalcWitB,$N1745)),"")</f>
        <v/>
      </c>
      <c r="I1745" s="24">
        <f>IF($M1745&lt;&gt;"",INDEX(CalcAmtA,$M1745),"")</f>
        <v/>
      </c>
      <c r="J1745" s="24">
        <f>IF($B1745="","",IF($J1744="",$C$8,$J1744)+IF($I1745="",0,$I1745)+IF($E1745="",0,$E1745)-IF($H1745="",0,$H1745))</f>
        <v/>
      </c>
      <c r="K1745" s="25">
        <f>IF($M1745&lt;&gt;"",IF(INDEX(CalcNoteA,$M1745)="","—",INDEX(CalcNoteA,$M1745)),IF($N1745&lt;&gt;"",IF(INDEX(CalcNoteB,$N1745)="","—",INDEX(CalcNoteB,$N1745)),""))</f>
        <v/>
      </c>
      <c r="M1745">
        <f>IFERROR(MATCH($C$5&amp;"|"&amp;RIGHT("000000"&amp;1729,6),CalcRankKeyA,0),"")</f>
        <v/>
      </c>
      <c r="N1745">
        <f>IFERROR(MATCH($C$5&amp;"|"&amp;RIGHT("000000"&amp;1729,6),CalcRankKeyB,0),"")</f>
        <v/>
      </c>
    </row>
    <row r="1746">
      <c r="A1746" s="26" t="n">
        <v>1730</v>
      </c>
      <c r="B1746" s="27">
        <f>IF(AND($M1746="",$N1746=""),"",IF($M1746&lt;&gt;"",INDEX(CalcDateA,$M1746),INDEX(CalcDateB,$N1746)))</f>
        <v/>
      </c>
      <c r="C1746" s="27">
        <f>IF($M1746&lt;&gt;"","خرید سبد",IF($N1746&lt;&gt;"",IF(N(INDEX(CalcDepB,$N1746))&gt;0,"دریافت بانکی","پرداخت بانکی"),""))</f>
        <v/>
      </c>
      <c r="D1746" s="27">
        <f>IF($M1746&lt;&gt;"",IF(INDEX(CalcDocA,$M1746)="","—",INDEX(CalcDocA,$M1746)),IF($N1746&lt;&gt;"",INDEX(CalcBankB,$N1746),""))</f>
        <v/>
      </c>
      <c r="E1746" s="28">
        <f>IF($N1746&lt;&gt;"",IF(INDEX(CalcDepB,$N1746)=0,"",INDEX(CalcDepB,$N1746)),"")</f>
        <v/>
      </c>
      <c r="F1746" s="28">
        <f>IF($M1746&lt;&gt;"",IF(INDEX(CalcQtyA,$M1746)=0,"",INDEX(CalcQtyA,$M1746)),"")</f>
        <v/>
      </c>
      <c r="G1746" s="28">
        <f>IF($M1746&lt;&gt;"",IF(INDEX(CalcPriceA,$M1746)=0,"",INDEX(CalcPriceA,$M1746)),"")</f>
        <v/>
      </c>
      <c r="H1746" s="28">
        <f>IF($N1746&lt;&gt;"",IF(INDEX(CalcWitB,$N1746)=0,"",INDEX(CalcWitB,$N1746)),"")</f>
        <v/>
      </c>
      <c r="I1746" s="29">
        <f>IF($M1746&lt;&gt;"",INDEX(CalcAmtA,$M1746),"")</f>
        <v/>
      </c>
      <c r="J1746" s="29">
        <f>IF($B1746="","",IF($J1745="",$C$8,$J1745)+IF($I1746="",0,$I1746)+IF($E1746="",0,$E1746)-IF($H1746="",0,$H1746))</f>
        <v/>
      </c>
      <c r="K1746" s="30">
        <f>IF($M1746&lt;&gt;"",IF(INDEX(CalcNoteA,$M1746)="","—",INDEX(CalcNoteA,$M1746)),IF($N1746&lt;&gt;"",IF(INDEX(CalcNoteB,$N1746)="","—",INDEX(CalcNoteB,$N1746)),""))</f>
        <v/>
      </c>
      <c r="M1746">
        <f>IFERROR(MATCH($C$5&amp;"|"&amp;RIGHT("000000"&amp;1730,6),CalcRankKeyA,0),"")</f>
        <v/>
      </c>
      <c r="N1746">
        <f>IFERROR(MATCH($C$5&amp;"|"&amp;RIGHT("000000"&amp;1730,6),CalcRankKeyB,0),"")</f>
        <v/>
      </c>
    </row>
    <row r="1747">
      <c r="A1747" s="21" t="n">
        <v>1731</v>
      </c>
      <c r="B1747" s="22">
        <f>IF(AND($M1747="",$N1747=""),"",IF($M1747&lt;&gt;"",INDEX(CalcDateA,$M1747),INDEX(CalcDateB,$N1747)))</f>
        <v/>
      </c>
      <c r="C1747" s="22">
        <f>IF($M1747&lt;&gt;"","خرید سبد",IF($N1747&lt;&gt;"",IF(N(INDEX(CalcDepB,$N1747))&gt;0,"دریافت بانکی","پرداخت بانکی"),""))</f>
        <v/>
      </c>
      <c r="D1747" s="22">
        <f>IF($M1747&lt;&gt;"",IF(INDEX(CalcDocA,$M1747)="","—",INDEX(CalcDocA,$M1747)),IF($N1747&lt;&gt;"",INDEX(CalcBankB,$N1747),""))</f>
        <v/>
      </c>
      <c r="E1747" s="23">
        <f>IF($N1747&lt;&gt;"",IF(INDEX(CalcDepB,$N1747)=0,"",INDEX(CalcDepB,$N1747)),"")</f>
        <v/>
      </c>
      <c r="F1747" s="23">
        <f>IF($M1747&lt;&gt;"",IF(INDEX(CalcQtyA,$M1747)=0,"",INDEX(CalcQtyA,$M1747)),"")</f>
        <v/>
      </c>
      <c r="G1747" s="23">
        <f>IF($M1747&lt;&gt;"",IF(INDEX(CalcPriceA,$M1747)=0,"",INDEX(CalcPriceA,$M1747)),"")</f>
        <v/>
      </c>
      <c r="H1747" s="23">
        <f>IF($N1747&lt;&gt;"",IF(INDEX(CalcWitB,$N1747)=0,"",INDEX(CalcWitB,$N1747)),"")</f>
        <v/>
      </c>
      <c r="I1747" s="24">
        <f>IF($M1747&lt;&gt;"",INDEX(CalcAmtA,$M1747),"")</f>
        <v/>
      </c>
      <c r="J1747" s="24">
        <f>IF($B1747="","",IF($J1746="",$C$8,$J1746)+IF($I1747="",0,$I1747)+IF($E1747="",0,$E1747)-IF($H1747="",0,$H1747))</f>
        <v/>
      </c>
      <c r="K1747" s="25">
        <f>IF($M1747&lt;&gt;"",IF(INDEX(CalcNoteA,$M1747)="","—",INDEX(CalcNoteA,$M1747)),IF($N1747&lt;&gt;"",IF(INDEX(CalcNoteB,$N1747)="","—",INDEX(CalcNoteB,$N1747)),""))</f>
        <v/>
      </c>
      <c r="M1747">
        <f>IFERROR(MATCH($C$5&amp;"|"&amp;RIGHT("000000"&amp;1731,6),CalcRankKeyA,0),"")</f>
        <v/>
      </c>
      <c r="N1747">
        <f>IFERROR(MATCH($C$5&amp;"|"&amp;RIGHT("000000"&amp;1731,6),CalcRankKeyB,0),"")</f>
        <v/>
      </c>
    </row>
    <row r="1748">
      <c r="A1748" s="26" t="n">
        <v>1732</v>
      </c>
      <c r="B1748" s="27">
        <f>IF(AND($M1748="",$N1748=""),"",IF($M1748&lt;&gt;"",INDEX(CalcDateA,$M1748),INDEX(CalcDateB,$N1748)))</f>
        <v/>
      </c>
      <c r="C1748" s="27">
        <f>IF($M1748&lt;&gt;"","خرید سبد",IF($N1748&lt;&gt;"",IF(N(INDEX(CalcDepB,$N1748))&gt;0,"دریافت بانکی","پرداخت بانکی"),""))</f>
        <v/>
      </c>
      <c r="D1748" s="27">
        <f>IF($M1748&lt;&gt;"",IF(INDEX(CalcDocA,$M1748)="","—",INDEX(CalcDocA,$M1748)),IF($N1748&lt;&gt;"",INDEX(CalcBankB,$N1748),""))</f>
        <v/>
      </c>
      <c r="E1748" s="28">
        <f>IF($N1748&lt;&gt;"",IF(INDEX(CalcDepB,$N1748)=0,"",INDEX(CalcDepB,$N1748)),"")</f>
        <v/>
      </c>
      <c r="F1748" s="28">
        <f>IF($M1748&lt;&gt;"",IF(INDEX(CalcQtyA,$M1748)=0,"",INDEX(CalcQtyA,$M1748)),"")</f>
        <v/>
      </c>
      <c r="G1748" s="28">
        <f>IF($M1748&lt;&gt;"",IF(INDEX(CalcPriceA,$M1748)=0,"",INDEX(CalcPriceA,$M1748)),"")</f>
        <v/>
      </c>
      <c r="H1748" s="28">
        <f>IF($N1748&lt;&gt;"",IF(INDEX(CalcWitB,$N1748)=0,"",INDEX(CalcWitB,$N1748)),"")</f>
        <v/>
      </c>
      <c r="I1748" s="29">
        <f>IF($M1748&lt;&gt;"",INDEX(CalcAmtA,$M1748),"")</f>
        <v/>
      </c>
      <c r="J1748" s="29">
        <f>IF($B1748="","",IF($J1747="",$C$8,$J1747)+IF($I1748="",0,$I1748)+IF($E1748="",0,$E1748)-IF($H1748="",0,$H1748))</f>
        <v/>
      </c>
      <c r="K1748" s="30">
        <f>IF($M1748&lt;&gt;"",IF(INDEX(CalcNoteA,$M1748)="","—",INDEX(CalcNoteA,$M1748)),IF($N1748&lt;&gt;"",IF(INDEX(CalcNoteB,$N1748)="","—",INDEX(CalcNoteB,$N1748)),""))</f>
        <v/>
      </c>
      <c r="M1748">
        <f>IFERROR(MATCH($C$5&amp;"|"&amp;RIGHT("000000"&amp;1732,6),CalcRankKeyA,0),"")</f>
        <v/>
      </c>
      <c r="N1748">
        <f>IFERROR(MATCH($C$5&amp;"|"&amp;RIGHT("000000"&amp;1732,6),CalcRankKeyB,0),"")</f>
        <v/>
      </c>
    </row>
    <row r="1749">
      <c r="A1749" s="21" t="n">
        <v>1733</v>
      </c>
      <c r="B1749" s="22">
        <f>IF(AND($M1749="",$N1749=""),"",IF($M1749&lt;&gt;"",INDEX(CalcDateA,$M1749),INDEX(CalcDateB,$N1749)))</f>
        <v/>
      </c>
      <c r="C1749" s="22">
        <f>IF($M1749&lt;&gt;"","خرید سبد",IF($N1749&lt;&gt;"",IF(N(INDEX(CalcDepB,$N1749))&gt;0,"دریافت بانکی","پرداخت بانکی"),""))</f>
        <v/>
      </c>
      <c r="D1749" s="22">
        <f>IF($M1749&lt;&gt;"",IF(INDEX(CalcDocA,$M1749)="","—",INDEX(CalcDocA,$M1749)),IF($N1749&lt;&gt;"",INDEX(CalcBankB,$N1749),""))</f>
        <v/>
      </c>
      <c r="E1749" s="23">
        <f>IF($N1749&lt;&gt;"",IF(INDEX(CalcDepB,$N1749)=0,"",INDEX(CalcDepB,$N1749)),"")</f>
        <v/>
      </c>
      <c r="F1749" s="23">
        <f>IF($M1749&lt;&gt;"",IF(INDEX(CalcQtyA,$M1749)=0,"",INDEX(CalcQtyA,$M1749)),"")</f>
        <v/>
      </c>
      <c r="G1749" s="23">
        <f>IF($M1749&lt;&gt;"",IF(INDEX(CalcPriceA,$M1749)=0,"",INDEX(CalcPriceA,$M1749)),"")</f>
        <v/>
      </c>
      <c r="H1749" s="23">
        <f>IF($N1749&lt;&gt;"",IF(INDEX(CalcWitB,$N1749)=0,"",INDEX(CalcWitB,$N1749)),"")</f>
        <v/>
      </c>
      <c r="I1749" s="24">
        <f>IF($M1749&lt;&gt;"",INDEX(CalcAmtA,$M1749),"")</f>
        <v/>
      </c>
      <c r="J1749" s="24">
        <f>IF($B1749="","",IF($J1748="",$C$8,$J1748)+IF($I1749="",0,$I1749)+IF($E1749="",0,$E1749)-IF($H1749="",0,$H1749))</f>
        <v/>
      </c>
      <c r="K1749" s="25">
        <f>IF($M1749&lt;&gt;"",IF(INDEX(CalcNoteA,$M1749)="","—",INDEX(CalcNoteA,$M1749)),IF($N1749&lt;&gt;"",IF(INDEX(CalcNoteB,$N1749)="","—",INDEX(CalcNoteB,$N1749)),""))</f>
        <v/>
      </c>
      <c r="M1749">
        <f>IFERROR(MATCH($C$5&amp;"|"&amp;RIGHT("000000"&amp;1733,6),CalcRankKeyA,0),"")</f>
        <v/>
      </c>
      <c r="N1749">
        <f>IFERROR(MATCH($C$5&amp;"|"&amp;RIGHT("000000"&amp;1733,6),CalcRankKeyB,0),"")</f>
        <v/>
      </c>
    </row>
    <row r="1750">
      <c r="A1750" s="26" t="n">
        <v>1734</v>
      </c>
      <c r="B1750" s="27">
        <f>IF(AND($M1750="",$N1750=""),"",IF($M1750&lt;&gt;"",INDEX(CalcDateA,$M1750),INDEX(CalcDateB,$N1750)))</f>
        <v/>
      </c>
      <c r="C1750" s="27">
        <f>IF($M1750&lt;&gt;"","خرید سبد",IF($N1750&lt;&gt;"",IF(N(INDEX(CalcDepB,$N1750))&gt;0,"دریافت بانکی","پرداخت بانکی"),""))</f>
        <v/>
      </c>
      <c r="D1750" s="27">
        <f>IF($M1750&lt;&gt;"",IF(INDEX(CalcDocA,$M1750)="","—",INDEX(CalcDocA,$M1750)),IF($N1750&lt;&gt;"",INDEX(CalcBankB,$N1750),""))</f>
        <v/>
      </c>
      <c r="E1750" s="28">
        <f>IF($N1750&lt;&gt;"",IF(INDEX(CalcDepB,$N1750)=0,"",INDEX(CalcDepB,$N1750)),"")</f>
        <v/>
      </c>
      <c r="F1750" s="28">
        <f>IF($M1750&lt;&gt;"",IF(INDEX(CalcQtyA,$M1750)=0,"",INDEX(CalcQtyA,$M1750)),"")</f>
        <v/>
      </c>
      <c r="G1750" s="28">
        <f>IF($M1750&lt;&gt;"",IF(INDEX(CalcPriceA,$M1750)=0,"",INDEX(CalcPriceA,$M1750)),"")</f>
        <v/>
      </c>
      <c r="H1750" s="28">
        <f>IF($N1750&lt;&gt;"",IF(INDEX(CalcWitB,$N1750)=0,"",INDEX(CalcWitB,$N1750)),"")</f>
        <v/>
      </c>
      <c r="I1750" s="29">
        <f>IF($M1750&lt;&gt;"",INDEX(CalcAmtA,$M1750),"")</f>
        <v/>
      </c>
      <c r="J1750" s="29">
        <f>IF($B1750="","",IF($J1749="",$C$8,$J1749)+IF($I1750="",0,$I1750)+IF($E1750="",0,$E1750)-IF($H1750="",0,$H1750))</f>
        <v/>
      </c>
      <c r="K1750" s="30">
        <f>IF($M1750&lt;&gt;"",IF(INDEX(CalcNoteA,$M1750)="","—",INDEX(CalcNoteA,$M1750)),IF($N1750&lt;&gt;"",IF(INDEX(CalcNoteB,$N1750)="","—",INDEX(CalcNoteB,$N1750)),""))</f>
        <v/>
      </c>
      <c r="M1750">
        <f>IFERROR(MATCH($C$5&amp;"|"&amp;RIGHT("000000"&amp;1734,6),CalcRankKeyA,0),"")</f>
        <v/>
      </c>
      <c r="N1750">
        <f>IFERROR(MATCH($C$5&amp;"|"&amp;RIGHT("000000"&amp;1734,6),CalcRankKeyB,0),"")</f>
        <v/>
      </c>
    </row>
    <row r="1751">
      <c r="A1751" s="21" t="n">
        <v>1735</v>
      </c>
      <c r="B1751" s="22">
        <f>IF(AND($M1751="",$N1751=""),"",IF($M1751&lt;&gt;"",INDEX(CalcDateA,$M1751),INDEX(CalcDateB,$N1751)))</f>
        <v/>
      </c>
      <c r="C1751" s="22">
        <f>IF($M1751&lt;&gt;"","خرید سبد",IF($N1751&lt;&gt;"",IF(N(INDEX(CalcDepB,$N1751))&gt;0,"دریافت بانکی","پرداخت بانکی"),""))</f>
        <v/>
      </c>
      <c r="D1751" s="22">
        <f>IF($M1751&lt;&gt;"",IF(INDEX(CalcDocA,$M1751)="","—",INDEX(CalcDocA,$M1751)),IF($N1751&lt;&gt;"",INDEX(CalcBankB,$N1751),""))</f>
        <v/>
      </c>
      <c r="E1751" s="23">
        <f>IF($N1751&lt;&gt;"",IF(INDEX(CalcDepB,$N1751)=0,"",INDEX(CalcDepB,$N1751)),"")</f>
        <v/>
      </c>
      <c r="F1751" s="23">
        <f>IF($M1751&lt;&gt;"",IF(INDEX(CalcQtyA,$M1751)=0,"",INDEX(CalcQtyA,$M1751)),"")</f>
        <v/>
      </c>
      <c r="G1751" s="23">
        <f>IF($M1751&lt;&gt;"",IF(INDEX(CalcPriceA,$M1751)=0,"",INDEX(CalcPriceA,$M1751)),"")</f>
        <v/>
      </c>
      <c r="H1751" s="23">
        <f>IF($N1751&lt;&gt;"",IF(INDEX(CalcWitB,$N1751)=0,"",INDEX(CalcWitB,$N1751)),"")</f>
        <v/>
      </c>
      <c r="I1751" s="24">
        <f>IF($M1751&lt;&gt;"",INDEX(CalcAmtA,$M1751),"")</f>
        <v/>
      </c>
      <c r="J1751" s="24">
        <f>IF($B1751="","",IF($J1750="",$C$8,$J1750)+IF($I1751="",0,$I1751)+IF($E1751="",0,$E1751)-IF($H1751="",0,$H1751))</f>
        <v/>
      </c>
      <c r="K1751" s="25">
        <f>IF($M1751&lt;&gt;"",IF(INDEX(CalcNoteA,$M1751)="","—",INDEX(CalcNoteA,$M1751)),IF($N1751&lt;&gt;"",IF(INDEX(CalcNoteB,$N1751)="","—",INDEX(CalcNoteB,$N1751)),""))</f>
        <v/>
      </c>
      <c r="M1751">
        <f>IFERROR(MATCH($C$5&amp;"|"&amp;RIGHT("000000"&amp;1735,6),CalcRankKeyA,0),"")</f>
        <v/>
      </c>
      <c r="N1751">
        <f>IFERROR(MATCH($C$5&amp;"|"&amp;RIGHT("000000"&amp;1735,6),CalcRankKeyB,0),"")</f>
        <v/>
      </c>
    </row>
    <row r="1752">
      <c r="A1752" s="26" t="n">
        <v>1736</v>
      </c>
      <c r="B1752" s="27">
        <f>IF(AND($M1752="",$N1752=""),"",IF($M1752&lt;&gt;"",INDEX(CalcDateA,$M1752),INDEX(CalcDateB,$N1752)))</f>
        <v/>
      </c>
      <c r="C1752" s="27">
        <f>IF($M1752&lt;&gt;"","خرید سبد",IF($N1752&lt;&gt;"",IF(N(INDEX(CalcDepB,$N1752))&gt;0,"دریافت بانکی","پرداخت بانکی"),""))</f>
        <v/>
      </c>
      <c r="D1752" s="27">
        <f>IF($M1752&lt;&gt;"",IF(INDEX(CalcDocA,$M1752)="","—",INDEX(CalcDocA,$M1752)),IF($N1752&lt;&gt;"",INDEX(CalcBankB,$N1752),""))</f>
        <v/>
      </c>
      <c r="E1752" s="28">
        <f>IF($N1752&lt;&gt;"",IF(INDEX(CalcDepB,$N1752)=0,"",INDEX(CalcDepB,$N1752)),"")</f>
        <v/>
      </c>
      <c r="F1752" s="28">
        <f>IF($M1752&lt;&gt;"",IF(INDEX(CalcQtyA,$M1752)=0,"",INDEX(CalcQtyA,$M1752)),"")</f>
        <v/>
      </c>
      <c r="G1752" s="28">
        <f>IF($M1752&lt;&gt;"",IF(INDEX(CalcPriceA,$M1752)=0,"",INDEX(CalcPriceA,$M1752)),"")</f>
        <v/>
      </c>
      <c r="H1752" s="28">
        <f>IF($N1752&lt;&gt;"",IF(INDEX(CalcWitB,$N1752)=0,"",INDEX(CalcWitB,$N1752)),"")</f>
        <v/>
      </c>
      <c r="I1752" s="29">
        <f>IF($M1752&lt;&gt;"",INDEX(CalcAmtA,$M1752),"")</f>
        <v/>
      </c>
      <c r="J1752" s="29">
        <f>IF($B1752="","",IF($J1751="",$C$8,$J1751)+IF($I1752="",0,$I1752)+IF($E1752="",0,$E1752)-IF($H1752="",0,$H1752))</f>
        <v/>
      </c>
      <c r="K1752" s="30">
        <f>IF($M1752&lt;&gt;"",IF(INDEX(CalcNoteA,$M1752)="","—",INDEX(CalcNoteA,$M1752)),IF($N1752&lt;&gt;"",IF(INDEX(CalcNoteB,$N1752)="","—",INDEX(CalcNoteB,$N1752)),""))</f>
        <v/>
      </c>
      <c r="M1752">
        <f>IFERROR(MATCH($C$5&amp;"|"&amp;RIGHT("000000"&amp;1736,6),CalcRankKeyA,0),"")</f>
        <v/>
      </c>
      <c r="N1752">
        <f>IFERROR(MATCH($C$5&amp;"|"&amp;RIGHT("000000"&amp;1736,6),CalcRankKeyB,0),"")</f>
        <v/>
      </c>
    </row>
    <row r="1753">
      <c r="A1753" s="21" t="n">
        <v>1737</v>
      </c>
      <c r="B1753" s="22">
        <f>IF(AND($M1753="",$N1753=""),"",IF($M1753&lt;&gt;"",INDEX(CalcDateA,$M1753),INDEX(CalcDateB,$N1753)))</f>
        <v/>
      </c>
      <c r="C1753" s="22">
        <f>IF($M1753&lt;&gt;"","خرید سبد",IF($N1753&lt;&gt;"",IF(N(INDEX(CalcDepB,$N1753))&gt;0,"دریافت بانکی","پرداخت بانکی"),""))</f>
        <v/>
      </c>
      <c r="D1753" s="22">
        <f>IF($M1753&lt;&gt;"",IF(INDEX(CalcDocA,$M1753)="","—",INDEX(CalcDocA,$M1753)),IF($N1753&lt;&gt;"",INDEX(CalcBankB,$N1753),""))</f>
        <v/>
      </c>
      <c r="E1753" s="23">
        <f>IF($N1753&lt;&gt;"",IF(INDEX(CalcDepB,$N1753)=0,"",INDEX(CalcDepB,$N1753)),"")</f>
        <v/>
      </c>
      <c r="F1753" s="23">
        <f>IF($M1753&lt;&gt;"",IF(INDEX(CalcQtyA,$M1753)=0,"",INDEX(CalcQtyA,$M1753)),"")</f>
        <v/>
      </c>
      <c r="G1753" s="23">
        <f>IF($M1753&lt;&gt;"",IF(INDEX(CalcPriceA,$M1753)=0,"",INDEX(CalcPriceA,$M1753)),"")</f>
        <v/>
      </c>
      <c r="H1753" s="23">
        <f>IF($N1753&lt;&gt;"",IF(INDEX(CalcWitB,$N1753)=0,"",INDEX(CalcWitB,$N1753)),"")</f>
        <v/>
      </c>
      <c r="I1753" s="24">
        <f>IF($M1753&lt;&gt;"",INDEX(CalcAmtA,$M1753),"")</f>
        <v/>
      </c>
      <c r="J1753" s="24">
        <f>IF($B1753="","",IF($J1752="",$C$8,$J1752)+IF($I1753="",0,$I1753)+IF($E1753="",0,$E1753)-IF($H1753="",0,$H1753))</f>
        <v/>
      </c>
      <c r="K1753" s="25">
        <f>IF($M1753&lt;&gt;"",IF(INDEX(CalcNoteA,$M1753)="","—",INDEX(CalcNoteA,$M1753)),IF($N1753&lt;&gt;"",IF(INDEX(CalcNoteB,$N1753)="","—",INDEX(CalcNoteB,$N1753)),""))</f>
        <v/>
      </c>
      <c r="M1753">
        <f>IFERROR(MATCH($C$5&amp;"|"&amp;RIGHT("000000"&amp;1737,6),CalcRankKeyA,0),"")</f>
        <v/>
      </c>
      <c r="N1753">
        <f>IFERROR(MATCH($C$5&amp;"|"&amp;RIGHT("000000"&amp;1737,6),CalcRankKeyB,0),"")</f>
        <v/>
      </c>
    </row>
    <row r="1754">
      <c r="A1754" s="26" t="n">
        <v>1738</v>
      </c>
      <c r="B1754" s="27">
        <f>IF(AND($M1754="",$N1754=""),"",IF($M1754&lt;&gt;"",INDEX(CalcDateA,$M1754),INDEX(CalcDateB,$N1754)))</f>
        <v/>
      </c>
      <c r="C1754" s="27">
        <f>IF($M1754&lt;&gt;"","خرید سبد",IF($N1754&lt;&gt;"",IF(N(INDEX(CalcDepB,$N1754))&gt;0,"دریافت بانکی","پرداخت بانکی"),""))</f>
        <v/>
      </c>
      <c r="D1754" s="27">
        <f>IF($M1754&lt;&gt;"",IF(INDEX(CalcDocA,$M1754)="","—",INDEX(CalcDocA,$M1754)),IF($N1754&lt;&gt;"",INDEX(CalcBankB,$N1754),""))</f>
        <v/>
      </c>
      <c r="E1754" s="28">
        <f>IF($N1754&lt;&gt;"",IF(INDEX(CalcDepB,$N1754)=0,"",INDEX(CalcDepB,$N1754)),"")</f>
        <v/>
      </c>
      <c r="F1754" s="28">
        <f>IF($M1754&lt;&gt;"",IF(INDEX(CalcQtyA,$M1754)=0,"",INDEX(CalcQtyA,$M1754)),"")</f>
        <v/>
      </c>
      <c r="G1754" s="28">
        <f>IF($M1754&lt;&gt;"",IF(INDEX(CalcPriceA,$M1754)=0,"",INDEX(CalcPriceA,$M1754)),"")</f>
        <v/>
      </c>
      <c r="H1754" s="28">
        <f>IF($N1754&lt;&gt;"",IF(INDEX(CalcWitB,$N1754)=0,"",INDEX(CalcWitB,$N1754)),"")</f>
        <v/>
      </c>
      <c r="I1754" s="29">
        <f>IF($M1754&lt;&gt;"",INDEX(CalcAmtA,$M1754),"")</f>
        <v/>
      </c>
      <c r="J1754" s="29">
        <f>IF($B1754="","",IF($J1753="",$C$8,$J1753)+IF($I1754="",0,$I1754)+IF($E1754="",0,$E1754)-IF($H1754="",0,$H1754))</f>
        <v/>
      </c>
      <c r="K1754" s="30">
        <f>IF($M1754&lt;&gt;"",IF(INDEX(CalcNoteA,$M1754)="","—",INDEX(CalcNoteA,$M1754)),IF($N1754&lt;&gt;"",IF(INDEX(CalcNoteB,$N1754)="","—",INDEX(CalcNoteB,$N1754)),""))</f>
        <v/>
      </c>
      <c r="M1754">
        <f>IFERROR(MATCH($C$5&amp;"|"&amp;RIGHT("000000"&amp;1738,6),CalcRankKeyA,0),"")</f>
        <v/>
      </c>
      <c r="N1754">
        <f>IFERROR(MATCH($C$5&amp;"|"&amp;RIGHT("000000"&amp;1738,6),CalcRankKeyB,0),"")</f>
        <v/>
      </c>
    </row>
    <row r="1755">
      <c r="A1755" s="21" t="n">
        <v>1739</v>
      </c>
      <c r="B1755" s="22">
        <f>IF(AND($M1755="",$N1755=""),"",IF($M1755&lt;&gt;"",INDEX(CalcDateA,$M1755),INDEX(CalcDateB,$N1755)))</f>
        <v/>
      </c>
      <c r="C1755" s="22">
        <f>IF($M1755&lt;&gt;"","خرید سبد",IF($N1755&lt;&gt;"",IF(N(INDEX(CalcDepB,$N1755))&gt;0,"دریافت بانکی","پرداخت بانکی"),""))</f>
        <v/>
      </c>
      <c r="D1755" s="22">
        <f>IF($M1755&lt;&gt;"",IF(INDEX(CalcDocA,$M1755)="","—",INDEX(CalcDocA,$M1755)),IF($N1755&lt;&gt;"",INDEX(CalcBankB,$N1755),""))</f>
        <v/>
      </c>
      <c r="E1755" s="23">
        <f>IF($N1755&lt;&gt;"",IF(INDEX(CalcDepB,$N1755)=0,"",INDEX(CalcDepB,$N1755)),"")</f>
        <v/>
      </c>
      <c r="F1755" s="23">
        <f>IF($M1755&lt;&gt;"",IF(INDEX(CalcQtyA,$M1755)=0,"",INDEX(CalcQtyA,$M1755)),"")</f>
        <v/>
      </c>
      <c r="G1755" s="23">
        <f>IF($M1755&lt;&gt;"",IF(INDEX(CalcPriceA,$M1755)=0,"",INDEX(CalcPriceA,$M1755)),"")</f>
        <v/>
      </c>
      <c r="H1755" s="23">
        <f>IF($N1755&lt;&gt;"",IF(INDEX(CalcWitB,$N1755)=0,"",INDEX(CalcWitB,$N1755)),"")</f>
        <v/>
      </c>
      <c r="I1755" s="24">
        <f>IF($M1755&lt;&gt;"",INDEX(CalcAmtA,$M1755),"")</f>
        <v/>
      </c>
      <c r="J1755" s="24">
        <f>IF($B1755="","",IF($J1754="",$C$8,$J1754)+IF($I1755="",0,$I1755)+IF($E1755="",0,$E1755)-IF($H1755="",0,$H1755))</f>
        <v/>
      </c>
      <c r="K1755" s="25">
        <f>IF($M1755&lt;&gt;"",IF(INDEX(CalcNoteA,$M1755)="","—",INDEX(CalcNoteA,$M1755)),IF($N1755&lt;&gt;"",IF(INDEX(CalcNoteB,$N1755)="","—",INDEX(CalcNoteB,$N1755)),""))</f>
        <v/>
      </c>
      <c r="M1755">
        <f>IFERROR(MATCH($C$5&amp;"|"&amp;RIGHT("000000"&amp;1739,6),CalcRankKeyA,0),"")</f>
        <v/>
      </c>
      <c r="N1755">
        <f>IFERROR(MATCH($C$5&amp;"|"&amp;RIGHT("000000"&amp;1739,6),CalcRankKeyB,0),"")</f>
        <v/>
      </c>
    </row>
    <row r="1756">
      <c r="A1756" s="26" t="n">
        <v>1740</v>
      </c>
      <c r="B1756" s="27">
        <f>IF(AND($M1756="",$N1756=""),"",IF($M1756&lt;&gt;"",INDEX(CalcDateA,$M1756),INDEX(CalcDateB,$N1756)))</f>
        <v/>
      </c>
      <c r="C1756" s="27">
        <f>IF($M1756&lt;&gt;"","خرید سبد",IF($N1756&lt;&gt;"",IF(N(INDEX(CalcDepB,$N1756))&gt;0,"دریافت بانکی","پرداخت بانکی"),""))</f>
        <v/>
      </c>
      <c r="D1756" s="27">
        <f>IF($M1756&lt;&gt;"",IF(INDEX(CalcDocA,$M1756)="","—",INDEX(CalcDocA,$M1756)),IF($N1756&lt;&gt;"",INDEX(CalcBankB,$N1756),""))</f>
        <v/>
      </c>
      <c r="E1756" s="28">
        <f>IF($N1756&lt;&gt;"",IF(INDEX(CalcDepB,$N1756)=0,"",INDEX(CalcDepB,$N1756)),"")</f>
        <v/>
      </c>
      <c r="F1756" s="28">
        <f>IF($M1756&lt;&gt;"",IF(INDEX(CalcQtyA,$M1756)=0,"",INDEX(CalcQtyA,$M1756)),"")</f>
        <v/>
      </c>
      <c r="G1756" s="28">
        <f>IF($M1756&lt;&gt;"",IF(INDEX(CalcPriceA,$M1756)=0,"",INDEX(CalcPriceA,$M1756)),"")</f>
        <v/>
      </c>
      <c r="H1756" s="28">
        <f>IF($N1756&lt;&gt;"",IF(INDEX(CalcWitB,$N1756)=0,"",INDEX(CalcWitB,$N1756)),"")</f>
        <v/>
      </c>
      <c r="I1756" s="29">
        <f>IF($M1756&lt;&gt;"",INDEX(CalcAmtA,$M1756),"")</f>
        <v/>
      </c>
      <c r="J1756" s="29">
        <f>IF($B1756="","",IF($J1755="",$C$8,$J1755)+IF($I1756="",0,$I1756)+IF($E1756="",0,$E1756)-IF($H1756="",0,$H1756))</f>
        <v/>
      </c>
      <c r="K1756" s="30">
        <f>IF($M1756&lt;&gt;"",IF(INDEX(CalcNoteA,$M1756)="","—",INDEX(CalcNoteA,$M1756)),IF($N1756&lt;&gt;"",IF(INDEX(CalcNoteB,$N1756)="","—",INDEX(CalcNoteB,$N1756)),""))</f>
        <v/>
      </c>
      <c r="M1756">
        <f>IFERROR(MATCH($C$5&amp;"|"&amp;RIGHT("000000"&amp;1740,6),CalcRankKeyA,0),"")</f>
        <v/>
      </c>
      <c r="N1756">
        <f>IFERROR(MATCH($C$5&amp;"|"&amp;RIGHT("000000"&amp;1740,6),CalcRankKeyB,0),"")</f>
        <v/>
      </c>
    </row>
    <row r="1757">
      <c r="A1757" s="21" t="n">
        <v>1741</v>
      </c>
      <c r="B1757" s="22">
        <f>IF(AND($M1757="",$N1757=""),"",IF($M1757&lt;&gt;"",INDEX(CalcDateA,$M1757),INDEX(CalcDateB,$N1757)))</f>
        <v/>
      </c>
      <c r="C1757" s="22">
        <f>IF($M1757&lt;&gt;"","خرید سبد",IF($N1757&lt;&gt;"",IF(N(INDEX(CalcDepB,$N1757))&gt;0,"دریافت بانکی","پرداخت بانکی"),""))</f>
        <v/>
      </c>
      <c r="D1757" s="22">
        <f>IF($M1757&lt;&gt;"",IF(INDEX(CalcDocA,$M1757)="","—",INDEX(CalcDocA,$M1757)),IF($N1757&lt;&gt;"",INDEX(CalcBankB,$N1757),""))</f>
        <v/>
      </c>
      <c r="E1757" s="23">
        <f>IF($N1757&lt;&gt;"",IF(INDEX(CalcDepB,$N1757)=0,"",INDEX(CalcDepB,$N1757)),"")</f>
        <v/>
      </c>
      <c r="F1757" s="23">
        <f>IF($M1757&lt;&gt;"",IF(INDEX(CalcQtyA,$M1757)=0,"",INDEX(CalcQtyA,$M1757)),"")</f>
        <v/>
      </c>
      <c r="G1757" s="23">
        <f>IF($M1757&lt;&gt;"",IF(INDEX(CalcPriceA,$M1757)=0,"",INDEX(CalcPriceA,$M1757)),"")</f>
        <v/>
      </c>
      <c r="H1757" s="23">
        <f>IF($N1757&lt;&gt;"",IF(INDEX(CalcWitB,$N1757)=0,"",INDEX(CalcWitB,$N1757)),"")</f>
        <v/>
      </c>
      <c r="I1757" s="24">
        <f>IF($M1757&lt;&gt;"",INDEX(CalcAmtA,$M1757),"")</f>
        <v/>
      </c>
      <c r="J1757" s="24">
        <f>IF($B1757="","",IF($J1756="",$C$8,$J1756)+IF($I1757="",0,$I1757)+IF($E1757="",0,$E1757)-IF($H1757="",0,$H1757))</f>
        <v/>
      </c>
      <c r="K1757" s="25">
        <f>IF($M1757&lt;&gt;"",IF(INDEX(CalcNoteA,$M1757)="","—",INDEX(CalcNoteA,$M1757)),IF($N1757&lt;&gt;"",IF(INDEX(CalcNoteB,$N1757)="","—",INDEX(CalcNoteB,$N1757)),""))</f>
        <v/>
      </c>
      <c r="M1757">
        <f>IFERROR(MATCH($C$5&amp;"|"&amp;RIGHT("000000"&amp;1741,6),CalcRankKeyA,0),"")</f>
        <v/>
      </c>
      <c r="N1757">
        <f>IFERROR(MATCH($C$5&amp;"|"&amp;RIGHT("000000"&amp;1741,6),CalcRankKeyB,0),"")</f>
        <v/>
      </c>
    </row>
    <row r="1758">
      <c r="A1758" s="26" t="n">
        <v>1742</v>
      </c>
      <c r="B1758" s="27">
        <f>IF(AND($M1758="",$N1758=""),"",IF($M1758&lt;&gt;"",INDEX(CalcDateA,$M1758),INDEX(CalcDateB,$N1758)))</f>
        <v/>
      </c>
      <c r="C1758" s="27">
        <f>IF($M1758&lt;&gt;"","خرید سبد",IF($N1758&lt;&gt;"",IF(N(INDEX(CalcDepB,$N1758))&gt;0,"دریافت بانکی","پرداخت بانکی"),""))</f>
        <v/>
      </c>
      <c r="D1758" s="27">
        <f>IF($M1758&lt;&gt;"",IF(INDEX(CalcDocA,$M1758)="","—",INDEX(CalcDocA,$M1758)),IF($N1758&lt;&gt;"",INDEX(CalcBankB,$N1758),""))</f>
        <v/>
      </c>
      <c r="E1758" s="28">
        <f>IF($N1758&lt;&gt;"",IF(INDEX(CalcDepB,$N1758)=0,"",INDEX(CalcDepB,$N1758)),"")</f>
        <v/>
      </c>
      <c r="F1758" s="28">
        <f>IF($M1758&lt;&gt;"",IF(INDEX(CalcQtyA,$M1758)=0,"",INDEX(CalcQtyA,$M1758)),"")</f>
        <v/>
      </c>
      <c r="G1758" s="28">
        <f>IF($M1758&lt;&gt;"",IF(INDEX(CalcPriceA,$M1758)=0,"",INDEX(CalcPriceA,$M1758)),"")</f>
        <v/>
      </c>
      <c r="H1758" s="28">
        <f>IF($N1758&lt;&gt;"",IF(INDEX(CalcWitB,$N1758)=0,"",INDEX(CalcWitB,$N1758)),"")</f>
        <v/>
      </c>
      <c r="I1758" s="29">
        <f>IF($M1758&lt;&gt;"",INDEX(CalcAmtA,$M1758),"")</f>
        <v/>
      </c>
      <c r="J1758" s="29">
        <f>IF($B1758="","",IF($J1757="",$C$8,$J1757)+IF($I1758="",0,$I1758)+IF($E1758="",0,$E1758)-IF($H1758="",0,$H1758))</f>
        <v/>
      </c>
      <c r="K1758" s="30">
        <f>IF($M1758&lt;&gt;"",IF(INDEX(CalcNoteA,$M1758)="","—",INDEX(CalcNoteA,$M1758)),IF($N1758&lt;&gt;"",IF(INDEX(CalcNoteB,$N1758)="","—",INDEX(CalcNoteB,$N1758)),""))</f>
        <v/>
      </c>
      <c r="M1758">
        <f>IFERROR(MATCH($C$5&amp;"|"&amp;RIGHT("000000"&amp;1742,6),CalcRankKeyA,0),"")</f>
        <v/>
      </c>
      <c r="N1758">
        <f>IFERROR(MATCH($C$5&amp;"|"&amp;RIGHT("000000"&amp;1742,6),CalcRankKeyB,0),"")</f>
        <v/>
      </c>
    </row>
    <row r="1759">
      <c r="A1759" s="21" t="n">
        <v>1743</v>
      </c>
      <c r="B1759" s="22">
        <f>IF(AND($M1759="",$N1759=""),"",IF($M1759&lt;&gt;"",INDEX(CalcDateA,$M1759),INDEX(CalcDateB,$N1759)))</f>
        <v/>
      </c>
      <c r="C1759" s="22">
        <f>IF($M1759&lt;&gt;"","خرید سبد",IF($N1759&lt;&gt;"",IF(N(INDEX(CalcDepB,$N1759))&gt;0,"دریافت بانکی","پرداخت بانکی"),""))</f>
        <v/>
      </c>
      <c r="D1759" s="22">
        <f>IF($M1759&lt;&gt;"",IF(INDEX(CalcDocA,$M1759)="","—",INDEX(CalcDocA,$M1759)),IF($N1759&lt;&gt;"",INDEX(CalcBankB,$N1759),""))</f>
        <v/>
      </c>
      <c r="E1759" s="23">
        <f>IF($N1759&lt;&gt;"",IF(INDEX(CalcDepB,$N1759)=0,"",INDEX(CalcDepB,$N1759)),"")</f>
        <v/>
      </c>
      <c r="F1759" s="23">
        <f>IF($M1759&lt;&gt;"",IF(INDEX(CalcQtyA,$M1759)=0,"",INDEX(CalcQtyA,$M1759)),"")</f>
        <v/>
      </c>
      <c r="G1759" s="23">
        <f>IF($M1759&lt;&gt;"",IF(INDEX(CalcPriceA,$M1759)=0,"",INDEX(CalcPriceA,$M1759)),"")</f>
        <v/>
      </c>
      <c r="H1759" s="23">
        <f>IF($N1759&lt;&gt;"",IF(INDEX(CalcWitB,$N1759)=0,"",INDEX(CalcWitB,$N1759)),"")</f>
        <v/>
      </c>
      <c r="I1759" s="24">
        <f>IF($M1759&lt;&gt;"",INDEX(CalcAmtA,$M1759),"")</f>
        <v/>
      </c>
      <c r="J1759" s="24">
        <f>IF($B1759="","",IF($J1758="",$C$8,$J1758)+IF($I1759="",0,$I1759)+IF($E1759="",0,$E1759)-IF($H1759="",0,$H1759))</f>
        <v/>
      </c>
      <c r="K1759" s="25">
        <f>IF($M1759&lt;&gt;"",IF(INDEX(CalcNoteA,$M1759)="","—",INDEX(CalcNoteA,$M1759)),IF($N1759&lt;&gt;"",IF(INDEX(CalcNoteB,$N1759)="","—",INDEX(CalcNoteB,$N1759)),""))</f>
        <v/>
      </c>
      <c r="M1759">
        <f>IFERROR(MATCH($C$5&amp;"|"&amp;RIGHT("000000"&amp;1743,6),CalcRankKeyA,0),"")</f>
        <v/>
      </c>
      <c r="N1759">
        <f>IFERROR(MATCH($C$5&amp;"|"&amp;RIGHT("000000"&amp;1743,6),CalcRankKeyB,0),"")</f>
        <v/>
      </c>
    </row>
    <row r="1760">
      <c r="A1760" s="26" t="n">
        <v>1744</v>
      </c>
      <c r="B1760" s="27">
        <f>IF(AND($M1760="",$N1760=""),"",IF($M1760&lt;&gt;"",INDEX(CalcDateA,$M1760),INDEX(CalcDateB,$N1760)))</f>
        <v/>
      </c>
      <c r="C1760" s="27">
        <f>IF($M1760&lt;&gt;"","خرید سبد",IF($N1760&lt;&gt;"",IF(N(INDEX(CalcDepB,$N1760))&gt;0,"دریافت بانکی","پرداخت بانکی"),""))</f>
        <v/>
      </c>
      <c r="D1760" s="27">
        <f>IF($M1760&lt;&gt;"",IF(INDEX(CalcDocA,$M1760)="","—",INDEX(CalcDocA,$M1760)),IF($N1760&lt;&gt;"",INDEX(CalcBankB,$N1760),""))</f>
        <v/>
      </c>
      <c r="E1760" s="28">
        <f>IF($N1760&lt;&gt;"",IF(INDEX(CalcDepB,$N1760)=0,"",INDEX(CalcDepB,$N1760)),"")</f>
        <v/>
      </c>
      <c r="F1760" s="28">
        <f>IF($M1760&lt;&gt;"",IF(INDEX(CalcQtyA,$M1760)=0,"",INDEX(CalcQtyA,$M1760)),"")</f>
        <v/>
      </c>
      <c r="G1760" s="28">
        <f>IF($M1760&lt;&gt;"",IF(INDEX(CalcPriceA,$M1760)=0,"",INDEX(CalcPriceA,$M1760)),"")</f>
        <v/>
      </c>
      <c r="H1760" s="28">
        <f>IF($N1760&lt;&gt;"",IF(INDEX(CalcWitB,$N1760)=0,"",INDEX(CalcWitB,$N1760)),"")</f>
        <v/>
      </c>
      <c r="I1760" s="29">
        <f>IF($M1760&lt;&gt;"",INDEX(CalcAmtA,$M1760),"")</f>
        <v/>
      </c>
      <c r="J1760" s="29">
        <f>IF($B1760="","",IF($J1759="",$C$8,$J1759)+IF($I1760="",0,$I1760)+IF($E1760="",0,$E1760)-IF($H1760="",0,$H1760))</f>
        <v/>
      </c>
      <c r="K1760" s="30">
        <f>IF($M1760&lt;&gt;"",IF(INDEX(CalcNoteA,$M1760)="","—",INDEX(CalcNoteA,$M1760)),IF($N1760&lt;&gt;"",IF(INDEX(CalcNoteB,$N1760)="","—",INDEX(CalcNoteB,$N1760)),""))</f>
        <v/>
      </c>
      <c r="M1760">
        <f>IFERROR(MATCH($C$5&amp;"|"&amp;RIGHT("000000"&amp;1744,6),CalcRankKeyA,0),"")</f>
        <v/>
      </c>
      <c r="N1760">
        <f>IFERROR(MATCH($C$5&amp;"|"&amp;RIGHT("000000"&amp;1744,6),CalcRankKeyB,0),"")</f>
        <v/>
      </c>
    </row>
    <row r="1761">
      <c r="A1761" s="21" t="n">
        <v>1745</v>
      </c>
      <c r="B1761" s="22">
        <f>IF(AND($M1761="",$N1761=""),"",IF($M1761&lt;&gt;"",INDEX(CalcDateA,$M1761),INDEX(CalcDateB,$N1761)))</f>
        <v/>
      </c>
      <c r="C1761" s="22">
        <f>IF($M1761&lt;&gt;"","خرید سبد",IF($N1761&lt;&gt;"",IF(N(INDEX(CalcDepB,$N1761))&gt;0,"دریافت بانکی","پرداخت بانکی"),""))</f>
        <v/>
      </c>
      <c r="D1761" s="22">
        <f>IF($M1761&lt;&gt;"",IF(INDEX(CalcDocA,$M1761)="","—",INDEX(CalcDocA,$M1761)),IF($N1761&lt;&gt;"",INDEX(CalcBankB,$N1761),""))</f>
        <v/>
      </c>
      <c r="E1761" s="23">
        <f>IF($N1761&lt;&gt;"",IF(INDEX(CalcDepB,$N1761)=0,"",INDEX(CalcDepB,$N1761)),"")</f>
        <v/>
      </c>
      <c r="F1761" s="23">
        <f>IF($M1761&lt;&gt;"",IF(INDEX(CalcQtyA,$M1761)=0,"",INDEX(CalcQtyA,$M1761)),"")</f>
        <v/>
      </c>
      <c r="G1761" s="23">
        <f>IF($M1761&lt;&gt;"",IF(INDEX(CalcPriceA,$M1761)=0,"",INDEX(CalcPriceA,$M1761)),"")</f>
        <v/>
      </c>
      <c r="H1761" s="23">
        <f>IF($N1761&lt;&gt;"",IF(INDEX(CalcWitB,$N1761)=0,"",INDEX(CalcWitB,$N1761)),"")</f>
        <v/>
      </c>
      <c r="I1761" s="24">
        <f>IF($M1761&lt;&gt;"",INDEX(CalcAmtA,$M1761),"")</f>
        <v/>
      </c>
      <c r="J1761" s="24">
        <f>IF($B1761="","",IF($J1760="",$C$8,$J1760)+IF($I1761="",0,$I1761)+IF($E1761="",0,$E1761)-IF($H1761="",0,$H1761))</f>
        <v/>
      </c>
      <c r="K1761" s="25">
        <f>IF($M1761&lt;&gt;"",IF(INDEX(CalcNoteA,$M1761)="","—",INDEX(CalcNoteA,$M1761)),IF($N1761&lt;&gt;"",IF(INDEX(CalcNoteB,$N1761)="","—",INDEX(CalcNoteB,$N1761)),""))</f>
        <v/>
      </c>
      <c r="M1761">
        <f>IFERROR(MATCH($C$5&amp;"|"&amp;RIGHT("000000"&amp;1745,6),CalcRankKeyA,0),"")</f>
        <v/>
      </c>
      <c r="N1761">
        <f>IFERROR(MATCH($C$5&amp;"|"&amp;RIGHT("000000"&amp;1745,6),CalcRankKeyB,0),"")</f>
        <v/>
      </c>
    </row>
    <row r="1762">
      <c r="A1762" s="26" t="n">
        <v>1746</v>
      </c>
      <c r="B1762" s="27">
        <f>IF(AND($M1762="",$N1762=""),"",IF($M1762&lt;&gt;"",INDEX(CalcDateA,$M1762),INDEX(CalcDateB,$N1762)))</f>
        <v/>
      </c>
      <c r="C1762" s="27">
        <f>IF($M1762&lt;&gt;"","خرید سبد",IF($N1762&lt;&gt;"",IF(N(INDEX(CalcDepB,$N1762))&gt;0,"دریافت بانکی","پرداخت بانکی"),""))</f>
        <v/>
      </c>
      <c r="D1762" s="27">
        <f>IF($M1762&lt;&gt;"",IF(INDEX(CalcDocA,$M1762)="","—",INDEX(CalcDocA,$M1762)),IF($N1762&lt;&gt;"",INDEX(CalcBankB,$N1762),""))</f>
        <v/>
      </c>
      <c r="E1762" s="28">
        <f>IF($N1762&lt;&gt;"",IF(INDEX(CalcDepB,$N1762)=0,"",INDEX(CalcDepB,$N1762)),"")</f>
        <v/>
      </c>
      <c r="F1762" s="28">
        <f>IF($M1762&lt;&gt;"",IF(INDEX(CalcQtyA,$M1762)=0,"",INDEX(CalcQtyA,$M1762)),"")</f>
        <v/>
      </c>
      <c r="G1762" s="28">
        <f>IF($M1762&lt;&gt;"",IF(INDEX(CalcPriceA,$M1762)=0,"",INDEX(CalcPriceA,$M1762)),"")</f>
        <v/>
      </c>
      <c r="H1762" s="28">
        <f>IF($N1762&lt;&gt;"",IF(INDEX(CalcWitB,$N1762)=0,"",INDEX(CalcWitB,$N1762)),"")</f>
        <v/>
      </c>
      <c r="I1762" s="29">
        <f>IF($M1762&lt;&gt;"",INDEX(CalcAmtA,$M1762),"")</f>
        <v/>
      </c>
      <c r="J1762" s="29">
        <f>IF($B1762="","",IF($J1761="",$C$8,$J1761)+IF($I1762="",0,$I1762)+IF($E1762="",0,$E1762)-IF($H1762="",0,$H1762))</f>
        <v/>
      </c>
      <c r="K1762" s="30">
        <f>IF($M1762&lt;&gt;"",IF(INDEX(CalcNoteA,$M1762)="","—",INDEX(CalcNoteA,$M1762)),IF($N1762&lt;&gt;"",IF(INDEX(CalcNoteB,$N1762)="","—",INDEX(CalcNoteB,$N1762)),""))</f>
        <v/>
      </c>
      <c r="M1762">
        <f>IFERROR(MATCH($C$5&amp;"|"&amp;RIGHT("000000"&amp;1746,6),CalcRankKeyA,0),"")</f>
        <v/>
      </c>
      <c r="N1762">
        <f>IFERROR(MATCH($C$5&amp;"|"&amp;RIGHT("000000"&amp;1746,6),CalcRankKeyB,0),"")</f>
        <v/>
      </c>
    </row>
    <row r="1763">
      <c r="A1763" s="21" t="n">
        <v>1747</v>
      </c>
      <c r="B1763" s="22">
        <f>IF(AND($M1763="",$N1763=""),"",IF($M1763&lt;&gt;"",INDEX(CalcDateA,$M1763),INDEX(CalcDateB,$N1763)))</f>
        <v/>
      </c>
      <c r="C1763" s="22">
        <f>IF($M1763&lt;&gt;"","خرید سبد",IF($N1763&lt;&gt;"",IF(N(INDEX(CalcDepB,$N1763))&gt;0,"دریافت بانکی","پرداخت بانکی"),""))</f>
        <v/>
      </c>
      <c r="D1763" s="22">
        <f>IF($M1763&lt;&gt;"",IF(INDEX(CalcDocA,$M1763)="","—",INDEX(CalcDocA,$M1763)),IF($N1763&lt;&gt;"",INDEX(CalcBankB,$N1763),""))</f>
        <v/>
      </c>
      <c r="E1763" s="23">
        <f>IF($N1763&lt;&gt;"",IF(INDEX(CalcDepB,$N1763)=0,"",INDEX(CalcDepB,$N1763)),"")</f>
        <v/>
      </c>
      <c r="F1763" s="23">
        <f>IF($M1763&lt;&gt;"",IF(INDEX(CalcQtyA,$M1763)=0,"",INDEX(CalcQtyA,$M1763)),"")</f>
        <v/>
      </c>
      <c r="G1763" s="23">
        <f>IF($M1763&lt;&gt;"",IF(INDEX(CalcPriceA,$M1763)=0,"",INDEX(CalcPriceA,$M1763)),"")</f>
        <v/>
      </c>
      <c r="H1763" s="23">
        <f>IF($N1763&lt;&gt;"",IF(INDEX(CalcWitB,$N1763)=0,"",INDEX(CalcWitB,$N1763)),"")</f>
        <v/>
      </c>
      <c r="I1763" s="24">
        <f>IF($M1763&lt;&gt;"",INDEX(CalcAmtA,$M1763),"")</f>
        <v/>
      </c>
      <c r="J1763" s="24">
        <f>IF($B1763="","",IF($J1762="",$C$8,$J1762)+IF($I1763="",0,$I1763)+IF($E1763="",0,$E1763)-IF($H1763="",0,$H1763))</f>
        <v/>
      </c>
      <c r="K1763" s="25">
        <f>IF($M1763&lt;&gt;"",IF(INDEX(CalcNoteA,$M1763)="","—",INDEX(CalcNoteA,$M1763)),IF($N1763&lt;&gt;"",IF(INDEX(CalcNoteB,$N1763)="","—",INDEX(CalcNoteB,$N1763)),""))</f>
        <v/>
      </c>
      <c r="M1763">
        <f>IFERROR(MATCH($C$5&amp;"|"&amp;RIGHT("000000"&amp;1747,6),CalcRankKeyA,0),"")</f>
        <v/>
      </c>
      <c r="N1763">
        <f>IFERROR(MATCH($C$5&amp;"|"&amp;RIGHT("000000"&amp;1747,6),CalcRankKeyB,0),"")</f>
        <v/>
      </c>
    </row>
    <row r="1764">
      <c r="A1764" s="26" t="n">
        <v>1748</v>
      </c>
      <c r="B1764" s="27">
        <f>IF(AND($M1764="",$N1764=""),"",IF($M1764&lt;&gt;"",INDEX(CalcDateA,$M1764),INDEX(CalcDateB,$N1764)))</f>
        <v/>
      </c>
      <c r="C1764" s="27">
        <f>IF($M1764&lt;&gt;"","خرید سبد",IF($N1764&lt;&gt;"",IF(N(INDEX(CalcDepB,$N1764))&gt;0,"دریافت بانکی","پرداخت بانکی"),""))</f>
        <v/>
      </c>
      <c r="D1764" s="27">
        <f>IF($M1764&lt;&gt;"",IF(INDEX(CalcDocA,$M1764)="","—",INDEX(CalcDocA,$M1764)),IF($N1764&lt;&gt;"",INDEX(CalcBankB,$N1764),""))</f>
        <v/>
      </c>
      <c r="E1764" s="28">
        <f>IF($N1764&lt;&gt;"",IF(INDEX(CalcDepB,$N1764)=0,"",INDEX(CalcDepB,$N1764)),"")</f>
        <v/>
      </c>
      <c r="F1764" s="28">
        <f>IF($M1764&lt;&gt;"",IF(INDEX(CalcQtyA,$M1764)=0,"",INDEX(CalcQtyA,$M1764)),"")</f>
        <v/>
      </c>
      <c r="G1764" s="28">
        <f>IF($M1764&lt;&gt;"",IF(INDEX(CalcPriceA,$M1764)=0,"",INDEX(CalcPriceA,$M1764)),"")</f>
        <v/>
      </c>
      <c r="H1764" s="28">
        <f>IF($N1764&lt;&gt;"",IF(INDEX(CalcWitB,$N1764)=0,"",INDEX(CalcWitB,$N1764)),"")</f>
        <v/>
      </c>
      <c r="I1764" s="29">
        <f>IF($M1764&lt;&gt;"",INDEX(CalcAmtA,$M1764),"")</f>
        <v/>
      </c>
      <c r="J1764" s="29">
        <f>IF($B1764="","",IF($J1763="",$C$8,$J1763)+IF($I1764="",0,$I1764)+IF($E1764="",0,$E1764)-IF($H1764="",0,$H1764))</f>
        <v/>
      </c>
      <c r="K1764" s="30">
        <f>IF($M1764&lt;&gt;"",IF(INDEX(CalcNoteA,$M1764)="","—",INDEX(CalcNoteA,$M1764)),IF($N1764&lt;&gt;"",IF(INDEX(CalcNoteB,$N1764)="","—",INDEX(CalcNoteB,$N1764)),""))</f>
        <v/>
      </c>
      <c r="M1764">
        <f>IFERROR(MATCH($C$5&amp;"|"&amp;RIGHT("000000"&amp;1748,6),CalcRankKeyA,0),"")</f>
        <v/>
      </c>
      <c r="N1764">
        <f>IFERROR(MATCH($C$5&amp;"|"&amp;RIGHT("000000"&amp;1748,6),CalcRankKeyB,0),"")</f>
        <v/>
      </c>
    </row>
    <row r="1765">
      <c r="A1765" s="21" t="n">
        <v>1749</v>
      </c>
      <c r="B1765" s="22">
        <f>IF(AND($M1765="",$N1765=""),"",IF($M1765&lt;&gt;"",INDEX(CalcDateA,$M1765),INDEX(CalcDateB,$N1765)))</f>
        <v/>
      </c>
      <c r="C1765" s="22">
        <f>IF($M1765&lt;&gt;"","خرید سبد",IF($N1765&lt;&gt;"",IF(N(INDEX(CalcDepB,$N1765))&gt;0,"دریافت بانکی","پرداخت بانکی"),""))</f>
        <v/>
      </c>
      <c r="D1765" s="22">
        <f>IF($M1765&lt;&gt;"",IF(INDEX(CalcDocA,$M1765)="","—",INDEX(CalcDocA,$M1765)),IF($N1765&lt;&gt;"",INDEX(CalcBankB,$N1765),""))</f>
        <v/>
      </c>
      <c r="E1765" s="23">
        <f>IF($N1765&lt;&gt;"",IF(INDEX(CalcDepB,$N1765)=0,"",INDEX(CalcDepB,$N1765)),"")</f>
        <v/>
      </c>
      <c r="F1765" s="23">
        <f>IF($M1765&lt;&gt;"",IF(INDEX(CalcQtyA,$M1765)=0,"",INDEX(CalcQtyA,$M1765)),"")</f>
        <v/>
      </c>
      <c r="G1765" s="23">
        <f>IF($M1765&lt;&gt;"",IF(INDEX(CalcPriceA,$M1765)=0,"",INDEX(CalcPriceA,$M1765)),"")</f>
        <v/>
      </c>
      <c r="H1765" s="23">
        <f>IF($N1765&lt;&gt;"",IF(INDEX(CalcWitB,$N1765)=0,"",INDEX(CalcWitB,$N1765)),"")</f>
        <v/>
      </c>
      <c r="I1765" s="24">
        <f>IF($M1765&lt;&gt;"",INDEX(CalcAmtA,$M1765),"")</f>
        <v/>
      </c>
      <c r="J1765" s="24">
        <f>IF($B1765="","",IF($J1764="",$C$8,$J1764)+IF($I1765="",0,$I1765)+IF($E1765="",0,$E1765)-IF($H1765="",0,$H1765))</f>
        <v/>
      </c>
      <c r="K1765" s="25">
        <f>IF($M1765&lt;&gt;"",IF(INDEX(CalcNoteA,$M1765)="","—",INDEX(CalcNoteA,$M1765)),IF($N1765&lt;&gt;"",IF(INDEX(CalcNoteB,$N1765)="","—",INDEX(CalcNoteB,$N1765)),""))</f>
        <v/>
      </c>
      <c r="M1765">
        <f>IFERROR(MATCH($C$5&amp;"|"&amp;RIGHT("000000"&amp;1749,6),CalcRankKeyA,0),"")</f>
        <v/>
      </c>
      <c r="N1765">
        <f>IFERROR(MATCH($C$5&amp;"|"&amp;RIGHT("000000"&amp;1749,6),CalcRankKeyB,0),"")</f>
        <v/>
      </c>
    </row>
    <row r="1766">
      <c r="A1766" s="26" t="n">
        <v>1750</v>
      </c>
      <c r="B1766" s="27">
        <f>IF(AND($M1766="",$N1766=""),"",IF($M1766&lt;&gt;"",INDEX(CalcDateA,$M1766),INDEX(CalcDateB,$N1766)))</f>
        <v/>
      </c>
      <c r="C1766" s="27">
        <f>IF($M1766&lt;&gt;"","خرید سبد",IF($N1766&lt;&gt;"",IF(N(INDEX(CalcDepB,$N1766))&gt;0,"دریافت بانکی","پرداخت بانکی"),""))</f>
        <v/>
      </c>
      <c r="D1766" s="27">
        <f>IF($M1766&lt;&gt;"",IF(INDEX(CalcDocA,$M1766)="","—",INDEX(CalcDocA,$M1766)),IF($N1766&lt;&gt;"",INDEX(CalcBankB,$N1766),""))</f>
        <v/>
      </c>
      <c r="E1766" s="28">
        <f>IF($N1766&lt;&gt;"",IF(INDEX(CalcDepB,$N1766)=0,"",INDEX(CalcDepB,$N1766)),"")</f>
        <v/>
      </c>
      <c r="F1766" s="28">
        <f>IF($M1766&lt;&gt;"",IF(INDEX(CalcQtyA,$M1766)=0,"",INDEX(CalcQtyA,$M1766)),"")</f>
        <v/>
      </c>
      <c r="G1766" s="28">
        <f>IF($M1766&lt;&gt;"",IF(INDEX(CalcPriceA,$M1766)=0,"",INDEX(CalcPriceA,$M1766)),"")</f>
        <v/>
      </c>
      <c r="H1766" s="28">
        <f>IF($N1766&lt;&gt;"",IF(INDEX(CalcWitB,$N1766)=0,"",INDEX(CalcWitB,$N1766)),"")</f>
        <v/>
      </c>
      <c r="I1766" s="29">
        <f>IF($M1766&lt;&gt;"",INDEX(CalcAmtA,$M1766),"")</f>
        <v/>
      </c>
      <c r="J1766" s="29">
        <f>IF($B1766="","",IF($J1765="",$C$8,$J1765)+IF($I1766="",0,$I1766)+IF($E1766="",0,$E1766)-IF($H1766="",0,$H1766))</f>
        <v/>
      </c>
      <c r="K1766" s="30">
        <f>IF($M1766&lt;&gt;"",IF(INDEX(CalcNoteA,$M1766)="","—",INDEX(CalcNoteA,$M1766)),IF($N1766&lt;&gt;"",IF(INDEX(CalcNoteB,$N1766)="","—",INDEX(CalcNoteB,$N1766)),""))</f>
        <v/>
      </c>
      <c r="M1766">
        <f>IFERROR(MATCH($C$5&amp;"|"&amp;RIGHT("000000"&amp;1750,6),CalcRankKeyA,0),"")</f>
        <v/>
      </c>
      <c r="N1766">
        <f>IFERROR(MATCH($C$5&amp;"|"&amp;RIGHT("000000"&amp;1750,6),CalcRankKeyB,0),"")</f>
        <v/>
      </c>
    </row>
    <row r="1767">
      <c r="A1767" s="21" t="n">
        <v>1751</v>
      </c>
      <c r="B1767" s="22">
        <f>IF(AND($M1767="",$N1767=""),"",IF($M1767&lt;&gt;"",INDEX(CalcDateA,$M1767),INDEX(CalcDateB,$N1767)))</f>
        <v/>
      </c>
      <c r="C1767" s="22">
        <f>IF($M1767&lt;&gt;"","خرید سبد",IF($N1767&lt;&gt;"",IF(N(INDEX(CalcDepB,$N1767))&gt;0,"دریافت بانکی","پرداخت بانکی"),""))</f>
        <v/>
      </c>
      <c r="D1767" s="22">
        <f>IF($M1767&lt;&gt;"",IF(INDEX(CalcDocA,$M1767)="","—",INDEX(CalcDocA,$M1767)),IF($N1767&lt;&gt;"",INDEX(CalcBankB,$N1767),""))</f>
        <v/>
      </c>
      <c r="E1767" s="23">
        <f>IF($N1767&lt;&gt;"",IF(INDEX(CalcDepB,$N1767)=0,"",INDEX(CalcDepB,$N1767)),"")</f>
        <v/>
      </c>
      <c r="F1767" s="23">
        <f>IF($M1767&lt;&gt;"",IF(INDEX(CalcQtyA,$M1767)=0,"",INDEX(CalcQtyA,$M1767)),"")</f>
        <v/>
      </c>
      <c r="G1767" s="23">
        <f>IF($M1767&lt;&gt;"",IF(INDEX(CalcPriceA,$M1767)=0,"",INDEX(CalcPriceA,$M1767)),"")</f>
        <v/>
      </c>
      <c r="H1767" s="23">
        <f>IF($N1767&lt;&gt;"",IF(INDEX(CalcWitB,$N1767)=0,"",INDEX(CalcWitB,$N1767)),"")</f>
        <v/>
      </c>
      <c r="I1767" s="24">
        <f>IF($M1767&lt;&gt;"",INDEX(CalcAmtA,$M1767),"")</f>
        <v/>
      </c>
      <c r="J1767" s="24">
        <f>IF($B1767="","",IF($J1766="",$C$8,$J1766)+IF($I1767="",0,$I1767)+IF($E1767="",0,$E1767)-IF($H1767="",0,$H1767))</f>
        <v/>
      </c>
      <c r="K1767" s="25">
        <f>IF($M1767&lt;&gt;"",IF(INDEX(CalcNoteA,$M1767)="","—",INDEX(CalcNoteA,$M1767)),IF($N1767&lt;&gt;"",IF(INDEX(CalcNoteB,$N1767)="","—",INDEX(CalcNoteB,$N1767)),""))</f>
        <v/>
      </c>
      <c r="M1767">
        <f>IFERROR(MATCH($C$5&amp;"|"&amp;RIGHT("000000"&amp;1751,6),CalcRankKeyA,0),"")</f>
        <v/>
      </c>
      <c r="N1767">
        <f>IFERROR(MATCH($C$5&amp;"|"&amp;RIGHT("000000"&amp;1751,6),CalcRankKeyB,0),"")</f>
        <v/>
      </c>
    </row>
    <row r="1768">
      <c r="A1768" s="26" t="n">
        <v>1752</v>
      </c>
      <c r="B1768" s="27">
        <f>IF(AND($M1768="",$N1768=""),"",IF($M1768&lt;&gt;"",INDEX(CalcDateA,$M1768),INDEX(CalcDateB,$N1768)))</f>
        <v/>
      </c>
      <c r="C1768" s="27">
        <f>IF($M1768&lt;&gt;"","خرید سبد",IF($N1768&lt;&gt;"",IF(N(INDEX(CalcDepB,$N1768))&gt;0,"دریافت بانکی","پرداخت بانکی"),""))</f>
        <v/>
      </c>
      <c r="D1768" s="27">
        <f>IF($M1768&lt;&gt;"",IF(INDEX(CalcDocA,$M1768)="","—",INDEX(CalcDocA,$M1768)),IF($N1768&lt;&gt;"",INDEX(CalcBankB,$N1768),""))</f>
        <v/>
      </c>
      <c r="E1768" s="28">
        <f>IF($N1768&lt;&gt;"",IF(INDEX(CalcDepB,$N1768)=0,"",INDEX(CalcDepB,$N1768)),"")</f>
        <v/>
      </c>
      <c r="F1768" s="28">
        <f>IF($M1768&lt;&gt;"",IF(INDEX(CalcQtyA,$M1768)=0,"",INDEX(CalcQtyA,$M1768)),"")</f>
        <v/>
      </c>
      <c r="G1768" s="28">
        <f>IF($M1768&lt;&gt;"",IF(INDEX(CalcPriceA,$M1768)=0,"",INDEX(CalcPriceA,$M1768)),"")</f>
        <v/>
      </c>
      <c r="H1768" s="28">
        <f>IF($N1768&lt;&gt;"",IF(INDEX(CalcWitB,$N1768)=0,"",INDEX(CalcWitB,$N1768)),"")</f>
        <v/>
      </c>
      <c r="I1768" s="29">
        <f>IF($M1768&lt;&gt;"",INDEX(CalcAmtA,$M1768),"")</f>
        <v/>
      </c>
      <c r="J1768" s="29">
        <f>IF($B1768="","",IF($J1767="",$C$8,$J1767)+IF($I1768="",0,$I1768)+IF($E1768="",0,$E1768)-IF($H1768="",0,$H1768))</f>
        <v/>
      </c>
      <c r="K1768" s="30">
        <f>IF($M1768&lt;&gt;"",IF(INDEX(CalcNoteA,$M1768)="","—",INDEX(CalcNoteA,$M1768)),IF($N1768&lt;&gt;"",IF(INDEX(CalcNoteB,$N1768)="","—",INDEX(CalcNoteB,$N1768)),""))</f>
        <v/>
      </c>
      <c r="M1768">
        <f>IFERROR(MATCH($C$5&amp;"|"&amp;RIGHT("000000"&amp;1752,6),CalcRankKeyA,0),"")</f>
        <v/>
      </c>
      <c r="N1768">
        <f>IFERROR(MATCH($C$5&amp;"|"&amp;RIGHT("000000"&amp;1752,6),CalcRankKeyB,0),"")</f>
        <v/>
      </c>
    </row>
    <row r="1769">
      <c r="A1769" s="21" t="n">
        <v>1753</v>
      </c>
      <c r="B1769" s="22">
        <f>IF(AND($M1769="",$N1769=""),"",IF($M1769&lt;&gt;"",INDEX(CalcDateA,$M1769),INDEX(CalcDateB,$N1769)))</f>
        <v/>
      </c>
      <c r="C1769" s="22">
        <f>IF($M1769&lt;&gt;"","خرید سبد",IF($N1769&lt;&gt;"",IF(N(INDEX(CalcDepB,$N1769))&gt;0,"دریافت بانکی","پرداخت بانکی"),""))</f>
        <v/>
      </c>
      <c r="D1769" s="22">
        <f>IF($M1769&lt;&gt;"",IF(INDEX(CalcDocA,$M1769)="","—",INDEX(CalcDocA,$M1769)),IF($N1769&lt;&gt;"",INDEX(CalcBankB,$N1769),""))</f>
        <v/>
      </c>
      <c r="E1769" s="23">
        <f>IF($N1769&lt;&gt;"",IF(INDEX(CalcDepB,$N1769)=0,"",INDEX(CalcDepB,$N1769)),"")</f>
        <v/>
      </c>
      <c r="F1769" s="23">
        <f>IF($M1769&lt;&gt;"",IF(INDEX(CalcQtyA,$M1769)=0,"",INDEX(CalcQtyA,$M1769)),"")</f>
        <v/>
      </c>
      <c r="G1769" s="23">
        <f>IF($M1769&lt;&gt;"",IF(INDEX(CalcPriceA,$M1769)=0,"",INDEX(CalcPriceA,$M1769)),"")</f>
        <v/>
      </c>
      <c r="H1769" s="23">
        <f>IF($N1769&lt;&gt;"",IF(INDEX(CalcWitB,$N1769)=0,"",INDEX(CalcWitB,$N1769)),"")</f>
        <v/>
      </c>
      <c r="I1769" s="24">
        <f>IF($M1769&lt;&gt;"",INDEX(CalcAmtA,$M1769),"")</f>
        <v/>
      </c>
      <c r="J1769" s="24">
        <f>IF($B1769="","",IF($J1768="",$C$8,$J1768)+IF($I1769="",0,$I1769)+IF($E1769="",0,$E1769)-IF($H1769="",0,$H1769))</f>
        <v/>
      </c>
      <c r="K1769" s="25">
        <f>IF($M1769&lt;&gt;"",IF(INDEX(CalcNoteA,$M1769)="","—",INDEX(CalcNoteA,$M1769)),IF($N1769&lt;&gt;"",IF(INDEX(CalcNoteB,$N1769)="","—",INDEX(CalcNoteB,$N1769)),""))</f>
        <v/>
      </c>
      <c r="M1769">
        <f>IFERROR(MATCH($C$5&amp;"|"&amp;RIGHT("000000"&amp;1753,6),CalcRankKeyA,0),"")</f>
        <v/>
      </c>
      <c r="N1769">
        <f>IFERROR(MATCH($C$5&amp;"|"&amp;RIGHT("000000"&amp;1753,6),CalcRankKeyB,0),"")</f>
        <v/>
      </c>
    </row>
    <row r="1770">
      <c r="A1770" s="26" t="n">
        <v>1754</v>
      </c>
      <c r="B1770" s="27">
        <f>IF(AND($M1770="",$N1770=""),"",IF($M1770&lt;&gt;"",INDEX(CalcDateA,$M1770),INDEX(CalcDateB,$N1770)))</f>
        <v/>
      </c>
      <c r="C1770" s="27">
        <f>IF($M1770&lt;&gt;"","خرید سبد",IF($N1770&lt;&gt;"",IF(N(INDEX(CalcDepB,$N1770))&gt;0,"دریافت بانکی","پرداخت بانکی"),""))</f>
        <v/>
      </c>
      <c r="D1770" s="27">
        <f>IF($M1770&lt;&gt;"",IF(INDEX(CalcDocA,$M1770)="","—",INDEX(CalcDocA,$M1770)),IF($N1770&lt;&gt;"",INDEX(CalcBankB,$N1770),""))</f>
        <v/>
      </c>
      <c r="E1770" s="28">
        <f>IF($N1770&lt;&gt;"",IF(INDEX(CalcDepB,$N1770)=0,"",INDEX(CalcDepB,$N1770)),"")</f>
        <v/>
      </c>
      <c r="F1770" s="28">
        <f>IF($M1770&lt;&gt;"",IF(INDEX(CalcQtyA,$M1770)=0,"",INDEX(CalcQtyA,$M1770)),"")</f>
        <v/>
      </c>
      <c r="G1770" s="28">
        <f>IF($M1770&lt;&gt;"",IF(INDEX(CalcPriceA,$M1770)=0,"",INDEX(CalcPriceA,$M1770)),"")</f>
        <v/>
      </c>
      <c r="H1770" s="28">
        <f>IF($N1770&lt;&gt;"",IF(INDEX(CalcWitB,$N1770)=0,"",INDEX(CalcWitB,$N1770)),"")</f>
        <v/>
      </c>
      <c r="I1770" s="29">
        <f>IF($M1770&lt;&gt;"",INDEX(CalcAmtA,$M1770),"")</f>
        <v/>
      </c>
      <c r="J1770" s="29">
        <f>IF($B1770="","",IF($J1769="",$C$8,$J1769)+IF($I1770="",0,$I1770)+IF($E1770="",0,$E1770)-IF($H1770="",0,$H1770))</f>
        <v/>
      </c>
      <c r="K1770" s="30">
        <f>IF($M1770&lt;&gt;"",IF(INDEX(CalcNoteA,$M1770)="","—",INDEX(CalcNoteA,$M1770)),IF($N1770&lt;&gt;"",IF(INDEX(CalcNoteB,$N1770)="","—",INDEX(CalcNoteB,$N1770)),""))</f>
        <v/>
      </c>
      <c r="M1770">
        <f>IFERROR(MATCH($C$5&amp;"|"&amp;RIGHT("000000"&amp;1754,6),CalcRankKeyA,0),"")</f>
        <v/>
      </c>
      <c r="N1770">
        <f>IFERROR(MATCH($C$5&amp;"|"&amp;RIGHT("000000"&amp;1754,6),CalcRankKeyB,0),"")</f>
        <v/>
      </c>
    </row>
    <row r="1771">
      <c r="A1771" s="21" t="n">
        <v>1755</v>
      </c>
      <c r="B1771" s="22">
        <f>IF(AND($M1771="",$N1771=""),"",IF($M1771&lt;&gt;"",INDEX(CalcDateA,$M1771),INDEX(CalcDateB,$N1771)))</f>
        <v/>
      </c>
      <c r="C1771" s="22">
        <f>IF($M1771&lt;&gt;"","خرید سبد",IF($N1771&lt;&gt;"",IF(N(INDEX(CalcDepB,$N1771))&gt;0,"دریافت بانکی","پرداخت بانکی"),""))</f>
        <v/>
      </c>
      <c r="D1771" s="22">
        <f>IF($M1771&lt;&gt;"",IF(INDEX(CalcDocA,$M1771)="","—",INDEX(CalcDocA,$M1771)),IF($N1771&lt;&gt;"",INDEX(CalcBankB,$N1771),""))</f>
        <v/>
      </c>
      <c r="E1771" s="23">
        <f>IF($N1771&lt;&gt;"",IF(INDEX(CalcDepB,$N1771)=0,"",INDEX(CalcDepB,$N1771)),"")</f>
        <v/>
      </c>
      <c r="F1771" s="23">
        <f>IF($M1771&lt;&gt;"",IF(INDEX(CalcQtyA,$M1771)=0,"",INDEX(CalcQtyA,$M1771)),"")</f>
        <v/>
      </c>
      <c r="G1771" s="23">
        <f>IF($M1771&lt;&gt;"",IF(INDEX(CalcPriceA,$M1771)=0,"",INDEX(CalcPriceA,$M1771)),"")</f>
        <v/>
      </c>
      <c r="H1771" s="23">
        <f>IF($N1771&lt;&gt;"",IF(INDEX(CalcWitB,$N1771)=0,"",INDEX(CalcWitB,$N1771)),"")</f>
        <v/>
      </c>
      <c r="I1771" s="24">
        <f>IF($M1771&lt;&gt;"",INDEX(CalcAmtA,$M1771),"")</f>
        <v/>
      </c>
      <c r="J1771" s="24">
        <f>IF($B1771="","",IF($J1770="",$C$8,$J1770)+IF($I1771="",0,$I1771)+IF($E1771="",0,$E1771)-IF($H1771="",0,$H1771))</f>
        <v/>
      </c>
      <c r="K1771" s="25">
        <f>IF($M1771&lt;&gt;"",IF(INDEX(CalcNoteA,$M1771)="","—",INDEX(CalcNoteA,$M1771)),IF($N1771&lt;&gt;"",IF(INDEX(CalcNoteB,$N1771)="","—",INDEX(CalcNoteB,$N1771)),""))</f>
        <v/>
      </c>
      <c r="M1771">
        <f>IFERROR(MATCH($C$5&amp;"|"&amp;RIGHT("000000"&amp;1755,6),CalcRankKeyA,0),"")</f>
        <v/>
      </c>
      <c r="N1771">
        <f>IFERROR(MATCH($C$5&amp;"|"&amp;RIGHT("000000"&amp;1755,6),CalcRankKeyB,0),"")</f>
        <v/>
      </c>
    </row>
    <row r="1772">
      <c r="A1772" s="26" t="n">
        <v>1756</v>
      </c>
      <c r="B1772" s="27">
        <f>IF(AND($M1772="",$N1772=""),"",IF($M1772&lt;&gt;"",INDEX(CalcDateA,$M1772),INDEX(CalcDateB,$N1772)))</f>
        <v/>
      </c>
      <c r="C1772" s="27">
        <f>IF($M1772&lt;&gt;"","خرید سبد",IF($N1772&lt;&gt;"",IF(N(INDEX(CalcDepB,$N1772))&gt;0,"دریافت بانکی","پرداخت بانکی"),""))</f>
        <v/>
      </c>
      <c r="D1772" s="27">
        <f>IF($M1772&lt;&gt;"",IF(INDEX(CalcDocA,$M1772)="","—",INDEX(CalcDocA,$M1772)),IF($N1772&lt;&gt;"",INDEX(CalcBankB,$N1772),""))</f>
        <v/>
      </c>
      <c r="E1772" s="28">
        <f>IF($N1772&lt;&gt;"",IF(INDEX(CalcDepB,$N1772)=0,"",INDEX(CalcDepB,$N1772)),"")</f>
        <v/>
      </c>
      <c r="F1772" s="28">
        <f>IF($M1772&lt;&gt;"",IF(INDEX(CalcQtyA,$M1772)=0,"",INDEX(CalcQtyA,$M1772)),"")</f>
        <v/>
      </c>
      <c r="G1772" s="28">
        <f>IF($M1772&lt;&gt;"",IF(INDEX(CalcPriceA,$M1772)=0,"",INDEX(CalcPriceA,$M1772)),"")</f>
        <v/>
      </c>
      <c r="H1772" s="28">
        <f>IF($N1772&lt;&gt;"",IF(INDEX(CalcWitB,$N1772)=0,"",INDEX(CalcWitB,$N1772)),"")</f>
        <v/>
      </c>
      <c r="I1772" s="29">
        <f>IF($M1772&lt;&gt;"",INDEX(CalcAmtA,$M1772),"")</f>
        <v/>
      </c>
      <c r="J1772" s="29">
        <f>IF($B1772="","",IF($J1771="",$C$8,$J1771)+IF($I1772="",0,$I1772)+IF($E1772="",0,$E1772)-IF($H1772="",0,$H1772))</f>
        <v/>
      </c>
      <c r="K1772" s="30">
        <f>IF($M1772&lt;&gt;"",IF(INDEX(CalcNoteA,$M1772)="","—",INDEX(CalcNoteA,$M1772)),IF($N1772&lt;&gt;"",IF(INDEX(CalcNoteB,$N1772)="","—",INDEX(CalcNoteB,$N1772)),""))</f>
        <v/>
      </c>
      <c r="M1772">
        <f>IFERROR(MATCH($C$5&amp;"|"&amp;RIGHT("000000"&amp;1756,6),CalcRankKeyA,0),"")</f>
        <v/>
      </c>
      <c r="N1772">
        <f>IFERROR(MATCH($C$5&amp;"|"&amp;RIGHT("000000"&amp;1756,6),CalcRankKeyB,0),"")</f>
        <v/>
      </c>
    </row>
    <row r="1773">
      <c r="A1773" s="21" t="n">
        <v>1757</v>
      </c>
      <c r="B1773" s="22">
        <f>IF(AND($M1773="",$N1773=""),"",IF($M1773&lt;&gt;"",INDEX(CalcDateA,$M1773),INDEX(CalcDateB,$N1773)))</f>
        <v/>
      </c>
      <c r="C1773" s="22">
        <f>IF($M1773&lt;&gt;"","خرید سبد",IF($N1773&lt;&gt;"",IF(N(INDEX(CalcDepB,$N1773))&gt;0,"دریافت بانکی","پرداخت بانکی"),""))</f>
        <v/>
      </c>
      <c r="D1773" s="22">
        <f>IF($M1773&lt;&gt;"",IF(INDEX(CalcDocA,$M1773)="","—",INDEX(CalcDocA,$M1773)),IF($N1773&lt;&gt;"",INDEX(CalcBankB,$N1773),""))</f>
        <v/>
      </c>
      <c r="E1773" s="23">
        <f>IF($N1773&lt;&gt;"",IF(INDEX(CalcDepB,$N1773)=0,"",INDEX(CalcDepB,$N1773)),"")</f>
        <v/>
      </c>
      <c r="F1773" s="23">
        <f>IF($M1773&lt;&gt;"",IF(INDEX(CalcQtyA,$M1773)=0,"",INDEX(CalcQtyA,$M1773)),"")</f>
        <v/>
      </c>
      <c r="G1773" s="23">
        <f>IF($M1773&lt;&gt;"",IF(INDEX(CalcPriceA,$M1773)=0,"",INDEX(CalcPriceA,$M1773)),"")</f>
        <v/>
      </c>
      <c r="H1773" s="23">
        <f>IF($N1773&lt;&gt;"",IF(INDEX(CalcWitB,$N1773)=0,"",INDEX(CalcWitB,$N1773)),"")</f>
        <v/>
      </c>
      <c r="I1773" s="24">
        <f>IF($M1773&lt;&gt;"",INDEX(CalcAmtA,$M1773),"")</f>
        <v/>
      </c>
      <c r="J1773" s="24">
        <f>IF($B1773="","",IF($J1772="",$C$8,$J1772)+IF($I1773="",0,$I1773)+IF($E1773="",0,$E1773)-IF($H1773="",0,$H1773))</f>
        <v/>
      </c>
      <c r="K1773" s="25">
        <f>IF($M1773&lt;&gt;"",IF(INDEX(CalcNoteA,$M1773)="","—",INDEX(CalcNoteA,$M1773)),IF($N1773&lt;&gt;"",IF(INDEX(CalcNoteB,$N1773)="","—",INDEX(CalcNoteB,$N1773)),""))</f>
        <v/>
      </c>
      <c r="M1773">
        <f>IFERROR(MATCH($C$5&amp;"|"&amp;RIGHT("000000"&amp;1757,6),CalcRankKeyA,0),"")</f>
        <v/>
      </c>
      <c r="N1773">
        <f>IFERROR(MATCH($C$5&amp;"|"&amp;RIGHT("000000"&amp;1757,6),CalcRankKeyB,0),"")</f>
        <v/>
      </c>
    </row>
    <row r="1774">
      <c r="A1774" s="26" t="n">
        <v>1758</v>
      </c>
      <c r="B1774" s="27">
        <f>IF(AND($M1774="",$N1774=""),"",IF($M1774&lt;&gt;"",INDEX(CalcDateA,$M1774),INDEX(CalcDateB,$N1774)))</f>
        <v/>
      </c>
      <c r="C1774" s="27">
        <f>IF($M1774&lt;&gt;"","خرید سبد",IF($N1774&lt;&gt;"",IF(N(INDEX(CalcDepB,$N1774))&gt;0,"دریافت بانکی","پرداخت بانکی"),""))</f>
        <v/>
      </c>
      <c r="D1774" s="27">
        <f>IF($M1774&lt;&gt;"",IF(INDEX(CalcDocA,$M1774)="","—",INDEX(CalcDocA,$M1774)),IF($N1774&lt;&gt;"",INDEX(CalcBankB,$N1774),""))</f>
        <v/>
      </c>
      <c r="E1774" s="28">
        <f>IF($N1774&lt;&gt;"",IF(INDEX(CalcDepB,$N1774)=0,"",INDEX(CalcDepB,$N1774)),"")</f>
        <v/>
      </c>
      <c r="F1774" s="28">
        <f>IF($M1774&lt;&gt;"",IF(INDEX(CalcQtyA,$M1774)=0,"",INDEX(CalcQtyA,$M1774)),"")</f>
        <v/>
      </c>
      <c r="G1774" s="28">
        <f>IF($M1774&lt;&gt;"",IF(INDEX(CalcPriceA,$M1774)=0,"",INDEX(CalcPriceA,$M1774)),"")</f>
        <v/>
      </c>
      <c r="H1774" s="28">
        <f>IF($N1774&lt;&gt;"",IF(INDEX(CalcWitB,$N1774)=0,"",INDEX(CalcWitB,$N1774)),"")</f>
        <v/>
      </c>
      <c r="I1774" s="29">
        <f>IF($M1774&lt;&gt;"",INDEX(CalcAmtA,$M1774),"")</f>
        <v/>
      </c>
      <c r="J1774" s="29">
        <f>IF($B1774="","",IF($J1773="",$C$8,$J1773)+IF($I1774="",0,$I1774)+IF($E1774="",0,$E1774)-IF($H1774="",0,$H1774))</f>
        <v/>
      </c>
      <c r="K1774" s="30">
        <f>IF($M1774&lt;&gt;"",IF(INDEX(CalcNoteA,$M1774)="","—",INDEX(CalcNoteA,$M1774)),IF($N1774&lt;&gt;"",IF(INDEX(CalcNoteB,$N1774)="","—",INDEX(CalcNoteB,$N1774)),""))</f>
        <v/>
      </c>
      <c r="M1774">
        <f>IFERROR(MATCH($C$5&amp;"|"&amp;RIGHT("000000"&amp;1758,6),CalcRankKeyA,0),"")</f>
        <v/>
      </c>
      <c r="N1774">
        <f>IFERROR(MATCH($C$5&amp;"|"&amp;RIGHT("000000"&amp;1758,6),CalcRankKeyB,0),"")</f>
        <v/>
      </c>
    </row>
    <row r="1775">
      <c r="A1775" s="21" t="n">
        <v>1759</v>
      </c>
      <c r="B1775" s="22">
        <f>IF(AND($M1775="",$N1775=""),"",IF($M1775&lt;&gt;"",INDEX(CalcDateA,$M1775),INDEX(CalcDateB,$N1775)))</f>
        <v/>
      </c>
      <c r="C1775" s="22">
        <f>IF($M1775&lt;&gt;"","خرید سبد",IF($N1775&lt;&gt;"",IF(N(INDEX(CalcDepB,$N1775))&gt;0,"دریافت بانکی","پرداخت بانکی"),""))</f>
        <v/>
      </c>
      <c r="D1775" s="22">
        <f>IF($M1775&lt;&gt;"",IF(INDEX(CalcDocA,$M1775)="","—",INDEX(CalcDocA,$M1775)),IF($N1775&lt;&gt;"",INDEX(CalcBankB,$N1775),""))</f>
        <v/>
      </c>
      <c r="E1775" s="23">
        <f>IF($N1775&lt;&gt;"",IF(INDEX(CalcDepB,$N1775)=0,"",INDEX(CalcDepB,$N1775)),"")</f>
        <v/>
      </c>
      <c r="F1775" s="23">
        <f>IF($M1775&lt;&gt;"",IF(INDEX(CalcQtyA,$M1775)=0,"",INDEX(CalcQtyA,$M1775)),"")</f>
        <v/>
      </c>
      <c r="G1775" s="23">
        <f>IF($M1775&lt;&gt;"",IF(INDEX(CalcPriceA,$M1775)=0,"",INDEX(CalcPriceA,$M1775)),"")</f>
        <v/>
      </c>
      <c r="H1775" s="23">
        <f>IF($N1775&lt;&gt;"",IF(INDEX(CalcWitB,$N1775)=0,"",INDEX(CalcWitB,$N1775)),"")</f>
        <v/>
      </c>
      <c r="I1775" s="24">
        <f>IF($M1775&lt;&gt;"",INDEX(CalcAmtA,$M1775),"")</f>
        <v/>
      </c>
      <c r="J1775" s="24">
        <f>IF($B1775="","",IF($J1774="",$C$8,$J1774)+IF($I1775="",0,$I1775)+IF($E1775="",0,$E1775)-IF($H1775="",0,$H1775))</f>
        <v/>
      </c>
      <c r="K1775" s="25">
        <f>IF($M1775&lt;&gt;"",IF(INDEX(CalcNoteA,$M1775)="","—",INDEX(CalcNoteA,$M1775)),IF($N1775&lt;&gt;"",IF(INDEX(CalcNoteB,$N1775)="","—",INDEX(CalcNoteB,$N1775)),""))</f>
        <v/>
      </c>
      <c r="M1775">
        <f>IFERROR(MATCH($C$5&amp;"|"&amp;RIGHT("000000"&amp;1759,6),CalcRankKeyA,0),"")</f>
        <v/>
      </c>
      <c r="N1775">
        <f>IFERROR(MATCH($C$5&amp;"|"&amp;RIGHT("000000"&amp;1759,6),CalcRankKeyB,0),"")</f>
        <v/>
      </c>
    </row>
    <row r="1776">
      <c r="A1776" s="26" t="n">
        <v>1760</v>
      </c>
      <c r="B1776" s="27">
        <f>IF(AND($M1776="",$N1776=""),"",IF($M1776&lt;&gt;"",INDEX(CalcDateA,$M1776),INDEX(CalcDateB,$N1776)))</f>
        <v/>
      </c>
      <c r="C1776" s="27">
        <f>IF($M1776&lt;&gt;"","خرید سبد",IF($N1776&lt;&gt;"",IF(N(INDEX(CalcDepB,$N1776))&gt;0,"دریافت بانکی","پرداخت بانکی"),""))</f>
        <v/>
      </c>
      <c r="D1776" s="27">
        <f>IF($M1776&lt;&gt;"",IF(INDEX(CalcDocA,$M1776)="","—",INDEX(CalcDocA,$M1776)),IF($N1776&lt;&gt;"",INDEX(CalcBankB,$N1776),""))</f>
        <v/>
      </c>
      <c r="E1776" s="28">
        <f>IF($N1776&lt;&gt;"",IF(INDEX(CalcDepB,$N1776)=0,"",INDEX(CalcDepB,$N1776)),"")</f>
        <v/>
      </c>
      <c r="F1776" s="28">
        <f>IF($M1776&lt;&gt;"",IF(INDEX(CalcQtyA,$M1776)=0,"",INDEX(CalcQtyA,$M1776)),"")</f>
        <v/>
      </c>
      <c r="G1776" s="28">
        <f>IF($M1776&lt;&gt;"",IF(INDEX(CalcPriceA,$M1776)=0,"",INDEX(CalcPriceA,$M1776)),"")</f>
        <v/>
      </c>
      <c r="H1776" s="28">
        <f>IF($N1776&lt;&gt;"",IF(INDEX(CalcWitB,$N1776)=0,"",INDEX(CalcWitB,$N1776)),"")</f>
        <v/>
      </c>
      <c r="I1776" s="29">
        <f>IF($M1776&lt;&gt;"",INDEX(CalcAmtA,$M1776),"")</f>
        <v/>
      </c>
      <c r="J1776" s="29">
        <f>IF($B1776="","",IF($J1775="",$C$8,$J1775)+IF($I1776="",0,$I1776)+IF($E1776="",0,$E1776)-IF($H1776="",0,$H1776))</f>
        <v/>
      </c>
      <c r="K1776" s="30">
        <f>IF($M1776&lt;&gt;"",IF(INDEX(CalcNoteA,$M1776)="","—",INDEX(CalcNoteA,$M1776)),IF($N1776&lt;&gt;"",IF(INDEX(CalcNoteB,$N1776)="","—",INDEX(CalcNoteB,$N1776)),""))</f>
        <v/>
      </c>
      <c r="M1776">
        <f>IFERROR(MATCH($C$5&amp;"|"&amp;RIGHT("000000"&amp;1760,6),CalcRankKeyA,0),"")</f>
        <v/>
      </c>
      <c r="N1776">
        <f>IFERROR(MATCH($C$5&amp;"|"&amp;RIGHT("000000"&amp;1760,6),CalcRankKeyB,0),"")</f>
        <v/>
      </c>
    </row>
    <row r="1777">
      <c r="A1777" s="21" t="n">
        <v>1761</v>
      </c>
      <c r="B1777" s="22">
        <f>IF(AND($M1777="",$N1777=""),"",IF($M1777&lt;&gt;"",INDEX(CalcDateA,$M1777),INDEX(CalcDateB,$N1777)))</f>
        <v/>
      </c>
      <c r="C1777" s="22">
        <f>IF($M1777&lt;&gt;"","خرید سبد",IF($N1777&lt;&gt;"",IF(N(INDEX(CalcDepB,$N1777))&gt;0,"دریافت بانکی","پرداخت بانکی"),""))</f>
        <v/>
      </c>
      <c r="D1777" s="22">
        <f>IF($M1777&lt;&gt;"",IF(INDEX(CalcDocA,$M1777)="","—",INDEX(CalcDocA,$M1777)),IF($N1777&lt;&gt;"",INDEX(CalcBankB,$N1777),""))</f>
        <v/>
      </c>
      <c r="E1777" s="23">
        <f>IF($N1777&lt;&gt;"",IF(INDEX(CalcDepB,$N1777)=0,"",INDEX(CalcDepB,$N1777)),"")</f>
        <v/>
      </c>
      <c r="F1777" s="23">
        <f>IF($M1777&lt;&gt;"",IF(INDEX(CalcQtyA,$M1777)=0,"",INDEX(CalcQtyA,$M1777)),"")</f>
        <v/>
      </c>
      <c r="G1777" s="23">
        <f>IF($M1777&lt;&gt;"",IF(INDEX(CalcPriceA,$M1777)=0,"",INDEX(CalcPriceA,$M1777)),"")</f>
        <v/>
      </c>
      <c r="H1777" s="23">
        <f>IF($N1777&lt;&gt;"",IF(INDEX(CalcWitB,$N1777)=0,"",INDEX(CalcWitB,$N1777)),"")</f>
        <v/>
      </c>
      <c r="I1777" s="24">
        <f>IF($M1777&lt;&gt;"",INDEX(CalcAmtA,$M1777),"")</f>
        <v/>
      </c>
      <c r="J1777" s="24">
        <f>IF($B1777="","",IF($J1776="",$C$8,$J1776)+IF($I1777="",0,$I1777)+IF($E1777="",0,$E1777)-IF($H1777="",0,$H1777))</f>
        <v/>
      </c>
      <c r="K1777" s="25">
        <f>IF($M1777&lt;&gt;"",IF(INDEX(CalcNoteA,$M1777)="","—",INDEX(CalcNoteA,$M1777)),IF($N1777&lt;&gt;"",IF(INDEX(CalcNoteB,$N1777)="","—",INDEX(CalcNoteB,$N1777)),""))</f>
        <v/>
      </c>
      <c r="M1777">
        <f>IFERROR(MATCH($C$5&amp;"|"&amp;RIGHT("000000"&amp;1761,6),CalcRankKeyA,0),"")</f>
        <v/>
      </c>
      <c r="N1777">
        <f>IFERROR(MATCH($C$5&amp;"|"&amp;RIGHT("000000"&amp;1761,6),CalcRankKeyB,0),"")</f>
        <v/>
      </c>
    </row>
    <row r="1778">
      <c r="A1778" s="26" t="n">
        <v>1762</v>
      </c>
      <c r="B1778" s="27">
        <f>IF(AND($M1778="",$N1778=""),"",IF($M1778&lt;&gt;"",INDEX(CalcDateA,$M1778),INDEX(CalcDateB,$N1778)))</f>
        <v/>
      </c>
      <c r="C1778" s="27">
        <f>IF($M1778&lt;&gt;"","خرید سبد",IF($N1778&lt;&gt;"",IF(N(INDEX(CalcDepB,$N1778))&gt;0,"دریافت بانکی","پرداخت بانکی"),""))</f>
        <v/>
      </c>
      <c r="D1778" s="27">
        <f>IF($M1778&lt;&gt;"",IF(INDEX(CalcDocA,$M1778)="","—",INDEX(CalcDocA,$M1778)),IF($N1778&lt;&gt;"",INDEX(CalcBankB,$N1778),""))</f>
        <v/>
      </c>
      <c r="E1778" s="28">
        <f>IF($N1778&lt;&gt;"",IF(INDEX(CalcDepB,$N1778)=0,"",INDEX(CalcDepB,$N1778)),"")</f>
        <v/>
      </c>
      <c r="F1778" s="28">
        <f>IF($M1778&lt;&gt;"",IF(INDEX(CalcQtyA,$M1778)=0,"",INDEX(CalcQtyA,$M1778)),"")</f>
        <v/>
      </c>
      <c r="G1778" s="28">
        <f>IF($M1778&lt;&gt;"",IF(INDEX(CalcPriceA,$M1778)=0,"",INDEX(CalcPriceA,$M1778)),"")</f>
        <v/>
      </c>
      <c r="H1778" s="28">
        <f>IF($N1778&lt;&gt;"",IF(INDEX(CalcWitB,$N1778)=0,"",INDEX(CalcWitB,$N1778)),"")</f>
        <v/>
      </c>
      <c r="I1778" s="29">
        <f>IF($M1778&lt;&gt;"",INDEX(CalcAmtA,$M1778),"")</f>
        <v/>
      </c>
      <c r="J1778" s="29">
        <f>IF($B1778="","",IF($J1777="",$C$8,$J1777)+IF($I1778="",0,$I1778)+IF($E1778="",0,$E1778)-IF($H1778="",0,$H1778))</f>
        <v/>
      </c>
      <c r="K1778" s="30">
        <f>IF($M1778&lt;&gt;"",IF(INDEX(CalcNoteA,$M1778)="","—",INDEX(CalcNoteA,$M1778)),IF($N1778&lt;&gt;"",IF(INDEX(CalcNoteB,$N1778)="","—",INDEX(CalcNoteB,$N1778)),""))</f>
        <v/>
      </c>
      <c r="M1778">
        <f>IFERROR(MATCH($C$5&amp;"|"&amp;RIGHT("000000"&amp;1762,6),CalcRankKeyA,0),"")</f>
        <v/>
      </c>
      <c r="N1778">
        <f>IFERROR(MATCH($C$5&amp;"|"&amp;RIGHT("000000"&amp;1762,6),CalcRankKeyB,0),"")</f>
        <v/>
      </c>
    </row>
    <row r="1779">
      <c r="A1779" s="21" t="n">
        <v>1763</v>
      </c>
      <c r="B1779" s="22">
        <f>IF(AND($M1779="",$N1779=""),"",IF($M1779&lt;&gt;"",INDEX(CalcDateA,$M1779),INDEX(CalcDateB,$N1779)))</f>
        <v/>
      </c>
      <c r="C1779" s="22">
        <f>IF($M1779&lt;&gt;"","خرید سبد",IF($N1779&lt;&gt;"",IF(N(INDEX(CalcDepB,$N1779))&gt;0,"دریافت بانکی","پرداخت بانکی"),""))</f>
        <v/>
      </c>
      <c r="D1779" s="22">
        <f>IF($M1779&lt;&gt;"",IF(INDEX(CalcDocA,$M1779)="","—",INDEX(CalcDocA,$M1779)),IF($N1779&lt;&gt;"",INDEX(CalcBankB,$N1779),""))</f>
        <v/>
      </c>
      <c r="E1779" s="23">
        <f>IF($N1779&lt;&gt;"",IF(INDEX(CalcDepB,$N1779)=0,"",INDEX(CalcDepB,$N1779)),"")</f>
        <v/>
      </c>
      <c r="F1779" s="23">
        <f>IF($M1779&lt;&gt;"",IF(INDEX(CalcQtyA,$M1779)=0,"",INDEX(CalcQtyA,$M1779)),"")</f>
        <v/>
      </c>
      <c r="G1779" s="23">
        <f>IF($M1779&lt;&gt;"",IF(INDEX(CalcPriceA,$M1779)=0,"",INDEX(CalcPriceA,$M1779)),"")</f>
        <v/>
      </c>
      <c r="H1779" s="23">
        <f>IF($N1779&lt;&gt;"",IF(INDEX(CalcWitB,$N1779)=0,"",INDEX(CalcWitB,$N1779)),"")</f>
        <v/>
      </c>
      <c r="I1779" s="24">
        <f>IF($M1779&lt;&gt;"",INDEX(CalcAmtA,$M1779),"")</f>
        <v/>
      </c>
      <c r="J1779" s="24">
        <f>IF($B1779="","",IF($J1778="",$C$8,$J1778)+IF($I1779="",0,$I1779)+IF($E1779="",0,$E1779)-IF($H1779="",0,$H1779))</f>
        <v/>
      </c>
      <c r="K1779" s="25">
        <f>IF($M1779&lt;&gt;"",IF(INDEX(CalcNoteA,$M1779)="","—",INDEX(CalcNoteA,$M1779)),IF($N1779&lt;&gt;"",IF(INDEX(CalcNoteB,$N1779)="","—",INDEX(CalcNoteB,$N1779)),""))</f>
        <v/>
      </c>
      <c r="M1779">
        <f>IFERROR(MATCH($C$5&amp;"|"&amp;RIGHT("000000"&amp;1763,6),CalcRankKeyA,0),"")</f>
        <v/>
      </c>
      <c r="N1779">
        <f>IFERROR(MATCH($C$5&amp;"|"&amp;RIGHT("000000"&amp;1763,6),CalcRankKeyB,0),"")</f>
        <v/>
      </c>
    </row>
    <row r="1780">
      <c r="A1780" s="26" t="n">
        <v>1764</v>
      </c>
      <c r="B1780" s="27">
        <f>IF(AND($M1780="",$N1780=""),"",IF($M1780&lt;&gt;"",INDEX(CalcDateA,$M1780),INDEX(CalcDateB,$N1780)))</f>
        <v/>
      </c>
      <c r="C1780" s="27">
        <f>IF($M1780&lt;&gt;"","خرید سبد",IF($N1780&lt;&gt;"",IF(N(INDEX(CalcDepB,$N1780))&gt;0,"دریافت بانکی","پرداخت بانکی"),""))</f>
        <v/>
      </c>
      <c r="D1780" s="27">
        <f>IF($M1780&lt;&gt;"",IF(INDEX(CalcDocA,$M1780)="","—",INDEX(CalcDocA,$M1780)),IF($N1780&lt;&gt;"",INDEX(CalcBankB,$N1780),""))</f>
        <v/>
      </c>
      <c r="E1780" s="28">
        <f>IF($N1780&lt;&gt;"",IF(INDEX(CalcDepB,$N1780)=0,"",INDEX(CalcDepB,$N1780)),"")</f>
        <v/>
      </c>
      <c r="F1780" s="28">
        <f>IF($M1780&lt;&gt;"",IF(INDEX(CalcQtyA,$M1780)=0,"",INDEX(CalcQtyA,$M1780)),"")</f>
        <v/>
      </c>
      <c r="G1780" s="28">
        <f>IF($M1780&lt;&gt;"",IF(INDEX(CalcPriceA,$M1780)=0,"",INDEX(CalcPriceA,$M1780)),"")</f>
        <v/>
      </c>
      <c r="H1780" s="28">
        <f>IF($N1780&lt;&gt;"",IF(INDEX(CalcWitB,$N1780)=0,"",INDEX(CalcWitB,$N1780)),"")</f>
        <v/>
      </c>
      <c r="I1780" s="29">
        <f>IF($M1780&lt;&gt;"",INDEX(CalcAmtA,$M1780),"")</f>
        <v/>
      </c>
      <c r="J1780" s="29">
        <f>IF($B1780="","",IF($J1779="",$C$8,$J1779)+IF($I1780="",0,$I1780)+IF($E1780="",0,$E1780)-IF($H1780="",0,$H1780))</f>
        <v/>
      </c>
      <c r="K1780" s="30">
        <f>IF($M1780&lt;&gt;"",IF(INDEX(CalcNoteA,$M1780)="","—",INDEX(CalcNoteA,$M1780)),IF($N1780&lt;&gt;"",IF(INDEX(CalcNoteB,$N1780)="","—",INDEX(CalcNoteB,$N1780)),""))</f>
        <v/>
      </c>
      <c r="M1780">
        <f>IFERROR(MATCH($C$5&amp;"|"&amp;RIGHT("000000"&amp;1764,6),CalcRankKeyA,0),"")</f>
        <v/>
      </c>
      <c r="N1780">
        <f>IFERROR(MATCH($C$5&amp;"|"&amp;RIGHT("000000"&amp;1764,6),CalcRankKeyB,0),"")</f>
        <v/>
      </c>
    </row>
    <row r="1781">
      <c r="A1781" s="21" t="n">
        <v>1765</v>
      </c>
      <c r="B1781" s="22">
        <f>IF(AND($M1781="",$N1781=""),"",IF($M1781&lt;&gt;"",INDEX(CalcDateA,$M1781),INDEX(CalcDateB,$N1781)))</f>
        <v/>
      </c>
      <c r="C1781" s="22">
        <f>IF($M1781&lt;&gt;"","خرید سبد",IF($N1781&lt;&gt;"",IF(N(INDEX(CalcDepB,$N1781))&gt;0,"دریافت بانکی","پرداخت بانکی"),""))</f>
        <v/>
      </c>
      <c r="D1781" s="22">
        <f>IF($M1781&lt;&gt;"",IF(INDEX(CalcDocA,$M1781)="","—",INDEX(CalcDocA,$M1781)),IF($N1781&lt;&gt;"",INDEX(CalcBankB,$N1781),""))</f>
        <v/>
      </c>
      <c r="E1781" s="23">
        <f>IF($N1781&lt;&gt;"",IF(INDEX(CalcDepB,$N1781)=0,"",INDEX(CalcDepB,$N1781)),"")</f>
        <v/>
      </c>
      <c r="F1781" s="23">
        <f>IF($M1781&lt;&gt;"",IF(INDEX(CalcQtyA,$M1781)=0,"",INDEX(CalcQtyA,$M1781)),"")</f>
        <v/>
      </c>
      <c r="G1781" s="23">
        <f>IF($M1781&lt;&gt;"",IF(INDEX(CalcPriceA,$M1781)=0,"",INDEX(CalcPriceA,$M1781)),"")</f>
        <v/>
      </c>
      <c r="H1781" s="23">
        <f>IF($N1781&lt;&gt;"",IF(INDEX(CalcWitB,$N1781)=0,"",INDEX(CalcWitB,$N1781)),"")</f>
        <v/>
      </c>
      <c r="I1781" s="24">
        <f>IF($M1781&lt;&gt;"",INDEX(CalcAmtA,$M1781),"")</f>
        <v/>
      </c>
      <c r="J1781" s="24">
        <f>IF($B1781="","",IF($J1780="",$C$8,$J1780)+IF($I1781="",0,$I1781)+IF($E1781="",0,$E1781)-IF($H1781="",0,$H1781))</f>
        <v/>
      </c>
      <c r="K1781" s="25">
        <f>IF($M1781&lt;&gt;"",IF(INDEX(CalcNoteA,$M1781)="","—",INDEX(CalcNoteA,$M1781)),IF($N1781&lt;&gt;"",IF(INDEX(CalcNoteB,$N1781)="","—",INDEX(CalcNoteB,$N1781)),""))</f>
        <v/>
      </c>
      <c r="M1781">
        <f>IFERROR(MATCH($C$5&amp;"|"&amp;RIGHT("000000"&amp;1765,6),CalcRankKeyA,0),"")</f>
        <v/>
      </c>
      <c r="N1781">
        <f>IFERROR(MATCH($C$5&amp;"|"&amp;RIGHT("000000"&amp;1765,6),CalcRankKeyB,0),"")</f>
        <v/>
      </c>
    </row>
    <row r="1782">
      <c r="A1782" s="26" t="n">
        <v>1766</v>
      </c>
      <c r="B1782" s="27">
        <f>IF(AND($M1782="",$N1782=""),"",IF($M1782&lt;&gt;"",INDEX(CalcDateA,$M1782),INDEX(CalcDateB,$N1782)))</f>
        <v/>
      </c>
      <c r="C1782" s="27">
        <f>IF($M1782&lt;&gt;"","خرید سبد",IF($N1782&lt;&gt;"",IF(N(INDEX(CalcDepB,$N1782))&gt;0,"دریافت بانکی","پرداخت بانکی"),""))</f>
        <v/>
      </c>
      <c r="D1782" s="27">
        <f>IF($M1782&lt;&gt;"",IF(INDEX(CalcDocA,$M1782)="","—",INDEX(CalcDocA,$M1782)),IF($N1782&lt;&gt;"",INDEX(CalcBankB,$N1782),""))</f>
        <v/>
      </c>
      <c r="E1782" s="28">
        <f>IF($N1782&lt;&gt;"",IF(INDEX(CalcDepB,$N1782)=0,"",INDEX(CalcDepB,$N1782)),"")</f>
        <v/>
      </c>
      <c r="F1782" s="28">
        <f>IF($M1782&lt;&gt;"",IF(INDEX(CalcQtyA,$M1782)=0,"",INDEX(CalcQtyA,$M1782)),"")</f>
        <v/>
      </c>
      <c r="G1782" s="28">
        <f>IF($M1782&lt;&gt;"",IF(INDEX(CalcPriceA,$M1782)=0,"",INDEX(CalcPriceA,$M1782)),"")</f>
        <v/>
      </c>
      <c r="H1782" s="28">
        <f>IF($N1782&lt;&gt;"",IF(INDEX(CalcWitB,$N1782)=0,"",INDEX(CalcWitB,$N1782)),"")</f>
        <v/>
      </c>
      <c r="I1782" s="29">
        <f>IF($M1782&lt;&gt;"",INDEX(CalcAmtA,$M1782),"")</f>
        <v/>
      </c>
      <c r="J1782" s="29">
        <f>IF($B1782="","",IF($J1781="",$C$8,$J1781)+IF($I1782="",0,$I1782)+IF($E1782="",0,$E1782)-IF($H1782="",0,$H1782))</f>
        <v/>
      </c>
      <c r="K1782" s="30">
        <f>IF($M1782&lt;&gt;"",IF(INDEX(CalcNoteA,$M1782)="","—",INDEX(CalcNoteA,$M1782)),IF($N1782&lt;&gt;"",IF(INDEX(CalcNoteB,$N1782)="","—",INDEX(CalcNoteB,$N1782)),""))</f>
        <v/>
      </c>
      <c r="M1782">
        <f>IFERROR(MATCH($C$5&amp;"|"&amp;RIGHT("000000"&amp;1766,6),CalcRankKeyA,0),"")</f>
        <v/>
      </c>
      <c r="N1782">
        <f>IFERROR(MATCH($C$5&amp;"|"&amp;RIGHT("000000"&amp;1766,6),CalcRankKeyB,0),"")</f>
        <v/>
      </c>
    </row>
    <row r="1783">
      <c r="A1783" s="21" t="n">
        <v>1767</v>
      </c>
      <c r="B1783" s="22">
        <f>IF(AND($M1783="",$N1783=""),"",IF($M1783&lt;&gt;"",INDEX(CalcDateA,$M1783),INDEX(CalcDateB,$N1783)))</f>
        <v/>
      </c>
      <c r="C1783" s="22">
        <f>IF($M1783&lt;&gt;"","خرید سبد",IF($N1783&lt;&gt;"",IF(N(INDEX(CalcDepB,$N1783))&gt;0,"دریافت بانکی","پرداخت بانکی"),""))</f>
        <v/>
      </c>
      <c r="D1783" s="22">
        <f>IF($M1783&lt;&gt;"",IF(INDEX(CalcDocA,$M1783)="","—",INDEX(CalcDocA,$M1783)),IF($N1783&lt;&gt;"",INDEX(CalcBankB,$N1783),""))</f>
        <v/>
      </c>
      <c r="E1783" s="23">
        <f>IF($N1783&lt;&gt;"",IF(INDEX(CalcDepB,$N1783)=0,"",INDEX(CalcDepB,$N1783)),"")</f>
        <v/>
      </c>
      <c r="F1783" s="23">
        <f>IF($M1783&lt;&gt;"",IF(INDEX(CalcQtyA,$M1783)=0,"",INDEX(CalcQtyA,$M1783)),"")</f>
        <v/>
      </c>
      <c r="G1783" s="23">
        <f>IF($M1783&lt;&gt;"",IF(INDEX(CalcPriceA,$M1783)=0,"",INDEX(CalcPriceA,$M1783)),"")</f>
        <v/>
      </c>
      <c r="H1783" s="23">
        <f>IF($N1783&lt;&gt;"",IF(INDEX(CalcWitB,$N1783)=0,"",INDEX(CalcWitB,$N1783)),"")</f>
        <v/>
      </c>
      <c r="I1783" s="24">
        <f>IF($M1783&lt;&gt;"",INDEX(CalcAmtA,$M1783),"")</f>
        <v/>
      </c>
      <c r="J1783" s="24">
        <f>IF($B1783="","",IF($J1782="",$C$8,$J1782)+IF($I1783="",0,$I1783)+IF($E1783="",0,$E1783)-IF($H1783="",0,$H1783))</f>
        <v/>
      </c>
      <c r="K1783" s="25">
        <f>IF($M1783&lt;&gt;"",IF(INDEX(CalcNoteA,$M1783)="","—",INDEX(CalcNoteA,$M1783)),IF($N1783&lt;&gt;"",IF(INDEX(CalcNoteB,$N1783)="","—",INDEX(CalcNoteB,$N1783)),""))</f>
        <v/>
      </c>
      <c r="M1783">
        <f>IFERROR(MATCH($C$5&amp;"|"&amp;RIGHT("000000"&amp;1767,6),CalcRankKeyA,0),"")</f>
        <v/>
      </c>
      <c r="N1783">
        <f>IFERROR(MATCH($C$5&amp;"|"&amp;RIGHT("000000"&amp;1767,6),CalcRankKeyB,0),"")</f>
        <v/>
      </c>
    </row>
    <row r="1784">
      <c r="A1784" s="26" t="n">
        <v>1768</v>
      </c>
      <c r="B1784" s="27">
        <f>IF(AND($M1784="",$N1784=""),"",IF($M1784&lt;&gt;"",INDEX(CalcDateA,$M1784),INDEX(CalcDateB,$N1784)))</f>
        <v/>
      </c>
      <c r="C1784" s="27">
        <f>IF($M1784&lt;&gt;"","خرید سبد",IF($N1784&lt;&gt;"",IF(N(INDEX(CalcDepB,$N1784))&gt;0,"دریافت بانکی","پرداخت بانکی"),""))</f>
        <v/>
      </c>
      <c r="D1784" s="27">
        <f>IF($M1784&lt;&gt;"",IF(INDEX(CalcDocA,$M1784)="","—",INDEX(CalcDocA,$M1784)),IF($N1784&lt;&gt;"",INDEX(CalcBankB,$N1784),""))</f>
        <v/>
      </c>
      <c r="E1784" s="28">
        <f>IF($N1784&lt;&gt;"",IF(INDEX(CalcDepB,$N1784)=0,"",INDEX(CalcDepB,$N1784)),"")</f>
        <v/>
      </c>
      <c r="F1784" s="28">
        <f>IF($M1784&lt;&gt;"",IF(INDEX(CalcQtyA,$M1784)=0,"",INDEX(CalcQtyA,$M1784)),"")</f>
        <v/>
      </c>
      <c r="G1784" s="28">
        <f>IF($M1784&lt;&gt;"",IF(INDEX(CalcPriceA,$M1784)=0,"",INDEX(CalcPriceA,$M1784)),"")</f>
        <v/>
      </c>
      <c r="H1784" s="28">
        <f>IF($N1784&lt;&gt;"",IF(INDEX(CalcWitB,$N1784)=0,"",INDEX(CalcWitB,$N1784)),"")</f>
        <v/>
      </c>
      <c r="I1784" s="29">
        <f>IF($M1784&lt;&gt;"",INDEX(CalcAmtA,$M1784),"")</f>
        <v/>
      </c>
      <c r="J1784" s="29">
        <f>IF($B1784="","",IF($J1783="",$C$8,$J1783)+IF($I1784="",0,$I1784)+IF($E1784="",0,$E1784)-IF($H1784="",0,$H1784))</f>
        <v/>
      </c>
      <c r="K1784" s="30">
        <f>IF($M1784&lt;&gt;"",IF(INDEX(CalcNoteA,$M1784)="","—",INDEX(CalcNoteA,$M1784)),IF($N1784&lt;&gt;"",IF(INDEX(CalcNoteB,$N1784)="","—",INDEX(CalcNoteB,$N1784)),""))</f>
        <v/>
      </c>
      <c r="M1784">
        <f>IFERROR(MATCH($C$5&amp;"|"&amp;RIGHT("000000"&amp;1768,6),CalcRankKeyA,0),"")</f>
        <v/>
      </c>
      <c r="N1784">
        <f>IFERROR(MATCH($C$5&amp;"|"&amp;RIGHT("000000"&amp;1768,6),CalcRankKeyB,0),"")</f>
        <v/>
      </c>
    </row>
    <row r="1785">
      <c r="A1785" s="21" t="n">
        <v>1769</v>
      </c>
      <c r="B1785" s="22">
        <f>IF(AND($M1785="",$N1785=""),"",IF($M1785&lt;&gt;"",INDEX(CalcDateA,$M1785),INDEX(CalcDateB,$N1785)))</f>
        <v/>
      </c>
      <c r="C1785" s="22">
        <f>IF($M1785&lt;&gt;"","خرید سبد",IF($N1785&lt;&gt;"",IF(N(INDEX(CalcDepB,$N1785))&gt;0,"دریافت بانکی","پرداخت بانکی"),""))</f>
        <v/>
      </c>
      <c r="D1785" s="22">
        <f>IF($M1785&lt;&gt;"",IF(INDEX(CalcDocA,$M1785)="","—",INDEX(CalcDocA,$M1785)),IF($N1785&lt;&gt;"",INDEX(CalcBankB,$N1785),""))</f>
        <v/>
      </c>
      <c r="E1785" s="23">
        <f>IF($N1785&lt;&gt;"",IF(INDEX(CalcDepB,$N1785)=0,"",INDEX(CalcDepB,$N1785)),"")</f>
        <v/>
      </c>
      <c r="F1785" s="23">
        <f>IF($M1785&lt;&gt;"",IF(INDEX(CalcQtyA,$M1785)=0,"",INDEX(CalcQtyA,$M1785)),"")</f>
        <v/>
      </c>
      <c r="G1785" s="23">
        <f>IF($M1785&lt;&gt;"",IF(INDEX(CalcPriceA,$M1785)=0,"",INDEX(CalcPriceA,$M1785)),"")</f>
        <v/>
      </c>
      <c r="H1785" s="23">
        <f>IF($N1785&lt;&gt;"",IF(INDEX(CalcWitB,$N1785)=0,"",INDEX(CalcWitB,$N1785)),"")</f>
        <v/>
      </c>
      <c r="I1785" s="24">
        <f>IF($M1785&lt;&gt;"",INDEX(CalcAmtA,$M1785),"")</f>
        <v/>
      </c>
      <c r="J1785" s="24">
        <f>IF($B1785="","",IF($J1784="",$C$8,$J1784)+IF($I1785="",0,$I1785)+IF($E1785="",0,$E1785)-IF($H1785="",0,$H1785))</f>
        <v/>
      </c>
      <c r="K1785" s="25">
        <f>IF($M1785&lt;&gt;"",IF(INDEX(CalcNoteA,$M1785)="","—",INDEX(CalcNoteA,$M1785)),IF($N1785&lt;&gt;"",IF(INDEX(CalcNoteB,$N1785)="","—",INDEX(CalcNoteB,$N1785)),""))</f>
        <v/>
      </c>
      <c r="M1785">
        <f>IFERROR(MATCH($C$5&amp;"|"&amp;RIGHT("000000"&amp;1769,6),CalcRankKeyA,0),"")</f>
        <v/>
      </c>
      <c r="N1785">
        <f>IFERROR(MATCH($C$5&amp;"|"&amp;RIGHT("000000"&amp;1769,6),CalcRankKeyB,0),"")</f>
        <v/>
      </c>
    </row>
    <row r="1786">
      <c r="A1786" s="26" t="n">
        <v>1770</v>
      </c>
      <c r="B1786" s="27">
        <f>IF(AND($M1786="",$N1786=""),"",IF($M1786&lt;&gt;"",INDEX(CalcDateA,$M1786),INDEX(CalcDateB,$N1786)))</f>
        <v/>
      </c>
      <c r="C1786" s="27">
        <f>IF($M1786&lt;&gt;"","خرید سبد",IF($N1786&lt;&gt;"",IF(N(INDEX(CalcDepB,$N1786))&gt;0,"دریافت بانکی","پرداخت بانکی"),""))</f>
        <v/>
      </c>
      <c r="D1786" s="27">
        <f>IF($M1786&lt;&gt;"",IF(INDEX(CalcDocA,$M1786)="","—",INDEX(CalcDocA,$M1786)),IF($N1786&lt;&gt;"",INDEX(CalcBankB,$N1786),""))</f>
        <v/>
      </c>
      <c r="E1786" s="28">
        <f>IF($N1786&lt;&gt;"",IF(INDEX(CalcDepB,$N1786)=0,"",INDEX(CalcDepB,$N1786)),"")</f>
        <v/>
      </c>
      <c r="F1786" s="28">
        <f>IF($M1786&lt;&gt;"",IF(INDEX(CalcQtyA,$M1786)=0,"",INDEX(CalcQtyA,$M1786)),"")</f>
        <v/>
      </c>
      <c r="G1786" s="28">
        <f>IF($M1786&lt;&gt;"",IF(INDEX(CalcPriceA,$M1786)=0,"",INDEX(CalcPriceA,$M1786)),"")</f>
        <v/>
      </c>
      <c r="H1786" s="28">
        <f>IF($N1786&lt;&gt;"",IF(INDEX(CalcWitB,$N1786)=0,"",INDEX(CalcWitB,$N1786)),"")</f>
        <v/>
      </c>
      <c r="I1786" s="29">
        <f>IF($M1786&lt;&gt;"",INDEX(CalcAmtA,$M1786),"")</f>
        <v/>
      </c>
      <c r="J1786" s="29">
        <f>IF($B1786="","",IF($J1785="",$C$8,$J1785)+IF($I1786="",0,$I1786)+IF($E1786="",0,$E1786)-IF($H1786="",0,$H1786))</f>
        <v/>
      </c>
      <c r="K1786" s="30">
        <f>IF($M1786&lt;&gt;"",IF(INDEX(CalcNoteA,$M1786)="","—",INDEX(CalcNoteA,$M1786)),IF($N1786&lt;&gt;"",IF(INDEX(CalcNoteB,$N1786)="","—",INDEX(CalcNoteB,$N1786)),""))</f>
        <v/>
      </c>
      <c r="M1786">
        <f>IFERROR(MATCH($C$5&amp;"|"&amp;RIGHT("000000"&amp;1770,6),CalcRankKeyA,0),"")</f>
        <v/>
      </c>
      <c r="N1786">
        <f>IFERROR(MATCH($C$5&amp;"|"&amp;RIGHT("000000"&amp;1770,6),CalcRankKeyB,0),"")</f>
        <v/>
      </c>
    </row>
    <row r="1787">
      <c r="A1787" s="21" t="n">
        <v>1771</v>
      </c>
      <c r="B1787" s="22">
        <f>IF(AND($M1787="",$N1787=""),"",IF($M1787&lt;&gt;"",INDEX(CalcDateA,$M1787),INDEX(CalcDateB,$N1787)))</f>
        <v/>
      </c>
      <c r="C1787" s="22">
        <f>IF($M1787&lt;&gt;"","خرید سبد",IF($N1787&lt;&gt;"",IF(N(INDEX(CalcDepB,$N1787))&gt;0,"دریافت بانکی","پرداخت بانکی"),""))</f>
        <v/>
      </c>
      <c r="D1787" s="22">
        <f>IF($M1787&lt;&gt;"",IF(INDEX(CalcDocA,$M1787)="","—",INDEX(CalcDocA,$M1787)),IF($N1787&lt;&gt;"",INDEX(CalcBankB,$N1787),""))</f>
        <v/>
      </c>
      <c r="E1787" s="23">
        <f>IF($N1787&lt;&gt;"",IF(INDEX(CalcDepB,$N1787)=0,"",INDEX(CalcDepB,$N1787)),"")</f>
        <v/>
      </c>
      <c r="F1787" s="23">
        <f>IF($M1787&lt;&gt;"",IF(INDEX(CalcQtyA,$M1787)=0,"",INDEX(CalcQtyA,$M1787)),"")</f>
        <v/>
      </c>
      <c r="G1787" s="23">
        <f>IF($M1787&lt;&gt;"",IF(INDEX(CalcPriceA,$M1787)=0,"",INDEX(CalcPriceA,$M1787)),"")</f>
        <v/>
      </c>
      <c r="H1787" s="23">
        <f>IF($N1787&lt;&gt;"",IF(INDEX(CalcWitB,$N1787)=0,"",INDEX(CalcWitB,$N1787)),"")</f>
        <v/>
      </c>
      <c r="I1787" s="24">
        <f>IF($M1787&lt;&gt;"",INDEX(CalcAmtA,$M1787),"")</f>
        <v/>
      </c>
      <c r="J1787" s="24">
        <f>IF($B1787="","",IF($J1786="",$C$8,$J1786)+IF($I1787="",0,$I1787)+IF($E1787="",0,$E1787)-IF($H1787="",0,$H1787))</f>
        <v/>
      </c>
      <c r="K1787" s="25">
        <f>IF($M1787&lt;&gt;"",IF(INDEX(CalcNoteA,$M1787)="","—",INDEX(CalcNoteA,$M1787)),IF($N1787&lt;&gt;"",IF(INDEX(CalcNoteB,$N1787)="","—",INDEX(CalcNoteB,$N1787)),""))</f>
        <v/>
      </c>
      <c r="M1787">
        <f>IFERROR(MATCH($C$5&amp;"|"&amp;RIGHT("000000"&amp;1771,6),CalcRankKeyA,0),"")</f>
        <v/>
      </c>
      <c r="N1787">
        <f>IFERROR(MATCH($C$5&amp;"|"&amp;RIGHT("000000"&amp;1771,6),CalcRankKeyB,0),"")</f>
        <v/>
      </c>
    </row>
    <row r="1788">
      <c r="A1788" s="26" t="n">
        <v>1772</v>
      </c>
      <c r="B1788" s="27">
        <f>IF(AND($M1788="",$N1788=""),"",IF($M1788&lt;&gt;"",INDEX(CalcDateA,$M1788),INDEX(CalcDateB,$N1788)))</f>
        <v/>
      </c>
      <c r="C1788" s="27">
        <f>IF($M1788&lt;&gt;"","خرید سبد",IF($N1788&lt;&gt;"",IF(N(INDEX(CalcDepB,$N1788))&gt;0,"دریافت بانکی","پرداخت بانکی"),""))</f>
        <v/>
      </c>
      <c r="D1788" s="27">
        <f>IF($M1788&lt;&gt;"",IF(INDEX(CalcDocA,$M1788)="","—",INDEX(CalcDocA,$M1788)),IF($N1788&lt;&gt;"",INDEX(CalcBankB,$N1788),""))</f>
        <v/>
      </c>
      <c r="E1788" s="28">
        <f>IF($N1788&lt;&gt;"",IF(INDEX(CalcDepB,$N1788)=0,"",INDEX(CalcDepB,$N1788)),"")</f>
        <v/>
      </c>
      <c r="F1788" s="28">
        <f>IF($M1788&lt;&gt;"",IF(INDEX(CalcQtyA,$M1788)=0,"",INDEX(CalcQtyA,$M1788)),"")</f>
        <v/>
      </c>
      <c r="G1788" s="28">
        <f>IF($M1788&lt;&gt;"",IF(INDEX(CalcPriceA,$M1788)=0,"",INDEX(CalcPriceA,$M1788)),"")</f>
        <v/>
      </c>
      <c r="H1788" s="28">
        <f>IF($N1788&lt;&gt;"",IF(INDEX(CalcWitB,$N1788)=0,"",INDEX(CalcWitB,$N1788)),"")</f>
        <v/>
      </c>
      <c r="I1788" s="29">
        <f>IF($M1788&lt;&gt;"",INDEX(CalcAmtA,$M1788),"")</f>
        <v/>
      </c>
      <c r="J1788" s="29">
        <f>IF($B1788="","",IF($J1787="",$C$8,$J1787)+IF($I1788="",0,$I1788)+IF($E1788="",0,$E1788)-IF($H1788="",0,$H1788))</f>
        <v/>
      </c>
      <c r="K1788" s="30">
        <f>IF($M1788&lt;&gt;"",IF(INDEX(CalcNoteA,$M1788)="","—",INDEX(CalcNoteA,$M1788)),IF($N1788&lt;&gt;"",IF(INDEX(CalcNoteB,$N1788)="","—",INDEX(CalcNoteB,$N1788)),""))</f>
        <v/>
      </c>
      <c r="M1788">
        <f>IFERROR(MATCH($C$5&amp;"|"&amp;RIGHT("000000"&amp;1772,6),CalcRankKeyA,0),"")</f>
        <v/>
      </c>
      <c r="N1788">
        <f>IFERROR(MATCH($C$5&amp;"|"&amp;RIGHT("000000"&amp;1772,6),CalcRankKeyB,0),"")</f>
        <v/>
      </c>
    </row>
    <row r="1789">
      <c r="A1789" s="21" t="n">
        <v>1773</v>
      </c>
      <c r="B1789" s="22">
        <f>IF(AND($M1789="",$N1789=""),"",IF($M1789&lt;&gt;"",INDEX(CalcDateA,$M1789),INDEX(CalcDateB,$N1789)))</f>
        <v/>
      </c>
      <c r="C1789" s="22">
        <f>IF($M1789&lt;&gt;"","خرید سبد",IF($N1789&lt;&gt;"",IF(N(INDEX(CalcDepB,$N1789))&gt;0,"دریافت بانکی","پرداخت بانکی"),""))</f>
        <v/>
      </c>
      <c r="D1789" s="22">
        <f>IF($M1789&lt;&gt;"",IF(INDEX(CalcDocA,$M1789)="","—",INDEX(CalcDocA,$M1789)),IF($N1789&lt;&gt;"",INDEX(CalcBankB,$N1789),""))</f>
        <v/>
      </c>
      <c r="E1789" s="23">
        <f>IF($N1789&lt;&gt;"",IF(INDEX(CalcDepB,$N1789)=0,"",INDEX(CalcDepB,$N1789)),"")</f>
        <v/>
      </c>
      <c r="F1789" s="23">
        <f>IF($M1789&lt;&gt;"",IF(INDEX(CalcQtyA,$M1789)=0,"",INDEX(CalcQtyA,$M1789)),"")</f>
        <v/>
      </c>
      <c r="G1789" s="23">
        <f>IF($M1789&lt;&gt;"",IF(INDEX(CalcPriceA,$M1789)=0,"",INDEX(CalcPriceA,$M1789)),"")</f>
        <v/>
      </c>
      <c r="H1789" s="23">
        <f>IF($N1789&lt;&gt;"",IF(INDEX(CalcWitB,$N1789)=0,"",INDEX(CalcWitB,$N1789)),"")</f>
        <v/>
      </c>
      <c r="I1789" s="24">
        <f>IF($M1789&lt;&gt;"",INDEX(CalcAmtA,$M1789),"")</f>
        <v/>
      </c>
      <c r="J1789" s="24">
        <f>IF($B1789="","",IF($J1788="",$C$8,$J1788)+IF($I1789="",0,$I1789)+IF($E1789="",0,$E1789)-IF($H1789="",0,$H1789))</f>
        <v/>
      </c>
      <c r="K1789" s="25">
        <f>IF($M1789&lt;&gt;"",IF(INDEX(CalcNoteA,$M1789)="","—",INDEX(CalcNoteA,$M1789)),IF($N1789&lt;&gt;"",IF(INDEX(CalcNoteB,$N1789)="","—",INDEX(CalcNoteB,$N1789)),""))</f>
        <v/>
      </c>
      <c r="M1789">
        <f>IFERROR(MATCH($C$5&amp;"|"&amp;RIGHT("000000"&amp;1773,6),CalcRankKeyA,0),"")</f>
        <v/>
      </c>
      <c r="N1789">
        <f>IFERROR(MATCH($C$5&amp;"|"&amp;RIGHT("000000"&amp;1773,6),CalcRankKeyB,0),"")</f>
        <v/>
      </c>
    </row>
    <row r="1790">
      <c r="A1790" s="26" t="n">
        <v>1774</v>
      </c>
      <c r="B1790" s="27">
        <f>IF(AND($M1790="",$N1790=""),"",IF($M1790&lt;&gt;"",INDEX(CalcDateA,$M1790),INDEX(CalcDateB,$N1790)))</f>
        <v/>
      </c>
      <c r="C1790" s="27">
        <f>IF($M1790&lt;&gt;"","خرید سبد",IF($N1790&lt;&gt;"",IF(N(INDEX(CalcDepB,$N1790))&gt;0,"دریافت بانکی","پرداخت بانکی"),""))</f>
        <v/>
      </c>
      <c r="D1790" s="27">
        <f>IF($M1790&lt;&gt;"",IF(INDEX(CalcDocA,$M1790)="","—",INDEX(CalcDocA,$M1790)),IF($N1790&lt;&gt;"",INDEX(CalcBankB,$N1790),""))</f>
        <v/>
      </c>
      <c r="E1790" s="28">
        <f>IF($N1790&lt;&gt;"",IF(INDEX(CalcDepB,$N1790)=0,"",INDEX(CalcDepB,$N1790)),"")</f>
        <v/>
      </c>
      <c r="F1790" s="28">
        <f>IF($M1790&lt;&gt;"",IF(INDEX(CalcQtyA,$M1790)=0,"",INDEX(CalcQtyA,$M1790)),"")</f>
        <v/>
      </c>
      <c r="G1790" s="28">
        <f>IF($M1790&lt;&gt;"",IF(INDEX(CalcPriceA,$M1790)=0,"",INDEX(CalcPriceA,$M1790)),"")</f>
        <v/>
      </c>
      <c r="H1790" s="28">
        <f>IF($N1790&lt;&gt;"",IF(INDEX(CalcWitB,$N1790)=0,"",INDEX(CalcWitB,$N1790)),"")</f>
        <v/>
      </c>
      <c r="I1790" s="29">
        <f>IF($M1790&lt;&gt;"",INDEX(CalcAmtA,$M1790),"")</f>
        <v/>
      </c>
      <c r="J1790" s="29">
        <f>IF($B1790="","",IF($J1789="",$C$8,$J1789)+IF($I1790="",0,$I1790)+IF($E1790="",0,$E1790)-IF($H1790="",0,$H1790))</f>
        <v/>
      </c>
      <c r="K1790" s="30">
        <f>IF($M1790&lt;&gt;"",IF(INDEX(CalcNoteA,$M1790)="","—",INDEX(CalcNoteA,$M1790)),IF($N1790&lt;&gt;"",IF(INDEX(CalcNoteB,$N1790)="","—",INDEX(CalcNoteB,$N1790)),""))</f>
        <v/>
      </c>
      <c r="M1790">
        <f>IFERROR(MATCH($C$5&amp;"|"&amp;RIGHT("000000"&amp;1774,6),CalcRankKeyA,0),"")</f>
        <v/>
      </c>
      <c r="N1790">
        <f>IFERROR(MATCH($C$5&amp;"|"&amp;RIGHT("000000"&amp;1774,6),CalcRankKeyB,0),"")</f>
        <v/>
      </c>
    </row>
    <row r="1791">
      <c r="A1791" s="21" t="n">
        <v>1775</v>
      </c>
      <c r="B1791" s="22">
        <f>IF(AND($M1791="",$N1791=""),"",IF($M1791&lt;&gt;"",INDEX(CalcDateA,$M1791),INDEX(CalcDateB,$N1791)))</f>
        <v/>
      </c>
      <c r="C1791" s="22">
        <f>IF($M1791&lt;&gt;"","خرید سبد",IF($N1791&lt;&gt;"",IF(N(INDEX(CalcDepB,$N1791))&gt;0,"دریافت بانکی","پرداخت بانکی"),""))</f>
        <v/>
      </c>
      <c r="D1791" s="22">
        <f>IF($M1791&lt;&gt;"",IF(INDEX(CalcDocA,$M1791)="","—",INDEX(CalcDocA,$M1791)),IF($N1791&lt;&gt;"",INDEX(CalcBankB,$N1791),""))</f>
        <v/>
      </c>
      <c r="E1791" s="23">
        <f>IF($N1791&lt;&gt;"",IF(INDEX(CalcDepB,$N1791)=0,"",INDEX(CalcDepB,$N1791)),"")</f>
        <v/>
      </c>
      <c r="F1791" s="23">
        <f>IF($M1791&lt;&gt;"",IF(INDEX(CalcQtyA,$M1791)=0,"",INDEX(CalcQtyA,$M1791)),"")</f>
        <v/>
      </c>
      <c r="G1791" s="23">
        <f>IF($M1791&lt;&gt;"",IF(INDEX(CalcPriceA,$M1791)=0,"",INDEX(CalcPriceA,$M1791)),"")</f>
        <v/>
      </c>
      <c r="H1791" s="23">
        <f>IF($N1791&lt;&gt;"",IF(INDEX(CalcWitB,$N1791)=0,"",INDEX(CalcWitB,$N1791)),"")</f>
        <v/>
      </c>
      <c r="I1791" s="24">
        <f>IF($M1791&lt;&gt;"",INDEX(CalcAmtA,$M1791),"")</f>
        <v/>
      </c>
      <c r="J1791" s="24">
        <f>IF($B1791="","",IF($J1790="",$C$8,$J1790)+IF($I1791="",0,$I1791)+IF($E1791="",0,$E1791)-IF($H1791="",0,$H1791))</f>
        <v/>
      </c>
      <c r="K1791" s="25">
        <f>IF($M1791&lt;&gt;"",IF(INDEX(CalcNoteA,$M1791)="","—",INDEX(CalcNoteA,$M1791)),IF($N1791&lt;&gt;"",IF(INDEX(CalcNoteB,$N1791)="","—",INDEX(CalcNoteB,$N1791)),""))</f>
        <v/>
      </c>
      <c r="M1791">
        <f>IFERROR(MATCH($C$5&amp;"|"&amp;RIGHT("000000"&amp;1775,6),CalcRankKeyA,0),"")</f>
        <v/>
      </c>
      <c r="N1791">
        <f>IFERROR(MATCH($C$5&amp;"|"&amp;RIGHT("000000"&amp;1775,6),CalcRankKeyB,0),"")</f>
        <v/>
      </c>
    </row>
    <row r="1792">
      <c r="A1792" s="26" t="n">
        <v>1776</v>
      </c>
      <c r="B1792" s="27">
        <f>IF(AND($M1792="",$N1792=""),"",IF($M1792&lt;&gt;"",INDEX(CalcDateA,$M1792),INDEX(CalcDateB,$N1792)))</f>
        <v/>
      </c>
      <c r="C1792" s="27">
        <f>IF($M1792&lt;&gt;"","خرید سبد",IF($N1792&lt;&gt;"",IF(N(INDEX(CalcDepB,$N1792))&gt;0,"دریافت بانکی","پرداخت بانکی"),""))</f>
        <v/>
      </c>
      <c r="D1792" s="27">
        <f>IF($M1792&lt;&gt;"",IF(INDEX(CalcDocA,$M1792)="","—",INDEX(CalcDocA,$M1792)),IF($N1792&lt;&gt;"",INDEX(CalcBankB,$N1792),""))</f>
        <v/>
      </c>
      <c r="E1792" s="28">
        <f>IF($N1792&lt;&gt;"",IF(INDEX(CalcDepB,$N1792)=0,"",INDEX(CalcDepB,$N1792)),"")</f>
        <v/>
      </c>
      <c r="F1792" s="28">
        <f>IF($M1792&lt;&gt;"",IF(INDEX(CalcQtyA,$M1792)=0,"",INDEX(CalcQtyA,$M1792)),"")</f>
        <v/>
      </c>
      <c r="G1792" s="28">
        <f>IF($M1792&lt;&gt;"",IF(INDEX(CalcPriceA,$M1792)=0,"",INDEX(CalcPriceA,$M1792)),"")</f>
        <v/>
      </c>
      <c r="H1792" s="28">
        <f>IF($N1792&lt;&gt;"",IF(INDEX(CalcWitB,$N1792)=0,"",INDEX(CalcWitB,$N1792)),"")</f>
        <v/>
      </c>
      <c r="I1792" s="29">
        <f>IF($M1792&lt;&gt;"",INDEX(CalcAmtA,$M1792),"")</f>
        <v/>
      </c>
      <c r="J1792" s="29">
        <f>IF($B1792="","",IF($J1791="",$C$8,$J1791)+IF($I1792="",0,$I1792)+IF($E1792="",0,$E1792)-IF($H1792="",0,$H1792))</f>
        <v/>
      </c>
      <c r="K1792" s="30">
        <f>IF($M1792&lt;&gt;"",IF(INDEX(CalcNoteA,$M1792)="","—",INDEX(CalcNoteA,$M1792)),IF($N1792&lt;&gt;"",IF(INDEX(CalcNoteB,$N1792)="","—",INDEX(CalcNoteB,$N1792)),""))</f>
        <v/>
      </c>
      <c r="M1792">
        <f>IFERROR(MATCH($C$5&amp;"|"&amp;RIGHT("000000"&amp;1776,6),CalcRankKeyA,0),"")</f>
        <v/>
      </c>
      <c r="N1792">
        <f>IFERROR(MATCH($C$5&amp;"|"&amp;RIGHT("000000"&amp;1776,6),CalcRankKeyB,0),"")</f>
        <v/>
      </c>
    </row>
    <row r="1793">
      <c r="A1793" s="21" t="n">
        <v>1777</v>
      </c>
      <c r="B1793" s="22">
        <f>IF(AND($M1793="",$N1793=""),"",IF($M1793&lt;&gt;"",INDEX(CalcDateA,$M1793),INDEX(CalcDateB,$N1793)))</f>
        <v/>
      </c>
      <c r="C1793" s="22">
        <f>IF($M1793&lt;&gt;"","خرید سبد",IF($N1793&lt;&gt;"",IF(N(INDEX(CalcDepB,$N1793))&gt;0,"دریافت بانکی","پرداخت بانکی"),""))</f>
        <v/>
      </c>
      <c r="D1793" s="22">
        <f>IF($M1793&lt;&gt;"",IF(INDEX(CalcDocA,$M1793)="","—",INDEX(CalcDocA,$M1793)),IF($N1793&lt;&gt;"",INDEX(CalcBankB,$N1793),""))</f>
        <v/>
      </c>
      <c r="E1793" s="23">
        <f>IF($N1793&lt;&gt;"",IF(INDEX(CalcDepB,$N1793)=0,"",INDEX(CalcDepB,$N1793)),"")</f>
        <v/>
      </c>
      <c r="F1793" s="23">
        <f>IF($M1793&lt;&gt;"",IF(INDEX(CalcQtyA,$M1793)=0,"",INDEX(CalcQtyA,$M1793)),"")</f>
        <v/>
      </c>
      <c r="G1793" s="23">
        <f>IF($M1793&lt;&gt;"",IF(INDEX(CalcPriceA,$M1793)=0,"",INDEX(CalcPriceA,$M1793)),"")</f>
        <v/>
      </c>
      <c r="H1793" s="23">
        <f>IF($N1793&lt;&gt;"",IF(INDEX(CalcWitB,$N1793)=0,"",INDEX(CalcWitB,$N1793)),"")</f>
        <v/>
      </c>
      <c r="I1793" s="24">
        <f>IF($M1793&lt;&gt;"",INDEX(CalcAmtA,$M1793),"")</f>
        <v/>
      </c>
      <c r="J1793" s="24">
        <f>IF($B1793="","",IF($J1792="",$C$8,$J1792)+IF($I1793="",0,$I1793)+IF($E1793="",0,$E1793)-IF($H1793="",0,$H1793))</f>
        <v/>
      </c>
      <c r="K1793" s="25">
        <f>IF($M1793&lt;&gt;"",IF(INDEX(CalcNoteA,$M1793)="","—",INDEX(CalcNoteA,$M1793)),IF($N1793&lt;&gt;"",IF(INDEX(CalcNoteB,$N1793)="","—",INDEX(CalcNoteB,$N1793)),""))</f>
        <v/>
      </c>
      <c r="M1793">
        <f>IFERROR(MATCH($C$5&amp;"|"&amp;RIGHT("000000"&amp;1777,6),CalcRankKeyA,0),"")</f>
        <v/>
      </c>
      <c r="N1793">
        <f>IFERROR(MATCH($C$5&amp;"|"&amp;RIGHT("000000"&amp;1777,6),CalcRankKeyB,0),"")</f>
        <v/>
      </c>
    </row>
    <row r="1794">
      <c r="A1794" s="26" t="n">
        <v>1778</v>
      </c>
      <c r="B1794" s="27">
        <f>IF(AND($M1794="",$N1794=""),"",IF($M1794&lt;&gt;"",INDEX(CalcDateA,$M1794),INDEX(CalcDateB,$N1794)))</f>
        <v/>
      </c>
      <c r="C1794" s="27">
        <f>IF($M1794&lt;&gt;"","خرید سبد",IF($N1794&lt;&gt;"",IF(N(INDEX(CalcDepB,$N1794))&gt;0,"دریافت بانکی","پرداخت بانکی"),""))</f>
        <v/>
      </c>
      <c r="D1794" s="27">
        <f>IF($M1794&lt;&gt;"",IF(INDEX(CalcDocA,$M1794)="","—",INDEX(CalcDocA,$M1794)),IF($N1794&lt;&gt;"",INDEX(CalcBankB,$N1794),""))</f>
        <v/>
      </c>
      <c r="E1794" s="28">
        <f>IF($N1794&lt;&gt;"",IF(INDEX(CalcDepB,$N1794)=0,"",INDEX(CalcDepB,$N1794)),"")</f>
        <v/>
      </c>
      <c r="F1794" s="28">
        <f>IF($M1794&lt;&gt;"",IF(INDEX(CalcQtyA,$M1794)=0,"",INDEX(CalcQtyA,$M1794)),"")</f>
        <v/>
      </c>
      <c r="G1794" s="28">
        <f>IF($M1794&lt;&gt;"",IF(INDEX(CalcPriceA,$M1794)=0,"",INDEX(CalcPriceA,$M1794)),"")</f>
        <v/>
      </c>
      <c r="H1794" s="28">
        <f>IF($N1794&lt;&gt;"",IF(INDEX(CalcWitB,$N1794)=0,"",INDEX(CalcWitB,$N1794)),"")</f>
        <v/>
      </c>
      <c r="I1794" s="29">
        <f>IF($M1794&lt;&gt;"",INDEX(CalcAmtA,$M1794),"")</f>
        <v/>
      </c>
      <c r="J1794" s="29">
        <f>IF($B1794="","",IF($J1793="",$C$8,$J1793)+IF($I1794="",0,$I1794)+IF($E1794="",0,$E1794)-IF($H1794="",0,$H1794))</f>
        <v/>
      </c>
      <c r="K1794" s="30">
        <f>IF($M1794&lt;&gt;"",IF(INDEX(CalcNoteA,$M1794)="","—",INDEX(CalcNoteA,$M1794)),IF($N1794&lt;&gt;"",IF(INDEX(CalcNoteB,$N1794)="","—",INDEX(CalcNoteB,$N1794)),""))</f>
        <v/>
      </c>
      <c r="M1794">
        <f>IFERROR(MATCH($C$5&amp;"|"&amp;RIGHT("000000"&amp;1778,6),CalcRankKeyA,0),"")</f>
        <v/>
      </c>
      <c r="N1794">
        <f>IFERROR(MATCH($C$5&amp;"|"&amp;RIGHT("000000"&amp;1778,6),CalcRankKeyB,0),"")</f>
        <v/>
      </c>
    </row>
    <row r="1795">
      <c r="A1795" s="21" t="n">
        <v>1779</v>
      </c>
      <c r="B1795" s="22">
        <f>IF(AND($M1795="",$N1795=""),"",IF($M1795&lt;&gt;"",INDEX(CalcDateA,$M1795),INDEX(CalcDateB,$N1795)))</f>
        <v/>
      </c>
      <c r="C1795" s="22">
        <f>IF($M1795&lt;&gt;"","خرید سبد",IF($N1795&lt;&gt;"",IF(N(INDEX(CalcDepB,$N1795))&gt;0,"دریافت بانکی","پرداخت بانکی"),""))</f>
        <v/>
      </c>
      <c r="D1795" s="22">
        <f>IF($M1795&lt;&gt;"",IF(INDEX(CalcDocA,$M1795)="","—",INDEX(CalcDocA,$M1795)),IF($N1795&lt;&gt;"",INDEX(CalcBankB,$N1795),""))</f>
        <v/>
      </c>
      <c r="E1795" s="23">
        <f>IF($N1795&lt;&gt;"",IF(INDEX(CalcDepB,$N1795)=0,"",INDEX(CalcDepB,$N1795)),"")</f>
        <v/>
      </c>
      <c r="F1795" s="23">
        <f>IF($M1795&lt;&gt;"",IF(INDEX(CalcQtyA,$M1795)=0,"",INDEX(CalcQtyA,$M1795)),"")</f>
        <v/>
      </c>
      <c r="G1795" s="23">
        <f>IF($M1795&lt;&gt;"",IF(INDEX(CalcPriceA,$M1795)=0,"",INDEX(CalcPriceA,$M1795)),"")</f>
        <v/>
      </c>
      <c r="H1795" s="23">
        <f>IF($N1795&lt;&gt;"",IF(INDEX(CalcWitB,$N1795)=0,"",INDEX(CalcWitB,$N1795)),"")</f>
        <v/>
      </c>
      <c r="I1795" s="24">
        <f>IF($M1795&lt;&gt;"",INDEX(CalcAmtA,$M1795),"")</f>
        <v/>
      </c>
      <c r="J1795" s="24">
        <f>IF($B1795="","",IF($J1794="",$C$8,$J1794)+IF($I1795="",0,$I1795)+IF($E1795="",0,$E1795)-IF($H1795="",0,$H1795))</f>
        <v/>
      </c>
      <c r="K1795" s="25">
        <f>IF($M1795&lt;&gt;"",IF(INDEX(CalcNoteA,$M1795)="","—",INDEX(CalcNoteA,$M1795)),IF($N1795&lt;&gt;"",IF(INDEX(CalcNoteB,$N1795)="","—",INDEX(CalcNoteB,$N1795)),""))</f>
        <v/>
      </c>
      <c r="M1795">
        <f>IFERROR(MATCH($C$5&amp;"|"&amp;RIGHT("000000"&amp;1779,6),CalcRankKeyA,0),"")</f>
        <v/>
      </c>
      <c r="N1795">
        <f>IFERROR(MATCH($C$5&amp;"|"&amp;RIGHT("000000"&amp;1779,6),CalcRankKeyB,0),"")</f>
        <v/>
      </c>
    </row>
    <row r="1796">
      <c r="A1796" s="26" t="n">
        <v>1780</v>
      </c>
      <c r="B1796" s="27">
        <f>IF(AND($M1796="",$N1796=""),"",IF($M1796&lt;&gt;"",INDEX(CalcDateA,$M1796),INDEX(CalcDateB,$N1796)))</f>
        <v/>
      </c>
      <c r="C1796" s="27">
        <f>IF($M1796&lt;&gt;"","خرید سبد",IF($N1796&lt;&gt;"",IF(N(INDEX(CalcDepB,$N1796))&gt;0,"دریافت بانکی","پرداخت بانکی"),""))</f>
        <v/>
      </c>
      <c r="D1796" s="27">
        <f>IF($M1796&lt;&gt;"",IF(INDEX(CalcDocA,$M1796)="","—",INDEX(CalcDocA,$M1796)),IF($N1796&lt;&gt;"",INDEX(CalcBankB,$N1796),""))</f>
        <v/>
      </c>
      <c r="E1796" s="28">
        <f>IF($N1796&lt;&gt;"",IF(INDEX(CalcDepB,$N1796)=0,"",INDEX(CalcDepB,$N1796)),"")</f>
        <v/>
      </c>
      <c r="F1796" s="28">
        <f>IF($M1796&lt;&gt;"",IF(INDEX(CalcQtyA,$M1796)=0,"",INDEX(CalcQtyA,$M1796)),"")</f>
        <v/>
      </c>
      <c r="G1796" s="28">
        <f>IF($M1796&lt;&gt;"",IF(INDEX(CalcPriceA,$M1796)=0,"",INDEX(CalcPriceA,$M1796)),"")</f>
        <v/>
      </c>
      <c r="H1796" s="28">
        <f>IF($N1796&lt;&gt;"",IF(INDEX(CalcWitB,$N1796)=0,"",INDEX(CalcWitB,$N1796)),"")</f>
        <v/>
      </c>
      <c r="I1796" s="29">
        <f>IF($M1796&lt;&gt;"",INDEX(CalcAmtA,$M1796),"")</f>
        <v/>
      </c>
      <c r="J1796" s="29">
        <f>IF($B1796="","",IF($J1795="",$C$8,$J1795)+IF($I1796="",0,$I1796)+IF($E1796="",0,$E1796)-IF($H1796="",0,$H1796))</f>
        <v/>
      </c>
      <c r="K1796" s="30">
        <f>IF($M1796&lt;&gt;"",IF(INDEX(CalcNoteA,$M1796)="","—",INDEX(CalcNoteA,$M1796)),IF($N1796&lt;&gt;"",IF(INDEX(CalcNoteB,$N1796)="","—",INDEX(CalcNoteB,$N1796)),""))</f>
        <v/>
      </c>
      <c r="M1796">
        <f>IFERROR(MATCH($C$5&amp;"|"&amp;RIGHT("000000"&amp;1780,6),CalcRankKeyA,0),"")</f>
        <v/>
      </c>
      <c r="N1796">
        <f>IFERROR(MATCH($C$5&amp;"|"&amp;RIGHT("000000"&amp;1780,6),CalcRankKeyB,0),"")</f>
        <v/>
      </c>
    </row>
    <row r="1797">
      <c r="A1797" s="21" t="n">
        <v>1781</v>
      </c>
      <c r="B1797" s="22">
        <f>IF(AND($M1797="",$N1797=""),"",IF($M1797&lt;&gt;"",INDEX(CalcDateA,$M1797),INDEX(CalcDateB,$N1797)))</f>
        <v/>
      </c>
      <c r="C1797" s="22">
        <f>IF($M1797&lt;&gt;"","خرید سبد",IF($N1797&lt;&gt;"",IF(N(INDEX(CalcDepB,$N1797))&gt;0,"دریافت بانکی","پرداخت بانکی"),""))</f>
        <v/>
      </c>
      <c r="D1797" s="22">
        <f>IF($M1797&lt;&gt;"",IF(INDEX(CalcDocA,$M1797)="","—",INDEX(CalcDocA,$M1797)),IF($N1797&lt;&gt;"",INDEX(CalcBankB,$N1797),""))</f>
        <v/>
      </c>
      <c r="E1797" s="23">
        <f>IF($N1797&lt;&gt;"",IF(INDEX(CalcDepB,$N1797)=0,"",INDEX(CalcDepB,$N1797)),"")</f>
        <v/>
      </c>
      <c r="F1797" s="23">
        <f>IF($M1797&lt;&gt;"",IF(INDEX(CalcQtyA,$M1797)=0,"",INDEX(CalcQtyA,$M1797)),"")</f>
        <v/>
      </c>
      <c r="G1797" s="23">
        <f>IF($M1797&lt;&gt;"",IF(INDEX(CalcPriceA,$M1797)=0,"",INDEX(CalcPriceA,$M1797)),"")</f>
        <v/>
      </c>
      <c r="H1797" s="23">
        <f>IF($N1797&lt;&gt;"",IF(INDEX(CalcWitB,$N1797)=0,"",INDEX(CalcWitB,$N1797)),"")</f>
        <v/>
      </c>
      <c r="I1797" s="24">
        <f>IF($M1797&lt;&gt;"",INDEX(CalcAmtA,$M1797),"")</f>
        <v/>
      </c>
      <c r="J1797" s="24">
        <f>IF($B1797="","",IF($J1796="",$C$8,$J1796)+IF($I1797="",0,$I1797)+IF($E1797="",0,$E1797)-IF($H1797="",0,$H1797))</f>
        <v/>
      </c>
      <c r="K1797" s="25">
        <f>IF($M1797&lt;&gt;"",IF(INDEX(CalcNoteA,$M1797)="","—",INDEX(CalcNoteA,$M1797)),IF($N1797&lt;&gt;"",IF(INDEX(CalcNoteB,$N1797)="","—",INDEX(CalcNoteB,$N1797)),""))</f>
        <v/>
      </c>
      <c r="M1797">
        <f>IFERROR(MATCH($C$5&amp;"|"&amp;RIGHT("000000"&amp;1781,6),CalcRankKeyA,0),"")</f>
        <v/>
      </c>
      <c r="N1797">
        <f>IFERROR(MATCH($C$5&amp;"|"&amp;RIGHT("000000"&amp;1781,6),CalcRankKeyB,0),"")</f>
        <v/>
      </c>
    </row>
    <row r="1798">
      <c r="A1798" s="26" t="n">
        <v>1782</v>
      </c>
      <c r="B1798" s="27">
        <f>IF(AND($M1798="",$N1798=""),"",IF($M1798&lt;&gt;"",INDEX(CalcDateA,$M1798),INDEX(CalcDateB,$N1798)))</f>
        <v/>
      </c>
      <c r="C1798" s="27">
        <f>IF($M1798&lt;&gt;"","خرید سبد",IF($N1798&lt;&gt;"",IF(N(INDEX(CalcDepB,$N1798))&gt;0,"دریافت بانکی","پرداخت بانکی"),""))</f>
        <v/>
      </c>
      <c r="D1798" s="27">
        <f>IF($M1798&lt;&gt;"",IF(INDEX(CalcDocA,$M1798)="","—",INDEX(CalcDocA,$M1798)),IF($N1798&lt;&gt;"",INDEX(CalcBankB,$N1798),""))</f>
        <v/>
      </c>
      <c r="E1798" s="28">
        <f>IF($N1798&lt;&gt;"",IF(INDEX(CalcDepB,$N1798)=0,"",INDEX(CalcDepB,$N1798)),"")</f>
        <v/>
      </c>
      <c r="F1798" s="28">
        <f>IF($M1798&lt;&gt;"",IF(INDEX(CalcQtyA,$M1798)=0,"",INDEX(CalcQtyA,$M1798)),"")</f>
        <v/>
      </c>
      <c r="G1798" s="28">
        <f>IF($M1798&lt;&gt;"",IF(INDEX(CalcPriceA,$M1798)=0,"",INDEX(CalcPriceA,$M1798)),"")</f>
        <v/>
      </c>
      <c r="H1798" s="28">
        <f>IF($N1798&lt;&gt;"",IF(INDEX(CalcWitB,$N1798)=0,"",INDEX(CalcWitB,$N1798)),"")</f>
        <v/>
      </c>
      <c r="I1798" s="29">
        <f>IF($M1798&lt;&gt;"",INDEX(CalcAmtA,$M1798),"")</f>
        <v/>
      </c>
      <c r="J1798" s="29">
        <f>IF($B1798="","",IF($J1797="",$C$8,$J1797)+IF($I1798="",0,$I1798)+IF($E1798="",0,$E1798)-IF($H1798="",0,$H1798))</f>
        <v/>
      </c>
      <c r="K1798" s="30">
        <f>IF($M1798&lt;&gt;"",IF(INDEX(CalcNoteA,$M1798)="","—",INDEX(CalcNoteA,$M1798)),IF($N1798&lt;&gt;"",IF(INDEX(CalcNoteB,$N1798)="","—",INDEX(CalcNoteB,$N1798)),""))</f>
        <v/>
      </c>
      <c r="M1798">
        <f>IFERROR(MATCH($C$5&amp;"|"&amp;RIGHT("000000"&amp;1782,6),CalcRankKeyA,0),"")</f>
        <v/>
      </c>
      <c r="N1798">
        <f>IFERROR(MATCH($C$5&amp;"|"&amp;RIGHT("000000"&amp;1782,6),CalcRankKeyB,0),"")</f>
        <v/>
      </c>
    </row>
    <row r="1799">
      <c r="A1799" s="21" t="n">
        <v>1783</v>
      </c>
      <c r="B1799" s="22">
        <f>IF(AND($M1799="",$N1799=""),"",IF($M1799&lt;&gt;"",INDEX(CalcDateA,$M1799),INDEX(CalcDateB,$N1799)))</f>
        <v/>
      </c>
      <c r="C1799" s="22">
        <f>IF($M1799&lt;&gt;"","خرید سبد",IF($N1799&lt;&gt;"",IF(N(INDEX(CalcDepB,$N1799))&gt;0,"دریافت بانکی","پرداخت بانکی"),""))</f>
        <v/>
      </c>
      <c r="D1799" s="22">
        <f>IF($M1799&lt;&gt;"",IF(INDEX(CalcDocA,$M1799)="","—",INDEX(CalcDocA,$M1799)),IF($N1799&lt;&gt;"",INDEX(CalcBankB,$N1799),""))</f>
        <v/>
      </c>
      <c r="E1799" s="23">
        <f>IF($N1799&lt;&gt;"",IF(INDEX(CalcDepB,$N1799)=0,"",INDEX(CalcDepB,$N1799)),"")</f>
        <v/>
      </c>
      <c r="F1799" s="23">
        <f>IF($M1799&lt;&gt;"",IF(INDEX(CalcQtyA,$M1799)=0,"",INDEX(CalcQtyA,$M1799)),"")</f>
        <v/>
      </c>
      <c r="G1799" s="23">
        <f>IF($M1799&lt;&gt;"",IF(INDEX(CalcPriceA,$M1799)=0,"",INDEX(CalcPriceA,$M1799)),"")</f>
        <v/>
      </c>
      <c r="H1799" s="23">
        <f>IF($N1799&lt;&gt;"",IF(INDEX(CalcWitB,$N1799)=0,"",INDEX(CalcWitB,$N1799)),"")</f>
        <v/>
      </c>
      <c r="I1799" s="24">
        <f>IF($M1799&lt;&gt;"",INDEX(CalcAmtA,$M1799),"")</f>
        <v/>
      </c>
      <c r="J1799" s="24">
        <f>IF($B1799="","",IF($J1798="",$C$8,$J1798)+IF($I1799="",0,$I1799)+IF($E1799="",0,$E1799)-IF($H1799="",0,$H1799))</f>
        <v/>
      </c>
      <c r="K1799" s="25">
        <f>IF($M1799&lt;&gt;"",IF(INDEX(CalcNoteA,$M1799)="","—",INDEX(CalcNoteA,$M1799)),IF($N1799&lt;&gt;"",IF(INDEX(CalcNoteB,$N1799)="","—",INDEX(CalcNoteB,$N1799)),""))</f>
        <v/>
      </c>
      <c r="M1799">
        <f>IFERROR(MATCH($C$5&amp;"|"&amp;RIGHT("000000"&amp;1783,6),CalcRankKeyA,0),"")</f>
        <v/>
      </c>
      <c r="N1799">
        <f>IFERROR(MATCH($C$5&amp;"|"&amp;RIGHT("000000"&amp;1783,6),CalcRankKeyB,0),"")</f>
        <v/>
      </c>
    </row>
    <row r="1800">
      <c r="A1800" s="26" t="n">
        <v>1784</v>
      </c>
      <c r="B1800" s="27">
        <f>IF(AND($M1800="",$N1800=""),"",IF($M1800&lt;&gt;"",INDEX(CalcDateA,$M1800),INDEX(CalcDateB,$N1800)))</f>
        <v/>
      </c>
      <c r="C1800" s="27">
        <f>IF($M1800&lt;&gt;"","خرید سبد",IF($N1800&lt;&gt;"",IF(N(INDEX(CalcDepB,$N1800))&gt;0,"دریافت بانکی","پرداخت بانکی"),""))</f>
        <v/>
      </c>
      <c r="D1800" s="27">
        <f>IF($M1800&lt;&gt;"",IF(INDEX(CalcDocA,$M1800)="","—",INDEX(CalcDocA,$M1800)),IF($N1800&lt;&gt;"",INDEX(CalcBankB,$N1800),""))</f>
        <v/>
      </c>
      <c r="E1800" s="28">
        <f>IF($N1800&lt;&gt;"",IF(INDEX(CalcDepB,$N1800)=0,"",INDEX(CalcDepB,$N1800)),"")</f>
        <v/>
      </c>
      <c r="F1800" s="28">
        <f>IF($M1800&lt;&gt;"",IF(INDEX(CalcQtyA,$M1800)=0,"",INDEX(CalcQtyA,$M1800)),"")</f>
        <v/>
      </c>
      <c r="G1800" s="28">
        <f>IF($M1800&lt;&gt;"",IF(INDEX(CalcPriceA,$M1800)=0,"",INDEX(CalcPriceA,$M1800)),"")</f>
        <v/>
      </c>
      <c r="H1800" s="28">
        <f>IF($N1800&lt;&gt;"",IF(INDEX(CalcWitB,$N1800)=0,"",INDEX(CalcWitB,$N1800)),"")</f>
        <v/>
      </c>
      <c r="I1800" s="29">
        <f>IF($M1800&lt;&gt;"",INDEX(CalcAmtA,$M1800),"")</f>
        <v/>
      </c>
      <c r="J1800" s="29">
        <f>IF($B1800="","",IF($J1799="",$C$8,$J1799)+IF($I1800="",0,$I1800)+IF($E1800="",0,$E1800)-IF($H1800="",0,$H1800))</f>
        <v/>
      </c>
      <c r="K1800" s="30">
        <f>IF($M1800&lt;&gt;"",IF(INDEX(CalcNoteA,$M1800)="","—",INDEX(CalcNoteA,$M1800)),IF($N1800&lt;&gt;"",IF(INDEX(CalcNoteB,$N1800)="","—",INDEX(CalcNoteB,$N1800)),""))</f>
        <v/>
      </c>
      <c r="M1800">
        <f>IFERROR(MATCH($C$5&amp;"|"&amp;RIGHT("000000"&amp;1784,6),CalcRankKeyA,0),"")</f>
        <v/>
      </c>
      <c r="N1800">
        <f>IFERROR(MATCH($C$5&amp;"|"&amp;RIGHT("000000"&amp;1784,6),CalcRankKeyB,0),"")</f>
        <v/>
      </c>
    </row>
    <row r="1801">
      <c r="A1801" s="21" t="n">
        <v>1785</v>
      </c>
      <c r="B1801" s="22">
        <f>IF(AND($M1801="",$N1801=""),"",IF($M1801&lt;&gt;"",INDEX(CalcDateA,$M1801),INDEX(CalcDateB,$N1801)))</f>
        <v/>
      </c>
      <c r="C1801" s="22">
        <f>IF($M1801&lt;&gt;"","خرید سبد",IF($N1801&lt;&gt;"",IF(N(INDEX(CalcDepB,$N1801))&gt;0,"دریافت بانکی","پرداخت بانکی"),""))</f>
        <v/>
      </c>
      <c r="D1801" s="22">
        <f>IF($M1801&lt;&gt;"",IF(INDEX(CalcDocA,$M1801)="","—",INDEX(CalcDocA,$M1801)),IF($N1801&lt;&gt;"",INDEX(CalcBankB,$N1801),""))</f>
        <v/>
      </c>
      <c r="E1801" s="23">
        <f>IF($N1801&lt;&gt;"",IF(INDEX(CalcDepB,$N1801)=0,"",INDEX(CalcDepB,$N1801)),"")</f>
        <v/>
      </c>
      <c r="F1801" s="23">
        <f>IF($M1801&lt;&gt;"",IF(INDEX(CalcQtyA,$M1801)=0,"",INDEX(CalcQtyA,$M1801)),"")</f>
        <v/>
      </c>
      <c r="G1801" s="23">
        <f>IF($M1801&lt;&gt;"",IF(INDEX(CalcPriceA,$M1801)=0,"",INDEX(CalcPriceA,$M1801)),"")</f>
        <v/>
      </c>
      <c r="H1801" s="23">
        <f>IF($N1801&lt;&gt;"",IF(INDEX(CalcWitB,$N1801)=0,"",INDEX(CalcWitB,$N1801)),"")</f>
        <v/>
      </c>
      <c r="I1801" s="24">
        <f>IF($M1801&lt;&gt;"",INDEX(CalcAmtA,$M1801),"")</f>
        <v/>
      </c>
      <c r="J1801" s="24">
        <f>IF($B1801="","",IF($J1800="",$C$8,$J1800)+IF($I1801="",0,$I1801)+IF($E1801="",0,$E1801)-IF($H1801="",0,$H1801))</f>
        <v/>
      </c>
      <c r="K1801" s="25">
        <f>IF($M1801&lt;&gt;"",IF(INDEX(CalcNoteA,$M1801)="","—",INDEX(CalcNoteA,$M1801)),IF($N1801&lt;&gt;"",IF(INDEX(CalcNoteB,$N1801)="","—",INDEX(CalcNoteB,$N1801)),""))</f>
        <v/>
      </c>
      <c r="M1801">
        <f>IFERROR(MATCH($C$5&amp;"|"&amp;RIGHT("000000"&amp;1785,6),CalcRankKeyA,0),"")</f>
        <v/>
      </c>
      <c r="N1801">
        <f>IFERROR(MATCH($C$5&amp;"|"&amp;RIGHT("000000"&amp;1785,6),CalcRankKeyB,0),"")</f>
        <v/>
      </c>
    </row>
    <row r="1802">
      <c r="A1802" s="26" t="n">
        <v>1786</v>
      </c>
      <c r="B1802" s="27">
        <f>IF(AND($M1802="",$N1802=""),"",IF($M1802&lt;&gt;"",INDEX(CalcDateA,$M1802),INDEX(CalcDateB,$N1802)))</f>
        <v/>
      </c>
      <c r="C1802" s="27">
        <f>IF($M1802&lt;&gt;"","خرید سبد",IF($N1802&lt;&gt;"",IF(N(INDEX(CalcDepB,$N1802))&gt;0,"دریافت بانکی","پرداخت بانکی"),""))</f>
        <v/>
      </c>
      <c r="D1802" s="27">
        <f>IF($M1802&lt;&gt;"",IF(INDEX(CalcDocA,$M1802)="","—",INDEX(CalcDocA,$M1802)),IF($N1802&lt;&gt;"",INDEX(CalcBankB,$N1802),""))</f>
        <v/>
      </c>
      <c r="E1802" s="28">
        <f>IF($N1802&lt;&gt;"",IF(INDEX(CalcDepB,$N1802)=0,"",INDEX(CalcDepB,$N1802)),"")</f>
        <v/>
      </c>
      <c r="F1802" s="28">
        <f>IF($M1802&lt;&gt;"",IF(INDEX(CalcQtyA,$M1802)=0,"",INDEX(CalcQtyA,$M1802)),"")</f>
        <v/>
      </c>
      <c r="G1802" s="28">
        <f>IF($M1802&lt;&gt;"",IF(INDEX(CalcPriceA,$M1802)=0,"",INDEX(CalcPriceA,$M1802)),"")</f>
        <v/>
      </c>
      <c r="H1802" s="28">
        <f>IF($N1802&lt;&gt;"",IF(INDEX(CalcWitB,$N1802)=0,"",INDEX(CalcWitB,$N1802)),"")</f>
        <v/>
      </c>
      <c r="I1802" s="29">
        <f>IF($M1802&lt;&gt;"",INDEX(CalcAmtA,$M1802),"")</f>
        <v/>
      </c>
      <c r="J1802" s="29">
        <f>IF($B1802="","",IF($J1801="",$C$8,$J1801)+IF($I1802="",0,$I1802)+IF($E1802="",0,$E1802)-IF($H1802="",0,$H1802))</f>
        <v/>
      </c>
      <c r="K1802" s="30">
        <f>IF($M1802&lt;&gt;"",IF(INDEX(CalcNoteA,$M1802)="","—",INDEX(CalcNoteA,$M1802)),IF($N1802&lt;&gt;"",IF(INDEX(CalcNoteB,$N1802)="","—",INDEX(CalcNoteB,$N1802)),""))</f>
        <v/>
      </c>
      <c r="M1802">
        <f>IFERROR(MATCH($C$5&amp;"|"&amp;RIGHT("000000"&amp;1786,6),CalcRankKeyA,0),"")</f>
        <v/>
      </c>
      <c r="N1802">
        <f>IFERROR(MATCH($C$5&amp;"|"&amp;RIGHT("000000"&amp;1786,6),CalcRankKeyB,0),"")</f>
        <v/>
      </c>
    </row>
    <row r="1803">
      <c r="A1803" s="21" t="n">
        <v>1787</v>
      </c>
      <c r="B1803" s="22">
        <f>IF(AND($M1803="",$N1803=""),"",IF($M1803&lt;&gt;"",INDEX(CalcDateA,$M1803),INDEX(CalcDateB,$N1803)))</f>
        <v/>
      </c>
      <c r="C1803" s="22">
        <f>IF($M1803&lt;&gt;"","خرید سبد",IF($N1803&lt;&gt;"",IF(N(INDEX(CalcDepB,$N1803))&gt;0,"دریافت بانکی","پرداخت بانکی"),""))</f>
        <v/>
      </c>
      <c r="D1803" s="22">
        <f>IF($M1803&lt;&gt;"",IF(INDEX(CalcDocA,$M1803)="","—",INDEX(CalcDocA,$M1803)),IF($N1803&lt;&gt;"",INDEX(CalcBankB,$N1803),""))</f>
        <v/>
      </c>
      <c r="E1803" s="23">
        <f>IF($N1803&lt;&gt;"",IF(INDEX(CalcDepB,$N1803)=0,"",INDEX(CalcDepB,$N1803)),"")</f>
        <v/>
      </c>
      <c r="F1803" s="23">
        <f>IF($M1803&lt;&gt;"",IF(INDEX(CalcQtyA,$M1803)=0,"",INDEX(CalcQtyA,$M1803)),"")</f>
        <v/>
      </c>
      <c r="G1803" s="23">
        <f>IF($M1803&lt;&gt;"",IF(INDEX(CalcPriceA,$M1803)=0,"",INDEX(CalcPriceA,$M1803)),"")</f>
        <v/>
      </c>
      <c r="H1803" s="23">
        <f>IF($N1803&lt;&gt;"",IF(INDEX(CalcWitB,$N1803)=0,"",INDEX(CalcWitB,$N1803)),"")</f>
        <v/>
      </c>
      <c r="I1803" s="24">
        <f>IF($M1803&lt;&gt;"",INDEX(CalcAmtA,$M1803),"")</f>
        <v/>
      </c>
      <c r="J1803" s="24">
        <f>IF($B1803="","",IF($J1802="",$C$8,$J1802)+IF($I1803="",0,$I1803)+IF($E1803="",0,$E1803)-IF($H1803="",0,$H1803))</f>
        <v/>
      </c>
      <c r="K1803" s="25">
        <f>IF($M1803&lt;&gt;"",IF(INDEX(CalcNoteA,$M1803)="","—",INDEX(CalcNoteA,$M1803)),IF($N1803&lt;&gt;"",IF(INDEX(CalcNoteB,$N1803)="","—",INDEX(CalcNoteB,$N1803)),""))</f>
        <v/>
      </c>
      <c r="M1803">
        <f>IFERROR(MATCH($C$5&amp;"|"&amp;RIGHT("000000"&amp;1787,6),CalcRankKeyA,0),"")</f>
        <v/>
      </c>
      <c r="N1803">
        <f>IFERROR(MATCH($C$5&amp;"|"&amp;RIGHT("000000"&amp;1787,6),CalcRankKeyB,0),"")</f>
        <v/>
      </c>
    </row>
    <row r="1804">
      <c r="A1804" s="26" t="n">
        <v>1788</v>
      </c>
      <c r="B1804" s="27">
        <f>IF(AND($M1804="",$N1804=""),"",IF($M1804&lt;&gt;"",INDEX(CalcDateA,$M1804),INDEX(CalcDateB,$N1804)))</f>
        <v/>
      </c>
      <c r="C1804" s="27">
        <f>IF($M1804&lt;&gt;"","خرید سبد",IF($N1804&lt;&gt;"",IF(N(INDEX(CalcDepB,$N1804))&gt;0,"دریافت بانکی","پرداخت بانکی"),""))</f>
        <v/>
      </c>
      <c r="D1804" s="27">
        <f>IF($M1804&lt;&gt;"",IF(INDEX(CalcDocA,$M1804)="","—",INDEX(CalcDocA,$M1804)),IF($N1804&lt;&gt;"",INDEX(CalcBankB,$N1804),""))</f>
        <v/>
      </c>
      <c r="E1804" s="28">
        <f>IF($N1804&lt;&gt;"",IF(INDEX(CalcDepB,$N1804)=0,"",INDEX(CalcDepB,$N1804)),"")</f>
        <v/>
      </c>
      <c r="F1804" s="28">
        <f>IF($M1804&lt;&gt;"",IF(INDEX(CalcQtyA,$M1804)=0,"",INDEX(CalcQtyA,$M1804)),"")</f>
        <v/>
      </c>
      <c r="G1804" s="28">
        <f>IF($M1804&lt;&gt;"",IF(INDEX(CalcPriceA,$M1804)=0,"",INDEX(CalcPriceA,$M1804)),"")</f>
        <v/>
      </c>
      <c r="H1804" s="28">
        <f>IF($N1804&lt;&gt;"",IF(INDEX(CalcWitB,$N1804)=0,"",INDEX(CalcWitB,$N1804)),"")</f>
        <v/>
      </c>
      <c r="I1804" s="29">
        <f>IF($M1804&lt;&gt;"",INDEX(CalcAmtA,$M1804),"")</f>
        <v/>
      </c>
      <c r="J1804" s="29">
        <f>IF($B1804="","",IF($J1803="",$C$8,$J1803)+IF($I1804="",0,$I1804)+IF($E1804="",0,$E1804)-IF($H1804="",0,$H1804))</f>
        <v/>
      </c>
      <c r="K1804" s="30">
        <f>IF($M1804&lt;&gt;"",IF(INDEX(CalcNoteA,$M1804)="","—",INDEX(CalcNoteA,$M1804)),IF($N1804&lt;&gt;"",IF(INDEX(CalcNoteB,$N1804)="","—",INDEX(CalcNoteB,$N1804)),""))</f>
        <v/>
      </c>
      <c r="M1804">
        <f>IFERROR(MATCH($C$5&amp;"|"&amp;RIGHT("000000"&amp;1788,6),CalcRankKeyA,0),"")</f>
        <v/>
      </c>
      <c r="N1804">
        <f>IFERROR(MATCH($C$5&amp;"|"&amp;RIGHT("000000"&amp;1788,6),CalcRankKeyB,0),"")</f>
        <v/>
      </c>
    </row>
    <row r="1805">
      <c r="A1805" s="21" t="n">
        <v>1789</v>
      </c>
      <c r="B1805" s="22">
        <f>IF(AND($M1805="",$N1805=""),"",IF($M1805&lt;&gt;"",INDEX(CalcDateA,$M1805),INDEX(CalcDateB,$N1805)))</f>
        <v/>
      </c>
      <c r="C1805" s="22">
        <f>IF($M1805&lt;&gt;"","خرید سبد",IF($N1805&lt;&gt;"",IF(N(INDEX(CalcDepB,$N1805))&gt;0,"دریافت بانکی","پرداخت بانکی"),""))</f>
        <v/>
      </c>
      <c r="D1805" s="22">
        <f>IF($M1805&lt;&gt;"",IF(INDEX(CalcDocA,$M1805)="","—",INDEX(CalcDocA,$M1805)),IF($N1805&lt;&gt;"",INDEX(CalcBankB,$N1805),""))</f>
        <v/>
      </c>
      <c r="E1805" s="23">
        <f>IF($N1805&lt;&gt;"",IF(INDEX(CalcDepB,$N1805)=0,"",INDEX(CalcDepB,$N1805)),"")</f>
        <v/>
      </c>
      <c r="F1805" s="23">
        <f>IF($M1805&lt;&gt;"",IF(INDEX(CalcQtyA,$M1805)=0,"",INDEX(CalcQtyA,$M1805)),"")</f>
        <v/>
      </c>
      <c r="G1805" s="23">
        <f>IF($M1805&lt;&gt;"",IF(INDEX(CalcPriceA,$M1805)=0,"",INDEX(CalcPriceA,$M1805)),"")</f>
        <v/>
      </c>
      <c r="H1805" s="23">
        <f>IF($N1805&lt;&gt;"",IF(INDEX(CalcWitB,$N1805)=0,"",INDEX(CalcWitB,$N1805)),"")</f>
        <v/>
      </c>
      <c r="I1805" s="24">
        <f>IF($M1805&lt;&gt;"",INDEX(CalcAmtA,$M1805),"")</f>
        <v/>
      </c>
      <c r="J1805" s="24">
        <f>IF($B1805="","",IF($J1804="",$C$8,$J1804)+IF($I1805="",0,$I1805)+IF($E1805="",0,$E1805)-IF($H1805="",0,$H1805))</f>
        <v/>
      </c>
      <c r="K1805" s="25">
        <f>IF($M1805&lt;&gt;"",IF(INDEX(CalcNoteA,$M1805)="","—",INDEX(CalcNoteA,$M1805)),IF($N1805&lt;&gt;"",IF(INDEX(CalcNoteB,$N1805)="","—",INDEX(CalcNoteB,$N1805)),""))</f>
        <v/>
      </c>
      <c r="M1805">
        <f>IFERROR(MATCH($C$5&amp;"|"&amp;RIGHT("000000"&amp;1789,6),CalcRankKeyA,0),"")</f>
        <v/>
      </c>
      <c r="N1805">
        <f>IFERROR(MATCH($C$5&amp;"|"&amp;RIGHT("000000"&amp;1789,6),CalcRankKeyB,0),"")</f>
        <v/>
      </c>
    </row>
    <row r="1806">
      <c r="A1806" s="26" t="n">
        <v>1790</v>
      </c>
      <c r="B1806" s="27">
        <f>IF(AND($M1806="",$N1806=""),"",IF($M1806&lt;&gt;"",INDEX(CalcDateA,$M1806),INDEX(CalcDateB,$N1806)))</f>
        <v/>
      </c>
      <c r="C1806" s="27">
        <f>IF($M1806&lt;&gt;"","خرید سبد",IF($N1806&lt;&gt;"",IF(N(INDEX(CalcDepB,$N1806))&gt;0,"دریافت بانکی","پرداخت بانکی"),""))</f>
        <v/>
      </c>
      <c r="D1806" s="27">
        <f>IF($M1806&lt;&gt;"",IF(INDEX(CalcDocA,$M1806)="","—",INDEX(CalcDocA,$M1806)),IF($N1806&lt;&gt;"",INDEX(CalcBankB,$N1806),""))</f>
        <v/>
      </c>
      <c r="E1806" s="28">
        <f>IF($N1806&lt;&gt;"",IF(INDEX(CalcDepB,$N1806)=0,"",INDEX(CalcDepB,$N1806)),"")</f>
        <v/>
      </c>
      <c r="F1806" s="28">
        <f>IF($M1806&lt;&gt;"",IF(INDEX(CalcQtyA,$M1806)=0,"",INDEX(CalcQtyA,$M1806)),"")</f>
        <v/>
      </c>
      <c r="G1806" s="28">
        <f>IF($M1806&lt;&gt;"",IF(INDEX(CalcPriceA,$M1806)=0,"",INDEX(CalcPriceA,$M1806)),"")</f>
        <v/>
      </c>
      <c r="H1806" s="28">
        <f>IF($N1806&lt;&gt;"",IF(INDEX(CalcWitB,$N1806)=0,"",INDEX(CalcWitB,$N1806)),"")</f>
        <v/>
      </c>
      <c r="I1806" s="29">
        <f>IF($M1806&lt;&gt;"",INDEX(CalcAmtA,$M1806),"")</f>
        <v/>
      </c>
      <c r="J1806" s="29">
        <f>IF($B1806="","",IF($J1805="",$C$8,$J1805)+IF($I1806="",0,$I1806)+IF($E1806="",0,$E1806)-IF($H1806="",0,$H1806))</f>
        <v/>
      </c>
      <c r="K1806" s="30">
        <f>IF($M1806&lt;&gt;"",IF(INDEX(CalcNoteA,$M1806)="","—",INDEX(CalcNoteA,$M1806)),IF($N1806&lt;&gt;"",IF(INDEX(CalcNoteB,$N1806)="","—",INDEX(CalcNoteB,$N1806)),""))</f>
        <v/>
      </c>
      <c r="M1806">
        <f>IFERROR(MATCH($C$5&amp;"|"&amp;RIGHT("000000"&amp;1790,6),CalcRankKeyA,0),"")</f>
        <v/>
      </c>
      <c r="N1806">
        <f>IFERROR(MATCH($C$5&amp;"|"&amp;RIGHT("000000"&amp;1790,6),CalcRankKeyB,0),"")</f>
        <v/>
      </c>
    </row>
    <row r="1807">
      <c r="A1807" s="21" t="n">
        <v>1791</v>
      </c>
      <c r="B1807" s="22">
        <f>IF(AND($M1807="",$N1807=""),"",IF($M1807&lt;&gt;"",INDEX(CalcDateA,$M1807),INDEX(CalcDateB,$N1807)))</f>
        <v/>
      </c>
      <c r="C1807" s="22">
        <f>IF($M1807&lt;&gt;"","خرید سبد",IF($N1807&lt;&gt;"",IF(N(INDEX(CalcDepB,$N1807))&gt;0,"دریافت بانکی","پرداخت بانکی"),""))</f>
        <v/>
      </c>
      <c r="D1807" s="22">
        <f>IF($M1807&lt;&gt;"",IF(INDEX(CalcDocA,$M1807)="","—",INDEX(CalcDocA,$M1807)),IF($N1807&lt;&gt;"",INDEX(CalcBankB,$N1807),""))</f>
        <v/>
      </c>
      <c r="E1807" s="23">
        <f>IF($N1807&lt;&gt;"",IF(INDEX(CalcDepB,$N1807)=0,"",INDEX(CalcDepB,$N1807)),"")</f>
        <v/>
      </c>
      <c r="F1807" s="23">
        <f>IF($M1807&lt;&gt;"",IF(INDEX(CalcQtyA,$M1807)=0,"",INDEX(CalcQtyA,$M1807)),"")</f>
        <v/>
      </c>
      <c r="G1807" s="23">
        <f>IF($M1807&lt;&gt;"",IF(INDEX(CalcPriceA,$M1807)=0,"",INDEX(CalcPriceA,$M1807)),"")</f>
        <v/>
      </c>
      <c r="H1807" s="23">
        <f>IF($N1807&lt;&gt;"",IF(INDEX(CalcWitB,$N1807)=0,"",INDEX(CalcWitB,$N1807)),"")</f>
        <v/>
      </c>
      <c r="I1807" s="24">
        <f>IF($M1807&lt;&gt;"",INDEX(CalcAmtA,$M1807),"")</f>
        <v/>
      </c>
      <c r="J1807" s="24">
        <f>IF($B1807="","",IF($J1806="",$C$8,$J1806)+IF($I1807="",0,$I1807)+IF($E1807="",0,$E1807)-IF($H1807="",0,$H1807))</f>
        <v/>
      </c>
      <c r="K1807" s="25">
        <f>IF($M1807&lt;&gt;"",IF(INDEX(CalcNoteA,$M1807)="","—",INDEX(CalcNoteA,$M1807)),IF($N1807&lt;&gt;"",IF(INDEX(CalcNoteB,$N1807)="","—",INDEX(CalcNoteB,$N1807)),""))</f>
        <v/>
      </c>
      <c r="M1807">
        <f>IFERROR(MATCH($C$5&amp;"|"&amp;RIGHT("000000"&amp;1791,6),CalcRankKeyA,0),"")</f>
        <v/>
      </c>
      <c r="N1807">
        <f>IFERROR(MATCH($C$5&amp;"|"&amp;RIGHT("000000"&amp;1791,6),CalcRankKeyB,0),"")</f>
        <v/>
      </c>
    </row>
    <row r="1808">
      <c r="A1808" s="26" t="n">
        <v>1792</v>
      </c>
      <c r="B1808" s="27">
        <f>IF(AND($M1808="",$N1808=""),"",IF($M1808&lt;&gt;"",INDEX(CalcDateA,$M1808),INDEX(CalcDateB,$N1808)))</f>
        <v/>
      </c>
      <c r="C1808" s="27">
        <f>IF($M1808&lt;&gt;"","خرید سبد",IF($N1808&lt;&gt;"",IF(N(INDEX(CalcDepB,$N1808))&gt;0,"دریافت بانکی","پرداخت بانکی"),""))</f>
        <v/>
      </c>
      <c r="D1808" s="27">
        <f>IF($M1808&lt;&gt;"",IF(INDEX(CalcDocA,$M1808)="","—",INDEX(CalcDocA,$M1808)),IF($N1808&lt;&gt;"",INDEX(CalcBankB,$N1808),""))</f>
        <v/>
      </c>
      <c r="E1808" s="28">
        <f>IF($N1808&lt;&gt;"",IF(INDEX(CalcDepB,$N1808)=0,"",INDEX(CalcDepB,$N1808)),"")</f>
        <v/>
      </c>
      <c r="F1808" s="28">
        <f>IF($M1808&lt;&gt;"",IF(INDEX(CalcQtyA,$M1808)=0,"",INDEX(CalcQtyA,$M1808)),"")</f>
        <v/>
      </c>
      <c r="G1808" s="28">
        <f>IF($M1808&lt;&gt;"",IF(INDEX(CalcPriceA,$M1808)=0,"",INDEX(CalcPriceA,$M1808)),"")</f>
        <v/>
      </c>
      <c r="H1808" s="28">
        <f>IF($N1808&lt;&gt;"",IF(INDEX(CalcWitB,$N1808)=0,"",INDEX(CalcWitB,$N1808)),"")</f>
        <v/>
      </c>
      <c r="I1808" s="29">
        <f>IF($M1808&lt;&gt;"",INDEX(CalcAmtA,$M1808),"")</f>
        <v/>
      </c>
      <c r="J1808" s="29">
        <f>IF($B1808="","",IF($J1807="",$C$8,$J1807)+IF($I1808="",0,$I1808)+IF($E1808="",0,$E1808)-IF($H1808="",0,$H1808))</f>
        <v/>
      </c>
      <c r="K1808" s="30">
        <f>IF($M1808&lt;&gt;"",IF(INDEX(CalcNoteA,$M1808)="","—",INDEX(CalcNoteA,$M1808)),IF($N1808&lt;&gt;"",IF(INDEX(CalcNoteB,$N1808)="","—",INDEX(CalcNoteB,$N1808)),""))</f>
        <v/>
      </c>
      <c r="M1808">
        <f>IFERROR(MATCH($C$5&amp;"|"&amp;RIGHT("000000"&amp;1792,6),CalcRankKeyA,0),"")</f>
        <v/>
      </c>
      <c r="N1808">
        <f>IFERROR(MATCH($C$5&amp;"|"&amp;RIGHT("000000"&amp;1792,6),CalcRankKeyB,0),"")</f>
        <v/>
      </c>
    </row>
    <row r="1809">
      <c r="A1809" s="21" t="n">
        <v>1793</v>
      </c>
      <c r="B1809" s="22">
        <f>IF(AND($M1809="",$N1809=""),"",IF($M1809&lt;&gt;"",INDEX(CalcDateA,$M1809),INDEX(CalcDateB,$N1809)))</f>
        <v/>
      </c>
      <c r="C1809" s="22">
        <f>IF($M1809&lt;&gt;"","خرید سبد",IF($N1809&lt;&gt;"",IF(N(INDEX(CalcDepB,$N1809))&gt;0,"دریافت بانکی","پرداخت بانکی"),""))</f>
        <v/>
      </c>
      <c r="D1809" s="22">
        <f>IF($M1809&lt;&gt;"",IF(INDEX(CalcDocA,$M1809)="","—",INDEX(CalcDocA,$M1809)),IF($N1809&lt;&gt;"",INDEX(CalcBankB,$N1809),""))</f>
        <v/>
      </c>
      <c r="E1809" s="23">
        <f>IF($N1809&lt;&gt;"",IF(INDEX(CalcDepB,$N1809)=0,"",INDEX(CalcDepB,$N1809)),"")</f>
        <v/>
      </c>
      <c r="F1809" s="23">
        <f>IF($M1809&lt;&gt;"",IF(INDEX(CalcQtyA,$M1809)=0,"",INDEX(CalcQtyA,$M1809)),"")</f>
        <v/>
      </c>
      <c r="G1809" s="23">
        <f>IF($M1809&lt;&gt;"",IF(INDEX(CalcPriceA,$M1809)=0,"",INDEX(CalcPriceA,$M1809)),"")</f>
        <v/>
      </c>
      <c r="H1809" s="23">
        <f>IF($N1809&lt;&gt;"",IF(INDEX(CalcWitB,$N1809)=0,"",INDEX(CalcWitB,$N1809)),"")</f>
        <v/>
      </c>
      <c r="I1809" s="24">
        <f>IF($M1809&lt;&gt;"",INDEX(CalcAmtA,$M1809),"")</f>
        <v/>
      </c>
      <c r="J1809" s="24">
        <f>IF($B1809="","",IF($J1808="",$C$8,$J1808)+IF($I1809="",0,$I1809)+IF($E1809="",0,$E1809)-IF($H1809="",0,$H1809))</f>
        <v/>
      </c>
      <c r="K1809" s="25">
        <f>IF($M1809&lt;&gt;"",IF(INDEX(CalcNoteA,$M1809)="","—",INDEX(CalcNoteA,$M1809)),IF($N1809&lt;&gt;"",IF(INDEX(CalcNoteB,$N1809)="","—",INDEX(CalcNoteB,$N1809)),""))</f>
        <v/>
      </c>
      <c r="M1809">
        <f>IFERROR(MATCH($C$5&amp;"|"&amp;RIGHT("000000"&amp;1793,6),CalcRankKeyA,0),"")</f>
        <v/>
      </c>
      <c r="N1809">
        <f>IFERROR(MATCH($C$5&amp;"|"&amp;RIGHT("000000"&amp;1793,6),CalcRankKeyB,0),"")</f>
        <v/>
      </c>
    </row>
    <row r="1810">
      <c r="A1810" s="26" t="n">
        <v>1794</v>
      </c>
      <c r="B1810" s="27">
        <f>IF(AND($M1810="",$N1810=""),"",IF($M1810&lt;&gt;"",INDEX(CalcDateA,$M1810),INDEX(CalcDateB,$N1810)))</f>
        <v/>
      </c>
      <c r="C1810" s="27">
        <f>IF($M1810&lt;&gt;"","خرید سبد",IF($N1810&lt;&gt;"",IF(N(INDEX(CalcDepB,$N1810))&gt;0,"دریافت بانکی","پرداخت بانکی"),""))</f>
        <v/>
      </c>
      <c r="D1810" s="27">
        <f>IF($M1810&lt;&gt;"",IF(INDEX(CalcDocA,$M1810)="","—",INDEX(CalcDocA,$M1810)),IF($N1810&lt;&gt;"",INDEX(CalcBankB,$N1810),""))</f>
        <v/>
      </c>
      <c r="E1810" s="28">
        <f>IF($N1810&lt;&gt;"",IF(INDEX(CalcDepB,$N1810)=0,"",INDEX(CalcDepB,$N1810)),"")</f>
        <v/>
      </c>
      <c r="F1810" s="28">
        <f>IF($M1810&lt;&gt;"",IF(INDEX(CalcQtyA,$M1810)=0,"",INDEX(CalcQtyA,$M1810)),"")</f>
        <v/>
      </c>
      <c r="G1810" s="28">
        <f>IF($M1810&lt;&gt;"",IF(INDEX(CalcPriceA,$M1810)=0,"",INDEX(CalcPriceA,$M1810)),"")</f>
        <v/>
      </c>
      <c r="H1810" s="28">
        <f>IF($N1810&lt;&gt;"",IF(INDEX(CalcWitB,$N1810)=0,"",INDEX(CalcWitB,$N1810)),"")</f>
        <v/>
      </c>
      <c r="I1810" s="29">
        <f>IF($M1810&lt;&gt;"",INDEX(CalcAmtA,$M1810),"")</f>
        <v/>
      </c>
      <c r="J1810" s="29">
        <f>IF($B1810="","",IF($J1809="",$C$8,$J1809)+IF($I1810="",0,$I1810)+IF($E1810="",0,$E1810)-IF($H1810="",0,$H1810))</f>
        <v/>
      </c>
      <c r="K1810" s="30">
        <f>IF($M1810&lt;&gt;"",IF(INDEX(CalcNoteA,$M1810)="","—",INDEX(CalcNoteA,$M1810)),IF($N1810&lt;&gt;"",IF(INDEX(CalcNoteB,$N1810)="","—",INDEX(CalcNoteB,$N1810)),""))</f>
        <v/>
      </c>
      <c r="M1810">
        <f>IFERROR(MATCH($C$5&amp;"|"&amp;RIGHT("000000"&amp;1794,6),CalcRankKeyA,0),"")</f>
        <v/>
      </c>
      <c r="N1810">
        <f>IFERROR(MATCH($C$5&amp;"|"&amp;RIGHT("000000"&amp;1794,6),CalcRankKeyB,0),"")</f>
        <v/>
      </c>
    </row>
    <row r="1811">
      <c r="A1811" s="21" t="n">
        <v>1795</v>
      </c>
      <c r="B1811" s="22">
        <f>IF(AND($M1811="",$N1811=""),"",IF($M1811&lt;&gt;"",INDEX(CalcDateA,$M1811),INDEX(CalcDateB,$N1811)))</f>
        <v/>
      </c>
      <c r="C1811" s="22">
        <f>IF($M1811&lt;&gt;"","خرید سبد",IF($N1811&lt;&gt;"",IF(N(INDEX(CalcDepB,$N1811))&gt;0,"دریافت بانکی","پرداخت بانکی"),""))</f>
        <v/>
      </c>
      <c r="D1811" s="22">
        <f>IF($M1811&lt;&gt;"",IF(INDEX(CalcDocA,$M1811)="","—",INDEX(CalcDocA,$M1811)),IF($N1811&lt;&gt;"",INDEX(CalcBankB,$N1811),""))</f>
        <v/>
      </c>
      <c r="E1811" s="23">
        <f>IF($N1811&lt;&gt;"",IF(INDEX(CalcDepB,$N1811)=0,"",INDEX(CalcDepB,$N1811)),"")</f>
        <v/>
      </c>
      <c r="F1811" s="23">
        <f>IF($M1811&lt;&gt;"",IF(INDEX(CalcQtyA,$M1811)=0,"",INDEX(CalcQtyA,$M1811)),"")</f>
        <v/>
      </c>
      <c r="G1811" s="23">
        <f>IF($M1811&lt;&gt;"",IF(INDEX(CalcPriceA,$M1811)=0,"",INDEX(CalcPriceA,$M1811)),"")</f>
        <v/>
      </c>
      <c r="H1811" s="23">
        <f>IF($N1811&lt;&gt;"",IF(INDEX(CalcWitB,$N1811)=0,"",INDEX(CalcWitB,$N1811)),"")</f>
        <v/>
      </c>
      <c r="I1811" s="24">
        <f>IF($M1811&lt;&gt;"",INDEX(CalcAmtA,$M1811),"")</f>
        <v/>
      </c>
      <c r="J1811" s="24">
        <f>IF($B1811="","",IF($J1810="",$C$8,$J1810)+IF($I1811="",0,$I1811)+IF($E1811="",0,$E1811)-IF($H1811="",0,$H1811))</f>
        <v/>
      </c>
      <c r="K1811" s="25">
        <f>IF($M1811&lt;&gt;"",IF(INDEX(CalcNoteA,$M1811)="","—",INDEX(CalcNoteA,$M1811)),IF($N1811&lt;&gt;"",IF(INDEX(CalcNoteB,$N1811)="","—",INDEX(CalcNoteB,$N1811)),""))</f>
        <v/>
      </c>
      <c r="M1811">
        <f>IFERROR(MATCH($C$5&amp;"|"&amp;RIGHT("000000"&amp;1795,6),CalcRankKeyA,0),"")</f>
        <v/>
      </c>
      <c r="N1811">
        <f>IFERROR(MATCH($C$5&amp;"|"&amp;RIGHT("000000"&amp;1795,6),CalcRankKeyB,0),"")</f>
        <v/>
      </c>
    </row>
    <row r="1812">
      <c r="A1812" s="26" t="n">
        <v>1796</v>
      </c>
      <c r="B1812" s="27">
        <f>IF(AND($M1812="",$N1812=""),"",IF($M1812&lt;&gt;"",INDEX(CalcDateA,$M1812),INDEX(CalcDateB,$N1812)))</f>
        <v/>
      </c>
      <c r="C1812" s="27">
        <f>IF($M1812&lt;&gt;"","خرید سبد",IF($N1812&lt;&gt;"",IF(N(INDEX(CalcDepB,$N1812))&gt;0,"دریافت بانکی","پرداخت بانکی"),""))</f>
        <v/>
      </c>
      <c r="D1812" s="27">
        <f>IF($M1812&lt;&gt;"",IF(INDEX(CalcDocA,$M1812)="","—",INDEX(CalcDocA,$M1812)),IF($N1812&lt;&gt;"",INDEX(CalcBankB,$N1812),""))</f>
        <v/>
      </c>
      <c r="E1812" s="28">
        <f>IF($N1812&lt;&gt;"",IF(INDEX(CalcDepB,$N1812)=0,"",INDEX(CalcDepB,$N1812)),"")</f>
        <v/>
      </c>
      <c r="F1812" s="28">
        <f>IF($M1812&lt;&gt;"",IF(INDEX(CalcQtyA,$M1812)=0,"",INDEX(CalcQtyA,$M1812)),"")</f>
        <v/>
      </c>
      <c r="G1812" s="28">
        <f>IF($M1812&lt;&gt;"",IF(INDEX(CalcPriceA,$M1812)=0,"",INDEX(CalcPriceA,$M1812)),"")</f>
        <v/>
      </c>
      <c r="H1812" s="28">
        <f>IF($N1812&lt;&gt;"",IF(INDEX(CalcWitB,$N1812)=0,"",INDEX(CalcWitB,$N1812)),"")</f>
        <v/>
      </c>
      <c r="I1812" s="29">
        <f>IF($M1812&lt;&gt;"",INDEX(CalcAmtA,$M1812),"")</f>
        <v/>
      </c>
      <c r="J1812" s="29">
        <f>IF($B1812="","",IF($J1811="",$C$8,$J1811)+IF($I1812="",0,$I1812)+IF($E1812="",0,$E1812)-IF($H1812="",0,$H1812))</f>
        <v/>
      </c>
      <c r="K1812" s="30">
        <f>IF($M1812&lt;&gt;"",IF(INDEX(CalcNoteA,$M1812)="","—",INDEX(CalcNoteA,$M1812)),IF($N1812&lt;&gt;"",IF(INDEX(CalcNoteB,$N1812)="","—",INDEX(CalcNoteB,$N1812)),""))</f>
        <v/>
      </c>
      <c r="M1812">
        <f>IFERROR(MATCH($C$5&amp;"|"&amp;RIGHT("000000"&amp;1796,6),CalcRankKeyA,0),"")</f>
        <v/>
      </c>
      <c r="N1812">
        <f>IFERROR(MATCH($C$5&amp;"|"&amp;RIGHT("000000"&amp;1796,6),CalcRankKeyB,0),"")</f>
        <v/>
      </c>
    </row>
    <row r="1813">
      <c r="A1813" s="21" t="n">
        <v>1797</v>
      </c>
      <c r="B1813" s="22">
        <f>IF(AND($M1813="",$N1813=""),"",IF($M1813&lt;&gt;"",INDEX(CalcDateA,$M1813),INDEX(CalcDateB,$N1813)))</f>
        <v/>
      </c>
      <c r="C1813" s="22">
        <f>IF($M1813&lt;&gt;"","خرید سبد",IF($N1813&lt;&gt;"",IF(N(INDEX(CalcDepB,$N1813))&gt;0,"دریافت بانکی","پرداخت بانکی"),""))</f>
        <v/>
      </c>
      <c r="D1813" s="22">
        <f>IF($M1813&lt;&gt;"",IF(INDEX(CalcDocA,$M1813)="","—",INDEX(CalcDocA,$M1813)),IF($N1813&lt;&gt;"",INDEX(CalcBankB,$N1813),""))</f>
        <v/>
      </c>
      <c r="E1813" s="23">
        <f>IF($N1813&lt;&gt;"",IF(INDEX(CalcDepB,$N1813)=0,"",INDEX(CalcDepB,$N1813)),"")</f>
        <v/>
      </c>
      <c r="F1813" s="23">
        <f>IF($M1813&lt;&gt;"",IF(INDEX(CalcQtyA,$M1813)=0,"",INDEX(CalcQtyA,$M1813)),"")</f>
        <v/>
      </c>
      <c r="G1813" s="23">
        <f>IF($M1813&lt;&gt;"",IF(INDEX(CalcPriceA,$M1813)=0,"",INDEX(CalcPriceA,$M1813)),"")</f>
        <v/>
      </c>
      <c r="H1813" s="23">
        <f>IF($N1813&lt;&gt;"",IF(INDEX(CalcWitB,$N1813)=0,"",INDEX(CalcWitB,$N1813)),"")</f>
        <v/>
      </c>
      <c r="I1813" s="24">
        <f>IF($M1813&lt;&gt;"",INDEX(CalcAmtA,$M1813),"")</f>
        <v/>
      </c>
      <c r="J1813" s="24">
        <f>IF($B1813="","",IF($J1812="",$C$8,$J1812)+IF($I1813="",0,$I1813)+IF($E1813="",0,$E1813)-IF($H1813="",0,$H1813))</f>
        <v/>
      </c>
      <c r="K1813" s="25">
        <f>IF($M1813&lt;&gt;"",IF(INDEX(CalcNoteA,$M1813)="","—",INDEX(CalcNoteA,$M1813)),IF($N1813&lt;&gt;"",IF(INDEX(CalcNoteB,$N1813)="","—",INDEX(CalcNoteB,$N1813)),""))</f>
        <v/>
      </c>
      <c r="M1813">
        <f>IFERROR(MATCH($C$5&amp;"|"&amp;RIGHT("000000"&amp;1797,6),CalcRankKeyA,0),"")</f>
        <v/>
      </c>
      <c r="N1813">
        <f>IFERROR(MATCH($C$5&amp;"|"&amp;RIGHT("000000"&amp;1797,6),CalcRankKeyB,0),"")</f>
        <v/>
      </c>
    </row>
    <row r="1814">
      <c r="A1814" s="26" t="n">
        <v>1798</v>
      </c>
      <c r="B1814" s="27">
        <f>IF(AND($M1814="",$N1814=""),"",IF($M1814&lt;&gt;"",INDEX(CalcDateA,$M1814),INDEX(CalcDateB,$N1814)))</f>
        <v/>
      </c>
      <c r="C1814" s="27">
        <f>IF($M1814&lt;&gt;"","خرید سبد",IF($N1814&lt;&gt;"",IF(N(INDEX(CalcDepB,$N1814))&gt;0,"دریافت بانکی","پرداخت بانکی"),""))</f>
        <v/>
      </c>
      <c r="D1814" s="27">
        <f>IF($M1814&lt;&gt;"",IF(INDEX(CalcDocA,$M1814)="","—",INDEX(CalcDocA,$M1814)),IF($N1814&lt;&gt;"",INDEX(CalcBankB,$N1814),""))</f>
        <v/>
      </c>
      <c r="E1814" s="28">
        <f>IF($N1814&lt;&gt;"",IF(INDEX(CalcDepB,$N1814)=0,"",INDEX(CalcDepB,$N1814)),"")</f>
        <v/>
      </c>
      <c r="F1814" s="28">
        <f>IF($M1814&lt;&gt;"",IF(INDEX(CalcQtyA,$M1814)=0,"",INDEX(CalcQtyA,$M1814)),"")</f>
        <v/>
      </c>
      <c r="G1814" s="28">
        <f>IF($M1814&lt;&gt;"",IF(INDEX(CalcPriceA,$M1814)=0,"",INDEX(CalcPriceA,$M1814)),"")</f>
        <v/>
      </c>
      <c r="H1814" s="28">
        <f>IF($N1814&lt;&gt;"",IF(INDEX(CalcWitB,$N1814)=0,"",INDEX(CalcWitB,$N1814)),"")</f>
        <v/>
      </c>
      <c r="I1814" s="29">
        <f>IF($M1814&lt;&gt;"",INDEX(CalcAmtA,$M1814),"")</f>
        <v/>
      </c>
      <c r="J1814" s="29">
        <f>IF($B1814="","",IF($J1813="",$C$8,$J1813)+IF($I1814="",0,$I1814)+IF($E1814="",0,$E1814)-IF($H1814="",0,$H1814))</f>
        <v/>
      </c>
      <c r="K1814" s="30">
        <f>IF($M1814&lt;&gt;"",IF(INDEX(CalcNoteA,$M1814)="","—",INDEX(CalcNoteA,$M1814)),IF($N1814&lt;&gt;"",IF(INDEX(CalcNoteB,$N1814)="","—",INDEX(CalcNoteB,$N1814)),""))</f>
        <v/>
      </c>
      <c r="M1814">
        <f>IFERROR(MATCH($C$5&amp;"|"&amp;RIGHT("000000"&amp;1798,6),CalcRankKeyA,0),"")</f>
        <v/>
      </c>
      <c r="N1814">
        <f>IFERROR(MATCH($C$5&amp;"|"&amp;RIGHT("000000"&amp;1798,6),CalcRankKeyB,0),"")</f>
        <v/>
      </c>
    </row>
    <row r="1815">
      <c r="A1815" s="21" t="n">
        <v>1799</v>
      </c>
      <c r="B1815" s="22">
        <f>IF(AND($M1815="",$N1815=""),"",IF($M1815&lt;&gt;"",INDEX(CalcDateA,$M1815),INDEX(CalcDateB,$N1815)))</f>
        <v/>
      </c>
      <c r="C1815" s="22">
        <f>IF($M1815&lt;&gt;"","خرید سبد",IF($N1815&lt;&gt;"",IF(N(INDEX(CalcDepB,$N1815))&gt;0,"دریافت بانکی","پرداخت بانکی"),""))</f>
        <v/>
      </c>
      <c r="D1815" s="22">
        <f>IF($M1815&lt;&gt;"",IF(INDEX(CalcDocA,$M1815)="","—",INDEX(CalcDocA,$M1815)),IF($N1815&lt;&gt;"",INDEX(CalcBankB,$N1815),""))</f>
        <v/>
      </c>
      <c r="E1815" s="23">
        <f>IF($N1815&lt;&gt;"",IF(INDEX(CalcDepB,$N1815)=0,"",INDEX(CalcDepB,$N1815)),"")</f>
        <v/>
      </c>
      <c r="F1815" s="23">
        <f>IF($M1815&lt;&gt;"",IF(INDEX(CalcQtyA,$M1815)=0,"",INDEX(CalcQtyA,$M1815)),"")</f>
        <v/>
      </c>
      <c r="G1815" s="23">
        <f>IF($M1815&lt;&gt;"",IF(INDEX(CalcPriceA,$M1815)=0,"",INDEX(CalcPriceA,$M1815)),"")</f>
        <v/>
      </c>
      <c r="H1815" s="23">
        <f>IF($N1815&lt;&gt;"",IF(INDEX(CalcWitB,$N1815)=0,"",INDEX(CalcWitB,$N1815)),"")</f>
        <v/>
      </c>
      <c r="I1815" s="24">
        <f>IF($M1815&lt;&gt;"",INDEX(CalcAmtA,$M1815),"")</f>
        <v/>
      </c>
      <c r="J1815" s="24">
        <f>IF($B1815="","",IF($J1814="",$C$8,$J1814)+IF($I1815="",0,$I1815)+IF($E1815="",0,$E1815)-IF($H1815="",0,$H1815))</f>
        <v/>
      </c>
      <c r="K1815" s="25">
        <f>IF($M1815&lt;&gt;"",IF(INDEX(CalcNoteA,$M1815)="","—",INDEX(CalcNoteA,$M1815)),IF($N1815&lt;&gt;"",IF(INDEX(CalcNoteB,$N1815)="","—",INDEX(CalcNoteB,$N1815)),""))</f>
        <v/>
      </c>
      <c r="M1815">
        <f>IFERROR(MATCH($C$5&amp;"|"&amp;RIGHT("000000"&amp;1799,6),CalcRankKeyA,0),"")</f>
        <v/>
      </c>
      <c r="N1815">
        <f>IFERROR(MATCH($C$5&amp;"|"&amp;RIGHT("000000"&amp;1799,6),CalcRankKeyB,0),"")</f>
        <v/>
      </c>
    </row>
    <row r="1816">
      <c r="A1816" s="26" t="n">
        <v>1800</v>
      </c>
      <c r="B1816" s="27">
        <f>IF(AND($M1816="",$N1816=""),"",IF($M1816&lt;&gt;"",INDEX(CalcDateA,$M1816),INDEX(CalcDateB,$N1816)))</f>
        <v/>
      </c>
      <c r="C1816" s="27">
        <f>IF($M1816&lt;&gt;"","خرید سبد",IF($N1816&lt;&gt;"",IF(N(INDEX(CalcDepB,$N1816))&gt;0,"دریافت بانکی","پرداخت بانکی"),""))</f>
        <v/>
      </c>
      <c r="D1816" s="27">
        <f>IF($M1816&lt;&gt;"",IF(INDEX(CalcDocA,$M1816)="","—",INDEX(CalcDocA,$M1816)),IF($N1816&lt;&gt;"",INDEX(CalcBankB,$N1816),""))</f>
        <v/>
      </c>
      <c r="E1816" s="28">
        <f>IF($N1816&lt;&gt;"",IF(INDEX(CalcDepB,$N1816)=0,"",INDEX(CalcDepB,$N1816)),"")</f>
        <v/>
      </c>
      <c r="F1816" s="28">
        <f>IF($M1816&lt;&gt;"",IF(INDEX(CalcQtyA,$M1816)=0,"",INDEX(CalcQtyA,$M1816)),"")</f>
        <v/>
      </c>
      <c r="G1816" s="28">
        <f>IF($M1816&lt;&gt;"",IF(INDEX(CalcPriceA,$M1816)=0,"",INDEX(CalcPriceA,$M1816)),"")</f>
        <v/>
      </c>
      <c r="H1816" s="28">
        <f>IF($N1816&lt;&gt;"",IF(INDEX(CalcWitB,$N1816)=0,"",INDEX(CalcWitB,$N1816)),"")</f>
        <v/>
      </c>
      <c r="I1816" s="29">
        <f>IF($M1816&lt;&gt;"",INDEX(CalcAmtA,$M1816),"")</f>
        <v/>
      </c>
      <c r="J1816" s="29">
        <f>IF($B1816="","",IF($J1815="",$C$8,$J1815)+IF($I1816="",0,$I1816)+IF($E1816="",0,$E1816)-IF($H1816="",0,$H1816))</f>
        <v/>
      </c>
      <c r="K1816" s="30">
        <f>IF($M1816&lt;&gt;"",IF(INDEX(CalcNoteA,$M1816)="","—",INDEX(CalcNoteA,$M1816)),IF($N1816&lt;&gt;"",IF(INDEX(CalcNoteB,$N1816)="","—",INDEX(CalcNoteB,$N1816)),""))</f>
        <v/>
      </c>
      <c r="M1816">
        <f>IFERROR(MATCH($C$5&amp;"|"&amp;RIGHT("000000"&amp;1800,6),CalcRankKeyA,0),"")</f>
        <v/>
      </c>
      <c r="N1816">
        <f>IFERROR(MATCH($C$5&amp;"|"&amp;RIGHT("000000"&amp;1800,6),CalcRankKeyB,0),"")</f>
        <v/>
      </c>
    </row>
    <row r="1817">
      <c r="A1817" s="21" t="n">
        <v>1801</v>
      </c>
      <c r="B1817" s="22">
        <f>IF(AND($M1817="",$N1817=""),"",IF($M1817&lt;&gt;"",INDEX(CalcDateA,$M1817),INDEX(CalcDateB,$N1817)))</f>
        <v/>
      </c>
      <c r="C1817" s="22">
        <f>IF($M1817&lt;&gt;"","خرید سبد",IF($N1817&lt;&gt;"",IF(N(INDEX(CalcDepB,$N1817))&gt;0,"دریافت بانکی","پرداخت بانکی"),""))</f>
        <v/>
      </c>
      <c r="D1817" s="22">
        <f>IF($M1817&lt;&gt;"",IF(INDEX(CalcDocA,$M1817)="","—",INDEX(CalcDocA,$M1817)),IF($N1817&lt;&gt;"",INDEX(CalcBankB,$N1817),""))</f>
        <v/>
      </c>
      <c r="E1817" s="23">
        <f>IF($N1817&lt;&gt;"",IF(INDEX(CalcDepB,$N1817)=0,"",INDEX(CalcDepB,$N1817)),"")</f>
        <v/>
      </c>
      <c r="F1817" s="23">
        <f>IF($M1817&lt;&gt;"",IF(INDEX(CalcQtyA,$M1817)=0,"",INDEX(CalcQtyA,$M1817)),"")</f>
        <v/>
      </c>
      <c r="G1817" s="23">
        <f>IF($M1817&lt;&gt;"",IF(INDEX(CalcPriceA,$M1817)=0,"",INDEX(CalcPriceA,$M1817)),"")</f>
        <v/>
      </c>
      <c r="H1817" s="23">
        <f>IF($N1817&lt;&gt;"",IF(INDEX(CalcWitB,$N1817)=0,"",INDEX(CalcWitB,$N1817)),"")</f>
        <v/>
      </c>
      <c r="I1817" s="24">
        <f>IF($M1817&lt;&gt;"",INDEX(CalcAmtA,$M1817),"")</f>
        <v/>
      </c>
      <c r="J1817" s="24">
        <f>IF($B1817="","",IF($J1816="",$C$8,$J1816)+IF($I1817="",0,$I1817)+IF($E1817="",0,$E1817)-IF($H1817="",0,$H1817))</f>
        <v/>
      </c>
      <c r="K1817" s="25">
        <f>IF($M1817&lt;&gt;"",IF(INDEX(CalcNoteA,$M1817)="","—",INDEX(CalcNoteA,$M1817)),IF($N1817&lt;&gt;"",IF(INDEX(CalcNoteB,$N1817)="","—",INDEX(CalcNoteB,$N1817)),""))</f>
        <v/>
      </c>
      <c r="M1817">
        <f>IFERROR(MATCH($C$5&amp;"|"&amp;RIGHT("000000"&amp;1801,6),CalcRankKeyA,0),"")</f>
        <v/>
      </c>
      <c r="N1817">
        <f>IFERROR(MATCH($C$5&amp;"|"&amp;RIGHT("000000"&amp;1801,6),CalcRankKeyB,0),"")</f>
        <v/>
      </c>
    </row>
    <row r="1818">
      <c r="A1818" s="26" t="n">
        <v>1802</v>
      </c>
      <c r="B1818" s="27">
        <f>IF(AND($M1818="",$N1818=""),"",IF($M1818&lt;&gt;"",INDEX(CalcDateA,$M1818),INDEX(CalcDateB,$N1818)))</f>
        <v/>
      </c>
      <c r="C1818" s="27">
        <f>IF($M1818&lt;&gt;"","خرید سبد",IF($N1818&lt;&gt;"",IF(N(INDEX(CalcDepB,$N1818))&gt;0,"دریافت بانکی","پرداخت بانکی"),""))</f>
        <v/>
      </c>
      <c r="D1818" s="27">
        <f>IF($M1818&lt;&gt;"",IF(INDEX(CalcDocA,$M1818)="","—",INDEX(CalcDocA,$M1818)),IF($N1818&lt;&gt;"",INDEX(CalcBankB,$N1818),""))</f>
        <v/>
      </c>
      <c r="E1818" s="28">
        <f>IF($N1818&lt;&gt;"",IF(INDEX(CalcDepB,$N1818)=0,"",INDEX(CalcDepB,$N1818)),"")</f>
        <v/>
      </c>
      <c r="F1818" s="28">
        <f>IF($M1818&lt;&gt;"",IF(INDEX(CalcQtyA,$M1818)=0,"",INDEX(CalcQtyA,$M1818)),"")</f>
        <v/>
      </c>
      <c r="G1818" s="28">
        <f>IF($M1818&lt;&gt;"",IF(INDEX(CalcPriceA,$M1818)=0,"",INDEX(CalcPriceA,$M1818)),"")</f>
        <v/>
      </c>
      <c r="H1818" s="28">
        <f>IF($N1818&lt;&gt;"",IF(INDEX(CalcWitB,$N1818)=0,"",INDEX(CalcWitB,$N1818)),"")</f>
        <v/>
      </c>
      <c r="I1818" s="29">
        <f>IF($M1818&lt;&gt;"",INDEX(CalcAmtA,$M1818),"")</f>
        <v/>
      </c>
      <c r="J1818" s="29">
        <f>IF($B1818="","",IF($J1817="",$C$8,$J1817)+IF($I1818="",0,$I1818)+IF($E1818="",0,$E1818)-IF($H1818="",0,$H1818))</f>
        <v/>
      </c>
      <c r="K1818" s="30">
        <f>IF($M1818&lt;&gt;"",IF(INDEX(CalcNoteA,$M1818)="","—",INDEX(CalcNoteA,$M1818)),IF($N1818&lt;&gt;"",IF(INDEX(CalcNoteB,$N1818)="","—",INDEX(CalcNoteB,$N1818)),""))</f>
        <v/>
      </c>
      <c r="M1818">
        <f>IFERROR(MATCH($C$5&amp;"|"&amp;RIGHT("000000"&amp;1802,6),CalcRankKeyA,0),"")</f>
        <v/>
      </c>
      <c r="N1818">
        <f>IFERROR(MATCH($C$5&amp;"|"&amp;RIGHT("000000"&amp;1802,6),CalcRankKeyB,0),"")</f>
        <v/>
      </c>
    </row>
    <row r="1819">
      <c r="A1819" s="21" t="n">
        <v>1803</v>
      </c>
      <c r="B1819" s="22">
        <f>IF(AND($M1819="",$N1819=""),"",IF($M1819&lt;&gt;"",INDEX(CalcDateA,$M1819),INDEX(CalcDateB,$N1819)))</f>
        <v/>
      </c>
      <c r="C1819" s="22">
        <f>IF($M1819&lt;&gt;"","خرید سبد",IF($N1819&lt;&gt;"",IF(N(INDEX(CalcDepB,$N1819))&gt;0,"دریافت بانکی","پرداخت بانکی"),""))</f>
        <v/>
      </c>
      <c r="D1819" s="22">
        <f>IF($M1819&lt;&gt;"",IF(INDEX(CalcDocA,$M1819)="","—",INDEX(CalcDocA,$M1819)),IF($N1819&lt;&gt;"",INDEX(CalcBankB,$N1819),""))</f>
        <v/>
      </c>
      <c r="E1819" s="23">
        <f>IF($N1819&lt;&gt;"",IF(INDEX(CalcDepB,$N1819)=0,"",INDEX(CalcDepB,$N1819)),"")</f>
        <v/>
      </c>
      <c r="F1819" s="23">
        <f>IF($M1819&lt;&gt;"",IF(INDEX(CalcQtyA,$M1819)=0,"",INDEX(CalcQtyA,$M1819)),"")</f>
        <v/>
      </c>
      <c r="G1819" s="23">
        <f>IF($M1819&lt;&gt;"",IF(INDEX(CalcPriceA,$M1819)=0,"",INDEX(CalcPriceA,$M1819)),"")</f>
        <v/>
      </c>
      <c r="H1819" s="23">
        <f>IF($N1819&lt;&gt;"",IF(INDEX(CalcWitB,$N1819)=0,"",INDEX(CalcWitB,$N1819)),"")</f>
        <v/>
      </c>
      <c r="I1819" s="24">
        <f>IF($M1819&lt;&gt;"",INDEX(CalcAmtA,$M1819),"")</f>
        <v/>
      </c>
      <c r="J1819" s="24">
        <f>IF($B1819="","",IF($J1818="",$C$8,$J1818)+IF($I1819="",0,$I1819)+IF($E1819="",0,$E1819)-IF($H1819="",0,$H1819))</f>
        <v/>
      </c>
      <c r="K1819" s="25">
        <f>IF($M1819&lt;&gt;"",IF(INDEX(CalcNoteA,$M1819)="","—",INDEX(CalcNoteA,$M1819)),IF($N1819&lt;&gt;"",IF(INDEX(CalcNoteB,$N1819)="","—",INDEX(CalcNoteB,$N1819)),""))</f>
        <v/>
      </c>
      <c r="M1819">
        <f>IFERROR(MATCH($C$5&amp;"|"&amp;RIGHT("000000"&amp;1803,6),CalcRankKeyA,0),"")</f>
        <v/>
      </c>
      <c r="N1819">
        <f>IFERROR(MATCH($C$5&amp;"|"&amp;RIGHT("000000"&amp;1803,6),CalcRankKeyB,0),"")</f>
        <v/>
      </c>
    </row>
    <row r="1820">
      <c r="A1820" s="26" t="n">
        <v>1804</v>
      </c>
      <c r="B1820" s="27">
        <f>IF(AND($M1820="",$N1820=""),"",IF($M1820&lt;&gt;"",INDEX(CalcDateA,$M1820),INDEX(CalcDateB,$N1820)))</f>
        <v/>
      </c>
      <c r="C1820" s="27">
        <f>IF($M1820&lt;&gt;"","خرید سبد",IF($N1820&lt;&gt;"",IF(N(INDEX(CalcDepB,$N1820))&gt;0,"دریافت بانکی","پرداخت بانکی"),""))</f>
        <v/>
      </c>
      <c r="D1820" s="27">
        <f>IF($M1820&lt;&gt;"",IF(INDEX(CalcDocA,$M1820)="","—",INDEX(CalcDocA,$M1820)),IF($N1820&lt;&gt;"",INDEX(CalcBankB,$N1820),""))</f>
        <v/>
      </c>
      <c r="E1820" s="28">
        <f>IF($N1820&lt;&gt;"",IF(INDEX(CalcDepB,$N1820)=0,"",INDEX(CalcDepB,$N1820)),"")</f>
        <v/>
      </c>
      <c r="F1820" s="28">
        <f>IF($M1820&lt;&gt;"",IF(INDEX(CalcQtyA,$M1820)=0,"",INDEX(CalcQtyA,$M1820)),"")</f>
        <v/>
      </c>
      <c r="G1820" s="28">
        <f>IF($M1820&lt;&gt;"",IF(INDEX(CalcPriceA,$M1820)=0,"",INDEX(CalcPriceA,$M1820)),"")</f>
        <v/>
      </c>
      <c r="H1820" s="28">
        <f>IF($N1820&lt;&gt;"",IF(INDEX(CalcWitB,$N1820)=0,"",INDEX(CalcWitB,$N1820)),"")</f>
        <v/>
      </c>
      <c r="I1820" s="29">
        <f>IF($M1820&lt;&gt;"",INDEX(CalcAmtA,$M1820),"")</f>
        <v/>
      </c>
      <c r="J1820" s="29">
        <f>IF($B1820="","",IF($J1819="",$C$8,$J1819)+IF($I1820="",0,$I1820)+IF($E1820="",0,$E1820)-IF($H1820="",0,$H1820))</f>
        <v/>
      </c>
      <c r="K1820" s="30">
        <f>IF($M1820&lt;&gt;"",IF(INDEX(CalcNoteA,$M1820)="","—",INDEX(CalcNoteA,$M1820)),IF($N1820&lt;&gt;"",IF(INDEX(CalcNoteB,$N1820)="","—",INDEX(CalcNoteB,$N1820)),""))</f>
        <v/>
      </c>
      <c r="M1820">
        <f>IFERROR(MATCH($C$5&amp;"|"&amp;RIGHT("000000"&amp;1804,6),CalcRankKeyA,0),"")</f>
        <v/>
      </c>
      <c r="N1820">
        <f>IFERROR(MATCH($C$5&amp;"|"&amp;RIGHT("000000"&amp;1804,6),CalcRankKeyB,0),"")</f>
        <v/>
      </c>
    </row>
    <row r="1821">
      <c r="A1821" s="21" t="n">
        <v>1805</v>
      </c>
      <c r="B1821" s="22">
        <f>IF(AND($M1821="",$N1821=""),"",IF($M1821&lt;&gt;"",INDEX(CalcDateA,$M1821),INDEX(CalcDateB,$N1821)))</f>
        <v/>
      </c>
      <c r="C1821" s="22">
        <f>IF($M1821&lt;&gt;"","خرید سبد",IF($N1821&lt;&gt;"",IF(N(INDEX(CalcDepB,$N1821))&gt;0,"دریافت بانکی","پرداخت بانکی"),""))</f>
        <v/>
      </c>
      <c r="D1821" s="22">
        <f>IF($M1821&lt;&gt;"",IF(INDEX(CalcDocA,$M1821)="","—",INDEX(CalcDocA,$M1821)),IF($N1821&lt;&gt;"",INDEX(CalcBankB,$N1821),""))</f>
        <v/>
      </c>
      <c r="E1821" s="23">
        <f>IF($N1821&lt;&gt;"",IF(INDEX(CalcDepB,$N1821)=0,"",INDEX(CalcDepB,$N1821)),"")</f>
        <v/>
      </c>
      <c r="F1821" s="23">
        <f>IF($M1821&lt;&gt;"",IF(INDEX(CalcQtyA,$M1821)=0,"",INDEX(CalcQtyA,$M1821)),"")</f>
        <v/>
      </c>
      <c r="G1821" s="23">
        <f>IF($M1821&lt;&gt;"",IF(INDEX(CalcPriceA,$M1821)=0,"",INDEX(CalcPriceA,$M1821)),"")</f>
        <v/>
      </c>
      <c r="H1821" s="23">
        <f>IF($N1821&lt;&gt;"",IF(INDEX(CalcWitB,$N1821)=0,"",INDEX(CalcWitB,$N1821)),"")</f>
        <v/>
      </c>
      <c r="I1821" s="24">
        <f>IF($M1821&lt;&gt;"",INDEX(CalcAmtA,$M1821),"")</f>
        <v/>
      </c>
      <c r="J1821" s="24">
        <f>IF($B1821="","",IF($J1820="",$C$8,$J1820)+IF($I1821="",0,$I1821)+IF($E1821="",0,$E1821)-IF($H1821="",0,$H1821))</f>
        <v/>
      </c>
      <c r="K1821" s="25">
        <f>IF($M1821&lt;&gt;"",IF(INDEX(CalcNoteA,$M1821)="","—",INDEX(CalcNoteA,$M1821)),IF($N1821&lt;&gt;"",IF(INDEX(CalcNoteB,$N1821)="","—",INDEX(CalcNoteB,$N1821)),""))</f>
        <v/>
      </c>
      <c r="M1821">
        <f>IFERROR(MATCH($C$5&amp;"|"&amp;RIGHT("000000"&amp;1805,6),CalcRankKeyA,0),"")</f>
        <v/>
      </c>
      <c r="N1821">
        <f>IFERROR(MATCH($C$5&amp;"|"&amp;RIGHT("000000"&amp;1805,6),CalcRankKeyB,0),"")</f>
        <v/>
      </c>
    </row>
    <row r="1822">
      <c r="A1822" s="26" t="n">
        <v>1806</v>
      </c>
      <c r="B1822" s="27">
        <f>IF(AND($M1822="",$N1822=""),"",IF($M1822&lt;&gt;"",INDEX(CalcDateA,$M1822),INDEX(CalcDateB,$N1822)))</f>
        <v/>
      </c>
      <c r="C1822" s="27">
        <f>IF($M1822&lt;&gt;"","خرید سبد",IF($N1822&lt;&gt;"",IF(N(INDEX(CalcDepB,$N1822))&gt;0,"دریافت بانکی","پرداخت بانکی"),""))</f>
        <v/>
      </c>
      <c r="D1822" s="27">
        <f>IF($M1822&lt;&gt;"",IF(INDEX(CalcDocA,$M1822)="","—",INDEX(CalcDocA,$M1822)),IF($N1822&lt;&gt;"",INDEX(CalcBankB,$N1822),""))</f>
        <v/>
      </c>
      <c r="E1822" s="28">
        <f>IF($N1822&lt;&gt;"",IF(INDEX(CalcDepB,$N1822)=0,"",INDEX(CalcDepB,$N1822)),"")</f>
        <v/>
      </c>
      <c r="F1822" s="28">
        <f>IF($M1822&lt;&gt;"",IF(INDEX(CalcQtyA,$M1822)=0,"",INDEX(CalcQtyA,$M1822)),"")</f>
        <v/>
      </c>
      <c r="G1822" s="28">
        <f>IF($M1822&lt;&gt;"",IF(INDEX(CalcPriceA,$M1822)=0,"",INDEX(CalcPriceA,$M1822)),"")</f>
        <v/>
      </c>
      <c r="H1822" s="28">
        <f>IF($N1822&lt;&gt;"",IF(INDEX(CalcWitB,$N1822)=0,"",INDEX(CalcWitB,$N1822)),"")</f>
        <v/>
      </c>
      <c r="I1822" s="29">
        <f>IF($M1822&lt;&gt;"",INDEX(CalcAmtA,$M1822),"")</f>
        <v/>
      </c>
      <c r="J1822" s="29">
        <f>IF($B1822="","",IF($J1821="",$C$8,$J1821)+IF($I1822="",0,$I1822)+IF($E1822="",0,$E1822)-IF($H1822="",0,$H1822))</f>
        <v/>
      </c>
      <c r="K1822" s="30">
        <f>IF($M1822&lt;&gt;"",IF(INDEX(CalcNoteA,$M1822)="","—",INDEX(CalcNoteA,$M1822)),IF($N1822&lt;&gt;"",IF(INDEX(CalcNoteB,$N1822)="","—",INDEX(CalcNoteB,$N1822)),""))</f>
        <v/>
      </c>
      <c r="M1822">
        <f>IFERROR(MATCH($C$5&amp;"|"&amp;RIGHT("000000"&amp;1806,6),CalcRankKeyA,0),"")</f>
        <v/>
      </c>
      <c r="N1822">
        <f>IFERROR(MATCH($C$5&amp;"|"&amp;RIGHT("000000"&amp;1806,6),CalcRankKeyB,0),"")</f>
        <v/>
      </c>
    </row>
    <row r="1823">
      <c r="A1823" s="21" t="n">
        <v>1807</v>
      </c>
      <c r="B1823" s="22">
        <f>IF(AND($M1823="",$N1823=""),"",IF($M1823&lt;&gt;"",INDEX(CalcDateA,$M1823),INDEX(CalcDateB,$N1823)))</f>
        <v/>
      </c>
      <c r="C1823" s="22">
        <f>IF($M1823&lt;&gt;"","خرید سبد",IF($N1823&lt;&gt;"",IF(N(INDEX(CalcDepB,$N1823))&gt;0,"دریافت بانکی","پرداخت بانکی"),""))</f>
        <v/>
      </c>
      <c r="D1823" s="22">
        <f>IF($M1823&lt;&gt;"",IF(INDEX(CalcDocA,$M1823)="","—",INDEX(CalcDocA,$M1823)),IF($N1823&lt;&gt;"",INDEX(CalcBankB,$N1823),""))</f>
        <v/>
      </c>
      <c r="E1823" s="23">
        <f>IF($N1823&lt;&gt;"",IF(INDEX(CalcDepB,$N1823)=0,"",INDEX(CalcDepB,$N1823)),"")</f>
        <v/>
      </c>
      <c r="F1823" s="23">
        <f>IF($M1823&lt;&gt;"",IF(INDEX(CalcQtyA,$M1823)=0,"",INDEX(CalcQtyA,$M1823)),"")</f>
        <v/>
      </c>
      <c r="G1823" s="23">
        <f>IF($M1823&lt;&gt;"",IF(INDEX(CalcPriceA,$M1823)=0,"",INDEX(CalcPriceA,$M1823)),"")</f>
        <v/>
      </c>
      <c r="H1823" s="23">
        <f>IF($N1823&lt;&gt;"",IF(INDEX(CalcWitB,$N1823)=0,"",INDEX(CalcWitB,$N1823)),"")</f>
        <v/>
      </c>
      <c r="I1823" s="24">
        <f>IF($M1823&lt;&gt;"",INDEX(CalcAmtA,$M1823),"")</f>
        <v/>
      </c>
      <c r="J1823" s="24">
        <f>IF($B1823="","",IF($J1822="",$C$8,$J1822)+IF($I1823="",0,$I1823)+IF($E1823="",0,$E1823)-IF($H1823="",0,$H1823))</f>
        <v/>
      </c>
      <c r="K1823" s="25">
        <f>IF($M1823&lt;&gt;"",IF(INDEX(CalcNoteA,$M1823)="","—",INDEX(CalcNoteA,$M1823)),IF($N1823&lt;&gt;"",IF(INDEX(CalcNoteB,$N1823)="","—",INDEX(CalcNoteB,$N1823)),""))</f>
        <v/>
      </c>
      <c r="M1823">
        <f>IFERROR(MATCH($C$5&amp;"|"&amp;RIGHT("000000"&amp;1807,6),CalcRankKeyA,0),"")</f>
        <v/>
      </c>
      <c r="N1823">
        <f>IFERROR(MATCH($C$5&amp;"|"&amp;RIGHT("000000"&amp;1807,6),CalcRankKeyB,0),"")</f>
        <v/>
      </c>
    </row>
    <row r="1824">
      <c r="A1824" s="26" t="n">
        <v>1808</v>
      </c>
      <c r="B1824" s="27">
        <f>IF(AND($M1824="",$N1824=""),"",IF($M1824&lt;&gt;"",INDEX(CalcDateA,$M1824),INDEX(CalcDateB,$N1824)))</f>
        <v/>
      </c>
      <c r="C1824" s="27">
        <f>IF($M1824&lt;&gt;"","خرید سبد",IF($N1824&lt;&gt;"",IF(N(INDEX(CalcDepB,$N1824))&gt;0,"دریافت بانکی","پرداخت بانکی"),""))</f>
        <v/>
      </c>
      <c r="D1824" s="27">
        <f>IF($M1824&lt;&gt;"",IF(INDEX(CalcDocA,$M1824)="","—",INDEX(CalcDocA,$M1824)),IF($N1824&lt;&gt;"",INDEX(CalcBankB,$N1824),""))</f>
        <v/>
      </c>
      <c r="E1824" s="28">
        <f>IF($N1824&lt;&gt;"",IF(INDEX(CalcDepB,$N1824)=0,"",INDEX(CalcDepB,$N1824)),"")</f>
        <v/>
      </c>
      <c r="F1824" s="28">
        <f>IF($M1824&lt;&gt;"",IF(INDEX(CalcQtyA,$M1824)=0,"",INDEX(CalcQtyA,$M1824)),"")</f>
        <v/>
      </c>
      <c r="G1824" s="28">
        <f>IF($M1824&lt;&gt;"",IF(INDEX(CalcPriceA,$M1824)=0,"",INDEX(CalcPriceA,$M1824)),"")</f>
        <v/>
      </c>
      <c r="H1824" s="28">
        <f>IF($N1824&lt;&gt;"",IF(INDEX(CalcWitB,$N1824)=0,"",INDEX(CalcWitB,$N1824)),"")</f>
        <v/>
      </c>
      <c r="I1824" s="29">
        <f>IF($M1824&lt;&gt;"",INDEX(CalcAmtA,$M1824),"")</f>
        <v/>
      </c>
      <c r="J1824" s="29">
        <f>IF($B1824="","",IF($J1823="",$C$8,$J1823)+IF($I1824="",0,$I1824)+IF($E1824="",0,$E1824)-IF($H1824="",0,$H1824))</f>
        <v/>
      </c>
      <c r="K1824" s="30">
        <f>IF($M1824&lt;&gt;"",IF(INDEX(CalcNoteA,$M1824)="","—",INDEX(CalcNoteA,$M1824)),IF($N1824&lt;&gt;"",IF(INDEX(CalcNoteB,$N1824)="","—",INDEX(CalcNoteB,$N1824)),""))</f>
        <v/>
      </c>
      <c r="M1824">
        <f>IFERROR(MATCH($C$5&amp;"|"&amp;RIGHT("000000"&amp;1808,6),CalcRankKeyA,0),"")</f>
        <v/>
      </c>
      <c r="N1824">
        <f>IFERROR(MATCH($C$5&amp;"|"&amp;RIGHT("000000"&amp;1808,6),CalcRankKeyB,0),"")</f>
        <v/>
      </c>
    </row>
    <row r="1825">
      <c r="A1825" s="21" t="n">
        <v>1809</v>
      </c>
      <c r="B1825" s="22">
        <f>IF(AND($M1825="",$N1825=""),"",IF($M1825&lt;&gt;"",INDEX(CalcDateA,$M1825),INDEX(CalcDateB,$N1825)))</f>
        <v/>
      </c>
      <c r="C1825" s="22">
        <f>IF($M1825&lt;&gt;"","خرید سبد",IF($N1825&lt;&gt;"",IF(N(INDEX(CalcDepB,$N1825))&gt;0,"دریافت بانکی","پرداخت بانکی"),""))</f>
        <v/>
      </c>
      <c r="D1825" s="22">
        <f>IF($M1825&lt;&gt;"",IF(INDEX(CalcDocA,$M1825)="","—",INDEX(CalcDocA,$M1825)),IF($N1825&lt;&gt;"",INDEX(CalcBankB,$N1825),""))</f>
        <v/>
      </c>
      <c r="E1825" s="23">
        <f>IF($N1825&lt;&gt;"",IF(INDEX(CalcDepB,$N1825)=0,"",INDEX(CalcDepB,$N1825)),"")</f>
        <v/>
      </c>
      <c r="F1825" s="23">
        <f>IF($M1825&lt;&gt;"",IF(INDEX(CalcQtyA,$M1825)=0,"",INDEX(CalcQtyA,$M1825)),"")</f>
        <v/>
      </c>
      <c r="G1825" s="23">
        <f>IF($M1825&lt;&gt;"",IF(INDEX(CalcPriceA,$M1825)=0,"",INDEX(CalcPriceA,$M1825)),"")</f>
        <v/>
      </c>
      <c r="H1825" s="23">
        <f>IF($N1825&lt;&gt;"",IF(INDEX(CalcWitB,$N1825)=0,"",INDEX(CalcWitB,$N1825)),"")</f>
        <v/>
      </c>
      <c r="I1825" s="24">
        <f>IF($M1825&lt;&gt;"",INDEX(CalcAmtA,$M1825),"")</f>
        <v/>
      </c>
      <c r="J1825" s="24">
        <f>IF($B1825="","",IF($J1824="",$C$8,$J1824)+IF($I1825="",0,$I1825)+IF($E1825="",0,$E1825)-IF($H1825="",0,$H1825))</f>
        <v/>
      </c>
      <c r="K1825" s="25">
        <f>IF($M1825&lt;&gt;"",IF(INDEX(CalcNoteA,$M1825)="","—",INDEX(CalcNoteA,$M1825)),IF($N1825&lt;&gt;"",IF(INDEX(CalcNoteB,$N1825)="","—",INDEX(CalcNoteB,$N1825)),""))</f>
        <v/>
      </c>
      <c r="M1825">
        <f>IFERROR(MATCH($C$5&amp;"|"&amp;RIGHT("000000"&amp;1809,6),CalcRankKeyA,0),"")</f>
        <v/>
      </c>
      <c r="N1825">
        <f>IFERROR(MATCH($C$5&amp;"|"&amp;RIGHT("000000"&amp;1809,6),CalcRankKeyB,0),"")</f>
        <v/>
      </c>
    </row>
    <row r="1826">
      <c r="A1826" s="26" t="n">
        <v>1810</v>
      </c>
      <c r="B1826" s="27">
        <f>IF(AND($M1826="",$N1826=""),"",IF($M1826&lt;&gt;"",INDEX(CalcDateA,$M1826),INDEX(CalcDateB,$N1826)))</f>
        <v/>
      </c>
      <c r="C1826" s="27">
        <f>IF($M1826&lt;&gt;"","خرید سبد",IF($N1826&lt;&gt;"",IF(N(INDEX(CalcDepB,$N1826))&gt;0,"دریافت بانکی","پرداخت بانکی"),""))</f>
        <v/>
      </c>
      <c r="D1826" s="27">
        <f>IF($M1826&lt;&gt;"",IF(INDEX(CalcDocA,$M1826)="","—",INDEX(CalcDocA,$M1826)),IF($N1826&lt;&gt;"",INDEX(CalcBankB,$N1826),""))</f>
        <v/>
      </c>
      <c r="E1826" s="28">
        <f>IF($N1826&lt;&gt;"",IF(INDEX(CalcDepB,$N1826)=0,"",INDEX(CalcDepB,$N1826)),"")</f>
        <v/>
      </c>
      <c r="F1826" s="28">
        <f>IF($M1826&lt;&gt;"",IF(INDEX(CalcQtyA,$M1826)=0,"",INDEX(CalcQtyA,$M1826)),"")</f>
        <v/>
      </c>
      <c r="G1826" s="28">
        <f>IF($M1826&lt;&gt;"",IF(INDEX(CalcPriceA,$M1826)=0,"",INDEX(CalcPriceA,$M1826)),"")</f>
        <v/>
      </c>
      <c r="H1826" s="28">
        <f>IF($N1826&lt;&gt;"",IF(INDEX(CalcWitB,$N1826)=0,"",INDEX(CalcWitB,$N1826)),"")</f>
        <v/>
      </c>
      <c r="I1826" s="29">
        <f>IF($M1826&lt;&gt;"",INDEX(CalcAmtA,$M1826),"")</f>
        <v/>
      </c>
      <c r="J1826" s="29">
        <f>IF($B1826="","",IF($J1825="",$C$8,$J1825)+IF($I1826="",0,$I1826)+IF($E1826="",0,$E1826)-IF($H1826="",0,$H1826))</f>
        <v/>
      </c>
      <c r="K1826" s="30">
        <f>IF($M1826&lt;&gt;"",IF(INDEX(CalcNoteA,$M1826)="","—",INDEX(CalcNoteA,$M1826)),IF($N1826&lt;&gt;"",IF(INDEX(CalcNoteB,$N1826)="","—",INDEX(CalcNoteB,$N1826)),""))</f>
        <v/>
      </c>
      <c r="M1826">
        <f>IFERROR(MATCH($C$5&amp;"|"&amp;RIGHT("000000"&amp;1810,6),CalcRankKeyA,0),"")</f>
        <v/>
      </c>
      <c r="N1826">
        <f>IFERROR(MATCH($C$5&amp;"|"&amp;RIGHT("000000"&amp;1810,6),CalcRankKeyB,0),"")</f>
        <v/>
      </c>
    </row>
    <row r="1827">
      <c r="A1827" s="21" t="n">
        <v>1811</v>
      </c>
      <c r="B1827" s="22">
        <f>IF(AND($M1827="",$N1827=""),"",IF($M1827&lt;&gt;"",INDEX(CalcDateA,$M1827),INDEX(CalcDateB,$N1827)))</f>
        <v/>
      </c>
      <c r="C1827" s="22">
        <f>IF($M1827&lt;&gt;"","خرید سبد",IF($N1827&lt;&gt;"",IF(N(INDEX(CalcDepB,$N1827))&gt;0,"دریافت بانکی","پرداخت بانکی"),""))</f>
        <v/>
      </c>
      <c r="D1827" s="22">
        <f>IF($M1827&lt;&gt;"",IF(INDEX(CalcDocA,$M1827)="","—",INDEX(CalcDocA,$M1827)),IF($N1827&lt;&gt;"",INDEX(CalcBankB,$N1827),""))</f>
        <v/>
      </c>
      <c r="E1827" s="23">
        <f>IF($N1827&lt;&gt;"",IF(INDEX(CalcDepB,$N1827)=0,"",INDEX(CalcDepB,$N1827)),"")</f>
        <v/>
      </c>
      <c r="F1827" s="23">
        <f>IF($M1827&lt;&gt;"",IF(INDEX(CalcQtyA,$M1827)=0,"",INDEX(CalcQtyA,$M1827)),"")</f>
        <v/>
      </c>
      <c r="G1827" s="23">
        <f>IF($M1827&lt;&gt;"",IF(INDEX(CalcPriceA,$M1827)=0,"",INDEX(CalcPriceA,$M1827)),"")</f>
        <v/>
      </c>
      <c r="H1827" s="23">
        <f>IF($N1827&lt;&gt;"",IF(INDEX(CalcWitB,$N1827)=0,"",INDEX(CalcWitB,$N1827)),"")</f>
        <v/>
      </c>
      <c r="I1827" s="24">
        <f>IF($M1827&lt;&gt;"",INDEX(CalcAmtA,$M1827),"")</f>
        <v/>
      </c>
      <c r="J1827" s="24">
        <f>IF($B1827="","",IF($J1826="",$C$8,$J1826)+IF($I1827="",0,$I1827)+IF($E1827="",0,$E1827)-IF($H1827="",0,$H1827))</f>
        <v/>
      </c>
      <c r="K1827" s="25">
        <f>IF($M1827&lt;&gt;"",IF(INDEX(CalcNoteA,$M1827)="","—",INDEX(CalcNoteA,$M1827)),IF($N1827&lt;&gt;"",IF(INDEX(CalcNoteB,$N1827)="","—",INDEX(CalcNoteB,$N1827)),""))</f>
        <v/>
      </c>
      <c r="M1827">
        <f>IFERROR(MATCH($C$5&amp;"|"&amp;RIGHT("000000"&amp;1811,6),CalcRankKeyA,0),"")</f>
        <v/>
      </c>
      <c r="N1827">
        <f>IFERROR(MATCH($C$5&amp;"|"&amp;RIGHT("000000"&amp;1811,6),CalcRankKeyB,0),"")</f>
        <v/>
      </c>
    </row>
    <row r="1828">
      <c r="A1828" s="26" t="n">
        <v>1812</v>
      </c>
      <c r="B1828" s="27">
        <f>IF(AND($M1828="",$N1828=""),"",IF($M1828&lt;&gt;"",INDEX(CalcDateA,$M1828),INDEX(CalcDateB,$N1828)))</f>
        <v/>
      </c>
      <c r="C1828" s="27">
        <f>IF($M1828&lt;&gt;"","خرید سبد",IF($N1828&lt;&gt;"",IF(N(INDEX(CalcDepB,$N1828))&gt;0,"دریافت بانکی","پرداخت بانکی"),""))</f>
        <v/>
      </c>
      <c r="D1828" s="27">
        <f>IF($M1828&lt;&gt;"",IF(INDEX(CalcDocA,$M1828)="","—",INDEX(CalcDocA,$M1828)),IF($N1828&lt;&gt;"",INDEX(CalcBankB,$N1828),""))</f>
        <v/>
      </c>
      <c r="E1828" s="28">
        <f>IF($N1828&lt;&gt;"",IF(INDEX(CalcDepB,$N1828)=0,"",INDEX(CalcDepB,$N1828)),"")</f>
        <v/>
      </c>
      <c r="F1828" s="28">
        <f>IF($M1828&lt;&gt;"",IF(INDEX(CalcQtyA,$M1828)=0,"",INDEX(CalcQtyA,$M1828)),"")</f>
        <v/>
      </c>
      <c r="G1828" s="28">
        <f>IF($M1828&lt;&gt;"",IF(INDEX(CalcPriceA,$M1828)=0,"",INDEX(CalcPriceA,$M1828)),"")</f>
        <v/>
      </c>
      <c r="H1828" s="28">
        <f>IF($N1828&lt;&gt;"",IF(INDEX(CalcWitB,$N1828)=0,"",INDEX(CalcWitB,$N1828)),"")</f>
        <v/>
      </c>
      <c r="I1828" s="29">
        <f>IF($M1828&lt;&gt;"",INDEX(CalcAmtA,$M1828),"")</f>
        <v/>
      </c>
      <c r="J1828" s="29">
        <f>IF($B1828="","",IF($J1827="",$C$8,$J1827)+IF($I1828="",0,$I1828)+IF($E1828="",0,$E1828)-IF($H1828="",0,$H1828))</f>
        <v/>
      </c>
      <c r="K1828" s="30">
        <f>IF($M1828&lt;&gt;"",IF(INDEX(CalcNoteA,$M1828)="","—",INDEX(CalcNoteA,$M1828)),IF($N1828&lt;&gt;"",IF(INDEX(CalcNoteB,$N1828)="","—",INDEX(CalcNoteB,$N1828)),""))</f>
        <v/>
      </c>
      <c r="M1828">
        <f>IFERROR(MATCH($C$5&amp;"|"&amp;RIGHT("000000"&amp;1812,6),CalcRankKeyA,0),"")</f>
        <v/>
      </c>
      <c r="N1828">
        <f>IFERROR(MATCH($C$5&amp;"|"&amp;RIGHT("000000"&amp;1812,6),CalcRankKeyB,0),"")</f>
        <v/>
      </c>
    </row>
    <row r="1829">
      <c r="A1829" s="21" t="n">
        <v>1813</v>
      </c>
      <c r="B1829" s="22">
        <f>IF(AND($M1829="",$N1829=""),"",IF($M1829&lt;&gt;"",INDEX(CalcDateA,$M1829),INDEX(CalcDateB,$N1829)))</f>
        <v/>
      </c>
      <c r="C1829" s="22">
        <f>IF($M1829&lt;&gt;"","خرید سبد",IF($N1829&lt;&gt;"",IF(N(INDEX(CalcDepB,$N1829))&gt;0,"دریافت بانکی","پرداخت بانکی"),""))</f>
        <v/>
      </c>
      <c r="D1829" s="22">
        <f>IF($M1829&lt;&gt;"",IF(INDEX(CalcDocA,$M1829)="","—",INDEX(CalcDocA,$M1829)),IF($N1829&lt;&gt;"",INDEX(CalcBankB,$N1829),""))</f>
        <v/>
      </c>
      <c r="E1829" s="23">
        <f>IF($N1829&lt;&gt;"",IF(INDEX(CalcDepB,$N1829)=0,"",INDEX(CalcDepB,$N1829)),"")</f>
        <v/>
      </c>
      <c r="F1829" s="23">
        <f>IF($M1829&lt;&gt;"",IF(INDEX(CalcQtyA,$M1829)=0,"",INDEX(CalcQtyA,$M1829)),"")</f>
        <v/>
      </c>
      <c r="G1829" s="23">
        <f>IF($M1829&lt;&gt;"",IF(INDEX(CalcPriceA,$M1829)=0,"",INDEX(CalcPriceA,$M1829)),"")</f>
        <v/>
      </c>
      <c r="H1829" s="23">
        <f>IF($N1829&lt;&gt;"",IF(INDEX(CalcWitB,$N1829)=0,"",INDEX(CalcWitB,$N1829)),"")</f>
        <v/>
      </c>
      <c r="I1829" s="24">
        <f>IF($M1829&lt;&gt;"",INDEX(CalcAmtA,$M1829),"")</f>
        <v/>
      </c>
      <c r="J1829" s="24">
        <f>IF($B1829="","",IF($J1828="",$C$8,$J1828)+IF($I1829="",0,$I1829)+IF($E1829="",0,$E1829)-IF($H1829="",0,$H1829))</f>
        <v/>
      </c>
      <c r="K1829" s="25">
        <f>IF($M1829&lt;&gt;"",IF(INDEX(CalcNoteA,$M1829)="","—",INDEX(CalcNoteA,$M1829)),IF($N1829&lt;&gt;"",IF(INDEX(CalcNoteB,$N1829)="","—",INDEX(CalcNoteB,$N1829)),""))</f>
        <v/>
      </c>
      <c r="M1829">
        <f>IFERROR(MATCH($C$5&amp;"|"&amp;RIGHT("000000"&amp;1813,6),CalcRankKeyA,0),"")</f>
        <v/>
      </c>
      <c r="N1829">
        <f>IFERROR(MATCH($C$5&amp;"|"&amp;RIGHT("000000"&amp;1813,6),CalcRankKeyB,0),"")</f>
        <v/>
      </c>
    </row>
    <row r="1830">
      <c r="A1830" s="26" t="n">
        <v>1814</v>
      </c>
      <c r="B1830" s="27">
        <f>IF(AND($M1830="",$N1830=""),"",IF($M1830&lt;&gt;"",INDEX(CalcDateA,$M1830),INDEX(CalcDateB,$N1830)))</f>
        <v/>
      </c>
      <c r="C1830" s="27">
        <f>IF($M1830&lt;&gt;"","خرید سبد",IF($N1830&lt;&gt;"",IF(N(INDEX(CalcDepB,$N1830))&gt;0,"دریافت بانکی","پرداخت بانکی"),""))</f>
        <v/>
      </c>
      <c r="D1830" s="27">
        <f>IF($M1830&lt;&gt;"",IF(INDEX(CalcDocA,$M1830)="","—",INDEX(CalcDocA,$M1830)),IF($N1830&lt;&gt;"",INDEX(CalcBankB,$N1830),""))</f>
        <v/>
      </c>
      <c r="E1830" s="28">
        <f>IF($N1830&lt;&gt;"",IF(INDEX(CalcDepB,$N1830)=0,"",INDEX(CalcDepB,$N1830)),"")</f>
        <v/>
      </c>
      <c r="F1830" s="28">
        <f>IF($M1830&lt;&gt;"",IF(INDEX(CalcQtyA,$M1830)=0,"",INDEX(CalcQtyA,$M1830)),"")</f>
        <v/>
      </c>
      <c r="G1830" s="28">
        <f>IF($M1830&lt;&gt;"",IF(INDEX(CalcPriceA,$M1830)=0,"",INDEX(CalcPriceA,$M1830)),"")</f>
        <v/>
      </c>
      <c r="H1830" s="28">
        <f>IF($N1830&lt;&gt;"",IF(INDEX(CalcWitB,$N1830)=0,"",INDEX(CalcWitB,$N1830)),"")</f>
        <v/>
      </c>
      <c r="I1830" s="29">
        <f>IF($M1830&lt;&gt;"",INDEX(CalcAmtA,$M1830),"")</f>
        <v/>
      </c>
      <c r="J1830" s="29">
        <f>IF($B1830="","",IF($J1829="",$C$8,$J1829)+IF($I1830="",0,$I1830)+IF($E1830="",0,$E1830)-IF($H1830="",0,$H1830))</f>
        <v/>
      </c>
      <c r="K1830" s="30">
        <f>IF($M1830&lt;&gt;"",IF(INDEX(CalcNoteA,$M1830)="","—",INDEX(CalcNoteA,$M1830)),IF($N1830&lt;&gt;"",IF(INDEX(CalcNoteB,$N1830)="","—",INDEX(CalcNoteB,$N1830)),""))</f>
        <v/>
      </c>
      <c r="M1830">
        <f>IFERROR(MATCH($C$5&amp;"|"&amp;RIGHT("000000"&amp;1814,6),CalcRankKeyA,0),"")</f>
        <v/>
      </c>
      <c r="N1830">
        <f>IFERROR(MATCH($C$5&amp;"|"&amp;RIGHT("000000"&amp;1814,6),CalcRankKeyB,0),"")</f>
        <v/>
      </c>
    </row>
    <row r="1831">
      <c r="A1831" s="21" t="n">
        <v>1815</v>
      </c>
      <c r="B1831" s="22">
        <f>IF(AND($M1831="",$N1831=""),"",IF($M1831&lt;&gt;"",INDEX(CalcDateA,$M1831),INDEX(CalcDateB,$N1831)))</f>
        <v/>
      </c>
      <c r="C1831" s="22">
        <f>IF($M1831&lt;&gt;"","خرید سبد",IF($N1831&lt;&gt;"",IF(N(INDEX(CalcDepB,$N1831))&gt;0,"دریافت بانکی","پرداخت بانکی"),""))</f>
        <v/>
      </c>
      <c r="D1831" s="22">
        <f>IF($M1831&lt;&gt;"",IF(INDEX(CalcDocA,$M1831)="","—",INDEX(CalcDocA,$M1831)),IF($N1831&lt;&gt;"",INDEX(CalcBankB,$N1831),""))</f>
        <v/>
      </c>
      <c r="E1831" s="23">
        <f>IF($N1831&lt;&gt;"",IF(INDEX(CalcDepB,$N1831)=0,"",INDEX(CalcDepB,$N1831)),"")</f>
        <v/>
      </c>
      <c r="F1831" s="23">
        <f>IF($M1831&lt;&gt;"",IF(INDEX(CalcQtyA,$M1831)=0,"",INDEX(CalcQtyA,$M1831)),"")</f>
        <v/>
      </c>
      <c r="G1831" s="23">
        <f>IF($M1831&lt;&gt;"",IF(INDEX(CalcPriceA,$M1831)=0,"",INDEX(CalcPriceA,$M1831)),"")</f>
        <v/>
      </c>
      <c r="H1831" s="23">
        <f>IF($N1831&lt;&gt;"",IF(INDEX(CalcWitB,$N1831)=0,"",INDEX(CalcWitB,$N1831)),"")</f>
        <v/>
      </c>
      <c r="I1831" s="24">
        <f>IF($M1831&lt;&gt;"",INDEX(CalcAmtA,$M1831),"")</f>
        <v/>
      </c>
      <c r="J1831" s="24">
        <f>IF($B1831="","",IF($J1830="",$C$8,$J1830)+IF($I1831="",0,$I1831)+IF($E1831="",0,$E1831)-IF($H1831="",0,$H1831))</f>
        <v/>
      </c>
      <c r="K1831" s="25">
        <f>IF($M1831&lt;&gt;"",IF(INDEX(CalcNoteA,$M1831)="","—",INDEX(CalcNoteA,$M1831)),IF($N1831&lt;&gt;"",IF(INDEX(CalcNoteB,$N1831)="","—",INDEX(CalcNoteB,$N1831)),""))</f>
        <v/>
      </c>
      <c r="M1831">
        <f>IFERROR(MATCH($C$5&amp;"|"&amp;RIGHT("000000"&amp;1815,6),CalcRankKeyA,0),"")</f>
        <v/>
      </c>
      <c r="N1831">
        <f>IFERROR(MATCH($C$5&amp;"|"&amp;RIGHT("000000"&amp;1815,6),CalcRankKeyB,0),"")</f>
        <v/>
      </c>
    </row>
    <row r="1832">
      <c r="A1832" s="26" t="n">
        <v>1816</v>
      </c>
      <c r="B1832" s="27">
        <f>IF(AND($M1832="",$N1832=""),"",IF($M1832&lt;&gt;"",INDEX(CalcDateA,$M1832),INDEX(CalcDateB,$N1832)))</f>
        <v/>
      </c>
      <c r="C1832" s="27">
        <f>IF($M1832&lt;&gt;"","خرید سبد",IF($N1832&lt;&gt;"",IF(N(INDEX(CalcDepB,$N1832))&gt;0,"دریافت بانکی","پرداخت بانکی"),""))</f>
        <v/>
      </c>
      <c r="D1832" s="27">
        <f>IF($M1832&lt;&gt;"",IF(INDEX(CalcDocA,$M1832)="","—",INDEX(CalcDocA,$M1832)),IF($N1832&lt;&gt;"",INDEX(CalcBankB,$N1832),""))</f>
        <v/>
      </c>
      <c r="E1832" s="28">
        <f>IF($N1832&lt;&gt;"",IF(INDEX(CalcDepB,$N1832)=0,"",INDEX(CalcDepB,$N1832)),"")</f>
        <v/>
      </c>
      <c r="F1832" s="28">
        <f>IF($M1832&lt;&gt;"",IF(INDEX(CalcQtyA,$M1832)=0,"",INDEX(CalcQtyA,$M1832)),"")</f>
        <v/>
      </c>
      <c r="G1832" s="28">
        <f>IF($M1832&lt;&gt;"",IF(INDEX(CalcPriceA,$M1832)=0,"",INDEX(CalcPriceA,$M1832)),"")</f>
        <v/>
      </c>
      <c r="H1832" s="28">
        <f>IF($N1832&lt;&gt;"",IF(INDEX(CalcWitB,$N1832)=0,"",INDEX(CalcWitB,$N1832)),"")</f>
        <v/>
      </c>
      <c r="I1832" s="29">
        <f>IF($M1832&lt;&gt;"",INDEX(CalcAmtA,$M1832),"")</f>
        <v/>
      </c>
      <c r="J1832" s="29">
        <f>IF($B1832="","",IF($J1831="",$C$8,$J1831)+IF($I1832="",0,$I1832)+IF($E1832="",0,$E1832)-IF($H1832="",0,$H1832))</f>
        <v/>
      </c>
      <c r="K1832" s="30">
        <f>IF($M1832&lt;&gt;"",IF(INDEX(CalcNoteA,$M1832)="","—",INDEX(CalcNoteA,$M1832)),IF($N1832&lt;&gt;"",IF(INDEX(CalcNoteB,$N1832)="","—",INDEX(CalcNoteB,$N1832)),""))</f>
        <v/>
      </c>
      <c r="M1832">
        <f>IFERROR(MATCH($C$5&amp;"|"&amp;RIGHT("000000"&amp;1816,6),CalcRankKeyA,0),"")</f>
        <v/>
      </c>
      <c r="N1832">
        <f>IFERROR(MATCH($C$5&amp;"|"&amp;RIGHT("000000"&amp;1816,6),CalcRankKeyB,0),"")</f>
        <v/>
      </c>
    </row>
    <row r="1833">
      <c r="A1833" s="21" t="n">
        <v>1817</v>
      </c>
      <c r="B1833" s="22">
        <f>IF(AND($M1833="",$N1833=""),"",IF($M1833&lt;&gt;"",INDEX(CalcDateA,$M1833),INDEX(CalcDateB,$N1833)))</f>
        <v/>
      </c>
      <c r="C1833" s="22">
        <f>IF($M1833&lt;&gt;"","خرید سبد",IF($N1833&lt;&gt;"",IF(N(INDEX(CalcDepB,$N1833))&gt;0,"دریافت بانکی","پرداخت بانکی"),""))</f>
        <v/>
      </c>
      <c r="D1833" s="22">
        <f>IF($M1833&lt;&gt;"",IF(INDEX(CalcDocA,$M1833)="","—",INDEX(CalcDocA,$M1833)),IF($N1833&lt;&gt;"",INDEX(CalcBankB,$N1833),""))</f>
        <v/>
      </c>
      <c r="E1833" s="23">
        <f>IF($N1833&lt;&gt;"",IF(INDEX(CalcDepB,$N1833)=0,"",INDEX(CalcDepB,$N1833)),"")</f>
        <v/>
      </c>
      <c r="F1833" s="23">
        <f>IF($M1833&lt;&gt;"",IF(INDEX(CalcQtyA,$M1833)=0,"",INDEX(CalcQtyA,$M1833)),"")</f>
        <v/>
      </c>
      <c r="G1833" s="23">
        <f>IF($M1833&lt;&gt;"",IF(INDEX(CalcPriceA,$M1833)=0,"",INDEX(CalcPriceA,$M1833)),"")</f>
        <v/>
      </c>
      <c r="H1833" s="23">
        <f>IF($N1833&lt;&gt;"",IF(INDEX(CalcWitB,$N1833)=0,"",INDEX(CalcWitB,$N1833)),"")</f>
        <v/>
      </c>
      <c r="I1833" s="24">
        <f>IF($M1833&lt;&gt;"",INDEX(CalcAmtA,$M1833),"")</f>
        <v/>
      </c>
      <c r="J1833" s="24">
        <f>IF($B1833="","",IF($J1832="",$C$8,$J1832)+IF($I1833="",0,$I1833)+IF($E1833="",0,$E1833)-IF($H1833="",0,$H1833))</f>
        <v/>
      </c>
      <c r="K1833" s="25">
        <f>IF($M1833&lt;&gt;"",IF(INDEX(CalcNoteA,$M1833)="","—",INDEX(CalcNoteA,$M1833)),IF($N1833&lt;&gt;"",IF(INDEX(CalcNoteB,$N1833)="","—",INDEX(CalcNoteB,$N1833)),""))</f>
        <v/>
      </c>
      <c r="M1833">
        <f>IFERROR(MATCH($C$5&amp;"|"&amp;RIGHT("000000"&amp;1817,6),CalcRankKeyA,0),"")</f>
        <v/>
      </c>
      <c r="N1833">
        <f>IFERROR(MATCH($C$5&amp;"|"&amp;RIGHT("000000"&amp;1817,6),CalcRankKeyB,0),"")</f>
        <v/>
      </c>
    </row>
    <row r="1834">
      <c r="A1834" s="26" t="n">
        <v>1818</v>
      </c>
      <c r="B1834" s="27">
        <f>IF(AND($M1834="",$N1834=""),"",IF($M1834&lt;&gt;"",INDEX(CalcDateA,$M1834),INDEX(CalcDateB,$N1834)))</f>
        <v/>
      </c>
      <c r="C1834" s="27">
        <f>IF($M1834&lt;&gt;"","خرید سبد",IF($N1834&lt;&gt;"",IF(N(INDEX(CalcDepB,$N1834))&gt;0,"دریافت بانکی","پرداخت بانکی"),""))</f>
        <v/>
      </c>
      <c r="D1834" s="27">
        <f>IF($M1834&lt;&gt;"",IF(INDEX(CalcDocA,$M1834)="","—",INDEX(CalcDocA,$M1834)),IF($N1834&lt;&gt;"",INDEX(CalcBankB,$N1834),""))</f>
        <v/>
      </c>
      <c r="E1834" s="28">
        <f>IF($N1834&lt;&gt;"",IF(INDEX(CalcDepB,$N1834)=0,"",INDEX(CalcDepB,$N1834)),"")</f>
        <v/>
      </c>
      <c r="F1834" s="28">
        <f>IF($M1834&lt;&gt;"",IF(INDEX(CalcQtyA,$M1834)=0,"",INDEX(CalcQtyA,$M1834)),"")</f>
        <v/>
      </c>
      <c r="G1834" s="28">
        <f>IF($M1834&lt;&gt;"",IF(INDEX(CalcPriceA,$M1834)=0,"",INDEX(CalcPriceA,$M1834)),"")</f>
        <v/>
      </c>
      <c r="H1834" s="28">
        <f>IF($N1834&lt;&gt;"",IF(INDEX(CalcWitB,$N1834)=0,"",INDEX(CalcWitB,$N1834)),"")</f>
        <v/>
      </c>
      <c r="I1834" s="29">
        <f>IF($M1834&lt;&gt;"",INDEX(CalcAmtA,$M1834),"")</f>
        <v/>
      </c>
      <c r="J1834" s="29">
        <f>IF($B1834="","",IF($J1833="",$C$8,$J1833)+IF($I1834="",0,$I1834)+IF($E1834="",0,$E1834)-IF($H1834="",0,$H1834))</f>
        <v/>
      </c>
      <c r="K1834" s="30">
        <f>IF($M1834&lt;&gt;"",IF(INDEX(CalcNoteA,$M1834)="","—",INDEX(CalcNoteA,$M1834)),IF($N1834&lt;&gt;"",IF(INDEX(CalcNoteB,$N1834)="","—",INDEX(CalcNoteB,$N1834)),""))</f>
        <v/>
      </c>
      <c r="M1834">
        <f>IFERROR(MATCH($C$5&amp;"|"&amp;RIGHT("000000"&amp;1818,6),CalcRankKeyA,0),"")</f>
        <v/>
      </c>
      <c r="N1834">
        <f>IFERROR(MATCH($C$5&amp;"|"&amp;RIGHT("000000"&amp;1818,6),CalcRankKeyB,0),"")</f>
        <v/>
      </c>
    </row>
    <row r="1835">
      <c r="A1835" s="21" t="n">
        <v>1819</v>
      </c>
      <c r="B1835" s="22">
        <f>IF(AND($M1835="",$N1835=""),"",IF($M1835&lt;&gt;"",INDEX(CalcDateA,$M1835),INDEX(CalcDateB,$N1835)))</f>
        <v/>
      </c>
      <c r="C1835" s="22">
        <f>IF($M1835&lt;&gt;"","خرید سبد",IF($N1835&lt;&gt;"",IF(N(INDEX(CalcDepB,$N1835))&gt;0,"دریافت بانکی","پرداخت بانکی"),""))</f>
        <v/>
      </c>
      <c r="D1835" s="22">
        <f>IF($M1835&lt;&gt;"",IF(INDEX(CalcDocA,$M1835)="","—",INDEX(CalcDocA,$M1835)),IF($N1835&lt;&gt;"",INDEX(CalcBankB,$N1835),""))</f>
        <v/>
      </c>
      <c r="E1835" s="23">
        <f>IF($N1835&lt;&gt;"",IF(INDEX(CalcDepB,$N1835)=0,"",INDEX(CalcDepB,$N1835)),"")</f>
        <v/>
      </c>
      <c r="F1835" s="23">
        <f>IF($M1835&lt;&gt;"",IF(INDEX(CalcQtyA,$M1835)=0,"",INDEX(CalcQtyA,$M1835)),"")</f>
        <v/>
      </c>
      <c r="G1835" s="23">
        <f>IF($M1835&lt;&gt;"",IF(INDEX(CalcPriceA,$M1835)=0,"",INDEX(CalcPriceA,$M1835)),"")</f>
        <v/>
      </c>
      <c r="H1835" s="23">
        <f>IF($N1835&lt;&gt;"",IF(INDEX(CalcWitB,$N1835)=0,"",INDEX(CalcWitB,$N1835)),"")</f>
        <v/>
      </c>
      <c r="I1835" s="24">
        <f>IF($M1835&lt;&gt;"",INDEX(CalcAmtA,$M1835),"")</f>
        <v/>
      </c>
      <c r="J1835" s="24">
        <f>IF($B1835="","",IF($J1834="",$C$8,$J1834)+IF($I1835="",0,$I1835)+IF($E1835="",0,$E1835)-IF($H1835="",0,$H1835))</f>
        <v/>
      </c>
      <c r="K1835" s="25">
        <f>IF($M1835&lt;&gt;"",IF(INDEX(CalcNoteA,$M1835)="","—",INDEX(CalcNoteA,$M1835)),IF($N1835&lt;&gt;"",IF(INDEX(CalcNoteB,$N1835)="","—",INDEX(CalcNoteB,$N1835)),""))</f>
        <v/>
      </c>
      <c r="M1835">
        <f>IFERROR(MATCH($C$5&amp;"|"&amp;RIGHT("000000"&amp;1819,6),CalcRankKeyA,0),"")</f>
        <v/>
      </c>
      <c r="N1835">
        <f>IFERROR(MATCH($C$5&amp;"|"&amp;RIGHT("000000"&amp;1819,6),CalcRankKeyB,0),"")</f>
        <v/>
      </c>
    </row>
    <row r="1836">
      <c r="A1836" s="26" t="n">
        <v>1820</v>
      </c>
      <c r="B1836" s="27">
        <f>IF(AND($M1836="",$N1836=""),"",IF($M1836&lt;&gt;"",INDEX(CalcDateA,$M1836),INDEX(CalcDateB,$N1836)))</f>
        <v/>
      </c>
      <c r="C1836" s="27">
        <f>IF($M1836&lt;&gt;"","خرید سبد",IF($N1836&lt;&gt;"",IF(N(INDEX(CalcDepB,$N1836))&gt;0,"دریافت بانکی","پرداخت بانکی"),""))</f>
        <v/>
      </c>
      <c r="D1836" s="27">
        <f>IF($M1836&lt;&gt;"",IF(INDEX(CalcDocA,$M1836)="","—",INDEX(CalcDocA,$M1836)),IF($N1836&lt;&gt;"",INDEX(CalcBankB,$N1836),""))</f>
        <v/>
      </c>
      <c r="E1836" s="28">
        <f>IF($N1836&lt;&gt;"",IF(INDEX(CalcDepB,$N1836)=0,"",INDEX(CalcDepB,$N1836)),"")</f>
        <v/>
      </c>
      <c r="F1836" s="28">
        <f>IF($M1836&lt;&gt;"",IF(INDEX(CalcQtyA,$M1836)=0,"",INDEX(CalcQtyA,$M1836)),"")</f>
        <v/>
      </c>
      <c r="G1836" s="28">
        <f>IF($M1836&lt;&gt;"",IF(INDEX(CalcPriceA,$M1836)=0,"",INDEX(CalcPriceA,$M1836)),"")</f>
        <v/>
      </c>
      <c r="H1836" s="28">
        <f>IF($N1836&lt;&gt;"",IF(INDEX(CalcWitB,$N1836)=0,"",INDEX(CalcWitB,$N1836)),"")</f>
        <v/>
      </c>
      <c r="I1836" s="29">
        <f>IF($M1836&lt;&gt;"",INDEX(CalcAmtA,$M1836),"")</f>
        <v/>
      </c>
      <c r="J1836" s="29">
        <f>IF($B1836="","",IF($J1835="",$C$8,$J1835)+IF($I1836="",0,$I1836)+IF($E1836="",0,$E1836)-IF($H1836="",0,$H1836))</f>
        <v/>
      </c>
      <c r="K1836" s="30">
        <f>IF($M1836&lt;&gt;"",IF(INDEX(CalcNoteA,$M1836)="","—",INDEX(CalcNoteA,$M1836)),IF($N1836&lt;&gt;"",IF(INDEX(CalcNoteB,$N1836)="","—",INDEX(CalcNoteB,$N1836)),""))</f>
        <v/>
      </c>
      <c r="M1836">
        <f>IFERROR(MATCH($C$5&amp;"|"&amp;RIGHT("000000"&amp;1820,6),CalcRankKeyA,0),"")</f>
        <v/>
      </c>
      <c r="N1836">
        <f>IFERROR(MATCH($C$5&amp;"|"&amp;RIGHT("000000"&amp;1820,6),CalcRankKeyB,0),"")</f>
        <v/>
      </c>
    </row>
    <row r="1837">
      <c r="A1837" s="21" t="n">
        <v>1821</v>
      </c>
      <c r="B1837" s="22">
        <f>IF(AND($M1837="",$N1837=""),"",IF($M1837&lt;&gt;"",INDEX(CalcDateA,$M1837),INDEX(CalcDateB,$N1837)))</f>
        <v/>
      </c>
      <c r="C1837" s="22">
        <f>IF($M1837&lt;&gt;"","خرید سبد",IF($N1837&lt;&gt;"",IF(N(INDEX(CalcDepB,$N1837))&gt;0,"دریافت بانکی","پرداخت بانکی"),""))</f>
        <v/>
      </c>
      <c r="D1837" s="22">
        <f>IF($M1837&lt;&gt;"",IF(INDEX(CalcDocA,$M1837)="","—",INDEX(CalcDocA,$M1837)),IF($N1837&lt;&gt;"",INDEX(CalcBankB,$N1837),""))</f>
        <v/>
      </c>
      <c r="E1837" s="23">
        <f>IF($N1837&lt;&gt;"",IF(INDEX(CalcDepB,$N1837)=0,"",INDEX(CalcDepB,$N1837)),"")</f>
        <v/>
      </c>
      <c r="F1837" s="23">
        <f>IF($M1837&lt;&gt;"",IF(INDEX(CalcQtyA,$M1837)=0,"",INDEX(CalcQtyA,$M1837)),"")</f>
        <v/>
      </c>
      <c r="G1837" s="23">
        <f>IF($M1837&lt;&gt;"",IF(INDEX(CalcPriceA,$M1837)=0,"",INDEX(CalcPriceA,$M1837)),"")</f>
        <v/>
      </c>
      <c r="H1837" s="23">
        <f>IF($N1837&lt;&gt;"",IF(INDEX(CalcWitB,$N1837)=0,"",INDEX(CalcWitB,$N1837)),"")</f>
        <v/>
      </c>
      <c r="I1837" s="24">
        <f>IF($M1837&lt;&gt;"",INDEX(CalcAmtA,$M1837),"")</f>
        <v/>
      </c>
      <c r="J1837" s="24">
        <f>IF($B1837="","",IF($J1836="",$C$8,$J1836)+IF($I1837="",0,$I1837)+IF($E1837="",0,$E1837)-IF($H1837="",0,$H1837))</f>
        <v/>
      </c>
      <c r="K1837" s="25">
        <f>IF($M1837&lt;&gt;"",IF(INDEX(CalcNoteA,$M1837)="","—",INDEX(CalcNoteA,$M1837)),IF($N1837&lt;&gt;"",IF(INDEX(CalcNoteB,$N1837)="","—",INDEX(CalcNoteB,$N1837)),""))</f>
        <v/>
      </c>
      <c r="M1837">
        <f>IFERROR(MATCH($C$5&amp;"|"&amp;RIGHT("000000"&amp;1821,6),CalcRankKeyA,0),"")</f>
        <v/>
      </c>
      <c r="N1837">
        <f>IFERROR(MATCH($C$5&amp;"|"&amp;RIGHT("000000"&amp;1821,6),CalcRankKeyB,0),"")</f>
        <v/>
      </c>
    </row>
    <row r="1838">
      <c r="A1838" s="26" t="n">
        <v>1822</v>
      </c>
      <c r="B1838" s="27">
        <f>IF(AND($M1838="",$N1838=""),"",IF($M1838&lt;&gt;"",INDEX(CalcDateA,$M1838),INDEX(CalcDateB,$N1838)))</f>
        <v/>
      </c>
      <c r="C1838" s="27">
        <f>IF($M1838&lt;&gt;"","خرید سبد",IF($N1838&lt;&gt;"",IF(N(INDEX(CalcDepB,$N1838))&gt;0,"دریافت بانکی","پرداخت بانکی"),""))</f>
        <v/>
      </c>
      <c r="D1838" s="27">
        <f>IF($M1838&lt;&gt;"",IF(INDEX(CalcDocA,$M1838)="","—",INDEX(CalcDocA,$M1838)),IF($N1838&lt;&gt;"",INDEX(CalcBankB,$N1838),""))</f>
        <v/>
      </c>
      <c r="E1838" s="28">
        <f>IF($N1838&lt;&gt;"",IF(INDEX(CalcDepB,$N1838)=0,"",INDEX(CalcDepB,$N1838)),"")</f>
        <v/>
      </c>
      <c r="F1838" s="28">
        <f>IF($M1838&lt;&gt;"",IF(INDEX(CalcQtyA,$M1838)=0,"",INDEX(CalcQtyA,$M1838)),"")</f>
        <v/>
      </c>
      <c r="G1838" s="28">
        <f>IF($M1838&lt;&gt;"",IF(INDEX(CalcPriceA,$M1838)=0,"",INDEX(CalcPriceA,$M1838)),"")</f>
        <v/>
      </c>
      <c r="H1838" s="28">
        <f>IF($N1838&lt;&gt;"",IF(INDEX(CalcWitB,$N1838)=0,"",INDEX(CalcWitB,$N1838)),"")</f>
        <v/>
      </c>
      <c r="I1838" s="29">
        <f>IF($M1838&lt;&gt;"",INDEX(CalcAmtA,$M1838),"")</f>
        <v/>
      </c>
      <c r="J1838" s="29">
        <f>IF($B1838="","",IF($J1837="",$C$8,$J1837)+IF($I1838="",0,$I1838)+IF($E1838="",0,$E1838)-IF($H1838="",0,$H1838))</f>
        <v/>
      </c>
      <c r="K1838" s="30">
        <f>IF($M1838&lt;&gt;"",IF(INDEX(CalcNoteA,$M1838)="","—",INDEX(CalcNoteA,$M1838)),IF($N1838&lt;&gt;"",IF(INDEX(CalcNoteB,$N1838)="","—",INDEX(CalcNoteB,$N1838)),""))</f>
        <v/>
      </c>
      <c r="M1838">
        <f>IFERROR(MATCH($C$5&amp;"|"&amp;RIGHT("000000"&amp;1822,6),CalcRankKeyA,0),"")</f>
        <v/>
      </c>
      <c r="N1838">
        <f>IFERROR(MATCH($C$5&amp;"|"&amp;RIGHT("000000"&amp;1822,6),CalcRankKeyB,0),"")</f>
        <v/>
      </c>
    </row>
    <row r="1839">
      <c r="A1839" s="21" t="n">
        <v>1823</v>
      </c>
      <c r="B1839" s="22">
        <f>IF(AND($M1839="",$N1839=""),"",IF($M1839&lt;&gt;"",INDEX(CalcDateA,$M1839),INDEX(CalcDateB,$N1839)))</f>
        <v/>
      </c>
      <c r="C1839" s="22">
        <f>IF($M1839&lt;&gt;"","خرید سبد",IF($N1839&lt;&gt;"",IF(N(INDEX(CalcDepB,$N1839))&gt;0,"دریافت بانکی","پرداخت بانکی"),""))</f>
        <v/>
      </c>
      <c r="D1839" s="22">
        <f>IF($M1839&lt;&gt;"",IF(INDEX(CalcDocA,$M1839)="","—",INDEX(CalcDocA,$M1839)),IF($N1839&lt;&gt;"",INDEX(CalcBankB,$N1839),""))</f>
        <v/>
      </c>
      <c r="E1839" s="23">
        <f>IF($N1839&lt;&gt;"",IF(INDEX(CalcDepB,$N1839)=0,"",INDEX(CalcDepB,$N1839)),"")</f>
        <v/>
      </c>
      <c r="F1839" s="23">
        <f>IF($M1839&lt;&gt;"",IF(INDEX(CalcQtyA,$M1839)=0,"",INDEX(CalcQtyA,$M1839)),"")</f>
        <v/>
      </c>
      <c r="G1839" s="23">
        <f>IF($M1839&lt;&gt;"",IF(INDEX(CalcPriceA,$M1839)=0,"",INDEX(CalcPriceA,$M1839)),"")</f>
        <v/>
      </c>
      <c r="H1839" s="23">
        <f>IF($N1839&lt;&gt;"",IF(INDEX(CalcWitB,$N1839)=0,"",INDEX(CalcWitB,$N1839)),"")</f>
        <v/>
      </c>
      <c r="I1839" s="24">
        <f>IF($M1839&lt;&gt;"",INDEX(CalcAmtA,$M1839),"")</f>
        <v/>
      </c>
      <c r="J1839" s="24">
        <f>IF($B1839="","",IF($J1838="",$C$8,$J1838)+IF($I1839="",0,$I1839)+IF($E1839="",0,$E1839)-IF($H1839="",0,$H1839))</f>
        <v/>
      </c>
      <c r="K1839" s="25">
        <f>IF($M1839&lt;&gt;"",IF(INDEX(CalcNoteA,$M1839)="","—",INDEX(CalcNoteA,$M1839)),IF($N1839&lt;&gt;"",IF(INDEX(CalcNoteB,$N1839)="","—",INDEX(CalcNoteB,$N1839)),""))</f>
        <v/>
      </c>
      <c r="M1839">
        <f>IFERROR(MATCH($C$5&amp;"|"&amp;RIGHT("000000"&amp;1823,6),CalcRankKeyA,0),"")</f>
        <v/>
      </c>
      <c r="N1839">
        <f>IFERROR(MATCH($C$5&amp;"|"&amp;RIGHT("000000"&amp;1823,6),CalcRankKeyB,0),"")</f>
        <v/>
      </c>
    </row>
    <row r="1840">
      <c r="A1840" s="26" t="n">
        <v>1824</v>
      </c>
      <c r="B1840" s="27">
        <f>IF(AND($M1840="",$N1840=""),"",IF($M1840&lt;&gt;"",INDEX(CalcDateA,$M1840),INDEX(CalcDateB,$N1840)))</f>
        <v/>
      </c>
      <c r="C1840" s="27">
        <f>IF($M1840&lt;&gt;"","خرید سبد",IF($N1840&lt;&gt;"",IF(N(INDEX(CalcDepB,$N1840))&gt;0,"دریافت بانکی","پرداخت بانکی"),""))</f>
        <v/>
      </c>
      <c r="D1840" s="27">
        <f>IF($M1840&lt;&gt;"",IF(INDEX(CalcDocA,$M1840)="","—",INDEX(CalcDocA,$M1840)),IF($N1840&lt;&gt;"",INDEX(CalcBankB,$N1840),""))</f>
        <v/>
      </c>
      <c r="E1840" s="28">
        <f>IF($N1840&lt;&gt;"",IF(INDEX(CalcDepB,$N1840)=0,"",INDEX(CalcDepB,$N1840)),"")</f>
        <v/>
      </c>
      <c r="F1840" s="28">
        <f>IF($M1840&lt;&gt;"",IF(INDEX(CalcQtyA,$M1840)=0,"",INDEX(CalcQtyA,$M1840)),"")</f>
        <v/>
      </c>
      <c r="G1840" s="28">
        <f>IF($M1840&lt;&gt;"",IF(INDEX(CalcPriceA,$M1840)=0,"",INDEX(CalcPriceA,$M1840)),"")</f>
        <v/>
      </c>
      <c r="H1840" s="28">
        <f>IF($N1840&lt;&gt;"",IF(INDEX(CalcWitB,$N1840)=0,"",INDEX(CalcWitB,$N1840)),"")</f>
        <v/>
      </c>
      <c r="I1840" s="29">
        <f>IF($M1840&lt;&gt;"",INDEX(CalcAmtA,$M1840),"")</f>
        <v/>
      </c>
      <c r="J1840" s="29">
        <f>IF($B1840="","",IF($J1839="",$C$8,$J1839)+IF($I1840="",0,$I1840)+IF($E1840="",0,$E1840)-IF($H1840="",0,$H1840))</f>
        <v/>
      </c>
      <c r="K1840" s="30">
        <f>IF($M1840&lt;&gt;"",IF(INDEX(CalcNoteA,$M1840)="","—",INDEX(CalcNoteA,$M1840)),IF($N1840&lt;&gt;"",IF(INDEX(CalcNoteB,$N1840)="","—",INDEX(CalcNoteB,$N1840)),""))</f>
        <v/>
      </c>
      <c r="M1840">
        <f>IFERROR(MATCH($C$5&amp;"|"&amp;RIGHT("000000"&amp;1824,6),CalcRankKeyA,0),"")</f>
        <v/>
      </c>
      <c r="N1840">
        <f>IFERROR(MATCH($C$5&amp;"|"&amp;RIGHT("000000"&amp;1824,6),CalcRankKeyB,0),"")</f>
        <v/>
      </c>
    </row>
    <row r="1841">
      <c r="A1841" s="21" t="n">
        <v>1825</v>
      </c>
      <c r="B1841" s="22">
        <f>IF(AND($M1841="",$N1841=""),"",IF($M1841&lt;&gt;"",INDEX(CalcDateA,$M1841),INDEX(CalcDateB,$N1841)))</f>
        <v/>
      </c>
      <c r="C1841" s="22">
        <f>IF($M1841&lt;&gt;"","خرید سبد",IF($N1841&lt;&gt;"",IF(N(INDEX(CalcDepB,$N1841))&gt;0,"دریافت بانکی","پرداخت بانکی"),""))</f>
        <v/>
      </c>
      <c r="D1841" s="22">
        <f>IF($M1841&lt;&gt;"",IF(INDEX(CalcDocA,$M1841)="","—",INDEX(CalcDocA,$M1841)),IF($N1841&lt;&gt;"",INDEX(CalcBankB,$N1841),""))</f>
        <v/>
      </c>
      <c r="E1841" s="23">
        <f>IF($N1841&lt;&gt;"",IF(INDEX(CalcDepB,$N1841)=0,"",INDEX(CalcDepB,$N1841)),"")</f>
        <v/>
      </c>
      <c r="F1841" s="23">
        <f>IF($M1841&lt;&gt;"",IF(INDEX(CalcQtyA,$M1841)=0,"",INDEX(CalcQtyA,$M1841)),"")</f>
        <v/>
      </c>
      <c r="G1841" s="23">
        <f>IF($M1841&lt;&gt;"",IF(INDEX(CalcPriceA,$M1841)=0,"",INDEX(CalcPriceA,$M1841)),"")</f>
        <v/>
      </c>
      <c r="H1841" s="23">
        <f>IF($N1841&lt;&gt;"",IF(INDEX(CalcWitB,$N1841)=0,"",INDEX(CalcWitB,$N1841)),"")</f>
        <v/>
      </c>
      <c r="I1841" s="24">
        <f>IF($M1841&lt;&gt;"",INDEX(CalcAmtA,$M1841),"")</f>
        <v/>
      </c>
      <c r="J1841" s="24">
        <f>IF($B1841="","",IF($J1840="",$C$8,$J1840)+IF($I1841="",0,$I1841)+IF($E1841="",0,$E1841)-IF($H1841="",0,$H1841))</f>
        <v/>
      </c>
      <c r="K1841" s="25">
        <f>IF($M1841&lt;&gt;"",IF(INDEX(CalcNoteA,$M1841)="","—",INDEX(CalcNoteA,$M1841)),IF($N1841&lt;&gt;"",IF(INDEX(CalcNoteB,$N1841)="","—",INDEX(CalcNoteB,$N1841)),""))</f>
        <v/>
      </c>
      <c r="M1841">
        <f>IFERROR(MATCH($C$5&amp;"|"&amp;RIGHT("000000"&amp;1825,6),CalcRankKeyA,0),"")</f>
        <v/>
      </c>
      <c r="N1841">
        <f>IFERROR(MATCH($C$5&amp;"|"&amp;RIGHT("000000"&amp;1825,6),CalcRankKeyB,0),"")</f>
        <v/>
      </c>
    </row>
    <row r="1842">
      <c r="A1842" s="26" t="n">
        <v>1826</v>
      </c>
      <c r="B1842" s="27">
        <f>IF(AND($M1842="",$N1842=""),"",IF($M1842&lt;&gt;"",INDEX(CalcDateA,$M1842),INDEX(CalcDateB,$N1842)))</f>
        <v/>
      </c>
      <c r="C1842" s="27">
        <f>IF($M1842&lt;&gt;"","خرید سبد",IF($N1842&lt;&gt;"",IF(N(INDEX(CalcDepB,$N1842))&gt;0,"دریافت بانکی","پرداخت بانکی"),""))</f>
        <v/>
      </c>
      <c r="D1842" s="27">
        <f>IF($M1842&lt;&gt;"",IF(INDEX(CalcDocA,$M1842)="","—",INDEX(CalcDocA,$M1842)),IF($N1842&lt;&gt;"",INDEX(CalcBankB,$N1842),""))</f>
        <v/>
      </c>
      <c r="E1842" s="28">
        <f>IF($N1842&lt;&gt;"",IF(INDEX(CalcDepB,$N1842)=0,"",INDEX(CalcDepB,$N1842)),"")</f>
        <v/>
      </c>
      <c r="F1842" s="28">
        <f>IF($M1842&lt;&gt;"",IF(INDEX(CalcQtyA,$M1842)=0,"",INDEX(CalcQtyA,$M1842)),"")</f>
        <v/>
      </c>
      <c r="G1842" s="28">
        <f>IF($M1842&lt;&gt;"",IF(INDEX(CalcPriceA,$M1842)=0,"",INDEX(CalcPriceA,$M1842)),"")</f>
        <v/>
      </c>
      <c r="H1842" s="28">
        <f>IF($N1842&lt;&gt;"",IF(INDEX(CalcWitB,$N1842)=0,"",INDEX(CalcWitB,$N1842)),"")</f>
        <v/>
      </c>
      <c r="I1842" s="29">
        <f>IF($M1842&lt;&gt;"",INDEX(CalcAmtA,$M1842),"")</f>
        <v/>
      </c>
      <c r="J1842" s="29">
        <f>IF($B1842="","",IF($J1841="",$C$8,$J1841)+IF($I1842="",0,$I1842)+IF($E1842="",0,$E1842)-IF($H1842="",0,$H1842))</f>
        <v/>
      </c>
      <c r="K1842" s="30">
        <f>IF($M1842&lt;&gt;"",IF(INDEX(CalcNoteA,$M1842)="","—",INDEX(CalcNoteA,$M1842)),IF($N1842&lt;&gt;"",IF(INDEX(CalcNoteB,$N1842)="","—",INDEX(CalcNoteB,$N1842)),""))</f>
        <v/>
      </c>
      <c r="M1842">
        <f>IFERROR(MATCH($C$5&amp;"|"&amp;RIGHT("000000"&amp;1826,6),CalcRankKeyA,0),"")</f>
        <v/>
      </c>
      <c r="N1842">
        <f>IFERROR(MATCH($C$5&amp;"|"&amp;RIGHT("000000"&amp;1826,6),CalcRankKeyB,0),"")</f>
        <v/>
      </c>
    </row>
    <row r="1843">
      <c r="A1843" s="21" t="n">
        <v>1827</v>
      </c>
      <c r="B1843" s="22">
        <f>IF(AND($M1843="",$N1843=""),"",IF($M1843&lt;&gt;"",INDEX(CalcDateA,$M1843),INDEX(CalcDateB,$N1843)))</f>
        <v/>
      </c>
      <c r="C1843" s="22">
        <f>IF($M1843&lt;&gt;"","خرید سبد",IF($N1843&lt;&gt;"",IF(N(INDEX(CalcDepB,$N1843))&gt;0,"دریافت بانکی","پرداخت بانکی"),""))</f>
        <v/>
      </c>
      <c r="D1843" s="22">
        <f>IF($M1843&lt;&gt;"",IF(INDEX(CalcDocA,$M1843)="","—",INDEX(CalcDocA,$M1843)),IF($N1843&lt;&gt;"",INDEX(CalcBankB,$N1843),""))</f>
        <v/>
      </c>
      <c r="E1843" s="23">
        <f>IF($N1843&lt;&gt;"",IF(INDEX(CalcDepB,$N1843)=0,"",INDEX(CalcDepB,$N1843)),"")</f>
        <v/>
      </c>
      <c r="F1843" s="23">
        <f>IF($M1843&lt;&gt;"",IF(INDEX(CalcQtyA,$M1843)=0,"",INDEX(CalcQtyA,$M1843)),"")</f>
        <v/>
      </c>
      <c r="G1843" s="23">
        <f>IF($M1843&lt;&gt;"",IF(INDEX(CalcPriceA,$M1843)=0,"",INDEX(CalcPriceA,$M1843)),"")</f>
        <v/>
      </c>
      <c r="H1843" s="23">
        <f>IF($N1843&lt;&gt;"",IF(INDEX(CalcWitB,$N1843)=0,"",INDEX(CalcWitB,$N1843)),"")</f>
        <v/>
      </c>
      <c r="I1843" s="24">
        <f>IF($M1843&lt;&gt;"",INDEX(CalcAmtA,$M1843),"")</f>
        <v/>
      </c>
      <c r="J1843" s="24">
        <f>IF($B1843="","",IF($J1842="",$C$8,$J1842)+IF($I1843="",0,$I1843)+IF($E1843="",0,$E1843)-IF($H1843="",0,$H1843))</f>
        <v/>
      </c>
      <c r="K1843" s="25">
        <f>IF($M1843&lt;&gt;"",IF(INDEX(CalcNoteA,$M1843)="","—",INDEX(CalcNoteA,$M1843)),IF($N1843&lt;&gt;"",IF(INDEX(CalcNoteB,$N1843)="","—",INDEX(CalcNoteB,$N1843)),""))</f>
        <v/>
      </c>
      <c r="M1843">
        <f>IFERROR(MATCH($C$5&amp;"|"&amp;RIGHT("000000"&amp;1827,6),CalcRankKeyA,0),"")</f>
        <v/>
      </c>
      <c r="N1843">
        <f>IFERROR(MATCH($C$5&amp;"|"&amp;RIGHT("000000"&amp;1827,6),CalcRankKeyB,0),"")</f>
        <v/>
      </c>
    </row>
    <row r="1844">
      <c r="A1844" s="26" t="n">
        <v>1828</v>
      </c>
      <c r="B1844" s="27">
        <f>IF(AND($M1844="",$N1844=""),"",IF($M1844&lt;&gt;"",INDEX(CalcDateA,$M1844),INDEX(CalcDateB,$N1844)))</f>
        <v/>
      </c>
      <c r="C1844" s="27">
        <f>IF($M1844&lt;&gt;"","خرید سبد",IF($N1844&lt;&gt;"",IF(N(INDEX(CalcDepB,$N1844))&gt;0,"دریافت بانکی","پرداخت بانکی"),""))</f>
        <v/>
      </c>
      <c r="D1844" s="27">
        <f>IF($M1844&lt;&gt;"",IF(INDEX(CalcDocA,$M1844)="","—",INDEX(CalcDocA,$M1844)),IF($N1844&lt;&gt;"",INDEX(CalcBankB,$N1844),""))</f>
        <v/>
      </c>
      <c r="E1844" s="28">
        <f>IF($N1844&lt;&gt;"",IF(INDEX(CalcDepB,$N1844)=0,"",INDEX(CalcDepB,$N1844)),"")</f>
        <v/>
      </c>
      <c r="F1844" s="28">
        <f>IF($M1844&lt;&gt;"",IF(INDEX(CalcQtyA,$M1844)=0,"",INDEX(CalcQtyA,$M1844)),"")</f>
        <v/>
      </c>
      <c r="G1844" s="28">
        <f>IF($M1844&lt;&gt;"",IF(INDEX(CalcPriceA,$M1844)=0,"",INDEX(CalcPriceA,$M1844)),"")</f>
        <v/>
      </c>
      <c r="H1844" s="28">
        <f>IF($N1844&lt;&gt;"",IF(INDEX(CalcWitB,$N1844)=0,"",INDEX(CalcWitB,$N1844)),"")</f>
        <v/>
      </c>
      <c r="I1844" s="29">
        <f>IF($M1844&lt;&gt;"",INDEX(CalcAmtA,$M1844),"")</f>
        <v/>
      </c>
      <c r="J1844" s="29">
        <f>IF($B1844="","",IF($J1843="",$C$8,$J1843)+IF($I1844="",0,$I1844)+IF($E1844="",0,$E1844)-IF($H1844="",0,$H1844))</f>
        <v/>
      </c>
      <c r="K1844" s="30">
        <f>IF($M1844&lt;&gt;"",IF(INDEX(CalcNoteA,$M1844)="","—",INDEX(CalcNoteA,$M1844)),IF($N1844&lt;&gt;"",IF(INDEX(CalcNoteB,$N1844)="","—",INDEX(CalcNoteB,$N1844)),""))</f>
        <v/>
      </c>
      <c r="M1844">
        <f>IFERROR(MATCH($C$5&amp;"|"&amp;RIGHT("000000"&amp;1828,6),CalcRankKeyA,0),"")</f>
        <v/>
      </c>
      <c r="N1844">
        <f>IFERROR(MATCH($C$5&amp;"|"&amp;RIGHT("000000"&amp;1828,6),CalcRankKeyB,0),"")</f>
        <v/>
      </c>
    </row>
    <row r="1845">
      <c r="A1845" s="21" t="n">
        <v>1829</v>
      </c>
      <c r="B1845" s="22">
        <f>IF(AND($M1845="",$N1845=""),"",IF($M1845&lt;&gt;"",INDEX(CalcDateA,$M1845),INDEX(CalcDateB,$N1845)))</f>
        <v/>
      </c>
      <c r="C1845" s="22">
        <f>IF($M1845&lt;&gt;"","خرید سبد",IF($N1845&lt;&gt;"",IF(N(INDEX(CalcDepB,$N1845))&gt;0,"دریافت بانکی","پرداخت بانکی"),""))</f>
        <v/>
      </c>
      <c r="D1845" s="22">
        <f>IF($M1845&lt;&gt;"",IF(INDEX(CalcDocA,$M1845)="","—",INDEX(CalcDocA,$M1845)),IF($N1845&lt;&gt;"",INDEX(CalcBankB,$N1845),""))</f>
        <v/>
      </c>
      <c r="E1845" s="23">
        <f>IF($N1845&lt;&gt;"",IF(INDEX(CalcDepB,$N1845)=0,"",INDEX(CalcDepB,$N1845)),"")</f>
        <v/>
      </c>
      <c r="F1845" s="23">
        <f>IF($M1845&lt;&gt;"",IF(INDEX(CalcQtyA,$M1845)=0,"",INDEX(CalcQtyA,$M1845)),"")</f>
        <v/>
      </c>
      <c r="G1845" s="23">
        <f>IF($M1845&lt;&gt;"",IF(INDEX(CalcPriceA,$M1845)=0,"",INDEX(CalcPriceA,$M1845)),"")</f>
        <v/>
      </c>
      <c r="H1845" s="23">
        <f>IF($N1845&lt;&gt;"",IF(INDEX(CalcWitB,$N1845)=0,"",INDEX(CalcWitB,$N1845)),"")</f>
        <v/>
      </c>
      <c r="I1845" s="24">
        <f>IF($M1845&lt;&gt;"",INDEX(CalcAmtA,$M1845),"")</f>
        <v/>
      </c>
      <c r="J1845" s="24">
        <f>IF($B1845="","",IF($J1844="",$C$8,$J1844)+IF($I1845="",0,$I1845)+IF($E1845="",0,$E1845)-IF($H1845="",0,$H1845))</f>
        <v/>
      </c>
      <c r="K1845" s="25">
        <f>IF($M1845&lt;&gt;"",IF(INDEX(CalcNoteA,$M1845)="","—",INDEX(CalcNoteA,$M1845)),IF($N1845&lt;&gt;"",IF(INDEX(CalcNoteB,$N1845)="","—",INDEX(CalcNoteB,$N1845)),""))</f>
        <v/>
      </c>
      <c r="M1845">
        <f>IFERROR(MATCH($C$5&amp;"|"&amp;RIGHT("000000"&amp;1829,6),CalcRankKeyA,0),"")</f>
        <v/>
      </c>
      <c r="N1845">
        <f>IFERROR(MATCH($C$5&amp;"|"&amp;RIGHT("000000"&amp;1829,6),CalcRankKeyB,0),"")</f>
        <v/>
      </c>
    </row>
    <row r="1846">
      <c r="A1846" s="26" t="n">
        <v>1830</v>
      </c>
      <c r="B1846" s="27">
        <f>IF(AND($M1846="",$N1846=""),"",IF($M1846&lt;&gt;"",INDEX(CalcDateA,$M1846),INDEX(CalcDateB,$N1846)))</f>
        <v/>
      </c>
      <c r="C1846" s="27">
        <f>IF($M1846&lt;&gt;"","خرید سبد",IF($N1846&lt;&gt;"",IF(N(INDEX(CalcDepB,$N1846))&gt;0,"دریافت بانکی","پرداخت بانکی"),""))</f>
        <v/>
      </c>
      <c r="D1846" s="27">
        <f>IF($M1846&lt;&gt;"",IF(INDEX(CalcDocA,$M1846)="","—",INDEX(CalcDocA,$M1846)),IF($N1846&lt;&gt;"",INDEX(CalcBankB,$N1846),""))</f>
        <v/>
      </c>
      <c r="E1846" s="28">
        <f>IF($N1846&lt;&gt;"",IF(INDEX(CalcDepB,$N1846)=0,"",INDEX(CalcDepB,$N1846)),"")</f>
        <v/>
      </c>
      <c r="F1846" s="28">
        <f>IF($M1846&lt;&gt;"",IF(INDEX(CalcQtyA,$M1846)=0,"",INDEX(CalcQtyA,$M1846)),"")</f>
        <v/>
      </c>
      <c r="G1846" s="28">
        <f>IF($M1846&lt;&gt;"",IF(INDEX(CalcPriceA,$M1846)=0,"",INDEX(CalcPriceA,$M1846)),"")</f>
        <v/>
      </c>
      <c r="H1846" s="28">
        <f>IF($N1846&lt;&gt;"",IF(INDEX(CalcWitB,$N1846)=0,"",INDEX(CalcWitB,$N1846)),"")</f>
        <v/>
      </c>
      <c r="I1846" s="29">
        <f>IF($M1846&lt;&gt;"",INDEX(CalcAmtA,$M1846),"")</f>
        <v/>
      </c>
      <c r="J1846" s="29">
        <f>IF($B1846="","",IF($J1845="",$C$8,$J1845)+IF($I1846="",0,$I1846)+IF($E1846="",0,$E1846)-IF($H1846="",0,$H1846))</f>
        <v/>
      </c>
      <c r="K1846" s="30">
        <f>IF($M1846&lt;&gt;"",IF(INDEX(CalcNoteA,$M1846)="","—",INDEX(CalcNoteA,$M1846)),IF($N1846&lt;&gt;"",IF(INDEX(CalcNoteB,$N1846)="","—",INDEX(CalcNoteB,$N1846)),""))</f>
        <v/>
      </c>
      <c r="M1846">
        <f>IFERROR(MATCH($C$5&amp;"|"&amp;RIGHT("000000"&amp;1830,6),CalcRankKeyA,0),"")</f>
        <v/>
      </c>
      <c r="N1846">
        <f>IFERROR(MATCH($C$5&amp;"|"&amp;RIGHT("000000"&amp;1830,6),CalcRankKeyB,0),"")</f>
        <v/>
      </c>
    </row>
    <row r="1847">
      <c r="A1847" s="21" t="n">
        <v>1831</v>
      </c>
      <c r="B1847" s="22">
        <f>IF(AND($M1847="",$N1847=""),"",IF($M1847&lt;&gt;"",INDEX(CalcDateA,$M1847),INDEX(CalcDateB,$N1847)))</f>
        <v/>
      </c>
      <c r="C1847" s="22">
        <f>IF($M1847&lt;&gt;"","خرید سبد",IF($N1847&lt;&gt;"",IF(N(INDEX(CalcDepB,$N1847))&gt;0,"دریافت بانکی","پرداخت بانکی"),""))</f>
        <v/>
      </c>
      <c r="D1847" s="22">
        <f>IF($M1847&lt;&gt;"",IF(INDEX(CalcDocA,$M1847)="","—",INDEX(CalcDocA,$M1847)),IF($N1847&lt;&gt;"",INDEX(CalcBankB,$N1847),""))</f>
        <v/>
      </c>
      <c r="E1847" s="23">
        <f>IF($N1847&lt;&gt;"",IF(INDEX(CalcDepB,$N1847)=0,"",INDEX(CalcDepB,$N1847)),"")</f>
        <v/>
      </c>
      <c r="F1847" s="23">
        <f>IF($M1847&lt;&gt;"",IF(INDEX(CalcQtyA,$M1847)=0,"",INDEX(CalcQtyA,$M1847)),"")</f>
        <v/>
      </c>
      <c r="G1847" s="23">
        <f>IF($M1847&lt;&gt;"",IF(INDEX(CalcPriceA,$M1847)=0,"",INDEX(CalcPriceA,$M1847)),"")</f>
        <v/>
      </c>
      <c r="H1847" s="23">
        <f>IF($N1847&lt;&gt;"",IF(INDEX(CalcWitB,$N1847)=0,"",INDEX(CalcWitB,$N1847)),"")</f>
        <v/>
      </c>
      <c r="I1847" s="24">
        <f>IF($M1847&lt;&gt;"",INDEX(CalcAmtA,$M1847),"")</f>
        <v/>
      </c>
      <c r="J1847" s="24">
        <f>IF($B1847="","",IF($J1846="",$C$8,$J1846)+IF($I1847="",0,$I1847)+IF($E1847="",0,$E1847)-IF($H1847="",0,$H1847))</f>
        <v/>
      </c>
      <c r="K1847" s="25">
        <f>IF($M1847&lt;&gt;"",IF(INDEX(CalcNoteA,$M1847)="","—",INDEX(CalcNoteA,$M1847)),IF($N1847&lt;&gt;"",IF(INDEX(CalcNoteB,$N1847)="","—",INDEX(CalcNoteB,$N1847)),""))</f>
        <v/>
      </c>
      <c r="M1847">
        <f>IFERROR(MATCH($C$5&amp;"|"&amp;RIGHT("000000"&amp;1831,6),CalcRankKeyA,0),"")</f>
        <v/>
      </c>
      <c r="N1847">
        <f>IFERROR(MATCH($C$5&amp;"|"&amp;RIGHT("000000"&amp;1831,6),CalcRankKeyB,0),"")</f>
        <v/>
      </c>
    </row>
    <row r="1848">
      <c r="A1848" s="26" t="n">
        <v>1832</v>
      </c>
      <c r="B1848" s="27">
        <f>IF(AND($M1848="",$N1848=""),"",IF($M1848&lt;&gt;"",INDEX(CalcDateA,$M1848),INDEX(CalcDateB,$N1848)))</f>
        <v/>
      </c>
      <c r="C1848" s="27">
        <f>IF($M1848&lt;&gt;"","خرید سبد",IF($N1848&lt;&gt;"",IF(N(INDEX(CalcDepB,$N1848))&gt;0,"دریافت بانکی","پرداخت بانکی"),""))</f>
        <v/>
      </c>
      <c r="D1848" s="27">
        <f>IF($M1848&lt;&gt;"",IF(INDEX(CalcDocA,$M1848)="","—",INDEX(CalcDocA,$M1848)),IF($N1848&lt;&gt;"",INDEX(CalcBankB,$N1848),""))</f>
        <v/>
      </c>
      <c r="E1848" s="28">
        <f>IF($N1848&lt;&gt;"",IF(INDEX(CalcDepB,$N1848)=0,"",INDEX(CalcDepB,$N1848)),"")</f>
        <v/>
      </c>
      <c r="F1848" s="28">
        <f>IF($M1848&lt;&gt;"",IF(INDEX(CalcQtyA,$M1848)=0,"",INDEX(CalcQtyA,$M1848)),"")</f>
        <v/>
      </c>
      <c r="G1848" s="28">
        <f>IF($M1848&lt;&gt;"",IF(INDEX(CalcPriceA,$M1848)=0,"",INDEX(CalcPriceA,$M1848)),"")</f>
        <v/>
      </c>
      <c r="H1848" s="28">
        <f>IF($N1848&lt;&gt;"",IF(INDEX(CalcWitB,$N1848)=0,"",INDEX(CalcWitB,$N1848)),"")</f>
        <v/>
      </c>
      <c r="I1848" s="29">
        <f>IF($M1848&lt;&gt;"",INDEX(CalcAmtA,$M1848),"")</f>
        <v/>
      </c>
      <c r="J1848" s="29">
        <f>IF($B1848="","",IF($J1847="",$C$8,$J1847)+IF($I1848="",0,$I1848)+IF($E1848="",0,$E1848)-IF($H1848="",0,$H1848))</f>
        <v/>
      </c>
      <c r="K1848" s="30">
        <f>IF($M1848&lt;&gt;"",IF(INDEX(CalcNoteA,$M1848)="","—",INDEX(CalcNoteA,$M1848)),IF($N1848&lt;&gt;"",IF(INDEX(CalcNoteB,$N1848)="","—",INDEX(CalcNoteB,$N1848)),""))</f>
        <v/>
      </c>
      <c r="M1848">
        <f>IFERROR(MATCH($C$5&amp;"|"&amp;RIGHT("000000"&amp;1832,6),CalcRankKeyA,0),"")</f>
        <v/>
      </c>
      <c r="N1848">
        <f>IFERROR(MATCH($C$5&amp;"|"&amp;RIGHT("000000"&amp;1832,6),CalcRankKeyB,0),"")</f>
        <v/>
      </c>
    </row>
    <row r="1849">
      <c r="A1849" s="21" t="n">
        <v>1833</v>
      </c>
      <c r="B1849" s="22">
        <f>IF(AND($M1849="",$N1849=""),"",IF($M1849&lt;&gt;"",INDEX(CalcDateA,$M1849),INDEX(CalcDateB,$N1849)))</f>
        <v/>
      </c>
      <c r="C1849" s="22">
        <f>IF($M1849&lt;&gt;"","خرید سبد",IF($N1849&lt;&gt;"",IF(N(INDEX(CalcDepB,$N1849))&gt;0,"دریافت بانکی","پرداخت بانکی"),""))</f>
        <v/>
      </c>
      <c r="D1849" s="22">
        <f>IF($M1849&lt;&gt;"",IF(INDEX(CalcDocA,$M1849)="","—",INDEX(CalcDocA,$M1849)),IF($N1849&lt;&gt;"",INDEX(CalcBankB,$N1849),""))</f>
        <v/>
      </c>
      <c r="E1849" s="23">
        <f>IF($N1849&lt;&gt;"",IF(INDEX(CalcDepB,$N1849)=0,"",INDEX(CalcDepB,$N1849)),"")</f>
        <v/>
      </c>
      <c r="F1849" s="23">
        <f>IF($M1849&lt;&gt;"",IF(INDEX(CalcQtyA,$M1849)=0,"",INDEX(CalcQtyA,$M1849)),"")</f>
        <v/>
      </c>
      <c r="G1849" s="23">
        <f>IF($M1849&lt;&gt;"",IF(INDEX(CalcPriceA,$M1849)=0,"",INDEX(CalcPriceA,$M1849)),"")</f>
        <v/>
      </c>
      <c r="H1849" s="23">
        <f>IF($N1849&lt;&gt;"",IF(INDEX(CalcWitB,$N1849)=0,"",INDEX(CalcWitB,$N1849)),"")</f>
        <v/>
      </c>
      <c r="I1849" s="24">
        <f>IF($M1849&lt;&gt;"",INDEX(CalcAmtA,$M1849),"")</f>
        <v/>
      </c>
      <c r="J1849" s="24">
        <f>IF($B1849="","",IF($J1848="",$C$8,$J1848)+IF($I1849="",0,$I1849)+IF($E1849="",0,$E1849)-IF($H1849="",0,$H1849))</f>
        <v/>
      </c>
      <c r="K1849" s="25">
        <f>IF($M1849&lt;&gt;"",IF(INDEX(CalcNoteA,$M1849)="","—",INDEX(CalcNoteA,$M1849)),IF($N1849&lt;&gt;"",IF(INDEX(CalcNoteB,$N1849)="","—",INDEX(CalcNoteB,$N1849)),""))</f>
        <v/>
      </c>
      <c r="M1849">
        <f>IFERROR(MATCH($C$5&amp;"|"&amp;RIGHT("000000"&amp;1833,6),CalcRankKeyA,0),"")</f>
        <v/>
      </c>
      <c r="N1849">
        <f>IFERROR(MATCH($C$5&amp;"|"&amp;RIGHT("000000"&amp;1833,6),CalcRankKeyB,0),"")</f>
        <v/>
      </c>
    </row>
    <row r="1850">
      <c r="A1850" s="26" t="n">
        <v>1834</v>
      </c>
      <c r="B1850" s="27">
        <f>IF(AND($M1850="",$N1850=""),"",IF($M1850&lt;&gt;"",INDEX(CalcDateA,$M1850),INDEX(CalcDateB,$N1850)))</f>
        <v/>
      </c>
      <c r="C1850" s="27">
        <f>IF($M1850&lt;&gt;"","خرید سبد",IF($N1850&lt;&gt;"",IF(N(INDEX(CalcDepB,$N1850))&gt;0,"دریافت بانکی","پرداخت بانکی"),""))</f>
        <v/>
      </c>
      <c r="D1850" s="27">
        <f>IF($M1850&lt;&gt;"",IF(INDEX(CalcDocA,$M1850)="","—",INDEX(CalcDocA,$M1850)),IF($N1850&lt;&gt;"",INDEX(CalcBankB,$N1850),""))</f>
        <v/>
      </c>
      <c r="E1850" s="28">
        <f>IF($N1850&lt;&gt;"",IF(INDEX(CalcDepB,$N1850)=0,"",INDEX(CalcDepB,$N1850)),"")</f>
        <v/>
      </c>
      <c r="F1850" s="28">
        <f>IF($M1850&lt;&gt;"",IF(INDEX(CalcQtyA,$M1850)=0,"",INDEX(CalcQtyA,$M1850)),"")</f>
        <v/>
      </c>
      <c r="G1850" s="28">
        <f>IF($M1850&lt;&gt;"",IF(INDEX(CalcPriceA,$M1850)=0,"",INDEX(CalcPriceA,$M1850)),"")</f>
        <v/>
      </c>
      <c r="H1850" s="28">
        <f>IF($N1850&lt;&gt;"",IF(INDEX(CalcWitB,$N1850)=0,"",INDEX(CalcWitB,$N1850)),"")</f>
        <v/>
      </c>
      <c r="I1850" s="29">
        <f>IF($M1850&lt;&gt;"",INDEX(CalcAmtA,$M1850),"")</f>
        <v/>
      </c>
      <c r="J1850" s="29">
        <f>IF($B1850="","",IF($J1849="",$C$8,$J1849)+IF($I1850="",0,$I1850)+IF($E1850="",0,$E1850)-IF($H1850="",0,$H1850))</f>
        <v/>
      </c>
      <c r="K1850" s="30">
        <f>IF($M1850&lt;&gt;"",IF(INDEX(CalcNoteA,$M1850)="","—",INDEX(CalcNoteA,$M1850)),IF($N1850&lt;&gt;"",IF(INDEX(CalcNoteB,$N1850)="","—",INDEX(CalcNoteB,$N1850)),""))</f>
        <v/>
      </c>
      <c r="M1850">
        <f>IFERROR(MATCH($C$5&amp;"|"&amp;RIGHT("000000"&amp;1834,6),CalcRankKeyA,0),"")</f>
        <v/>
      </c>
      <c r="N1850">
        <f>IFERROR(MATCH($C$5&amp;"|"&amp;RIGHT("000000"&amp;1834,6),CalcRankKeyB,0),"")</f>
        <v/>
      </c>
    </row>
    <row r="1851">
      <c r="A1851" s="21" t="n">
        <v>1835</v>
      </c>
      <c r="B1851" s="22">
        <f>IF(AND($M1851="",$N1851=""),"",IF($M1851&lt;&gt;"",INDEX(CalcDateA,$M1851),INDEX(CalcDateB,$N1851)))</f>
        <v/>
      </c>
      <c r="C1851" s="22">
        <f>IF($M1851&lt;&gt;"","خرید سبد",IF($N1851&lt;&gt;"",IF(N(INDEX(CalcDepB,$N1851))&gt;0,"دریافت بانکی","پرداخت بانکی"),""))</f>
        <v/>
      </c>
      <c r="D1851" s="22">
        <f>IF($M1851&lt;&gt;"",IF(INDEX(CalcDocA,$M1851)="","—",INDEX(CalcDocA,$M1851)),IF($N1851&lt;&gt;"",INDEX(CalcBankB,$N1851),""))</f>
        <v/>
      </c>
      <c r="E1851" s="23">
        <f>IF($N1851&lt;&gt;"",IF(INDEX(CalcDepB,$N1851)=0,"",INDEX(CalcDepB,$N1851)),"")</f>
        <v/>
      </c>
      <c r="F1851" s="23">
        <f>IF($M1851&lt;&gt;"",IF(INDEX(CalcQtyA,$M1851)=0,"",INDEX(CalcQtyA,$M1851)),"")</f>
        <v/>
      </c>
      <c r="G1851" s="23">
        <f>IF($M1851&lt;&gt;"",IF(INDEX(CalcPriceA,$M1851)=0,"",INDEX(CalcPriceA,$M1851)),"")</f>
        <v/>
      </c>
      <c r="H1851" s="23">
        <f>IF($N1851&lt;&gt;"",IF(INDEX(CalcWitB,$N1851)=0,"",INDEX(CalcWitB,$N1851)),"")</f>
        <v/>
      </c>
      <c r="I1851" s="24">
        <f>IF($M1851&lt;&gt;"",INDEX(CalcAmtA,$M1851),"")</f>
        <v/>
      </c>
      <c r="J1851" s="24">
        <f>IF($B1851="","",IF($J1850="",$C$8,$J1850)+IF($I1851="",0,$I1851)+IF($E1851="",0,$E1851)-IF($H1851="",0,$H1851))</f>
        <v/>
      </c>
      <c r="K1851" s="25">
        <f>IF($M1851&lt;&gt;"",IF(INDEX(CalcNoteA,$M1851)="","—",INDEX(CalcNoteA,$M1851)),IF($N1851&lt;&gt;"",IF(INDEX(CalcNoteB,$N1851)="","—",INDEX(CalcNoteB,$N1851)),""))</f>
        <v/>
      </c>
      <c r="M1851">
        <f>IFERROR(MATCH($C$5&amp;"|"&amp;RIGHT("000000"&amp;1835,6),CalcRankKeyA,0),"")</f>
        <v/>
      </c>
      <c r="N1851">
        <f>IFERROR(MATCH($C$5&amp;"|"&amp;RIGHT("000000"&amp;1835,6),CalcRankKeyB,0),"")</f>
        <v/>
      </c>
    </row>
    <row r="1852">
      <c r="A1852" s="26" t="n">
        <v>1836</v>
      </c>
      <c r="B1852" s="27">
        <f>IF(AND($M1852="",$N1852=""),"",IF($M1852&lt;&gt;"",INDEX(CalcDateA,$M1852),INDEX(CalcDateB,$N1852)))</f>
        <v/>
      </c>
      <c r="C1852" s="27">
        <f>IF($M1852&lt;&gt;"","خرید سبد",IF($N1852&lt;&gt;"",IF(N(INDEX(CalcDepB,$N1852))&gt;0,"دریافت بانکی","پرداخت بانکی"),""))</f>
        <v/>
      </c>
      <c r="D1852" s="27">
        <f>IF($M1852&lt;&gt;"",IF(INDEX(CalcDocA,$M1852)="","—",INDEX(CalcDocA,$M1852)),IF($N1852&lt;&gt;"",INDEX(CalcBankB,$N1852),""))</f>
        <v/>
      </c>
      <c r="E1852" s="28">
        <f>IF($N1852&lt;&gt;"",IF(INDEX(CalcDepB,$N1852)=0,"",INDEX(CalcDepB,$N1852)),"")</f>
        <v/>
      </c>
      <c r="F1852" s="28">
        <f>IF($M1852&lt;&gt;"",IF(INDEX(CalcQtyA,$M1852)=0,"",INDEX(CalcQtyA,$M1852)),"")</f>
        <v/>
      </c>
      <c r="G1852" s="28">
        <f>IF($M1852&lt;&gt;"",IF(INDEX(CalcPriceA,$M1852)=0,"",INDEX(CalcPriceA,$M1852)),"")</f>
        <v/>
      </c>
      <c r="H1852" s="28">
        <f>IF($N1852&lt;&gt;"",IF(INDEX(CalcWitB,$N1852)=0,"",INDEX(CalcWitB,$N1852)),"")</f>
        <v/>
      </c>
      <c r="I1852" s="29">
        <f>IF($M1852&lt;&gt;"",INDEX(CalcAmtA,$M1852),"")</f>
        <v/>
      </c>
      <c r="J1852" s="29">
        <f>IF($B1852="","",IF($J1851="",$C$8,$J1851)+IF($I1852="",0,$I1852)+IF($E1852="",0,$E1852)-IF($H1852="",0,$H1852))</f>
        <v/>
      </c>
      <c r="K1852" s="30">
        <f>IF($M1852&lt;&gt;"",IF(INDEX(CalcNoteA,$M1852)="","—",INDEX(CalcNoteA,$M1852)),IF($N1852&lt;&gt;"",IF(INDEX(CalcNoteB,$N1852)="","—",INDEX(CalcNoteB,$N1852)),""))</f>
        <v/>
      </c>
      <c r="M1852">
        <f>IFERROR(MATCH($C$5&amp;"|"&amp;RIGHT("000000"&amp;1836,6),CalcRankKeyA,0),"")</f>
        <v/>
      </c>
      <c r="N1852">
        <f>IFERROR(MATCH($C$5&amp;"|"&amp;RIGHT("000000"&amp;1836,6),CalcRankKeyB,0),"")</f>
        <v/>
      </c>
    </row>
    <row r="1853">
      <c r="A1853" s="21" t="n">
        <v>1837</v>
      </c>
      <c r="B1853" s="22">
        <f>IF(AND($M1853="",$N1853=""),"",IF($M1853&lt;&gt;"",INDEX(CalcDateA,$M1853),INDEX(CalcDateB,$N1853)))</f>
        <v/>
      </c>
      <c r="C1853" s="22">
        <f>IF($M1853&lt;&gt;"","خرید سبد",IF($N1853&lt;&gt;"",IF(N(INDEX(CalcDepB,$N1853))&gt;0,"دریافت بانکی","پرداخت بانکی"),""))</f>
        <v/>
      </c>
      <c r="D1853" s="22">
        <f>IF($M1853&lt;&gt;"",IF(INDEX(CalcDocA,$M1853)="","—",INDEX(CalcDocA,$M1853)),IF($N1853&lt;&gt;"",INDEX(CalcBankB,$N1853),""))</f>
        <v/>
      </c>
      <c r="E1853" s="23">
        <f>IF($N1853&lt;&gt;"",IF(INDEX(CalcDepB,$N1853)=0,"",INDEX(CalcDepB,$N1853)),"")</f>
        <v/>
      </c>
      <c r="F1853" s="23">
        <f>IF($M1853&lt;&gt;"",IF(INDEX(CalcQtyA,$M1853)=0,"",INDEX(CalcQtyA,$M1853)),"")</f>
        <v/>
      </c>
      <c r="G1853" s="23">
        <f>IF($M1853&lt;&gt;"",IF(INDEX(CalcPriceA,$M1853)=0,"",INDEX(CalcPriceA,$M1853)),"")</f>
        <v/>
      </c>
      <c r="H1853" s="23">
        <f>IF($N1853&lt;&gt;"",IF(INDEX(CalcWitB,$N1853)=0,"",INDEX(CalcWitB,$N1853)),"")</f>
        <v/>
      </c>
      <c r="I1853" s="24">
        <f>IF($M1853&lt;&gt;"",INDEX(CalcAmtA,$M1853),"")</f>
        <v/>
      </c>
      <c r="J1853" s="24">
        <f>IF($B1853="","",IF($J1852="",$C$8,$J1852)+IF($I1853="",0,$I1853)+IF($E1853="",0,$E1853)-IF($H1853="",0,$H1853))</f>
        <v/>
      </c>
      <c r="K1853" s="25">
        <f>IF($M1853&lt;&gt;"",IF(INDEX(CalcNoteA,$M1853)="","—",INDEX(CalcNoteA,$M1853)),IF($N1853&lt;&gt;"",IF(INDEX(CalcNoteB,$N1853)="","—",INDEX(CalcNoteB,$N1853)),""))</f>
        <v/>
      </c>
      <c r="M1853">
        <f>IFERROR(MATCH($C$5&amp;"|"&amp;RIGHT("000000"&amp;1837,6),CalcRankKeyA,0),"")</f>
        <v/>
      </c>
      <c r="N1853">
        <f>IFERROR(MATCH($C$5&amp;"|"&amp;RIGHT("000000"&amp;1837,6),CalcRankKeyB,0),"")</f>
        <v/>
      </c>
    </row>
    <row r="1854">
      <c r="A1854" s="26" t="n">
        <v>1838</v>
      </c>
      <c r="B1854" s="27">
        <f>IF(AND($M1854="",$N1854=""),"",IF($M1854&lt;&gt;"",INDEX(CalcDateA,$M1854),INDEX(CalcDateB,$N1854)))</f>
        <v/>
      </c>
      <c r="C1854" s="27">
        <f>IF($M1854&lt;&gt;"","خرید سبد",IF($N1854&lt;&gt;"",IF(N(INDEX(CalcDepB,$N1854))&gt;0,"دریافت بانکی","پرداخت بانکی"),""))</f>
        <v/>
      </c>
      <c r="D1854" s="27">
        <f>IF($M1854&lt;&gt;"",IF(INDEX(CalcDocA,$M1854)="","—",INDEX(CalcDocA,$M1854)),IF($N1854&lt;&gt;"",INDEX(CalcBankB,$N1854),""))</f>
        <v/>
      </c>
      <c r="E1854" s="28">
        <f>IF($N1854&lt;&gt;"",IF(INDEX(CalcDepB,$N1854)=0,"",INDEX(CalcDepB,$N1854)),"")</f>
        <v/>
      </c>
      <c r="F1854" s="28">
        <f>IF($M1854&lt;&gt;"",IF(INDEX(CalcQtyA,$M1854)=0,"",INDEX(CalcQtyA,$M1854)),"")</f>
        <v/>
      </c>
      <c r="G1854" s="28">
        <f>IF($M1854&lt;&gt;"",IF(INDEX(CalcPriceA,$M1854)=0,"",INDEX(CalcPriceA,$M1854)),"")</f>
        <v/>
      </c>
      <c r="H1854" s="28">
        <f>IF($N1854&lt;&gt;"",IF(INDEX(CalcWitB,$N1854)=0,"",INDEX(CalcWitB,$N1854)),"")</f>
        <v/>
      </c>
      <c r="I1854" s="29">
        <f>IF($M1854&lt;&gt;"",INDEX(CalcAmtA,$M1854),"")</f>
        <v/>
      </c>
      <c r="J1854" s="29">
        <f>IF($B1854="","",IF($J1853="",$C$8,$J1853)+IF($I1854="",0,$I1854)+IF($E1854="",0,$E1854)-IF($H1854="",0,$H1854))</f>
        <v/>
      </c>
      <c r="K1854" s="30">
        <f>IF($M1854&lt;&gt;"",IF(INDEX(CalcNoteA,$M1854)="","—",INDEX(CalcNoteA,$M1854)),IF($N1854&lt;&gt;"",IF(INDEX(CalcNoteB,$N1854)="","—",INDEX(CalcNoteB,$N1854)),""))</f>
        <v/>
      </c>
      <c r="M1854">
        <f>IFERROR(MATCH($C$5&amp;"|"&amp;RIGHT("000000"&amp;1838,6),CalcRankKeyA,0),"")</f>
        <v/>
      </c>
      <c r="N1854">
        <f>IFERROR(MATCH($C$5&amp;"|"&amp;RIGHT("000000"&amp;1838,6),CalcRankKeyB,0),"")</f>
        <v/>
      </c>
    </row>
    <row r="1855">
      <c r="A1855" s="21" t="n">
        <v>1839</v>
      </c>
      <c r="B1855" s="22">
        <f>IF(AND($M1855="",$N1855=""),"",IF($M1855&lt;&gt;"",INDEX(CalcDateA,$M1855),INDEX(CalcDateB,$N1855)))</f>
        <v/>
      </c>
      <c r="C1855" s="22">
        <f>IF($M1855&lt;&gt;"","خرید سبد",IF($N1855&lt;&gt;"",IF(N(INDEX(CalcDepB,$N1855))&gt;0,"دریافت بانکی","پرداخت بانکی"),""))</f>
        <v/>
      </c>
      <c r="D1855" s="22">
        <f>IF($M1855&lt;&gt;"",IF(INDEX(CalcDocA,$M1855)="","—",INDEX(CalcDocA,$M1855)),IF($N1855&lt;&gt;"",INDEX(CalcBankB,$N1855),""))</f>
        <v/>
      </c>
      <c r="E1855" s="23">
        <f>IF($N1855&lt;&gt;"",IF(INDEX(CalcDepB,$N1855)=0,"",INDEX(CalcDepB,$N1855)),"")</f>
        <v/>
      </c>
      <c r="F1855" s="23">
        <f>IF($M1855&lt;&gt;"",IF(INDEX(CalcQtyA,$M1855)=0,"",INDEX(CalcQtyA,$M1855)),"")</f>
        <v/>
      </c>
      <c r="G1855" s="23">
        <f>IF($M1855&lt;&gt;"",IF(INDEX(CalcPriceA,$M1855)=0,"",INDEX(CalcPriceA,$M1855)),"")</f>
        <v/>
      </c>
      <c r="H1855" s="23">
        <f>IF($N1855&lt;&gt;"",IF(INDEX(CalcWitB,$N1855)=0,"",INDEX(CalcWitB,$N1855)),"")</f>
        <v/>
      </c>
      <c r="I1855" s="24">
        <f>IF($M1855&lt;&gt;"",INDEX(CalcAmtA,$M1855),"")</f>
        <v/>
      </c>
      <c r="J1855" s="24">
        <f>IF($B1855="","",IF($J1854="",$C$8,$J1854)+IF($I1855="",0,$I1855)+IF($E1855="",0,$E1855)-IF($H1855="",0,$H1855))</f>
        <v/>
      </c>
      <c r="K1855" s="25">
        <f>IF($M1855&lt;&gt;"",IF(INDEX(CalcNoteA,$M1855)="","—",INDEX(CalcNoteA,$M1855)),IF($N1855&lt;&gt;"",IF(INDEX(CalcNoteB,$N1855)="","—",INDEX(CalcNoteB,$N1855)),""))</f>
        <v/>
      </c>
      <c r="M1855">
        <f>IFERROR(MATCH($C$5&amp;"|"&amp;RIGHT("000000"&amp;1839,6),CalcRankKeyA,0),"")</f>
        <v/>
      </c>
      <c r="N1855">
        <f>IFERROR(MATCH($C$5&amp;"|"&amp;RIGHT("000000"&amp;1839,6),CalcRankKeyB,0),"")</f>
        <v/>
      </c>
    </row>
    <row r="1856">
      <c r="A1856" s="26" t="n">
        <v>1840</v>
      </c>
      <c r="B1856" s="27">
        <f>IF(AND($M1856="",$N1856=""),"",IF($M1856&lt;&gt;"",INDEX(CalcDateA,$M1856),INDEX(CalcDateB,$N1856)))</f>
        <v/>
      </c>
      <c r="C1856" s="27">
        <f>IF($M1856&lt;&gt;"","خرید سبد",IF($N1856&lt;&gt;"",IF(N(INDEX(CalcDepB,$N1856))&gt;0,"دریافت بانکی","پرداخت بانکی"),""))</f>
        <v/>
      </c>
      <c r="D1856" s="27">
        <f>IF($M1856&lt;&gt;"",IF(INDEX(CalcDocA,$M1856)="","—",INDEX(CalcDocA,$M1856)),IF($N1856&lt;&gt;"",INDEX(CalcBankB,$N1856),""))</f>
        <v/>
      </c>
      <c r="E1856" s="28">
        <f>IF($N1856&lt;&gt;"",IF(INDEX(CalcDepB,$N1856)=0,"",INDEX(CalcDepB,$N1856)),"")</f>
        <v/>
      </c>
      <c r="F1856" s="28">
        <f>IF($M1856&lt;&gt;"",IF(INDEX(CalcQtyA,$M1856)=0,"",INDEX(CalcQtyA,$M1856)),"")</f>
        <v/>
      </c>
      <c r="G1856" s="28">
        <f>IF($M1856&lt;&gt;"",IF(INDEX(CalcPriceA,$M1856)=0,"",INDEX(CalcPriceA,$M1856)),"")</f>
        <v/>
      </c>
      <c r="H1856" s="28">
        <f>IF($N1856&lt;&gt;"",IF(INDEX(CalcWitB,$N1856)=0,"",INDEX(CalcWitB,$N1856)),"")</f>
        <v/>
      </c>
      <c r="I1856" s="29">
        <f>IF($M1856&lt;&gt;"",INDEX(CalcAmtA,$M1856),"")</f>
        <v/>
      </c>
      <c r="J1856" s="29">
        <f>IF($B1856="","",IF($J1855="",$C$8,$J1855)+IF($I1856="",0,$I1856)+IF($E1856="",0,$E1856)-IF($H1856="",0,$H1856))</f>
        <v/>
      </c>
      <c r="K1856" s="30">
        <f>IF($M1856&lt;&gt;"",IF(INDEX(CalcNoteA,$M1856)="","—",INDEX(CalcNoteA,$M1856)),IF($N1856&lt;&gt;"",IF(INDEX(CalcNoteB,$N1856)="","—",INDEX(CalcNoteB,$N1856)),""))</f>
        <v/>
      </c>
      <c r="M1856">
        <f>IFERROR(MATCH($C$5&amp;"|"&amp;RIGHT("000000"&amp;1840,6),CalcRankKeyA,0),"")</f>
        <v/>
      </c>
      <c r="N1856">
        <f>IFERROR(MATCH($C$5&amp;"|"&amp;RIGHT("000000"&amp;1840,6),CalcRankKeyB,0),"")</f>
        <v/>
      </c>
    </row>
    <row r="1857">
      <c r="A1857" s="21" t="n">
        <v>1841</v>
      </c>
      <c r="B1857" s="22">
        <f>IF(AND($M1857="",$N1857=""),"",IF($M1857&lt;&gt;"",INDEX(CalcDateA,$M1857),INDEX(CalcDateB,$N1857)))</f>
        <v/>
      </c>
      <c r="C1857" s="22">
        <f>IF($M1857&lt;&gt;"","خرید سبد",IF($N1857&lt;&gt;"",IF(N(INDEX(CalcDepB,$N1857))&gt;0,"دریافت بانکی","پرداخت بانکی"),""))</f>
        <v/>
      </c>
      <c r="D1857" s="22">
        <f>IF($M1857&lt;&gt;"",IF(INDEX(CalcDocA,$M1857)="","—",INDEX(CalcDocA,$M1857)),IF($N1857&lt;&gt;"",INDEX(CalcBankB,$N1857),""))</f>
        <v/>
      </c>
      <c r="E1857" s="23">
        <f>IF($N1857&lt;&gt;"",IF(INDEX(CalcDepB,$N1857)=0,"",INDEX(CalcDepB,$N1857)),"")</f>
        <v/>
      </c>
      <c r="F1857" s="23">
        <f>IF($M1857&lt;&gt;"",IF(INDEX(CalcQtyA,$M1857)=0,"",INDEX(CalcQtyA,$M1857)),"")</f>
        <v/>
      </c>
      <c r="G1857" s="23">
        <f>IF($M1857&lt;&gt;"",IF(INDEX(CalcPriceA,$M1857)=0,"",INDEX(CalcPriceA,$M1857)),"")</f>
        <v/>
      </c>
      <c r="H1857" s="23">
        <f>IF($N1857&lt;&gt;"",IF(INDEX(CalcWitB,$N1857)=0,"",INDEX(CalcWitB,$N1857)),"")</f>
        <v/>
      </c>
      <c r="I1857" s="24">
        <f>IF($M1857&lt;&gt;"",INDEX(CalcAmtA,$M1857),"")</f>
        <v/>
      </c>
      <c r="J1857" s="24">
        <f>IF($B1857="","",IF($J1856="",$C$8,$J1856)+IF($I1857="",0,$I1857)+IF($E1857="",0,$E1857)-IF($H1857="",0,$H1857))</f>
        <v/>
      </c>
      <c r="K1857" s="25">
        <f>IF($M1857&lt;&gt;"",IF(INDEX(CalcNoteA,$M1857)="","—",INDEX(CalcNoteA,$M1857)),IF($N1857&lt;&gt;"",IF(INDEX(CalcNoteB,$N1857)="","—",INDEX(CalcNoteB,$N1857)),""))</f>
        <v/>
      </c>
      <c r="M1857">
        <f>IFERROR(MATCH($C$5&amp;"|"&amp;RIGHT("000000"&amp;1841,6),CalcRankKeyA,0),"")</f>
        <v/>
      </c>
      <c r="N1857">
        <f>IFERROR(MATCH($C$5&amp;"|"&amp;RIGHT("000000"&amp;1841,6),CalcRankKeyB,0),"")</f>
        <v/>
      </c>
    </row>
    <row r="1858">
      <c r="A1858" s="26" t="n">
        <v>1842</v>
      </c>
      <c r="B1858" s="27">
        <f>IF(AND($M1858="",$N1858=""),"",IF($M1858&lt;&gt;"",INDEX(CalcDateA,$M1858),INDEX(CalcDateB,$N1858)))</f>
        <v/>
      </c>
      <c r="C1858" s="27">
        <f>IF($M1858&lt;&gt;"","خرید سبد",IF($N1858&lt;&gt;"",IF(N(INDEX(CalcDepB,$N1858))&gt;0,"دریافت بانکی","پرداخت بانکی"),""))</f>
        <v/>
      </c>
      <c r="D1858" s="27">
        <f>IF($M1858&lt;&gt;"",IF(INDEX(CalcDocA,$M1858)="","—",INDEX(CalcDocA,$M1858)),IF($N1858&lt;&gt;"",INDEX(CalcBankB,$N1858),""))</f>
        <v/>
      </c>
      <c r="E1858" s="28">
        <f>IF($N1858&lt;&gt;"",IF(INDEX(CalcDepB,$N1858)=0,"",INDEX(CalcDepB,$N1858)),"")</f>
        <v/>
      </c>
      <c r="F1858" s="28">
        <f>IF($M1858&lt;&gt;"",IF(INDEX(CalcQtyA,$M1858)=0,"",INDEX(CalcQtyA,$M1858)),"")</f>
        <v/>
      </c>
      <c r="G1858" s="28">
        <f>IF($M1858&lt;&gt;"",IF(INDEX(CalcPriceA,$M1858)=0,"",INDEX(CalcPriceA,$M1858)),"")</f>
        <v/>
      </c>
      <c r="H1858" s="28">
        <f>IF($N1858&lt;&gt;"",IF(INDEX(CalcWitB,$N1858)=0,"",INDEX(CalcWitB,$N1858)),"")</f>
        <v/>
      </c>
      <c r="I1858" s="29">
        <f>IF($M1858&lt;&gt;"",INDEX(CalcAmtA,$M1858),"")</f>
        <v/>
      </c>
      <c r="J1858" s="29">
        <f>IF($B1858="","",IF($J1857="",$C$8,$J1857)+IF($I1858="",0,$I1858)+IF($E1858="",0,$E1858)-IF($H1858="",0,$H1858))</f>
        <v/>
      </c>
      <c r="K1858" s="30">
        <f>IF($M1858&lt;&gt;"",IF(INDEX(CalcNoteA,$M1858)="","—",INDEX(CalcNoteA,$M1858)),IF($N1858&lt;&gt;"",IF(INDEX(CalcNoteB,$N1858)="","—",INDEX(CalcNoteB,$N1858)),""))</f>
        <v/>
      </c>
      <c r="M1858">
        <f>IFERROR(MATCH($C$5&amp;"|"&amp;RIGHT("000000"&amp;1842,6),CalcRankKeyA,0),"")</f>
        <v/>
      </c>
      <c r="N1858">
        <f>IFERROR(MATCH($C$5&amp;"|"&amp;RIGHT("000000"&amp;1842,6),CalcRankKeyB,0),"")</f>
        <v/>
      </c>
    </row>
    <row r="1859">
      <c r="A1859" s="21" t="n">
        <v>1843</v>
      </c>
      <c r="B1859" s="22">
        <f>IF(AND($M1859="",$N1859=""),"",IF($M1859&lt;&gt;"",INDEX(CalcDateA,$M1859),INDEX(CalcDateB,$N1859)))</f>
        <v/>
      </c>
      <c r="C1859" s="22">
        <f>IF($M1859&lt;&gt;"","خرید سبد",IF($N1859&lt;&gt;"",IF(N(INDEX(CalcDepB,$N1859))&gt;0,"دریافت بانکی","پرداخت بانکی"),""))</f>
        <v/>
      </c>
      <c r="D1859" s="22">
        <f>IF($M1859&lt;&gt;"",IF(INDEX(CalcDocA,$M1859)="","—",INDEX(CalcDocA,$M1859)),IF($N1859&lt;&gt;"",INDEX(CalcBankB,$N1859),""))</f>
        <v/>
      </c>
      <c r="E1859" s="23">
        <f>IF($N1859&lt;&gt;"",IF(INDEX(CalcDepB,$N1859)=0,"",INDEX(CalcDepB,$N1859)),"")</f>
        <v/>
      </c>
      <c r="F1859" s="23">
        <f>IF($M1859&lt;&gt;"",IF(INDEX(CalcQtyA,$M1859)=0,"",INDEX(CalcQtyA,$M1859)),"")</f>
        <v/>
      </c>
      <c r="G1859" s="23">
        <f>IF($M1859&lt;&gt;"",IF(INDEX(CalcPriceA,$M1859)=0,"",INDEX(CalcPriceA,$M1859)),"")</f>
        <v/>
      </c>
      <c r="H1859" s="23">
        <f>IF($N1859&lt;&gt;"",IF(INDEX(CalcWitB,$N1859)=0,"",INDEX(CalcWitB,$N1859)),"")</f>
        <v/>
      </c>
      <c r="I1859" s="24">
        <f>IF($M1859&lt;&gt;"",INDEX(CalcAmtA,$M1859),"")</f>
        <v/>
      </c>
      <c r="J1859" s="24">
        <f>IF($B1859="","",IF($J1858="",$C$8,$J1858)+IF($I1859="",0,$I1859)+IF($E1859="",0,$E1859)-IF($H1859="",0,$H1859))</f>
        <v/>
      </c>
      <c r="K1859" s="25">
        <f>IF($M1859&lt;&gt;"",IF(INDEX(CalcNoteA,$M1859)="","—",INDEX(CalcNoteA,$M1859)),IF($N1859&lt;&gt;"",IF(INDEX(CalcNoteB,$N1859)="","—",INDEX(CalcNoteB,$N1859)),""))</f>
        <v/>
      </c>
      <c r="M1859">
        <f>IFERROR(MATCH($C$5&amp;"|"&amp;RIGHT("000000"&amp;1843,6),CalcRankKeyA,0),"")</f>
        <v/>
      </c>
      <c r="N1859">
        <f>IFERROR(MATCH($C$5&amp;"|"&amp;RIGHT("000000"&amp;1843,6),CalcRankKeyB,0),"")</f>
        <v/>
      </c>
    </row>
    <row r="1860">
      <c r="A1860" s="26" t="n">
        <v>1844</v>
      </c>
      <c r="B1860" s="27">
        <f>IF(AND($M1860="",$N1860=""),"",IF($M1860&lt;&gt;"",INDEX(CalcDateA,$M1860),INDEX(CalcDateB,$N1860)))</f>
        <v/>
      </c>
      <c r="C1860" s="27">
        <f>IF($M1860&lt;&gt;"","خرید سبد",IF($N1860&lt;&gt;"",IF(N(INDEX(CalcDepB,$N1860))&gt;0,"دریافت بانکی","پرداخت بانکی"),""))</f>
        <v/>
      </c>
      <c r="D1860" s="27">
        <f>IF($M1860&lt;&gt;"",IF(INDEX(CalcDocA,$M1860)="","—",INDEX(CalcDocA,$M1860)),IF($N1860&lt;&gt;"",INDEX(CalcBankB,$N1860),""))</f>
        <v/>
      </c>
      <c r="E1860" s="28">
        <f>IF($N1860&lt;&gt;"",IF(INDEX(CalcDepB,$N1860)=0,"",INDEX(CalcDepB,$N1860)),"")</f>
        <v/>
      </c>
      <c r="F1860" s="28">
        <f>IF($M1860&lt;&gt;"",IF(INDEX(CalcQtyA,$M1860)=0,"",INDEX(CalcQtyA,$M1860)),"")</f>
        <v/>
      </c>
      <c r="G1860" s="28">
        <f>IF($M1860&lt;&gt;"",IF(INDEX(CalcPriceA,$M1860)=0,"",INDEX(CalcPriceA,$M1860)),"")</f>
        <v/>
      </c>
      <c r="H1860" s="28">
        <f>IF($N1860&lt;&gt;"",IF(INDEX(CalcWitB,$N1860)=0,"",INDEX(CalcWitB,$N1860)),"")</f>
        <v/>
      </c>
      <c r="I1860" s="29">
        <f>IF($M1860&lt;&gt;"",INDEX(CalcAmtA,$M1860),"")</f>
        <v/>
      </c>
      <c r="J1860" s="29">
        <f>IF($B1860="","",IF($J1859="",$C$8,$J1859)+IF($I1860="",0,$I1860)+IF($E1860="",0,$E1860)-IF($H1860="",0,$H1860))</f>
        <v/>
      </c>
      <c r="K1860" s="30">
        <f>IF($M1860&lt;&gt;"",IF(INDEX(CalcNoteA,$M1860)="","—",INDEX(CalcNoteA,$M1860)),IF($N1860&lt;&gt;"",IF(INDEX(CalcNoteB,$N1860)="","—",INDEX(CalcNoteB,$N1860)),""))</f>
        <v/>
      </c>
      <c r="M1860">
        <f>IFERROR(MATCH($C$5&amp;"|"&amp;RIGHT("000000"&amp;1844,6),CalcRankKeyA,0),"")</f>
        <v/>
      </c>
      <c r="N1860">
        <f>IFERROR(MATCH($C$5&amp;"|"&amp;RIGHT("000000"&amp;1844,6),CalcRankKeyB,0),"")</f>
        <v/>
      </c>
    </row>
    <row r="1861">
      <c r="A1861" s="21" t="n">
        <v>1845</v>
      </c>
      <c r="B1861" s="22">
        <f>IF(AND($M1861="",$N1861=""),"",IF($M1861&lt;&gt;"",INDEX(CalcDateA,$M1861),INDEX(CalcDateB,$N1861)))</f>
        <v/>
      </c>
      <c r="C1861" s="22">
        <f>IF($M1861&lt;&gt;"","خرید سبد",IF($N1861&lt;&gt;"",IF(N(INDEX(CalcDepB,$N1861))&gt;0,"دریافت بانکی","پرداخت بانکی"),""))</f>
        <v/>
      </c>
      <c r="D1861" s="22">
        <f>IF($M1861&lt;&gt;"",IF(INDEX(CalcDocA,$M1861)="","—",INDEX(CalcDocA,$M1861)),IF($N1861&lt;&gt;"",INDEX(CalcBankB,$N1861),""))</f>
        <v/>
      </c>
      <c r="E1861" s="23">
        <f>IF($N1861&lt;&gt;"",IF(INDEX(CalcDepB,$N1861)=0,"",INDEX(CalcDepB,$N1861)),"")</f>
        <v/>
      </c>
      <c r="F1861" s="23">
        <f>IF($M1861&lt;&gt;"",IF(INDEX(CalcQtyA,$M1861)=0,"",INDEX(CalcQtyA,$M1861)),"")</f>
        <v/>
      </c>
      <c r="G1861" s="23">
        <f>IF($M1861&lt;&gt;"",IF(INDEX(CalcPriceA,$M1861)=0,"",INDEX(CalcPriceA,$M1861)),"")</f>
        <v/>
      </c>
      <c r="H1861" s="23">
        <f>IF($N1861&lt;&gt;"",IF(INDEX(CalcWitB,$N1861)=0,"",INDEX(CalcWitB,$N1861)),"")</f>
        <v/>
      </c>
      <c r="I1861" s="24">
        <f>IF($M1861&lt;&gt;"",INDEX(CalcAmtA,$M1861),"")</f>
        <v/>
      </c>
      <c r="J1861" s="24">
        <f>IF($B1861="","",IF($J1860="",$C$8,$J1860)+IF($I1861="",0,$I1861)+IF($E1861="",0,$E1861)-IF($H1861="",0,$H1861))</f>
        <v/>
      </c>
      <c r="K1861" s="25">
        <f>IF($M1861&lt;&gt;"",IF(INDEX(CalcNoteA,$M1861)="","—",INDEX(CalcNoteA,$M1861)),IF($N1861&lt;&gt;"",IF(INDEX(CalcNoteB,$N1861)="","—",INDEX(CalcNoteB,$N1861)),""))</f>
        <v/>
      </c>
      <c r="M1861">
        <f>IFERROR(MATCH($C$5&amp;"|"&amp;RIGHT("000000"&amp;1845,6),CalcRankKeyA,0),"")</f>
        <v/>
      </c>
      <c r="N1861">
        <f>IFERROR(MATCH($C$5&amp;"|"&amp;RIGHT("000000"&amp;1845,6),CalcRankKeyB,0),"")</f>
        <v/>
      </c>
    </row>
    <row r="1862">
      <c r="A1862" s="26" t="n">
        <v>1846</v>
      </c>
      <c r="B1862" s="27">
        <f>IF(AND($M1862="",$N1862=""),"",IF($M1862&lt;&gt;"",INDEX(CalcDateA,$M1862),INDEX(CalcDateB,$N1862)))</f>
        <v/>
      </c>
      <c r="C1862" s="27">
        <f>IF($M1862&lt;&gt;"","خرید سبد",IF($N1862&lt;&gt;"",IF(N(INDEX(CalcDepB,$N1862))&gt;0,"دریافت بانکی","پرداخت بانکی"),""))</f>
        <v/>
      </c>
      <c r="D1862" s="27">
        <f>IF($M1862&lt;&gt;"",IF(INDEX(CalcDocA,$M1862)="","—",INDEX(CalcDocA,$M1862)),IF($N1862&lt;&gt;"",INDEX(CalcBankB,$N1862),""))</f>
        <v/>
      </c>
      <c r="E1862" s="28">
        <f>IF($N1862&lt;&gt;"",IF(INDEX(CalcDepB,$N1862)=0,"",INDEX(CalcDepB,$N1862)),"")</f>
        <v/>
      </c>
      <c r="F1862" s="28">
        <f>IF($M1862&lt;&gt;"",IF(INDEX(CalcQtyA,$M1862)=0,"",INDEX(CalcQtyA,$M1862)),"")</f>
        <v/>
      </c>
      <c r="G1862" s="28">
        <f>IF($M1862&lt;&gt;"",IF(INDEX(CalcPriceA,$M1862)=0,"",INDEX(CalcPriceA,$M1862)),"")</f>
        <v/>
      </c>
      <c r="H1862" s="28">
        <f>IF($N1862&lt;&gt;"",IF(INDEX(CalcWitB,$N1862)=0,"",INDEX(CalcWitB,$N1862)),"")</f>
        <v/>
      </c>
      <c r="I1862" s="29">
        <f>IF($M1862&lt;&gt;"",INDEX(CalcAmtA,$M1862),"")</f>
        <v/>
      </c>
      <c r="J1862" s="29">
        <f>IF($B1862="","",IF($J1861="",$C$8,$J1861)+IF($I1862="",0,$I1862)+IF($E1862="",0,$E1862)-IF($H1862="",0,$H1862))</f>
        <v/>
      </c>
      <c r="K1862" s="30">
        <f>IF($M1862&lt;&gt;"",IF(INDEX(CalcNoteA,$M1862)="","—",INDEX(CalcNoteA,$M1862)),IF($N1862&lt;&gt;"",IF(INDEX(CalcNoteB,$N1862)="","—",INDEX(CalcNoteB,$N1862)),""))</f>
        <v/>
      </c>
      <c r="M1862">
        <f>IFERROR(MATCH($C$5&amp;"|"&amp;RIGHT("000000"&amp;1846,6),CalcRankKeyA,0),"")</f>
        <v/>
      </c>
      <c r="N1862">
        <f>IFERROR(MATCH($C$5&amp;"|"&amp;RIGHT("000000"&amp;1846,6),CalcRankKeyB,0),"")</f>
        <v/>
      </c>
    </row>
    <row r="1863">
      <c r="A1863" s="21" t="n">
        <v>1847</v>
      </c>
      <c r="B1863" s="22">
        <f>IF(AND($M1863="",$N1863=""),"",IF($M1863&lt;&gt;"",INDEX(CalcDateA,$M1863),INDEX(CalcDateB,$N1863)))</f>
        <v/>
      </c>
      <c r="C1863" s="22">
        <f>IF($M1863&lt;&gt;"","خرید سبد",IF($N1863&lt;&gt;"",IF(N(INDEX(CalcDepB,$N1863))&gt;0,"دریافت بانکی","پرداخت بانکی"),""))</f>
        <v/>
      </c>
      <c r="D1863" s="22">
        <f>IF($M1863&lt;&gt;"",IF(INDEX(CalcDocA,$M1863)="","—",INDEX(CalcDocA,$M1863)),IF($N1863&lt;&gt;"",INDEX(CalcBankB,$N1863),""))</f>
        <v/>
      </c>
      <c r="E1863" s="23">
        <f>IF($N1863&lt;&gt;"",IF(INDEX(CalcDepB,$N1863)=0,"",INDEX(CalcDepB,$N1863)),"")</f>
        <v/>
      </c>
      <c r="F1863" s="23">
        <f>IF($M1863&lt;&gt;"",IF(INDEX(CalcQtyA,$M1863)=0,"",INDEX(CalcQtyA,$M1863)),"")</f>
        <v/>
      </c>
      <c r="G1863" s="23">
        <f>IF($M1863&lt;&gt;"",IF(INDEX(CalcPriceA,$M1863)=0,"",INDEX(CalcPriceA,$M1863)),"")</f>
        <v/>
      </c>
      <c r="H1863" s="23">
        <f>IF($N1863&lt;&gt;"",IF(INDEX(CalcWitB,$N1863)=0,"",INDEX(CalcWitB,$N1863)),"")</f>
        <v/>
      </c>
      <c r="I1863" s="24">
        <f>IF($M1863&lt;&gt;"",INDEX(CalcAmtA,$M1863),"")</f>
        <v/>
      </c>
      <c r="J1863" s="24">
        <f>IF($B1863="","",IF($J1862="",$C$8,$J1862)+IF($I1863="",0,$I1863)+IF($E1863="",0,$E1863)-IF($H1863="",0,$H1863))</f>
        <v/>
      </c>
      <c r="K1863" s="25">
        <f>IF($M1863&lt;&gt;"",IF(INDEX(CalcNoteA,$M1863)="","—",INDEX(CalcNoteA,$M1863)),IF($N1863&lt;&gt;"",IF(INDEX(CalcNoteB,$N1863)="","—",INDEX(CalcNoteB,$N1863)),""))</f>
        <v/>
      </c>
      <c r="M1863">
        <f>IFERROR(MATCH($C$5&amp;"|"&amp;RIGHT("000000"&amp;1847,6),CalcRankKeyA,0),"")</f>
        <v/>
      </c>
      <c r="N1863">
        <f>IFERROR(MATCH($C$5&amp;"|"&amp;RIGHT("000000"&amp;1847,6),CalcRankKeyB,0),"")</f>
        <v/>
      </c>
    </row>
    <row r="1864">
      <c r="A1864" s="26" t="n">
        <v>1848</v>
      </c>
      <c r="B1864" s="27">
        <f>IF(AND($M1864="",$N1864=""),"",IF($M1864&lt;&gt;"",INDEX(CalcDateA,$M1864),INDEX(CalcDateB,$N1864)))</f>
        <v/>
      </c>
      <c r="C1864" s="27">
        <f>IF($M1864&lt;&gt;"","خرید سبد",IF($N1864&lt;&gt;"",IF(N(INDEX(CalcDepB,$N1864))&gt;0,"دریافت بانکی","پرداخت بانکی"),""))</f>
        <v/>
      </c>
      <c r="D1864" s="27">
        <f>IF($M1864&lt;&gt;"",IF(INDEX(CalcDocA,$M1864)="","—",INDEX(CalcDocA,$M1864)),IF($N1864&lt;&gt;"",INDEX(CalcBankB,$N1864),""))</f>
        <v/>
      </c>
      <c r="E1864" s="28">
        <f>IF($N1864&lt;&gt;"",IF(INDEX(CalcDepB,$N1864)=0,"",INDEX(CalcDepB,$N1864)),"")</f>
        <v/>
      </c>
      <c r="F1864" s="28">
        <f>IF($M1864&lt;&gt;"",IF(INDEX(CalcQtyA,$M1864)=0,"",INDEX(CalcQtyA,$M1864)),"")</f>
        <v/>
      </c>
      <c r="G1864" s="28">
        <f>IF($M1864&lt;&gt;"",IF(INDEX(CalcPriceA,$M1864)=0,"",INDEX(CalcPriceA,$M1864)),"")</f>
        <v/>
      </c>
      <c r="H1864" s="28">
        <f>IF($N1864&lt;&gt;"",IF(INDEX(CalcWitB,$N1864)=0,"",INDEX(CalcWitB,$N1864)),"")</f>
        <v/>
      </c>
      <c r="I1864" s="29">
        <f>IF($M1864&lt;&gt;"",INDEX(CalcAmtA,$M1864),"")</f>
        <v/>
      </c>
      <c r="J1864" s="29">
        <f>IF($B1864="","",IF($J1863="",$C$8,$J1863)+IF($I1864="",0,$I1864)+IF($E1864="",0,$E1864)-IF($H1864="",0,$H1864))</f>
        <v/>
      </c>
      <c r="K1864" s="30">
        <f>IF($M1864&lt;&gt;"",IF(INDEX(CalcNoteA,$M1864)="","—",INDEX(CalcNoteA,$M1864)),IF($N1864&lt;&gt;"",IF(INDEX(CalcNoteB,$N1864)="","—",INDEX(CalcNoteB,$N1864)),""))</f>
        <v/>
      </c>
      <c r="M1864">
        <f>IFERROR(MATCH($C$5&amp;"|"&amp;RIGHT("000000"&amp;1848,6),CalcRankKeyA,0),"")</f>
        <v/>
      </c>
      <c r="N1864">
        <f>IFERROR(MATCH($C$5&amp;"|"&amp;RIGHT("000000"&amp;1848,6),CalcRankKeyB,0),"")</f>
        <v/>
      </c>
    </row>
    <row r="1865">
      <c r="A1865" s="21" t="n">
        <v>1849</v>
      </c>
      <c r="B1865" s="22">
        <f>IF(AND($M1865="",$N1865=""),"",IF($M1865&lt;&gt;"",INDEX(CalcDateA,$M1865),INDEX(CalcDateB,$N1865)))</f>
        <v/>
      </c>
      <c r="C1865" s="22">
        <f>IF($M1865&lt;&gt;"","خرید سبد",IF($N1865&lt;&gt;"",IF(N(INDEX(CalcDepB,$N1865))&gt;0,"دریافت بانکی","پرداخت بانکی"),""))</f>
        <v/>
      </c>
      <c r="D1865" s="22">
        <f>IF($M1865&lt;&gt;"",IF(INDEX(CalcDocA,$M1865)="","—",INDEX(CalcDocA,$M1865)),IF($N1865&lt;&gt;"",INDEX(CalcBankB,$N1865),""))</f>
        <v/>
      </c>
      <c r="E1865" s="23">
        <f>IF($N1865&lt;&gt;"",IF(INDEX(CalcDepB,$N1865)=0,"",INDEX(CalcDepB,$N1865)),"")</f>
        <v/>
      </c>
      <c r="F1865" s="23">
        <f>IF($M1865&lt;&gt;"",IF(INDEX(CalcQtyA,$M1865)=0,"",INDEX(CalcQtyA,$M1865)),"")</f>
        <v/>
      </c>
      <c r="G1865" s="23">
        <f>IF($M1865&lt;&gt;"",IF(INDEX(CalcPriceA,$M1865)=0,"",INDEX(CalcPriceA,$M1865)),"")</f>
        <v/>
      </c>
      <c r="H1865" s="23">
        <f>IF($N1865&lt;&gt;"",IF(INDEX(CalcWitB,$N1865)=0,"",INDEX(CalcWitB,$N1865)),"")</f>
        <v/>
      </c>
      <c r="I1865" s="24">
        <f>IF($M1865&lt;&gt;"",INDEX(CalcAmtA,$M1865),"")</f>
        <v/>
      </c>
      <c r="J1865" s="24">
        <f>IF($B1865="","",IF($J1864="",$C$8,$J1864)+IF($I1865="",0,$I1865)+IF($E1865="",0,$E1865)-IF($H1865="",0,$H1865))</f>
        <v/>
      </c>
      <c r="K1865" s="25">
        <f>IF($M1865&lt;&gt;"",IF(INDEX(CalcNoteA,$M1865)="","—",INDEX(CalcNoteA,$M1865)),IF($N1865&lt;&gt;"",IF(INDEX(CalcNoteB,$N1865)="","—",INDEX(CalcNoteB,$N1865)),""))</f>
        <v/>
      </c>
      <c r="M1865">
        <f>IFERROR(MATCH($C$5&amp;"|"&amp;RIGHT("000000"&amp;1849,6),CalcRankKeyA,0),"")</f>
        <v/>
      </c>
      <c r="N1865">
        <f>IFERROR(MATCH($C$5&amp;"|"&amp;RIGHT("000000"&amp;1849,6),CalcRankKeyB,0),"")</f>
        <v/>
      </c>
    </row>
    <row r="1866">
      <c r="A1866" s="26" t="n">
        <v>1850</v>
      </c>
      <c r="B1866" s="27">
        <f>IF(AND($M1866="",$N1866=""),"",IF($M1866&lt;&gt;"",INDEX(CalcDateA,$M1866),INDEX(CalcDateB,$N1866)))</f>
        <v/>
      </c>
      <c r="C1866" s="27">
        <f>IF($M1866&lt;&gt;"","خرید سبد",IF($N1866&lt;&gt;"",IF(N(INDEX(CalcDepB,$N1866))&gt;0,"دریافت بانکی","پرداخت بانکی"),""))</f>
        <v/>
      </c>
      <c r="D1866" s="27">
        <f>IF($M1866&lt;&gt;"",IF(INDEX(CalcDocA,$M1866)="","—",INDEX(CalcDocA,$M1866)),IF($N1866&lt;&gt;"",INDEX(CalcBankB,$N1866),""))</f>
        <v/>
      </c>
      <c r="E1866" s="28">
        <f>IF($N1866&lt;&gt;"",IF(INDEX(CalcDepB,$N1866)=0,"",INDEX(CalcDepB,$N1866)),"")</f>
        <v/>
      </c>
      <c r="F1866" s="28">
        <f>IF($M1866&lt;&gt;"",IF(INDEX(CalcQtyA,$M1866)=0,"",INDEX(CalcQtyA,$M1866)),"")</f>
        <v/>
      </c>
      <c r="G1866" s="28">
        <f>IF($M1866&lt;&gt;"",IF(INDEX(CalcPriceA,$M1866)=0,"",INDEX(CalcPriceA,$M1866)),"")</f>
        <v/>
      </c>
      <c r="H1866" s="28">
        <f>IF($N1866&lt;&gt;"",IF(INDEX(CalcWitB,$N1866)=0,"",INDEX(CalcWitB,$N1866)),"")</f>
        <v/>
      </c>
      <c r="I1866" s="29">
        <f>IF($M1866&lt;&gt;"",INDEX(CalcAmtA,$M1866),"")</f>
        <v/>
      </c>
      <c r="J1866" s="29">
        <f>IF($B1866="","",IF($J1865="",$C$8,$J1865)+IF($I1866="",0,$I1866)+IF($E1866="",0,$E1866)-IF($H1866="",0,$H1866))</f>
        <v/>
      </c>
      <c r="K1866" s="30">
        <f>IF($M1866&lt;&gt;"",IF(INDEX(CalcNoteA,$M1866)="","—",INDEX(CalcNoteA,$M1866)),IF($N1866&lt;&gt;"",IF(INDEX(CalcNoteB,$N1866)="","—",INDEX(CalcNoteB,$N1866)),""))</f>
        <v/>
      </c>
      <c r="M1866">
        <f>IFERROR(MATCH($C$5&amp;"|"&amp;RIGHT("000000"&amp;1850,6),CalcRankKeyA,0),"")</f>
        <v/>
      </c>
      <c r="N1866">
        <f>IFERROR(MATCH($C$5&amp;"|"&amp;RIGHT("000000"&amp;1850,6),CalcRankKeyB,0),"")</f>
        <v/>
      </c>
    </row>
    <row r="1867">
      <c r="A1867" s="21" t="n">
        <v>1851</v>
      </c>
      <c r="B1867" s="22">
        <f>IF(AND($M1867="",$N1867=""),"",IF($M1867&lt;&gt;"",INDEX(CalcDateA,$M1867),INDEX(CalcDateB,$N1867)))</f>
        <v/>
      </c>
      <c r="C1867" s="22">
        <f>IF($M1867&lt;&gt;"","خرید سبد",IF($N1867&lt;&gt;"",IF(N(INDEX(CalcDepB,$N1867))&gt;0,"دریافت بانکی","پرداخت بانکی"),""))</f>
        <v/>
      </c>
      <c r="D1867" s="22">
        <f>IF($M1867&lt;&gt;"",IF(INDEX(CalcDocA,$M1867)="","—",INDEX(CalcDocA,$M1867)),IF($N1867&lt;&gt;"",INDEX(CalcBankB,$N1867),""))</f>
        <v/>
      </c>
      <c r="E1867" s="23">
        <f>IF($N1867&lt;&gt;"",IF(INDEX(CalcDepB,$N1867)=0,"",INDEX(CalcDepB,$N1867)),"")</f>
        <v/>
      </c>
      <c r="F1867" s="23">
        <f>IF($M1867&lt;&gt;"",IF(INDEX(CalcQtyA,$M1867)=0,"",INDEX(CalcQtyA,$M1867)),"")</f>
        <v/>
      </c>
      <c r="G1867" s="23">
        <f>IF($M1867&lt;&gt;"",IF(INDEX(CalcPriceA,$M1867)=0,"",INDEX(CalcPriceA,$M1867)),"")</f>
        <v/>
      </c>
      <c r="H1867" s="23">
        <f>IF($N1867&lt;&gt;"",IF(INDEX(CalcWitB,$N1867)=0,"",INDEX(CalcWitB,$N1867)),"")</f>
        <v/>
      </c>
      <c r="I1867" s="24">
        <f>IF($M1867&lt;&gt;"",INDEX(CalcAmtA,$M1867),"")</f>
        <v/>
      </c>
      <c r="J1867" s="24">
        <f>IF($B1867="","",IF($J1866="",$C$8,$J1866)+IF($I1867="",0,$I1867)+IF($E1867="",0,$E1867)-IF($H1867="",0,$H1867))</f>
        <v/>
      </c>
      <c r="K1867" s="25">
        <f>IF($M1867&lt;&gt;"",IF(INDEX(CalcNoteA,$M1867)="","—",INDEX(CalcNoteA,$M1867)),IF($N1867&lt;&gt;"",IF(INDEX(CalcNoteB,$N1867)="","—",INDEX(CalcNoteB,$N1867)),""))</f>
        <v/>
      </c>
      <c r="M1867">
        <f>IFERROR(MATCH($C$5&amp;"|"&amp;RIGHT("000000"&amp;1851,6),CalcRankKeyA,0),"")</f>
        <v/>
      </c>
      <c r="N1867">
        <f>IFERROR(MATCH($C$5&amp;"|"&amp;RIGHT("000000"&amp;1851,6),CalcRankKeyB,0),"")</f>
        <v/>
      </c>
    </row>
    <row r="1868">
      <c r="A1868" s="26" t="n">
        <v>1852</v>
      </c>
      <c r="B1868" s="27">
        <f>IF(AND($M1868="",$N1868=""),"",IF($M1868&lt;&gt;"",INDEX(CalcDateA,$M1868),INDEX(CalcDateB,$N1868)))</f>
        <v/>
      </c>
      <c r="C1868" s="27">
        <f>IF($M1868&lt;&gt;"","خرید سبد",IF($N1868&lt;&gt;"",IF(N(INDEX(CalcDepB,$N1868))&gt;0,"دریافت بانکی","پرداخت بانکی"),""))</f>
        <v/>
      </c>
      <c r="D1868" s="27">
        <f>IF($M1868&lt;&gt;"",IF(INDEX(CalcDocA,$M1868)="","—",INDEX(CalcDocA,$M1868)),IF($N1868&lt;&gt;"",INDEX(CalcBankB,$N1868),""))</f>
        <v/>
      </c>
      <c r="E1868" s="28">
        <f>IF($N1868&lt;&gt;"",IF(INDEX(CalcDepB,$N1868)=0,"",INDEX(CalcDepB,$N1868)),"")</f>
        <v/>
      </c>
      <c r="F1868" s="28">
        <f>IF($M1868&lt;&gt;"",IF(INDEX(CalcQtyA,$M1868)=0,"",INDEX(CalcQtyA,$M1868)),"")</f>
        <v/>
      </c>
      <c r="G1868" s="28">
        <f>IF($M1868&lt;&gt;"",IF(INDEX(CalcPriceA,$M1868)=0,"",INDEX(CalcPriceA,$M1868)),"")</f>
        <v/>
      </c>
      <c r="H1868" s="28">
        <f>IF($N1868&lt;&gt;"",IF(INDEX(CalcWitB,$N1868)=0,"",INDEX(CalcWitB,$N1868)),"")</f>
        <v/>
      </c>
      <c r="I1868" s="29">
        <f>IF($M1868&lt;&gt;"",INDEX(CalcAmtA,$M1868),"")</f>
        <v/>
      </c>
      <c r="J1868" s="29">
        <f>IF($B1868="","",IF($J1867="",$C$8,$J1867)+IF($I1868="",0,$I1868)+IF($E1868="",0,$E1868)-IF($H1868="",0,$H1868))</f>
        <v/>
      </c>
      <c r="K1868" s="30">
        <f>IF($M1868&lt;&gt;"",IF(INDEX(CalcNoteA,$M1868)="","—",INDEX(CalcNoteA,$M1868)),IF($N1868&lt;&gt;"",IF(INDEX(CalcNoteB,$N1868)="","—",INDEX(CalcNoteB,$N1868)),""))</f>
        <v/>
      </c>
      <c r="M1868">
        <f>IFERROR(MATCH($C$5&amp;"|"&amp;RIGHT("000000"&amp;1852,6),CalcRankKeyA,0),"")</f>
        <v/>
      </c>
      <c r="N1868">
        <f>IFERROR(MATCH($C$5&amp;"|"&amp;RIGHT("000000"&amp;1852,6),CalcRankKeyB,0),"")</f>
        <v/>
      </c>
    </row>
    <row r="1869">
      <c r="A1869" s="21" t="n">
        <v>1853</v>
      </c>
      <c r="B1869" s="22">
        <f>IF(AND($M1869="",$N1869=""),"",IF($M1869&lt;&gt;"",INDEX(CalcDateA,$M1869),INDEX(CalcDateB,$N1869)))</f>
        <v/>
      </c>
      <c r="C1869" s="22">
        <f>IF($M1869&lt;&gt;"","خرید سبد",IF($N1869&lt;&gt;"",IF(N(INDEX(CalcDepB,$N1869))&gt;0,"دریافت بانکی","پرداخت بانکی"),""))</f>
        <v/>
      </c>
      <c r="D1869" s="22">
        <f>IF($M1869&lt;&gt;"",IF(INDEX(CalcDocA,$M1869)="","—",INDEX(CalcDocA,$M1869)),IF($N1869&lt;&gt;"",INDEX(CalcBankB,$N1869),""))</f>
        <v/>
      </c>
      <c r="E1869" s="23">
        <f>IF($N1869&lt;&gt;"",IF(INDEX(CalcDepB,$N1869)=0,"",INDEX(CalcDepB,$N1869)),"")</f>
        <v/>
      </c>
      <c r="F1869" s="23">
        <f>IF($M1869&lt;&gt;"",IF(INDEX(CalcQtyA,$M1869)=0,"",INDEX(CalcQtyA,$M1869)),"")</f>
        <v/>
      </c>
      <c r="G1869" s="23">
        <f>IF($M1869&lt;&gt;"",IF(INDEX(CalcPriceA,$M1869)=0,"",INDEX(CalcPriceA,$M1869)),"")</f>
        <v/>
      </c>
      <c r="H1869" s="23">
        <f>IF($N1869&lt;&gt;"",IF(INDEX(CalcWitB,$N1869)=0,"",INDEX(CalcWitB,$N1869)),"")</f>
        <v/>
      </c>
      <c r="I1869" s="24">
        <f>IF($M1869&lt;&gt;"",INDEX(CalcAmtA,$M1869),"")</f>
        <v/>
      </c>
      <c r="J1869" s="24">
        <f>IF($B1869="","",IF($J1868="",$C$8,$J1868)+IF($I1869="",0,$I1869)+IF($E1869="",0,$E1869)-IF($H1869="",0,$H1869))</f>
        <v/>
      </c>
      <c r="K1869" s="25">
        <f>IF($M1869&lt;&gt;"",IF(INDEX(CalcNoteA,$M1869)="","—",INDEX(CalcNoteA,$M1869)),IF($N1869&lt;&gt;"",IF(INDEX(CalcNoteB,$N1869)="","—",INDEX(CalcNoteB,$N1869)),""))</f>
        <v/>
      </c>
      <c r="M1869">
        <f>IFERROR(MATCH($C$5&amp;"|"&amp;RIGHT("000000"&amp;1853,6),CalcRankKeyA,0),"")</f>
        <v/>
      </c>
      <c r="N1869">
        <f>IFERROR(MATCH($C$5&amp;"|"&amp;RIGHT("000000"&amp;1853,6),CalcRankKeyB,0),"")</f>
        <v/>
      </c>
    </row>
    <row r="1870">
      <c r="A1870" s="26" t="n">
        <v>1854</v>
      </c>
      <c r="B1870" s="27">
        <f>IF(AND($M1870="",$N1870=""),"",IF($M1870&lt;&gt;"",INDEX(CalcDateA,$M1870),INDEX(CalcDateB,$N1870)))</f>
        <v/>
      </c>
      <c r="C1870" s="27">
        <f>IF($M1870&lt;&gt;"","خرید سبد",IF($N1870&lt;&gt;"",IF(N(INDEX(CalcDepB,$N1870))&gt;0,"دریافت بانکی","پرداخت بانکی"),""))</f>
        <v/>
      </c>
      <c r="D1870" s="27">
        <f>IF($M1870&lt;&gt;"",IF(INDEX(CalcDocA,$M1870)="","—",INDEX(CalcDocA,$M1870)),IF($N1870&lt;&gt;"",INDEX(CalcBankB,$N1870),""))</f>
        <v/>
      </c>
      <c r="E1870" s="28">
        <f>IF($N1870&lt;&gt;"",IF(INDEX(CalcDepB,$N1870)=0,"",INDEX(CalcDepB,$N1870)),"")</f>
        <v/>
      </c>
      <c r="F1870" s="28">
        <f>IF($M1870&lt;&gt;"",IF(INDEX(CalcQtyA,$M1870)=0,"",INDEX(CalcQtyA,$M1870)),"")</f>
        <v/>
      </c>
      <c r="G1870" s="28">
        <f>IF($M1870&lt;&gt;"",IF(INDEX(CalcPriceA,$M1870)=0,"",INDEX(CalcPriceA,$M1870)),"")</f>
        <v/>
      </c>
      <c r="H1870" s="28">
        <f>IF($N1870&lt;&gt;"",IF(INDEX(CalcWitB,$N1870)=0,"",INDEX(CalcWitB,$N1870)),"")</f>
        <v/>
      </c>
      <c r="I1870" s="29">
        <f>IF($M1870&lt;&gt;"",INDEX(CalcAmtA,$M1870),"")</f>
        <v/>
      </c>
      <c r="J1870" s="29">
        <f>IF($B1870="","",IF($J1869="",$C$8,$J1869)+IF($I1870="",0,$I1870)+IF($E1870="",0,$E1870)-IF($H1870="",0,$H1870))</f>
        <v/>
      </c>
      <c r="K1870" s="30">
        <f>IF($M1870&lt;&gt;"",IF(INDEX(CalcNoteA,$M1870)="","—",INDEX(CalcNoteA,$M1870)),IF($N1870&lt;&gt;"",IF(INDEX(CalcNoteB,$N1870)="","—",INDEX(CalcNoteB,$N1870)),""))</f>
        <v/>
      </c>
      <c r="M1870">
        <f>IFERROR(MATCH($C$5&amp;"|"&amp;RIGHT("000000"&amp;1854,6),CalcRankKeyA,0),"")</f>
        <v/>
      </c>
      <c r="N1870">
        <f>IFERROR(MATCH($C$5&amp;"|"&amp;RIGHT("000000"&amp;1854,6),CalcRankKeyB,0),"")</f>
        <v/>
      </c>
    </row>
    <row r="1871">
      <c r="A1871" s="21" t="n">
        <v>1855</v>
      </c>
      <c r="B1871" s="22">
        <f>IF(AND($M1871="",$N1871=""),"",IF($M1871&lt;&gt;"",INDEX(CalcDateA,$M1871),INDEX(CalcDateB,$N1871)))</f>
        <v/>
      </c>
      <c r="C1871" s="22">
        <f>IF($M1871&lt;&gt;"","خرید سبد",IF($N1871&lt;&gt;"",IF(N(INDEX(CalcDepB,$N1871))&gt;0,"دریافت بانکی","پرداخت بانکی"),""))</f>
        <v/>
      </c>
      <c r="D1871" s="22">
        <f>IF($M1871&lt;&gt;"",IF(INDEX(CalcDocA,$M1871)="","—",INDEX(CalcDocA,$M1871)),IF($N1871&lt;&gt;"",INDEX(CalcBankB,$N1871),""))</f>
        <v/>
      </c>
      <c r="E1871" s="23">
        <f>IF($N1871&lt;&gt;"",IF(INDEX(CalcDepB,$N1871)=0,"",INDEX(CalcDepB,$N1871)),"")</f>
        <v/>
      </c>
      <c r="F1871" s="23">
        <f>IF($M1871&lt;&gt;"",IF(INDEX(CalcQtyA,$M1871)=0,"",INDEX(CalcQtyA,$M1871)),"")</f>
        <v/>
      </c>
      <c r="G1871" s="23">
        <f>IF($M1871&lt;&gt;"",IF(INDEX(CalcPriceA,$M1871)=0,"",INDEX(CalcPriceA,$M1871)),"")</f>
        <v/>
      </c>
      <c r="H1871" s="23">
        <f>IF($N1871&lt;&gt;"",IF(INDEX(CalcWitB,$N1871)=0,"",INDEX(CalcWitB,$N1871)),"")</f>
        <v/>
      </c>
      <c r="I1871" s="24">
        <f>IF($M1871&lt;&gt;"",INDEX(CalcAmtA,$M1871),"")</f>
        <v/>
      </c>
      <c r="J1871" s="24">
        <f>IF($B1871="","",IF($J1870="",$C$8,$J1870)+IF($I1871="",0,$I1871)+IF($E1871="",0,$E1871)-IF($H1871="",0,$H1871))</f>
        <v/>
      </c>
      <c r="K1871" s="25">
        <f>IF($M1871&lt;&gt;"",IF(INDEX(CalcNoteA,$M1871)="","—",INDEX(CalcNoteA,$M1871)),IF($N1871&lt;&gt;"",IF(INDEX(CalcNoteB,$N1871)="","—",INDEX(CalcNoteB,$N1871)),""))</f>
        <v/>
      </c>
      <c r="M1871">
        <f>IFERROR(MATCH($C$5&amp;"|"&amp;RIGHT("000000"&amp;1855,6),CalcRankKeyA,0),"")</f>
        <v/>
      </c>
      <c r="N1871">
        <f>IFERROR(MATCH($C$5&amp;"|"&amp;RIGHT("000000"&amp;1855,6),CalcRankKeyB,0),"")</f>
        <v/>
      </c>
    </row>
    <row r="1872">
      <c r="A1872" s="26" t="n">
        <v>1856</v>
      </c>
      <c r="B1872" s="27">
        <f>IF(AND($M1872="",$N1872=""),"",IF($M1872&lt;&gt;"",INDEX(CalcDateA,$M1872),INDEX(CalcDateB,$N1872)))</f>
        <v/>
      </c>
      <c r="C1872" s="27">
        <f>IF($M1872&lt;&gt;"","خرید سبد",IF($N1872&lt;&gt;"",IF(N(INDEX(CalcDepB,$N1872))&gt;0,"دریافت بانکی","پرداخت بانکی"),""))</f>
        <v/>
      </c>
      <c r="D1872" s="27">
        <f>IF($M1872&lt;&gt;"",IF(INDEX(CalcDocA,$M1872)="","—",INDEX(CalcDocA,$M1872)),IF($N1872&lt;&gt;"",INDEX(CalcBankB,$N1872),""))</f>
        <v/>
      </c>
      <c r="E1872" s="28">
        <f>IF($N1872&lt;&gt;"",IF(INDEX(CalcDepB,$N1872)=0,"",INDEX(CalcDepB,$N1872)),"")</f>
        <v/>
      </c>
      <c r="F1872" s="28">
        <f>IF($M1872&lt;&gt;"",IF(INDEX(CalcQtyA,$M1872)=0,"",INDEX(CalcQtyA,$M1872)),"")</f>
        <v/>
      </c>
      <c r="G1872" s="28">
        <f>IF($M1872&lt;&gt;"",IF(INDEX(CalcPriceA,$M1872)=0,"",INDEX(CalcPriceA,$M1872)),"")</f>
        <v/>
      </c>
      <c r="H1872" s="28">
        <f>IF($N1872&lt;&gt;"",IF(INDEX(CalcWitB,$N1872)=0,"",INDEX(CalcWitB,$N1872)),"")</f>
        <v/>
      </c>
      <c r="I1872" s="29">
        <f>IF($M1872&lt;&gt;"",INDEX(CalcAmtA,$M1872),"")</f>
        <v/>
      </c>
      <c r="J1872" s="29">
        <f>IF($B1872="","",IF($J1871="",$C$8,$J1871)+IF($I1872="",0,$I1872)+IF($E1872="",0,$E1872)-IF($H1872="",0,$H1872))</f>
        <v/>
      </c>
      <c r="K1872" s="30">
        <f>IF($M1872&lt;&gt;"",IF(INDEX(CalcNoteA,$M1872)="","—",INDEX(CalcNoteA,$M1872)),IF($N1872&lt;&gt;"",IF(INDEX(CalcNoteB,$N1872)="","—",INDEX(CalcNoteB,$N1872)),""))</f>
        <v/>
      </c>
      <c r="M1872">
        <f>IFERROR(MATCH($C$5&amp;"|"&amp;RIGHT("000000"&amp;1856,6),CalcRankKeyA,0),"")</f>
        <v/>
      </c>
      <c r="N1872">
        <f>IFERROR(MATCH($C$5&amp;"|"&amp;RIGHT("000000"&amp;1856,6),CalcRankKeyB,0),"")</f>
        <v/>
      </c>
    </row>
    <row r="1873">
      <c r="A1873" s="21" t="n">
        <v>1857</v>
      </c>
      <c r="B1873" s="22">
        <f>IF(AND($M1873="",$N1873=""),"",IF($M1873&lt;&gt;"",INDEX(CalcDateA,$M1873),INDEX(CalcDateB,$N1873)))</f>
        <v/>
      </c>
      <c r="C1873" s="22">
        <f>IF($M1873&lt;&gt;"","خرید سبد",IF($N1873&lt;&gt;"",IF(N(INDEX(CalcDepB,$N1873))&gt;0,"دریافت بانکی","پرداخت بانکی"),""))</f>
        <v/>
      </c>
      <c r="D1873" s="22">
        <f>IF($M1873&lt;&gt;"",IF(INDEX(CalcDocA,$M1873)="","—",INDEX(CalcDocA,$M1873)),IF($N1873&lt;&gt;"",INDEX(CalcBankB,$N1873),""))</f>
        <v/>
      </c>
      <c r="E1873" s="23">
        <f>IF($N1873&lt;&gt;"",IF(INDEX(CalcDepB,$N1873)=0,"",INDEX(CalcDepB,$N1873)),"")</f>
        <v/>
      </c>
      <c r="F1873" s="23">
        <f>IF($M1873&lt;&gt;"",IF(INDEX(CalcQtyA,$M1873)=0,"",INDEX(CalcQtyA,$M1873)),"")</f>
        <v/>
      </c>
      <c r="G1873" s="23">
        <f>IF($M1873&lt;&gt;"",IF(INDEX(CalcPriceA,$M1873)=0,"",INDEX(CalcPriceA,$M1873)),"")</f>
        <v/>
      </c>
      <c r="H1873" s="23">
        <f>IF($N1873&lt;&gt;"",IF(INDEX(CalcWitB,$N1873)=0,"",INDEX(CalcWitB,$N1873)),"")</f>
        <v/>
      </c>
      <c r="I1873" s="24">
        <f>IF($M1873&lt;&gt;"",INDEX(CalcAmtA,$M1873),"")</f>
        <v/>
      </c>
      <c r="J1873" s="24">
        <f>IF($B1873="","",IF($J1872="",$C$8,$J1872)+IF($I1873="",0,$I1873)+IF($E1873="",0,$E1873)-IF($H1873="",0,$H1873))</f>
        <v/>
      </c>
      <c r="K1873" s="25">
        <f>IF($M1873&lt;&gt;"",IF(INDEX(CalcNoteA,$M1873)="","—",INDEX(CalcNoteA,$M1873)),IF($N1873&lt;&gt;"",IF(INDEX(CalcNoteB,$N1873)="","—",INDEX(CalcNoteB,$N1873)),""))</f>
        <v/>
      </c>
      <c r="M1873">
        <f>IFERROR(MATCH($C$5&amp;"|"&amp;RIGHT("000000"&amp;1857,6),CalcRankKeyA,0),"")</f>
        <v/>
      </c>
      <c r="N1873">
        <f>IFERROR(MATCH($C$5&amp;"|"&amp;RIGHT("000000"&amp;1857,6),CalcRankKeyB,0),"")</f>
        <v/>
      </c>
    </row>
    <row r="1874">
      <c r="A1874" s="26" t="n">
        <v>1858</v>
      </c>
      <c r="B1874" s="27">
        <f>IF(AND($M1874="",$N1874=""),"",IF($M1874&lt;&gt;"",INDEX(CalcDateA,$M1874),INDEX(CalcDateB,$N1874)))</f>
        <v/>
      </c>
      <c r="C1874" s="27">
        <f>IF($M1874&lt;&gt;"","خرید سبد",IF($N1874&lt;&gt;"",IF(N(INDEX(CalcDepB,$N1874))&gt;0,"دریافت بانکی","پرداخت بانکی"),""))</f>
        <v/>
      </c>
      <c r="D1874" s="27">
        <f>IF($M1874&lt;&gt;"",IF(INDEX(CalcDocA,$M1874)="","—",INDEX(CalcDocA,$M1874)),IF($N1874&lt;&gt;"",INDEX(CalcBankB,$N1874),""))</f>
        <v/>
      </c>
      <c r="E1874" s="28">
        <f>IF($N1874&lt;&gt;"",IF(INDEX(CalcDepB,$N1874)=0,"",INDEX(CalcDepB,$N1874)),"")</f>
        <v/>
      </c>
      <c r="F1874" s="28">
        <f>IF($M1874&lt;&gt;"",IF(INDEX(CalcQtyA,$M1874)=0,"",INDEX(CalcQtyA,$M1874)),"")</f>
        <v/>
      </c>
      <c r="G1874" s="28">
        <f>IF($M1874&lt;&gt;"",IF(INDEX(CalcPriceA,$M1874)=0,"",INDEX(CalcPriceA,$M1874)),"")</f>
        <v/>
      </c>
      <c r="H1874" s="28">
        <f>IF($N1874&lt;&gt;"",IF(INDEX(CalcWitB,$N1874)=0,"",INDEX(CalcWitB,$N1874)),"")</f>
        <v/>
      </c>
      <c r="I1874" s="29">
        <f>IF($M1874&lt;&gt;"",INDEX(CalcAmtA,$M1874),"")</f>
        <v/>
      </c>
      <c r="J1874" s="29">
        <f>IF($B1874="","",IF($J1873="",$C$8,$J1873)+IF($I1874="",0,$I1874)+IF($E1874="",0,$E1874)-IF($H1874="",0,$H1874))</f>
        <v/>
      </c>
      <c r="K1874" s="30">
        <f>IF($M1874&lt;&gt;"",IF(INDEX(CalcNoteA,$M1874)="","—",INDEX(CalcNoteA,$M1874)),IF($N1874&lt;&gt;"",IF(INDEX(CalcNoteB,$N1874)="","—",INDEX(CalcNoteB,$N1874)),""))</f>
        <v/>
      </c>
      <c r="M1874">
        <f>IFERROR(MATCH($C$5&amp;"|"&amp;RIGHT("000000"&amp;1858,6),CalcRankKeyA,0),"")</f>
        <v/>
      </c>
      <c r="N1874">
        <f>IFERROR(MATCH($C$5&amp;"|"&amp;RIGHT("000000"&amp;1858,6),CalcRankKeyB,0),"")</f>
        <v/>
      </c>
    </row>
    <row r="1875">
      <c r="A1875" s="21" t="n">
        <v>1859</v>
      </c>
      <c r="B1875" s="22">
        <f>IF(AND($M1875="",$N1875=""),"",IF($M1875&lt;&gt;"",INDEX(CalcDateA,$M1875),INDEX(CalcDateB,$N1875)))</f>
        <v/>
      </c>
      <c r="C1875" s="22">
        <f>IF($M1875&lt;&gt;"","خرید سبد",IF($N1875&lt;&gt;"",IF(N(INDEX(CalcDepB,$N1875))&gt;0,"دریافت بانکی","پرداخت بانکی"),""))</f>
        <v/>
      </c>
      <c r="D1875" s="22">
        <f>IF($M1875&lt;&gt;"",IF(INDEX(CalcDocA,$M1875)="","—",INDEX(CalcDocA,$M1875)),IF($N1875&lt;&gt;"",INDEX(CalcBankB,$N1875),""))</f>
        <v/>
      </c>
      <c r="E1875" s="23">
        <f>IF($N1875&lt;&gt;"",IF(INDEX(CalcDepB,$N1875)=0,"",INDEX(CalcDepB,$N1875)),"")</f>
        <v/>
      </c>
      <c r="F1875" s="23">
        <f>IF($M1875&lt;&gt;"",IF(INDEX(CalcQtyA,$M1875)=0,"",INDEX(CalcQtyA,$M1875)),"")</f>
        <v/>
      </c>
      <c r="G1875" s="23">
        <f>IF($M1875&lt;&gt;"",IF(INDEX(CalcPriceA,$M1875)=0,"",INDEX(CalcPriceA,$M1875)),"")</f>
        <v/>
      </c>
      <c r="H1875" s="23">
        <f>IF($N1875&lt;&gt;"",IF(INDEX(CalcWitB,$N1875)=0,"",INDEX(CalcWitB,$N1875)),"")</f>
        <v/>
      </c>
      <c r="I1875" s="24">
        <f>IF($M1875&lt;&gt;"",INDEX(CalcAmtA,$M1875),"")</f>
        <v/>
      </c>
      <c r="J1875" s="24">
        <f>IF($B1875="","",IF($J1874="",$C$8,$J1874)+IF($I1875="",0,$I1875)+IF($E1875="",0,$E1875)-IF($H1875="",0,$H1875))</f>
        <v/>
      </c>
      <c r="K1875" s="25">
        <f>IF($M1875&lt;&gt;"",IF(INDEX(CalcNoteA,$M1875)="","—",INDEX(CalcNoteA,$M1875)),IF($N1875&lt;&gt;"",IF(INDEX(CalcNoteB,$N1875)="","—",INDEX(CalcNoteB,$N1875)),""))</f>
        <v/>
      </c>
      <c r="M1875">
        <f>IFERROR(MATCH($C$5&amp;"|"&amp;RIGHT("000000"&amp;1859,6),CalcRankKeyA,0),"")</f>
        <v/>
      </c>
      <c r="N1875">
        <f>IFERROR(MATCH($C$5&amp;"|"&amp;RIGHT("000000"&amp;1859,6),CalcRankKeyB,0),"")</f>
        <v/>
      </c>
    </row>
    <row r="1876">
      <c r="A1876" s="26" t="n">
        <v>1860</v>
      </c>
      <c r="B1876" s="27">
        <f>IF(AND($M1876="",$N1876=""),"",IF($M1876&lt;&gt;"",INDEX(CalcDateA,$M1876),INDEX(CalcDateB,$N1876)))</f>
        <v/>
      </c>
      <c r="C1876" s="27">
        <f>IF($M1876&lt;&gt;"","خرید سبد",IF($N1876&lt;&gt;"",IF(N(INDEX(CalcDepB,$N1876))&gt;0,"دریافت بانکی","پرداخت بانکی"),""))</f>
        <v/>
      </c>
      <c r="D1876" s="27">
        <f>IF($M1876&lt;&gt;"",IF(INDEX(CalcDocA,$M1876)="","—",INDEX(CalcDocA,$M1876)),IF($N1876&lt;&gt;"",INDEX(CalcBankB,$N1876),""))</f>
        <v/>
      </c>
      <c r="E1876" s="28">
        <f>IF($N1876&lt;&gt;"",IF(INDEX(CalcDepB,$N1876)=0,"",INDEX(CalcDepB,$N1876)),"")</f>
        <v/>
      </c>
      <c r="F1876" s="28">
        <f>IF($M1876&lt;&gt;"",IF(INDEX(CalcQtyA,$M1876)=0,"",INDEX(CalcQtyA,$M1876)),"")</f>
        <v/>
      </c>
      <c r="G1876" s="28">
        <f>IF($M1876&lt;&gt;"",IF(INDEX(CalcPriceA,$M1876)=0,"",INDEX(CalcPriceA,$M1876)),"")</f>
        <v/>
      </c>
      <c r="H1876" s="28">
        <f>IF($N1876&lt;&gt;"",IF(INDEX(CalcWitB,$N1876)=0,"",INDEX(CalcWitB,$N1876)),"")</f>
        <v/>
      </c>
      <c r="I1876" s="29">
        <f>IF($M1876&lt;&gt;"",INDEX(CalcAmtA,$M1876),"")</f>
        <v/>
      </c>
      <c r="J1876" s="29">
        <f>IF($B1876="","",IF($J1875="",$C$8,$J1875)+IF($I1876="",0,$I1876)+IF($E1876="",0,$E1876)-IF($H1876="",0,$H1876))</f>
        <v/>
      </c>
      <c r="K1876" s="30">
        <f>IF($M1876&lt;&gt;"",IF(INDEX(CalcNoteA,$M1876)="","—",INDEX(CalcNoteA,$M1876)),IF($N1876&lt;&gt;"",IF(INDEX(CalcNoteB,$N1876)="","—",INDEX(CalcNoteB,$N1876)),""))</f>
        <v/>
      </c>
      <c r="M1876">
        <f>IFERROR(MATCH($C$5&amp;"|"&amp;RIGHT("000000"&amp;1860,6),CalcRankKeyA,0),"")</f>
        <v/>
      </c>
      <c r="N1876">
        <f>IFERROR(MATCH($C$5&amp;"|"&amp;RIGHT("000000"&amp;1860,6),CalcRankKeyB,0),"")</f>
        <v/>
      </c>
    </row>
    <row r="1877">
      <c r="A1877" s="21" t="n">
        <v>1861</v>
      </c>
      <c r="B1877" s="22">
        <f>IF(AND($M1877="",$N1877=""),"",IF($M1877&lt;&gt;"",INDEX(CalcDateA,$M1877),INDEX(CalcDateB,$N1877)))</f>
        <v/>
      </c>
      <c r="C1877" s="22">
        <f>IF($M1877&lt;&gt;"","خرید سبد",IF($N1877&lt;&gt;"",IF(N(INDEX(CalcDepB,$N1877))&gt;0,"دریافت بانکی","پرداخت بانکی"),""))</f>
        <v/>
      </c>
      <c r="D1877" s="22">
        <f>IF($M1877&lt;&gt;"",IF(INDEX(CalcDocA,$M1877)="","—",INDEX(CalcDocA,$M1877)),IF($N1877&lt;&gt;"",INDEX(CalcBankB,$N1877),""))</f>
        <v/>
      </c>
      <c r="E1877" s="23">
        <f>IF($N1877&lt;&gt;"",IF(INDEX(CalcDepB,$N1877)=0,"",INDEX(CalcDepB,$N1877)),"")</f>
        <v/>
      </c>
      <c r="F1877" s="23">
        <f>IF($M1877&lt;&gt;"",IF(INDEX(CalcQtyA,$M1877)=0,"",INDEX(CalcQtyA,$M1877)),"")</f>
        <v/>
      </c>
      <c r="G1877" s="23">
        <f>IF($M1877&lt;&gt;"",IF(INDEX(CalcPriceA,$M1877)=0,"",INDEX(CalcPriceA,$M1877)),"")</f>
        <v/>
      </c>
      <c r="H1877" s="23">
        <f>IF($N1877&lt;&gt;"",IF(INDEX(CalcWitB,$N1877)=0,"",INDEX(CalcWitB,$N1877)),"")</f>
        <v/>
      </c>
      <c r="I1877" s="24">
        <f>IF($M1877&lt;&gt;"",INDEX(CalcAmtA,$M1877),"")</f>
        <v/>
      </c>
      <c r="J1877" s="24">
        <f>IF($B1877="","",IF($J1876="",$C$8,$J1876)+IF($I1877="",0,$I1877)+IF($E1877="",0,$E1877)-IF($H1877="",0,$H1877))</f>
        <v/>
      </c>
      <c r="K1877" s="25">
        <f>IF($M1877&lt;&gt;"",IF(INDEX(CalcNoteA,$M1877)="","—",INDEX(CalcNoteA,$M1877)),IF($N1877&lt;&gt;"",IF(INDEX(CalcNoteB,$N1877)="","—",INDEX(CalcNoteB,$N1877)),""))</f>
        <v/>
      </c>
      <c r="M1877">
        <f>IFERROR(MATCH($C$5&amp;"|"&amp;RIGHT("000000"&amp;1861,6),CalcRankKeyA,0),"")</f>
        <v/>
      </c>
      <c r="N1877">
        <f>IFERROR(MATCH($C$5&amp;"|"&amp;RIGHT("000000"&amp;1861,6),CalcRankKeyB,0),"")</f>
        <v/>
      </c>
    </row>
    <row r="1878">
      <c r="A1878" s="26" t="n">
        <v>1862</v>
      </c>
      <c r="B1878" s="27">
        <f>IF(AND($M1878="",$N1878=""),"",IF($M1878&lt;&gt;"",INDEX(CalcDateA,$M1878),INDEX(CalcDateB,$N1878)))</f>
        <v/>
      </c>
      <c r="C1878" s="27">
        <f>IF($M1878&lt;&gt;"","خرید سبد",IF($N1878&lt;&gt;"",IF(N(INDEX(CalcDepB,$N1878))&gt;0,"دریافت بانکی","پرداخت بانکی"),""))</f>
        <v/>
      </c>
      <c r="D1878" s="27">
        <f>IF($M1878&lt;&gt;"",IF(INDEX(CalcDocA,$M1878)="","—",INDEX(CalcDocA,$M1878)),IF($N1878&lt;&gt;"",INDEX(CalcBankB,$N1878),""))</f>
        <v/>
      </c>
      <c r="E1878" s="28">
        <f>IF($N1878&lt;&gt;"",IF(INDEX(CalcDepB,$N1878)=0,"",INDEX(CalcDepB,$N1878)),"")</f>
        <v/>
      </c>
      <c r="F1878" s="28">
        <f>IF($M1878&lt;&gt;"",IF(INDEX(CalcQtyA,$M1878)=0,"",INDEX(CalcQtyA,$M1878)),"")</f>
        <v/>
      </c>
      <c r="G1878" s="28">
        <f>IF($M1878&lt;&gt;"",IF(INDEX(CalcPriceA,$M1878)=0,"",INDEX(CalcPriceA,$M1878)),"")</f>
        <v/>
      </c>
      <c r="H1878" s="28">
        <f>IF($N1878&lt;&gt;"",IF(INDEX(CalcWitB,$N1878)=0,"",INDEX(CalcWitB,$N1878)),"")</f>
        <v/>
      </c>
      <c r="I1878" s="29">
        <f>IF($M1878&lt;&gt;"",INDEX(CalcAmtA,$M1878),"")</f>
        <v/>
      </c>
      <c r="J1878" s="29">
        <f>IF($B1878="","",IF($J1877="",$C$8,$J1877)+IF($I1878="",0,$I1878)+IF($E1878="",0,$E1878)-IF($H1878="",0,$H1878))</f>
        <v/>
      </c>
      <c r="K1878" s="30">
        <f>IF($M1878&lt;&gt;"",IF(INDEX(CalcNoteA,$M1878)="","—",INDEX(CalcNoteA,$M1878)),IF($N1878&lt;&gt;"",IF(INDEX(CalcNoteB,$N1878)="","—",INDEX(CalcNoteB,$N1878)),""))</f>
        <v/>
      </c>
      <c r="M1878">
        <f>IFERROR(MATCH($C$5&amp;"|"&amp;RIGHT("000000"&amp;1862,6),CalcRankKeyA,0),"")</f>
        <v/>
      </c>
      <c r="N1878">
        <f>IFERROR(MATCH($C$5&amp;"|"&amp;RIGHT("000000"&amp;1862,6),CalcRankKeyB,0),"")</f>
        <v/>
      </c>
    </row>
    <row r="1879">
      <c r="A1879" s="21" t="n">
        <v>1863</v>
      </c>
      <c r="B1879" s="22">
        <f>IF(AND($M1879="",$N1879=""),"",IF($M1879&lt;&gt;"",INDEX(CalcDateA,$M1879),INDEX(CalcDateB,$N1879)))</f>
        <v/>
      </c>
      <c r="C1879" s="22">
        <f>IF($M1879&lt;&gt;"","خرید سبد",IF($N1879&lt;&gt;"",IF(N(INDEX(CalcDepB,$N1879))&gt;0,"دریافت بانکی","پرداخت بانکی"),""))</f>
        <v/>
      </c>
      <c r="D1879" s="22">
        <f>IF($M1879&lt;&gt;"",IF(INDEX(CalcDocA,$M1879)="","—",INDEX(CalcDocA,$M1879)),IF($N1879&lt;&gt;"",INDEX(CalcBankB,$N1879),""))</f>
        <v/>
      </c>
      <c r="E1879" s="23">
        <f>IF($N1879&lt;&gt;"",IF(INDEX(CalcDepB,$N1879)=0,"",INDEX(CalcDepB,$N1879)),"")</f>
        <v/>
      </c>
      <c r="F1879" s="23">
        <f>IF($M1879&lt;&gt;"",IF(INDEX(CalcQtyA,$M1879)=0,"",INDEX(CalcQtyA,$M1879)),"")</f>
        <v/>
      </c>
      <c r="G1879" s="23">
        <f>IF($M1879&lt;&gt;"",IF(INDEX(CalcPriceA,$M1879)=0,"",INDEX(CalcPriceA,$M1879)),"")</f>
        <v/>
      </c>
      <c r="H1879" s="23">
        <f>IF($N1879&lt;&gt;"",IF(INDEX(CalcWitB,$N1879)=0,"",INDEX(CalcWitB,$N1879)),"")</f>
        <v/>
      </c>
      <c r="I1879" s="24">
        <f>IF($M1879&lt;&gt;"",INDEX(CalcAmtA,$M1879),"")</f>
        <v/>
      </c>
      <c r="J1879" s="24">
        <f>IF($B1879="","",IF($J1878="",$C$8,$J1878)+IF($I1879="",0,$I1879)+IF($E1879="",0,$E1879)-IF($H1879="",0,$H1879))</f>
        <v/>
      </c>
      <c r="K1879" s="25">
        <f>IF($M1879&lt;&gt;"",IF(INDEX(CalcNoteA,$M1879)="","—",INDEX(CalcNoteA,$M1879)),IF($N1879&lt;&gt;"",IF(INDEX(CalcNoteB,$N1879)="","—",INDEX(CalcNoteB,$N1879)),""))</f>
        <v/>
      </c>
      <c r="M1879">
        <f>IFERROR(MATCH($C$5&amp;"|"&amp;RIGHT("000000"&amp;1863,6),CalcRankKeyA,0),"")</f>
        <v/>
      </c>
      <c r="N1879">
        <f>IFERROR(MATCH($C$5&amp;"|"&amp;RIGHT("000000"&amp;1863,6),CalcRankKeyB,0),"")</f>
        <v/>
      </c>
    </row>
    <row r="1880">
      <c r="A1880" s="26" t="n">
        <v>1864</v>
      </c>
      <c r="B1880" s="27">
        <f>IF(AND($M1880="",$N1880=""),"",IF($M1880&lt;&gt;"",INDEX(CalcDateA,$M1880),INDEX(CalcDateB,$N1880)))</f>
        <v/>
      </c>
      <c r="C1880" s="27">
        <f>IF($M1880&lt;&gt;"","خرید سبد",IF($N1880&lt;&gt;"",IF(N(INDEX(CalcDepB,$N1880))&gt;0,"دریافت بانکی","پرداخت بانکی"),""))</f>
        <v/>
      </c>
      <c r="D1880" s="27">
        <f>IF($M1880&lt;&gt;"",IF(INDEX(CalcDocA,$M1880)="","—",INDEX(CalcDocA,$M1880)),IF($N1880&lt;&gt;"",INDEX(CalcBankB,$N1880),""))</f>
        <v/>
      </c>
      <c r="E1880" s="28">
        <f>IF($N1880&lt;&gt;"",IF(INDEX(CalcDepB,$N1880)=0,"",INDEX(CalcDepB,$N1880)),"")</f>
        <v/>
      </c>
      <c r="F1880" s="28">
        <f>IF($M1880&lt;&gt;"",IF(INDEX(CalcQtyA,$M1880)=0,"",INDEX(CalcQtyA,$M1880)),"")</f>
        <v/>
      </c>
      <c r="G1880" s="28">
        <f>IF($M1880&lt;&gt;"",IF(INDEX(CalcPriceA,$M1880)=0,"",INDEX(CalcPriceA,$M1880)),"")</f>
        <v/>
      </c>
      <c r="H1880" s="28">
        <f>IF($N1880&lt;&gt;"",IF(INDEX(CalcWitB,$N1880)=0,"",INDEX(CalcWitB,$N1880)),"")</f>
        <v/>
      </c>
      <c r="I1880" s="29">
        <f>IF($M1880&lt;&gt;"",INDEX(CalcAmtA,$M1880),"")</f>
        <v/>
      </c>
      <c r="J1880" s="29">
        <f>IF($B1880="","",IF($J1879="",$C$8,$J1879)+IF($I1880="",0,$I1880)+IF($E1880="",0,$E1880)-IF($H1880="",0,$H1880))</f>
        <v/>
      </c>
      <c r="K1880" s="30">
        <f>IF($M1880&lt;&gt;"",IF(INDEX(CalcNoteA,$M1880)="","—",INDEX(CalcNoteA,$M1880)),IF($N1880&lt;&gt;"",IF(INDEX(CalcNoteB,$N1880)="","—",INDEX(CalcNoteB,$N1880)),""))</f>
        <v/>
      </c>
      <c r="M1880">
        <f>IFERROR(MATCH($C$5&amp;"|"&amp;RIGHT("000000"&amp;1864,6),CalcRankKeyA,0),"")</f>
        <v/>
      </c>
      <c r="N1880">
        <f>IFERROR(MATCH($C$5&amp;"|"&amp;RIGHT("000000"&amp;1864,6),CalcRankKeyB,0),"")</f>
        <v/>
      </c>
    </row>
    <row r="1881">
      <c r="A1881" s="21" t="n">
        <v>1865</v>
      </c>
      <c r="B1881" s="22">
        <f>IF(AND($M1881="",$N1881=""),"",IF($M1881&lt;&gt;"",INDEX(CalcDateA,$M1881),INDEX(CalcDateB,$N1881)))</f>
        <v/>
      </c>
      <c r="C1881" s="22">
        <f>IF($M1881&lt;&gt;"","خرید سبد",IF($N1881&lt;&gt;"",IF(N(INDEX(CalcDepB,$N1881))&gt;0,"دریافت بانکی","پرداخت بانکی"),""))</f>
        <v/>
      </c>
      <c r="D1881" s="22">
        <f>IF($M1881&lt;&gt;"",IF(INDEX(CalcDocA,$M1881)="","—",INDEX(CalcDocA,$M1881)),IF($N1881&lt;&gt;"",INDEX(CalcBankB,$N1881),""))</f>
        <v/>
      </c>
      <c r="E1881" s="23">
        <f>IF($N1881&lt;&gt;"",IF(INDEX(CalcDepB,$N1881)=0,"",INDEX(CalcDepB,$N1881)),"")</f>
        <v/>
      </c>
      <c r="F1881" s="23">
        <f>IF($M1881&lt;&gt;"",IF(INDEX(CalcQtyA,$M1881)=0,"",INDEX(CalcQtyA,$M1881)),"")</f>
        <v/>
      </c>
      <c r="G1881" s="23">
        <f>IF($M1881&lt;&gt;"",IF(INDEX(CalcPriceA,$M1881)=0,"",INDEX(CalcPriceA,$M1881)),"")</f>
        <v/>
      </c>
      <c r="H1881" s="23">
        <f>IF($N1881&lt;&gt;"",IF(INDEX(CalcWitB,$N1881)=0,"",INDEX(CalcWitB,$N1881)),"")</f>
        <v/>
      </c>
      <c r="I1881" s="24">
        <f>IF($M1881&lt;&gt;"",INDEX(CalcAmtA,$M1881),"")</f>
        <v/>
      </c>
      <c r="J1881" s="24">
        <f>IF($B1881="","",IF($J1880="",$C$8,$J1880)+IF($I1881="",0,$I1881)+IF($E1881="",0,$E1881)-IF($H1881="",0,$H1881))</f>
        <v/>
      </c>
      <c r="K1881" s="25">
        <f>IF($M1881&lt;&gt;"",IF(INDEX(CalcNoteA,$M1881)="","—",INDEX(CalcNoteA,$M1881)),IF($N1881&lt;&gt;"",IF(INDEX(CalcNoteB,$N1881)="","—",INDEX(CalcNoteB,$N1881)),""))</f>
        <v/>
      </c>
      <c r="M1881">
        <f>IFERROR(MATCH($C$5&amp;"|"&amp;RIGHT("000000"&amp;1865,6),CalcRankKeyA,0),"")</f>
        <v/>
      </c>
      <c r="N1881">
        <f>IFERROR(MATCH($C$5&amp;"|"&amp;RIGHT("000000"&amp;1865,6),CalcRankKeyB,0),"")</f>
        <v/>
      </c>
    </row>
    <row r="1882">
      <c r="A1882" s="26" t="n">
        <v>1866</v>
      </c>
      <c r="B1882" s="27">
        <f>IF(AND($M1882="",$N1882=""),"",IF($M1882&lt;&gt;"",INDEX(CalcDateA,$M1882),INDEX(CalcDateB,$N1882)))</f>
        <v/>
      </c>
      <c r="C1882" s="27">
        <f>IF($M1882&lt;&gt;"","خرید سبد",IF($N1882&lt;&gt;"",IF(N(INDEX(CalcDepB,$N1882))&gt;0,"دریافت بانکی","پرداخت بانکی"),""))</f>
        <v/>
      </c>
      <c r="D1882" s="27">
        <f>IF($M1882&lt;&gt;"",IF(INDEX(CalcDocA,$M1882)="","—",INDEX(CalcDocA,$M1882)),IF($N1882&lt;&gt;"",INDEX(CalcBankB,$N1882),""))</f>
        <v/>
      </c>
      <c r="E1882" s="28">
        <f>IF($N1882&lt;&gt;"",IF(INDEX(CalcDepB,$N1882)=0,"",INDEX(CalcDepB,$N1882)),"")</f>
        <v/>
      </c>
      <c r="F1882" s="28">
        <f>IF($M1882&lt;&gt;"",IF(INDEX(CalcQtyA,$M1882)=0,"",INDEX(CalcQtyA,$M1882)),"")</f>
        <v/>
      </c>
      <c r="G1882" s="28">
        <f>IF($M1882&lt;&gt;"",IF(INDEX(CalcPriceA,$M1882)=0,"",INDEX(CalcPriceA,$M1882)),"")</f>
        <v/>
      </c>
      <c r="H1882" s="28">
        <f>IF($N1882&lt;&gt;"",IF(INDEX(CalcWitB,$N1882)=0,"",INDEX(CalcWitB,$N1882)),"")</f>
        <v/>
      </c>
      <c r="I1882" s="29">
        <f>IF($M1882&lt;&gt;"",INDEX(CalcAmtA,$M1882),"")</f>
        <v/>
      </c>
      <c r="J1882" s="29">
        <f>IF($B1882="","",IF($J1881="",$C$8,$J1881)+IF($I1882="",0,$I1882)+IF($E1882="",0,$E1882)-IF($H1882="",0,$H1882))</f>
        <v/>
      </c>
      <c r="K1882" s="30">
        <f>IF($M1882&lt;&gt;"",IF(INDEX(CalcNoteA,$M1882)="","—",INDEX(CalcNoteA,$M1882)),IF($N1882&lt;&gt;"",IF(INDEX(CalcNoteB,$N1882)="","—",INDEX(CalcNoteB,$N1882)),""))</f>
        <v/>
      </c>
      <c r="M1882">
        <f>IFERROR(MATCH($C$5&amp;"|"&amp;RIGHT("000000"&amp;1866,6),CalcRankKeyA,0),"")</f>
        <v/>
      </c>
      <c r="N1882">
        <f>IFERROR(MATCH($C$5&amp;"|"&amp;RIGHT("000000"&amp;1866,6),CalcRankKeyB,0),"")</f>
        <v/>
      </c>
    </row>
    <row r="1883">
      <c r="A1883" s="21" t="n">
        <v>1867</v>
      </c>
      <c r="B1883" s="22">
        <f>IF(AND($M1883="",$N1883=""),"",IF($M1883&lt;&gt;"",INDEX(CalcDateA,$M1883),INDEX(CalcDateB,$N1883)))</f>
        <v/>
      </c>
      <c r="C1883" s="22">
        <f>IF($M1883&lt;&gt;"","خرید سبد",IF($N1883&lt;&gt;"",IF(N(INDEX(CalcDepB,$N1883))&gt;0,"دریافت بانکی","پرداخت بانکی"),""))</f>
        <v/>
      </c>
      <c r="D1883" s="22">
        <f>IF($M1883&lt;&gt;"",IF(INDEX(CalcDocA,$M1883)="","—",INDEX(CalcDocA,$M1883)),IF($N1883&lt;&gt;"",INDEX(CalcBankB,$N1883),""))</f>
        <v/>
      </c>
      <c r="E1883" s="23">
        <f>IF($N1883&lt;&gt;"",IF(INDEX(CalcDepB,$N1883)=0,"",INDEX(CalcDepB,$N1883)),"")</f>
        <v/>
      </c>
      <c r="F1883" s="23">
        <f>IF($M1883&lt;&gt;"",IF(INDEX(CalcQtyA,$M1883)=0,"",INDEX(CalcQtyA,$M1883)),"")</f>
        <v/>
      </c>
      <c r="G1883" s="23">
        <f>IF($M1883&lt;&gt;"",IF(INDEX(CalcPriceA,$M1883)=0,"",INDEX(CalcPriceA,$M1883)),"")</f>
        <v/>
      </c>
      <c r="H1883" s="23">
        <f>IF($N1883&lt;&gt;"",IF(INDEX(CalcWitB,$N1883)=0,"",INDEX(CalcWitB,$N1883)),"")</f>
        <v/>
      </c>
      <c r="I1883" s="24">
        <f>IF($M1883&lt;&gt;"",INDEX(CalcAmtA,$M1883),"")</f>
        <v/>
      </c>
      <c r="J1883" s="24">
        <f>IF($B1883="","",IF($J1882="",$C$8,$J1882)+IF($I1883="",0,$I1883)+IF($E1883="",0,$E1883)-IF($H1883="",0,$H1883))</f>
        <v/>
      </c>
      <c r="K1883" s="25">
        <f>IF($M1883&lt;&gt;"",IF(INDEX(CalcNoteA,$M1883)="","—",INDEX(CalcNoteA,$M1883)),IF($N1883&lt;&gt;"",IF(INDEX(CalcNoteB,$N1883)="","—",INDEX(CalcNoteB,$N1883)),""))</f>
        <v/>
      </c>
      <c r="M1883">
        <f>IFERROR(MATCH($C$5&amp;"|"&amp;RIGHT("000000"&amp;1867,6),CalcRankKeyA,0),"")</f>
        <v/>
      </c>
      <c r="N1883">
        <f>IFERROR(MATCH($C$5&amp;"|"&amp;RIGHT("000000"&amp;1867,6),CalcRankKeyB,0),"")</f>
        <v/>
      </c>
    </row>
    <row r="1884">
      <c r="A1884" s="26" t="n">
        <v>1868</v>
      </c>
      <c r="B1884" s="27">
        <f>IF(AND($M1884="",$N1884=""),"",IF($M1884&lt;&gt;"",INDEX(CalcDateA,$M1884),INDEX(CalcDateB,$N1884)))</f>
        <v/>
      </c>
      <c r="C1884" s="27">
        <f>IF($M1884&lt;&gt;"","خرید سبد",IF($N1884&lt;&gt;"",IF(N(INDEX(CalcDepB,$N1884))&gt;0,"دریافت بانکی","پرداخت بانکی"),""))</f>
        <v/>
      </c>
      <c r="D1884" s="27">
        <f>IF($M1884&lt;&gt;"",IF(INDEX(CalcDocA,$M1884)="","—",INDEX(CalcDocA,$M1884)),IF($N1884&lt;&gt;"",INDEX(CalcBankB,$N1884),""))</f>
        <v/>
      </c>
      <c r="E1884" s="28">
        <f>IF($N1884&lt;&gt;"",IF(INDEX(CalcDepB,$N1884)=0,"",INDEX(CalcDepB,$N1884)),"")</f>
        <v/>
      </c>
      <c r="F1884" s="28">
        <f>IF($M1884&lt;&gt;"",IF(INDEX(CalcQtyA,$M1884)=0,"",INDEX(CalcQtyA,$M1884)),"")</f>
        <v/>
      </c>
      <c r="G1884" s="28">
        <f>IF($M1884&lt;&gt;"",IF(INDEX(CalcPriceA,$M1884)=0,"",INDEX(CalcPriceA,$M1884)),"")</f>
        <v/>
      </c>
      <c r="H1884" s="28">
        <f>IF($N1884&lt;&gt;"",IF(INDEX(CalcWitB,$N1884)=0,"",INDEX(CalcWitB,$N1884)),"")</f>
        <v/>
      </c>
      <c r="I1884" s="29">
        <f>IF($M1884&lt;&gt;"",INDEX(CalcAmtA,$M1884),"")</f>
        <v/>
      </c>
      <c r="J1884" s="29">
        <f>IF($B1884="","",IF($J1883="",$C$8,$J1883)+IF($I1884="",0,$I1884)+IF($E1884="",0,$E1884)-IF($H1884="",0,$H1884))</f>
        <v/>
      </c>
      <c r="K1884" s="30">
        <f>IF($M1884&lt;&gt;"",IF(INDEX(CalcNoteA,$M1884)="","—",INDEX(CalcNoteA,$M1884)),IF($N1884&lt;&gt;"",IF(INDEX(CalcNoteB,$N1884)="","—",INDEX(CalcNoteB,$N1884)),""))</f>
        <v/>
      </c>
      <c r="M1884">
        <f>IFERROR(MATCH($C$5&amp;"|"&amp;RIGHT("000000"&amp;1868,6),CalcRankKeyA,0),"")</f>
        <v/>
      </c>
      <c r="N1884">
        <f>IFERROR(MATCH($C$5&amp;"|"&amp;RIGHT("000000"&amp;1868,6),CalcRankKeyB,0),"")</f>
        <v/>
      </c>
    </row>
    <row r="1885">
      <c r="A1885" s="21" t="n">
        <v>1869</v>
      </c>
      <c r="B1885" s="22">
        <f>IF(AND($M1885="",$N1885=""),"",IF($M1885&lt;&gt;"",INDEX(CalcDateA,$M1885),INDEX(CalcDateB,$N1885)))</f>
        <v/>
      </c>
      <c r="C1885" s="22">
        <f>IF($M1885&lt;&gt;"","خرید سبد",IF($N1885&lt;&gt;"",IF(N(INDEX(CalcDepB,$N1885))&gt;0,"دریافت بانکی","پرداخت بانکی"),""))</f>
        <v/>
      </c>
      <c r="D1885" s="22">
        <f>IF($M1885&lt;&gt;"",IF(INDEX(CalcDocA,$M1885)="","—",INDEX(CalcDocA,$M1885)),IF($N1885&lt;&gt;"",INDEX(CalcBankB,$N1885),""))</f>
        <v/>
      </c>
      <c r="E1885" s="23">
        <f>IF($N1885&lt;&gt;"",IF(INDEX(CalcDepB,$N1885)=0,"",INDEX(CalcDepB,$N1885)),"")</f>
        <v/>
      </c>
      <c r="F1885" s="23">
        <f>IF($M1885&lt;&gt;"",IF(INDEX(CalcQtyA,$M1885)=0,"",INDEX(CalcQtyA,$M1885)),"")</f>
        <v/>
      </c>
      <c r="G1885" s="23">
        <f>IF($M1885&lt;&gt;"",IF(INDEX(CalcPriceA,$M1885)=0,"",INDEX(CalcPriceA,$M1885)),"")</f>
        <v/>
      </c>
      <c r="H1885" s="23">
        <f>IF($N1885&lt;&gt;"",IF(INDEX(CalcWitB,$N1885)=0,"",INDEX(CalcWitB,$N1885)),"")</f>
        <v/>
      </c>
      <c r="I1885" s="24">
        <f>IF($M1885&lt;&gt;"",INDEX(CalcAmtA,$M1885),"")</f>
        <v/>
      </c>
      <c r="J1885" s="24">
        <f>IF($B1885="","",IF($J1884="",$C$8,$J1884)+IF($I1885="",0,$I1885)+IF($E1885="",0,$E1885)-IF($H1885="",0,$H1885))</f>
        <v/>
      </c>
      <c r="K1885" s="25">
        <f>IF($M1885&lt;&gt;"",IF(INDEX(CalcNoteA,$M1885)="","—",INDEX(CalcNoteA,$M1885)),IF($N1885&lt;&gt;"",IF(INDEX(CalcNoteB,$N1885)="","—",INDEX(CalcNoteB,$N1885)),""))</f>
        <v/>
      </c>
      <c r="M1885">
        <f>IFERROR(MATCH($C$5&amp;"|"&amp;RIGHT("000000"&amp;1869,6),CalcRankKeyA,0),"")</f>
        <v/>
      </c>
      <c r="N1885">
        <f>IFERROR(MATCH($C$5&amp;"|"&amp;RIGHT("000000"&amp;1869,6),CalcRankKeyB,0),"")</f>
        <v/>
      </c>
    </row>
    <row r="1886">
      <c r="A1886" s="26" t="n">
        <v>1870</v>
      </c>
      <c r="B1886" s="27">
        <f>IF(AND($M1886="",$N1886=""),"",IF($M1886&lt;&gt;"",INDEX(CalcDateA,$M1886),INDEX(CalcDateB,$N1886)))</f>
        <v/>
      </c>
      <c r="C1886" s="27">
        <f>IF($M1886&lt;&gt;"","خرید سبد",IF($N1886&lt;&gt;"",IF(N(INDEX(CalcDepB,$N1886))&gt;0,"دریافت بانکی","پرداخت بانکی"),""))</f>
        <v/>
      </c>
      <c r="D1886" s="27">
        <f>IF($M1886&lt;&gt;"",IF(INDEX(CalcDocA,$M1886)="","—",INDEX(CalcDocA,$M1886)),IF($N1886&lt;&gt;"",INDEX(CalcBankB,$N1886),""))</f>
        <v/>
      </c>
      <c r="E1886" s="28">
        <f>IF($N1886&lt;&gt;"",IF(INDEX(CalcDepB,$N1886)=0,"",INDEX(CalcDepB,$N1886)),"")</f>
        <v/>
      </c>
      <c r="F1886" s="28">
        <f>IF($M1886&lt;&gt;"",IF(INDEX(CalcQtyA,$M1886)=0,"",INDEX(CalcQtyA,$M1886)),"")</f>
        <v/>
      </c>
      <c r="G1886" s="28">
        <f>IF($M1886&lt;&gt;"",IF(INDEX(CalcPriceA,$M1886)=0,"",INDEX(CalcPriceA,$M1886)),"")</f>
        <v/>
      </c>
      <c r="H1886" s="28">
        <f>IF($N1886&lt;&gt;"",IF(INDEX(CalcWitB,$N1886)=0,"",INDEX(CalcWitB,$N1886)),"")</f>
        <v/>
      </c>
      <c r="I1886" s="29">
        <f>IF($M1886&lt;&gt;"",INDEX(CalcAmtA,$M1886),"")</f>
        <v/>
      </c>
      <c r="J1886" s="29">
        <f>IF($B1886="","",IF($J1885="",$C$8,$J1885)+IF($I1886="",0,$I1886)+IF($E1886="",0,$E1886)-IF($H1886="",0,$H1886))</f>
        <v/>
      </c>
      <c r="K1886" s="30">
        <f>IF($M1886&lt;&gt;"",IF(INDEX(CalcNoteA,$M1886)="","—",INDEX(CalcNoteA,$M1886)),IF($N1886&lt;&gt;"",IF(INDEX(CalcNoteB,$N1886)="","—",INDEX(CalcNoteB,$N1886)),""))</f>
        <v/>
      </c>
      <c r="M1886">
        <f>IFERROR(MATCH($C$5&amp;"|"&amp;RIGHT("000000"&amp;1870,6),CalcRankKeyA,0),"")</f>
        <v/>
      </c>
      <c r="N1886">
        <f>IFERROR(MATCH($C$5&amp;"|"&amp;RIGHT("000000"&amp;1870,6),CalcRankKeyB,0),"")</f>
        <v/>
      </c>
    </row>
    <row r="1887">
      <c r="A1887" s="21" t="n">
        <v>1871</v>
      </c>
      <c r="B1887" s="22">
        <f>IF(AND($M1887="",$N1887=""),"",IF($M1887&lt;&gt;"",INDEX(CalcDateA,$M1887),INDEX(CalcDateB,$N1887)))</f>
        <v/>
      </c>
      <c r="C1887" s="22">
        <f>IF($M1887&lt;&gt;"","خرید سبد",IF($N1887&lt;&gt;"",IF(N(INDEX(CalcDepB,$N1887))&gt;0,"دریافت بانکی","پرداخت بانکی"),""))</f>
        <v/>
      </c>
      <c r="D1887" s="22">
        <f>IF($M1887&lt;&gt;"",IF(INDEX(CalcDocA,$M1887)="","—",INDEX(CalcDocA,$M1887)),IF($N1887&lt;&gt;"",INDEX(CalcBankB,$N1887),""))</f>
        <v/>
      </c>
      <c r="E1887" s="23">
        <f>IF($N1887&lt;&gt;"",IF(INDEX(CalcDepB,$N1887)=0,"",INDEX(CalcDepB,$N1887)),"")</f>
        <v/>
      </c>
      <c r="F1887" s="23">
        <f>IF($M1887&lt;&gt;"",IF(INDEX(CalcQtyA,$M1887)=0,"",INDEX(CalcQtyA,$M1887)),"")</f>
        <v/>
      </c>
      <c r="G1887" s="23">
        <f>IF($M1887&lt;&gt;"",IF(INDEX(CalcPriceA,$M1887)=0,"",INDEX(CalcPriceA,$M1887)),"")</f>
        <v/>
      </c>
      <c r="H1887" s="23">
        <f>IF($N1887&lt;&gt;"",IF(INDEX(CalcWitB,$N1887)=0,"",INDEX(CalcWitB,$N1887)),"")</f>
        <v/>
      </c>
      <c r="I1887" s="24">
        <f>IF($M1887&lt;&gt;"",INDEX(CalcAmtA,$M1887),"")</f>
        <v/>
      </c>
      <c r="J1887" s="24">
        <f>IF($B1887="","",IF($J1886="",$C$8,$J1886)+IF($I1887="",0,$I1887)+IF($E1887="",0,$E1887)-IF($H1887="",0,$H1887))</f>
        <v/>
      </c>
      <c r="K1887" s="25">
        <f>IF($M1887&lt;&gt;"",IF(INDEX(CalcNoteA,$M1887)="","—",INDEX(CalcNoteA,$M1887)),IF($N1887&lt;&gt;"",IF(INDEX(CalcNoteB,$N1887)="","—",INDEX(CalcNoteB,$N1887)),""))</f>
        <v/>
      </c>
      <c r="M1887">
        <f>IFERROR(MATCH($C$5&amp;"|"&amp;RIGHT("000000"&amp;1871,6),CalcRankKeyA,0),"")</f>
        <v/>
      </c>
      <c r="N1887">
        <f>IFERROR(MATCH($C$5&amp;"|"&amp;RIGHT("000000"&amp;1871,6),CalcRankKeyB,0),"")</f>
        <v/>
      </c>
    </row>
    <row r="1888">
      <c r="A1888" s="26" t="n">
        <v>1872</v>
      </c>
      <c r="B1888" s="27">
        <f>IF(AND($M1888="",$N1888=""),"",IF($M1888&lt;&gt;"",INDEX(CalcDateA,$M1888),INDEX(CalcDateB,$N1888)))</f>
        <v/>
      </c>
      <c r="C1888" s="27">
        <f>IF($M1888&lt;&gt;"","خرید سبد",IF($N1888&lt;&gt;"",IF(N(INDEX(CalcDepB,$N1888))&gt;0,"دریافت بانکی","پرداخت بانکی"),""))</f>
        <v/>
      </c>
      <c r="D1888" s="27">
        <f>IF($M1888&lt;&gt;"",IF(INDEX(CalcDocA,$M1888)="","—",INDEX(CalcDocA,$M1888)),IF($N1888&lt;&gt;"",INDEX(CalcBankB,$N1888),""))</f>
        <v/>
      </c>
      <c r="E1888" s="28">
        <f>IF($N1888&lt;&gt;"",IF(INDEX(CalcDepB,$N1888)=0,"",INDEX(CalcDepB,$N1888)),"")</f>
        <v/>
      </c>
      <c r="F1888" s="28">
        <f>IF($M1888&lt;&gt;"",IF(INDEX(CalcQtyA,$M1888)=0,"",INDEX(CalcQtyA,$M1888)),"")</f>
        <v/>
      </c>
      <c r="G1888" s="28">
        <f>IF($M1888&lt;&gt;"",IF(INDEX(CalcPriceA,$M1888)=0,"",INDEX(CalcPriceA,$M1888)),"")</f>
        <v/>
      </c>
      <c r="H1888" s="28">
        <f>IF($N1888&lt;&gt;"",IF(INDEX(CalcWitB,$N1888)=0,"",INDEX(CalcWitB,$N1888)),"")</f>
        <v/>
      </c>
      <c r="I1888" s="29">
        <f>IF($M1888&lt;&gt;"",INDEX(CalcAmtA,$M1888),"")</f>
        <v/>
      </c>
      <c r="J1888" s="29">
        <f>IF($B1888="","",IF($J1887="",$C$8,$J1887)+IF($I1888="",0,$I1888)+IF($E1888="",0,$E1888)-IF($H1888="",0,$H1888))</f>
        <v/>
      </c>
      <c r="K1888" s="30">
        <f>IF($M1888&lt;&gt;"",IF(INDEX(CalcNoteA,$M1888)="","—",INDEX(CalcNoteA,$M1888)),IF($N1888&lt;&gt;"",IF(INDEX(CalcNoteB,$N1888)="","—",INDEX(CalcNoteB,$N1888)),""))</f>
        <v/>
      </c>
      <c r="M1888">
        <f>IFERROR(MATCH($C$5&amp;"|"&amp;RIGHT("000000"&amp;1872,6),CalcRankKeyA,0),"")</f>
        <v/>
      </c>
      <c r="N1888">
        <f>IFERROR(MATCH($C$5&amp;"|"&amp;RIGHT("000000"&amp;1872,6),CalcRankKeyB,0),"")</f>
        <v/>
      </c>
    </row>
    <row r="1889">
      <c r="A1889" s="21" t="n">
        <v>1873</v>
      </c>
      <c r="B1889" s="22">
        <f>IF(AND($M1889="",$N1889=""),"",IF($M1889&lt;&gt;"",INDEX(CalcDateA,$M1889),INDEX(CalcDateB,$N1889)))</f>
        <v/>
      </c>
      <c r="C1889" s="22">
        <f>IF($M1889&lt;&gt;"","خرید سبد",IF($N1889&lt;&gt;"",IF(N(INDEX(CalcDepB,$N1889))&gt;0,"دریافت بانکی","پرداخت بانکی"),""))</f>
        <v/>
      </c>
      <c r="D1889" s="22">
        <f>IF($M1889&lt;&gt;"",IF(INDEX(CalcDocA,$M1889)="","—",INDEX(CalcDocA,$M1889)),IF($N1889&lt;&gt;"",INDEX(CalcBankB,$N1889),""))</f>
        <v/>
      </c>
      <c r="E1889" s="23">
        <f>IF($N1889&lt;&gt;"",IF(INDEX(CalcDepB,$N1889)=0,"",INDEX(CalcDepB,$N1889)),"")</f>
        <v/>
      </c>
      <c r="F1889" s="23">
        <f>IF($M1889&lt;&gt;"",IF(INDEX(CalcQtyA,$M1889)=0,"",INDEX(CalcQtyA,$M1889)),"")</f>
        <v/>
      </c>
      <c r="G1889" s="23">
        <f>IF($M1889&lt;&gt;"",IF(INDEX(CalcPriceA,$M1889)=0,"",INDEX(CalcPriceA,$M1889)),"")</f>
        <v/>
      </c>
      <c r="H1889" s="23">
        <f>IF($N1889&lt;&gt;"",IF(INDEX(CalcWitB,$N1889)=0,"",INDEX(CalcWitB,$N1889)),"")</f>
        <v/>
      </c>
      <c r="I1889" s="24">
        <f>IF($M1889&lt;&gt;"",INDEX(CalcAmtA,$M1889),"")</f>
        <v/>
      </c>
      <c r="J1889" s="24">
        <f>IF($B1889="","",IF($J1888="",$C$8,$J1888)+IF($I1889="",0,$I1889)+IF($E1889="",0,$E1889)-IF($H1889="",0,$H1889))</f>
        <v/>
      </c>
      <c r="K1889" s="25">
        <f>IF($M1889&lt;&gt;"",IF(INDEX(CalcNoteA,$M1889)="","—",INDEX(CalcNoteA,$M1889)),IF($N1889&lt;&gt;"",IF(INDEX(CalcNoteB,$N1889)="","—",INDEX(CalcNoteB,$N1889)),""))</f>
        <v/>
      </c>
      <c r="M1889">
        <f>IFERROR(MATCH($C$5&amp;"|"&amp;RIGHT("000000"&amp;1873,6),CalcRankKeyA,0),"")</f>
        <v/>
      </c>
      <c r="N1889">
        <f>IFERROR(MATCH($C$5&amp;"|"&amp;RIGHT("000000"&amp;1873,6),CalcRankKeyB,0),"")</f>
        <v/>
      </c>
    </row>
    <row r="1890">
      <c r="A1890" s="26" t="n">
        <v>1874</v>
      </c>
      <c r="B1890" s="27">
        <f>IF(AND($M1890="",$N1890=""),"",IF($M1890&lt;&gt;"",INDEX(CalcDateA,$M1890),INDEX(CalcDateB,$N1890)))</f>
        <v/>
      </c>
      <c r="C1890" s="27">
        <f>IF($M1890&lt;&gt;"","خرید سبد",IF($N1890&lt;&gt;"",IF(N(INDEX(CalcDepB,$N1890))&gt;0,"دریافت بانکی","پرداخت بانکی"),""))</f>
        <v/>
      </c>
      <c r="D1890" s="27">
        <f>IF($M1890&lt;&gt;"",IF(INDEX(CalcDocA,$M1890)="","—",INDEX(CalcDocA,$M1890)),IF($N1890&lt;&gt;"",INDEX(CalcBankB,$N1890),""))</f>
        <v/>
      </c>
      <c r="E1890" s="28">
        <f>IF($N1890&lt;&gt;"",IF(INDEX(CalcDepB,$N1890)=0,"",INDEX(CalcDepB,$N1890)),"")</f>
        <v/>
      </c>
      <c r="F1890" s="28">
        <f>IF($M1890&lt;&gt;"",IF(INDEX(CalcQtyA,$M1890)=0,"",INDEX(CalcQtyA,$M1890)),"")</f>
        <v/>
      </c>
      <c r="G1890" s="28">
        <f>IF($M1890&lt;&gt;"",IF(INDEX(CalcPriceA,$M1890)=0,"",INDEX(CalcPriceA,$M1890)),"")</f>
        <v/>
      </c>
      <c r="H1890" s="28">
        <f>IF($N1890&lt;&gt;"",IF(INDEX(CalcWitB,$N1890)=0,"",INDEX(CalcWitB,$N1890)),"")</f>
        <v/>
      </c>
      <c r="I1890" s="29">
        <f>IF($M1890&lt;&gt;"",INDEX(CalcAmtA,$M1890),"")</f>
        <v/>
      </c>
      <c r="J1890" s="29">
        <f>IF($B1890="","",IF($J1889="",$C$8,$J1889)+IF($I1890="",0,$I1890)+IF($E1890="",0,$E1890)-IF($H1890="",0,$H1890))</f>
        <v/>
      </c>
      <c r="K1890" s="30">
        <f>IF($M1890&lt;&gt;"",IF(INDEX(CalcNoteA,$M1890)="","—",INDEX(CalcNoteA,$M1890)),IF($N1890&lt;&gt;"",IF(INDEX(CalcNoteB,$N1890)="","—",INDEX(CalcNoteB,$N1890)),""))</f>
        <v/>
      </c>
      <c r="M1890">
        <f>IFERROR(MATCH($C$5&amp;"|"&amp;RIGHT("000000"&amp;1874,6),CalcRankKeyA,0),"")</f>
        <v/>
      </c>
      <c r="N1890">
        <f>IFERROR(MATCH($C$5&amp;"|"&amp;RIGHT("000000"&amp;1874,6),CalcRankKeyB,0),"")</f>
        <v/>
      </c>
    </row>
    <row r="1891">
      <c r="A1891" s="21" t="n">
        <v>1875</v>
      </c>
      <c r="B1891" s="22">
        <f>IF(AND($M1891="",$N1891=""),"",IF($M1891&lt;&gt;"",INDEX(CalcDateA,$M1891),INDEX(CalcDateB,$N1891)))</f>
        <v/>
      </c>
      <c r="C1891" s="22">
        <f>IF($M1891&lt;&gt;"","خرید سبد",IF($N1891&lt;&gt;"",IF(N(INDEX(CalcDepB,$N1891))&gt;0,"دریافت بانکی","پرداخت بانکی"),""))</f>
        <v/>
      </c>
      <c r="D1891" s="22">
        <f>IF($M1891&lt;&gt;"",IF(INDEX(CalcDocA,$M1891)="","—",INDEX(CalcDocA,$M1891)),IF($N1891&lt;&gt;"",INDEX(CalcBankB,$N1891),""))</f>
        <v/>
      </c>
      <c r="E1891" s="23">
        <f>IF($N1891&lt;&gt;"",IF(INDEX(CalcDepB,$N1891)=0,"",INDEX(CalcDepB,$N1891)),"")</f>
        <v/>
      </c>
      <c r="F1891" s="23">
        <f>IF($M1891&lt;&gt;"",IF(INDEX(CalcQtyA,$M1891)=0,"",INDEX(CalcQtyA,$M1891)),"")</f>
        <v/>
      </c>
      <c r="G1891" s="23">
        <f>IF($M1891&lt;&gt;"",IF(INDEX(CalcPriceA,$M1891)=0,"",INDEX(CalcPriceA,$M1891)),"")</f>
        <v/>
      </c>
      <c r="H1891" s="23">
        <f>IF($N1891&lt;&gt;"",IF(INDEX(CalcWitB,$N1891)=0,"",INDEX(CalcWitB,$N1891)),"")</f>
        <v/>
      </c>
      <c r="I1891" s="24">
        <f>IF($M1891&lt;&gt;"",INDEX(CalcAmtA,$M1891),"")</f>
        <v/>
      </c>
      <c r="J1891" s="24">
        <f>IF($B1891="","",IF($J1890="",$C$8,$J1890)+IF($I1891="",0,$I1891)+IF($E1891="",0,$E1891)-IF($H1891="",0,$H1891))</f>
        <v/>
      </c>
      <c r="K1891" s="25">
        <f>IF($M1891&lt;&gt;"",IF(INDEX(CalcNoteA,$M1891)="","—",INDEX(CalcNoteA,$M1891)),IF($N1891&lt;&gt;"",IF(INDEX(CalcNoteB,$N1891)="","—",INDEX(CalcNoteB,$N1891)),""))</f>
        <v/>
      </c>
      <c r="M1891">
        <f>IFERROR(MATCH($C$5&amp;"|"&amp;RIGHT("000000"&amp;1875,6),CalcRankKeyA,0),"")</f>
        <v/>
      </c>
      <c r="N1891">
        <f>IFERROR(MATCH($C$5&amp;"|"&amp;RIGHT("000000"&amp;1875,6),CalcRankKeyB,0),"")</f>
        <v/>
      </c>
    </row>
    <row r="1892">
      <c r="A1892" s="26" t="n">
        <v>1876</v>
      </c>
      <c r="B1892" s="27">
        <f>IF(AND($M1892="",$N1892=""),"",IF($M1892&lt;&gt;"",INDEX(CalcDateA,$M1892),INDEX(CalcDateB,$N1892)))</f>
        <v/>
      </c>
      <c r="C1892" s="27">
        <f>IF($M1892&lt;&gt;"","خرید سبد",IF($N1892&lt;&gt;"",IF(N(INDEX(CalcDepB,$N1892))&gt;0,"دریافت بانکی","پرداخت بانکی"),""))</f>
        <v/>
      </c>
      <c r="D1892" s="27">
        <f>IF($M1892&lt;&gt;"",IF(INDEX(CalcDocA,$M1892)="","—",INDEX(CalcDocA,$M1892)),IF($N1892&lt;&gt;"",INDEX(CalcBankB,$N1892),""))</f>
        <v/>
      </c>
      <c r="E1892" s="28">
        <f>IF($N1892&lt;&gt;"",IF(INDEX(CalcDepB,$N1892)=0,"",INDEX(CalcDepB,$N1892)),"")</f>
        <v/>
      </c>
      <c r="F1892" s="28">
        <f>IF($M1892&lt;&gt;"",IF(INDEX(CalcQtyA,$M1892)=0,"",INDEX(CalcQtyA,$M1892)),"")</f>
        <v/>
      </c>
      <c r="G1892" s="28">
        <f>IF($M1892&lt;&gt;"",IF(INDEX(CalcPriceA,$M1892)=0,"",INDEX(CalcPriceA,$M1892)),"")</f>
        <v/>
      </c>
      <c r="H1892" s="28">
        <f>IF($N1892&lt;&gt;"",IF(INDEX(CalcWitB,$N1892)=0,"",INDEX(CalcWitB,$N1892)),"")</f>
        <v/>
      </c>
      <c r="I1892" s="29">
        <f>IF($M1892&lt;&gt;"",INDEX(CalcAmtA,$M1892),"")</f>
        <v/>
      </c>
      <c r="J1892" s="29">
        <f>IF($B1892="","",IF($J1891="",$C$8,$J1891)+IF($I1892="",0,$I1892)+IF($E1892="",0,$E1892)-IF($H1892="",0,$H1892))</f>
        <v/>
      </c>
      <c r="K1892" s="30">
        <f>IF($M1892&lt;&gt;"",IF(INDEX(CalcNoteA,$M1892)="","—",INDEX(CalcNoteA,$M1892)),IF($N1892&lt;&gt;"",IF(INDEX(CalcNoteB,$N1892)="","—",INDEX(CalcNoteB,$N1892)),""))</f>
        <v/>
      </c>
      <c r="M1892">
        <f>IFERROR(MATCH($C$5&amp;"|"&amp;RIGHT("000000"&amp;1876,6),CalcRankKeyA,0),"")</f>
        <v/>
      </c>
      <c r="N1892">
        <f>IFERROR(MATCH($C$5&amp;"|"&amp;RIGHT("000000"&amp;1876,6),CalcRankKeyB,0),"")</f>
        <v/>
      </c>
    </row>
    <row r="1893">
      <c r="A1893" s="21" t="n">
        <v>1877</v>
      </c>
      <c r="B1893" s="22">
        <f>IF(AND($M1893="",$N1893=""),"",IF($M1893&lt;&gt;"",INDEX(CalcDateA,$M1893),INDEX(CalcDateB,$N1893)))</f>
        <v/>
      </c>
      <c r="C1893" s="22">
        <f>IF($M1893&lt;&gt;"","خرید سبد",IF($N1893&lt;&gt;"",IF(N(INDEX(CalcDepB,$N1893))&gt;0,"دریافت بانکی","پرداخت بانکی"),""))</f>
        <v/>
      </c>
      <c r="D1893" s="22">
        <f>IF($M1893&lt;&gt;"",IF(INDEX(CalcDocA,$M1893)="","—",INDEX(CalcDocA,$M1893)),IF($N1893&lt;&gt;"",INDEX(CalcBankB,$N1893),""))</f>
        <v/>
      </c>
      <c r="E1893" s="23">
        <f>IF($N1893&lt;&gt;"",IF(INDEX(CalcDepB,$N1893)=0,"",INDEX(CalcDepB,$N1893)),"")</f>
        <v/>
      </c>
      <c r="F1893" s="23">
        <f>IF($M1893&lt;&gt;"",IF(INDEX(CalcQtyA,$M1893)=0,"",INDEX(CalcQtyA,$M1893)),"")</f>
        <v/>
      </c>
      <c r="G1893" s="23">
        <f>IF($M1893&lt;&gt;"",IF(INDEX(CalcPriceA,$M1893)=0,"",INDEX(CalcPriceA,$M1893)),"")</f>
        <v/>
      </c>
      <c r="H1893" s="23">
        <f>IF($N1893&lt;&gt;"",IF(INDEX(CalcWitB,$N1893)=0,"",INDEX(CalcWitB,$N1893)),"")</f>
        <v/>
      </c>
      <c r="I1893" s="24">
        <f>IF($M1893&lt;&gt;"",INDEX(CalcAmtA,$M1893),"")</f>
        <v/>
      </c>
      <c r="J1893" s="24">
        <f>IF($B1893="","",IF($J1892="",$C$8,$J1892)+IF($I1893="",0,$I1893)+IF($E1893="",0,$E1893)-IF($H1893="",0,$H1893))</f>
        <v/>
      </c>
      <c r="K1893" s="25">
        <f>IF($M1893&lt;&gt;"",IF(INDEX(CalcNoteA,$M1893)="","—",INDEX(CalcNoteA,$M1893)),IF($N1893&lt;&gt;"",IF(INDEX(CalcNoteB,$N1893)="","—",INDEX(CalcNoteB,$N1893)),""))</f>
        <v/>
      </c>
      <c r="M1893">
        <f>IFERROR(MATCH($C$5&amp;"|"&amp;RIGHT("000000"&amp;1877,6),CalcRankKeyA,0),"")</f>
        <v/>
      </c>
      <c r="N1893">
        <f>IFERROR(MATCH($C$5&amp;"|"&amp;RIGHT("000000"&amp;1877,6),CalcRankKeyB,0),"")</f>
        <v/>
      </c>
    </row>
    <row r="1894">
      <c r="A1894" s="26" t="n">
        <v>1878</v>
      </c>
      <c r="B1894" s="27">
        <f>IF(AND($M1894="",$N1894=""),"",IF($M1894&lt;&gt;"",INDEX(CalcDateA,$M1894),INDEX(CalcDateB,$N1894)))</f>
        <v/>
      </c>
      <c r="C1894" s="27">
        <f>IF($M1894&lt;&gt;"","خرید سبد",IF($N1894&lt;&gt;"",IF(N(INDEX(CalcDepB,$N1894))&gt;0,"دریافت بانکی","پرداخت بانکی"),""))</f>
        <v/>
      </c>
      <c r="D1894" s="27">
        <f>IF($M1894&lt;&gt;"",IF(INDEX(CalcDocA,$M1894)="","—",INDEX(CalcDocA,$M1894)),IF($N1894&lt;&gt;"",INDEX(CalcBankB,$N1894),""))</f>
        <v/>
      </c>
      <c r="E1894" s="28">
        <f>IF($N1894&lt;&gt;"",IF(INDEX(CalcDepB,$N1894)=0,"",INDEX(CalcDepB,$N1894)),"")</f>
        <v/>
      </c>
      <c r="F1894" s="28">
        <f>IF($M1894&lt;&gt;"",IF(INDEX(CalcQtyA,$M1894)=0,"",INDEX(CalcQtyA,$M1894)),"")</f>
        <v/>
      </c>
      <c r="G1894" s="28">
        <f>IF($M1894&lt;&gt;"",IF(INDEX(CalcPriceA,$M1894)=0,"",INDEX(CalcPriceA,$M1894)),"")</f>
        <v/>
      </c>
      <c r="H1894" s="28">
        <f>IF($N1894&lt;&gt;"",IF(INDEX(CalcWitB,$N1894)=0,"",INDEX(CalcWitB,$N1894)),"")</f>
        <v/>
      </c>
      <c r="I1894" s="29">
        <f>IF($M1894&lt;&gt;"",INDEX(CalcAmtA,$M1894),"")</f>
        <v/>
      </c>
      <c r="J1894" s="29">
        <f>IF($B1894="","",IF($J1893="",$C$8,$J1893)+IF($I1894="",0,$I1894)+IF($E1894="",0,$E1894)-IF($H1894="",0,$H1894))</f>
        <v/>
      </c>
      <c r="K1894" s="30">
        <f>IF($M1894&lt;&gt;"",IF(INDEX(CalcNoteA,$M1894)="","—",INDEX(CalcNoteA,$M1894)),IF($N1894&lt;&gt;"",IF(INDEX(CalcNoteB,$N1894)="","—",INDEX(CalcNoteB,$N1894)),""))</f>
        <v/>
      </c>
      <c r="M1894">
        <f>IFERROR(MATCH($C$5&amp;"|"&amp;RIGHT("000000"&amp;1878,6),CalcRankKeyA,0),"")</f>
        <v/>
      </c>
      <c r="N1894">
        <f>IFERROR(MATCH($C$5&amp;"|"&amp;RIGHT("000000"&amp;1878,6),CalcRankKeyB,0),"")</f>
        <v/>
      </c>
    </row>
    <row r="1895">
      <c r="A1895" s="21" t="n">
        <v>1879</v>
      </c>
      <c r="B1895" s="22">
        <f>IF(AND($M1895="",$N1895=""),"",IF($M1895&lt;&gt;"",INDEX(CalcDateA,$M1895),INDEX(CalcDateB,$N1895)))</f>
        <v/>
      </c>
      <c r="C1895" s="22">
        <f>IF($M1895&lt;&gt;"","خرید سبد",IF($N1895&lt;&gt;"",IF(N(INDEX(CalcDepB,$N1895))&gt;0,"دریافت بانکی","پرداخت بانکی"),""))</f>
        <v/>
      </c>
      <c r="D1895" s="22">
        <f>IF($M1895&lt;&gt;"",IF(INDEX(CalcDocA,$M1895)="","—",INDEX(CalcDocA,$M1895)),IF($N1895&lt;&gt;"",INDEX(CalcBankB,$N1895),""))</f>
        <v/>
      </c>
      <c r="E1895" s="23">
        <f>IF($N1895&lt;&gt;"",IF(INDEX(CalcDepB,$N1895)=0,"",INDEX(CalcDepB,$N1895)),"")</f>
        <v/>
      </c>
      <c r="F1895" s="23">
        <f>IF($M1895&lt;&gt;"",IF(INDEX(CalcQtyA,$M1895)=0,"",INDEX(CalcQtyA,$M1895)),"")</f>
        <v/>
      </c>
      <c r="G1895" s="23">
        <f>IF($M1895&lt;&gt;"",IF(INDEX(CalcPriceA,$M1895)=0,"",INDEX(CalcPriceA,$M1895)),"")</f>
        <v/>
      </c>
      <c r="H1895" s="23">
        <f>IF($N1895&lt;&gt;"",IF(INDEX(CalcWitB,$N1895)=0,"",INDEX(CalcWitB,$N1895)),"")</f>
        <v/>
      </c>
      <c r="I1895" s="24">
        <f>IF($M1895&lt;&gt;"",INDEX(CalcAmtA,$M1895),"")</f>
        <v/>
      </c>
      <c r="J1895" s="24">
        <f>IF($B1895="","",IF($J1894="",$C$8,$J1894)+IF($I1895="",0,$I1895)+IF($E1895="",0,$E1895)-IF($H1895="",0,$H1895))</f>
        <v/>
      </c>
      <c r="K1895" s="25">
        <f>IF($M1895&lt;&gt;"",IF(INDEX(CalcNoteA,$M1895)="","—",INDEX(CalcNoteA,$M1895)),IF($N1895&lt;&gt;"",IF(INDEX(CalcNoteB,$N1895)="","—",INDEX(CalcNoteB,$N1895)),""))</f>
        <v/>
      </c>
      <c r="M1895">
        <f>IFERROR(MATCH($C$5&amp;"|"&amp;RIGHT("000000"&amp;1879,6),CalcRankKeyA,0),"")</f>
        <v/>
      </c>
      <c r="N1895">
        <f>IFERROR(MATCH($C$5&amp;"|"&amp;RIGHT("000000"&amp;1879,6),CalcRankKeyB,0),"")</f>
        <v/>
      </c>
    </row>
    <row r="1896">
      <c r="A1896" s="26" t="n">
        <v>1880</v>
      </c>
      <c r="B1896" s="27">
        <f>IF(AND($M1896="",$N1896=""),"",IF($M1896&lt;&gt;"",INDEX(CalcDateA,$M1896),INDEX(CalcDateB,$N1896)))</f>
        <v/>
      </c>
      <c r="C1896" s="27">
        <f>IF($M1896&lt;&gt;"","خرید سبد",IF($N1896&lt;&gt;"",IF(N(INDEX(CalcDepB,$N1896))&gt;0,"دریافت بانکی","پرداخت بانکی"),""))</f>
        <v/>
      </c>
      <c r="D1896" s="27">
        <f>IF($M1896&lt;&gt;"",IF(INDEX(CalcDocA,$M1896)="","—",INDEX(CalcDocA,$M1896)),IF($N1896&lt;&gt;"",INDEX(CalcBankB,$N1896),""))</f>
        <v/>
      </c>
      <c r="E1896" s="28">
        <f>IF($N1896&lt;&gt;"",IF(INDEX(CalcDepB,$N1896)=0,"",INDEX(CalcDepB,$N1896)),"")</f>
        <v/>
      </c>
      <c r="F1896" s="28">
        <f>IF($M1896&lt;&gt;"",IF(INDEX(CalcQtyA,$M1896)=0,"",INDEX(CalcQtyA,$M1896)),"")</f>
        <v/>
      </c>
      <c r="G1896" s="28">
        <f>IF($M1896&lt;&gt;"",IF(INDEX(CalcPriceA,$M1896)=0,"",INDEX(CalcPriceA,$M1896)),"")</f>
        <v/>
      </c>
      <c r="H1896" s="28">
        <f>IF($N1896&lt;&gt;"",IF(INDEX(CalcWitB,$N1896)=0,"",INDEX(CalcWitB,$N1896)),"")</f>
        <v/>
      </c>
      <c r="I1896" s="29">
        <f>IF($M1896&lt;&gt;"",INDEX(CalcAmtA,$M1896),"")</f>
        <v/>
      </c>
      <c r="J1896" s="29">
        <f>IF($B1896="","",IF($J1895="",$C$8,$J1895)+IF($I1896="",0,$I1896)+IF($E1896="",0,$E1896)-IF($H1896="",0,$H1896))</f>
        <v/>
      </c>
      <c r="K1896" s="30">
        <f>IF($M1896&lt;&gt;"",IF(INDEX(CalcNoteA,$M1896)="","—",INDEX(CalcNoteA,$M1896)),IF($N1896&lt;&gt;"",IF(INDEX(CalcNoteB,$N1896)="","—",INDEX(CalcNoteB,$N1896)),""))</f>
        <v/>
      </c>
      <c r="M1896">
        <f>IFERROR(MATCH($C$5&amp;"|"&amp;RIGHT("000000"&amp;1880,6),CalcRankKeyA,0),"")</f>
        <v/>
      </c>
      <c r="N1896">
        <f>IFERROR(MATCH($C$5&amp;"|"&amp;RIGHT("000000"&amp;1880,6),CalcRankKeyB,0),"")</f>
        <v/>
      </c>
    </row>
    <row r="1897">
      <c r="A1897" s="21" t="n">
        <v>1881</v>
      </c>
      <c r="B1897" s="22">
        <f>IF(AND($M1897="",$N1897=""),"",IF($M1897&lt;&gt;"",INDEX(CalcDateA,$M1897),INDEX(CalcDateB,$N1897)))</f>
        <v/>
      </c>
      <c r="C1897" s="22">
        <f>IF($M1897&lt;&gt;"","خرید سبد",IF($N1897&lt;&gt;"",IF(N(INDEX(CalcDepB,$N1897))&gt;0,"دریافت بانکی","پرداخت بانکی"),""))</f>
        <v/>
      </c>
      <c r="D1897" s="22">
        <f>IF($M1897&lt;&gt;"",IF(INDEX(CalcDocA,$M1897)="","—",INDEX(CalcDocA,$M1897)),IF($N1897&lt;&gt;"",INDEX(CalcBankB,$N1897),""))</f>
        <v/>
      </c>
      <c r="E1897" s="23">
        <f>IF($N1897&lt;&gt;"",IF(INDEX(CalcDepB,$N1897)=0,"",INDEX(CalcDepB,$N1897)),"")</f>
        <v/>
      </c>
      <c r="F1897" s="23">
        <f>IF($M1897&lt;&gt;"",IF(INDEX(CalcQtyA,$M1897)=0,"",INDEX(CalcQtyA,$M1897)),"")</f>
        <v/>
      </c>
      <c r="G1897" s="23">
        <f>IF($M1897&lt;&gt;"",IF(INDEX(CalcPriceA,$M1897)=0,"",INDEX(CalcPriceA,$M1897)),"")</f>
        <v/>
      </c>
      <c r="H1897" s="23">
        <f>IF($N1897&lt;&gt;"",IF(INDEX(CalcWitB,$N1897)=0,"",INDEX(CalcWitB,$N1897)),"")</f>
        <v/>
      </c>
      <c r="I1897" s="24">
        <f>IF($M1897&lt;&gt;"",INDEX(CalcAmtA,$M1897),"")</f>
        <v/>
      </c>
      <c r="J1897" s="24">
        <f>IF($B1897="","",IF($J1896="",$C$8,$J1896)+IF($I1897="",0,$I1897)+IF($E1897="",0,$E1897)-IF($H1897="",0,$H1897))</f>
        <v/>
      </c>
      <c r="K1897" s="25">
        <f>IF($M1897&lt;&gt;"",IF(INDEX(CalcNoteA,$M1897)="","—",INDEX(CalcNoteA,$M1897)),IF($N1897&lt;&gt;"",IF(INDEX(CalcNoteB,$N1897)="","—",INDEX(CalcNoteB,$N1897)),""))</f>
        <v/>
      </c>
      <c r="M1897">
        <f>IFERROR(MATCH($C$5&amp;"|"&amp;RIGHT("000000"&amp;1881,6),CalcRankKeyA,0),"")</f>
        <v/>
      </c>
      <c r="N1897">
        <f>IFERROR(MATCH($C$5&amp;"|"&amp;RIGHT("000000"&amp;1881,6),CalcRankKeyB,0),"")</f>
        <v/>
      </c>
    </row>
    <row r="1898">
      <c r="A1898" s="26" t="n">
        <v>1882</v>
      </c>
      <c r="B1898" s="27">
        <f>IF(AND($M1898="",$N1898=""),"",IF($M1898&lt;&gt;"",INDEX(CalcDateA,$M1898),INDEX(CalcDateB,$N1898)))</f>
        <v/>
      </c>
      <c r="C1898" s="27">
        <f>IF($M1898&lt;&gt;"","خرید سبد",IF($N1898&lt;&gt;"",IF(N(INDEX(CalcDepB,$N1898))&gt;0,"دریافت بانکی","پرداخت بانکی"),""))</f>
        <v/>
      </c>
      <c r="D1898" s="27">
        <f>IF($M1898&lt;&gt;"",IF(INDEX(CalcDocA,$M1898)="","—",INDEX(CalcDocA,$M1898)),IF($N1898&lt;&gt;"",INDEX(CalcBankB,$N1898),""))</f>
        <v/>
      </c>
      <c r="E1898" s="28">
        <f>IF($N1898&lt;&gt;"",IF(INDEX(CalcDepB,$N1898)=0,"",INDEX(CalcDepB,$N1898)),"")</f>
        <v/>
      </c>
      <c r="F1898" s="28">
        <f>IF($M1898&lt;&gt;"",IF(INDEX(CalcQtyA,$M1898)=0,"",INDEX(CalcQtyA,$M1898)),"")</f>
        <v/>
      </c>
      <c r="G1898" s="28">
        <f>IF($M1898&lt;&gt;"",IF(INDEX(CalcPriceA,$M1898)=0,"",INDEX(CalcPriceA,$M1898)),"")</f>
        <v/>
      </c>
      <c r="H1898" s="28">
        <f>IF($N1898&lt;&gt;"",IF(INDEX(CalcWitB,$N1898)=0,"",INDEX(CalcWitB,$N1898)),"")</f>
        <v/>
      </c>
      <c r="I1898" s="29">
        <f>IF($M1898&lt;&gt;"",INDEX(CalcAmtA,$M1898),"")</f>
        <v/>
      </c>
      <c r="J1898" s="29">
        <f>IF($B1898="","",IF($J1897="",$C$8,$J1897)+IF($I1898="",0,$I1898)+IF($E1898="",0,$E1898)-IF($H1898="",0,$H1898))</f>
        <v/>
      </c>
      <c r="K1898" s="30">
        <f>IF($M1898&lt;&gt;"",IF(INDEX(CalcNoteA,$M1898)="","—",INDEX(CalcNoteA,$M1898)),IF($N1898&lt;&gt;"",IF(INDEX(CalcNoteB,$N1898)="","—",INDEX(CalcNoteB,$N1898)),""))</f>
        <v/>
      </c>
      <c r="M1898">
        <f>IFERROR(MATCH($C$5&amp;"|"&amp;RIGHT("000000"&amp;1882,6),CalcRankKeyA,0),"")</f>
        <v/>
      </c>
      <c r="N1898">
        <f>IFERROR(MATCH($C$5&amp;"|"&amp;RIGHT("000000"&amp;1882,6),CalcRankKeyB,0),"")</f>
        <v/>
      </c>
    </row>
    <row r="1899">
      <c r="A1899" s="21" t="n">
        <v>1883</v>
      </c>
      <c r="B1899" s="22">
        <f>IF(AND($M1899="",$N1899=""),"",IF($M1899&lt;&gt;"",INDEX(CalcDateA,$M1899),INDEX(CalcDateB,$N1899)))</f>
        <v/>
      </c>
      <c r="C1899" s="22">
        <f>IF($M1899&lt;&gt;"","خرید سبد",IF($N1899&lt;&gt;"",IF(N(INDEX(CalcDepB,$N1899))&gt;0,"دریافت بانکی","پرداخت بانکی"),""))</f>
        <v/>
      </c>
      <c r="D1899" s="22">
        <f>IF($M1899&lt;&gt;"",IF(INDEX(CalcDocA,$M1899)="","—",INDEX(CalcDocA,$M1899)),IF($N1899&lt;&gt;"",INDEX(CalcBankB,$N1899),""))</f>
        <v/>
      </c>
      <c r="E1899" s="23">
        <f>IF($N1899&lt;&gt;"",IF(INDEX(CalcDepB,$N1899)=0,"",INDEX(CalcDepB,$N1899)),"")</f>
        <v/>
      </c>
      <c r="F1899" s="23">
        <f>IF($M1899&lt;&gt;"",IF(INDEX(CalcQtyA,$M1899)=0,"",INDEX(CalcQtyA,$M1899)),"")</f>
        <v/>
      </c>
      <c r="G1899" s="23">
        <f>IF($M1899&lt;&gt;"",IF(INDEX(CalcPriceA,$M1899)=0,"",INDEX(CalcPriceA,$M1899)),"")</f>
        <v/>
      </c>
      <c r="H1899" s="23">
        <f>IF($N1899&lt;&gt;"",IF(INDEX(CalcWitB,$N1899)=0,"",INDEX(CalcWitB,$N1899)),"")</f>
        <v/>
      </c>
      <c r="I1899" s="24">
        <f>IF($M1899&lt;&gt;"",INDEX(CalcAmtA,$M1899),"")</f>
        <v/>
      </c>
      <c r="J1899" s="24">
        <f>IF($B1899="","",IF($J1898="",$C$8,$J1898)+IF($I1899="",0,$I1899)+IF($E1899="",0,$E1899)-IF($H1899="",0,$H1899))</f>
        <v/>
      </c>
      <c r="K1899" s="25">
        <f>IF($M1899&lt;&gt;"",IF(INDEX(CalcNoteA,$M1899)="","—",INDEX(CalcNoteA,$M1899)),IF($N1899&lt;&gt;"",IF(INDEX(CalcNoteB,$N1899)="","—",INDEX(CalcNoteB,$N1899)),""))</f>
        <v/>
      </c>
      <c r="M1899">
        <f>IFERROR(MATCH($C$5&amp;"|"&amp;RIGHT("000000"&amp;1883,6),CalcRankKeyA,0),"")</f>
        <v/>
      </c>
      <c r="N1899">
        <f>IFERROR(MATCH($C$5&amp;"|"&amp;RIGHT("000000"&amp;1883,6),CalcRankKeyB,0),"")</f>
        <v/>
      </c>
    </row>
    <row r="1900">
      <c r="A1900" s="26" t="n">
        <v>1884</v>
      </c>
      <c r="B1900" s="27">
        <f>IF(AND($M1900="",$N1900=""),"",IF($M1900&lt;&gt;"",INDEX(CalcDateA,$M1900),INDEX(CalcDateB,$N1900)))</f>
        <v/>
      </c>
      <c r="C1900" s="27">
        <f>IF($M1900&lt;&gt;"","خرید سبد",IF($N1900&lt;&gt;"",IF(N(INDEX(CalcDepB,$N1900))&gt;0,"دریافت بانکی","پرداخت بانکی"),""))</f>
        <v/>
      </c>
      <c r="D1900" s="27">
        <f>IF($M1900&lt;&gt;"",IF(INDEX(CalcDocA,$M1900)="","—",INDEX(CalcDocA,$M1900)),IF($N1900&lt;&gt;"",INDEX(CalcBankB,$N1900),""))</f>
        <v/>
      </c>
      <c r="E1900" s="28">
        <f>IF($N1900&lt;&gt;"",IF(INDEX(CalcDepB,$N1900)=0,"",INDEX(CalcDepB,$N1900)),"")</f>
        <v/>
      </c>
      <c r="F1900" s="28">
        <f>IF($M1900&lt;&gt;"",IF(INDEX(CalcQtyA,$M1900)=0,"",INDEX(CalcQtyA,$M1900)),"")</f>
        <v/>
      </c>
      <c r="G1900" s="28">
        <f>IF($M1900&lt;&gt;"",IF(INDEX(CalcPriceA,$M1900)=0,"",INDEX(CalcPriceA,$M1900)),"")</f>
        <v/>
      </c>
      <c r="H1900" s="28">
        <f>IF($N1900&lt;&gt;"",IF(INDEX(CalcWitB,$N1900)=0,"",INDEX(CalcWitB,$N1900)),"")</f>
        <v/>
      </c>
      <c r="I1900" s="29">
        <f>IF($M1900&lt;&gt;"",INDEX(CalcAmtA,$M1900),"")</f>
        <v/>
      </c>
      <c r="J1900" s="29">
        <f>IF($B1900="","",IF($J1899="",$C$8,$J1899)+IF($I1900="",0,$I1900)+IF($E1900="",0,$E1900)-IF($H1900="",0,$H1900))</f>
        <v/>
      </c>
      <c r="K1900" s="30">
        <f>IF($M1900&lt;&gt;"",IF(INDEX(CalcNoteA,$M1900)="","—",INDEX(CalcNoteA,$M1900)),IF($N1900&lt;&gt;"",IF(INDEX(CalcNoteB,$N1900)="","—",INDEX(CalcNoteB,$N1900)),""))</f>
        <v/>
      </c>
      <c r="M1900">
        <f>IFERROR(MATCH($C$5&amp;"|"&amp;RIGHT("000000"&amp;1884,6),CalcRankKeyA,0),"")</f>
        <v/>
      </c>
      <c r="N1900">
        <f>IFERROR(MATCH($C$5&amp;"|"&amp;RIGHT("000000"&amp;1884,6),CalcRankKeyB,0),"")</f>
        <v/>
      </c>
    </row>
    <row r="1901">
      <c r="A1901" s="21" t="n">
        <v>1885</v>
      </c>
      <c r="B1901" s="22">
        <f>IF(AND($M1901="",$N1901=""),"",IF($M1901&lt;&gt;"",INDEX(CalcDateA,$M1901),INDEX(CalcDateB,$N1901)))</f>
        <v/>
      </c>
      <c r="C1901" s="22">
        <f>IF($M1901&lt;&gt;"","خرید سبد",IF($N1901&lt;&gt;"",IF(N(INDEX(CalcDepB,$N1901))&gt;0,"دریافت بانکی","پرداخت بانکی"),""))</f>
        <v/>
      </c>
      <c r="D1901" s="22">
        <f>IF($M1901&lt;&gt;"",IF(INDEX(CalcDocA,$M1901)="","—",INDEX(CalcDocA,$M1901)),IF($N1901&lt;&gt;"",INDEX(CalcBankB,$N1901),""))</f>
        <v/>
      </c>
      <c r="E1901" s="23">
        <f>IF($N1901&lt;&gt;"",IF(INDEX(CalcDepB,$N1901)=0,"",INDEX(CalcDepB,$N1901)),"")</f>
        <v/>
      </c>
      <c r="F1901" s="23">
        <f>IF($M1901&lt;&gt;"",IF(INDEX(CalcQtyA,$M1901)=0,"",INDEX(CalcQtyA,$M1901)),"")</f>
        <v/>
      </c>
      <c r="G1901" s="23">
        <f>IF($M1901&lt;&gt;"",IF(INDEX(CalcPriceA,$M1901)=0,"",INDEX(CalcPriceA,$M1901)),"")</f>
        <v/>
      </c>
      <c r="H1901" s="23">
        <f>IF($N1901&lt;&gt;"",IF(INDEX(CalcWitB,$N1901)=0,"",INDEX(CalcWitB,$N1901)),"")</f>
        <v/>
      </c>
      <c r="I1901" s="24">
        <f>IF($M1901&lt;&gt;"",INDEX(CalcAmtA,$M1901),"")</f>
        <v/>
      </c>
      <c r="J1901" s="24">
        <f>IF($B1901="","",IF($J1900="",$C$8,$J1900)+IF($I1901="",0,$I1901)+IF($E1901="",0,$E1901)-IF($H1901="",0,$H1901))</f>
        <v/>
      </c>
      <c r="K1901" s="25">
        <f>IF($M1901&lt;&gt;"",IF(INDEX(CalcNoteA,$M1901)="","—",INDEX(CalcNoteA,$M1901)),IF($N1901&lt;&gt;"",IF(INDEX(CalcNoteB,$N1901)="","—",INDEX(CalcNoteB,$N1901)),""))</f>
        <v/>
      </c>
      <c r="M1901">
        <f>IFERROR(MATCH($C$5&amp;"|"&amp;RIGHT("000000"&amp;1885,6),CalcRankKeyA,0),"")</f>
        <v/>
      </c>
      <c r="N1901">
        <f>IFERROR(MATCH($C$5&amp;"|"&amp;RIGHT("000000"&amp;1885,6),CalcRankKeyB,0),"")</f>
        <v/>
      </c>
    </row>
    <row r="1902">
      <c r="A1902" s="26" t="n">
        <v>1886</v>
      </c>
      <c r="B1902" s="27">
        <f>IF(AND($M1902="",$N1902=""),"",IF($M1902&lt;&gt;"",INDEX(CalcDateA,$M1902),INDEX(CalcDateB,$N1902)))</f>
        <v/>
      </c>
      <c r="C1902" s="27">
        <f>IF($M1902&lt;&gt;"","خرید سبد",IF($N1902&lt;&gt;"",IF(N(INDEX(CalcDepB,$N1902))&gt;0,"دریافت بانکی","پرداخت بانکی"),""))</f>
        <v/>
      </c>
      <c r="D1902" s="27">
        <f>IF($M1902&lt;&gt;"",IF(INDEX(CalcDocA,$M1902)="","—",INDEX(CalcDocA,$M1902)),IF($N1902&lt;&gt;"",INDEX(CalcBankB,$N1902),""))</f>
        <v/>
      </c>
      <c r="E1902" s="28">
        <f>IF($N1902&lt;&gt;"",IF(INDEX(CalcDepB,$N1902)=0,"",INDEX(CalcDepB,$N1902)),"")</f>
        <v/>
      </c>
      <c r="F1902" s="28">
        <f>IF($M1902&lt;&gt;"",IF(INDEX(CalcQtyA,$M1902)=0,"",INDEX(CalcQtyA,$M1902)),"")</f>
        <v/>
      </c>
      <c r="G1902" s="28">
        <f>IF($M1902&lt;&gt;"",IF(INDEX(CalcPriceA,$M1902)=0,"",INDEX(CalcPriceA,$M1902)),"")</f>
        <v/>
      </c>
      <c r="H1902" s="28">
        <f>IF($N1902&lt;&gt;"",IF(INDEX(CalcWitB,$N1902)=0,"",INDEX(CalcWitB,$N1902)),"")</f>
        <v/>
      </c>
      <c r="I1902" s="29">
        <f>IF($M1902&lt;&gt;"",INDEX(CalcAmtA,$M1902),"")</f>
        <v/>
      </c>
      <c r="J1902" s="29">
        <f>IF($B1902="","",IF($J1901="",$C$8,$J1901)+IF($I1902="",0,$I1902)+IF($E1902="",0,$E1902)-IF($H1902="",0,$H1902))</f>
        <v/>
      </c>
      <c r="K1902" s="30">
        <f>IF($M1902&lt;&gt;"",IF(INDEX(CalcNoteA,$M1902)="","—",INDEX(CalcNoteA,$M1902)),IF($N1902&lt;&gt;"",IF(INDEX(CalcNoteB,$N1902)="","—",INDEX(CalcNoteB,$N1902)),""))</f>
        <v/>
      </c>
      <c r="M1902">
        <f>IFERROR(MATCH($C$5&amp;"|"&amp;RIGHT("000000"&amp;1886,6),CalcRankKeyA,0),"")</f>
        <v/>
      </c>
      <c r="N1902">
        <f>IFERROR(MATCH($C$5&amp;"|"&amp;RIGHT("000000"&amp;1886,6),CalcRankKeyB,0),"")</f>
        <v/>
      </c>
    </row>
    <row r="1903">
      <c r="A1903" s="21" t="n">
        <v>1887</v>
      </c>
      <c r="B1903" s="22">
        <f>IF(AND($M1903="",$N1903=""),"",IF($M1903&lt;&gt;"",INDEX(CalcDateA,$M1903),INDEX(CalcDateB,$N1903)))</f>
        <v/>
      </c>
      <c r="C1903" s="22">
        <f>IF($M1903&lt;&gt;"","خرید سبد",IF($N1903&lt;&gt;"",IF(N(INDEX(CalcDepB,$N1903))&gt;0,"دریافت بانکی","پرداخت بانکی"),""))</f>
        <v/>
      </c>
      <c r="D1903" s="22">
        <f>IF($M1903&lt;&gt;"",IF(INDEX(CalcDocA,$M1903)="","—",INDEX(CalcDocA,$M1903)),IF($N1903&lt;&gt;"",INDEX(CalcBankB,$N1903),""))</f>
        <v/>
      </c>
      <c r="E1903" s="23">
        <f>IF($N1903&lt;&gt;"",IF(INDEX(CalcDepB,$N1903)=0,"",INDEX(CalcDepB,$N1903)),"")</f>
        <v/>
      </c>
      <c r="F1903" s="23">
        <f>IF($M1903&lt;&gt;"",IF(INDEX(CalcQtyA,$M1903)=0,"",INDEX(CalcQtyA,$M1903)),"")</f>
        <v/>
      </c>
      <c r="G1903" s="23">
        <f>IF($M1903&lt;&gt;"",IF(INDEX(CalcPriceA,$M1903)=0,"",INDEX(CalcPriceA,$M1903)),"")</f>
        <v/>
      </c>
      <c r="H1903" s="23">
        <f>IF($N1903&lt;&gt;"",IF(INDEX(CalcWitB,$N1903)=0,"",INDEX(CalcWitB,$N1903)),"")</f>
        <v/>
      </c>
      <c r="I1903" s="24">
        <f>IF($M1903&lt;&gt;"",INDEX(CalcAmtA,$M1903),"")</f>
        <v/>
      </c>
      <c r="J1903" s="24">
        <f>IF($B1903="","",IF($J1902="",$C$8,$J1902)+IF($I1903="",0,$I1903)+IF($E1903="",0,$E1903)-IF($H1903="",0,$H1903))</f>
        <v/>
      </c>
      <c r="K1903" s="25">
        <f>IF($M1903&lt;&gt;"",IF(INDEX(CalcNoteA,$M1903)="","—",INDEX(CalcNoteA,$M1903)),IF($N1903&lt;&gt;"",IF(INDEX(CalcNoteB,$N1903)="","—",INDEX(CalcNoteB,$N1903)),""))</f>
        <v/>
      </c>
      <c r="M1903">
        <f>IFERROR(MATCH($C$5&amp;"|"&amp;RIGHT("000000"&amp;1887,6),CalcRankKeyA,0),"")</f>
        <v/>
      </c>
      <c r="N1903">
        <f>IFERROR(MATCH($C$5&amp;"|"&amp;RIGHT("000000"&amp;1887,6),CalcRankKeyB,0),"")</f>
        <v/>
      </c>
    </row>
    <row r="1904">
      <c r="A1904" s="26" t="n">
        <v>1888</v>
      </c>
      <c r="B1904" s="27">
        <f>IF(AND($M1904="",$N1904=""),"",IF($M1904&lt;&gt;"",INDEX(CalcDateA,$M1904),INDEX(CalcDateB,$N1904)))</f>
        <v/>
      </c>
      <c r="C1904" s="27">
        <f>IF($M1904&lt;&gt;"","خرید سبد",IF($N1904&lt;&gt;"",IF(N(INDEX(CalcDepB,$N1904))&gt;0,"دریافت بانکی","پرداخت بانکی"),""))</f>
        <v/>
      </c>
      <c r="D1904" s="27">
        <f>IF($M1904&lt;&gt;"",IF(INDEX(CalcDocA,$M1904)="","—",INDEX(CalcDocA,$M1904)),IF($N1904&lt;&gt;"",INDEX(CalcBankB,$N1904),""))</f>
        <v/>
      </c>
      <c r="E1904" s="28">
        <f>IF($N1904&lt;&gt;"",IF(INDEX(CalcDepB,$N1904)=0,"",INDEX(CalcDepB,$N1904)),"")</f>
        <v/>
      </c>
      <c r="F1904" s="28">
        <f>IF($M1904&lt;&gt;"",IF(INDEX(CalcQtyA,$M1904)=0,"",INDEX(CalcQtyA,$M1904)),"")</f>
        <v/>
      </c>
      <c r="G1904" s="28">
        <f>IF($M1904&lt;&gt;"",IF(INDEX(CalcPriceA,$M1904)=0,"",INDEX(CalcPriceA,$M1904)),"")</f>
        <v/>
      </c>
      <c r="H1904" s="28">
        <f>IF($N1904&lt;&gt;"",IF(INDEX(CalcWitB,$N1904)=0,"",INDEX(CalcWitB,$N1904)),"")</f>
        <v/>
      </c>
      <c r="I1904" s="29">
        <f>IF($M1904&lt;&gt;"",INDEX(CalcAmtA,$M1904),"")</f>
        <v/>
      </c>
      <c r="J1904" s="29">
        <f>IF($B1904="","",IF($J1903="",$C$8,$J1903)+IF($I1904="",0,$I1904)+IF($E1904="",0,$E1904)-IF($H1904="",0,$H1904))</f>
        <v/>
      </c>
      <c r="K1904" s="30">
        <f>IF($M1904&lt;&gt;"",IF(INDEX(CalcNoteA,$M1904)="","—",INDEX(CalcNoteA,$M1904)),IF($N1904&lt;&gt;"",IF(INDEX(CalcNoteB,$N1904)="","—",INDEX(CalcNoteB,$N1904)),""))</f>
        <v/>
      </c>
      <c r="M1904">
        <f>IFERROR(MATCH($C$5&amp;"|"&amp;RIGHT("000000"&amp;1888,6),CalcRankKeyA,0),"")</f>
        <v/>
      </c>
      <c r="N1904">
        <f>IFERROR(MATCH($C$5&amp;"|"&amp;RIGHT("000000"&amp;1888,6),CalcRankKeyB,0),"")</f>
        <v/>
      </c>
    </row>
    <row r="1905">
      <c r="A1905" s="21" t="n">
        <v>1889</v>
      </c>
      <c r="B1905" s="22">
        <f>IF(AND($M1905="",$N1905=""),"",IF($M1905&lt;&gt;"",INDEX(CalcDateA,$M1905),INDEX(CalcDateB,$N1905)))</f>
        <v/>
      </c>
      <c r="C1905" s="22">
        <f>IF($M1905&lt;&gt;"","خرید سبد",IF($N1905&lt;&gt;"",IF(N(INDEX(CalcDepB,$N1905))&gt;0,"دریافت بانکی","پرداخت بانکی"),""))</f>
        <v/>
      </c>
      <c r="D1905" s="22">
        <f>IF($M1905&lt;&gt;"",IF(INDEX(CalcDocA,$M1905)="","—",INDEX(CalcDocA,$M1905)),IF($N1905&lt;&gt;"",INDEX(CalcBankB,$N1905),""))</f>
        <v/>
      </c>
      <c r="E1905" s="23">
        <f>IF($N1905&lt;&gt;"",IF(INDEX(CalcDepB,$N1905)=0,"",INDEX(CalcDepB,$N1905)),"")</f>
        <v/>
      </c>
      <c r="F1905" s="23">
        <f>IF($M1905&lt;&gt;"",IF(INDEX(CalcQtyA,$M1905)=0,"",INDEX(CalcQtyA,$M1905)),"")</f>
        <v/>
      </c>
      <c r="G1905" s="23">
        <f>IF($M1905&lt;&gt;"",IF(INDEX(CalcPriceA,$M1905)=0,"",INDEX(CalcPriceA,$M1905)),"")</f>
        <v/>
      </c>
      <c r="H1905" s="23">
        <f>IF($N1905&lt;&gt;"",IF(INDEX(CalcWitB,$N1905)=0,"",INDEX(CalcWitB,$N1905)),"")</f>
        <v/>
      </c>
      <c r="I1905" s="24">
        <f>IF($M1905&lt;&gt;"",INDEX(CalcAmtA,$M1905),"")</f>
        <v/>
      </c>
      <c r="J1905" s="24">
        <f>IF($B1905="","",IF($J1904="",$C$8,$J1904)+IF($I1905="",0,$I1905)+IF($E1905="",0,$E1905)-IF($H1905="",0,$H1905))</f>
        <v/>
      </c>
      <c r="K1905" s="25">
        <f>IF($M1905&lt;&gt;"",IF(INDEX(CalcNoteA,$M1905)="","—",INDEX(CalcNoteA,$M1905)),IF($N1905&lt;&gt;"",IF(INDEX(CalcNoteB,$N1905)="","—",INDEX(CalcNoteB,$N1905)),""))</f>
        <v/>
      </c>
      <c r="M1905">
        <f>IFERROR(MATCH($C$5&amp;"|"&amp;RIGHT("000000"&amp;1889,6),CalcRankKeyA,0),"")</f>
        <v/>
      </c>
      <c r="N1905">
        <f>IFERROR(MATCH($C$5&amp;"|"&amp;RIGHT("000000"&amp;1889,6),CalcRankKeyB,0),"")</f>
        <v/>
      </c>
    </row>
    <row r="1906">
      <c r="A1906" s="26" t="n">
        <v>1890</v>
      </c>
      <c r="B1906" s="27">
        <f>IF(AND($M1906="",$N1906=""),"",IF($M1906&lt;&gt;"",INDEX(CalcDateA,$M1906),INDEX(CalcDateB,$N1906)))</f>
        <v/>
      </c>
      <c r="C1906" s="27">
        <f>IF($M1906&lt;&gt;"","خرید سبد",IF($N1906&lt;&gt;"",IF(N(INDEX(CalcDepB,$N1906))&gt;0,"دریافت بانکی","پرداخت بانکی"),""))</f>
        <v/>
      </c>
      <c r="D1906" s="27">
        <f>IF($M1906&lt;&gt;"",IF(INDEX(CalcDocA,$M1906)="","—",INDEX(CalcDocA,$M1906)),IF($N1906&lt;&gt;"",INDEX(CalcBankB,$N1906),""))</f>
        <v/>
      </c>
      <c r="E1906" s="28">
        <f>IF($N1906&lt;&gt;"",IF(INDEX(CalcDepB,$N1906)=0,"",INDEX(CalcDepB,$N1906)),"")</f>
        <v/>
      </c>
      <c r="F1906" s="28">
        <f>IF($M1906&lt;&gt;"",IF(INDEX(CalcQtyA,$M1906)=0,"",INDEX(CalcQtyA,$M1906)),"")</f>
        <v/>
      </c>
      <c r="G1906" s="28">
        <f>IF($M1906&lt;&gt;"",IF(INDEX(CalcPriceA,$M1906)=0,"",INDEX(CalcPriceA,$M1906)),"")</f>
        <v/>
      </c>
      <c r="H1906" s="28">
        <f>IF($N1906&lt;&gt;"",IF(INDEX(CalcWitB,$N1906)=0,"",INDEX(CalcWitB,$N1906)),"")</f>
        <v/>
      </c>
      <c r="I1906" s="29">
        <f>IF($M1906&lt;&gt;"",INDEX(CalcAmtA,$M1906),"")</f>
        <v/>
      </c>
      <c r="J1906" s="29">
        <f>IF($B1906="","",IF($J1905="",$C$8,$J1905)+IF($I1906="",0,$I1906)+IF($E1906="",0,$E1906)-IF($H1906="",0,$H1906))</f>
        <v/>
      </c>
      <c r="K1906" s="30">
        <f>IF($M1906&lt;&gt;"",IF(INDEX(CalcNoteA,$M1906)="","—",INDEX(CalcNoteA,$M1906)),IF($N1906&lt;&gt;"",IF(INDEX(CalcNoteB,$N1906)="","—",INDEX(CalcNoteB,$N1906)),""))</f>
        <v/>
      </c>
      <c r="M1906">
        <f>IFERROR(MATCH($C$5&amp;"|"&amp;RIGHT("000000"&amp;1890,6),CalcRankKeyA,0),"")</f>
        <v/>
      </c>
      <c r="N1906">
        <f>IFERROR(MATCH($C$5&amp;"|"&amp;RIGHT("000000"&amp;1890,6),CalcRankKeyB,0),"")</f>
        <v/>
      </c>
    </row>
    <row r="1907">
      <c r="A1907" s="21" t="n">
        <v>1891</v>
      </c>
      <c r="B1907" s="22">
        <f>IF(AND($M1907="",$N1907=""),"",IF($M1907&lt;&gt;"",INDEX(CalcDateA,$M1907),INDEX(CalcDateB,$N1907)))</f>
        <v/>
      </c>
      <c r="C1907" s="22">
        <f>IF($M1907&lt;&gt;"","خرید سبد",IF($N1907&lt;&gt;"",IF(N(INDEX(CalcDepB,$N1907))&gt;0,"دریافت بانکی","پرداخت بانکی"),""))</f>
        <v/>
      </c>
      <c r="D1907" s="22">
        <f>IF($M1907&lt;&gt;"",IF(INDEX(CalcDocA,$M1907)="","—",INDEX(CalcDocA,$M1907)),IF($N1907&lt;&gt;"",INDEX(CalcBankB,$N1907),""))</f>
        <v/>
      </c>
      <c r="E1907" s="23">
        <f>IF($N1907&lt;&gt;"",IF(INDEX(CalcDepB,$N1907)=0,"",INDEX(CalcDepB,$N1907)),"")</f>
        <v/>
      </c>
      <c r="F1907" s="23">
        <f>IF($M1907&lt;&gt;"",IF(INDEX(CalcQtyA,$M1907)=0,"",INDEX(CalcQtyA,$M1907)),"")</f>
        <v/>
      </c>
      <c r="G1907" s="23">
        <f>IF($M1907&lt;&gt;"",IF(INDEX(CalcPriceA,$M1907)=0,"",INDEX(CalcPriceA,$M1907)),"")</f>
        <v/>
      </c>
      <c r="H1907" s="23">
        <f>IF($N1907&lt;&gt;"",IF(INDEX(CalcWitB,$N1907)=0,"",INDEX(CalcWitB,$N1907)),"")</f>
        <v/>
      </c>
      <c r="I1907" s="24">
        <f>IF($M1907&lt;&gt;"",INDEX(CalcAmtA,$M1907),"")</f>
        <v/>
      </c>
      <c r="J1907" s="24">
        <f>IF($B1907="","",IF($J1906="",$C$8,$J1906)+IF($I1907="",0,$I1907)+IF($E1907="",0,$E1907)-IF($H1907="",0,$H1907))</f>
        <v/>
      </c>
      <c r="K1907" s="25">
        <f>IF($M1907&lt;&gt;"",IF(INDEX(CalcNoteA,$M1907)="","—",INDEX(CalcNoteA,$M1907)),IF($N1907&lt;&gt;"",IF(INDEX(CalcNoteB,$N1907)="","—",INDEX(CalcNoteB,$N1907)),""))</f>
        <v/>
      </c>
      <c r="M1907">
        <f>IFERROR(MATCH($C$5&amp;"|"&amp;RIGHT("000000"&amp;1891,6),CalcRankKeyA,0),"")</f>
        <v/>
      </c>
      <c r="N1907">
        <f>IFERROR(MATCH($C$5&amp;"|"&amp;RIGHT("000000"&amp;1891,6),CalcRankKeyB,0),"")</f>
        <v/>
      </c>
    </row>
    <row r="1908">
      <c r="A1908" s="26" t="n">
        <v>1892</v>
      </c>
      <c r="B1908" s="27">
        <f>IF(AND($M1908="",$N1908=""),"",IF($M1908&lt;&gt;"",INDEX(CalcDateA,$M1908),INDEX(CalcDateB,$N1908)))</f>
        <v/>
      </c>
      <c r="C1908" s="27">
        <f>IF($M1908&lt;&gt;"","خرید سبد",IF($N1908&lt;&gt;"",IF(N(INDEX(CalcDepB,$N1908))&gt;0,"دریافت بانکی","پرداخت بانکی"),""))</f>
        <v/>
      </c>
      <c r="D1908" s="27">
        <f>IF($M1908&lt;&gt;"",IF(INDEX(CalcDocA,$M1908)="","—",INDEX(CalcDocA,$M1908)),IF($N1908&lt;&gt;"",INDEX(CalcBankB,$N1908),""))</f>
        <v/>
      </c>
      <c r="E1908" s="28">
        <f>IF($N1908&lt;&gt;"",IF(INDEX(CalcDepB,$N1908)=0,"",INDEX(CalcDepB,$N1908)),"")</f>
        <v/>
      </c>
      <c r="F1908" s="28">
        <f>IF($M1908&lt;&gt;"",IF(INDEX(CalcQtyA,$M1908)=0,"",INDEX(CalcQtyA,$M1908)),"")</f>
        <v/>
      </c>
      <c r="G1908" s="28">
        <f>IF($M1908&lt;&gt;"",IF(INDEX(CalcPriceA,$M1908)=0,"",INDEX(CalcPriceA,$M1908)),"")</f>
        <v/>
      </c>
      <c r="H1908" s="28">
        <f>IF($N1908&lt;&gt;"",IF(INDEX(CalcWitB,$N1908)=0,"",INDEX(CalcWitB,$N1908)),"")</f>
        <v/>
      </c>
      <c r="I1908" s="29">
        <f>IF($M1908&lt;&gt;"",INDEX(CalcAmtA,$M1908),"")</f>
        <v/>
      </c>
      <c r="J1908" s="29">
        <f>IF($B1908="","",IF($J1907="",$C$8,$J1907)+IF($I1908="",0,$I1908)+IF($E1908="",0,$E1908)-IF($H1908="",0,$H1908))</f>
        <v/>
      </c>
      <c r="K1908" s="30">
        <f>IF($M1908&lt;&gt;"",IF(INDEX(CalcNoteA,$M1908)="","—",INDEX(CalcNoteA,$M1908)),IF($N1908&lt;&gt;"",IF(INDEX(CalcNoteB,$N1908)="","—",INDEX(CalcNoteB,$N1908)),""))</f>
        <v/>
      </c>
      <c r="M1908">
        <f>IFERROR(MATCH($C$5&amp;"|"&amp;RIGHT("000000"&amp;1892,6),CalcRankKeyA,0),"")</f>
        <v/>
      </c>
      <c r="N1908">
        <f>IFERROR(MATCH($C$5&amp;"|"&amp;RIGHT("000000"&amp;1892,6),CalcRankKeyB,0),"")</f>
        <v/>
      </c>
    </row>
    <row r="1909">
      <c r="A1909" s="21" t="n">
        <v>1893</v>
      </c>
      <c r="B1909" s="22">
        <f>IF(AND($M1909="",$N1909=""),"",IF($M1909&lt;&gt;"",INDEX(CalcDateA,$M1909),INDEX(CalcDateB,$N1909)))</f>
        <v/>
      </c>
      <c r="C1909" s="22">
        <f>IF($M1909&lt;&gt;"","خرید سبد",IF($N1909&lt;&gt;"",IF(N(INDEX(CalcDepB,$N1909))&gt;0,"دریافت بانکی","پرداخت بانکی"),""))</f>
        <v/>
      </c>
      <c r="D1909" s="22">
        <f>IF($M1909&lt;&gt;"",IF(INDEX(CalcDocA,$M1909)="","—",INDEX(CalcDocA,$M1909)),IF($N1909&lt;&gt;"",INDEX(CalcBankB,$N1909),""))</f>
        <v/>
      </c>
      <c r="E1909" s="23">
        <f>IF($N1909&lt;&gt;"",IF(INDEX(CalcDepB,$N1909)=0,"",INDEX(CalcDepB,$N1909)),"")</f>
        <v/>
      </c>
      <c r="F1909" s="23">
        <f>IF($M1909&lt;&gt;"",IF(INDEX(CalcQtyA,$M1909)=0,"",INDEX(CalcQtyA,$M1909)),"")</f>
        <v/>
      </c>
      <c r="G1909" s="23">
        <f>IF($M1909&lt;&gt;"",IF(INDEX(CalcPriceA,$M1909)=0,"",INDEX(CalcPriceA,$M1909)),"")</f>
        <v/>
      </c>
      <c r="H1909" s="23">
        <f>IF($N1909&lt;&gt;"",IF(INDEX(CalcWitB,$N1909)=0,"",INDEX(CalcWitB,$N1909)),"")</f>
        <v/>
      </c>
      <c r="I1909" s="24">
        <f>IF($M1909&lt;&gt;"",INDEX(CalcAmtA,$M1909),"")</f>
        <v/>
      </c>
      <c r="J1909" s="24">
        <f>IF($B1909="","",IF($J1908="",$C$8,$J1908)+IF($I1909="",0,$I1909)+IF($E1909="",0,$E1909)-IF($H1909="",0,$H1909))</f>
        <v/>
      </c>
      <c r="K1909" s="25">
        <f>IF($M1909&lt;&gt;"",IF(INDEX(CalcNoteA,$M1909)="","—",INDEX(CalcNoteA,$M1909)),IF($N1909&lt;&gt;"",IF(INDEX(CalcNoteB,$N1909)="","—",INDEX(CalcNoteB,$N1909)),""))</f>
        <v/>
      </c>
      <c r="M1909">
        <f>IFERROR(MATCH($C$5&amp;"|"&amp;RIGHT("000000"&amp;1893,6),CalcRankKeyA,0),"")</f>
        <v/>
      </c>
      <c r="N1909">
        <f>IFERROR(MATCH($C$5&amp;"|"&amp;RIGHT("000000"&amp;1893,6),CalcRankKeyB,0),"")</f>
        <v/>
      </c>
    </row>
    <row r="1910">
      <c r="A1910" s="26" t="n">
        <v>1894</v>
      </c>
      <c r="B1910" s="27">
        <f>IF(AND($M1910="",$N1910=""),"",IF($M1910&lt;&gt;"",INDEX(CalcDateA,$M1910),INDEX(CalcDateB,$N1910)))</f>
        <v/>
      </c>
      <c r="C1910" s="27">
        <f>IF($M1910&lt;&gt;"","خرید سبد",IF($N1910&lt;&gt;"",IF(N(INDEX(CalcDepB,$N1910))&gt;0,"دریافت بانکی","پرداخت بانکی"),""))</f>
        <v/>
      </c>
      <c r="D1910" s="27">
        <f>IF($M1910&lt;&gt;"",IF(INDEX(CalcDocA,$M1910)="","—",INDEX(CalcDocA,$M1910)),IF($N1910&lt;&gt;"",INDEX(CalcBankB,$N1910),""))</f>
        <v/>
      </c>
      <c r="E1910" s="28">
        <f>IF($N1910&lt;&gt;"",IF(INDEX(CalcDepB,$N1910)=0,"",INDEX(CalcDepB,$N1910)),"")</f>
        <v/>
      </c>
      <c r="F1910" s="28">
        <f>IF($M1910&lt;&gt;"",IF(INDEX(CalcQtyA,$M1910)=0,"",INDEX(CalcQtyA,$M1910)),"")</f>
        <v/>
      </c>
      <c r="G1910" s="28">
        <f>IF($M1910&lt;&gt;"",IF(INDEX(CalcPriceA,$M1910)=0,"",INDEX(CalcPriceA,$M1910)),"")</f>
        <v/>
      </c>
      <c r="H1910" s="28">
        <f>IF($N1910&lt;&gt;"",IF(INDEX(CalcWitB,$N1910)=0,"",INDEX(CalcWitB,$N1910)),"")</f>
        <v/>
      </c>
      <c r="I1910" s="29">
        <f>IF($M1910&lt;&gt;"",INDEX(CalcAmtA,$M1910),"")</f>
        <v/>
      </c>
      <c r="J1910" s="29">
        <f>IF($B1910="","",IF($J1909="",$C$8,$J1909)+IF($I1910="",0,$I1910)+IF($E1910="",0,$E1910)-IF($H1910="",0,$H1910))</f>
        <v/>
      </c>
      <c r="K1910" s="30">
        <f>IF($M1910&lt;&gt;"",IF(INDEX(CalcNoteA,$M1910)="","—",INDEX(CalcNoteA,$M1910)),IF($N1910&lt;&gt;"",IF(INDEX(CalcNoteB,$N1910)="","—",INDEX(CalcNoteB,$N1910)),""))</f>
        <v/>
      </c>
      <c r="M1910">
        <f>IFERROR(MATCH($C$5&amp;"|"&amp;RIGHT("000000"&amp;1894,6),CalcRankKeyA,0),"")</f>
        <v/>
      </c>
      <c r="N1910">
        <f>IFERROR(MATCH($C$5&amp;"|"&amp;RIGHT("000000"&amp;1894,6),CalcRankKeyB,0),"")</f>
        <v/>
      </c>
    </row>
    <row r="1911">
      <c r="A1911" s="21" t="n">
        <v>1895</v>
      </c>
      <c r="B1911" s="22">
        <f>IF(AND($M1911="",$N1911=""),"",IF($M1911&lt;&gt;"",INDEX(CalcDateA,$M1911),INDEX(CalcDateB,$N1911)))</f>
        <v/>
      </c>
      <c r="C1911" s="22">
        <f>IF($M1911&lt;&gt;"","خرید سبد",IF($N1911&lt;&gt;"",IF(N(INDEX(CalcDepB,$N1911))&gt;0,"دریافت بانکی","پرداخت بانکی"),""))</f>
        <v/>
      </c>
      <c r="D1911" s="22">
        <f>IF($M1911&lt;&gt;"",IF(INDEX(CalcDocA,$M1911)="","—",INDEX(CalcDocA,$M1911)),IF($N1911&lt;&gt;"",INDEX(CalcBankB,$N1911),""))</f>
        <v/>
      </c>
      <c r="E1911" s="23">
        <f>IF($N1911&lt;&gt;"",IF(INDEX(CalcDepB,$N1911)=0,"",INDEX(CalcDepB,$N1911)),"")</f>
        <v/>
      </c>
      <c r="F1911" s="23">
        <f>IF($M1911&lt;&gt;"",IF(INDEX(CalcQtyA,$M1911)=0,"",INDEX(CalcQtyA,$M1911)),"")</f>
        <v/>
      </c>
      <c r="G1911" s="23">
        <f>IF($M1911&lt;&gt;"",IF(INDEX(CalcPriceA,$M1911)=0,"",INDEX(CalcPriceA,$M1911)),"")</f>
        <v/>
      </c>
      <c r="H1911" s="23">
        <f>IF($N1911&lt;&gt;"",IF(INDEX(CalcWitB,$N1911)=0,"",INDEX(CalcWitB,$N1911)),"")</f>
        <v/>
      </c>
      <c r="I1911" s="24">
        <f>IF($M1911&lt;&gt;"",INDEX(CalcAmtA,$M1911),"")</f>
        <v/>
      </c>
      <c r="J1911" s="24">
        <f>IF($B1911="","",IF($J1910="",$C$8,$J1910)+IF($I1911="",0,$I1911)+IF($E1911="",0,$E1911)-IF($H1911="",0,$H1911))</f>
        <v/>
      </c>
      <c r="K1911" s="25">
        <f>IF($M1911&lt;&gt;"",IF(INDEX(CalcNoteA,$M1911)="","—",INDEX(CalcNoteA,$M1911)),IF($N1911&lt;&gt;"",IF(INDEX(CalcNoteB,$N1911)="","—",INDEX(CalcNoteB,$N1911)),""))</f>
        <v/>
      </c>
      <c r="M1911">
        <f>IFERROR(MATCH($C$5&amp;"|"&amp;RIGHT("000000"&amp;1895,6),CalcRankKeyA,0),"")</f>
        <v/>
      </c>
      <c r="N1911">
        <f>IFERROR(MATCH($C$5&amp;"|"&amp;RIGHT("000000"&amp;1895,6),CalcRankKeyB,0),"")</f>
        <v/>
      </c>
    </row>
    <row r="1912">
      <c r="A1912" s="26" t="n">
        <v>1896</v>
      </c>
      <c r="B1912" s="27">
        <f>IF(AND($M1912="",$N1912=""),"",IF($M1912&lt;&gt;"",INDEX(CalcDateA,$M1912),INDEX(CalcDateB,$N1912)))</f>
        <v/>
      </c>
      <c r="C1912" s="27">
        <f>IF($M1912&lt;&gt;"","خرید سبد",IF($N1912&lt;&gt;"",IF(N(INDEX(CalcDepB,$N1912))&gt;0,"دریافت بانکی","پرداخت بانکی"),""))</f>
        <v/>
      </c>
      <c r="D1912" s="27">
        <f>IF($M1912&lt;&gt;"",IF(INDEX(CalcDocA,$M1912)="","—",INDEX(CalcDocA,$M1912)),IF($N1912&lt;&gt;"",INDEX(CalcBankB,$N1912),""))</f>
        <v/>
      </c>
      <c r="E1912" s="28">
        <f>IF($N1912&lt;&gt;"",IF(INDEX(CalcDepB,$N1912)=0,"",INDEX(CalcDepB,$N1912)),"")</f>
        <v/>
      </c>
      <c r="F1912" s="28">
        <f>IF($M1912&lt;&gt;"",IF(INDEX(CalcQtyA,$M1912)=0,"",INDEX(CalcQtyA,$M1912)),"")</f>
        <v/>
      </c>
      <c r="G1912" s="28">
        <f>IF($M1912&lt;&gt;"",IF(INDEX(CalcPriceA,$M1912)=0,"",INDEX(CalcPriceA,$M1912)),"")</f>
        <v/>
      </c>
      <c r="H1912" s="28">
        <f>IF($N1912&lt;&gt;"",IF(INDEX(CalcWitB,$N1912)=0,"",INDEX(CalcWitB,$N1912)),"")</f>
        <v/>
      </c>
      <c r="I1912" s="29">
        <f>IF($M1912&lt;&gt;"",INDEX(CalcAmtA,$M1912),"")</f>
        <v/>
      </c>
      <c r="J1912" s="29">
        <f>IF($B1912="","",IF($J1911="",$C$8,$J1911)+IF($I1912="",0,$I1912)+IF($E1912="",0,$E1912)-IF($H1912="",0,$H1912))</f>
        <v/>
      </c>
      <c r="K1912" s="30">
        <f>IF($M1912&lt;&gt;"",IF(INDEX(CalcNoteA,$M1912)="","—",INDEX(CalcNoteA,$M1912)),IF($N1912&lt;&gt;"",IF(INDEX(CalcNoteB,$N1912)="","—",INDEX(CalcNoteB,$N1912)),""))</f>
        <v/>
      </c>
      <c r="M1912">
        <f>IFERROR(MATCH($C$5&amp;"|"&amp;RIGHT("000000"&amp;1896,6),CalcRankKeyA,0),"")</f>
        <v/>
      </c>
      <c r="N1912">
        <f>IFERROR(MATCH($C$5&amp;"|"&amp;RIGHT("000000"&amp;1896,6),CalcRankKeyB,0),"")</f>
        <v/>
      </c>
    </row>
    <row r="1913">
      <c r="A1913" s="21" t="n">
        <v>1897</v>
      </c>
      <c r="B1913" s="22">
        <f>IF(AND($M1913="",$N1913=""),"",IF($M1913&lt;&gt;"",INDEX(CalcDateA,$M1913),INDEX(CalcDateB,$N1913)))</f>
        <v/>
      </c>
      <c r="C1913" s="22">
        <f>IF($M1913&lt;&gt;"","خرید سبد",IF($N1913&lt;&gt;"",IF(N(INDEX(CalcDepB,$N1913))&gt;0,"دریافت بانکی","پرداخت بانکی"),""))</f>
        <v/>
      </c>
      <c r="D1913" s="22">
        <f>IF($M1913&lt;&gt;"",IF(INDEX(CalcDocA,$M1913)="","—",INDEX(CalcDocA,$M1913)),IF($N1913&lt;&gt;"",INDEX(CalcBankB,$N1913),""))</f>
        <v/>
      </c>
      <c r="E1913" s="23">
        <f>IF($N1913&lt;&gt;"",IF(INDEX(CalcDepB,$N1913)=0,"",INDEX(CalcDepB,$N1913)),"")</f>
        <v/>
      </c>
      <c r="F1913" s="23">
        <f>IF($M1913&lt;&gt;"",IF(INDEX(CalcQtyA,$M1913)=0,"",INDEX(CalcQtyA,$M1913)),"")</f>
        <v/>
      </c>
      <c r="G1913" s="23">
        <f>IF($M1913&lt;&gt;"",IF(INDEX(CalcPriceA,$M1913)=0,"",INDEX(CalcPriceA,$M1913)),"")</f>
        <v/>
      </c>
      <c r="H1913" s="23">
        <f>IF($N1913&lt;&gt;"",IF(INDEX(CalcWitB,$N1913)=0,"",INDEX(CalcWitB,$N1913)),"")</f>
        <v/>
      </c>
      <c r="I1913" s="24">
        <f>IF($M1913&lt;&gt;"",INDEX(CalcAmtA,$M1913),"")</f>
        <v/>
      </c>
      <c r="J1913" s="24">
        <f>IF($B1913="","",IF($J1912="",$C$8,$J1912)+IF($I1913="",0,$I1913)+IF($E1913="",0,$E1913)-IF($H1913="",0,$H1913))</f>
        <v/>
      </c>
      <c r="K1913" s="25">
        <f>IF($M1913&lt;&gt;"",IF(INDEX(CalcNoteA,$M1913)="","—",INDEX(CalcNoteA,$M1913)),IF($N1913&lt;&gt;"",IF(INDEX(CalcNoteB,$N1913)="","—",INDEX(CalcNoteB,$N1913)),""))</f>
        <v/>
      </c>
      <c r="M1913">
        <f>IFERROR(MATCH($C$5&amp;"|"&amp;RIGHT("000000"&amp;1897,6),CalcRankKeyA,0),"")</f>
        <v/>
      </c>
      <c r="N1913">
        <f>IFERROR(MATCH($C$5&amp;"|"&amp;RIGHT("000000"&amp;1897,6),CalcRankKeyB,0),"")</f>
        <v/>
      </c>
    </row>
    <row r="1914">
      <c r="A1914" s="26" t="n">
        <v>1898</v>
      </c>
      <c r="B1914" s="27">
        <f>IF(AND($M1914="",$N1914=""),"",IF($M1914&lt;&gt;"",INDEX(CalcDateA,$M1914),INDEX(CalcDateB,$N1914)))</f>
        <v/>
      </c>
      <c r="C1914" s="27">
        <f>IF($M1914&lt;&gt;"","خرید سبد",IF($N1914&lt;&gt;"",IF(N(INDEX(CalcDepB,$N1914))&gt;0,"دریافت بانکی","پرداخت بانکی"),""))</f>
        <v/>
      </c>
      <c r="D1914" s="27">
        <f>IF($M1914&lt;&gt;"",IF(INDEX(CalcDocA,$M1914)="","—",INDEX(CalcDocA,$M1914)),IF($N1914&lt;&gt;"",INDEX(CalcBankB,$N1914),""))</f>
        <v/>
      </c>
      <c r="E1914" s="28">
        <f>IF($N1914&lt;&gt;"",IF(INDEX(CalcDepB,$N1914)=0,"",INDEX(CalcDepB,$N1914)),"")</f>
        <v/>
      </c>
      <c r="F1914" s="28">
        <f>IF($M1914&lt;&gt;"",IF(INDEX(CalcQtyA,$M1914)=0,"",INDEX(CalcQtyA,$M1914)),"")</f>
        <v/>
      </c>
      <c r="G1914" s="28">
        <f>IF($M1914&lt;&gt;"",IF(INDEX(CalcPriceA,$M1914)=0,"",INDEX(CalcPriceA,$M1914)),"")</f>
        <v/>
      </c>
      <c r="H1914" s="28">
        <f>IF($N1914&lt;&gt;"",IF(INDEX(CalcWitB,$N1914)=0,"",INDEX(CalcWitB,$N1914)),"")</f>
        <v/>
      </c>
      <c r="I1914" s="29">
        <f>IF($M1914&lt;&gt;"",INDEX(CalcAmtA,$M1914),"")</f>
        <v/>
      </c>
      <c r="J1914" s="29">
        <f>IF($B1914="","",IF($J1913="",$C$8,$J1913)+IF($I1914="",0,$I1914)+IF($E1914="",0,$E1914)-IF($H1914="",0,$H1914))</f>
        <v/>
      </c>
      <c r="K1914" s="30">
        <f>IF($M1914&lt;&gt;"",IF(INDEX(CalcNoteA,$M1914)="","—",INDEX(CalcNoteA,$M1914)),IF($N1914&lt;&gt;"",IF(INDEX(CalcNoteB,$N1914)="","—",INDEX(CalcNoteB,$N1914)),""))</f>
        <v/>
      </c>
      <c r="M1914">
        <f>IFERROR(MATCH($C$5&amp;"|"&amp;RIGHT("000000"&amp;1898,6),CalcRankKeyA,0),"")</f>
        <v/>
      </c>
      <c r="N1914">
        <f>IFERROR(MATCH($C$5&amp;"|"&amp;RIGHT("000000"&amp;1898,6),CalcRankKeyB,0),"")</f>
        <v/>
      </c>
    </row>
    <row r="1915">
      <c r="A1915" s="21" t="n">
        <v>1899</v>
      </c>
      <c r="B1915" s="22">
        <f>IF(AND($M1915="",$N1915=""),"",IF($M1915&lt;&gt;"",INDEX(CalcDateA,$M1915),INDEX(CalcDateB,$N1915)))</f>
        <v/>
      </c>
      <c r="C1915" s="22">
        <f>IF($M1915&lt;&gt;"","خرید سبد",IF($N1915&lt;&gt;"",IF(N(INDEX(CalcDepB,$N1915))&gt;0,"دریافت بانکی","پرداخت بانکی"),""))</f>
        <v/>
      </c>
      <c r="D1915" s="22">
        <f>IF($M1915&lt;&gt;"",IF(INDEX(CalcDocA,$M1915)="","—",INDEX(CalcDocA,$M1915)),IF($N1915&lt;&gt;"",INDEX(CalcBankB,$N1915),""))</f>
        <v/>
      </c>
      <c r="E1915" s="23">
        <f>IF($N1915&lt;&gt;"",IF(INDEX(CalcDepB,$N1915)=0,"",INDEX(CalcDepB,$N1915)),"")</f>
        <v/>
      </c>
      <c r="F1915" s="23">
        <f>IF($M1915&lt;&gt;"",IF(INDEX(CalcQtyA,$M1915)=0,"",INDEX(CalcQtyA,$M1915)),"")</f>
        <v/>
      </c>
      <c r="G1915" s="23">
        <f>IF($M1915&lt;&gt;"",IF(INDEX(CalcPriceA,$M1915)=0,"",INDEX(CalcPriceA,$M1915)),"")</f>
        <v/>
      </c>
      <c r="H1915" s="23">
        <f>IF($N1915&lt;&gt;"",IF(INDEX(CalcWitB,$N1915)=0,"",INDEX(CalcWitB,$N1915)),"")</f>
        <v/>
      </c>
      <c r="I1915" s="24">
        <f>IF($M1915&lt;&gt;"",INDEX(CalcAmtA,$M1915),"")</f>
        <v/>
      </c>
      <c r="J1915" s="24">
        <f>IF($B1915="","",IF($J1914="",$C$8,$J1914)+IF($I1915="",0,$I1915)+IF($E1915="",0,$E1915)-IF($H1915="",0,$H1915))</f>
        <v/>
      </c>
      <c r="K1915" s="25">
        <f>IF($M1915&lt;&gt;"",IF(INDEX(CalcNoteA,$M1915)="","—",INDEX(CalcNoteA,$M1915)),IF($N1915&lt;&gt;"",IF(INDEX(CalcNoteB,$N1915)="","—",INDEX(CalcNoteB,$N1915)),""))</f>
        <v/>
      </c>
      <c r="M1915">
        <f>IFERROR(MATCH($C$5&amp;"|"&amp;RIGHT("000000"&amp;1899,6),CalcRankKeyA,0),"")</f>
        <v/>
      </c>
      <c r="N1915">
        <f>IFERROR(MATCH($C$5&amp;"|"&amp;RIGHT("000000"&amp;1899,6),CalcRankKeyB,0),"")</f>
        <v/>
      </c>
    </row>
    <row r="1916">
      <c r="A1916" s="26" t="n">
        <v>1900</v>
      </c>
      <c r="B1916" s="27">
        <f>IF(AND($M1916="",$N1916=""),"",IF($M1916&lt;&gt;"",INDEX(CalcDateA,$M1916),INDEX(CalcDateB,$N1916)))</f>
        <v/>
      </c>
      <c r="C1916" s="27">
        <f>IF($M1916&lt;&gt;"","خرید سبد",IF($N1916&lt;&gt;"",IF(N(INDEX(CalcDepB,$N1916))&gt;0,"دریافت بانکی","پرداخت بانکی"),""))</f>
        <v/>
      </c>
      <c r="D1916" s="27">
        <f>IF($M1916&lt;&gt;"",IF(INDEX(CalcDocA,$M1916)="","—",INDEX(CalcDocA,$M1916)),IF($N1916&lt;&gt;"",INDEX(CalcBankB,$N1916),""))</f>
        <v/>
      </c>
      <c r="E1916" s="28">
        <f>IF($N1916&lt;&gt;"",IF(INDEX(CalcDepB,$N1916)=0,"",INDEX(CalcDepB,$N1916)),"")</f>
        <v/>
      </c>
      <c r="F1916" s="28">
        <f>IF($M1916&lt;&gt;"",IF(INDEX(CalcQtyA,$M1916)=0,"",INDEX(CalcQtyA,$M1916)),"")</f>
        <v/>
      </c>
      <c r="G1916" s="28">
        <f>IF($M1916&lt;&gt;"",IF(INDEX(CalcPriceA,$M1916)=0,"",INDEX(CalcPriceA,$M1916)),"")</f>
        <v/>
      </c>
      <c r="H1916" s="28">
        <f>IF($N1916&lt;&gt;"",IF(INDEX(CalcWitB,$N1916)=0,"",INDEX(CalcWitB,$N1916)),"")</f>
        <v/>
      </c>
      <c r="I1916" s="29">
        <f>IF($M1916&lt;&gt;"",INDEX(CalcAmtA,$M1916),"")</f>
        <v/>
      </c>
      <c r="J1916" s="29">
        <f>IF($B1916="","",IF($J1915="",$C$8,$J1915)+IF($I1916="",0,$I1916)+IF($E1916="",0,$E1916)-IF($H1916="",0,$H1916))</f>
        <v/>
      </c>
      <c r="K1916" s="30">
        <f>IF($M1916&lt;&gt;"",IF(INDEX(CalcNoteA,$M1916)="","—",INDEX(CalcNoteA,$M1916)),IF($N1916&lt;&gt;"",IF(INDEX(CalcNoteB,$N1916)="","—",INDEX(CalcNoteB,$N1916)),""))</f>
        <v/>
      </c>
      <c r="M1916">
        <f>IFERROR(MATCH($C$5&amp;"|"&amp;RIGHT("000000"&amp;1900,6),CalcRankKeyA,0),"")</f>
        <v/>
      </c>
      <c r="N1916">
        <f>IFERROR(MATCH($C$5&amp;"|"&amp;RIGHT("000000"&amp;1900,6),CalcRankKeyB,0),"")</f>
        <v/>
      </c>
    </row>
    <row r="1917">
      <c r="A1917" s="21" t="n">
        <v>1901</v>
      </c>
      <c r="B1917" s="22">
        <f>IF(AND($M1917="",$N1917=""),"",IF($M1917&lt;&gt;"",INDEX(CalcDateA,$M1917),INDEX(CalcDateB,$N1917)))</f>
        <v/>
      </c>
      <c r="C1917" s="22">
        <f>IF($M1917&lt;&gt;"","خرید سبد",IF($N1917&lt;&gt;"",IF(N(INDEX(CalcDepB,$N1917))&gt;0,"دریافت بانکی","پرداخت بانکی"),""))</f>
        <v/>
      </c>
      <c r="D1917" s="22">
        <f>IF($M1917&lt;&gt;"",IF(INDEX(CalcDocA,$M1917)="","—",INDEX(CalcDocA,$M1917)),IF($N1917&lt;&gt;"",INDEX(CalcBankB,$N1917),""))</f>
        <v/>
      </c>
      <c r="E1917" s="23">
        <f>IF($N1917&lt;&gt;"",IF(INDEX(CalcDepB,$N1917)=0,"",INDEX(CalcDepB,$N1917)),"")</f>
        <v/>
      </c>
      <c r="F1917" s="23">
        <f>IF($M1917&lt;&gt;"",IF(INDEX(CalcQtyA,$M1917)=0,"",INDEX(CalcQtyA,$M1917)),"")</f>
        <v/>
      </c>
      <c r="G1917" s="23">
        <f>IF($M1917&lt;&gt;"",IF(INDEX(CalcPriceA,$M1917)=0,"",INDEX(CalcPriceA,$M1917)),"")</f>
        <v/>
      </c>
      <c r="H1917" s="23">
        <f>IF($N1917&lt;&gt;"",IF(INDEX(CalcWitB,$N1917)=0,"",INDEX(CalcWitB,$N1917)),"")</f>
        <v/>
      </c>
      <c r="I1917" s="24">
        <f>IF($M1917&lt;&gt;"",INDEX(CalcAmtA,$M1917),"")</f>
        <v/>
      </c>
      <c r="J1917" s="24">
        <f>IF($B1917="","",IF($J1916="",$C$8,$J1916)+IF($I1917="",0,$I1917)+IF($E1917="",0,$E1917)-IF($H1917="",0,$H1917))</f>
        <v/>
      </c>
      <c r="K1917" s="25">
        <f>IF($M1917&lt;&gt;"",IF(INDEX(CalcNoteA,$M1917)="","—",INDEX(CalcNoteA,$M1917)),IF($N1917&lt;&gt;"",IF(INDEX(CalcNoteB,$N1917)="","—",INDEX(CalcNoteB,$N1917)),""))</f>
        <v/>
      </c>
      <c r="M1917">
        <f>IFERROR(MATCH($C$5&amp;"|"&amp;RIGHT("000000"&amp;1901,6),CalcRankKeyA,0),"")</f>
        <v/>
      </c>
      <c r="N1917">
        <f>IFERROR(MATCH($C$5&amp;"|"&amp;RIGHT("000000"&amp;1901,6),CalcRankKeyB,0),"")</f>
        <v/>
      </c>
    </row>
    <row r="1918">
      <c r="A1918" s="26" t="n">
        <v>1902</v>
      </c>
      <c r="B1918" s="27">
        <f>IF(AND($M1918="",$N1918=""),"",IF($M1918&lt;&gt;"",INDEX(CalcDateA,$M1918),INDEX(CalcDateB,$N1918)))</f>
        <v/>
      </c>
      <c r="C1918" s="27">
        <f>IF($M1918&lt;&gt;"","خرید سبد",IF($N1918&lt;&gt;"",IF(N(INDEX(CalcDepB,$N1918))&gt;0,"دریافت بانکی","پرداخت بانکی"),""))</f>
        <v/>
      </c>
      <c r="D1918" s="27">
        <f>IF($M1918&lt;&gt;"",IF(INDEX(CalcDocA,$M1918)="","—",INDEX(CalcDocA,$M1918)),IF($N1918&lt;&gt;"",INDEX(CalcBankB,$N1918),""))</f>
        <v/>
      </c>
      <c r="E1918" s="28">
        <f>IF($N1918&lt;&gt;"",IF(INDEX(CalcDepB,$N1918)=0,"",INDEX(CalcDepB,$N1918)),"")</f>
        <v/>
      </c>
      <c r="F1918" s="28">
        <f>IF($M1918&lt;&gt;"",IF(INDEX(CalcQtyA,$M1918)=0,"",INDEX(CalcQtyA,$M1918)),"")</f>
        <v/>
      </c>
      <c r="G1918" s="28">
        <f>IF($M1918&lt;&gt;"",IF(INDEX(CalcPriceA,$M1918)=0,"",INDEX(CalcPriceA,$M1918)),"")</f>
        <v/>
      </c>
      <c r="H1918" s="28">
        <f>IF($N1918&lt;&gt;"",IF(INDEX(CalcWitB,$N1918)=0,"",INDEX(CalcWitB,$N1918)),"")</f>
        <v/>
      </c>
      <c r="I1918" s="29">
        <f>IF($M1918&lt;&gt;"",INDEX(CalcAmtA,$M1918),"")</f>
        <v/>
      </c>
      <c r="J1918" s="29">
        <f>IF($B1918="","",IF($J1917="",$C$8,$J1917)+IF($I1918="",0,$I1918)+IF($E1918="",0,$E1918)-IF($H1918="",0,$H1918))</f>
        <v/>
      </c>
      <c r="K1918" s="30">
        <f>IF($M1918&lt;&gt;"",IF(INDEX(CalcNoteA,$M1918)="","—",INDEX(CalcNoteA,$M1918)),IF($N1918&lt;&gt;"",IF(INDEX(CalcNoteB,$N1918)="","—",INDEX(CalcNoteB,$N1918)),""))</f>
        <v/>
      </c>
      <c r="M1918">
        <f>IFERROR(MATCH($C$5&amp;"|"&amp;RIGHT("000000"&amp;1902,6),CalcRankKeyA,0),"")</f>
        <v/>
      </c>
      <c r="N1918">
        <f>IFERROR(MATCH($C$5&amp;"|"&amp;RIGHT("000000"&amp;1902,6),CalcRankKeyB,0),"")</f>
        <v/>
      </c>
    </row>
    <row r="1919">
      <c r="A1919" s="21" t="n">
        <v>1903</v>
      </c>
      <c r="B1919" s="22">
        <f>IF(AND($M1919="",$N1919=""),"",IF($M1919&lt;&gt;"",INDEX(CalcDateA,$M1919),INDEX(CalcDateB,$N1919)))</f>
        <v/>
      </c>
      <c r="C1919" s="22">
        <f>IF($M1919&lt;&gt;"","خرید سبد",IF($N1919&lt;&gt;"",IF(N(INDEX(CalcDepB,$N1919))&gt;0,"دریافت بانکی","پرداخت بانکی"),""))</f>
        <v/>
      </c>
      <c r="D1919" s="22">
        <f>IF($M1919&lt;&gt;"",IF(INDEX(CalcDocA,$M1919)="","—",INDEX(CalcDocA,$M1919)),IF($N1919&lt;&gt;"",INDEX(CalcBankB,$N1919),""))</f>
        <v/>
      </c>
      <c r="E1919" s="23">
        <f>IF($N1919&lt;&gt;"",IF(INDEX(CalcDepB,$N1919)=0,"",INDEX(CalcDepB,$N1919)),"")</f>
        <v/>
      </c>
      <c r="F1919" s="23">
        <f>IF($M1919&lt;&gt;"",IF(INDEX(CalcQtyA,$M1919)=0,"",INDEX(CalcQtyA,$M1919)),"")</f>
        <v/>
      </c>
      <c r="G1919" s="23">
        <f>IF($M1919&lt;&gt;"",IF(INDEX(CalcPriceA,$M1919)=0,"",INDEX(CalcPriceA,$M1919)),"")</f>
        <v/>
      </c>
      <c r="H1919" s="23">
        <f>IF($N1919&lt;&gt;"",IF(INDEX(CalcWitB,$N1919)=0,"",INDEX(CalcWitB,$N1919)),"")</f>
        <v/>
      </c>
      <c r="I1919" s="24">
        <f>IF($M1919&lt;&gt;"",INDEX(CalcAmtA,$M1919),"")</f>
        <v/>
      </c>
      <c r="J1919" s="24">
        <f>IF($B1919="","",IF($J1918="",$C$8,$J1918)+IF($I1919="",0,$I1919)+IF($E1919="",0,$E1919)-IF($H1919="",0,$H1919))</f>
        <v/>
      </c>
      <c r="K1919" s="25">
        <f>IF($M1919&lt;&gt;"",IF(INDEX(CalcNoteA,$M1919)="","—",INDEX(CalcNoteA,$M1919)),IF($N1919&lt;&gt;"",IF(INDEX(CalcNoteB,$N1919)="","—",INDEX(CalcNoteB,$N1919)),""))</f>
        <v/>
      </c>
      <c r="M1919">
        <f>IFERROR(MATCH($C$5&amp;"|"&amp;RIGHT("000000"&amp;1903,6),CalcRankKeyA,0),"")</f>
        <v/>
      </c>
      <c r="N1919">
        <f>IFERROR(MATCH($C$5&amp;"|"&amp;RIGHT("000000"&amp;1903,6),CalcRankKeyB,0),"")</f>
        <v/>
      </c>
    </row>
    <row r="1920">
      <c r="A1920" s="26" t="n">
        <v>1904</v>
      </c>
      <c r="B1920" s="27">
        <f>IF(AND($M1920="",$N1920=""),"",IF($M1920&lt;&gt;"",INDEX(CalcDateA,$M1920),INDEX(CalcDateB,$N1920)))</f>
        <v/>
      </c>
      <c r="C1920" s="27">
        <f>IF($M1920&lt;&gt;"","خرید سبد",IF($N1920&lt;&gt;"",IF(N(INDEX(CalcDepB,$N1920))&gt;0,"دریافت بانکی","پرداخت بانکی"),""))</f>
        <v/>
      </c>
      <c r="D1920" s="27">
        <f>IF($M1920&lt;&gt;"",IF(INDEX(CalcDocA,$M1920)="","—",INDEX(CalcDocA,$M1920)),IF($N1920&lt;&gt;"",INDEX(CalcBankB,$N1920),""))</f>
        <v/>
      </c>
      <c r="E1920" s="28">
        <f>IF($N1920&lt;&gt;"",IF(INDEX(CalcDepB,$N1920)=0,"",INDEX(CalcDepB,$N1920)),"")</f>
        <v/>
      </c>
      <c r="F1920" s="28">
        <f>IF($M1920&lt;&gt;"",IF(INDEX(CalcQtyA,$M1920)=0,"",INDEX(CalcQtyA,$M1920)),"")</f>
        <v/>
      </c>
      <c r="G1920" s="28">
        <f>IF($M1920&lt;&gt;"",IF(INDEX(CalcPriceA,$M1920)=0,"",INDEX(CalcPriceA,$M1920)),"")</f>
        <v/>
      </c>
      <c r="H1920" s="28">
        <f>IF($N1920&lt;&gt;"",IF(INDEX(CalcWitB,$N1920)=0,"",INDEX(CalcWitB,$N1920)),"")</f>
        <v/>
      </c>
      <c r="I1920" s="29">
        <f>IF($M1920&lt;&gt;"",INDEX(CalcAmtA,$M1920),"")</f>
        <v/>
      </c>
      <c r="J1920" s="29">
        <f>IF($B1920="","",IF($J1919="",$C$8,$J1919)+IF($I1920="",0,$I1920)+IF($E1920="",0,$E1920)-IF($H1920="",0,$H1920))</f>
        <v/>
      </c>
      <c r="K1920" s="30">
        <f>IF($M1920&lt;&gt;"",IF(INDEX(CalcNoteA,$M1920)="","—",INDEX(CalcNoteA,$M1920)),IF($N1920&lt;&gt;"",IF(INDEX(CalcNoteB,$N1920)="","—",INDEX(CalcNoteB,$N1920)),""))</f>
        <v/>
      </c>
      <c r="M1920">
        <f>IFERROR(MATCH($C$5&amp;"|"&amp;RIGHT("000000"&amp;1904,6),CalcRankKeyA,0),"")</f>
        <v/>
      </c>
      <c r="N1920">
        <f>IFERROR(MATCH($C$5&amp;"|"&amp;RIGHT("000000"&amp;1904,6),CalcRankKeyB,0),"")</f>
        <v/>
      </c>
    </row>
    <row r="1921">
      <c r="A1921" s="21" t="n">
        <v>1905</v>
      </c>
      <c r="B1921" s="22">
        <f>IF(AND($M1921="",$N1921=""),"",IF($M1921&lt;&gt;"",INDEX(CalcDateA,$M1921),INDEX(CalcDateB,$N1921)))</f>
        <v/>
      </c>
      <c r="C1921" s="22">
        <f>IF($M1921&lt;&gt;"","خرید سبد",IF($N1921&lt;&gt;"",IF(N(INDEX(CalcDepB,$N1921))&gt;0,"دریافت بانکی","پرداخت بانکی"),""))</f>
        <v/>
      </c>
      <c r="D1921" s="22">
        <f>IF($M1921&lt;&gt;"",IF(INDEX(CalcDocA,$M1921)="","—",INDEX(CalcDocA,$M1921)),IF($N1921&lt;&gt;"",INDEX(CalcBankB,$N1921),""))</f>
        <v/>
      </c>
      <c r="E1921" s="23">
        <f>IF($N1921&lt;&gt;"",IF(INDEX(CalcDepB,$N1921)=0,"",INDEX(CalcDepB,$N1921)),"")</f>
        <v/>
      </c>
      <c r="F1921" s="23">
        <f>IF($M1921&lt;&gt;"",IF(INDEX(CalcQtyA,$M1921)=0,"",INDEX(CalcQtyA,$M1921)),"")</f>
        <v/>
      </c>
      <c r="G1921" s="23">
        <f>IF($M1921&lt;&gt;"",IF(INDEX(CalcPriceA,$M1921)=0,"",INDEX(CalcPriceA,$M1921)),"")</f>
        <v/>
      </c>
      <c r="H1921" s="23">
        <f>IF($N1921&lt;&gt;"",IF(INDEX(CalcWitB,$N1921)=0,"",INDEX(CalcWitB,$N1921)),"")</f>
        <v/>
      </c>
      <c r="I1921" s="24">
        <f>IF($M1921&lt;&gt;"",INDEX(CalcAmtA,$M1921),"")</f>
        <v/>
      </c>
      <c r="J1921" s="24">
        <f>IF($B1921="","",IF($J1920="",$C$8,$J1920)+IF($I1921="",0,$I1921)+IF($E1921="",0,$E1921)-IF($H1921="",0,$H1921))</f>
        <v/>
      </c>
      <c r="K1921" s="25">
        <f>IF($M1921&lt;&gt;"",IF(INDEX(CalcNoteA,$M1921)="","—",INDEX(CalcNoteA,$M1921)),IF($N1921&lt;&gt;"",IF(INDEX(CalcNoteB,$N1921)="","—",INDEX(CalcNoteB,$N1921)),""))</f>
        <v/>
      </c>
      <c r="M1921">
        <f>IFERROR(MATCH($C$5&amp;"|"&amp;RIGHT("000000"&amp;1905,6),CalcRankKeyA,0),"")</f>
        <v/>
      </c>
      <c r="N1921">
        <f>IFERROR(MATCH($C$5&amp;"|"&amp;RIGHT("000000"&amp;1905,6),CalcRankKeyB,0),"")</f>
        <v/>
      </c>
    </row>
    <row r="1922">
      <c r="A1922" s="26" t="n">
        <v>1906</v>
      </c>
      <c r="B1922" s="27">
        <f>IF(AND($M1922="",$N1922=""),"",IF($M1922&lt;&gt;"",INDEX(CalcDateA,$M1922),INDEX(CalcDateB,$N1922)))</f>
        <v/>
      </c>
      <c r="C1922" s="27">
        <f>IF($M1922&lt;&gt;"","خرید سبد",IF($N1922&lt;&gt;"",IF(N(INDEX(CalcDepB,$N1922))&gt;0,"دریافت بانکی","پرداخت بانکی"),""))</f>
        <v/>
      </c>
      <c r="D1922" s="27">
        <f>IF($M1922&lt;&gt;"",IF(INDEX(CalcDocA,$M1922)="","—",INDEX(CalcDocA,$M1922)),IF($N1922&lt;&gt;"",INDEX(CalcBankB,$N1922),""))</f>
        <v/>
      </c>
      <c r="E1922" s="28">
        <f>IF($N1922&lt;&gt;"",IF(INDEX(CalcDepB,$N1922)=0,"",INDEX(CalcDepB,$N1922)),"")</f>
        <v/>
      </c>
      <c r="F1922" s="28">
        <f>IF($M1922&lt;&gt;"",IF(INDEX(CalcQtyA,$M1922)=0,"",INDEX(CalcQtyA,$M1922)),"")</f>
        <v/>
      </c>
      <c r="G1922" s="28">
        <f>IF($M1922&lt;&gt;"",IF(INDEX(CalcPriceA,$M1922)=0,"",INDEX(CalcPriceA,$M1922)),"")</f>
        <v/>
      </c>
      <c r="H1922" s="28">
        <f>IF($N1922&lt;&gt;"",IF(INDEX(CalcWitB,$N1922)=0,"",INDEX(CalcWitB,$N1922)),"")</f>
        <v/>
      </c>
      <c r="I1922" s="29">
        <f>IF($M1922&lt;&gt;"",INDEX(CalcAmtA,$M1922),"")</f>
        <v/>
      </c>
      <c r="J1922" s="29">
        <f>IF($B1922="","",IF($J1921="",$C$8,$J1921)+IF($I1922="",0,$I1922)+IF($E1922="",0,$E1922)-IF($H1922="",0,$H1922))</f>
        <v/>
      </c>
      <c r="K1922" s="30">
        <f>IF($M1922&lt;&gt;"",IF(INDEX(CalcNoteA,$M1922)="","—",INDEX(CalcNoteA,$M1922)),IF($N1922&lt;&gt;"",IF(INDEX(CalcNoteB,$N1922)="","—",INDEX(CalcNoteB,$N1922)),""))</f>
        <v/>
      </c>
      <c r="M1922">
        <f>IFERROR(MATCH($C$5&amp;"|"&amp;RIGHT("000000"&amp;1906,6),CalcRankKeyA,0),"")</f>
        <v/>
      </c>
      <c r="N1922">
        <f>IFERROR(MATCH($C$5&amp;"|"&amp;RIGHT("000000"&amp;1906,6),CalcRankKeyB,0),"")</f>
        <v/>
      </c>
    </row>
    <row r="1923">
      <c r="A1923" s="21" t="n">
        <v>1907</v>
      </c>
      <c r="B1923" s="22">
        <f>IF(AND($M1923="",$N1923=""),"",IF($M1923&lt;&gt;"",INDEX(CalcDateA,$M1923),INDEX(CalcDateB,$N1923)))</f>
        <v/>
      </c>
      <c r="C1923" s="22">
        <f>IF($M1923&lt;&gt;"","خرید سبد",IF($N1923&lt;&gt;"",IF(N(INDEX(CalcDepB,$N1923))&gt;0,"دریافت بانکی","پرداخت بانکی"),""))</f>
        <v/>
      </c>
      <c r="D1923" s="22">
        <f>IF($M1923&lt;&gt;"",IF(INDEX(CalcDocA,$M1923)="","—",INDEX(CalcDocA,$M1923)),IF($N1923&lt;&gt;"",INDEX(CalcBankB,$N1923),""))</f>
        <v/>
      </c>
      <c r="E1923" s="23">
        <f>IF($N1923&lt;&gt;"",IF(INDEX(CalcDepB,$N1923)=0,"",INDEX(CalcDepB,$N1923)),"")</f>
        <v/>
      </c>
      <c r="F1923" s="23">
        <f>IF($M1923&lt;&gt;"",IF(INDEX(CalcQtyA,$M1923)=0,"",INDEX(CalcQtyA,$M1923)),"")</f>
        <v/>
      </c>
      <c r="G1923" s="23">
        <f>IF($M1923&lt;&gt;"",IF(INDEX(CalcPriceA,$M1923)=0,"",INDEX(CalcPriceA,$M1923)),"")</f>
        <v/>
      </c>
      <c r="H1923" s="23">
        <f>IF($N1923&lt;&gt;"",IF(INDEX(CalcWitB,$N1923)=0,"",INDEX(CalcWitB,$N1923)),"")</f>
        <v/>
      </c>
      <c r="I1923" s="24">
        <f>IF($M1923&lt;&gt;"",INDEX(CalcAmtA,$M1923),"")</f>
        <v/>
      </c>
      <c r="J1923" s="24">
        <f>IF($B1923="","",IF($J1922="",$C$8,$J1922)+IF($I1923="",0,$I1923)+IF($E1923="",0,$E1923)-IF($H1923="",0,$H1923))</f>
        <v/>
      </c>
      <c r="K1923" s="25">
        <f>IF($M1923&lt;&gt;"",IF(INDEX(CalcNoteA,$M1923)="","—",INDEX(CalcNoteA,$M1923)),IF($N1923&lt;&gt;"",IF(INDEX(CalcNoteB,$N1923)="","—",INDEX(CalcNoteB,$N1923)),""))</f>
        <v/>
      </c>
      <c r="M1923">
        <f>IFERROR(MATCH($C$5&amp;"|"&amp;RIGHT("000000"&amp;1907,6),CalcRankKeyA,0),"")</f>
        <v/>
      </c>
      <c r="N1923">
        <f>IFERROR(MATCH($C$5&amp;"|"&amp;RIGHT("000000"&amp;1907,6),CalcRankKeyB,0),"")</f>
        <v/>
      </c>
    </row>
    <row r="1924">
      <c r="A1924" s="26" t="n">
        <v>1908</v>
      </c>
      <c r="B1924" s="27">
        <f>IF(AND($M1924="",$N1924=""),"",IF($M1924&lt;&gt;"",INDEX(CalcDateA,$M1924),INDEX(CalcDateB,$N1924)))</f>
        <v/>
      </c>
      <c r="C1924" s="27">
        <f>IF($M1924&lt;&gt;"","خرید سبد",IF($N1924&lt;&gt;"",IF(N(INDEX(CalcDepB,$N1924))&gt;0,"دریافت بانکی","پرداخت بانکی"),""))</f>
        <v/>
      </c>
      <c r="D1924" s="27">
        <f>IF($M1924&lt;&gt;"",IF(INDEX(CalcDocA,$M1924)="","—",INDEX(CalcDocA,$M1924)),IF($N1924&lt;&gt;"",INDEX(CalcBankB,$N1924),""))</f>
        <v/>
      </c>
      <c r="E1924" s="28">
        <f>IF($N1924&lt;&gt;"",IF(INDEX(CalcDepB,$N1924)=0,"",INDEX(CalcDepB,$N1924)),"")</f>
        <v/>
      </c>
      <c r="F1924" s="28">
        <f>IF($M1924&lt;&gt;"",IF(INDEX(CalcQtyA,$M1924)=0,"",INDEX(CalcQtyA,$M1924)),"")</f>
        <v/>
      </c>
      <c r="G1924" s="28">
        <f>IF($M1924&lt;&gt;"",IF(INDEX(CalcPriceA,$M1924)=0,"",INDEX(CalcPriceA,$M1924)),"")</f>
        <v/>
      </c>
      <c r="H1924" s="28">
        <f>IF($N1924&lt;&gt;"",IF(INDEX(CalcWitB,$N1924)=0,"",INDEX(CalcWitB,$N1924)),"")</f>
        <v/>
      </c>
      <c r="I1924" s="29">
        <f>IF($M1924&lt;&gt;"",INDEX(CalcAmtA,$M1924),"")</f>
        <v/>
      </c>
      <c r="J1924" s="29">
        <f>IF($B1924="","",IF($J1923="",$C$8,$J1923)+IF($I1924="",0,$I1924)+IF($E1924="",0,$E1924)-IF($H1924="",0,$H1924))</f>
        <v/>
      </c>
      <c r="K1924" s="30">
        <f>IF($M1924&lt;&gt;"",IF(INDEX(CalcNoteA,$M1924)="","—",INDEX(CalcNoteA,$M1924)),IF($N1924&lt;&gt;"",IF(INDEX(CalcNoteB,$N1924)="","—",INDEX(CalcNoteB,$N1924)),""))</f>
        <v/>
      </c>
      <c r="M1924">
        <f>IFERROR(MATCH($C$5&amp;"|"&amp;RIGHT("000000"&amp;1908,6),CalcRankKeyA,0),"")</f>
        <v/>
      </c>
      <c r="N1924">
        <f>IFERROR(MATCH($C$5&amp;"|"&amp;RIGHT("000000"&amp;1908,6),CalcRankKeyB,0),"")</f>
        <v/>
      </c>
    </row>
    <row r="1925">
      <c r="A1925" s="21" t="n">
        <v>1909</v>
      </c>
      <c r="B1925" s="22">
        <f>IF(AND($M1925="",$N1925=""),"",IF($M1925&lt;&gt;"",INDEX(CalcDateA,$M1925),INDEX(CalcDateB,$N1925)))</f>
        <v/>
      </c>
      <c r="C1925" s="22">
        <f>IF($M1925&lt;&gt;"","خرید سبد",IF($N1925&lt;&gt;"",IF(N(INDEX(CalcDepB,$N1925))&gt;0,"دریافت بانکی","پرداخت بانکی"),""))</f>
        <v/>
      </c>
      <c r="D1925" s="22">
        <f>IF($M1925&lt;&gt;"",IF(INDEX(CalcDocA,$M1925)="","—",INDEX(CalcDocA,$M1925)),IF($N1925&lt;&gt;"",INDEX(CalcBankB,$N1925),""))</f>
        <v/>
      </c>
      <c r="E1925" s="23">
        <f>IF($N1925&lt;&gt;"",IF(INDEX(CalcDepB,$N1925)=0,"",INDEX(CalcDepB,$N1925)),"")</f>
        <v/>
      </c>
      <c r="F1925" s="23">
        <f>IF($M1925&lt;&gt;"",IF(INDEX(CalcQtyA,$M1925)=0,"",INDEX(CalcQtyA,$M1925)),"")</f>
        <v/>
      </c>
      <c r="G1925" s="23">
        <f>IF($M1925&lt;&gt;"",IF(INDEX(CalcPriceA,$M1925)=0,"",INDEX(CalcPriceA,$M1925)),"")</f>
        <v/>
      </c>
      <c r="H1925" s="23">
        <f>IF($N1925&lt;&gt;"",IF(INDEX(CalcWitB,$N1925)=0,"",INDEX(CalcWitB,$N1925)),"")</f>
        <v/>
      </c>
      <c r="I1925" s="24">
        <f>IF($M1925&lt;&gt;"",INDEX(CalcAmtA,$M1925),"")</f>
        <v/>
      </c>
      <c r="J1925" s="24">
        <f>IF($B1925="","",IF($J1924="",$C$8,$J1924)+IF($I1925="",0,$I1925)+IF($E1925="",0,$E1925)-IF($H1925="",0,$H1925))</f>
        <v/>
      </c>
      <c r="K1925" s="25">
        <f>IF($M1925&lt;&gt;"",IF(INDEX(CalcNoteA,$M1925)="","—",INDEX(CalcNoteA,$M1925)),IF($N1925&lt;&gt;"",IF(INDEX(CalcNoteB,$N1925)="","—",INDEX(CalcNoteB,$N1925)),""))</f>
        <v/>
      </c>
      <c r="M1925">
        <f>IFERROR(MATCH($C$5&amp;"|"&amp;RIGHT("000000"&amp;1909,6),CalcRankKeyA,0),"")</f>
        <v/>
      </c>
      <c r="N1925">
        <f>IFERROR(MATCH($C$5&amp;"|"&amp;RIGHT("000000"&amp;1909,6),CalcRankKeyB,0),"")</f>
        <v/>
      </c>
    </row>
    <row r="1926">
      <c r="A1926" s="26" t="n">
        <v>1910</v>
      </c>
      <c r="B1926" s="27">
        <f>IF(AND($M1926="",$N1926=""),"",IF($M1926&lt;&gt;"",INDEX(CalcDateA,$M1926),INDEX(CalcDateB,$N1926)))</f>
        <v/>
      </c>
      <c r="C1926" s="27">
        <f>IF($M1926&lt;&gt;"","خرید سبد",IF($N1926&lt;&gt;"",IF(N(INDEX(CalcDepB,$N1926))&gt;0,"دریافت بانکی","پرداخت بانکی"),""))</f>
        <v/>
      </c>
      <c r="D1926" s="27">
        <f>IF($M1926&lt;&gt;"",IF(INDEX(CalcDocA,$M1926)="","—",INDEX(CalcDocA,$M1926)),IF($N1926&lt;&gt;"",INDEX(CalcBankB,$N1926),""))</f>
        <v/>
      </c>
      <c r="E1926" s="28">
        <f>IF($N1926&lt;&gt;"",IF(INDEX(CalcDepB,$N1926)=0,"",INDEX(CalcDepB,$N1926)),"")</f>
        <v/>
      </c>
      <c r="F1926" s="28">
        <f>IF($M1926&lt;&gt;"",IF(INDEX(CalcQtyA,$M1926)=0,"",INDEX(CalcQtyA,$M1926)),"")</f>
        <v/>
      </c>
      <c r="G1926" s="28">
        <f>IF($M1926&lt;&gt;"",IF(INDEX(CalcPriceA,$M1926)=0,"",INDEX(CalcPriceA,$M1926)),"")</f>
        <v/>
      </c>
      <c r="H1926" s="28">
        <f>IF($N1926&lt;&gt;"",IF(INDEX(CalcWitB,$N1926)=0,"",INDEX(CalcWitB,$N1926)),"")</f>
        <v/>
      </c>
      <c r="I1926" s="29">
        <f>IF($M1926&lt;&gt;"",INDEX(CalcAmtA,$M1926),"")</f>
        <v/>
      </c>
      <c r="J1926" s="29">
        <f>IF($B1926="","",IF($J1925="",$C$8,$J1925)+IF($I1926="",0,$I1926)+IF($E1926="",0,$E1926)-IF($H1926="",0,$H1926))</f>
        <v/>
      </c>
      <c r="K1926" s="30">
        <f>IF($M1926&lt;&gt;"",IF(INDEX(CalcNoteA,$M1926)="","—",INDEX(CalcNoteA,$M1926)),IF($N1926&lt;&gt;"",IF(INDEX(CalcNoteB,$N1926)="","—",INDEX(CalcNoteB,$N1926)),""))</f>
        <v/>
      </c>
      <c r="M1926">
        <f>IFERROR(MATCH($C$5&amp;"|"&amp;RIGHT("000000"&amp;1910,6),CalcRankKeyA,0),"")</f>
        <v/>
      </c>
      <c r="N1926">
        <f>IFERROR(MATCH($C$5&amp;"|"&amp;RIGHT("000000"&amp;1910,6),CalcRankKeyB,0),"")</f>
        <v/>
      </c>
    </row>
    <row r="1927">
      <c r="A1927" s="21" t="n">
        <v>1911</v>
      </c>
      <c r="B1927" s="22">
        <f>IF(AND($M1927="",$N1927=""),"",IF($M1927&lt;&gt;"",INDEX(CalcDateA,$M1927),INDEX(CalcDateB,$N1927)))</f>
        <v/>
      </c>
      <c r="C1927" s="22">
        <f>IF($M1927&lt;&gt;"","خرید سبد",IF($N1927&lt;&gt;"",IF(N(INDEX(CalcDepB,$N1927))&gt;0,"دریافت بانکی","پرداخت بانکی"),""))</f>
        <v/>
      </c>
      <c r="D1927" s="22">
        <f>IF($M1927&lt;&gt;"",IF(INDEX(CalcDocA,$M1927)="","—",INDEX(CalcDocA,$M1927)),IF($N1927&lt;&gt;"",INDEX(CalcBankB,$N1927),""))</f>
        <v/>
      </c>
      <c r="E1927" s="23">
        <f>IF($N1927&lt;&gt;"",IF(INDEX(CalcDepB,$N1927)=0,"",INDEX(CalcDepB,$N1927)),"")</f>
        <v/>
      </c>
      <c r="F1927" s="23">
        <f>IF($M1927&lt;&gt;"",IF(INDEX(CalcQtyA,$M1927)=0,"",INDEX(CalcQtyA,$M1927)),"")</f>
        <v/>
      </c>
      <c r="G1927" s="23">
        <f>IF($M1927&lt;&gt;"",IF(INDEX(CalcPriceA,$M1927)=0,"",INDEX(CalcPriceA,$M1927)),"")</f>
        <v/>
      </c>
      <c r="H1927" s="23">
        <f>IF($N1927&lt;&gt;"",IF(INDEX(CalcWitB,$N1927)=0,"",INDEX(CalcWitB,$N1927)),"")</f>
        <v/>
      </c>
      <c r="I1927" s="24">
        <f>IF($M1927&lt;&gt;"",INDEX(CalcAmtA,$M1927),"")</f>
        <v/>
      </c>
      <c r="J1927" s="24">
        <f>IF($B1927="","",IF($J1926="",$C$8,$J1926)+IF($I1927="",0,$I1927)+IF($E1927="",0,$E1927)-IF($H1927="",0,$H1927))</f>
        <v/>
      </c>
      <c r="K1927" s="25">
        <f>IF($M1927&lt;&gt;"",IF(INDEX(CalcNoteA,$M1927)="","—",INDEX(CalcNoteA,$M1927)),IF($N1927&lt;&gt;"",IF(INDEX(CalcNoteB,$N1927)="","—",INDEX(CalcNoteB,$N1927)),""))</f>
        <v/>
      </c>
      <c r="M1927">
        <f>IFERROR(MATCH($C$5&amp;"|"&amp;RIGHT("000000"&amp;1911,6),CalcRankKeyA,0),"")</f>
        <v/>
      </c>
      <c r="N1927">
        <f>IFERROR(MATCH($C$5&amp;"|"&amp;RIGHT("000000"&amp;1911,6),CalcRankKeyB,0),"")</f>
        <v/>
      </c>
    </row>
    <row r="1928">
      <c r="A1928" s="26" t="n">
        <v>1912</v>
      </c>
      <c r="B1928" s="27">
        <f>IF(AND($M1928="",$N1928=""),"",IF($M1928&lt;&gt;"",INDEX(CalcDateA,$M1928),INDEX(CalcDateB,$N1928)))</f>
        <v/>
      </c>
      <c r="C1928" s="27">
        <f>IF($M1928&lt;&gt;"","خرید سبد",IF($N1928&lt;&gt;"",IF(N(INDEX(CalcDepB,$N1928))&gt;0,"دریافت بانکی","پرداخت بانکی"),""))</f>
        <v/>
      </c>
      <c r="D1928" s="27">
        <f>IF($M1928&lt;&gt;"",IF(INDEX(CalcDocA,$M1928)="","—",INDEX(CalcDocA,$M1928)),IF($N1928&lt;&gt;"",INDEX(CalcBankB,$N1928),""))</f>
        <v/>
      </c>
      <c r="E1928" s="28">
        <f>IF($N1928&lt;&gt;"",IF(INDEX(CalcDepB,$N1928)=0,"",INDEX(CalcDepB,$N1928)),"")</f>
        <v/>
      </c>
      <c r="F1928" s="28">
        <f>IF($M1928&lt;&gt;"",IF(INDEX(CalcQtyA,$M1928)=0,"",INDEX(CalcQtyA,$M1928)),"")</f>
        <v/>
      </c>
      <c r="G1928" s="28">
        <f>IF($M1928&lt;&gt;"",IF(INDEX(CalcPriceA,$M1928)=0,"",INDEX(CalcPriceA,$M1928)),"")</f>
        <v/>
      </c>
      <c r="H1928" s="28">
        <f>IF($N1928&lt;&gt;"",IF(INDEX(CalcWitB,$N1928)=0,"",INDEX(CalcWitB,$N1928)),"")</f>
        <v/>
      </c>
      <c r="I1928" s="29">
        <f>IF($M1928&lt;&gt;"",INDEX(CalcAmtA,$M1928),"")</f>
        <v/>
      </c>
      <c r="J1928" s="29">
        <f>IF($B1928="","",IF($J1927="",$C$8,$J1927)+IF($I1928="",0,$I1928)+IF($E1928="",0,$E1928)-IF($H1928="",0,$H1928))</f>
        <v/>
      </c>
      <c r="K1928" s="30">
        <f>IF($M1928&lt;&gt;"",IF(INDEX(CalcNoteA,$M1928)="","—",INDEX(CalcNoteA,$M1928)),IF($N1928&lt;&gt;"",IF(INDEX(CalcNoteB,$N1928)="","—",INDEX(CalcNoteB,$N1928)),""))</f>
        <v/>
      </c>
      <c r="M1928">
        <f>IFERROR(MATCH($C$5&amp;"|"&amp;RIGHT("000000"&amp;1912,6),CalcRankKeyA,0),"")</f>
        <v/>
      </c>
      <c r="N1928">
        <f>IFERROR(MATCH($C$5&amp;"|"&amp;RIGHT("000000"&amp;1912,6),CalcRankKeyB,0),"")</f>
        <v/>
      </c>
    </row>
    <row r="1929">
      <c r="A1929" s="21" t="n">
        <v>1913</v>
      </c>
      <c r="B1929" s="22">
        <f>IF(AND($M1929="",$N1929=""),"",IF($M1929&lt;&gt;"",INDEX(CalcDateA,$M1929),INDEX(CalcDateB,$N1929)))</f>
        <v/>
      </c>
      <c r="C1929" s="22">
        <f>IF($M1929&lt;&gt;"","خرید سبد",IF($N1929&lt;&gt;"",IF(N(INDEX(CalcDepB,$N1929))&gt;0,"دریافت بانکی","پرداخت بانکی"),""))</f>
        <v/>
      </c>
      <c r="D1929" s="22">
        <f>IF($M1929&lt;&gt;"",IF(INDEX(CalcDocA,$M1929)="","—",INDEX(CalcDocA,$M1929)),IF($N1929&lt;&gt;"",INDEX(CalcBankB,$N1929),""))</f>
        <v/>
      </c>
      <c r="E1929" s="23">
        <f>IF($N1929&lt;&gt;"",IF(INDEX(CalcDepB,$N1929)=0,"",INDEX(CalcDepB,$N1929)),"")</f>
        <v/>
      </c>
      <c r="F1929" s="23">
        <f>IF($M1929&lt;&gt;"",IF(INDEX(CalcQtyA,$M1929)=0,"",INDEX(CalcQtyA,$M1929)),"")</f>
        <v/>
      </c>
      <c r="G1929" s="23">
        <f>IF($M1929&lt;&gt;"",IF(INDEX(CalcPriceA,$M1929)=0,"",INDEX(CalcPriceA,$M1929)),"")</f>
        <v/>
      </c>
      <c r="H1929" s="23">
        <f>IF($N1929&lt;&gt;"",IF(INDEX(CalcWitB,$N1929)=0,"",INDEX(CalcWitB,$N1929)),"")</f>
        <v/>
      </c>
      <c r="I1929" s="24">
        <f>IF($M1929&lt;&gt;"",INDEX(CalcAmtA,$M1929),"")</f>
        <v/>
      </c>
      <c r="J1929" s="24">
        <f>IF($B1929="","",IF($J1928="",$C$8,$J1928)+IF($I1929="",0,$I1929)+IF($E1929="",0,$E1929)-IF($H1929="",0,$H1929))</f>
        <v/>
      </c>
      <c r="K1929" s="25">
        <f>IF($M1929&lt;&gt;"",IF(INDEX(CalcNoteA,$M1929)="","—",INDEX(CalcNoteA,$M1929)),IF($N1929&lt;&gt;"",IF(INDEX(CalcNoteB,$N1929)="","—",INDEX(CalcNoteB,$N1929)),""))</f>
        <v/>
      </c>
      <c r="M1929">
        <f>IFERROR(MATCH($C$5&amp;"|"&amp;RIGHT("000000"&amp;1913,6),CalcRankKeyA,0),"")</f>
        <v/>
      </c>
      <c r="N1929">
        <f>IFERROR(MATCH($C$5&amp;"|"&amp;RIGHT("000000"&amp;1913,6),CalcRankKeyB,0),"")</f>
        <v/>
      </c>
    </row>
    <row r="1930">
      <c r="A1930" s="26" t="n">
        <v>1914</v>
      </c>
      <c r="B1930" s="27">
        <f>IF(AND($M1930="",$N1930=""),"",IF($M1930&lt;&gt;"",INDEX(CalcDateA,$M1930),INDEX(CalcDateB,$N1930)))</f>
        <v/>
      </c>
      <c r="C1930" s="27">
        <f>IF($M1930&lt;&gt;"","خرید سبد",IF($N1930&lt;&gt;"",IF(N(INDEX(CalcDepB,$N1930))&gt;0,"دریافت بانکی","پرداخت بانکی"),""))</f>
        <v/>
      </c>
      <c r="D1930" s="27">
        <f>IF($M1930&lt;&gt;"",IF(INDEX(CalcDocA,$M1930)="","—",INDEX(CalcDocA,$M1930)),IF($N1930&lt;&gt;"",INDEX(CalcBankB,$N1930),""))</f>
        <v/>
      </c>
      <c r="E1930" s="28">
        <f>IF($N1930&lt;&gt;"",IF(INDEX(CalcDepB,$N1930)=0,"",INDEX(CalcDepB,$N1930)),"")</f>
        <v/>
      </c>
      <c r="F1930" s="28">
        <f>IF($M1930&lt;&gt;"",IF(INDEX(CalcQtyA,$M1930)=0,"",INDEX(CalcQtyA,$M1930)),"")</f>
        <v/>
      </c>
      <c r="G1930" s="28">
        <f>IF($M1930&lt;&gt;"",IF(INDEX(CalcPriceA,$M1930)=0,"",INDEX(CalcPriceA,$M1930)),"")</f>
        <v/>
      </c>
      <c r="H1930" s="28">
        <f>IF($N1930&lt;&gt;"",IF(INDEX(CalcWitB,$N1930)=0,"",INDEX(CalcWitB,$N1930)),"")</f>
        <v/>
      </c>
      <c r="I1930" s="29">
        <f>IF($M1930&lt;&gt;"",INDEX(CalcAmtA,$M1930),"")</f>
        <v/>
      </c>
      <c r="J1930" s="29">
        <f>IF($B1930="","",IF($J1929="",$C$8,$J1929)+IF($I1930="",0,$I1930)+IF($E1930="",0,$E1930)-IF($H1930="",0,$H1930))</f>
        <v/>
      </c>
      <c r="K1930" s="30">
        <f>IF($M1930&lt;&gt;"",IF(INDEX(CalcNoteA,$M1930)="","—",INDEX(CalcNoteA,$M1930)),IF($N1930&lt;&gt;"",IF(INDEX(CalcNoteB,$N1930)="","—",INDEX(CalcNoteB,$N1930)),""))</f>
        <v/>
      </c>
      <c r="M1930">
        <f>IFERROR(MATCH($C$5&amp;"|"&amp;RIGHT("000000"&amp;1914,6),CalcRankKeyA,0),"")</f>
        <v/>
      </c>
      <c r="N1930">
        <f>IFERROR(MATCH($C$5&amp;"|"&amp;RIGHT("000000"&amp;1914,6),CalcRankKeyB,0),"")</f>
        <v/>
      </c>
    </row>
    <row r="1931">
      <c r="A1931" s="21" t="n">
        <v>1915</v>
      </c>
      <c r="B1931" s="22">
        <f>IF(AND($M1931="",$N1931=""),"",IF($M1931&lt;&gt;"",INDEX(CalcDateA,$M1931),INDEX(CalcDateB,$N1931)))</f>
        <v/>
      </c>
      <c r="C1931" s="22">
        <f>IF($M1931&lt;&gt;"","خرید سبد",IF($N1931&lt;&gt;"",IF(N(INDEX(CalcDepB,$N1931))&gt;0,"دریافت بانکی","پرداخت بانکی"),""))</f>
        <v/>
      </c>
      <c r="D1931" s="22">
        <f>IF($M1931&lt;&gt;"",IF(INDEX(CalcDocA,$M1931)="","—",INDEX(CalcDocA,$M1931)),IF($N1931&lt;&gt;"",INDEX(CalcBankB,$N1931),""))</f>
        <v/>
      </c>
      <c r="E1931" s="23">
        <f>IF($N1931&lt;&gt;"",IF(INDEX(CalcDepB,$N1931)=0,"",INDEX(CalcDepB,$N1931)),"")</f>
        <v/>
      </c>
      <c r="F1931" s="23">
        <f>IF($M1931&lt;&gt;"",IF(INDEX(CalcQtyA,$M1931)=0,"",INDEX(CalcQtyA,$M1931)),"")</f>
        <v/>
      </c>
      <c r="G1931" s="23">
        <f>IF($M1931&lt;&gt;"",IF(INDEX(CalcPriceA,$M1931)=0,"",INDEX(CalcPriceA,$M1931)),"")</f>
        <v/>
      </c>
      <c r="H1931" s="23">
        <f>IF($N1931&lt;&gt;"",IF(INDEX(CalcWitB,$N1931)=0,"",INDEX(CalcWitB,$N1931)),"")</f>
        <v/>
      </c>
      <c r="I1931" s="24">
        <f>IF($M1931&lt;&gt;"",INDEX(CalcAmtA,$M1931),"")</f>
        <v/>
      </c>
      <c r="J1931" s="24">
        <f>IF($B1931="","",IF($J1930="",$C$8,$J1930)+IF($I1931="",0,$I1931)+IF($E1931="",0,$E1931)-IF($H1931="",0,$H1931))</f>
        <v/>
      </c>
      <c r="K1931" s="25">
        <f>IF($M1931&lt;&gt;"",IF(INDEX(CalcNoteA,$M1931)="","—",INDEX(CalcNoteA,$M1931)),IF($N1931&lt;&gt;"",IF(INDEX(CalcNoteB,$N1931)="","—",INDEX(CalcNoteB,$N1931)),""))</f>
        <v/>
      </c>
      <c r="M1931">
        <f>IFERROR(MATCH($C$5&amp;"|"&amp;RIGHT("000000"&amp;1915,6),CalcRankKeyA,0),"")</f>
        <v/>
      </c>
      <c r="N1931">
        <f>IFERROR(MATCH($C$5&amp;"|"&amp;RIGHT("000000"&amp;1915,6),CalcRankKeyB,0),"")</f>
        <v/>
      </c>
    </row>
    <row r="1932">
      <c r="A1932" s="26" t="n">
        <v>1916</v>
      </c>
      <c r="B1932" s="27">
        <f>IF(AND($M1932="",$N1932=""),"",IF($M1932&lt;&gt;"",INDEX(CalcDateA,$M1932),INDEX(CalcDateB,$N1932)))</f>
        <v/>
      </c>
      <c r="C1932" s="27">
        <f>IF($M1932&lt;&gt;"","خرید سبد",IF($N1932&lt;&gt;"",IF(N(INDEX(CalcDepB,$N1932))&gt;0,"دریافت بانکی","پرداخت بانکی"),""))</f>
        <v/>
      </c>
      <c r="D1932" s="27">
        <f>IF($M1932&lt;&gt;"",IF(INDEX(CalcDocA,$M1932)="","—",INDEX(CalcDocA,$M1932)),IF($N1932&lt;&gt;"",INDEX(CalcBankB,$N1932),""))</f>
        <v/>
      </c>
      <c r="E1932" s="28">
        <f>IF($N1932&lt;&gt;"",IF(INDEX(CalcDepB,$N1932)=0,"",INDEX(CalcDepB,$N1932)),"")</f>
        <v/>
      </c>
      <c r="F1932" s="28">
        <f>IF($M1932&lt;&gt;"",IF(INDEX(CalcQtyA,$M1932)=0,"",INDEX(CalcQtyA,$M1932)),"")</f>
        <v/>
      </c>
      <c r="G1932" s="28">
        <f>IF($M1932&lt;&gt;"",IF(INDEX(CalcPriceA,$M1932)=0,"",INDEX(CalcPriceA,$M1932)),"")</f>
        <v/>
      </c>
      <c r="H1932" s="28">
        <f>IF($N1932&lt;&gt;"",IF(INDEX(CalcWitB,$N1932)=0,"",INDEX(CalcWitB,$N1932)),"")</f>
        <v/>
      </c>
      <c r="I1932" s="29">
        <f>IF($M1932&lt;&gt;"",INDEX(CalcAmtA,$M1932),"")</f>
        <v/>
      </c>
      <c r="J1932" s="29">
        <f>IF($B1932="","",IF($J1931="",$C$8,$J1931)+IF($I1932="",0,$I1932)+IF($E1932="",0,$E1932)-IF($H1932="",0,$H1932))</f>
        <v/>
      </c>
      <c r="K1932" s="30">
        <f>IF($M1932&lt;&gt;"",IF(INDEX(CalcNoteA,$M1932)="","—",INDEX(CalcNoteA,$M1932)),IF($N1932&lt;&gt;"",IF(INDEX(CalcNoteB,$N1932)="","—",INDEX(CalcNoteB,$N1932)),""))</f>
        <v/>
      </c>
      <c r="M1932">
        <f>IFERROR(MATCH($C$5&amp;"|"&amp;RIGHT("000000"&amp;1916,6),CalcRankKeyA,0),"")</f>
        <v/>
      </c>
      <c r="N1932">
        <f>IFERROR(MATCH($C$5&amp;"|"&amp;RIGHT("000000"&amp;1916,6),CalcRankKeyB,0),"")</f>
        <v/>
      </c>
    </row>
    <row r="1933">
      <c r="A1933" s="21" t="n">
        <v>1917</v>
      </c>
      <c r="B1933" s="22">
        <f>IF(AND($M1933="",$N1933=""),"",IF($M1933&lt;&gt;"",INDEX(CalcDateA,$M1933),INDEX(CalcDateB,$N1933)))</f>
        <v/>
      </c>
      <c r="C1933" s="22">
        <f>IF($M1933&lt;&gt;"","خرید سبد",IF($N1933&lt;&gt;"",IF(N(INDEX(CalcDepB,$N1933))&gt;0,"دریافت بانکی","پرداخت بانکی"),""))</f>
        <v/>
      </c>
      <c r="D1933" s="22">
        <f>IF($M1933&lt;&gt;"",IF(INDEX(CalcDocA,$M1933)="","—",INDEX(CalcDocA,$M1933)),IF($N1933&lt;&gt;"",INDEX(CalcBankB,$N1933),""))</f>
        <v/>
      </c>
      <c r="E1933" s="23">
        <f>IF($N1933&lt;&gt;"",IF(INDEX(CalcDepB,$N1933)=0,"",INDEX(CalcDepB,$N1933)),"")</f>
        <v/>
      </c>
      <c r="F1933" s="23">
        <f>IF($M1933&lt;&gt;"",IF(INDEX(CalcQtyA,$M1933)=0,"",INDEX(CalcQtyA,$M1933)),"")</f>
        <v/>
      </c>
      <c r="G1933" s="23">
        <f>IF($M1933&lt;&gt;"",IF(INDEX(CalcPriceA,$M1933)=0,"",INDEX(CalcPriceA,$M1933)),"")</f>
        <v/>
      </c>
      <c r="H1933" s="23">
        <f>IF($N1933&lt;&gt;"",IF(INDEX(CalcWitB,$N1933)=0,"",INDEX(CalcWitB,$N1933)),"")</f>
        <v/>
      </c>
      <c r="I1933" s="24">
        <f>IF($M1933&lt;&gt;"",INDEX(CalcAmtA,$M1933),"")</f>
        <v/>
      </c>
      <c r="J1933" s="24">
        <f>IF($B1933="","",IF($J1932="",$C$8,$J1932)+IF($I1933="",0,$I1933)+IF($E1933="",0,$E1933)-IF($H1933="",0,$H1933))</f>
        <v/>
      </c>
      <c r="K1933" s="25">
        <f>IF($M1933&lt;&gt;"",IF(INDEX(CalcNoteA,$M1933)="","—",INDEX(CalcNoteA,$M1933)),IF($N1933&lt;&gt;"",IF(INDEX(CalcNoteB,$N1933)="","—",INDEX(CalcNoteB,$N1933)),""))</f>
        <v/>
      </c>
      <c r="M1933">
        <f>IFERROR(MATCH($C$5&amp;"|"&amp;RIGHT("000000"&amp;1917,6),CalcRankKeyA,0),"")</f>
        <v/>
      </c>
      <c r="N1933">
        <f>IFERROR(MATCH($C$5&amp;"|"&amp;RIGHT("000000"&amp;1917,6),CalcRankKeyB,0),"")</f>
        <v/>
      </c>
    </row>
    <row r="1934">
      <c r="A1934" s="26" t="n">
        <v>1918</v>
      </c>
      <c r="B1934" s="27">
        <f>IF(AND($M1934="",$N1934=""),"",IF($M1934&lt;&gt;"",INDEX(CalcDateA,$M1934),INDEX(CalcDateB,$N1934)))</f>
        <v/>
      </c>
      <c r="C1934" s="27">
        <f>IF($M1934&lt;&gt;"","خرید سبد",IF($N1934&lt;&gt;"",IF(N(INDEX(CalcDepB,$N1934))&gt;0,"دریافت بانکی","پرداخت بانکی"),""))</f>
        <v/>
      </c>
      <c r="D1934" s="27">
        <f>IF($M1934&lt;&gt;"",IF(INDEX(CalcDocA,$M1934)="","—",INDEX(CalcDocA,$M1934)),IF($N1934&lt;&gt;"",INDEX(CalcBankB,$N1934),""))</f>
        <v/>
      </c>
      <c r="E1934" s="28">
        <f>IF($N1934&lt;&gt;"",IF(INDEX(CalcDepB,$N1934)=0,"",INDEX(CalcDepB,$N1934)),"")</f>
        <v/>
      </c>
      <c r="F1934" s="28">
        <f>IF($M1934&lt;&gt;"",IF(INDEX(CalcQtyA,$M1934)=0,"",INDEX(CalcQtyA,$M1934)),"")</f>
        <v/>
      </c>
      <c r="G1934" s="28">
        <f>IF($M1934&lt;&gt;"",IF(INDEX(CalcPriceA,$M1934)=0,"",INDEX(CalcPriceA,$M1934)),"")</f>
        <v/>
      </c>
      <c r="H1934" s="28">
        <f>IF($N1934&lt;&gt;"",IF(INDEX(CalcWitB,$N1934)=0,"",INDEX(CalcWitB,$N1934)),"")</f>
        <v/>
      </c>
      <c r="I1934" s="29">
        <f>IF($M1934&lt;&gt;"",INDEX(CalcAmtA,$M1934),"")</f>
        <v/>
      </c>
      <c r="J1934" s="29">
        <f>IF($B1934="","",IF($J1933="",$C$8,$J1933)+IF($I1934="",0,$I1934)+IF($E1934="",0,$E1934)-IF($H1934="",0,$H1934))</f>
        <v/>
      </c>
      <c r="K1934" s="30">
        <f>IF($M1934&lt;&gt;"",IF(INDEX(CalcNoteA,$M1934)="","—",INDEX(CalcNoteA,$M1934)),IF($N1934&lt;&gt;"",IF(INDEX(CalcNoteB,$N1934)="","—",INDEX(CalcNoteB,$N1934)),""))</f>
        <v/>
      </c>
      <c r="M1934">
        <f>IFERROR(MATCH($C$5&amp;"|"&amp;RIGHT("000000"&amp;1918,6),CalcRankKeyA,0),"")</f>
        <v/>
      </c>
      <c r="N1934">
        <f>IFERROR(MATCH($C$5&amp;"|"&amp;RIGHT("000000"&amp;1918,6),CalcRankKeyB,0),"")</f>
        <v/>
      </c>
    </row>
    <row r="1935">
      <c r="A1935" s="21" t="n">
        <v>1919</v>
      </c>
      <c r="B1935" s="22">
        <f>IF(AND($M1935="",$N1935=""),"",IF($M1935&lt;&gt;"",INDEX(CalcDateA,$M1935),INDEX(CalcDateB,$N1935)))</f>
        <v/>
      </c>
      <c r="C1935" s="22">
        <f>IF($M1935&lt;&gt;"","خرید سبد",IF($N1935&lt;&gt;"",IF(N(INDEX(CalcDepB,$N1935))&gt;0,"دریافت بانکی","پرداخت بانکی"),""))</f>
        <v/>
      </c>
      <c r="D1935" s="22">
        <f>IF($M1935&lt;&gt;"",IF(INDEX(CalcDocA,$M1935)="","—",INDEX(CalcDocA,$M1935)),IF($N1935&lt;&gt;"",INDEX(CalcBankB,$N1935),""))</f>
        <v/>
      </c>
      <c r="E1935" s="23">
        <f>IF($N1935&lt;&gt;"",IF(INDEX(CalcDepB,$N1935)=0,"",INDEX(CalcDepB,$N1935)),"")</f>
        <v/>
      </c>
      <c r="F1935" s="23">
        <f>IF($M1935&lt;&gt;"",IF(INDEX(CalcQtyA,$M1935)=0,"",INDEX(CalcQtyA,$M1935)),"")</f>
        <v/>
      </c>
      <c r="G1935" s="23">
        <f>IF($M1935&lt;&gt;"",IF(INDEX(CalcPriceA,$M1935)=0,"",INDEX(CalcPriceA,$M1935)),"")</f>
        <v/>
      </c>
      <c r="H1935" s="23">
        <f>IF($N1935&lt;&gt;"",IF(INDEX(CalcWitB,$N1935)=0,"",INDEX(CalcWitB,$N1935)),"")</f>
        <v/>
      </c>
      <c r="I1935" s="24">
        <f>IF($M1935&lt;&gt;"",INDEX(CalcAmtA,$M1935),"")</f>
        <v/>
      </c>
      <c r="J1935" s="24">
        <f>IF($B1935="","",IF($J1934="",$C$8,$J1934)+IF($I1935="",0,$I1935)+IF($E1935="",0,$E1935)-IF($H1935="",0,$H1935))</f>
        <v/>
      </c>
      <c r="K1935" s="25">
        <f>IF($M1935&lt;&gt;"",IF(INDEX(CalcNoteA,$M1935)="","—",INDEX(CalcNoteA,$M1935)),IF($N1935&lt;&gt;"",IF(INDEX(CalcNoteB,$N1935)="","—",INDEX(CalcNoteB,$N1935)),""))</f>
        <v/>
      </c>
      <c r="M1935">
        <f>IFERROR(MATCH($C$5&amp;"|"&amp;RIGHT("000000"&amp;1919,6),CalcRankKeyA,0),"")</f>
        <v/>
      </c>
      <c r="N1935">
        <f>IFERROR(MATCH($C$5&amp;"|"&amp;RIGHT("000000"&amp;1919,6),CalcRankKeyB,0),"")</f>
        <v/>
      </c>
    </row>
    <row r="1936">
      <c r="A1936" s="26" t="n">
        <v>1920</v>
      </c>
      <c r="B1936" s="27">
        <f>IF(AND($M1936="",$N1936=""),"",IF($M1936&lt;&gt;"",INDEX(CalcDateA,$M1936),INDEX(CalcDateB,$N1936)))</f>
        <v/>
      </c>
      <c r="C1936" s="27">
        <f>IF($M1936&lt;&gt;"","خرید سبد",IF($N1936&lt;&gt;"",IF(N(INDEX(CalcDepB,$N1936))&gt;0,"دریافت بانکی","پرداخت بانکی"),""))</f>
        <v/>
      </c>
      <c r="D1936" s="27">
        <f>IF($M1936&lt;&gt;"",IF(INDEX(CalcDocA,$M1936)="","—",INDEX(CalcDocA,$M1936)),IF($N1936&lt;&gt;"",INDEX(CalcBankB,$N1936),""))</f>
        <v/>
      </c>
      <c r="E1936" s="28">
        <f>IF($N1936&lt;&gt;"",IF(INDEX(CalcDepB,$N1936)=0,"",INDEX(CalcDepB,$N1936)),"")</f>
        <v/>
      </c>
      <c r="F1936" s="28">
        <f>IF($M1936&lt;&gt;"",IF(INDEX(CalcQtyA,$M1936)=0,"",INDEX(CalcQtyA,$M1936)),"")</f>
        <v/>
      </c>
      <c r="G1936" s="28">
        <f>IF($M1936&lt;&gt;"",IF(INDEX(CalcPriceA,$M1936)=0,"",INDEX(CalcPriceA,$M1936)),"")</f>
        <v/>
      </c>
      <c r="H1936" s="28">
        <f>IF($N1936&lt;&gt;"",IF(INDEX(CalcWitB,$N1936)=0,"",INDEX(CalcWitB,$N1936)),"")</f>
        <v/>
      </c>
      <c r="I1936" s="29">
        <f>IF($M1936&lt;&gt;"",INDEX(CalcAmtA,$M1936),"")</f>
        <v/>
      </c>
      <c r="J1936" s="29">
        <f>IF($B1936="","",IF($J1935="",$C$8,$J1935)+IF($I1936="",0,$I1936)+IF($E1936="",0,$E1936)-IF($H1936="",0,$H1936))</f>
        <v/>
      </c>
      <c r="K1936" s="30">
        <f>IF($M1936&lt;&gt;"",IF(INDEX(CalcNoteA,$M1936)="","—",INDEX(CalcNoteA,$M1936)),IF($N1936&lt;&gt;"",IF(INDEX(CalcNoteB,$N1936)="","—",INDEX(CalcNoteB,$N1936)),""))</f>
        <v/>
      </c>
      <c r="M1936">
        <f>IFERROR(MATCH($C$5&amp;"|"&amp;RIGHT("000000"&amp;1920,6),CalcRankKeyA,0),"")</f>
        <v/>
      </c>
      <c r="N1936">
        <f>IFERROR(MATCH($C$5&amp;"|"&amp;RIGHT("000000"&amp;1920,6),CalcRankKeyB,0),"")</f>
        <v/>
      </c>
    </row>
    <row r="1937">
      <c r="A1937" s="21" t="n">
        <v>1921</v>
      </c>
      <c r="B1937" s="22">
        <f>IF(AND($M1937="",$N1937=""),"",IF($M1937&lt;&gt;"",INDEX(CalcDateA,$M1937),INDEX(CalcDateB,$N1937)))</f>
        <v/>
      </c>
      <c r="C1937" s="22">
        <f>IF($M1937&lt;&gt;"","خرید سبد",IF($N1937&lt;&gt;"",IF(N(INDEX(CalcDepB,$N1937))&gt;0,"دریافت بانکی","پرداخت بانکی"),""))</f>
        <v/>
      </c>
      <c r="D1937" s="22">
        <f>IF($M1937&lt;&gt;"",IF(INDEX(CalcDocA,$M1937)="","—",INDEX(CalcDocA,$M1937)),IF($N1937&lt;&gt;"",INDEX(CalcBankB,$N1937),""))</f>
        <v/>
      </c>
      <c r="E1937" s="23">
        <f>IF($N1937&lt;&gt;"",IF(INDEX(CalcDepB,$N1937)=0,"",INDEX(CalcDepB,$N1937)),"")</f>
        <v/>
      </c>
      <c r="F1937" s="23">
        <f>IF($M1937&lt;&gt;"",IF(INDEX(CalcQtyA,$M1937)=0,"",INDEX(CalcQtyA,$M1937)),"")</f>
        <v/>
      </c>
      <c r="G1937" s="23">
        <f>IF($M1937&lt;&gt;"",IF(INDEX(CalcPriceA,$M1937)=0,"",INDEX(CalcPriceA,$M1937)),"")</f>
        <v/>
      </c>
      <c r="H1937" s="23">
        <f>IF($N1937&lt;&gt;"",IF(INDEX(CalcWitB,$N1937)=0,"",INDEX(CalcWitB,$N1937)),"")</f>
        <v/>
      </c>
      <c r="I1937" s="24">
        <f>IF($M1937&lt;&gt;"",INDEX(CalcAmtA,$M1937),"")</f>
        <v/>
      </c>
      <c r="J1937" s="24">
        <f>IF($B1937="","",IF($J1936="",$C$8,$J1936)+IF($I1937="",0,$I1937)+IF($E1937="",0,$E1937)-IF($H1937="",0,$H1937))</f>
        <v/>
      </c>
      <c r="K1937" s="25">
        <f>IF($M1937&lt;&gt;"",IF(INDEX(CalcNoteA,$M1937)="","—",INDEX(CalcNoteA,$M1937)),IF($N1937&lt;&gt;"",IF(INDEX(CalcNoteB,$N1937)="","—",INDEX(CalcNoteB,$N1937)),""))</f>
        <v/>
      </c>
      <c r="M1937">
        <f>IFERROR(MATCH($C$5&amp;"|"&amp;RIGHT("000000"&amp;1921,6),CalcRankKeyA,0),"")</f>
        <v/>
      </c>
      <c r="N1937">
        <f>IFERROR(MATCH($C$5&amp;"|"&amp;RIGHT("000000"&amp;1921,6),CalcRankKeyB,0),"")</f>
        <v/>
      </c>
    </row>
    <row r="1938">
      <c r="A1938" s="26" t="n">
        <v>1922</v>
      </c>
      <c r="B1938" s="27">
        <f>IF(AND($M1938="",$N1938=""),"",IF($M1938&lt;&gt;"",INDEX(CalcDateA,$M1938),INDEX(CalcDateB,$N1938)))</f>
        <v/>
      </c>
      <c r="C1938" s="27">
        <f>IF($M1938&lt;&gt;"","خرید سبد",IF($N1938&lt;&gt;"",IF(N(INDEX(CalcDepB,$N1938))&gt;0,"دریافت بانکی","پرداخت بانکی"),""))</f>
        <v/>
      </c>
      <c r="D1938" s="27">
        <f>IF($M1938&lt;&gt;"",IF(INDEX(CalcDocA,$M1938)="","—",INDEX(CalcDocA,$M1938)),IF($N1938&lt;&gt;"",INDEX(CalcBankB,$N1938),""))</f>
        <v/>
      </c>
      <c r="E1938" s="28">
        <f>IF($N1938&lt;&gt;"",IF(INDEX(CalcDepB,$N1938)=0,"",INDEX(CalcDepB,$N1938)),"")</f>
        <v/>
      </c>
      <c r="F1938" s="28">
        <f>IF($M1938&lt;&gt;"",IF(INDEX(CalcQtyA,$M1938)=0,"",INDEX(CalcQtyA,$M1938)),"")</f>
        <v/>
      </c>
      <c r="G1938" s="28">
        <f>IF($M1938&lt;&gt;"",IF(INDEX(CalcPriceA,$M1938)=0,"",INDEX(CalcPriceA,$M1938)),"")</f>
        <v/>
      </c>
      <c r="H1938" s="28">
        <f>IF($N1938&lt;&gt;"",IF(INDEX(CalcWitB,$N1938)=0,"",INDEX(CalcWitB,$N1938)),"")</f>
        <v/>
      </c>
      <c r="I1938" s="29">
        <f>IF($M1938&lt;&gt;"",INDEX(CalcAmtA,$M1938),"")</f>
        <v/>
      </c>
      <c r="J1938" s="29">
        <f>IF($B1938="","",IF($J1937="",$C$8,$J1937)+IF($I1938="",0,$I1938)+IF($E1938="",0,$E1938)-IF($H1938="",0,$H1938))</f>
        <v/>
      </c>
      <c r="K1938" s="30">
        <f>IF($M1938&lt;&gt;"",IF(INDEX(CalcNoteA,$M1938)="","—",INDEX(CalcNoteA,$M1938)),IF($N1938&lt;&gt;"",IF(INDEX(CalcNoteB,$N1938)="","—",INDEX(CalcNoteB,$N1938)),""))</f>
        <v/>
      </c>
      <c r="M1938">
        <f>IFERROR(MATCH($C$5&amp;"|"&amp;RIGHT("000000"&amp;1922,6),CalcRankKeyA,0),"")</f>
        <v/>
      </c>
      <c r="N1938">
        <f>IFERROR(MATCH($C$5&amp;"|"&amp;RIGHT("000000"&amp;1922,6),CalcRankKeyB,0),"")</f>
        <v/>
      </c>
    </row>
    <row r="1939">
      <c r="A1939" s="21" t="n">
        <v>1923</v>
      </c>
      <c r="B1939" s="22">
        <f>IF(AND($M1939="",$N1939=""),"",IF($M1939&lt;&gt;"",INDEX(CalcDateA,$M1939),INDEX(CalcDateB,$N1939)))</f>
        <v/>
      </c>
      <c r="C1939" s="22">
        <f>IF($M1939&lt;&gt;"","خرید سبد",IF($N1939&lt;&gt;"",IF(N(INDEX(CalcDepB,$N1939))&gt;0,"دریافت بانکی","پرداخت بانکی"),""))</f>
        <v/>
      </c>
      <c r="D1939" s="22">
        <f>IF($M1939&lt;&gt;"",IF(INDEX(CalcDocA,$M1939)="","—",INDEX(CalcDocA,$M1939)),IF($N1939&lt;&gt;"",INDEX(CalcBankB,$N1939),""))</f>
        <v/>
      </c>
      <c r="E1939" s="23">
        <f>IF($N1939&lt;&gt;"",IF(INDEX(CalcDepB,$N1939)=0,"",INDEX(CalcDepB,$N1939)),"")</f>
        <v/>
      </c>
      <c r="F1939" s="23">
        <f>IF($M1939&lt;&gt;"",IF(INDEX(CalcQtyA,$M1939)=0,"",INDEX(CalcQtyA,$M1939)),"")</f>
        <v/>
      </c>
      <c r="G1939" s="23">
        <f>IF($M1939&lt;&gt;"",IF(INDEX(CalcPriceA,$M1939)=0,"",INDEX(CalcPriceA,$M1939)),"")</f>
        <v/>
      </c>
      <c r="H1939" s="23">
        <f>IF($N1939&lt;&gt;"",IF(INDEX(CalcWitB,$N1939)=0,"",INDEX(CalcWitB,$N1939)),"")</f>
        <v/>
      </c>
      <c r="I1939" s="24">
        <f>IF($M1939&lt;&gt;"",INDEX(CalcAmtA,$M1939),"")</f>
        <v/>
      </c>
      <c r="J1939" s="24">
        <f>IF($B1939="","",IF($J1938="",$C$8,$J1938)+IF($I1939="",0,$I1939)+IF($E1939="",0,$E1939)-IF($H1939="",0,$H1939))</f>
        <v/>
      </c>
      <c r="K1939" s="25">
        <f>IF($M1939&lt;&gt;"",IF(INDEX(CalcNoteA,$M1939)="","—",INDEX(CalcNoteA,$M1939)),IF($N1939&lt;&gt;"",IF(INDEX(CalcNoteB,$N1939)="","—",INDEX(CalcNoteB,$N1939)),""))</f>
        <v/>
      </c>
      <c r="M1939">
        <f>IFERROR(MATCH($C$5&amp;"|"&amp;RIGHT("000000"&amp;1923,6),CalcRankKeyA,0),"")</f>
        <v/>
      </c>
      <c r="N1939">
        <f>IFERROR(MATCH($C$5&amp;"|"&amp;RIGHT("000000"&amp;1923,6),CalcRankKeyB,0),"")</f>
        <v/>
      </c>
    </row>
    <row r="1940">
      <c r="A1940" s="26" t="n">
        <v>1924</v>
      </c>
      <c r="B1940" s="27">
        <f>IF(AND($M1940="",$N1940=""),"",IF($M1940&lt;&gt;"",INDEX(CalcDateA,$M1940),INDEX(CalcDateB,$N1940)))</f>
        <v/>
      </c>
      <c r="C1940" s="27">
        <f>IF($M1940&lt;&gt;"","خرید سبد",IF($N1940&lt;&gt;"",IF(N(INDEX(CalcDepB,$N1940))&gt;0,"دریافت بانکی","پرداخت بانکی"),""))</f>
        <v/>
      </c>
      <c r="D1940" s="27">
        <f>IF($M1940&lt;&gt;"",IF(INDEX(CalcDocA,$M1940)="","—",INDEX(CalcDocA,$M1940)),IF($N1940&lt;&gt;"",INDEX(CalcBankB,$N1940),""))</f>
        <v/>
      </c>
      <c r="E1940" s="28">
        <f>IF($N1940&lt;&gt;"",IF(INDEX(CalcDepB,$N1940)=0,"",INDEX(CalcDepB,$N1940)),"")</f>
        <v/>
      </c>
      <c r="F1940" s="28">
        <f>IF($M1940&lt;&gt;"",IF(INDEX(CalcQtyA,$M1940)=0,"",INDEX(CalcQtyA,$M1940)),"")</f>
        <v/>
      </c>
      <c r="G1940" s="28">
        <f>IF($M1940&lt;&gt;"",IF(INDEX(CalcPriceA,$M1940)=0,"",INDEX(CalcPriceA,$M1940)),"")</f>
        <v/>
      </c>
      <c r="H1940" s="28">
        <f>IF($N1940&lt;&gt;"",IF(INDEX(CalcWitB,$N1940)=0,"",INDEX(CalcWitB,$N1940)),"")</f>
        <v/>
      </c>
      <c r="I1940" s="29">
        <f>IF($M1940&lt;&gt;"",INDEX(CalcAmtA,$M1940),"")</f>
        <v/>
      </c>
      <c r="J1940" s="29">
        <f>IF($B1940="","",IF($J1939="",$C$8,$J1939)+IF($I1940="",0,$I1940)+IF($E1940="",0,$E1940)-IF($H1940="",0,$H1940))</f>
        <v/>
      </c>
      <c r="K1940" s="30">
        <f>IF($M1940&lt;&gt;"",IF(INDEX(CalcNoteA,$M1940)="","—",INDEX(CalcNoteA,$M1940)),IF($N1940&lt;&gt;"",IF(INDEX(CalcNoteB,$N1940)="","—",INDEX(CalcNoteB,$N1940)),""))</f>
        <v/>
      </c>
      <c r="M1940">
        <f>IFERROR(MATCH($C$5&amp;"|"&amp;RIGHT("000000"&amp;1924,6),CalcRankKeyA,0),"")</f>
        <v/>
      </c>
      <c r="N1940">
        <f>IFERROR(MATCH($C$5&amp;"|"&amp;RIGHT("000000"&amp;1924,6),CalcRankKeyB,0),"")</f>
        <v/>
      </c>
    </row>
    <row r="1941">
      <c r="A1941" s="21" t="n">
        <v>1925</v>
      </c>
      <c r="B1941" s="22">
        <f>IF(AND($M1941="",$N1941=""),"",IF($M1941&lt;&gt;"",INDEX(CalcDateA,$M1941),INDEX(CalcDateB,$N1941)))</f>
        <v/>
      </c>
      <c r="C1941" s="22">
        <f>IF($M1941&lt;&gt;"","خرید سبد",IF($N1941&lt;&gt;"",IF(N(INDEX(CalcDepB,$N1941))&gt;0,"دریافت بانکی","پرداخت بانکی"),""))</f>
        <v/>
      </c>
      <c r="D1941" s="22">
        <f>IF($M1941&lt;&gt;"",IF(INDEX(CalcDocA,$M1941)="","—",INDEX(CalcDocA,$M1941)),IF($N1941&lt;&gt;"",INDEX(CalcBankB,$N1941),""))</f>
        <v/>
      </c>
      <c r="E1941" s="23">
        <f>IF($N1941&lt;&gt;"",IF(INDEX(CalcDepB,$N1941)=0,"",INDEX(CalcDepB,$N1941)),"")</f>
        <v/>
      </c>
      <c r="F1941" s="23">
        <f>IF($M1941&lt;&gt;"",IF(INDEX(CalcQtyA,$M1941)=0,"",INDEX(CalcQtyA,$M1941)),"")</f>
        <v/>
      </c>
      <c r="G1941" s="23">
        <f>IF($M1941&lt;&gt;"",IF(INDEX(CalcPriceA,$M1941)=0,"",INDEX(CalcPriceA,$M1941)),"")</f>
        <v/>
      </c>
      <c r="H1941" s="23">
        <f>IF($N1941&lt;&gt;"",IF(INDEX(CalcWitB,$N1941)=0,"",INDEX(CalcWitB,$N1941)),"")</f>
        <v/>
      </c>
      <c r="I1941" s="24">
        <f>IF($M1941&lt;&gt;"",INDEX(CalcAmtA,$M1941),"")</f>
        <v/>
      </c>
      <c r="J1941" s="24">
        <f>IF($B1941="","",IF($J1940="",$C$8,$J1940)+IF($I1941="",0,$I1941)+IF($E1941="",0,$E1941)-IF($H1941="",0,$H1941))</f>
        <v/>
      </c>
      <c r="K1941" s="25">
        <f>IF($M1941&lt;&gt;"",IF(INDEX(CalcNoteA,$M1941)="","—",INDEX(CalcNoteA,$M1941)),IF($N1941&lt;&gt;"",IF(INDEX(CalcNoteB,$N1941)="","—",INDEX(CalcNoteB,$N1941)),""))</f>
        <v/>
      </c>
      <c r="M1941">
        <f>IFERROR(MATCH($C$5&amp;"|"&amp;RIGHT("000000"&amp;1925,6),CalcRankKeyA,0),"")</f>
        <v/>
      </c>
      <c r="N1941">
        <f>IFERROR(MATCH($C$5&amp;"|"&amp;RIGHT("000000"&amp;1925,6),CalcRankKeyB,0),"")</f>
        <v/>
      </c>
    </row>
    <row r="1942">
      <c r="A1942" s="26" t="n">
        <v>1926</v>
      </c>
      <c r="B1942" s="27">
        <f>IF(AND($M1942="",$N1942=""),"",IF($M1942&lt;&gt;"",INDEX(CalcDateA,$M1942),INDEX(CalcDateB,$N1942)))</f>
        <v/>
      </c>
      <c r="C1942" s="27">
        <f>IF($M1942&lt;&gt;"","خرید سبد",IF($N1942&lt;&gt;"",IF(N(INDEX(CalcDepB,$N1942))&gt;0,"دریافت بانکی","پرداخت بانکی"),""))</f>
        <v/>
      </c>
      <c r="D1942" s="27">
        <f>IF($M1942&lt;&gt;"",IF(INDEX(CalcDocA,$M1942)="","—",INDEX(CalcDocA,$M1942)),IF($N1942&lt;&gt;"",INDEX(CalcBankB,$N1942),""))</f>
        <v/>
      </c>
      <c r="E1942" s="28">
        <f>IF($N1942&lt;&gt;"",IF(INDEX(CalcDepB,$N1942)=0,"",INDEX(CalcDepB,$N1942)),"")</f>
        <v/>
      </c>
      <c r="F1942" s="28">
        <f>IF($M1942&lt;&gt;"",IF(INDEX(CalcQtyA,$M1942)=0,"",INDEX(CalcQtyA,$M1942)),"")</f>
        <v/>
      </c>
      <c r="G1942" s="28">
        <f>IF($M1942&lt;&gt;"",IF(INDEX(CalcPriceA,$M1942)=0,"",INDEX(CalcPriceA,$M1942)),"")</f>
        <v/>
      </c>
      <c r="H1942" s="28">
        <f>IF($N1942&lt;&gt;"",IF(INDEX(CalcWitB,$N1942)=0,"",INDEX(CalcWitB,$N1942)),"")</f>
        <v/>
      </c>
      <c r="I1942" s="29">
        <f>IF($M1942&lt;&gt;"",INDEX(CalcAmtA,$M1942),"")</f>
        <v/>
      </c>
      <c r="J1942" s="29">
        <f>IF($B1942="","",IF($J1941="",$C$8,$J1941)+IF($I1942="",0,$I1942)+IF($E1942="",0,$E1942)-IF($H1942="",0,$H1942))</f>
        <v/>
      </c>
      <c r="K1942" s="30">
        <f>IF($M1942&lt;&gt;"",IF(INDEX(CalcNoteA,$M1942)="","—",INDEX(CalcNoteA,$M1942)),IF($N1942&lt;&gt;"",IF(INDEX(CalcNoteB,$N1942)="","—",INDEX(CalcNoteB,$N1942)),""))</f>
        <v/>
      </c>
      <c r="M1942">
        <f>IFERROR(MATCH($C$5&amp;"|"&amp;RIGHT("000000"&amp;1926,6),CalcRankKeyA,0),"")</f>
        <v/>
      </c>
      <c r="N1942">
        <f>IFERROR(MATCH($C$5&amp;"|"&amp;RIGHT("000000"&amp;1926,6),CalcRankKeyB,0),"")</f>
        <v/>
      </c>
    </row>
    <row r="1943">
      <c r="A1943" s="21" t="n">
        <v>1927</v>
      </c>
      <c r="B1943" s="22">
        <f>IF(AND($M1943="",$N1943=""),"",IF($M1943&lt;&gt;"",INDEX(CalcDateA,$M1943),INDEX(CalcDateB,$N1943)))</f>
        <v/>
      </c>
      <c r="C1943" s="22">
        <f>IF($M1943&lt;&gt;"","خرید سبد",IF($N1943&lt;&gt;"",IF(N(INDEX(CalcDepB,$N1943))&gt;0,"دریافت بانکی","پرداخت بانکی"),""))</f>
        <v/>
      </c>
      <c r="D1943" s="22">
        <f>IF($M1943&lt;&gt;"",IF(INDEX(CalcDocA,$M1943)="","—",INDEX(CalcDocA,$M1943)),IF($N1943&lt;&gt;"",INDEX(CalcBankB,$N1943),""))</f>
        <v/>
      </c>
      <c r="E1943" s="23">
        <f>IF($N1943&lt;&gt;"",IF(INDEX(CalcDepB,$N1943)=0,"",INDEX(CalcDepB,$N1943)),"")</f>
        <v/>
      </c>
      <c r="F1943" s="23">
        <f>IF($M1943&lt;&gt;"",IF(INDEX(CalcQtyA,$M1943)=0,"",INDEX(CalcQtyA,$M1943)),"")</f>
        <v/>
      </c>
      <c r="G1943" s="23">
        <f>IF($M1943&lt;&gt;"",IF(INDEX(CalcPriceA,$M1943)=0,"",INDEX(CalcPriceA,$M1943)),"")</f>
        <v/>
      </c>
      <c r="H1943" s="23">
        <f>IF($N1943&lt;&gt;"",IF(INDEX(CalcWitB,$N1943)=0,"",INDEX(CalcWitB,$N1943)),"")</f>
        <v/>
      </c>
      <c r="I1943" s="24">
        <f>IF($M1943&lt;&gt;"",INDEX(CalcAmtA,$M1943),"")</f>
        <v/>
      </c>
      <c r="J1943" s="24">
        <f>IF($B1943="","",IF($J1942="",$C$8,$J1942)+IF($I1943="",0,$I1943)+IF($E1943="",0,$E1943)-IF($H1943="",0,$H1943))</f>
        <v/>
      </c>
      <c r="K1943" s="25">
        <f>IF($M1943&lt;&gt;"",IF(INDEX(CalcNoteA,$M1943)="","—",INDEX(CalcNoteA,$M1943)),IF($N1943&lt;&gt;"",IF(INDEX(CalcNoteB,$N1943)="","—",INDEX(CalcNoteB,$N1943)),""))</f>
        <v/>
      </c>
      <c r="M1943">
        <f>IFERROR(MATCH($C$5&amp;"|"&amp;RIGHT("000000"&amp;1927,6),CalcRankKeyA,0),"")</f>
        <v/>
      </c>
      <c r="N1943">
        <f>IFERROR(MATCH($C$5&amp;"|"&amp;RIGHT("000000"&amp;1927,6),CalcRankKeyB,0),"")</f>
        <v/>
      </c>
    </row>
    <row r="1944">
      <c r="A1944" s="26" t="n">
        <v>1928</v>
      </c>
      <c r="B1944" s="27">
        <f>IF(AND($M1944="",$N1944=""),"",IF($M1944&lt;&gt;"",INDEX(CalcDateA,$M1944),INDEX(CalcDateB,$N1944)))</f>
        <v/>
      </c>
      <c r="C1944" s="27">
        <f>IF($M1944&lt;&gt;"","خرید سبد",IF($N1944&lt;&gt;"",IF(N(INDEX(CalcDepB,$N1944))&gt;0,"دریافت بانکی","پرداخت بانکی"),""))</f>
        <v/>
      </c>
      <c r="D1944" s="27">
        <f>IF($M1944&lt;&gt;"",IF(INDEX(CalcDocA,$M1944)="","—",INDEX(CalcDocA,$M1944)),IF($N1944&lt;&gt;"",INDEX(CalcBankB,$N1944),""))</f>
        <v/>
      </c>
      <c r="E1944" s="28">
        <f>IF($N1944&lt;&gt;"",IF(INDEX(CalcDepB,$N1944)=0,"",INDEX(CalcDepB,$N1944)),"")</f>
        <v/>
      </c>
      <c r="F1944" s="28">
        <f>IF($M1944&lt;&gt;"",IF(INDEX(CalcQtyA,$M1944)=0,"",INDEX(CalcQtyA,$M1944)),"")</f>
        <v/>
      </c>
      <c r="G1944" s="28">
        <f>IF($M1944&lt;&gt;"",IF(INDEX(CalcPriceA,$M1944)=0,"",INDEX(CalcPriceA,$M1944)),"")</f>
        <v/>
      </c>
      <c r="H1944" s="28">
        <f>IF($N1944&lt;&gt;"",IF(INDEX(CalcWitB,$N1944)=0,"",INDEX(CalcWitB,$N1944)),"")</f>
        <v/>
      </c>
      <c r="I1944" s="29">
        <f>IF($M1944&lt;&gt;"",INDEX(CalcAmtA,$M1944),"")</f>
        <v/>
      </c>
      <c r="J1944" s="29">
        <f>IF($B1944="","",IF($J1943="",$C$8,$J1943)+IF($I1944="",0,$I1944)+IF($E1944="",0,$E1944)-IF($H1944="",0,$H1944))</f>
        <v/>
      </c>
      <c r="K1944" s="30">
        <f>IF($M1944&lt;&gt;"",IF(INDEX(CalcNoteA,$M1944)="","—",INDEX(CalcNoteA,$M1944)),IF($N1944&lt;&gt;"",IF(INDEX(CalcNoteB,$N1944)="","—",INDEX(CalcNoteB,$N1944)),""))</f>
        <v/>
      </c>
      <c r="M1944">
        <f>IFERROR(MATCH($C$5&amp;"|"&amp;RIGHT("000000"&amp;1928,6),CalcRankKeyA,0),"")</f>
        <v/>
      </c>
      <c r="N1944">
        <f>IFERROR(MATCH($C$5&amp;"|"&amp;RIGHT("000000"&amp;1928,6),CalcRankKeyB,0),"")</f>
        <v/>
      </c>
    </row>
    <row r="1945">
      <c r="A1945" s="21" t="n">
        <v>1929</v>
      </c>
      <c r="B1945" s="22">
        <f>IF(AND($M1945="",$N1945=""),"",IF($M1945&lt;&gt;"",INDEX(CalcDateA,$M1945),INDEX(CalcDateB,$N1945)))</f>
        <v/>
      </c>
      <c r="C1945" s="22">
        <f>IF($M1945&lt;&gt;"","خرید سبد",IF($N1945&lt;&gt;"",IF(N(INDEX(CalcDepB,$N1945))&gt;0,"دریافت بانکی","پرداخت بانکی"),""))</f>
        <v/>
      </c>
      <c r="D1945" s="22">
        <f>IF($M1945&lt;&gt;"",IF(INDEX(CalcDocA,$M1945)="","—",INDEX(CalcDocA,$M1945)),IF($N1945&lt;&gt;"",INDEX(CalcBankB,$N1945),""))</f>
        <v/>
      </c>
      <c r="E1945" s="23">
        <f>IF($N1945&lt;&gt;"",IF(INDEX(CalcDepB,$N1945)=0,"",INDEX(CalcDepB,$N1945)),"")</f>
        <v/>
      </c>
      <c r="F1945" s="23">
        <f>IF($M1945&lt;&gt;"",IF(INDEX(CalcQtyA,$M1945)=0,"",INDEX(CalcQtyA,$M1945)),"")</f>
        <v/>
      </c>
      <c r="G1945" s="23">
        <f>IF($M1945&lt;&gt;"",IF(INDEX(CalcPriceA,$M1945)=0,"",INDEX(CalcPriceA,$M1945)),"")</f>
        <v/>
      </c>
      <c r="H1945" s="23">
        <f>IF($N1945&lt;&gt;"",IF(INDEX(CalcWitB,$N1945)=0,"",INDEX(CalcWitB,$N1945)),"")</f>
        <v/>
      </c>
      <c r="I1945" s="24">
        <f>IF($M1945&lt;&gt;"",INDEX(CalcAmtA,$M1945),"")</f>
        <v/>
      </c>
      <c r="J1945" s="24">
        <f>IF($B1945="","",IF($J1944="",$C$8,$J1944)+IF($I1945="",0,$I1945)+IF($E1945="",0,$E1945)-IF($H1945="",0,$H1945))</f>
        <v/>
      </c>
      <c r="K1945" s="25">
        <f>IF($M1945&lt;&gt;"",IF(INDEX(CalcNoteA,$M1945)="","—",INDEX(CalcNoteA,$M1945)),IF($N1945&lt;&gt;"",IF(INDEX(CalcNoteB,$N1945)="","—",INDEX(CalcNoteB,$N1945)),""))</f>
        <v/>
      </c>
      <c r="M1945">
        <f>IFERROR(MATCH($C$5&amp;"|"&amp;RIGHT("000000"&amp;1929,6),CalcRankKeyA,0),"")</f>
        <v/>
      </c>
      <c r="N1945">
        <f>IFERROR(MATCH($C$5&amp;"|"&amp;RIGHT("000000"&amp;1929,6),CalcRankKeyB,0),"")</f>
        <v/>
      </c>
    </row>
    <row r="1946">
      <c r="A1946" s="26" t="n">
        <v>1930</v>
      </c>
      <c r="B1946" s="27">
        <f>IF(AND($M1946="",$N1946=""),"",IF($M1946&lt;&gt;"",INDEX(CalcDateA,$M1946),INDEX(CalcDateB,$N1946)))</f>
        <v/>
      </c>
      <c r="C1946" s="27">
        <f>IF($M1946&lt;&gt;"","خرید سبد",IF($N1946&lt;&gt;"",IF(N(INDEX(CalcDepB,$N1946))&gt;0,"دریافت بانکی","پرداخت بانکی"),""))</f>
        <v/>
      </c>
      <c r="D1946" s="27">
        <f>IF($M1946&lt;&gt;"",IF(INDEX(CalcDocA,$M1946)="","—",INDEX(CalcDocA,$M1946)),IF($N1946&lt;&gt;"",INDEX(CalcBankB,$N1946),""))</f>
        <v/>
      </c>
      <c r="E1946" s="28">
        <f>IF($N1946&lt;&gt;"",IF(INDEX(CalcDepB,$N1946)=0,"",INDEX(CalcDepB,$N1946)),"")</f>
        <v/>
      </c>
      <c r="F1946" s="28">
        <f>IF($M1946&lt;&gt;"",IF(INDEX(CalcQtyA,$M1946)=0,"",INDEX(CalcQtyA,$M1946)),"")</f>
        <v/>
      </c>
      <c r="G1946" s="28">
        <f>IF($M1946&lt;&gt;"",IF(INDEX(CalcPriceA,$M1946)=0,"",INDEX(CalcPriceA,$M1946)),"")</f>
        <v/>
      </c>
      <c r="H1946" s="28">
        <f>IF($N1946&lt;&gt;"",IF(INDEX(CalcWitB,$N1946)=0,"",INDEX(CalcWitB,$N1946)),"")</f>
        <v/>
      </c>
      <c r="I1946" s="29">
        <f>IF($M1946&lt;&gt;"",INDEX(CalcAmtA,$M1946),"")</f>
        <v/>
      </c>
      <c r="J1946" s="29">
        <f>IF($B1946="","",IF($J1945="",$C$8,$J1945)+IF($I1946="",0,$I1946)+IF($E1946="",0,$E1946)-IF($H1946="",0,$H1946))</f>
        <v/>
      </c>
      <c r="K1946" s="30">
        <f>IF($M1946&lt;&gt;"",IF(INDEX(CalcNoteA,$M1946)="","—",INDEX(CalcNoteA,$M1946)),IF($N1946&lt;&gt;"",IF(INDEX(CalcNoteB,$N1946)="","—",INDEX(CalcNoteB,$N1946)),""))</f>
        <v/>
      </c>
      <c r="M1946">
        <f>IFERROR(MATCH($C$5&amp;"|"&amp;RIGHT("000000"&amp;1930,6),CalcRankKeyA,0),"")</f>
        <v/>
      </c>
      <c r="N1946">
        <f>IFERROR(MATCH($C$5&amp;"|"&amp;RIGHT("000000"&amp;1930,6),CalcRankKeyB,0),"")</f>
        <v/>
      </c>
    </row>
    <row r="1947">
      <c r="A1947" s="21" t="n">
        <v>1931</v>
      </c>
      <c r="B1947" s="22">
        <f>IF(AND($M1947="",$N1947=""),"",IF($M1947&lt;&gt;"",INDEX(CalcDateA,$M1947),INDEX(CalcDateB,$N1947)))</f>
        <v/>
      </c>
      <c r="C1947" s="22">
        <f>IF($M1947&lt;&gt;"","خرید سبد",IF($N1947&lt;&gt;"",IF(N(INDEX(CalcDepB,$N1947))&gt;0,"دریافت بانکی","پرداخت بانکی"),""))</f>
        <v/>
      </c>
      <c r="D1947" s="22">
        <f>IF($M1947&lt;&gt;"",IF(INDEX(CalcDocA,$M1947)="","—",INDEX(CalcDocA,$M1947)),IF($N1947&lt;&gt;"",INDEX(CalcBankB,$N1947),""))</f>
        <v/>
      </c>
      <c r="E1947" s="23">
        <f>IF($N1947&lt;&gt;"",IF(INDEX(CalcDepB,$N1947)=0,"",INDEX(CalcDepB,$N1947)),"")</f>
        <v/>
      </c>
      <c r="F1947" s="23">
        <f>IF($M1947&lt;&gt;"",IF(INDEX(CalcQtyA,$M1947)=0,"",INDEX(CalcQtyA,$M1947)),"")</f>
        <v/>
      </c>
      <c r="G1947" s="23">
        <f>IF($M1947&lt;&gt;"",IF(INDEX(CalcPriceA,$M1947)=0,"",INDEX(CalcPriceA,$M1947)),"")</f>
        <v/>
      </c>
      <c r="H1947" s="23">
        <f>IF($N1947&lt;&gt;"",IF(INDEX(CalcWitB,$N1947)=0,"",INDEX(CalcWitB,$N1947)),"")</f>
        <v/>
      </c>
      <c r="I1947" s="24">
        <f>IF($M1947&lt;&gt;"",INDEX(CalcAmtA,$M1947),"")</f>
        <v/>
      </c>
      <c r="J1947" s="24">
        <f>IF($B1947="","",IF($J1946="",$C$8,$J1946)+IF($I1947="",0,$I1947)+IF($E1947="",0,$E1947)-IF($H1947="",0,$H1947))</f>
        <v/>
      </c>
      <c r="K1947" s="25">
        <f>IF($M1947&lt;&gt;"",IF(INDEX(CalcNoteA,$M1947)="","—",INDEX(CalcNoteA,$M1947)),IF($N1947&lt;&gt;"",IF(INDEX(CalcNoteB,$N1947)="","—",INDEX(CalcNoteB,$N1947)),""))</f>
        <v/>
      </c>
      <c r="M1947">
        <f>IFERROR(MATCH($C$5&amp;"|"&amp;RIGHT("000000"&amp;1931,6),CalcRankKeyA,0),"")</f>
        <v/>
      </c>
      <c r="N1947">
        <f>IFERROR(MATCH($C$5&amp;"|"&amp;RIGHT("000000"&amp;1931,6),CalcRankKeyB,0),"")</f>
        <v/>
      </c>
    </row>
    <row r="1948">
      <c r="A1948" s="26" t="n">
        <v>1932</v>
      </c>
      <c r="B1948" s="27">
        <f>IF(AND($M1948="",$N1948=""),"",IF($M1948&lt;&gt;"",INDEX(CalcDateA,$M1948),INDEX(CalcDateB,$N1948)))</f>
        <v/>
      </c>
      <c r="C1948" s="27">
        <f>IF($M1948&lt;&gt;"","خرید سبد",IF($N1948&lt;&gt;"",IF(N(INDEX(CalcDepB,$N1948))&gt;0,"دریافت بانکی","پرداخت بانکی"),""))</f>
        <v/>
      </c>
      <c r="D1948" s="27">
        <f>IF($M1948&lt;&gt;"",IF(INDEX(CalcDocA,$M1948)="","—",INDEX(CalcDocA,$M1948)),IF($N1948&lt;&gt;"",INDEX(CalcBankB,$N1948),""))</f>
        <v/>
      </c>
      <c r="E1948" s="28">
        <f>IF($N1948&lt;&gt;"",IF(INDEX(CalcDepB,$N1948)=0,"",INDEX(CalcDepB,$N1948)),"")</f>
        <v/>
      </c>
      <c r="F1948" s="28">
        <f>IF($M1948&lt;&gt;"",IF(INDEX(CalcQtyA,$M1948)=0,"",INDEX(CalcQtyA,$M1948)),"")</f>
        <v/>
      </c>
      <c r="G1948" s="28">
        <f>IF($M1948&lt;&gt;"",IF(INDEX(CalcPriceA,$M1948)=0,"",INDEX(CalcPriceA,$M1948)),"")</f>
        <v/>
      </c>
      <c r="H1948" s="28">
        <f>IF($N1948&lt;&gt;"",IF(INDEX(CalcWitB,$N1948)=0,"",INDEX(CalcWitB,$N1948)),"")</f>
        <v/>
      </c>
      <c r="I1948" s="29">
        <f>IF($M1948&lt;&gt;"",INDEX(CalcAmtA,$M1948),"")</f>
        <v/>
      </c>
      <c r="J1948" s="29">
        <f>IF($B1948="","",IF($J1947="",$C$8,$J1947)+IF($I1948="",0,$I1948)+IF($E1948="",0,$E1948)-IF($H1948="",0,$H1948))</f>
        <v/>
      </c>
      <c r="K1948" s="30">
        <f>IF($M1948&lt;&gt;"",IF(INDEX(CalcNoteA,$M1948)="","—",INDEX(CalcNoteA,$M1948)),IF($N1948&lt;&gt;"",IF(INDEX(CalcNoteB,$N1948)="","—",INDEX(CalcNoteB,$N1948)),""))</f>
        <v/>
      </c>
      <c r="M1948">
        <f>IFERROR(MATCH($C$5&amp;"|"&amp;RIGHT("000000"&amp;1932,6),CalcRankKeyA,0),"")</f>
        <v/>
      </c>
      <c r="N1948">
        <f>IFERROR(MATCH($C$5&amp;"|"&amp;RIGHT("000000"&amp;1932,6),CalcRankKeyB,0),"")</f>
        <v/>
      </c>
    </row>
    <row r="1949">
      <c r="A1949" s="21" t="n">
        <v>1933</v>
      </c>
      <c r="B1949" s="22">
        <f>IF(AND($M1949="",$N1949=""),"",IF($M1949&lt;&gt;"",INDEX(CalcDateA,$M1949),INDEX(CalcDateB,$N1949)))</f>
        <v/>
      </c>
      <c r="C1949" s="22">
        <f>IF($M1949&lt;&gt;"","خرید سبد",IF($N1949&lt;&gt;"",IF(N(INDEX(CalcDepB,$N1949))&gt;0,"دریافت بانکی","پرداخت بانکی"),""))</f>
        <v/>
      </c>
      <c r="D1949" s="22">
        <f>IF($M1949&lt;&gt;"",IF(INDEX(CalcDocA,$M1949)="","—",INDEX(CalcDocA,$M1949)),IF($N1949&lt;&gt;"",INDEX(CalcBankB,$N1949),""))</f>
        <v/>
      </c>
      <c r="E1949" s="23">
        <f>IF($N1949&lt;&gt;"",IF(INDEX(CalcDepB,$N1949)=0,"",INDEX(CalcDepB,$N1949)),"")</f>
        <v/>
      </c>
      <c r="F1949" s="23">
        <f>IF($M1949&lt;&gt;"",IF(INDEX(CalcQtyA,$M1949)=0,"",INDEX(CalcQtyA,$M1949)),"")</f>
        <v/>
      </c>
      <c r="G1949" s="23">
        <f>IF($M1949&lt;&gt;"",IF(INDEX(CalcPriceA,$M1949)=0,"",INDEX(CalcPriceA,$M1949)),"")</f>
        <v/>
      </c>
      <c r="H1949" s="23">
        <f>IF($N1949&lt;&gt;"",IF(INDEX(CalcWitB,$N1949)=0,"",INDEX(CalcWitB,$N1949)),"")</f>
        <v/>
      </c>
      <c r="I1949" s="24">
        <f>IF($M1949&lt;&gt;"",INDEX(CalcAmtA,$M1949),"")</f>
        <v/>
      </c>
      <c r="J1949" s="24">
        <f>IF($B1949="","",IF($J1948="",$C$8,$J1948)+IF($I1949="",0,$I1949)+IF($E1949="",0,$E1949)-IF($H1949="",0,$H1949))</f>
        <v/>
      </c>
      <c r="K1949" s="25">
        <f>IF($M1949&lt;&gt;"",IF(INDEX(CalcNoteA,$M1949)="","—",INDEX(CalcNoteA,$M1949)),IF($N1949&lt;&gt;"",IF(INDEX(CalcNoteB,$N1949)="","—",INDEX(CalcNoteB,$N1949)),""))</f>
        <v/>
      </c>
      <c r="M1949">
        <f>IFERROR(MATCH($C$5&amp;"|"&amp;RIGHT("000000"&amp;1933,6),CalcRankKeyA,0),"")</f>
        <v/>
      </c>
      <c r="N1949">
        <f>IFERROR(MATCH($C$5&amp;"|"&amp;RIGHT("000000"&amp;1933,6),CalcRankKeyB,0),"")</f>
        <v/>
      </c>
    </row>
    <row r="1950">
      <c r="A1950" s="26" t="n">
        <v>1934</v>
      </c>
      <c r="B1950" s="27">
        <f>IF(AND($M1950="",$N1950=""),"",IF($M1950&lt;&gt;"",INDEX(CalcDateA,$M1950),INDEX(CalcDateB,$N1950)))</f>
        <v/>
      </c>
      <c r="C1950" s="27">
        <f>IF($M1950&lt;&gt;"","خرید سبد",IF($N1950&lt;&gt;"",IF(N(INDEX(CalcDepB,$N1950))&gt;0,"دریافت بانکی","پرداخت بانکی"),""))</f>
        <v/>
      </c>
      <c r="D1950" s="27">
        <f>IF($M1950&lt;&gt;"",IF(INDEX(CalcDocA,$M1950)="","—",INDEX(CalcDocA,$M1950)),IF($N1950&lt;&gt;"",INDEX(CalcBankB,$N1950),""))</f>
        <v/>
      </c>
      <c r="E1950" s="28">
        <f>IF($N1950&lt;&gt;"",IF(INDEX(CalcDepB,$N1950)=0,"",INDEX(CalcDepB,$N1950)),"")</f>
        <v/>
      </c>
      <c r="F1950" s="28">
        <f>IF($M1950&lt;&gt;"",IF(INDEX(CalcQtyA,$M1950)=0,"",INDEX(CalcQtyA,$M1950)),"")</f>
        <v/>
      </c>
      <c r="G1950" s="28">
        <f>IF($M1950&lt;&gt;"",IF(INDEX(CalcPriceA,$M1950)=0,"",INDEX(CalcPriceA,$M1950)),"")</f>
        <v/>
      </c>
      <c r="H1950" s="28">
        <f>IF($N1950&lt;&gt;"",IF(INDEX(CalcWitB,$N1950)=0,"",INDEX(CalcWitB,$N1950)),"")</f>
        <v/>
      </c>
      <c r="I1950" s="29">
        <f>IF($M1950&lt;&gt;"",INDEX(CalcAmtA,$M1950),"")</f>
        <v/>
      </c>
      <c r="J1950" s="29">
        <f>IF($B1950="","",IF($J1949="",$C$8,$J1949)+IF($I1950="",0,$I1950)+IF($E1950="",0,$E1950)-IF($H1950="",0,$H1950))</f>
        <v/>
      </c>
      <c r="K1950" s="30">
        <f>IF($M1950&lt;&gt;"",IF(INDEX(CalcNoteA,$M1950)="","—",INDEX(CalcNoteA,$M1950)),IF($N1950&lt;&gt;"",IF(INDEX(CalcNoteB,$N1950)="","—",INDEX(CalcNoteB,$N1950)),""))</f>
        <v/>
      </c>
      <c r="M1950">
        <f>IFERROR(MATCH($C$5&amp;"|"&amp;RIGHT("000000"&amp;1934,6),CalcRankKeyA,0),"")</f>
        <v/>
      </c>
      <c r="N1950">
        <f>IFERROR(MATCH($C$5&amp;"|"&amp;RIGHT("000000"&amp;1934,6),CalcRankKeyB,0),"")</f>
        <v/>
      </c>
    </row>
    <row r="1951">
      <c r="A1951" s="21" t="n">
        <v>1935</v>
      </c>
      <c r="B1951" s="22">
        <f>IF(AND($M1951="",$N1951=""),"",IF($M1951&lt;&gt;"",INDEX(CalcDateA,$M1951),INDEX(CalcDateB,$N1951)))</f>
        <v/>
      </c>
      <c r="C1951" s="22">
        <f>IF($M1951&lt;&gt;"","خرید سبد",IF($N1951&lt;&gt;"",IF(N(INDEX(CalcDepB,$N1951))&gt;0,"دریافت بانکی","پرداخت بانکی"),""))</f>
        <v/>
      </c>
      <c r="D1951" s="22">
        <f>IF($M1951&lt;&gt;"",IF(INDEX(CalcDocA,$M1951)="","—",INDEX(CalcDocA,$M1951)),IF($N1951&lt;&gt;"",INDEX(CalcBankB,$N1951),""))</f>
        <v/>
      </c>
      <c r="E1951" s="23">
        <f>IF($N1951&lt;&gt;"",IF(INDEX(CalcDepB,$N1951)=0,"",INDEX(CalcDepB,$N1951)),"")</f>
        <v/>
      </c>
      <c r="F1951" s="23">
        <f>IF($M1951&lt;&gt;"",IF(INDEX(CalcQtyA,$M1951)=0,"",INDEX(CalcQtyA,$M1951)),"")</f>
        <v/>
      </c>
      <c r="G1951" s="23">
        <f>IF($M1951&lt;&gt;"",IF(INDEX(CalcPriceA,$M1951)=0,"",INDEX(CalcPriceA,$M1951)),"")</f>
        <v/>
      </c>
      <c r="H1951" s="23">
        <f>IF($N1951&lt;&gt;"",IF(INDEX(CalcWitB,$N1951)=0,"",INDEX(CalcWitB,$N1951)),"")</f>
        <v/>
      </c>
      <c r="I1951" s="24">
        <f>IF($M1951&lt;&gt;"",INDEX(CalcAmtA,$M1951),"")</f>
        <v/>
      </c>
      <c r="J1951" s="24">
        <f>IF($B1951="","",IF($J1950="",$C$8,$J1950)+IF($I1951="",0,$I1951)+IF($E1951="",0,$E1951)-IF($H1951="",0,$H1951))</f>
        <v/>
      </c>
      <c r="K1951" s="25">
        <f>IF($M1951&lt;&gt;"",IF(INDEX(CalcNoteA,$M1951)="","—",INDEX(CalcNoteA,$M1951)),IF($N1951&lt;&gt;"",IF(INDEX(CalcNoteB,$N1951)="","—",INDEX(CalcNoteB,$N1951)),""))</f>
        <v/>
      </c>
      <c r="M1951">
        <f>IFERROR(MATCH($C$5&amp;"|"&amp;RIGHT("000000"&amp;1935,6),CalcRankKeyA,0),"")</f>
        <v/>
      </c>
      <c r="N1951">
        <f>IFERROR(MATCH($C$5&amp;"|"&amp;RIGHT("000000"&amp;1935,6),CalcRankKeyB,0),"")</f>
        <v/>
      </c>
    </row>
    <row r="1952">
      <c r="A1952" s="26" t="n">
        <v>1936</v>
      </c>
      <c r="B1952" s="27">
        <f>IF(AND($M1952="",$N1952=""),"",IF($M1952&lt;&gt;"",INDEX(CalcDateA,$M1952),INDEX(CalcDateB,$N1952)))</f>
        <v/>
      </c>
      <c r="C1952" s="27">
        <f>IF($M1952&lt;&gt;"","خرید سبد",IF($N1952&lt;&gt;"",IF(N(INDEX(CalcDepB,$N1952))&gt;0,"دریافت بانکی","پرداخت بانکی"),""))</f>
        <v/>
      </c>
      <c r="D1952" s="27">
        <f>IF($M1952&lt;&gt;"",IF(INDEX(CalcDocA,$M1952)="","—",INDEX(CalcDocA,$M1952)),IF($N1952&lt;&gt;"",INDEX(CalcBankB,$N1952),""))</f>
        <v/>
      </c>
      <c r="E1952" s="28">
        <f>IF($N1952&lt;&gt;"",IF(INDEX(CalcDepB,$N1952)=0,"",INDEX(CalcDepB,$N1952)),"")</f>
        <v/>
      </c>
      <c r="F1952" s="28">
        <f>IF($M1952&lt;&gt;"",IF(INDEX(CalcQtyA,$M1952)=0,"",INDEX(CalcQtyA,$M1952)),"")</f>
        <v/>
      </c>
      <c r="G1952" s="28">
        <f>IF($M1952&lt;&gt;"",IF(INDEX(CalcPriceA,$M1952)=0,"",INDEX(CalcPriceA,$M1952)),"")</f>
        <v/>
      </c>
      <c r="H1952" s="28">
        <f>IF($N1952&lt;&gt;"",IF(INDEX(CalcWitB,$N1952)=0,"",INDEX(CalcWitB,$N1952)),"")</f>
        <v/>
      </c>
      <c r="I1952" s="29">
        <f>IF($M1952&lt;&gt;"",INDEX(CalcAmtA,$M1952),"")</f>
        <v/>
      </c>
      <c r="J1952" s="29">
        <f>IF($B1952="","",IF($J1951="",$C$8,$J1951)+IF($I1952="",0,$I1952)+IF($E1952="",0,$E1952)-IF($H1952="",0,$H1952))</f>
        <v/>
      </c>
      <c r="K1952" s="30">
        <f>IF($M1952&lt;&gt;"",IF(INDEX(CalcNoteA,$M1952)="","—",INDEX(CalcNoteA,$M1952)),IF($N1952&lt;&gt;"",IF(INDEX(CalcNoteB,$N1952)="","—",INDEX(CalcNoteB,$N1952)),""))</f>
        <v/>
      </c>
      <c r="M1952">
        <f>IFERROR(MATCH($C$5&amp;"|"&amp;RIGHT("000000"&amp;1936,6),CalcRankKeyA,0),"")</f>
        <v/>
      </c>
      <c r="N1952">
        <f>IFERROR(MATCH($C$5&amp;"|"&amp;RIGHT("000000"&amp;1936,6),CalcRankKeyB,0),"")</f>
        <v/>
      </c>
    </row>
    <row r="1953">
      <c r="A1953" s="21" t="n">
        <v>1937</v>
      </c>
      <c r="B1953" s="22">
        <f>IF(AND($M1953="",$N1953=""),"",IF($M1953&lt;&gt;"",INDEX(CalcDateA,$M1953),INDEX(CalcDateB,$N1953)))</f>
        <v/>
      </c>
      <c r="C1953" s="22">
        <f>IF($M1953&lt;&gt;"","خرید سبد",IF($N1953&lt;&gt;"",IF(N(INDEX(CalcDepB,$N1953))&gt;0,"دریافت بانکی","پرداخت بانکی"),""))</f>
        <v/>
      </c>
      <c r="D1953" s="22">
        <f>IF($M1953&lt;&gt;"",IF(INDEX(CalcDocA,$M1953)="","—",INDEX(CalcDocA,$M1953)),IF($N1953&lt;&gt;"",INDEX(CalcBankB,$N1953),""))</f>
        <v/>
      </c>
      <c r="E1953" s="23">
        <f>IF($N1953&lt;&gt;"",IF(INDEX(CalcDepB,$N1953)=0,"",INDEX(CalcDepB,$N1953)),"")</f>
        <v/>
      </c>
      <c r="F1953" s="23">
        <f>IF($M1953&lt;&gt;"",IF(INDEX(CalcQtyA,$M1953)=0,"",INDEX(CalcQtyA,$M1953)),"")</f>
        <v/>
      </c>
      <c r="G1953" s="23">
        <f>IF($M1953&lt;&gt;"",IF(INDEX(CalcPriceA,$M1953)=0,"",INDEX(CalcPriceA,$M1953)),"")</f>
        <v/>
      </c>
      <c r="H1953" s="23">
        <f>IF($N1953&lt;&gt;"",IF(INDEX(CalcWitB,$N1953)=0,"",INDEX(CalcWitB,$N1953)),"")</f>
        <v/>
      </c>
      <c r="I1953" s="24">
        <f>IF($M1953&lt;&gt;"",INDEX(CalcAmtA,$M1953),"")</f>
        <v/>
      </c>
      <c r="J1953" s="24">
        <f>IF($B1953="","",IF($J1952="",$C$8,$J1952)+IF($I1953="",0,$I1953)+IF($E1953="",0,$E1953)-IF($H1953="",0,$H1953))</f>
        <v/>
      </c>
      <c r="K1953" s="25">
        <f>IF($M1953&lt;&gt;"",IF(INDEX(CalcNoteA,$M1953)="","—",INDEX(CalcNoteA,$M1953)),IF($N1953&lt;&gt;"",IF(INDEX(CalcNoteB,$N1953)="","—",INDEX(CalcNoteB,$N1953)),""))</f>
        <v/>
      </c>
      <c r="M1953">
        <f>IFERROR(MATCH($C$5&amp;"|"&amp;RIGHT("000000"&amp;1937,6),CalcRankKeyA,0),"")</f>
        <v/>
      </c>
      <c r="N1953">
        <f>IFERROR(MATCH($C$5&amp;"|"&amp;RIGHT("000000"&amp;1937,6),CalcRankKeyB,0),"")</f>
        <v/>
      </c>
    </row>
    <row r="1954">
      <c r="A1954" s="26" t="n">
        <v>1938</v>
      </c>
      <c r="B1954" s="27">
        <f>IF(AND($M1954="",$N1954=""),"",IF($M1954&lt;&gt;"",INDEX(CalcDateA,$M1954),INDEX(CalcDateB,$N1954)))</f>
        <v/>
      </c>
      <c r="C1954" s="27">
        <f>IF($M1954&lt;&gt;"","خرید سبد",IF($N1954&lt;&gt;"",IF(N(INDEX(CalcDepB,$N1954))&gt;0,"دریافت بانکی","پرداخت بانکی"),""))</f>
        <v/>
      </c>
      <c r="D1954" s="27">
        <f>IF($M1954&lt;&gt;"",IF(INDEX(CalcDocA,$M1954)="","—",INDEX(CalcDocA,$M1954)),IF($N1954&lt;&gt;"",INDEX(CalcBankB,$N1954),""))</f>
        <v/>
      </c>
      <c r="E1954" s="28">
        <f>IF($N1954&lt;&gt;"",IF(INDEX(CalcDepB,$N1954)=0,"",INDEX(CalcDepB,$N1954)),"")</f>
        <v/>
      </c>
      <c r="F1954" s="28">
        <f>IF($M1954&lt;&gt;"",IF(INDEX(CalcQtyA,$M1954)=0,"",INDEX(CalcQtyA,$M1954)),"")</f>
        <v/>
      </c>
      <c r="G1954" s="28">
        <f>IF($M1954&lt;&gt;"",IF(INDEX(CalcPriceA,$M1954)=0,"",INDEX(CalcPriceA,$M1954)),"")</f>
        <v/>
      </c>
      <c r="H1954" s="28">
        <f>IF($N1954&lt;&gt;"",IF(INDEX(CalcWitB,$N1954)=0,"",INDEX(CalcWitB,$N1954)),"")</f>
        <v/>
      </c>
      <c r="I1954" s="29">
        <f>IF($M1954&lt;&gt;"",INDEX(CalcAmtA,$M1954),"")</f>
        <v/>
      </c>
      <c r="J1954" s="29">
        <f>IF($B1954="","",IF($J1953="",$C$8,$J1953)+IF($I1954="",0,$I1954)+IF($E1954="",0,$E1954)-IF($H1954="",0,$H1954))</f>
        <v/>
      </c>
      <c r="K1954" s="30">
        <f>IF($M1954&lt;&gt;"",IF(INDEX(CalcNoteA,$M1954)="","—",INDEX(CalcNoteA,$M1954)),IF($N1954&lt;&gt;"",IF(INDEX(CalcNoteB,$N1954)="","—",INDEX(CalcNoteB,$N1954)),""))</f>
        <v/>
      </c>
      <c r="M1954">
        <f>IFERROR(MATCH($C$5&amp;"|"&amp;RIGHT("000000"&amp;1938,6),CalcRankKeyA,0),"")</f>
        <v/>
      </c>
      <c r="N1954">
        <f>IFERROR(MATCH($C$5&amp;"|"&amp;RIGHT("000000"&amp;1938,6),CalcRankKeyB,0),"")</f>
        <v/>
      </c>
    </row>
    <row r="1955">
      <c r="A1955" s="21" t="n">
        <v>1939</v>
      </c>
      <c r="B1955" s="22">
        <f>IF(AND($M1955="",$N1955=""),"",IF($M1955&lt;&gt;"",INDEX(CalcDateA,$M1955),INDEX(CalcDateB,$N1955)))</f>
        <v/>
      </c>
      <c r="C1955" s="22">
        <f>IF($M1955&lt;&gt;"","خرید سبد",IF($N1955&lt;&gt;"",IF(N(INDEX(CalcDepB,$N1955))&gt;0,"دریافت بانکی","پرداخت بانکی"),""))</f>
        <v/>
      </c>
      <c r="D1955" s="22">
        <f>IF($M1955&lt;&gt;"",IF(INDEX(CalcDocA,$M1955)="","—",INDEX(CalcDocA,$M1955)),IF($N1955&lt;&gt;"",INDEX(CalcBankB,$N1955),""))</f>
        <v/>
      </c>
      <c r="E1955" s="23">
        <f>IF($N1955&lt;&gt;"",IF(INDEX(CalcDepB,$N1955)=0,"",INDEX(CalcDepB,$N1955)),"")</f>
        <v/>
      </c>
      <c r="F1955" s="23">
        <f>IF($M1955&lt;&gt;"",IF(INDEX(CalcQtyA,$M1955)=0,"",INDEX(CalcQtyA,$M1955)),"")</f>
        <v/>
      </c>
      <c r="G1955" s="23">
        <f>IF($M1955&lt;&gt;"",IF(INDEX(CalcPriceA,$M1955)=0,"",INDEX(CalcPriceA,$M1955)),"")</f>
        <v/>
      </c>
      <c r="H1955" s="23">
        <f>IF($N1955&lt;&gt;"",IF(INDEX(CalcWitB,$N1955)=0,"",INDEX(CalcWitB,$N1955)),"")</f>
        <v/>
      </c>
      <c r="I1955" s="24">
        <f>IF($M1955&lt;&gt;"",INDEX(CalcAmtA,$M1955),"")</f>
        <v/>
      </c>
      <c r="J1955" s="24">
        <f>IF($B1955="","",IF($J1954="",$C$8,$J1954)+IF($I1955="",0,$I1955)+IF($E1955="",0,$E1955)-IF($H1955="",0,$H1955))</f>
        <v/>
      </c>
      <c r="K1955" s="25">
        <f>IF($M1955&lt;&gt;"",IF(INDEX(CalcNoteA,$M1955)="","—",INDEX(CalcNoteA,$M1955)),IF($N1955&lt;&gt;"",IF(INDEX(CalcNoteB,$N1955)="","—",INDEX(CalcNoteB,$N1955)),""))</f>
        <v/>
      </c>
      <c r="M1955">
        <f>IFERROR(MATCH($C$5&amp;"|"&amp;RIGHT("000000"&amp;1939,6),CalcRankKeyA,0),"")</f>
        <v/>
      </c>
      <c r="N1955">
        <f>IFERROR(MATCH($C$5&amp;"|"&amp;RIGHT("000000"&amp;1939,6),CalcRankKeyB,0),"")</f>
        <v/>
      </c>
    </row>
    <row r="1956">
      <c r="A1956" s="26" t="n">
        <v>1940</v>
      </c>
      <c r="B1956" s="27">
        <f>IF(AND($M1956="",$N1956=""),"",IF($M1956&lt;&gt;"",INDEX(CalcDateA,$M1956),INDEX(CalcDateB,$N1956)))</f>
        <v/>
      </c>
      <c r="C1956" s="27">
        <f>IF($M1956&lt;&gt;"","خرید سبد",IF($N1956&lt;&gt;"",IF(N(INDEX(CalcDepB,$N1956))&gt;0,"دریافت بانکی","پرداخت بانکی"),""))</f>
        <v/>
      </c>
      <c r="D1956" s="27">
        <f>IF($M1956&lt;&gt;"",IF(INDEX(CalcDocA,$M1956)="","—",INDEX(CalcDocA,$M1956)),IF($N1956&lt;&gt;"",INDEX(CalcBankB,$N1956),""))</f>
        <v/>
      </c>
      <c r="E1956" s="28">
        <f>IF($N1956&lt;&gt;"",IF(INDEX(CalcDepB,$N1956)=0,"",INDEX(CalcDepB,$N1956)),"")</f>
        <v/>
      </c>
      <c r="F1956" s="28">
        <f>IF($M1956&lt;&gt;"",IF(INDEX(CalcQtyA,$M1956)=0,"",INDEX(CalcQtyA,$M1956)),"")</f>
        <v/>
      </c>
      <c r="G1956" s="28">
        <f>IF($M1956&lt;&gt;"",IF(INDEX(CalcPriceA,$M1956)=0,"",INDEX(CalcPriceA,$M1956)),"")</f>
        <v/>
      </c>
      <c r="H1956" s="28">
        <f>IF($N1956&lt;&gt;"",IF(INDEX(CalcWitB,$N1956)=0,"",INDEX(CalcWitB,$N1956)),"")</f>
        <v/>
      </c>
      <c r="I1956" s="29">
        <f>IF($M1956&lt;&gt;"",INDEX(CalcAmtA,$M1956),"")</f>
        <v/>
      </c>
      <c r="J1956" s="29">
        <f>IF($B1956="","",IF($J1955="",$C$8,$J1955)+IF($I1956="",0,$I1956)+IF($E1956="",0,$E1956)-IF($H1956="",0,$H1956))</f>
        <v/>
      </c>
      <c r="K1956" s="30">
        <f>IF($M1956&lt;&gt;"",IF(INDEX(CalcNoteA,$M1956)="","—",INDEX(CalcNoteA,$M1956)),IF($N1956&lt;&gt;"",IF(INDEX(CalcNoteB,$N1956)="","—",INDEX(CalcNoteB,$N1956)),""))</f>
        <v/>
      </c>
      <c r="M1956">
        <f>IFERROR(MATCH($C$5&amp;"|"&amp;RIGHT("000000"&amp;1940,6),CalcRankKeyA,0),"")</f>
        <v/>
      </c>
      <c r="N1956">
        <f>IFERROR(MATCH($C$5&amp;"|"&amp;RIGHT("000000"&amp;1940,6),CalcRankKeyB,0),"")</f>
        <v/>
      </c>
    </row>
    <row r="1957">
      <c r="A1957" s="21" t="n">
        <v>1941</v>
      </c>
      <c r="B1957" s="22">
        <f>IF(AND($M1957="",$N1957=""),"",IF($M1957&lt;&gt;"",INDEX(CalcDateA,$M1957),INDEX(CalcDateB,$N1957)))</f>
        <v/>
      </c>
      <c r="C1957" s="22">
        <f>IF($M1957&lt;&gt;"","خرید سبد",IF($N1957&lt;&gt;"",IF(N(INDEX(CalcDepB,$N1957))&gt;0,"دریافت بانکی","پرداخت بانکی"),""))</f>
        <v/>
      </c>
      <c r="D1957" s="22">
        <f>IF($M1957&lt;&gt;"",IF(INDEX(CalcDocA,$M1957)="","—",INDEX(CalcDocA,$M1957)),IF($N1957&lt;&gt;"",INDEX(CalcBankB,$N1957),""))</f>
        <v/>
      </c>
      <c r="E1957" s="23">
        <f>IF($N1957&lt;&gt;"",IF(INDEX(CalcDepB,$N1957)=0,"",INDEX(CalcDepB,$N1957)),"")</f>
        <v/>
      </c>
      <c r="F1957" s="23">
        <f>IF($M1957&lt;&gt;"",IF(INDEX(CalcQtyA,$M1957)=0,"",INDEX(CalcQtyA,$M1957)),"")</f>
        <v/>
      </c>
      <c r="G1957" s="23">
        <f>IF($M1957&lt;&gt;"",IF(INDEX(CalcPriceA,$M1957)=0,"",INDEX(CalcPriceA,$M1957)),"")</f>
        <v/>
      </c>
      <c r="H1957" s="23">
        <f>IF($N1957&lt;&gt;"",IF(INDEX(CalcWitB,$N1957)=0,"",INDEX(CalcWitB,$N1957)),"")</f>
        <v/>
      </c>
      <c r="I1957" s="24">
        <f>IF($M1957&lt;&gt;"",INDEX(CalcAmtA,$M1957),"")</f>
        <v/>
      </c>
      <c r="J1957" s="24">
        <f>IF($B1957="","",IF($J1956="",$C$8,$J1956)+IF($I1957="",0,$I1957)+IF($E1957="",0,$E1957)-IF($H1957="",0,$H1957))</f>
        <v/>
      </c>
      <c r="K1957" s="25">
        <f>IF($M1957&lt;&gt;"",IF(INDEX(CalcNoteA,$M1957)="","—",INDEX(CalcNoteA,$M1957)),IF($N1957&lt;&gt;"",IF(INDEX(CalcNoteB,$N1957)="","—",INDEX(CalcNoteB,$N1957)),""))</f>
        <v/>
      </c>
      <c r="M1957">
        <f>IFERROR(MATCH($C$5&amp;"|"&amp;RIGHT("000000"&amp;1941,6),CalcRankKeyA,0),"")</f>
        <v/>
      </c>
      <c r="N1957">
        <f>IFERROR(MATCH($C$5&amp;"|"&amp;RIGHT("000000"&amp;1941,6),CalcRankKeyB,0),"")</f>
        <v/>
      </c>
    </row>
    <row r="1958">
      <c r="A1958" s="26" t="n">
        <v>1942</v>
      </c>
      <c r="B1958" s="27">
        <f>IF(AND($M1958="",$N1958=""),"",IF($M1958&lt;&gt;"",INDEX(CalcDateA,$M1958),INDEX(CalcDateB,$N1958)))</f>
        <v/>
      </c>
      <c r="C1958" s="27">
        <f>IF($M1958&lt;&gt;"","خرید سبد",IF($N1958&lt;&gt;"",IF(N(INDEX(CalcDepB,$N1958))&gt;0,"دریافت بانکی","پرداخت بانکی"),""))</f>
        <v/>
      </c>
      <c r="D1958" s="27">
        <f>IF($M1958&lt;&gt;"",IF(INDEX(CalcDocA,$M1958)="","—",INDEX(CalcDocA,$M1958)),IF($N1958&lt;&gt;"",INDEX(CalcBankB,$N1958),""))</f>
        <v/>
      </c>
      <c r="E1958" s="28">
        <f>IF($N1958&lt;&gt;"",IF(INDEX(CalcDepB,$N1958)=0,"",INDEX(CalcDepB,$N1958)),"")</f>
        <v/>
      </c>
      <c r="F1958" s="28">
        <f>IF($M1958&lt;&gt;"",IF(INDEX(CalcQtyA,$M1958)=0,"",INDEX(CalcQtyA,$M1958)),"")</f>
        <v/>
      </c>
      <c r="G1958" s="28">
        <f>IF($M1958&lt;&gt;"",IF(INDEX(CalcPriceA,$M1958)=0,"",INDEX(CalcPriceA,$M1958)),"")</f>
        <v/>
      </c>
      <c r="H1958" s="28">
        <f>IF($N1958&lt;&gt;"",IF(INDEX(CalcWitB,$N1958)=0,"",INDEX(CalcWitB,$N1958)),"")</f>
        <v/>
      </c>
      <c r="I1958" s="29">
        <f>IF($M1958&lt;&gt;"",INDEX(CalcAmtA,$M1958),"")</f>
        <v/>
      </c>
      <c r="J1958" s="29">
        <f>IF($B1958="","",IF($J1957="",$C$8,$J1957)+IF($I1958="",0,$I1958)+IF($E1958="",0,$E1958)-IF($H1958="",0,$H1958))</f>
        <v/>
      </c>
      <c r="K1958" s="30">
        <f>IF($M1958&lt;&gt;"",IF(INDEX(CalcNoteA,$M1958)="","—",INDEX(CalcNoteA,$M1958)),IF($N1958&lt;&gt;"",IF(INDEX(CalcNoteB,$N1958)="","—",INDEX(CalcNoteB,$N1958)),""))</f>
        <v/>
      </c>
      <c r="M1958">
        <f>IFERROR(MATCH($C$5&amp;"|"&amp;RIGHT("000000"&amp;1942,6),CalcRankKeyA,0),"")</f>
        <v/>
      </c>
      <c r="N1958">
        <f>IFERROR(MATCH($C$5&amp;"|"&amp;RIGHT("000000"&amp;1942,6),CalcRankKeyB,0),"")</f>
        <v/>
      </c>
    </row>
    <row r="1959">
      <c r="A1959" s="21" t="n">
        <v>1943</v>
      </c>
      <c r="B1959" s="22">
        <f>IF(AND($M1959="",$N1959=""),"",IF($M1959&lt;&gt;"",INDEX(CalcDateA,$M1959),INDEX(CalcDateB,$N1959)))</f>
        <v/>
      </c>
      <c r="C1959" s="22">
        <f>IF($M1959&lt;&gt;"","خرید سبد",IF($N1959&lt;&gt;"",IF(N(INDEX(CalcDepB,$N1959))&gt;0,"دریافت بانکی","پرداخت بانکی"),""))</f>
        <v/>
      </c>
      <c r="D1959" s="22">
        <f>IF($M1959&lt;&gt;"",IF(INDEX(CalcDocA,$M1959)="","—",INDEX(CalcDocA,$M1959)),IF($N1959&lt;&gt;"",INDEX(CalcBankB,$N1959),""))</f>
        <v/>
      </c>
      <c r="E1959" s="23">
        <f>IF($N1959&lt;&gt;"",IF(INDEX(CalcDepB,$N1959)=0,"",INDEX(CalcDepB,$N1959)),"")</f>
        <v/>
      </c>
      <c r="F1959" s="23">
        <f>IF($M1959&lt;&gt;"",IF(INDEX(CalcQtyA,$M1959)=0,"",INDEX(CalcQtyA,$M1959)),"")</f>
        <v/>
      </c>
      <c r="G1959" s="23">
        <f>IF($M1959&lt;&gt;"",IF(INDEX(CalcPriceA,$M1959)=0,"",INDEX(CalcPriceA,$M1959)),"")</f>
        <v/>
      </c>
      <c r="H1959" s="23">
        <f>IF($N1959&lt;&gt;"",IF(INDEX(CalcWitB,$N1959)=0,"",INDEX(CalcWitB,$N1959)),"")</f>
        <v/>
      </c>
      <c r="I1959" s="24">
        <f>IF($M1959&lt;&gt;"",INDEX(CalcAmtA,$M1959),"")</f>
        <v/>
      </c>
      <c r="J1959" s="24">
        <f>IF($B1959="","",IF($J1958="",$C$8,$J1958)+IF($I1959="",0,$I1959)+IF($E1959="",0,$E1959)-IF($H1959="",0,$H1959))</f>
        <v/>
      </c>
      <c r="K1959" s="25">
        <f>IF($M1959&lt;&gt;"",IF(INDEX(CalcNoteA,$M1959)="","—",INDEX(CalcNoteA,$M1959)),IF($N1959&lt;&gt;"",IF(INDEX(CalcNoteB,$N1959)="","—",INDEX(CalcNoteB,$N1959)),""))</f>
        <v/>
      </c>
      <c r="M1959">
        <f>IFERROR(MATCH($C$5&amp;"|"&amp;RIGHT("000000"&amp;1943,6),CalcRankKeyA,0),"")</f>
        <v/>
      </c>
      <c r="N1959">
        <f>IFERROR(MATCH($C$5&amp;"|"&amp;RIGHT("000000"&amp;1943,6),CalcRankKeyB,0),"")</f>
        <v/>
      </c>
    </row>
    <row r="1960">
      <c r="A1960" s="26" t="n">
        <v>1944</v>
      </c>
      <c r="B1960" s="27">
        <f>IF(AND($M1960="",$N1960=""),"",IF($M1960&lt;&gt;"",INDEX(CalcDateA,$M1960),INDEX(CalcDateB,$N1960)))</f>
        <v/>
      </c>
      <c r="C1960" s="27">
        <f>IF($M1960&lt;&gt;"","خرید سبد",IF($N1960&lt;&gt;"",IF(N(INDEX(CalcDepB,$N1960))&gt;0,"دریافت بانکی","پرداخت بانکی"),""))</f>
        <v/>
      </c>
      <c r="D1960" s="27">
        <f>IF($M1960&lt;&gt;"",IF(INDEX(CalcDocA,$M1960)="","—",INDEX(CalcDocA,$M1960)),IF($N1960&lt;&gt;"",INDEX(CalcBankB,$N1960),""))</f>
        <v/>
      </c>
      <c r="E1960" s="28">
        <f>IF($N1960&lt;&gt;"",IF(INDEX(CalcDepB,$N1960)=0,"",INDEX(CalcDepB,$N1960)),"")</f>
        <v/>
      </c>
      <c r="F1960" s="28">
        <f>IF($M1960&lt;&gt;"",IF(INDEX(CalcQtyA,$M1960)=0,"",INDEX(CalcQtyA,$M1960)),"")</f>
        <v/>
      </c>
      <c r="G1960" s="28">
        <f>IF($M1960&lt;&gt;"",IF(INDEX(CalcPriceA,$M1960)=0,"",INDEX(CalcPriceA,$M1960)),"")</f>
        <v/>
      </c>
      <c r="H1960" s="28">
        <f>IF($N1960&lt;&gt;"",IF(INDEX(CalcWitB,$N1960)=0,"",INDEX(CalcWitB,$N1960)),"")</f>
        <v/>
      </c>
      <c r="I1960" s="29">
        <f>IF($M1960&lt;&gt;"",INDEX(CalcAmtA,$M1960),"")</f>
        <v/>
      </c>
      <c r="J1960" s="29">
        <f>IF($B1960="","",IF($J1959="",$C$8,$J1959)+IF($I1960="",0,$I1960)+IF($E1960="",0,$E1960)-IF($H1960="",0,$H1960))</f>
        <v/>
      </c>
      <c r="K1960" s="30">
        <f>IF($M1960&lt;&gt;"",IF(INDEX(CalcNoteA,$M1960)="","—",INDEX(CalcNoteA,$M1960)),IF($N1960&lt;&gt;"",IF(INDEX(CalcNoteB,$N1960)="","—",INDEX(CalcNoteB,$N1960)),""))</f>
        <v/>
      </c>
      <c r="M1960">
        <f>IFERROR(MATCH($C$5&amp;"|"&amp;RIGHT("000000"&amp;1944,6),CalcRankKeyA,0),"")</f>
        <v/>
      </c>
      <c r="N1960">
        <f>IFERROR(MATCH($C$5&amp;"|"&amp;RIGHT("000000"&amp;1944,6),CalcRankKeyB,0),"")</f>
        <v/>
      </c>
    </row>
    <row r="1961">
      <c r="A1961" s="21" t="n">
        <v>1945</v>
      </c>
      <c r="B1961" s="22">
        <f>IF(AND($M1961="",$N1961=""),"",IF($M1961&lt;&gt;"",INDEX(CalcDateA,$M1961),INDEX(CalcDateB,$N1961)))</f>
        <v/>
      </c>
      <c r="C1961" s="22">
        <f>IF($M1961&lt;&gt;"","خرید سبد",IF($N1961&lt;&gt;"",IF(N(INDEX(CalcDepB,$N1961))&gt;0,"دریافت بانکی","پرداخت بانکی"),""))</f>
        <v/>
      </c>
      <c r="D1961" s="22">
        <f>IF($M1961&lt;&gt;"",IF(INDEX(CalcDocA,$M1961)="","—",INDEX(CalcDocA,$M1961)),IF($N1961&lt;&gt;"",INDEX(CalcBankB,$N1961),""))</f>
        <v/>
      </c>
      <c r="E1961" s="23">
        <f>IF($N1961&lt;&gt;"",IF(INDEX(CalcDepB,$N1961)=0,"",INDEX(CalcDepB,$N1961)),"")</f>
        <v/>
      </c>
      <c r="F1961" s="23">
        <f>IF($M1961&lt;&gt;"",IF(INDEX(CalcQtyA,$M1961)=0,"",INDEX(CalcQtyA,$M1961)),"")</f>
        <v/>
      </c>
      <c r="G1961" s="23">
        <f>IF($M1961&lt;&gt;"",IF(INDEX(CalcPriceA,$M1961)=0,"",INDEX(CalcPriceA,$M1961)),"")</f>
        <v/>
      </c>
      <c r="H1961" s="23">
        <f>IF($N1961&lt;&gt;"",IF(INDEX(CalcWitB,$N1961)=0,"",INDEX(CalcWitB,$N1961)),"")</f>
        <v/>
      </c>
      <c r="I1961" s="24">
        <f>IF($M1961&lt;&gt;"",INDEX(CalcAmtA,$M1961),"")</f>
        <v/>
      </c>
      <c r="J1961" s="24">
        <f>IF($B1961="","",IF($J1960="",$C$8,$J1960)+IF($I1961="",0,$I1961)+IF($E1961="",0,$E1961)-IF($H1961="",0,$H1961))</f>
        <v/>
      </c>
      <c r="K1961" s="25">
        <f>IF($M1961&lt;&gt;"",IF(INDEX(CalcNoteA,$M1961)="","—",INDEX(CalcNoteA,$M1961)),IF($N1961&lt;&gt;"",IF(INDEX(CalcNoteB,$N1961)="","—",INDEX(CalcNoteB,$N1961)),""))</f>
        <v/>
      </c>
      <c r="M1961">
        <f>IFERROR(MATCH($C$5&amp;"|"&amp;RIGHT("000000"&amp;1945,6),CalcRankKeyA,0),"")</f>
        <v/>
      </c>
      <c r="N1961">
        <f>IFERROR(MATCH($C$5&amp;"|"&amp;RIGHT("000000"&amp;1945,6),CalcRankKeyB,0),"")</f>
        <v/>
      </c>
    </row>
    <row r="1962">
      <c r="A1962" s="26" t="n">
        <v>1946</v>
      </c>
      <c r="B1962" s="27">
        <f>IF(AND($M1962="",$N1962=""),"",IF($M1962&lt;&gt;"",INDEX(CalcDateA,$M1962),INDEX(CalcDateB,$N1962)))</f>
        <v/>
      </c>
      <c r="C1962" s="27">
        <f>IF($M1962&lt;&gt;"","خرید سبد",IF($N1962&lt;&gt;"",IF(N(INDEX(CalcDepB,$N1962))&gt;0,"دریافت بانکی","پرداخت بانکی"),""))</f>
        <v/>
      </c>
      <c r="D1962" s="27">
        <f>IF($M1962&lt;&gt;"",IF(INDEX(CalcDocA,$M1962)="","—",INDEX(CalcDocA,$M1962)),IF($N1962&lt;&gt;"",INDEX(CalcBankB,$N1962),""))</f>
        <v/>
      </c>
      <c r="E1962" s="28">
        <f>IF($N1962&lt;&gt;"",IF(INDEX(CalcDepB,$N1962)=0,"",INDEX(CalcDepB,$N1962)),"")</f>
        <v/>
      </c>
      <c r="F1962" s="28">
        <f>IF($M1962&lt;&gt;"",IF(INDEX(CalcQtyA,$M1962)=0,"",INDEX(CalcQtyA,$M1962)),"")</f>
        <v/>
      </c>
      <c r="G1962" s="28">
        <f>IF($M1962&lt;&gt;"",IF(INDEX(CalcPriceA,$M1962)=0,"",INDEX(CalcPriceA,$M1962)),"")</f>
        <v/>
      </c>
      <c r="H1962" s="28">
        <f>IF($N1962&lt;&gt;"",IF(INDEX(CalcWitB,$N1962)=0,"",INDEX(CalcWitB,$N1962)),"")</f>
        <v/>
      </c>
      <c r="I1962" s="29">
        <f>IF($M1962&lt;&gt;"",INDEX(CalcAmtA,$M1962),"")</f>
        <v/>
      </c>
      <c r="J1962" s="29">
        <f>IF($B1962="","",IF($J1961="",$C$8,$J1961)+IF($I1962="",0,$I1962)+IF($E1962="",0,$E1962)-IF($H1962="",0,$H1962))</f>
        <v/>
      </c>
      <c r="K1962" s="30">
        <f>IF($M1962&lt;&gt;"",IF(INDEX(CalcNoteA,$M1962)="","—",INDEX(CalcNoteA,$M1962)),IF($N1962&lt;&gt;"",IF(INDEX(CalcNoteB,$N1962)="","—",INDEX(CalcNoteB,$N1962)),""))</f>
        <v/>
      </c>
      <c r="M1962">
        <f>IFERROR(MATCH($C$5&amp;"|"&amp;RIGHT("000000"&amp;1946,6),CalcRankKeyA,0),"")</f>
        <v/>
      </c>
      <c r="N1962">
        <f>IFERROR(MATCH($C$5&amp;"|"&amp;RIGHT("000000"&amp;1946,6),CalcRankKeyB,0),"")</f>
        <v/>
      </c>
    </row>
    <row r="1963">
      <c r="A1963" s="21" t="n">
        <v>1947</v>
      </c>
      <c r="B1963" s="22">
        <f>IF(AND($M1963="",$N1963=""),"",IF($M1963&lt;&gt;"",INDEX(CalcDateA,$M1963),INDEX(CalcDateB,$N1963)))</f>
        <v/>
      </c>
      <c r="C1963" s="22">
        <f>IF($M1963&lt;&gt;"","خرید سبد",IF($N1963&lt;&gt;"",IF(N(INDEX(CalcDepB,$N1963))&gt;0,"دریافت بانکی","پرداخت بانکی"),""))</f>
        <v/>
      </c>
      <c r="D1963" s="22">
        <f>IF($M1963&lt;&gt;"",IF(INDEX(CalcDocA,$M1963)="","—",INDEX(CalcDocA,$M1963)),IF($N1963&lt;&gt;"",INDEX(CalcBankB,$N1963),""))</f>
        <v/>
      </c>
      <c r="E1963" s="23">
        <f>IF($N1963&lt;&gt;"",IF(INDEX(CalcDepB,$N1963)=0,"",INDEX(CalcDepB,$N1963)),"")</f>
        <v/>
      </c>
      <c r="F1963" s="23">
        <f>IF($M1963&lt;&gt;"",IF(INDEX(CalcQtyA,$M1963)=0,"",INDEX(CalcQtyA,$M1963)),"")</f>
        <v/>
      </c>
      <c r="G1963" s="23">
        <f>IF($M1963&lt;&gt;"",IF(INDEX(CalcPriceA,$M1963)=0,"",INDEX(CalcPriceA,$M1963)),"")</f>
        <v/>
      </c>
      <c r="H1963" s="23">
        <f>IF($N1963&lt;&gt;"",IF(INDEX(CalcWitB,$N1963)=0,"",INDEX(CalcWitB,$N1963)),"")</f>
        <v/>
      </c>
      <c r="I1963" s="24">
        <f>IF($M1963&lt;&gt;"",INDEX(CalcAmtA,$M1963),"")</f>
        <v/>
      </c>
      <c r="J1963" s="24">
        <f>IF($B1963="","",IF($J1962="",$C$8,$J1962)+IF($I1963="",0,$I1963)+IF($E1963="",0,$E1963)-IF($H1963="",0,$H1963))</f>
        <v/>
      </c>
      <c r="K1963" s="25">
        <f>IF($M1963&lt;&gt;"",IF(INDEX(CalcNoteA,$M1963)="","—",INDEX(CalcNoteA,$M1963)),IF($N1963&lt;&gt;"",IF(INDEX(CalcNoteB,$N1963)="","—",INDEX(CalcNoteB,$N1963)),""))</f>
        <v/>
      </c>
      <c r="M1963">
        <f>IFERROR(MATCH($C$5&amp;"|"&amp;RIGHT("000000"&amp;1947,6),CalcRankKeyA,0),"")</f>
        <v/>
      </c>
      <c r="N1963">
        <f>IFERROR(MATCH($C$5&amp;"|"&amp;RIGHT("000000"&amp;1947,6),CalcRankKeyB,0),"")</f>
        <v/>
      </c>
    </row>
    <row r="1964">
      <c r="A1964" s="26" t="n">
        <v>1948</v>
      </c>
      <c r="B1964" s="27">
        <f>IF(AND($M1964="",$N1964=""),"",IF($M1964&lt;&gt;"",INDEX(CalcDateA,$M1964),INDEX(CalcDateB,$N1964)))</f>
        <v/>
      </c>
      <c r="C1964" s="27">
        <f>IF($M1964&lt;&gt;"","خرید سبد",IF($N1964&lt;&gt;"",IF(N(INDEX(CalcDepB,$N1964))&gt;0,"دریافت بانکی","پرداخت بانکی"),""))</f>
        <v/>
      </c>
      <c r="D1964" s="27">
        <f>IF($M1964&lt;&gt;"",IF(INDEX(CalcDocA,$M1964)="","—",INDEX(CalcDocA,$M1964)),IF($N1964&lt;&gt;"",INDEX(CalcBankB,$N1964),""))</f>
        <v/>
      </c>
      <c r="E1964" s="28">
        <f>IF($N1964&lt;&gt;"",IF(INDEX(CalcDepB,$N1964)=0,"",INDEX(CalcDepB,$N1964)),"")</f>
        <v/>
      </c>
      <c r="F1964" s="28">
        <f>IF($M1964&lt;&gt;"",IF(INDEX(CalcQtyA,$M1964)=0,"",INDEX(CalcQtyA,$M1964)),"")</f>
        <v/>
      </c>
      <c r="G1964" s="28">
        <f>IF($M1964&lt;&gt;"",IF(INDEX(CalcPriceA,$M1964)=0,"",INDEX(CalcPriceA,$M1964)),"")</f>
        <v/>
      </c>
      <c r="H1964" s="28">
        <f>IF($N1964&lt;&gt;"",IF(INDEX(CalcWitB,$N1964)=0,"",INDEX(CalcWitB,$N1964)),"")</f>
        <v/>
      </c>
      <c r="I1964" s="29">
        <f>IF($M1964&lt;&gt;"",INDEX(CalcAmtA,$M1964),"")</f>
        <v/>
      </c>
      <c r="J1964" s="29">
        <f>IF($B1964="","",IF($J1963="",$C$8,$J1963)+IF($I1964="",0,$I1964)+IF($E1964="",0,$E1964)-IF($H1964="",0,$H1964))</f>
        <v/>
      </c>
      <c r="K1964" s="30">
        <f>IF($M1964&lt;&gt;"",IF(INDEX(CalcNoteA,$M1964)="","—",INDEX(CalcNoteA,$M1964)),IF($N1964&lt;&gt;"",IF(INDEX(CalcNoteB,$N1964)="","—",INDEX(CalcNoteB,$N1964)),""))</f>
        <v/>
      </c>
      <c r="M1964">
        <f>IFERROR(MATCH($C$5&amp;"|"&amp;RIGHT("000000"&amp;1948,6),CalcRankKeyA,0),"")</f>
        <v/>
      </c>
      <c r="N1964">
        <f>IFERROR(MATCH($C$5&amp;"|"&amp;RIGHT("000000"&amp;1948,6),CalcRankKeyB,0),"")</f>
        <v/>
      </c>
    </row>
    <row r="1965">
      <c r="A1965" s="21" t="n">
        <v>1949</v>
      </c>
      <c r="B1965" s="22">
        <f>IF(AND($M1965="",$N1965=""),"",IF($M1965&lt;&gt;"",INDEX(CalcDateA,$M1965),INDEX(CalcDateB,$N1965)))</f>
        <v/>
      </c>
      <c r="C1965" s="22">
        <f>IF($M1965&lt;&gt;"","خرید سبد",IF($N1965&lt;&gt;"",IF(N(INDEX(CalcDepB,$N1965))&gt;0,"دریافت بانکی","پرداخت بانکی"),""))</f>
        <v/>
      </c>
      <c r="D1965" s="22">
        <f>IF($M1965&lt;&gt;"",IF(INDEX(CalcDocA,$M1965)="","—",INDEX(CalcDocA,$M1965)),IF($N1965&lt;&gt;"",INDEX(CalcBankB,$N1965),""))</f>
        <v/>
      </c>
      <c r="E1965" s="23">
        <f>IF($N1965&lt;&gt;"",IF(INDEX(CalcDepB,$N1965)=0,"",INDEX(CalcDepB,$N1965)),"")</f>
        <v/>
      </c>
      <c r="F1965" s="23">
        <f>IF($M1965&lt;&gt;"",IF(INDEX(CalcQtyA,$M1965)=0,"",INDEX(CalcQtyA,$M1965)),"")</f>
        <v/>
      </c>
      <c r="G1965" s="23">
        <f>IF($M1965&lt;&gt;"",IF(INDEX(CalcPriceA,$M1965)=0,"",INDEX(CalcPriceA,$M1965)),"")</f>
        <v/>
      </c>
      <c r="H1965" s="23">
        <f>IF($N1965&lt;&gt;"",IF(INDEX(CalcWitB,$N1965)=0,"",INDEX(CalcWitB,$N1965)),"")</f>
        <v/>
      </c>
      <c r="I1965" s="24">
        <f>IF($M1965&lt;&gt;"",INDEX(CalcAmtA,$M1965),"")</f>
        <v/>
      </c>
      <c r="J1965" s="24">
        <f>IF($B1965="","",IF($J1964="",$C$8,$J1964)+IF($I1965="",0,$I1965)+IF($E1965="",0,$E1965)-IF($H1965="",0,$H1965))</f>
        <v/>
      </c>
      <c r="K1965" s="25">
        <f>IF($M1965&lt;&gt;"",IF(INDEX(CalcNoteA,$M1965)="","—",INDEX(CalcNoteA,$M1965)),IF($N1965&lt;&gt;"",IF(INDEX(CalcNoteB,$N1965)="","—",INDEX(CalcNoteB,$N1965)),""))</f>
        <v/>
      </c>
      <c r="M1965">
        <f>IFERROR(MATCH($C$5&amp;"|"&amp;RIGHT("000000"&amp;1949,6),CalcRankKeyA,0),"")</f>
        <v/>
      </c>
      <c r="N1965">
        <f>IFERROR(MATCH($C$5&amp;"|"&amp;RIGHT("000000"&amp;1949,6),CalcRankKeyB,0),"")</f>
        <v/>
      </c>
    </row>
    <row r="1966">
      <c r="A1966" s="26" t="n">
        <v>1950</v>
      </c>
      <c r="B1966" s="27">
        <f>IF(AND($M1966="",$N1966=""),"",IF($M1966&lt;&gt;"",INDEX(CalcDateA,$M1966),INDEX(CalcDateB,$N1966)))</f>
        <v/>
      </c>
      <c r="C1966" s="27">
        <f>IF($M1966&lt;&gt;"","خرید سبد",IF($N1966&lt;&gt;"",IF(N(INDEX(CalcDepB,$N1966))&gt;0,"دریافت بانکی","پرداخت بانکی"),""))</f>
        <v/>
      </c>
      <c r="D1966" s="27">
        <f>IF($M1966&lt;&gt;"",IF(INDEX(CalcDocA,$M1966)="","—",INDEX(CalcDocA,$M1966)),IF($N1966&lt;&gt;"",INDEX(CalcBankB,$N1966),""))</f>
        <v/>
      </c>
      <c r="E1966" s="28">
        <f>IF($N1966&lt;&gt;"",IF(INDEX(CalcDepB,$N1966)=0,"",INDEX(CalcDepB,$N1966)),"")</f>
        <v/>
      </c>
      <c r="F1966" s="28">
        <f>IF($M1966&lt;&gt;"",IF(INDEX(CalcQtyA,$M1966)=0,"",INDEX(CalcQtyA,$M1966)),"")</f>
        <v/>
      </c>
      <c r="G1966" s="28">
        <f>IF($M1966&lt;&gt;"",IF(INDEX(CalcPriceA,$M1966)=0,"",INDEX(CalcPriceA,$M1966)),"")</f>
        <v/>
      </c>
      <c r="H1966" s="28">
        <f>IF($N1966&lt;&gt;"",IF(INDEX(CalcWitB,$N1966)=0,"",INDEX(CalcWitB,$N1966)),"")</f>
        <v/>
      </c>
      <c r="I1966" s="29">
        <f>IF($M1966&lt;&gt;"",INDEX(CalcAmtA,$M1966),"")</f>
        <v/>
      </c>
      <c r="J1966" s="29">
        <f>IF($B1966="","",IF($J1965="",$C$8,$J1965)+IF($I1966="",0,$I1966)+IF($E1966="",0,$E1966)-IF($H1966="",0,$H1966))</f>
        <v/>
      </c>
      <c r="K1966" s="30">
        <f>IF($M1966&lt;&gt;"",IF(INDEX(CalcNoteA,$M1966)="","—",INDEX(CalcNoteA,$M1966)),IF($N1966&lt;&gt;"",IF(INDEX(CalcNoteB,$N1966)="","—",INDEX(CalcNoteB,$N1966)),""))</f>
        <v/>
      </c>
      <c r="M1966">
        <f>IFERROR(MATCH($C$5&amp;"|"&amp;RIGHT("000000"&amp;1950,6),CalcRankKeyA,0),"")</f>
        <v/>
      </c>
      <c r="N1966">
        <f>IFERROR(MATCH($C$5&amp;"|"&amp;RIGHT("000000"&amp;1950,6),CalcRankKeyB,0),"")</f>
        <v/>
      </c>
    </row>
    <row r="1967">
      <c r="A1967" s="21" t="n">
        <v>1951</v>
      </c>
      <c r="B1967" s="22">
        <f>IF(AND($M1967="",$N1967=""),"",IF($M1967&lt;&gt;"",INDEX(CalcDateA,$M1967),INDEX(CalcDateB,$N1967)))</f>
        <v/>
      </c>
      <c r="C1967" s="22">
        <f>IF($M1967&lt;&gt;"","خرید سبد",IF($N1967&lt;&gt;"",IF(N(INDEX(CalcDepB,$N1967))&gt;0,"دریافت بانکی","پرداخت بانکی"),""))</f>
        <v/>
      </c>
      <c r="D1967" s="22">
        <f>IF($M1967&lt;&gt;"",IF(INDEX(CalcDocA,$M1967)="","—",INDEX(CalcDocA,$M1967)),IF($N1967&lt;&gt;"",INDEX(CalcBankB,$N1967),""))</f>
        <v/>
      </c>
      <c r="E1967" s="23">
        <f>IF($N1967&lt;&gt;"",IF(INDEX(CalcDepB,$N1967)=0,"",INDEX(CalcDepB,$N1967)),"")</f>
        <v/>
      </c>
      <c r="F1967" s="23">
        <f>IF($M1967&lt;&gt;"",IF(INDEX(CalcQtyA,$M1967)=0,"",INDEX(CalcQtyA,$M1967)),"")</f>
        <v/>
      </c>
      <c r="G1967" s="23">
        <f>IF($M1967&lt;&gt;"",IF(INDEX(CalcPriceA,$M1967)=0,"",INDEX(CalcPriceA,$M1967)),"")</f>
        <v/>
      </c>
      <c r="H1967" s="23">
        <f>IF($N1967&lt;&gt;"",IF(INDEX(CalcWitB,$N1967)=0,"",INDEX(CalcWitB,$N1967)),"")</f>
        <v/>
      </c>
      <c r="I1967" s="24">
        <f>IF($M1967&lt;&gt;"",INDEX(CalcAmtA,$M1967),"")</f>
        <v/>
      </c>
      <c r="J1967" s="24">
        <f>IF($B1967="","",IF($J1966="",$C$8,$J1966)+IF($I1967="",0,$I1967)+IF($E1967="",0,$E1967)-IF($H1967="",0,$H1967))</f>
        <v/>
      </c>
      <c r="K1967" s="25">
        <f>IF($M1967&lt;&gt;"",IF(INDEX(CalcNoteA,$M1967)="","—",INDEX(CalcNoteA,$M1967)),IF($N1967&lt;&gt;"",IF(INDEX(CalcNoteB,$N1967)="","—",INDEX(CalcNoteB,$N1967)),""))</f>
        <v/>
      </c>
      <c r="M1967">
        <f>IFERROR(MATCH($C$5&amp;"|"&amp;RIGHT("000000"&amp;1951,6),CalcRankKeyA,0),"")</f>
        <v/>
      </c>
      <c r="N1967">
        <f>IFERROR(MATCH($C$5&amp;"|"&amp;RIGHT("000000"&amp;1951,6),CalcRankKeyB,0),"")</f>
        <v/>
      </c>
    </row>
    <row r="1968">
      <c r="A1968" s="26" t="n">
        <v>1952</v>
      </c>
      <c r="B1968" s="27">
        <f>IF(AND($M1968="",$N1968=""),"",IF($M1968&lt;&gt;"",INDEX(CalcDateA,$M1968),INDEX(CalcDateB,$N1968)))</f>
        <v/>
      </c>
      <c r="C1968" s="27">
        <f>IF($M1968&lt;&gt;"","خرید سبد",IF($N1968&lt;&gt;"",IF(N(INDEX(CalcDepB,$N1968))&gt;0,"دریافت بانکی","پرداخت بانکی"),""))</f>
        <v/>
      </c>
      <c r="D1968" s="27">
        <f>IF($M1968&lt;&gt;"",IF(INDEX(CalcDocA,$M1968)="","—",INDEX(CalcDocA,$M1968)),IF($N1968&lt;&gt;"",INDEX(CalcBankB,$N1968),""))</f>
        <v/>
      </c>
      <c r="E1968" s="28">
        <f>IF($N1968&lt;&gt;"",IF(INDEX(CalcDepB,$N1968)=0,"",INDEX(CalcDepB,$N1968)),"")</f>
        <v/>
      </c>
      <c r="F1968" s="28">
        <f>IF($M1968&lt;&gt;"",IF(INDEX(CalcQtyA,$M1968)=0,"",INDEX(CalcQtyA,$M1968)),"")</f>
        <v/>
      </c>
      <c r="G1968" s="28">
        <f>IF($M1968&lt;&gt;"",IF(INDEX(CalcPriceA,$M1968)=0,"",INDEX(CalcPriceA,$M1968)),"")</f>
        <v/>
      </c>
      <c r="H1968" s="28">
        <f>IF($N1968&lt;&gt;"",IF(INDEX(CalcWitB,$N1968)=0,"",INDEX(CalcWitB,$N1968)),"")</f>
        <v/>
      </c>
      <c r="I1968" s="29">
        <f>IF($M1968&lt;&gt;"",INDEX(CalcAmtA,$M1968),"")</f>
        <v/>
      </c>
      <c r="J1968" s="29">
        <f>IF($B1968="","",IF($J1967="",$C$8,$J1967)+IF($I1968="",0,$I1968)+IF($E1968="",0,$E1968)-IF($H1968="",0,$H1968))</f>
        <v/>
      </c>
      <c r="K1968" s="30">
        <f>IF($M1968&lt;&gt;"",IF(INDEX(CalcNoteA,$M1968)="","—",INDEX(CalcNoteA,$M1968)),IF($N1968&lt;&gt;"",IF(INDEX(CalcNoteB,$N1968)="","—",INDEX(CalcNoteB,$N1968)),""))</f>
        <v/>
      </c>
      <c r="M1968">
        <f>IFERROR(MATCH($C$5&amp;"|"&amp;RIGHT("000000"&amp;1952,6),CalcRankKeyA,0),"")</f>
        <v/>
      </c>
      <c r="N1968">
        <f>IFERROR(MATCH($C$5&amp;"|"&amp;RIGHT("000000"&amp;1952,6),CalcRankKeyB,0),"")</f>
        <v/>
      </c>
    </row>
    <row r="1969">
      <c r="A1969" s="21" t="n">
        <v>1953</v>
      </c>
      <c r="B1969" s="22">
        <f>IF(AND($M1969="",$N1969=""),"",IF($M1969&lt;&gt;"",INDEX(CalcDateA,$M1969),INDEX(CalcDateB,$N1969)))</f>
        <v/>
      </c>
      <c r="C1969" s="22">
        <f>IF($M1969&lt;&gt;"","خرید سبد",IF($N1969&lt;&gt;"",IF(N(INDEX(CalcDepB,$N1969))&gt;0,"دریافت بانکی","پرداخت بانکی"),""))</f>
        <v/>
      </c>
      <c r="D1969" s="22">
        <f>IF($M1969&lt;&gt;"",IF(INDEX(CalcDocA,$M1969)="","—",INDEX(CalcDocA,$M1969)),IF($N1969&lt;&gt;"",INDEX(CalcBankB,$N1969),""))</f>
        <v/>
      </c>
      <c r="E1969" s="23">
        <f>IF($N1969&lt;&gt;"",IF(INDEX(CalcDepB,$N1969)=0,"",INDEX(CalcDepB,$N1969)),"")</f>
        <v/>
      </c>
      <c r="F1969" s="23">
        <f>IF($M1969&lt;&gt;"",IF(INDEX(CalcQtyA,$M1969)=0,"",INDEX(CalcQtyA,$M1969)),"")</f>
        <v/>
      </c>
      <c r="G1969" s="23">
        <f>IF($M1969&lt;&gt;"",IF(INDEX(CalcPriceA,$M1969)=0,"",INDEX(CalcPriceA,$M1969)),"")</f>
        <v/>
      </c>
      <c r="H1969" s="23">
        <f>IF($N1969&lt;&gt;"",IF(INDEX(CalcWitB,$N1969)=0,"",INDEX(CalcWitB,$N1969)),"")</f>
        <v/>
      </c>
      <c r="I1969" s="24">
        <f>IF($M1969&lt;&gt;"",INDEX(CalcAmtA,$M1969),"")</f>
        <v/>
      </c>
      <c r="J1969" s="24">
        <f>IF($B1969="","",IF($J1968="",$C$8,$J1968)+IF($I1969="",0,$I1969)+IF($E1969="",0,$E1969)-IF($H1969="",0,$H1969))</f>
        <v/>
      </c>
      <c r="K1969" s="25">
        <f>IF($M1969&lt;&gt;"",IF(INDEX(CalcNoteA,$M1969)="","—",INDEX(CalcNoteA,$M1969)),IF($N1969&lt;&gt;"",IF(INDEX(CalcNoteB,$N1969)="","—",INDEX(CalcNoteB,$N1969)),""))</f>
        <v/>
      </c>
      <c r="M1969">
        <f>IFERROR(MATCH($C$5&amp;"|"&amp;RIGHT("000000"&amp;1953,6),CalcRankKeyA,0),"")</f>
        <v/>
      </c>
      <c r="N1969">
        <f>IFERROR(MATCH($C$5&amp;"|"&amp;RIGHT("000000"&amp;1953,6),CalcRankKeyB,0),"")</f>
        <v/>
      </c>
    </row>
    <row r="1970">
      <c r="A1970" s="26" t="n">
        <v>1954</v>
      </c>
      <c r="B1970" s="27">
        <f>IF(AND($M1970="",$N1970=""),"",IF($M1970&lt;&gt;"",INDEX(CalcDateA,$M1970),INDEX(CalcDateB,$N1970)))</f>
        <v/>
      </c>
      <c r="C1970" s="27">
        <f>IF($M1970&lt;&gt;"","خرید سبد",IF($N1970&lt;&gt;"",IF(N(INDEX(CalcDepB,$N1970))&gt;0,"دریافت بانکی","پرداخت بانکی"),""))</f>
        <v/>
      </c>
      <c r="D1970" s="27">
        <f>IF($M1970&lt;&gt;"",IF(INDEX(CalcDocA,$M1970)="","—",INDEX(CalcDocA,$M1970)),IF($N1970&lt;&gt;"",INDEX(CalcBankB,$N1970),""))</f>
        <v/>
      </c>
      <c r="E1970" s="28">
        <f>IF($N1970&lt;&gt;"",IF(INDEX(CalcDepB,$N1970)=0,"",INDEX(CalcDepB,$N1970)),"")</f>
        <v/>
      </c>
      <c r="F1970" s="28">
        <f>IF($M1970&lt;&gt;"",IF(INDEX(CalcQtyA,$M1970)=0,"",INDEX(CalcQtyA,$M1970)),"")</f>
        <v/>
      </c>
      <c r="G1970" s="28">
        <f>IF($M1970&lt;&gt;"",IF(INDEX(CalcPriceA,$M1970)=0,"",INDEX(CalcPriceA,$M1970)),"")</f>
        <v/>
      </c>
      <c r="H1970" s="28">
        <f>IF($N1970&lt;&gt;"",IF(INDEX(CalcWitB,$N1970)=0,"",INDEX(CalcWitB,$N1970)),"")</f>
        <v/>
      </c>
      <c r="I1970" s="29">
        <f>IF($M1970&lt;&gt;"",INDEX(CalcAmtA,$M1970),"")</f>
        <v/>
      </c>
      <c r="J1970" s="29">
        <f>IF($B1970="","",IF($J1969="",$C$8,$J1969)+IF($I1970="",0,$I1970)+IF($E1970="",0,$E1970)-IF($H1970="",0,$H1970))</f>
        <v/>
      </c>
      <c r="K1970" s="30">
        <f>IF($M1970&lt;&gt;"",IF(INDEX(CalcNoteA,$M1970)="","—",INDEX(CalcNoteA,$M1970)),IF($N1970&lt;&gt;"",IF(INDEX(CalcNoteB,$N1970)="","—",INDEX(CalcNoteB,$N1970)),""))</f>
        <v/>
      </c>
      <c r="M1970">
        <f>IFERROR(MATCH($C$5&amp;"|"&amp;RIGHT("000000"&amp;1954,6),CalcRankKeyA,0),"")</f>
        <v/>
      </c>
      <c r="N1970">
        <f>IFERROR(MATCH($C$5&amp;"|"&amp;RIGHT("000000"&amp;1954,6),CalcRankKeyB,0),"")</f>
        <v/>
      </c>
    </row>
    <row r="1971">
      <c r="A1971" s="21" t="n">
        <v>1955</v>
      </c>
      <c r="B1971" s="22">
        <f>IF(AND($M1971="",$N1971=""),"",IF($M1971&lt;&gt;"",INDEX(CalcDateA,$M1971),INDEX(CalcDateB,$N1971)))</f>
        <v/>
      </c>
      <c r="C1971" s="22">
        <f>IF($M1971&lt;&gt;"","خرید سبد",IF($N1971&lt;&gt;"",IF(N(INDEX(CalcDepB,$N1971))&gt;0,"دریافت بانکی","پرداخت بانکی"),""))</f>
        <v/>
      </c>
      <c r="D1971" s="22">
        <f>IF($M1971&lt;&gt;"",IF(INDEX(CalcDocA,$M1971)="","—",INDEX(CalcDocA,$M1971)),IF($N1971&lt;&gt;"",INDEX(CalcBankB,$N1971),""))</f>
        <v/>
      </c>
      <c r="E1971" s="23">
        <f>IF($N1971&lt;&gt;"",IF(INDEX(CalcDepB,$N1971)=0,"",INDEX(CalcDepB,$N1971)),"")</f>
        <v/>
      </c>
      <c r="F1971" s="23">
        <f>IF($M1971&lt;&gt;"",IF(INDEX(CalcQtyA,$M1971)=0,"",INDEX(CalcQtyA,$M1971)),"")</f>
        <v/>
      </c>
      <c r="G1971" s="23">
        <f>IF($M1971&lt;&gt;"",IF(INDEX(CalcPriceA,$M1971)=0,"",INDEX(CalcPriceA,$M1971)),"")</f>
        <v/>
      </c>
      <c r="H1971" s="23">
        <f>IF($N1971&lt;&gt;"",IF(INDEX(CalcWitB,$N1971)=0,"",INDEX(CalcWitB,$N1971)),"")</f>
        <v/>
      </c>
      <c r="I1971" s="24">
        <f>IF($M1971&lt;&gt;"",INDEX(CalcAmtA,$M1971),"")</f>
        <v/>
      </c>
      <c r="J1971" s="24">
        <f>IF($B1971="","",IF($J1970="",$C$8,$J1970)+IF($I1971="",0,$I1971)+IF($E1971="",0,$E1971)-IF($H1971="",0,$H1971))</f>
        <v/>
      </c>
      <c r="K1971" s="25">
        <f>IF($M1971&lt;&gt;"",IF(INDEX(CalcNoteA,$M1971)="","—",INDEX(CalcNoteA,$M1971)),IF($N1971&lt;&gt;"",IF(INDEX(CalcNoteB,$N1971)="","—",INDEX(CalcNoteB,$N1971)),""))</f>
        <v/>
      </c>
      <c r="M1971">
        <f>IFERROR(MATCH($C$5&amp;"|"&amp;RIGHT("000000"&amp;1955,6),CalcRankKeyA,0),"")</f>
        <v/>
      </c>
      <c r="N1971">
        <f>IFERROR(MATCH($C$5&amp;"|"&amp;RIGHT("000000"&amp;1955,6),CalcRankKeyB,0),"")</f>
        <v/>
      </c>
    </row>
    <row r="1972">
      <c r="A1972" s="26" t="n">
        <v>1956</v>
      </c>
      <c r="B1972" s="27">
        <f>IF(AND($M1972="",$N1972=""),"",IF($M1972&lt;&gt;"",INDEX(CalcDateA,$M1972),INDEX(CalcDateB,$N1972)))</f>
        <v/>
      </c>
      <c r="C1972" s="27">
        <f>IF($M1972&lt;&gt;"","خرید سبد",IF($N1972&lt;&gt;"",IF(N(INDEX(CalcDepB,$N1972))&gt;0,"دریافت بانکی","پرداخت بانکی"),""))</f>
        <v/>
      </c>
      <c r="D1972" s="27">
        <f>IF($M1972&lt;&gt;"",IF(INDEX(CalcDocA,$M1972)="","—",INDEX(CalcDocA,$M1972)),IF($N1972&lt;&gt;"",INDEX(CalcBankB,$N1972),""))</f>
        <v/>
      </c>
      <c r="E1972" s="28">
        <f>IF($N1972&lt;&gt;"",IF(INDEX(CalcDepB,$N1972)=0,"",INDEX(CalcDepB,$N1972)),"")</f>
        <v/>
      </c>
      <c r="F1972" s="28">
        <f>IF($M1972&lt;&gt;"",IF(INDEX(CalcQtyA,$M1972)=0,"",INDEX(CalcQtyA,$M1972)),"")</f>
        <v/>
      </c>
      <c r="G1972" s="28">
        <f>IF($M1972&lt;&gt;"",IF(INDEX(CalcPriceA,$M1972)=0,"",INDEX(CalcPriceA,$M1972)),"")</f>
        <v/>
      </c>
      <c r="H1972" s="28">
        <f>IF($N1972&lt;&gt;"",IF(INDEX(CalcWitB,$N1972)=0,"",INDEX(CalcWitB,$N1972)),"")</f>
        <v/>
      </c>
      <c r="I1972" s="29">
        <f>IF($M1972&lt;&gt;"",INDEX(CalcAmtA,$M1972),"")</f>
        <v/>
      </c>
      <c r="J1972" s="29">
        <f>IF($B1972="","",IF($J1971="",$C$8,$J1971)+IF($I1972="",0,$I1972)+IF($E1972="",0,$E1972)-IF($H1972="",0,$H1972))</f>
        <v/>
      </c>
      <c r="K1972" s="30">
        <f>IF($M1972&lt;&gt;"",IF(INDEX(CalcNoteA,$M1972)="","—",INDEX(CalcNoteA,$M1972)),IF($N1972&lt;&gt;"",IF(INDEX(CalcNoteB,$N1972)="","—",INDEX(CalcNoteB,$N1972)),""))</f>
        <v/>
      </c>
      <c r="M1972">
        <f>IFERROR(MATCH($C$5&amp;"|"&amp;RIGHT("000000"&amp;1956,6),CalcRankKeyA,0),"")</f>
        <v/>
      </c>
      <c r="N1972">
        <f>IFERROR(MATCH($C$5&amp;"|"&amp;RIGHT("000000"&amp;1956,6),CalcRankKeyB,0),"")</f>
        <v/>
      </c>
    </row>
    <row r="1973">
      <c r="A1973" s="21" t="n">
        <v>1957</v>
      </c>
      <c r="B1973" s="22">
        <f>IF(AND($M1973="",$N1973=""),"",IF($M1973&lt;&gt;"",INDEX(CalcDateA,$M1973),INDEX(CalcDateB,$N1973)))</f>
        <v/>
      </c>
      <c r="C1973" s="22">
        <f>IF($M1973&lt;&gt;"","خرید سبد",IF($N1973&lt;&gt;"",IF(N(INDEX(CalcDepB,$N1973))&gt;0,"دریافت بانکی","پرداخت بانکی"),""))</f>
        <v/>
      </c>
      <c r="D1973" s="22">
        <f>IF($M1973&lt;&gt;"",IF(INDEX(CalcDocA,$M1973)="","—",INDEX(CalcDocA,$M1973)),IF($N1973&lt;&gt;"",INDEX(CalcBankB,$N1973),""))</f>
        <v/>
      </c>
      <c r="E1973" s="23">
        <f>IF($N1973&lt;&gt;"",IF(INDEX(CalcDepB,$N1973)=0,"",INDEX(CalcDepB,$N1973)),"")</f>
        <v/>
      </c>
      <c r="F1973" s="23">
        <f>IF($M1973&lt;&gt;"",IF(INDEX(CalcQtyA,$M1973)=0,"",INDEX(CalcQtyA,$M1973)),"")</f>
        <v/>
      </c>
      <c r="G1973" s="23">
        <f>IF($M1973&lt;&gt;"",IF(INDEX(CalcPriceA,$M1973)=0,"",INDEX(CalcPriceA,$M1973)),"")</f>
        <v/>
      </c>
      <c r="H1973" s="23">
        <f>IF($N1973&lt;&gt;"",IF(INDEX(CalcWitB,$N1973)=0,"",INDEX(CalcWitB,$N1973)),"")</f>
        <v/>
      </c>
      <c r="I1973" s="24">
        <f>IF($M1973&lt;&gt;"",INDEX(CalcAmtA,$M1973),"")</f>
        <v/>
      </c>
      <c r="J1973" s="24">
        <f>IF($B1973="","",IF($J1972="",$C$8,$J1972)+IF($I1973="",0,$I1973)+IF($E1973="",0,$E1973)-IF($H1973="",0,$H1973))</f>
        <v/>
      </c>
      <c r="K1973" s="25">
        <f>IF($M1973&lt;&gt;"",IF(INDEX(CalcNoteA,$M1973)="","—",INDEX(CalcNoteA,$M1973)),IF($N1973&lt;&gt;"",IF(INDEX(CalcNoteB,$N1973)="","—",INDEX(CalcNoteB,$N1973)),""))</f>
        <v/>
      </c>
      <c r="M1973">
        <f>IFERROR(MATCH($C$5&amp;"|"&amp;RIGHT("000000"&amp;1957,6),CalcRankKeyA,0),"")</f>
        <v/>
      </c>
      <c r="N1973">
        <f>IFERROR(MATCH($C$5&amp;"|"&amp;RIGHT("000000"&amp;1957,6),CalcRankKeyB,0),"")</f>
        <v/>
      </c>
    </row>
    <row r="1974">
      <c r="A1974" s="26" t="n">
        <v>1958</v>
      </c>
      <c r="B1974" s="27">
        <f>IF(AND($M1974="",$N1974=""),"",IF($M1974&lt;&gt;"",INDEX(CalcDateA,$M1974),INDEX(CalcDateB,$N1974)))</f>
        <v/>
      </c>
      <c r="C1974" s="27">
        <f>IF($M1974&lt;&gt;"","خرید سبد",IF($N1974&lt;&gt;"",IF(N(INDEX(CalcDepB,$N1974))&gt;0,"دریافت بانکی","پرداخت بانکی"),""))</f>
        <v/>
      </c>
      <c r="D1974" s="27">
        <f>IF($M1974&lt;&gt;"",IF(INDEX(CalcDocA,$M1974)="","—",INDEX(CalcDocA,$M1974)),IF($N1974&lt;&gt;"",INDEX(CalcBankB,$N1974),""))</f>
        <v/>
      </c>
      <c r="E1974" s="28">
        <f>IF($N1974&lt;&gt;"",IF(INDEX(CalcDepB,$N1974)=0,"",INDEX(CalcDepB,$N1974)),"")</f>
        <v/>
      </c>
      <c r="F1974" s="28">
        <f>IF($M1974&lt;&gt;"",IF(INDEX(CalcQtyA,$M1974)=0,"",INDEX(CalcQtyA,$M1974)),"")</f>
        <v/>
      </c>
      <c r="G1974" s="28">
        <f>IF($M1974&lt;&gt;"",IF(INDEX(CalcPriceA,$M1974)=0,"",INDEX(CalcPriceA,$M1974)),"")</f>
        <v/>
      </c>
      <c r="H1974" s="28">
        <f>IF($N1974&lt;&gt;"",IF(INDEX(CalcWitB,$N1974)=0,"",INDEX(CalcWitB,$N1974)),"")</f>
        <v/>
      </c>
      <c r="I1974" s="29">
        <f>IF($M1974&lt;&gt;"",INDEX(CalcAmtA,$M1974),"")</f>
        <v/>
      </c>
      <c r="J1974" s="29">
        <f>IF($B1974="","",IF($J1973="",$C$8,$J1973)+IF($I1974="",0,$I1974)+IF($E1974="",0,$E1974)-IF($H1974="",0,$H1974))</f>
        <v/>
      </c>
      <c r="K1974" s="30">
        <f>IF($M1974&lt;&gt;"",IF(INDEX(CalcNoteA,$M1974)="","—",INDEX(CalcNoteA,$M1974)),IF($N1974&lt;&gt;"",IF(INDEX(CalcNoteB,$N1974)="","—",INDEX(CalcNoteB,$N1974)),""))</f>
        <v/>
      </c>
      <c r="M1974">
        <f>IFERROR(MATCH($C$5&amp;"|"&amp;RIGHT("000000"&amp;1958,6),CalcRankKeyA,0),"")</f>
        <v/>
      </c>
      <c r="N1974">
        <f>IFERROR(MATCH($C$5&amp;"|"&amp;RIGHT("000000"&amp;1958,6),CalcRankKeyB,0),"")</f>
        <v/>
      </c>
    </row>
    <row r="1975">
      <c r="A1975" s="21" t="n">
        <v>1959</v>
      </c>
      <c r="B1975" s="22">
        <f>IF(AND($M1975="",$N1975=""),"",IF($M1975&lt;&gt;"",INDEX(CalcDateA,$M1975),INDEX(CalcDateB,$N1975)))</f>
        <v/>
      </c>
      <c r="C1975" s="22">
        <f>IF($M1975&lt;&gt;"","خرید سبد",IF($N1975&lt;&gt;"",IF(N(INDEX(CalcDepB,$N1975))&gt;0,"دریافت بانکی","پرداخت بانکی"),""))</f>
        <v/>
      </c>
      <c r="D1975" s="22">
        <f>IF($M1975&lt;&gt;"",IF(INDEX(CalcDocA,$M1975)="","—",INDEX(CalcDocA,$M1975)),IF($N1975&lt;&gt;"",INDEX(CalcBankB,$N1975),""))</f>
        <v/>
      </c>
      <c r="E1975" s="23">
        <f>IF($N1975&lt;&gt;"",IF(INDEX(CalcDepB,$N1975)=0,"",INDEX(CalcDepB,$N1975)),"")</f>
        <v/>
      </c>
      <c r="F1975" s="23">
        <f>IF($M1975&lt;&gt;"",IF(INDEX(CalcQtyA,$M1975)=0,"",INDEX(CalcQtyA,$M1975)),"")</f>
        <v/>
      </c>
      <c r="G1975" s="23">
        <f>IF($M1975&lt;&gt;"",IF(INDEX(CalcPriceA,$M1975)=0,"",INDEX(CalcPriceA,$M1975)),"")</f>
        <v/>
      </c>
      <c r="H1975" s="23">
        <f>IF($N1975&lt;&gt;"",IF(INDEX(CalcWitB,$N1975)=0,"",INDEX(CalcWitB,$N1975)),"")</f>
        <v/>
      </c>
      <c r="I1975" s="24">
        <f>IF($M1975&lt;&gt;"",INDEX(CalcAmtA,$M1975),"")</f>
        <v/>
      </c>
      <c r="J1975" s="24">
        <f>IF($B1975="","",IF($J1974="",$C$8,$J1974)+IF($I1975="",0,$I1975)+IF($E1975="",0,$E1975)-IF($H1975="",0,$H1975))</f>
        <v/>
      </c>
      <c r="K1975" s="25">
        <f>IF($M1975&lt;&gt;"",IF(INDEX(CalcNoteA,$M1975)="","—",INDEX(CalcNoteA,$M1975)),IF($N1975&lt;&gt;"",IF(INDEX(CalcNoteB,$N1975)="","—",INDEX(CalcNoteB,$N1975)),""))</f>
        <v/>
      </c>
      <c r="M1975">
        <f>IFERROR(MATCH($C$5&amp;"|"&amp;RIGHT("000000"&amp;1959,6),CalcRankKeyA,0),"")</f>
        <v/>
      </c>
      <c r="N1975">
        <f>IFERROR(MATCH($C$5&amp;"|"&amp;RIGHT("000000"&amp;1959,6),CalcRankKeyB,0),"")</f>
        <v/>
      </c>
    </row>
    <row r="1976">
      <c r="A1976" s="26" t="n">
        <v>1960</v>
      </c>
      <c r="B1976" s="27">
        <f>IF(AND($M1976="",$N1976=""),"",IF($M1976&lt;&gt;"",INDEX(CalcDateA,$M1976),INDEX(CalcDateB,$N1976)))</f>
        <v/>
      </c>
      <c r="C1976" s="27">
        <f>IF($M1976&lt;&gt;"","خرید سبد",IF($N1976&lt;&gt;"",IF(N(INDEX(CalcDepB,$N1976))&gt;0,"دریافت بانکی","پرداخت بانکی"),""))</f>
        <v/>
      </c>
      <c r="D1976" s="27">
        <f>IF($M1976&lt;&gt;"",IF(INDEX(CalcDocA,$M1976)="","—",INDEX(CalcDocA,$M1976)),IF($N1976&lt;&gt;"",INDEX(CalcBankB,$N1976),""))</f>
        <v/>
      </c>
      <c r="E1976" s="28">
        <f>IF($N1976&lt;&gt;"",IF(INDEX(CalcDepB,$N1976)=0,"",INDEX(CalcDepB,$N1976)),"")</f>
        <v/>
      </c>
      <c r="F1976" s="28">
        <f>IF($M1976&lt;&gt;"",IF(INDEX(CalcQtyA,$M1976)=0,"",INDEX(CalcQtyA,$M1976)),"")</f>
        <v/>
      </c>
      <c r="G1976" s="28">
        <f>IF($M1976&lt;&gt;"",IF(INDEX(CalcPriceA,$M1976)=0,"",INDEX(CalcPriceA,$M1976)),"")</f>
        <v/>
      </c>
      <c r="H1976" s="28">
        <f>IF($N1976&lt;&gt;"",IF(INDEX(CalcWitB,$N1976)=0,"",INDEX(CalcWitB,$N1976)),"")</f>
        <v/>
      </c>
      <c r="I1976" s="29">
        <f>IF($M1976&lt;&gt;"",INDEX(CalcAmtA,$M1976),"")</f>
        <v/>
      </c>
      <c r="J1976" s="29">
        <f>IF($B1976="","",IF($J1975="",$C$8,$J1975)+IF($I1976="",0,$I1976)+IF($E1976="",0,$E1976)-IF($H1976="",0,$H1976))</f>
        <v/>
      </c>
      <c r="K1976" s="30">
        <f>IF($M1976&lt;&gt;"",IF(INDEX(CalcNoteA,$M1976)="","—",INDEX(CalcNoteA,$M1976)),IF($N1976&lt;&gt;"",IF(INDEX(CalcNoteB,$N1976)="","—",INDEX(CalcNoteB,$N1976)),""))</f>
        <v/>
      </c>
      <c r="M1976">
        <f>IFERROR(MATCH($C$5&amp;"|"&amp;RIGHT("000000"&amp;1960,6),CalcRankKeyA,0),"")</f>
        <v/>
      </c>
      <c r="N1976">
        <f>IFERROR(MATCH($C$5&amp;"|"&amp;RIGHT("000000"&amp;1960,6),CalcRankKeyB,0),"")</f>
        <v/>
      </c>
    </row>
    <row r="1977">
      <c r="A1977" s="21" t="n">
        <v>1961</v>
      </c>
      <c r="B1977" s="22">
        <f>IF(AND($M1977="",$N1977=""),"",IF($M1977&lt;&gt;"",INDEX(CalcDateA,$M1977),INDEX(CalcDateB,$N1977)))</f>
        <v/>
      </c>
      <c r="C1977" s="22">
        <f>IF($M1977&lt;&gt;"","خرید سبد",IF($N1977&lt;&gt;"",IF(N(INDEX(CalcDepB,$N1977))&gt;0,"دریافت بانکی","پرداخت بانکی"),""))</f>
        <v/>
      </c>
      <c r="D1977" s="22">
        <f>IF($M1977&lt;&gt;"",IF(INDEX(CalcDocA,$M1977)="","—",INDEX(CalcDocA,$M1977)),IF($N1977&lt;&gt;"",INDEX(CalcBankB,$N1977),""))</f>
        <v/>
      </c>
      <c r="E1977" s="23">
        <f>IF($N1977&lt;&gt;"",IF(INDEX(CalcDepB,$N1977)=0,"",INDEX(CalcDepB,$N1977)),"")</f>
        <v/>
      </c>
      <c r="F1977" s="23">
        <f>IF($M1977&lt;&gt;"",IF(INDEX(CalcQtyA,$M1977)=0,"",INDEX(CalcQtyA,$M1977)),"")</f>
        <v/>
      </c>
      <c r="G1977" s="23">
        <f>IF($M1977&lt;&gt;"",IF(INDEX(CalcPriceA,$M1977)=0,"",INDEX(CalcPriceA,$M1977)),"")</f>
        <v/>
      </c>
      <c r="H1977" s="23">
        <f>IF($N1977&lt;&gt;"",IF(INDEX(CalcWitB,$N1977)=0,"",INDEX(CalcWitB,$N1977)),"")</f>
        <v/>
      </c>
      <c r="I1977" s="24">
        <f>IF($M1977&lt;&gt;"",INDEX(CalcAmtA,$M1977),"")</f>
        <v/>
      </c>
      <c r="J1977" s="24">
        <f>IF($B1977="","",IF($J1976="",$C$8,$J1976)+IF($I1977="",0,$I1977)+IF($E1977="",0,$E1977)-IF($H1977="",0,$H1977))</f>
        <v/>
      </c>
      <c r="K1977" s="25">
        <f>IF($M1977&lt;&gt;"",IF(INDEX(CalcNoteA,$M1977)="","—",INDEX(CalcNoteA,$M1977)),IF($N1977&lt;&gt;"",IF(INDEX(CalcNoteB,$N1977)="","—",INDEX(CalcNoteB,$N1977)),""))</f>
        <v/>
      </c>
      <c r="M1977">
        <f>IFERROR(MATCH($C$5&amp;"|"&amp;RIGHT("000000"&amp;1961,6),CalcRankKeyA,0),"")</f>
        <v/>
      </c>
      <c r="N1977">
        <f>IFERROR(MATCH($C$5&amp;"|"&amp;RIGHT("000000"&amp;1961,6),CalcRankKeyB,0),"")</f>
        <v/>
      </c>
    </row>
    <row r="1978">
      <c r="A1978" s="26" t="n">
        <v>1962</v>
      </c>
      <c r="B1978" s="27">
        <f>IF(AND($M1978="",$N1978=""),"",IF($M1978&lt;&gt;"",INDEX(CalcDateA,$M1978),INDEX(CalcDateB,$N1978)))</f>
        <v/>
      </c>
      <c r="C1978" s="27">
        <f>IF($M1978&lt;&gt;"","خرید سبد",IF($N1978&lt;&gt;"",IF(N(INDEX(CalcDepB,$N1978))&gt;0,"دریافت بانکی","پرداخت بانکی"),""))</f>
        <v/>
      </c>
      <c r="D1978" s="27">
        <f>IF($M1978&lt;&gt;"",IF(INDEX(CalcDocA,$M1978)="","—",INDEX(CalcDocA,$M1978)),IF($N1978&lt;&gt;"",INDEX(CalcBankB,$N1978),""))</f>
        <v/>
      </c>
      <c r="E1978" s="28">
        <f>IF($N1978&lt;&gt;"",IF(INDEX(CalcDepB,$N1978)=0,"",INDEX(CalcDepB,$N1978)),"")</f>
        <v/>
      </c>
      <c r="F1978" s="28">
        <f>IF($M1978&lt;&gt;"",IF(INDEX(CalcQtyA,$M1978)=0,"",INDEX(CalcQtyA,$M1978)),"")</f>
        <v/>
      </c>
      <c r="G1978" s="28">
        <f>IF($M1978&lt;&gt;"",IF(INDEX(CalcPriceA,$M1978)=0,"",INDEX(CalcPriceA,$M1978)),"")</f>
        <v/>
      </c>
      <c r="H1978" s="28">
        <f>IF($N1978&lt;&gt;"",IF(INDEX(CalcWitB,$N1978)=0,"",INDEX(CalcWitB,$N1978)),"")</f>
        <v/>
      </c>
      <c r="I1978" s="29">
        <f>IF($M1978&lt;&gt;"",INDEX(CalcAmtA,$M1978),"")</f>
        <v/>
      </c>
      <c r="J1978" s="29">
        <f>IF($B1978="","",IF($J1977="",$C$8,$J1977)+IF($I1978="",0,$I1978)+IF($E1978="",0,$E1978)-IF($H1978="",0,$H1978))</f>
        <v/>
      </c>
      <c r="K1978" s="30">
        <f>IF($M1978&lt;&gt;"",IF(INDEX(CalcNoteA,$M1978)="","—",INDEX(CalcNoteA,$M1978)),IF($N1978&lt;&gt;"",IF(INDEX(CalcNoteB,$N1978)="","—",INDEX(CalcNoteB,$N1978)),""))</f>
        <v/>
      </c>
      <c r="M1978">
        <f>IFERROR(MATCH($C$5&amp;"|"&amp;RIGHT("000000"&amp;1962,6),CalcRankKeyA,0),"")</f>
        <v/>
      </c>
      <c r="N1978">
        <f>IFERROR(MATCH($C$5&amp;"|"&amp;RIGHT("000000"&amp;1962,6),CalcRankKeyB,0),"")</f>
        <v/>
      </c>
    </row>
    <row r="1979">
      <c r="A1979" s="21" t="n">
        <v>1963</v>
      </c>
      <c r="B1979" s="22">
        <f>IF(AND($M1979="",$N1979=""),"",IF($M1979&lt;&gt;"",INDEX(CalcDateA,$M1979),INDEX(CalcDateB,$N1979)))</f>
        <v/>
      </c>
      <c r="C1979" s="22">
        <f>IF($M1979&lt;&gt;"","خرید سبد",IF($N1979&lt;&gt;"",IF(N(INDEX(CalcDepB,$N1979))&gt;0,"دریافت بانکی","پرداخت بانکی"),""))</f>
        <v/>
      </c>
      <c r="D1979" s="22">
        <f>IF($M1979&lt;&gt;"",IF(INDEX(CalcDocA,$M1979)="","—",INDEX(CalcDocA,$M1979)),IF($N1979&lt;&gt;"",INDEX(CalcBankB,$N1979),""))</f>
        <v/>
      </c>
      <c r="E1979" s="23">
        <f>IF($N1979&lt;&gt;"",IF(INDEX(CalcDepB,$N1979)=0,"",INDEX(CalcDepB,$N1979)),"")</f>
        <v/>
      </c>
      <c r="F1979" s="23">
        <f>IF($M1979&lt;&gt;"",IF(INDEX(CalcQtyA,$M1979)=0,"",INDEX(CalcQtyA,$M1979)),"")</f>
        <v/>
      </c>
      <c r="G1979" s="23">
        <f>IF($M1979&lt;&gt;"",IF(INDEX(CalcPriceA,$M1979)=0,"",INDEX(CalcPriceA,$M1979)),"")</f>
        <v/>
      </c>
      <c r="H1979" s="23">
        <f>IF($N1979&lt;&gt;"",IF(INDEX(CalcWitB,$N1979)=0,"",INDEX(CalcWitB,$N1979)),"")</f>
        <v/>
      </c>
      <c r="I1979" s="24">
        <f>IF($M1979&lt;&gt;"",INDEX(CalcAmtA,$M1979),"")</f>
        <v/>
      </c>
      <c r="J1979" s="24">
        <f>IF($B1979="","",IF($J1978="",$C$8,$J1978)+IF($I1979="",0,$I1979)+IF($E1979="",0,$E1979)-IF($H1979="",0,$H1979))</f>
        <v/>
      </c>
      <c r="K1979" s="25">
        <f>IF($M1979&lt;&gt;"",IF(INDEX(CalcNoteA,$M1979)="","—",INDEX(CalcNoteA,$M1979)),IF($N1979&lt;&gt;"",IF(INDEX(CalcNoteB,$N1979)="","—",INDEX(CalcNoteB,$N1979)),""))</f>
        <v/>
      </c>
      <c r="M1979">
        <f>IFERROR(MATCH($C$5&amp;"|"&amp;RIGHT("000000"&amp;1963,6),CalcRankKeyA,0),"")</f>
        <v/>
      </c>
      <c r="N1979">
        <f>IFERROR(MATCH($C$5&amp;"|"&amp;RIGHT("000000"&amp;1963,6),CalcRankKeyB,0),"")</f>
        <v/>
      </c>
    </row>
    <row r="1980">
      <c r="A1980" s="26" t="n">
        <v>1964</v>
      </c>
      <c r="B1980" s="27">
        <f>IF(AND($M1980="",$N1980=""),"",IF($M1980&lt;&gt;"",INDEX(CalcDateA,$M1980),INDEX(CalcDateB,$N1980)))</f>
        <v/>
      </c>
      <c r="C1980" s="27">
        <f>IF($M1980&lt;&gt;"","خرید سبد",IF($N1980&lt;&gt;"",IF(N(INDEX(CalcDepB,$N1980))&gt;0,"دریافت بانکی","پرداخت بانکی"),""))</f>
        <v/>
      </c>
      <c r="D1980" s="27">
        <f>IF($M1980&lt;&gt;"",IF(INDEX(CalcDocA,$M1980)="","—",INDEX(CalcDocA,$M1980)),IF($N1980&lt;&gt;"",INDEX(CalcBankB,$N1980),""))</f>
        <v/>
      </c>
      <c r="E1980" s="28">
        <f>IF($N1980&lt;&gt;"",IF(INDEX(CalcDepB,$N1980)=0,"",INDEX(CalcDepB,$N1980)),"")</f>
        <v/>
      </c>
      <c r="F1980" s="28">
        <f>IF($M1980&lt;&gt;"",IF(INDEX(CalcQtyA,$M1980)=0,"",INDEX(CalcQtyA,$M1980)),"")</f>
        <v/>
      </c>
      <c r="G1980" s="28">
        <f>IF($M1980&lt;&gt;"",IF(INDEX(CalcPriceA,$M1980)=0,"",INDEX(CalcPriceA,$M1980)),"")</f>
        <v/>
      </c>
      <c r="H1980" s="28">
        <f>IF($N1980&lt;&gt;"",IF(INDEX(CalcWitB,$N1980)=0,"",INDEX(CalcWitB,$N1980)),"")</f>
        <v/>
      </c>
      <c r="I1980" s="29">
        <f>IF($M1980&lt;&gt;"",INDEX(CalcAmtA,$M1980),"")</f>
        <v/>
      </c>
      <c r="J1980" s="29">
        <f>IF($B1980="","",IF($J1979="",$C$8,$J1979)+IF($I1980="",0,$I1980)+IF($E1980="",0,$E1980)-IF($H1980="",0,$H1980))</f>
        <v/>
      </c>
      <c r="K1980" s="30">
        <f>IF($M1980&lt;&gt;"",IF(INDEX(CalcNoteA,$M1980)="","—",INDEX(CalcNoteA,$M1980)),IF($N1980&lt;&gt;"",IF(INDEX(CalcNoteB,$N1980)="","—",INDEX(CalcNoteB,$N1980)),""))</f>
        <v/>
      </c>
      <c r="M1980">
        <f>IFERROR(MATCH($C$5&amp;"|"&amp;RIGHT("000000"&amp;1964,6),CalcRankKeyA,0),"")</f>
        <v/>
      </c>
      <c r="N1980">
        <f>IFERROR(MATCH($C$5&amp;"|"&amp;RIGHT("000000"&amp;1964,6),CalcRankKeyB,0),"")</f>
        <v/>
      </c>
    </row>
    <row r="1981">
      <c r="A1981" s="21" t="n">
        <v>1965</v>
      </c>
      <c r="B1981" s="22">
        <f>IF(AND($M1981="",$N1981=""),"",IF($M1981&lt;&gt;"",INDEX(CalcDateA,$M1981),INDEX(CalcDateB,$N1981)))</f>
        <v/>
      </c>
      <c r="C1981" s="22">
        <f>IF($M1981&lt;&gt;"","خرید سبد",IF($N1981&lt;&gt;"",IF(N(INDEX(CalcDepB,$N1981))&gt;0,"دریافت بانکی","پرداخت بانکی"),""))</f>
        <v/>
      </c>
      <c r="D1981" s="22">
        <f>IF($M1981&lt;&gt;"",IF(INDEX(CalcDocA,$M1981)="","—",INDEX(CalcDocA,$M1981)),IF($N1981&lt;&gt;"",INDEX(CalcBankB,$N1981),""))</f>
        <v/>
      </c>
      <c r="E1981" s="23">
        <f>IF($N1981&lt;&gt;"",IF(INDEX(CalcDepB,$N1981)=0,"",INDEX(CalcDepB,$N1981)),"")</f>
        <v/>
      </c>
      <c r="F1981" s="23">
        <f>IF($M1981&lt;&gt;"",IF(INDEX(CalcQtyA,$M1981)=0,"",INDEX(CalcQtyA,$M1981)),"")</f>
        <v/>
      </c>
      <c r="G1981" s="23">
        <f>IF($M1981&lt;&gt;"",IF(INDEX(CalcPriceA,$M1981)=0,"",INDEX(CalcPriceA,$M1981)),"")</f>
        <v/>
      </c>
      <c r="H1981" s="23">
        <f>IF($N1981&lt;&gt;"",IF(INDEX(CalcWitB,$N1981)=0,"",INDEX(CalcWitB,$N1981)),"")</f>
        <v/>
      </c>
      <c r="I1981" s="24">
        <f>IF($M1981&lt;&gt;"",INDEX(CalcAmtA,$M1981),"")</f>
        <v/>
      </c>
      <c r="J1981" s="24">
        <f>IF($B1981="","",IF($J1980="",$C$8,$J1980)+IF($I1981="",0,$I1981)+IF($E1981="",0,$E1981)-IF($H1981="",0,$H1981))</f>
        <v/>
      </c>
      <c r="K1981" s="25">
        <f>IF($M1981&lt;&gt;"",IF(INDEX(CalcNoteA,$M1981)="","—",INDEX(CalcNoteA,$M1981)),IF($N1981&lt;&gt;"",IF(INDEX(CalcNoteB,$N1981)="","—",INDEX(CalcNoteB,$N1981)),""))</f>
        <v/>
      </c>
      <c r="M1981">
        <f>IFERROR(MATCH($C$5&amp;"|"&amp;RIGHT("000000"&amp;1965,6),CalcRankKeyA,0),"")</f>
        <v/>
      </c>
      <c r="N1981">
        <f>IFERROR(MATCH($C$5&amp;"|"&amp;RIGHT("000000"&amp;1965,6),CalcRankKeyB,0),"")</f>
        <v/>
      </c>
    </row>
    <row r="1982">
      <c r="A1982" s="26" t="n">
        <v>1966</v>
      </c>
      <c r="B1982" s="27">
        <f>IF(AND($M1982="",$N1982=""),"",IF($M1982&lt;&gt;"",INDEX(CalcDateA,$M1982),INDEX(CalcDateB,$N1982)))</f>
        <v/>
      </c>
      <c r="C1982" s="27">
        <f>IF($M1982&lt;&gt;"","خرید سبد",IF($N1982&lt;&gt;"",IF(N(INDEX(CalcDepB,$N1982))&gt;0,"دریافت بانکی","پرداخت بانکی"),""))</f>
        <v/>
      </c>
      <c r="D1982" s="27">
        <f>IF($M1982&lt;&gt;"",IF(INDEX(CalcDocA,$M1982)="","—",INDEX(CalcDocA,$M1982)),IF($N1982&lt;&gt;"",INDEX(CalcBankB,$N1982),""))</f>
        <v/>
      </c>
      <c r="E1982" s="28">
        <f>IF($N1982&lt;&gt;"",IF(INDEX(CalcDepB,$N1982)=0,"",INDEX(CalcDepB,$N1982)),"")</f>
        <v/>
      </c>
      <c r="F1982" s="28">
        <f>IF($M1982&lt;&gt;"",IF(INDEX(CalcQtyA,$M1982)=0,"",INDEX(CalcQtyA,$M1982)),"")</f>
        <v/>
      </c>
      <c r="G1982" s="28">
        <f>IF($M1982&lt;&gt;"",IF(INDEX(CalcPriceA,$M1982)=0,"",INDEX(CalcPriceA,$M1982)),"")</f>
        <v/>
      </c>
      <c r="H1982" s="28">
        <f>IF($N1982&lt;&gt;"",IF(INDEX(CalcWitB,$N1982)=0,"",INDEX(CalcWitB,$N1982)),"")</f>
        <v/>
      </c>
      <c r="I1982" s="29">
        <f>IF($M1982&lt;&gt;"",INDEX(CalcAmtA,$M1982),"")</f>
        <v/>
      </c>
      <c r="J1982" s="29">
        <f>IF($B1982="","",IF($J1981="",$C$8,$J1981)+IF($I1982="",0,$I1982)+IF($E1982="",0,$E1982)-IF($H1982="",0,$H1982))</f>
        <v/>
      </c>
      <c r="K1982" s="30">
        <f>IF($M1982&lt;&gt;"",IF(INDEX(CalcNoteA,$M1982)="","—",INDEX(CalcNoteA,$M1982)),IF($N1982&lt;&gt;"",IF(INDEX(CalcNoteB,$N1982)="","—",INDEX(CalcNoteB,$N1982)),""))</f>
        <v/>
      </c>
      <c r="M1982">
        <f>IFERROR(MATCH($C$5&amp;"|"&amp;RIGHT("000000"&amp;1966,6),CalcRankKeyA,0),"")</f>
        <v/>
      </c>
      <c r="N1982">
        <f>IFERROR(MATCH($C$5&amp;"|"&amp;RIGHT("000000"&amp;1966,6),CalcRankKeyB,0),"")</f>
        <v/>
      </c>
    </row>
    <row r="1983">
      <c r="A1983" s="21" t="n">
        <v>1967</v>
      </c>
      <c r="B1983" s="22">
        <f>IF(AND($M1983="",$N1983=""),"",IF($M1983&lt;&gt;"",INDEX(CalcDateA,$M1983),INDEX(CalcDateB,$N1983)))</f>
        <v/>
      </c>
      <c r="C1983" s="22">
        <f>IF($M1983&lt;&gt;"","خرید سبد",IF($N1983&lt;&gt;"",IF(N(INDEX(CalcDepB,$N1983))&gt;0,"دریافت بانکی","پرداخت بانکی"),""))</f>
        <v/>
      </c>
      <c r="D1983" s="22">
        <f>IF($M1983&lt;&gt;"",IF(INDEX(CalcDocA,$M1983)="","—",INDEX(CalcDocA,$M1983)),IF($N1983&lt;&gt;"",INDEX(CalcBankB,$N1983),""))</f>
        <v/>
      </c>
      <c r="E1983" s="23">
        <f>IF($N1983&lt;&gt;"",IF(INDEX(CalcDepB,$N1983)=0,"",INDEX(CalcDepB,$N1983)),"")</f>
        <v/>
      </c>
      <c r="F1983" s="23">
        <f>IF($M1983&lt;&gt;"",IF(INDEX(CalcQtyA,$M1983)=0,"",INDEX(CalcQtyA,$M1983)),"")</f>
        <v/>
      </c>
      <c r="G1983" s="23">
        <f>IF($M1983&lt;&gt;"",IF(INDEX(CalcPriceA,$M1983)=0,"",INDEX(CalcPriceA,$M1983)),"")</f>
        <v/>
      </c>
      <c r="H1983" s="23">
        <f>IF($N1983&lt;&gt;"",IF(INDEX(CalcWitB,$N1983)=0,"",INDEX(CalcWitB,$N1983)),"")</f>
        <v/>
      </c>
      <c r="I1983" s="24">
        <f>IF($M1983&lt;&gt;"",INDEX(CalcAmtA,$M1983),"")</f>
        <v/>
      </c>
      <c r="J1983" s="24">
        <f>IF($B1983="","",IF($J1982="",$C$8,$J1982)+IF($I1983="",0,$I1983)+IF($E1983="",0,$E1983)-IF($H1983="",0,$H1983))</f>
        <v/>
      </c>
      <c r="K1983" s="25">
        <f>IF($M1983&lt;&gt;"",IF(INDEX(CalcNoteA,$M1983)="","—",INDEX(CalcNoteA,$M1983)),IF($N1983&lt;&gt;"",IF(INDEX(CalcNoteB,$N1983)="","—",INDEX(CalcNoteB,$N1983)),""))</f>
        <v/>
      </c>
      <c r="M1983">
        <f>IFERROR(MATCH($C$5&amp;"|"&amp;RIGHT("000000"&amp;1967,6),CalcRankKeyA,0),"")</f>
        <v/>
      </c>
      <c r="N1983">
        <f>IFERROR(MATCH($C$5&amp;"|"&amp;RIGHT("000000"&amp;1967,6),CalcRankKeyB,0),"")</f>
        <v/>
      </c>
    </row>
    <row r="1984">
      <c r="A1984" s="26" t="n">
        <v>1968</v>
      </c>
      <c r="B1984" s="27">
        <f>IF(AND($M1984="",$N1984=""),"",IF($M1984&lt;&gt;"",INDEX(CalcDateA,$M1984),INDEX(CalcDateB,$N1984)))</f>
        <v/>
      </c>
      <c r="C1984" s="27">
        <f>IF($M1984&lt;&gt;"","خرید سبد",IF($N1984&lt;&gt;"",IF(N(INDEX(CalcDepB,$N1984))&gt;0,"دریافت بانکی","پرداخت بانکی"),""))</f>
        <v/>
      </c>
      <c r="D1984" s="27">
        <f>IF($M1984&lt;&gt;"",IF(INDEX(CalcDocA,$M1984)="","—",INDEX(CalcDocA,$M1984)),IF($N1984&lt;&gt;"",INDEX(CalcBankB,$N1984),""))</f>
        <v/>
      </c>
      <c r="E1984" s="28">
        <f>IF($N1984&lt;&gt;"",IF(INDEX(CalcDepB,$N1984)=0,"",INDEX(CalcDepB,$N1984)),"")</f>
        <v/>
      </c>
      <c r="F1984" s="28">
        <f>IF($M1984&lt;&gt;"",IF(INDEX(CalcQtyA,$M1984)=0,"",INDEX(CalcQtyA,$M1984)),"")</f>
        <v/>
      </c>
      <c r="G1984" s="28">
        <f>IF($M1984&lt;&gt;"",IF(INDEX(CalcPriceA,$M1984)=0,"",INDEX(CalcPriceA,$M1984)),"")</f>
        <v/>
      </c>
      <c r="H1984" s="28">
        <f>IF($N1984&lt;&gt;"",IF(INDEX(CalcWitB,$N1984)=0,"",INDEX(CalcWitB,$N1984)),"")</f>
        <v/>
      </c>
      <c r="I1984" s="29">
        <f>IF($M1984&lt;&gt;"",INDEX(CalcAmtA,$M1984),"")</f>
        <v/>
      </c>
      <c r="J1984" s="29">
        <f>IF($B1984="","",IF($J1983="",$C$8,$J1983)+IF($I1984="",0,$I1984)+IF($E1984="",0,$E1984)-IF($H1984="",0,$H1984))</f>
        <v/>
      </c>
      <c r="K1984" s="30">
        <f>IF($M1984&lt;&gt;"",IF(INDEX(CalcNoteA,$M1984)="","—",INDEX(CalcNoteA,$M1984)),IF($N1984&lt;&gt;"",IF(INDEX(CalcNoteB,$N1984)="","—",INDEX(CalcNoteB,$N1984)),""))</f>
        <v/>
      </c>
      <c r="M1984">
        <f>IFERROR(MATCH($C$5&amp;"|"&amp;RIGHT("000000"&amp;1968,6),CalcRankKeyA,0),"")</f>
        <v/>
      </c>
      <c r="N1984">
        <f>IFERROR(MATCH($C$5&amp;"|"&amp;RIGHT("000000"&amp;1968,6),CalcRankKeyB,0),"")</f>
        <v/>
      </c>
    </row>
    <row r="1985">
      <c r="A1985" s="21" t="n">
        <v>1969</v>
      </c>
      <c r="B1985" s="22">
        <f>IF(AND($M1985="",$N1985=""),"",IF($M1985&lt;&gt;"",INDEX(CalcDateA,$M1985),INDEX(CalcDateB,$N1985)))</f>
        <v/>
      </c>
      <c r="C1985" s="22">
        <f>IF($M1985&lt;&gt;"","خرید سبد",IF($N1985&lt;&gt;"",IF(N(INDEX(CalcDepB,$N1985))&gt;0,"دریافت بانکی","پرداخت بانکی"),""))</f>
        <v/>
      </c>
      <c r="D1985" s="22">
        <f>IF($M1985&lt;&gt;"",IF(INDEX(CalcDocA,$M1985)="","—",INDEX(CalcDocA,$M1985)),IF($N1985&lt;&gt;"",INDEX(CalcBankB,$N1985),""))</f>
        <v/>
      </c>
      <c r="E1985" s="23">
        <f>IF($N1985&lt;&gt;"",IF(INDEX(CalcDepB,$N1985)=0,"",INDEX(CalcDepB,$N1985)),"")</f>
        <v/>
      </c>
      <c r="F1985" s="23">
        <f>IF($M1985&lt;&gt;"",IF(INDEX(CalcQtyA,$M1985)=0,"",INDEX(CalcQtyA,$M1985)),"")</f>
        <v/>
      </c>
      <c r="G1985" s="23">
        <f>IF($M1985&lt;&gt;"",IF(INDEX(CalcPriceA,$M1985)=0,"",INDEX(CalcPriceA,$M1985)),"")</f>
        <v/>
      </c>
      <c r="H1985" s="23">
        <f>IF($N1985&lt;&gt;"",IF(INDEX(CalcWitB,$N1985)=0,"",INDEX(CalcWitB,$N1985)),"")</f>
        <v/>
      </c>
      <c r="I1985" s="24">
        <f>IF($M1985&lt;&gt;"",INDEX(CalcAmtA,$M1985),"")</f>
        <v/>
      </c>
      <c r="J1985" s="24">
        <f>IF($B1985="","",IF($J1984="",$C$8,$J1984)+IF($I1985="",0,$I1985)+IF($E1985="",0,$E1985)-IF($H1985="",0,$H1985))</f>
        <v/>
      </c>
      <c r="K1985" s="25">
        <f>IF($M1985&lt;&gt;"",IF(INDEX(CalcNoteA,$M1985)="","—",INDEX(CalcNoteA,$M1985)),IF($N1985&lt;&gt;"",IF(INDEX(CalcNoteB,$N1985)="","—",INDEX(CalcNoteB,$N1985)),""))</f>
        <v/>
      </c>
      <c r="M1985">
        <f>IFERROR(MATCH($C$5&amp;"|"&amp;RIGHT("000000"&amp;1969,6),CalcRankKeyA,0),"")</f>
        <v/>
      </c>
      <c r="N1985">
        <f>IFERROR(MATCH($C$5&amp;"|"&amp;RIGHT("000000"&amp;1969,6),CalcRankKeyB,0),"")</f>
        <v/>
      </c>
    </row>
    <row r="1986">
      <c r="A1986" s="26" t="n">
        <v>1970</v>
      </c>
      <c r="B1986" s="27">
        <f>IF(AND($M1986="",$N1986=""),"",IF($M1986&lt;&gt;"",INDEX(CalcDateA,$M1986),INDEX(CalcDateB,$N1986)))</f>
        <v/>
      </c>
      <c r="C1986" s="27">
        <f>IF($M1986&lt;&gt;"","خرید سبد",IF($N1986&lt;&gt;"",IF(N(INDEX(CalcDepB,$N1986))&gt;0,"دریافت بانکی","پرداخت بانکی"),""))</f>
        <v/>
      </c>
      <c r="D1986" s="27">
        <f>IF($M1986&lt;&gt;"",IF(INDEX(CalcDocA,$M1986)="","—",INDEX(CalcDocA,$M1986)),IF($N1986&lt;&gt;"",INDEX(CalcBankB,$N1986),""))</f>
        <v/>
      </c>
      <c r="E1986" s="28">
        <f>IF($N1986&lt;&gt;"",IF(INDEX(CalcDepB,$N1986)=0,"",INDEX(CalcDepB,$N1986)),"")</f>
        <v/>
      </c>
      <c r="F1986" s="28">
        <f>IF($M1986&lt;&gt;"",IF(INDEX(CalcQtyA,$M1986)=0,"",INDEX(CalcQtyA,$M1986)),"")</f>
        <v/>
      </c>
      <c r="G1986" s="28">
        <f>IF($M1986&lt;&gt;"",IF(INDEX(CalcPriceA,$M1986)=0,"",INDEX(CalcPriceA,$M1986)),"")</f>
        <v/>
      </c>
      <c r="H1986" s="28">
        <f>IF($N1986&lt;&gt;"",IF(INDEX(CalcWitB,$N1986)=0,"",INDEX(CalcWitB,$N1986)),"")</f>
        <v/>
      </c>
      <c r="I1986" s="29">
        <f>IF($M1986&lt;&gt;"",INDEX(CalcAmtA,$M1986),"")</f>
        <v/>
      </c>
      <c r="J1986" s="29">
        <f>IF($B1986="","",IF($J1985="",$C$8,$J1985)+IF($I1986="",0,$I1986)+IF($E1986="",0,$E1986)-IF($H1986="",0,$H1986))</f>
        <v/>
      </c>
      <c r="K1986" s="30">
        <f>IF($M1986&lt;&gt;"",IF(INDEX(CalcNoteA,$M1986)="","—",INDEX(CalcNoteA,$M1986)),IF($N1986&lt;&gt;"",IF(INDEX(CalcNoteB,$N1986)="","—",INDEX(CalcNoteB,$N1986)),""))</f>
        <v/>
      </c>
      <c r="M1986">
        <f>IFERROR(MATCH($C$5&amp;"|"&amp;RIGHT("000000"&amp;1970,6),CalcRankKeyA,0),"")</f>
        <v/>
      </c>
      <c r="N1986">
        <f>IFERROR(MATCH($C$5&amp;"|"&amp;RIGHT("000000"&amp;1970,6),CalcRankKeyB,0),"")</f>
        <v/>
      </c>
    </row>
    <row r="1987">
      <c r="A1987" s="21" t="n">
        <v>1971</v>
      </c>
      <c r="B1987" s="22">
        <f>IF(AND($M1987="",$N1987=""),"",IF($M1987&lt;&gt;"",INDEX(CalcDateA,$M1987),INDEX(CalcDateB,$N1987)))</f>
        <v/>
      </c>
      <c r="C1987" s="22">
        <f>IF($M1987&lt;&gt;"","خرید سبد",IF($N1987&lt;&gt;"",IF(N(INDEX(CalcDepB,$N1987))&gt;0,"دریافت بانکی","پرداخت بانکی"),""))</f>
        <v/>
      </c>
      <c r="D1987" s="22">
        <f>IF($M1987&lt;&gt;"",IF(INDEX(CalcDocA,$M1987)="","—",INDEX(CalcDocA,$M1987)),IF($N1987&lt;&gt;"",INDEX(CalcBankB,$N1987),""))</f>
        <v/>
      </c>
      <c r="E1987" s="23">
        <f>IF($N1987&lt;&gt;"",IF(INDEX(CalcDepB,$N1987)=0,"",INDEX(CalcDepB,$N1987)),"")</f>
        <v/>
      </c>
      <c r="F1987" s="23">
        <f>IF($M1987&lt;&gt;"",IF(INDEX(CalcQtyA,$M1987)=0,"",INDEX(CalcQtyA,$M1987)),"")</f>
        <v/>
      </c>
      <c r="G1987" s="23">
        <f>IF($M1987&lt;&gt;"",IF(INDEX(CalcPriceA,$M1987)=0,"",INDEX(CalcPriceA,$M1987)),"")</f>
        <v/>
      </c>
      <c r="H1987" s="23">
        <f>IF($N1987&lt;&gt;"",IF(INDEX(CalcWitB,$N1987)=0,"",INDEX(CalcWitB,$N1987)),"")</f>
        <v/>
      </c>
      <c r="I1987" s="24">
        <f>IF($M1987&lt;&gt;"",INDEX(CalcAmtA,$M1987),"")</f>
        <v/>
      </c>
      <c r="J1987" s="24">
        <f>IF($B1987="","",IF($J1986="",$C$8,$J1986)+IF($I1987="",0,$I1987)+IF($E1987="",0,$E1987)-IF($H1987="",0,$H1987))</f>
        <v/>
      </c>
      <c r="K1987" s="25">
        <f>IF($M1987&lt;&gt;"",IF(INDEX(CalcNoteA,$M1987)="","—",INDEX(CalcNoteA,$M1987)),IF($N1987&lt;&gt;"",IF(INDEX(CalcNoteB,$N1987)="","—",INDEX(CalcNoteB,$N1987)),""))</f>
        <v/>
      </c>
      <c r="M1987">
        <f>IFERROR(MATCH($C$5&amp;"|"&amp;RIGHT("000000"&amp;1971,6),CalcRankKeyA,0),"")</f>
        <v/>
      </c>
      <c r="N1987">
        <f>IFERROR(MATCH($C$5&amp;"|"&amp;RIGHT("000000"&amp;1971,6),CalcRankKeyB,0),"")</f>
        <v/>
      </c>
    </row>
    <row r="1988">
      <c r="A1988" s="26" t="n">
        <v>1972</v>
      </c>
      <c r="B1988" s="27">
        <f>IF(AND($M1988="",$N1988=""),"",IF($M1988&lt;&gt;"",INDEX(CalcDateA,$M1988),INDEX(CalcDateB,$N1988)))</f>
        <v/>
      </c>
      <c r="C1988" s="27">
        <f>IF($M1988&lt;&gt;"","خرید سبد",IF($N1988&lt;&gt;"",IF(N(INDEX(CalcDepB,$N1988))&gt;0,"دریافت بانکی","پرداخت بانکی"),""))</f>
        <v/>
      </c>
      <c r="D1988" s="27">
        <f>IF($M1988&lt;&gt;"",IF(INDEX(CalcDocA,$M1988)="","—",INDEX(CalcDocA,$M1988)),IF($N1988&lt;&gt;"",INDEX(CalcBankB,$N1988),""))</f>
        <v/>
      </c>
      <c r="E1988" s="28">
        <f>IF($N1988&lt;&gt;"",IF(INDEX(CalcDepB,$N1988)=0,"",INDEX(CalcDepB,$N1988)),"")</f>
        <v/>
      </c>
      <c r="F1988" s="28">
        <f>IF($M1988&lt;&gt;"",IF(INDEX(CalcQtyA,$M1988)=0,"",INDEX(CalcQtyA,$M1988)),"")</f>
        <v/>
      </c>
      <c r="G1988" s="28">
        <f>IF($M1988&lt;&gt;"",IF(INDEX(CalcPriceA,$M1988)=0,"",INDEX(CalcPriceA,$M1988)),"")</f>
        <v/>
      </c>
      <c r="H1988" s="28">
        <f>IF($N1988&lt;&gt;"",IF(INDEX(CalcWitB,$N1988)=0,"",INDEX(CalcWitB,$N1988)),"")</f>
        <v/>
      </c>
      <c r="I1988" s="29">
        <f>IF($M1988&lt;&gt;"",INDEX(CalcAmtA,$M1988),"")</f>
        <v/>
      </c>
      <c r="J1988" s="29">
        <f>IF($B1988="","",IF($J1987="",$C$8,$J1987)+IF($I1988="",0,$I1988)+IF($E1988="",0,$E1988)-IF($H1988="",0,$H1988))</f>
        <v/>
      </c>
      <c r="K1988" s="30">
        <f>IF($M1988&lt;&gt;"",IF(INDEX(CalcNoteA,$M1988)="","—",INDEX(CalcNoteA,$M1988)),IF($N1988&lt;&gt;"",IF(INDEX(CalcNoteB,$N1988)="","—",INDEX(CalcNoteB,$N1988)),""))</f>
        <v/>
      </c>
      <c r="M1988">
        <f>IFERROR(MATCH($C$5&amp;"|"&amp;RIGHT("000000"&amp;1972,6),CalcRankKeyA,0),"")</f>
        <v/>
      </c>
      <c r="N1988">
        <f>IFERROR(MATCH($C$5&amp;"|"&amp;RIGHT("000000"&amp;1972,6),CalcRankKeyB,0),"")</f>
        <v/>
      </c>
    </row>
    <row r="1989">
      <c r="A1989" s="21" t="n">
        <v>1973</v>
      </c>
      <c r="B1989" s="22">
        <f>IF(AND($M1989="",$N1989=""),"",IF($M1989&lt;&gt;"",INDEX(CalcDateA,$M1989),INDEX(CalcDateB,$N1989)))</f>
        <v/>
      </c>
      <c r="C1989" s="22">
        <f>IF($M1989&lt;&gt;"","خرید سبد",IF($N1989&lt;&gt;"",IF(N(INDEX(CalcDepB,$N1989))&gt;0,"دریافت بانکی","پرداخت بانکی"),""))</f>
        <v/>
      </c>
      <c r="D1989" s="22">
        <f>IF($M1989&lt;&gt;"",IF(INDEX(CalcDocA,$M1989)="","—",INDEX(CalcDocA,$M1989)),IF($N1989&lt;&gt;"",INDEX(CalcBankB,$N1989),""))</f>
        <v/>
      </c>
      <c r="E1989" s="23">
        <f>IF($N1989&lt;&gt;"",IF(INDEX(CalcDepB,$N1989)=0,"",INDEX(CalcDepB,$N1989)),"")</f>
        <v/>
      </c>
      <c r="F1989" s="23">
        <f>IF($M1989&lt;&gt;"",IF(INDEX(CalcQtyA,$M1989)=0,"",INDEX(CalcQtyA,$M1989)),"")</f>
        <v/>
      </c>
      <c r="G1989" s="23">
        <f>IF($M1989&lt;&gt;"",IF(INDEX(CalcPriceA,$M1989)=0,"",INDEX(CalcPriceA,$M1989)),"")</f>
        <v/>
      </c>
      <c r="H1989" s="23">
        <f>IF($N1989&lt;&gt;"",IF(INDEX(CalcWitB,$N1989)=0,"",INDEX(CalcWitB,$N1989)),"")</f>
        <v/>
      </c>
      <c r="I1989" s="24">
        <f>IF($M1989&lt;&gt;"",INDEX(CalcAmtA,$M1989),"")</f>
        <v/>
      </c>
      <c r="J1989" s="24">
        <f>IF($B1989="","",IF($J1988="",$C$8,$J1988)+IF($I1989="",0,$I1989)+IF($E1989="",0,$E1989)-IF($H1989="",0,$H1989))</f>
        <v/>
      </c>
      <c r="K1989" s="25">
        <f>IF($M1989&lt;&gt;"",IF(INDEX(CalcNoteA,$M1989)="","—",INDEX(CalcNoteA,$M1989)),IF($N1989&lt;&gt;"",IF(INDEX(CalcNoteB,$N1989)="","—",INDEX(CalcNoteB,$N1989)),""))</f>
        <v/>
      </c>
      <c r="M1989">
        <f>IFERROR(MATCH($C$5&amp;"|"&amp;RIGHT("000000"&amp;1973,6),CalcRankKeyA,0),"")</f>
        <v/>
      </c>
      <c r="N1989">
        <f>IFERROR(MATCH($C$5&amp;"|"&amp;RIGHT("000000"&amp;1973,6),CalcRankKeyB,0),"")</f>
        <v/>
      </c>
    </row>
    <row r="1990">
      <c r="A1990" s="26" t="n">
        <v>1974</v>
      </c>
      <c r="B1990" s="27">
        <f>IF(AND($M1990="",$N1990=""),"",IF($M1990&lt;&gt;"",INDEX(CalcDateA,$M1990),INDEX(CalcDateB,$N1990)))</f>
        <v/>
      </c>
      <c r="C1990" s="27">
        <f>IF($M1990&lt;&gt;"","خرید سبد",IF($N1990&lt;&gt;"",IF(N(INDEX(CalcDepB,$N1990))&gt;0,"دریافت بانکی","پرداخت بانکی"),""))</f>
        <v/>
      </c>
      <c r="D1990" s="27">
        <f>IF($M1990&lt;&gt;"",IF(INDEX(CalcDocA,$M1990)="","—",INDEX(CalcDocA,$M1990)),IF($N1990&lt;&gt;"",INDEX(CalcBankB,$N1990),""))</f>
        <v/>
      </c>
      <c r="E1990" s="28">
        <f>IF($N1990&lt;&gt;"",IF(INDEX(CalcDepB,$N1990)=0,"",INDEX(CalcDepB,$N1990)),"")</f>
        <v/>
      </c>
      <c r="F1990" s="28">
        <f>IF($M1990&lt;&gt;"",IF(INDEX(CalcQtyA,$M1990)=0,"",INDEX(CalcQtyA,$M1990)),"")</f>
        <v/>
      </c>
      <c r="G1990" s="28">
        <f>IF($M1990&lt;&gt;"",IF(INDEX(CalcPriceA,$M1990)=0,"",INDEX(CalcPriceA,$M1990)),"")</f>
        <v/>
      </c>
      <c r="H1990" s="28">
        <f>IF($N1990&lt;&gt;"",IF(INDEX(CalcWitB,$N1990)=0,"",INDEX(CalcWitB,$N1990)),"")</f>
        <v/>
      </c>
      <c r="I1990" s="29">
        <f>IF($M1990&lt;&gt;"",INDEX(CalcAmtA,$M1990),"")</f>
        <v/>
      </c>
      <c r="J1990" s="29">
        <f>IF($B1990="","",IF($J1989="",$C$8,$J1989)+IF($I1990="",0,$I1990)+IF($E1990="",0,$E1990)-IF($H1990="",0,$H1990))</f>
        <v/>
      </c>
      <c r="K1990" s="30">
        <f>IF($M1990&lt;&gt;"",IF(INDEX(CalcNoteA,$M1990)="","—",INDEX(CalcNoteA,$M1990)),IF($N1990&lt;&gt;"",IF(INDEX(CalcNoteB,$N1990)="","—",INDEX(CalcNoteB,$N1990)),""))</f>
        <v/>
      </c>
      <c r="M1990">
        <f>IFERROR(MATCH($C$5&amp;"|"&amp;RIGHT("000000"&amp;1974,6),CalcRankKeyA,0),"")</f>
        <v/>
      </c>
      <c r="N1990">
        <f>IFERROR(MATCH($C$5&amp;"|"&amp;RIGHT("000000"&amp;1974,6),CalcRankKeyB,0),"")</f>
        <v/>
      </c>
    </row>
    <row r="1991">
      <c r="A1991" s="21" t="n">
        <v>1975</v>
      </c>
      <c r="B1991" s="22">
        <f>IF(AND($M1991="",$N1991=""),"",IF($M1991&lt;&gt;"",INDEX(CalcDateA,$M1991),INDEX(CalcDateB,$N1991)))</f>
        <v/>
      </c>
      <c r="C1991" s="22">
        <f>IF($M1991&lt;&gt;"","خرید سبد",IF($N1991&lt;&gt;"",IF(N(INDEX(CalcDepB,$N1991))&gt;0,"دریافت بانکی","پرداخت بانکی"),""))</f>
        <v/>
      </c>
      <c r="D1991" s="22">
        <f>IF($M1991&lt;&gt;"",IF(INDEX(CalcDocA,$M1991)="","—",INDEX(CalcDocA,$M1991)),IF($N1991&lt;&gt;"",INDEX(CalcBankB,$N1991),""))</f>
        <v/>
      </c>
      <c r="E1991" s="23">
        <f>IF($N1991&lt;&gt;"",IF(INDEX(CalcDepB,$N1991)=0,"",INDEX(CalcDepB,$N1991)),"")</f>
        <v/>
      </c>
      <c r="F1991" s="23">
        <f>IF($M1991&lt;&gt;"",IF(INDEX(CalcQtyA,$M1991)=0,"",INDEX(CalcQtyA,$M1991)),"")</f>
        <v/>
      </c>
      <c r="G1991" s="23">
        <f>IF($M1991&lt;&gt;"",IF(INDEX(CalcPriceA,$M1991)=0,"",INDEX(CalcPriceA,$M1991)),"")</f>
        <v/>
      </c>
      <c r="H1991" s="23">
        <f>IF($N1991&lt;&gt;"",IF(INDEX(CalcWitB,$N1991)=0,"",INDEX(CalcWitB,$N1991)),"")</f>
        <v/>
      </c>
      <c r="I1991" s="24">
        <f>IF($M1991&lt;&gt;"",INDEX(CalcAmtA,$M1991),"")</f>
        <v/>
      </c>
      <c r="J1991" s="24">
        <f>IF($B1991="","",IF($J1990="",$C$8,$J1990)+IF($I1991="",0,$I1991)+IF($E1991="",0,$E1991)-IF($H1991="",0,$H1991))</f>
        <v/>
      </c>
      <c r="K1991" s="25">
        <f>IF($M1991&lt;&gt;"",IF(INDEX(CalcNoteA,$M1991)="","—",INDEX(CalcNoteA,$M1991)),IF($N1991&lt;&gt;"",IF(INDEX(CalcNoteB,$N1991)="","—",INDEX(CalcNoteB,$N1991)),""))</f>
        <v/>
      </c>
      <c r="M1991">
        <f>IFERROR(MATCH($C$5&amp;"|"&amp;RIGHT("000000"&amp;1975,6),CalcRankKeyA,0),"")</f>
        <v/>
      </c>
      <c r="N1991">
        <f>IFERROR(MATCH($C$5&amp;"|"&amp;RIGHT("000000"&amp;1975,6),CalcRankKeyB,0),"")</f>
        <v/>
      </c>
    </row>
    <row r="1992">
      <c r="A1992" s="26" t="n">
        <v>1976</v>
      </c>
      <c r="B1992" s="27">
        <f>IF(AND($M1992="",$N1992=""),"",IF($M1992&lt;&gt;"",INDEX(CalcDateA,$M1992),INDEX(CalcDateB,$N1992)))</f>
        <v/>
      </c>
      <c r="C1992" s="27">
        <f>IF($M1992&lt;&gt;"","خرید سبد",IF($N1992&lt;&gt;"",IF(N(INDEX(CalcDepB,$N1992))&gt;0,"دریافت بانکی","پرداخت بانکی"),""))</f>
        <v/>
      </c>
      <c r="D1992" s="27">
        <f>IF($M1992&lt;&gt;"",IF(INDEX(CalcDocA,$M1992)="","—",INDEX(CalcDocA,$M1992)),IF($N1992&lt;&gt;"",INDEX(CalcBankB,$N1992),""))</f>
        <v/>
      </c>
      <c r="E1992" s="28">
        <f>IF($N1992&lt;&gt;"",IF(INDEX(CalcDepB,$N1992)=0,"",INDEX(CalcDepB,$N1992)),"")</f>
        <v/>
      </c>
      <c r="F1992" s="28">
        <f>IF($M1992&lt;&gt;"",IF(INDEX(CalcQtyA,$M1992)=0,"",INDEX(CalcQtyA,$M1992)),"")</f>
        <v/>
      </c>
      <c r="G1992" s="28">
        <f>IF($M1992&lt;&gt;"",IF(INDEX(CalcPriceA,$M1992)=0,"",INDEX(CalcPriceA,$M1992)),"")</f>
        <v/>
      </c>
      <c r="H1992" s="28">
        <f>IF($N1992&lt;&gt;"",IF(INDEX(CalcWitB,$N1992)=0,"",INDEX(CalcWitB,$N1992)),"")</f>
        <v/>
      </c>
      <c r="I1992" s="29">
        <f>IF($M1992&lt;&gt;"",INDEX(CalcAmtA,$M1992),"")</f>
        <v/>
      </c>
      <c r="J1992" s="29">
        <f>IF($B1992="","",IF($J1991="",$C$8,$J1991)+IF($I1992="",0,$I1992)+IF($E1992="",0,$E1992)-IF($H1992="",0,$H1992))</f>
        <v/>
      </c>
      <c r="K1992" s="30">
        <f>IF($M1992&lt;&gt;"",IF(INDEX(CalcNoteA,$M1992)="","—",INDEX(CalcNoteA,$M1992)),IF($N1992&lt;&gt;"",IF(INDEX(CalcNoteB,$N1992)="","—",INDEX(CalcNoteB,$N1992)),""))</f>
        <v/>
      </c>
      <c r="M1992">
        <f>IFERROR(MATCH($C$5&amp;"|"&amp;RIGHT("000000"&amp;1976,6),CalcRankKeyA,0),"")</f>
        <v/>
      </c>
      <c r="N1992">
        <f>IFERROR(MATCH($C$5&amp;"|"&amp;RIGHT("000000"&amp;1976,6),CalcRankKeyB,0),"")</f>
        <v/>
      </c>
    </row>
    <row r="1993">
      <c r="A1993" s="21" t="n">
        <v>1977</v>
      </c>
      <c r="B1993" s="22">
        <f>IF(AND($M1993="",$N1993=""),"",IF($M1993&lt;&gt;"",INDEX(CalcDateA,$M1993),INDEX(CalcDateB,$N1993)))</f>
        <v/>
      </c>
      <c r="C1993" s="22">
        <f>IF($M1993&lt;&gt;"","خرید سبد",IF($N1993&lt;&gt;"",IF(N(INDEX(CalcDepB,$N1993))&gt;0,"دریافت بانکی","پرداخت بانکی"),""))</f>
        <v/>
      </c>
      <c r="D1993" s="22">
        <f>IF($M1993&lt;&gt;"",IF(INDEX(CalcDocA,$M1993)="","—",INDEX(CalcDocA,$M1993)),IF($N1993&lt;&gt;"",INDEX(CalcBankB,$N1993),""))</f>
        <v/>
      </c>
      <c r="E1993" s="23">
        <f>IF($N1993&lt;&gt;"",IF(INDEX(CalcDepB,$N1993)=0,"",INDEX(CalcDepB,$N1993)),"")</f>
        <v/>
      </c>
      <c r="F1993" s="23">
        <f>IF($M1993&lt;&gt;"",IF(INDEX(CalcQtyA,$M1993)=0,"",INDEX(CalcQtyA,$M1993)),"")</f>
        <v/>
      </c>
      <c r="G1993" s="23">
        <f>IF($M1993&lt;&gt;"",IF(INDEX(CalcPriceA,$M1993)=0,"",INDEX(CalcPriceA,$M1993)),"")</f>
        <v/>
      </c>
      <c r="H1993" s="23">
        <f>IF($N1993&lt;&gt;"",IF(INDEX(CalcWitB,$N1993)=0,"",INDEX(CalcWitB,$N1993)),"")</f>
        <v/>
      </c>
      <c r="I1993" s="24">
        <f>IF($M1993&lt;&gt;"",INDEX(CalcAmtA,$M1993),"")</f>
        <v/>
      </c>
      <c r="J1993" s="24">
        <f>IF($B1993="","",IF($J1992="",$C$8,$J1992)+IF($I1993="",0,$I1993)+IF($E1993="",0,$E1993)-IF($H1993="",0,$H1993))</f>
        <v/>
      </c>
      <c r="K1993" s="25">
        <f>IF($M1993&lt;&gt;"",IF(INDEX(CalcNoteA,$M1993)="","—",INDEX(CalcNoteA,$M1993)),IF($N1993&lt;&gt;"",IF(INDEX(CalcNoteB,$N1993)="","—",INDEX(CalcNoteB,$N1993)),""))</f>
        <v/>
      </c>
      <c r="M1993">
        <f>IFERROR(MATCH($C$5&amp;"|"&amp;RIGHT("000000"&amp;1977,6),CalcRankKeyA,0),"")</f>
        <v/>
      </c>
      <c r="N1993">
        <f>IFERROR(MATCH($C$5&amp;"|"&amp;RIGHT("000000"&amp;1977,6),CalcRankKeyB,0),"")</f>
        <v/>
      </c>
    </row>
    <row r="1994">
      <c r="A1994" s="26" t="n">
        <v>1978</v>
      </c>
      <c r="B1994" s="27">
        <f>IF(AND($M1994="",$N1994=""),"",IF($M1994&lt;&gt;"",INDEX(CalcDateA,$M1994),INDEX(CalcDateB,$N1994)))</f>
        <v/>
      </c>
      <c r="C1994" s="27">
        <f>IF($M1994&lt;&gt;"","خرید سبد",IF($N1994&lt;&gt;"",IF(N(INDEX(CalcDepB,$N1994))&gt;0,"دریافت بانکی","پرداخت بانکی"),""))</f>
        <v/>
      </c>
      <c r="D1994" s="27">
        <f>IF($M1994&lt;&gt;"",IF(INDEX(CalcDocA,$M1994)="","—",INDEX(CalcDocA,$M1994)),IF($N1994&lt;&gt;"",INDEX(CalcBankB,$N1994),""))</f>
        <v/>
      </c>
      <c r="E1994" s="28">
        <f>IF($N1994&lt;&gt;"",IF(INDEX(CalcDepB,$N1994)=0,"",INDEX(CalcDepB,$N1994)),"")</f>
        <v/>
      </c>
      <c r="F1994" s="28">
        <f>IF($M1994&lt;&gt;"",IF(INDEX(CalcQtyA,$M1994)=0,"",INDEX(CalcQtyA,$M1994)),"")</f>
        <v/>
      </c>
      <c r="G1994" s="28">
        <f>IF($M1994&lt;&gt;"",IF(INDEX(CalcPriceA,$M1994)=0,"",INDEX(CalcPriceA,$M1994)),"")</f>
        <v/>
      </c>
      <c r="H1994" s="28">
        <f>IF($N1994&lt;&gt;"",IF(INDEX(CalcWitB,$N1994)=0,"",INDEX(CalcWitB,$N1994)),"")</f>
        <v/>
      </c>
      <c r="I1994" s="29">
        <f>IF($M1994&lt;&gt;"",INDEX(CalcAmtA,$M1994),"")</f>
        <v/>
      </c>
      <c r="J1994" s="29">
        <f>IF($B1994="","",IF($J1993="",$C$8,$J1993)+IF($I1994="",0,$I1994)+IF($E1994="",0,$E1994)-IF($H1994="",0,$H1994))</f>
        <v/>
      </c>
      <c r="K1994" s="30">
        <f>IF($M1994&lt;&gt;"",IF(INDEX(CalcNoteA,$M1994)="","—",INDEX(CalcNoteA,$M1994)),IF($N1994&lt;&gt;"",IF(INDEX(CalcNoteB,$N1994)="","—",INDEX(CalcNoteB,$N1994)),""))</f>
        <v/>
      </c>
      <c r="M1994">
        <f>IFERROR(MATCH($C$5&amp;"|"&amp;RIGHT("000000"&amp;1978,6),CalcRankKeyA,0),"")</f>
        <v/>
      </c>
      <c r="N1994">
        <f>IFERROR(MATCH($C$5&amp;"|"&amp;RIGHT("000000"&amp;1978,6),CalcRankKeyB,0),"")</f>
        <v/>
      </c>
    </row>
    <row r="1995">
      <c r="A1995" s="21" t="n">
        <v>1979</v>
      </c>
      <c r="B1995" s="22">
        <f>IF(AND($M1995="",$N1995=""),"",IF($M1995&lt;&gt;"",INDEX(CalcDateA,$M1995),INDEX(CalcDateB,$N1995)))</f>
        <v/>
      </c>
      <c r="C1995" s="22">
        <f>IF($M1995&lt;&gt;"","خرید سبد",IF($N1995&lt;&gt;"",IF(N(INDEX(CalcDepB,$N1995))&gt;0,"دریافت بانکی","پرداخت بانکی"),""))</f>
        <v/>
      </c>
      <c r="D1995" s="22">
        <f>IF($M1995&lt;&gt;"",IF(INDEX(CalcDocA,$M1995)="","—",INDEX(CalcDocA,$M1995)),IF($N1995&lt;&gt;"",INDEX(CalcBankB,$N1995),""))</f>
        <v/>
      </c>
      <c r="E1995" s="23">
        <f>IF($N1995&lt;&gt;"",IF(INDEX(CalcDepB,$N1995)=0,"",INDEX(CalcDepB,$N1995)),"")</f>
        <v/>
      </c>
      <c r="F1995" s="23">
        <f>IF($M1995&lt;&gt;"",IF(INDEX(CalcQtyA,$M1995)=0,"",INDEX(CalcQtyA,$M1995)),"")</f>
        <v/>
      </c>
      <c r="G1995" s="23">
        <f>IF($M1995&lt;&gt;"",IF(INDEX(CalcPriceA,$M1995)=0,"",INDEX(CalcPriceA,$M1995)),"")</f>
        <v/>
      </c>
      <c r="H1995" s="23">
        <f>IF($N1995&lt;&gt;"",IF(INDEX(CalcWitB,$N1995)=0,"",INDEX(CalcWitB,$N1995)),"")</f>
        <v/>
      </c>
      <c r="I1995" s="24">
        <f>IF($M1995&lt;&gt;"",INDEX(CalcAmtA,$M1995),"")</f>
        <v/>
      </c>
      <c r="J1995" s="24">
        <f>IF($B1995="","",IF($J1994="",$C$8,$J1994)+IF($I1995="",0,$I1995)+IF($E1995="",0,$E1995)-IF($H1995="",0,$H1995))</f>
        <v/>
      </c>
      <c r="K1995" s="25">
        <f>IF($M1995&lt;&gt;"",IF(INDEX(CalcNoteA,$M1995)="","—",INDEX(CalcNoteA,$M1995)),IF($N1995&lt;&gt;"",IF(INDEX(CalcNoteB,$N1995)="","—",INDEX(CalcNoteB,$N1995)),""))</f>
        <v/>
      </c>
      <c r="M1995">
        <f>IFERROR(MATCH($C$5&amp;"|"&amp;RIGHT("000000"&amp;1979,6),CalcRankKeyA,0),"")</f>
        <v/>
      </c>
      <c r="N1995">
        <f>IFERROR(MATCH($C$5&amp;"|"&amp;RIGHT("000000"&amp;1979,6),CalcRankKeyB,0),"")</f>
        <v/>
      </c>
    </row>
    <row r="1996">
      <c r="A1996" s="26" t="n">
        <v>1980</v>
      </c>
      <c r="B1996" s="27">
        <f>IF(AND($M1996="",$N1996=""),"",IF($M1996&lt;&gt;"",INDEX(CalcDateA,$M1996),INDEX(CalcDateB,$N1996)))</f>
        <v/>
      </c>
      <c r="C1996" s="27">
        <f>IF($M1996&lt;&gt;"","خرید سبد",IF($N1996&lt;&gt;"",IF(N(INDEX(CalcDepB,$N1996))&gt;0,"دریافت بانکی","پرداخت بانکی"),""))</f>
        <v/>
      </c>
      <c r="D1996" s="27">
        <f>IF($M1996&lt;&gt;"",IF(INDEX(CalcDocA,$M1996)="","—",INDEX(CalcDocA,$M1996)),IF($N1996&lt;&gt;"",INDEX(CalcBankB,$N1996),""))</f>
        <v/>
      </c>
      <c r="E1996" s="28">
        <f>IF($N1996&lt;&gt;"",IF(INDEX(CalcDepB,$N1996)=0,"",INDEX(CalcDepB,$N1996)),"")</f>
        <v/>
      </c>
      <c r="F1996" s="28">
        <f>IF($M1996&lt;&gt;"",IF(INDEX(CalcQtyA,$M1996)=0,"",INDEX(CalcQtyA,$M1996)),"")</f>
        <v/>
      </c>
      <c r="G1996" s="28">
        <f>IF($M1996&lt;&gt;"",IF(INDEX(CalcPriceA,$M1996)=0,"",INDEX(CalcPriceA,$M1996)),"")</f>
        <v/>
      </c>
      <c r="H1996" s="28">
        <f>IF($N1996&lt;&gt;"",IF(INDEX(CalcWitB,$N1996)=0,"",INDEX(CalcWitB,$N1996)),"")</f>
        <v/>
      </c>
      <c r="I1996" s="29">
        <f>IF($M1996&lt;&gt;"",INDEX(CalcAmtA,$M1996),"")</f>
        <v/>
      </c>
      <c r="J1996" s="29">
        <f>IF($B1996="","",IF($J1995="",$C$8,$J1995)+IF($I1996="",0,$I1996)+IF($E1996="",0,$E1996)-IF($H1996="",0,$H1996))</f>
        <v/>
      </c>
      <c r="K1996" s="30">
        <f>IF($M1996&lt;&gt;"",IF(INDEX(CalcNoteA,$M1996)="","—",INDEX(CalcNoteA,$M1996)),IF($N1996&lt;&gt;"",IF(INDEX(CalcNoteB,$N1996)="","—",INDEX(CalcNoteB,$N1996)),""))</f>
        <v/>
      </c>
      <c r="M1996">
        <f>IFERROR(MATCH($C$5&amp;"|"&amp;RIGHT("000000"&amp;1980,6),CalcRankKeyA,0),"")</f>
        <v/>
      </c>
      <c r="N1996">
        <f>IFERROR(MATCH($C$5&amp;"|"&amp;RIGHT("000000"&amp;1980,6),CalcRankKeyB,0),"")</f>
        <v/>
      </c>
    </row>
    <row r="1997">
      <c r="A1997" s="21" t="n">
        <v>1981</v>
      </c>
      <c r="B1997" s="22">
        <f>IF(AND($M1997="",$N1997=""),"",IF($M1997&lt;&gt;"",INDEX(CalcDateA,$M1997),INDEX(CalcDateB,$N1997)))</f>
        <v/>
      </c>
      <c r="C1997" s="22">
        <f>IF($M1997&lt;&gt;"","خرید سبد",IF($N1997&lt;&gt;"",IF(N(INDEX(CalcDepB,$N1997))&gt;0,"دریافت بانکی","پرداخت بانکی"),""))</f>
        <v/>
      </c>
      <c r="D1997" s="22">
        <f>IF($M1997&lt;&gt;"",IF(INDEX(CalcDocA,$M1997)="","—",INDEX(CalcDocA,$M1997)),IF($N1997&lt;&gt;"",INDEX(CalcBankB,$N1997),""))</f>
        <v/>
      </c>
      <c r="E1997" s="23">
        <f>IF($N1997&lt;&gt;"",IF(INDEX(CalcDepB,$N1997)=0,"",INDEX(CalcDepB,$N1997)),"")</f>
        <v/>
      </c>
      <c r="F1997" s="23">
        <f>IF($M1997&lt;&gt;"",IF(INDEX(CalcQtyA,$M1997)=0,"",INDEX(CalcQtyA,$M1997)),"")</f>
        <v/>
      </c>
      <c r="G1997" s="23">
        <f>IF($M1997&lt;&gt;"",IF(INDEX(CalcPriceA,$M1997)=0,"",INDEX(CalcPriceA,$M1997)),"")</f>
        <v/>
      </c>
      <c r="H1997" s="23">
        <f>IF($N1997&lt;&gt;"",IF(INDEX(CalcWitB,$N1997)=0,"",INDEX(CalcWitB,$N1997)),"")</f>
        <v/>
      </c>
      <c r="I1997" s="24">
        <f>IF($M1997&lt;&gt;"",INDEX(CalcAmtA,$M1997),"")</f>
        <v/>
      </c>
      <c r="J1997" s="24">
        <f>IF($B1997="","",IF($J1996="",$C$8,$J1996)+IF($I1997="",0,$I1997)+IF($E1997="",0,$E1997)-IF($H1997="",0,$H1997))</f>
        <v/>
      </c>
      <c r="K1997" s="25">
        <f>IF($M1997&lt;&gt;"",IF(INDEX(CalcNoteA,$M1997)="","—",INDEX(CalcNoteA,$M1997)),IF($N1997&lt;&gt;"",IF(INDEX(CalcNoteB,$N1997)="","—",INDEX(CalcNoteB,$N1997)),""))</f>
        <v/>
      </c>
      <c r="M1997">
        <f>IFERROR(MATCH($C$5&amp;"|"&amp;RIGHT("000000"&amp;1981,6),CalcRankKeyA,0),"")</f>
        <v/>
      </c>
      <c r="N1997">
        <f>IFERROR(MATCH($C$5&amp;"|"&amp;RIGHT("000000"&amp;1981,6),CalcRankKeyB,0),"")</f>
        <v/>
      </c>
    </row>
    <row r="1998">
      <c r="A1998" s="26" t="n">
        <v>1982</v>
      </c>
      <c r="B1998" s="27">
        <f>IF(AND($M1998="",$N1998=""),"",IF($M1998&lt;&gt;"",INDEX(CalcDateA,$M1998),INDEX(CalcDateB,$N1998)))</f>
        <v/>
      </c>
      <c r="C1998" s="27">
        <f>IF($M1998&lt;&gt;"","خرید سبد",IF($N1998&lt;&gt;"",IF(N(INDEX(CalcDepB,$N1998))&gt;0,"دریافت بانکی","پرداخت بانکی"),""))</f>
        <v/>
      </c>
      <c r="D1998" s="27">
        <f>IF($M1998&lt;&gt;"",IF(INDEX(CalcDocA,$M1998)="","—",INDEX(CalcDocA,$M1998)),IF($N1998&lt;&gt;"",INDEX(CalcBankB,$N1998),""))</f>
        <v/>
      </c>
      <c r="E1998" s="28">
        <f>IF($N1998&lt;&gt;"",IF(INDEX(CalcDepB,$N1998)=0,"",INDEX(CalcDepB,$N1998)),"")</f>
        <v/>
      </c>
      <c r="F1998" s="28">
        <f>IF($M1998&lt;&gt;"",IF(INDEX(CalcQtyA,$M1998)=0,"",INDEX(CalcQtyA,$M1998)),"")</f>
        <v/>
      </c>
      <c r="G1998" s="28">
        <f>IF($M1998&lt;&gt;"",IF(INDEX(CalcPriceA,$M1998)=0,"",INDEX(CalcPriceA,$M1998)),"")</f>
        <v/>
      </c>
      <c r="H1998" s="28">
        <f>IF($N1998&lt;&gt;"",IF(INDEX(CalcWitB,$N1998)=0,"",INDEX(CalcWitB,$N1998)),"")</f>
        <v/>
      </c>
      <c r="I1998" s="29">
        <f>IF($M1998&lt;&gt;"",INDEX(CalcAmtA,$M1998),"")</f>
        <v/>
      </c>
      <c r="J1998" s="29">
        <f>IF($B1998="","",IF($J1997="",$C$8,$J1997)+IF($I1998="",0,$I1998)+IF($E1998="",0,$E1998)-IF($H1998="",0,$H1998))</f>
        <v/>
      </c>
      <c r="K1998" s="30">
        <f>IF($M1998&lt;&gt;"",IF(INDEX(CalcNoteA,$M1998)="","—",INDEX(CalcNoteA,$M1998)),IF($N1998&lt;&gt;"",IF(INDEX(CalcNoteB,$N1998)="","—",INDEX(CalcNoteB,$N1998)),""))</f>
        <v/>
      </c>
      <c r="M1998">
        <f>IFERROR(MATCH($C$5&amp;"|"&amp;RIGHT("000000"&amp;1982,6),CalcRankKeyA,0),"")</f>
        <v/>
      </c>
      <c r="N1998">
        <f>IFERROR(MATCH($C$5&amp;"|"&amp;RIGHT("000000"&amp;1982,6),CalcRankKeyB,0),"")</f>
        <v/>
      </c>
    </row>
    <row r="1999">
      <c r="A1999" s="21" t="n">
        <v>1983</v>
      </c>
      <c r="B1999" s="22">
        <f>IF(AND($M1999="",$N1999=""),"",IF($M1999&lt;&gt;"",INDEX(CalcDateA,$M1999),INDEX(CalcDateB,$N1999)))</f>
        <v/>
      </c>
      <c r="C1999" s="22">
        <f>IF($M1999&lt;&gt;"","خرید سبد",IF($N1999&lt;&gt;"",IF(N(INDEX(CalcDepB,$N1999))&gt;0,"دریافت بانکی","پرداخت بانکی"),""))</f>
        <v/>
      </c>
      <c r="D1999" s="22">
        <f>IF($M1999&lt;&gt;"",IF(INDEX(CalcDocA,$M1999)="","—",INDEX(CalcDocA,$M1999)),IF($N1999&lt;&gt;"",INDEX(CalcBankB,$N1999),""))</f>
        <v/>
      </c>
      <c r="E1999" s="23">
        <f>IF($N1999&lt;&gt;"",IF(INDEX(CalcDepB,$N1999)=0,"",INDEX(CalcDepB,$N1999)),"")</f>
        <v/>
      </c>
      <c r="F1999" s="23">
        <f>IF($M1999&lt;&gt;"",IF(INDEX(CalcQtyA,$M1999)=0,"",INDEX(CalcQtyA,$M1999)),"")</f>
        <v/>
      </c>
      <c r="G1999" s="23">
        <f>IF($M1999&lt;&gt;"",IF(INDEX(CalcPriceA,$M1999)=0,"",INDEX(CalcPriceA,$M1999)),"")</f>
        <v/>
      </c>
      <c r="H1999" s="23">
        <f>IF($N1999&lt;&gt;"",IF(INDEX(CalcWitB,$N1999)=0,"",INDEX(CalcWitB,$N1999)),"")</f>
        <v/>
      </c>
      <c r="I1999" s="24">
        <f>IF($M1999&lt;&gt;"",INDEX(CalcAmtA,$M1999),"")</f>
        <v/>
      </c>
      <c r="J1999" s="24">
        <f>IF($B1999="","",IF($J1998="",$C$8,$J1998)+IF($I1999="",0,$I1999)+IF($E1999="",0,$E1999)-IF($H1999="",0,$H1999))</f>
        <v/>
      </c>
      <c r="K1999" s="25">
        <f>IF($M1999&lt;&gt;"",IF(INDEX(CalcNoteA,$M1999)="","—",INDEX(CalcNoteA,$M1999)),IF($N1999&lt;&gt;"",IF(INDEX(CalcNoteB,$N1999)="","—",INDEX(CalcNoteB,$N1999)),""))</f>
        <v/>
      </c>
      <c r="M1999">
        <f>IFERROR(MATCH($C$5&amp;"|"&amp;RIGHT("000000"&amp;1983,6),CalcRankKeyA,0),"")</f>
        <v/>
      </c>
      <c r="N1999">
        <f>IFERROR(MATCH($C$5&amp;"|"&amp;RIGHT("000000"&amp;1983,6),CalcRankKeyB,0),"")</f>
        <v/>
      </c>
    </row>
    <row r="2000">
      <c r="A2000" s="26" t="n">
        <v>1984</v>
      </c>
      <c r="B2000" s="27">
        <f>IF(AND($M2000="",$N2000=""),"",IF($M2000&lt;&gt;"",INDEX(CalcDateA,$M2000),INDEX(CalcDateB,$N2000)))</f>
        <v/>
      </c>
      <c r="C2000" s="27">
        <f>IF($M2000&lt;&gt;"","خرید سبد",IF($N2000&lt;&gt;"",IF(N(INDEX(CalcDepB,$N2000))&gt;0,"دریافت بانکی","پرداخت بانکی"),""))</f>
        <v/>
      </c>
      <c r="D2000" s="27">
        <f>IF($M2000&lt;&gt;"",IF(INDEX(CalcDocA,$M2000)="","—",INDEX(CalcDocA,$M2000)),IF($N2000&lt;&gt;"",INDEX(CalcBankB,$N2000),""))</f>
        <v/>
      </c>
      <c r="E2000" s="28">
        <f>IF($N2000&lt;&gt;"",IF(INDEX(CalcDepB,$N2000)=0,"",INDEX(CalcDepB,$N2000)),"")</f>
        <v/>
      </c>
      <c r="F2000" s="28">
        <f>IF($M2000&lt;&gt;"",IF(INDEX(CalcQtyA,$M2000)=0,"",INDEX(CalcQtyA,$M2000)),"")</f>
        <v/>
      </c>
      <c r="G2000" s="28">
        <f>IF($M2000&lt;&gt;"",IF(INDEX(CalcPriceA,$M2000)=0,"",INDEX(CalcPriceA,$M2000)),"")</f>
        <v/>
      </c>
      <c r="H2000" s="28">
        <f>IF($N2000&lt;&gt;"",IF(INDEX(CalcWitB,$N2000)=0,"",INDEX(CalcWitB,$N2000)),"")</f>
        <v/>
      </c>
      <c r="I2000" s="29">
        <f>IF($M2000&lt;&gt;"",INDEX(CalcAmtA,$M2000),"")</f>
        <v/>
      </c>
      <c r="J2000" s="29">
        <f>IF($B2000="","",IF($J1999="",$C$8,$J1999)+IF($I2000="",0,$I2000)+IF($E2000="",0,$E2000)-IF($H2000="",0,$H2000))</f>
        <v/>
      </c>
      <c r="K2000" s="30">
        <f>IF($M2000&lt;&gt;"",IF(INDEX(CalcNoteA,$M2000)="","—",INDEX(CalcNoteA,$M2000)),IF($N2000&lt;&gt;"",IF(INDEX(CalcNoteB,$N2000)="","—",INDEX(CalcNoteB,$N2000)),""))</f>
        <v/>
      </c>
      <c r="M2000">
        <f>IFERROR(MATCH($C$5&amp;"|"&amp;RIGHT("000000"&amp;1984,6),CalcRankKeyA,0),"")</f>
        <v/>
      </c>
      <c r="N2000">
        <f>IFERROR(MATCH($C$5&amp;"|"&amp;RIGHT("000000"&amp;1984,6),CalcRankKeyB,0),"")</f>
        <v/>
      </c>
    </row>
    <row r="2001">
      <c r="A2001" s="21" t="n">
        <v>1985</v>
      </c>
      <c r="B2001" s="22">
        <f>IF(AND($M2001="",$N2001=""),"",IF($M2001&lt;&gt;"",INDEX(CalcDateA,$M2001),INDEX(CalcDateB,$N2001)))</f>
        <v/>
      </c>
      <c r="C2001" s="22">
        <f>IF($M2001&lt;&gt;"","خرید سبد",IF($N2001&lt;&gt;"",IF(N(INDEX(CalcDepB,$N2001))&gt;0,"دریافت بانکی","پرداخت بانکی"),""))</f>
        <v/>
      </c>
      <c r="D2001" s="22">
        <f>IF($M2001&lt;&gt;"",IF(INDEX(CalcDocA,$M2001)="","—",INDEX(CalcDocA,$M2001)),IF($N2001&lt;&gt;"",INDEX(CalcBankB,$N2001),""))</f>
        <v/>
      </c>
      <c r="E2001" s="23">
        <f>IF($N2001&lt;&gt;"",IF(INDEX(CalcDepB,$N2001)=0,"",INDEX(CalcDepB,$N2001)),"")</f>
        <v/>
      </c>
      <c r="F2001" s="23">
        <f>IF($M2001&lt;&gt;"",IF(INDEX(CalcQtyA,$M2001)=0,"",INDEX(CalcQtyA,$M2001)),"")</f>
        <v/>
      </c>
      <c r="G2001" s="23">
        <f>IF($M2001&lt;&gt;"",IF(INDEX(CalcPriceA,$M2001)=0,"",INDEX(CalcPriceA,$M2001)),"")</f>
        <v/>
      </c>
      <c r="H2001" s="23">
        <f>IF($N2001&lt;&gt;"",IF(INDEX(CalcWitB,$N2001)=0,"",INDEX(CalcWitB,$N2001)),"")</f>
        <v/>
      </c>
      <c r="I2001" s="24">
        <f>IF($M2001&lt;&gt;"",INDEX(CalcAmtA,$M2001),"")</f>
        <v/>
      </c>
      <c r="J2001" s="24">
        <f>IF($B2001="","",IF($J2000="",$C$8,$J2000)+IF($I2001="",0,$I2001)+IF($E2001="",0,$E2001)-IF($H2001="",0,$H2001))</f>
        <v/>
      </c>
      <c r="K2001" s="25">
        <f>IF($M2001&lt;&gt;"",IF(INDEX(CalcNoteA,$M2001)="","—",INDEX(CalcNoteA,$M2001)),IF($N2001&lt;&gt;"",IF(INDEX(CalcNoteB,$N2001)="","—",INDEX(CalcNoteB,$N2001)),""))</f>
        <v/>
      </c>
      <c r="M2001">
        <f>IFERROR(MATCH($C$5&amp;"|"&amp;RIGHT("000000"&amp;1985,6),CalcRankKeyA,0),"")</f>
        <v/>
      </c>
      <c r="N2001">
        <f>IFERROR(MATCH($C$5&amp;"|"&amp;RIGHT("000000"&amp;1985,6),CalcRankKeyB,0),"")</f>
        <v/>
      </c>
    </row>
    <row r="2002">
      <c r="A2002" s="26" t="n">
        <v>1986</v>
      </c>
      <c r="B2002" s="27">
        <f>IF(AND($M2002="",$N2002=""),"",IF($M2002&lt;&gt;"",INDEX(CalcDateA,$M2002),INDEX(CalcDateB,$N2002)))</f>
        <v/>
      </c>
      <c r="C2002" s="27">
        <f>IF($M2002&lt;&gt;"","خرید سبد",IF($N2002&lt;&gt;"",IF(N(INDEX(CalcDepB,$N2002))&gt;0,"دریافت بانکی","پرداخت بانکی"),""))</f>
        <v/>
      </c>
      <c r="D2002" s="27">
        <f>IF($M2002&lt;&gt;"",IF(INDEX(CalcDocA,$M2002)="","—",INDEX(CalcDocA,$M2002)),IF($N2002&lt;&gt;"",INDEX(CalcBankB,$N2002),""))</f>
        <v/>
      </c>
      <c r="E2002" s="28">
        <f>IF($N2002&lt;&gt;"",IF(INDEX(CalcDepB,$N2002)=0,"",INDEX(CalcDepB,$N2002)),"")</f>
        <v/>
      </c>
      <c r="F2002" s="28">
        <f>IF($M2002&lt;&gt;"",IF(INDEX(CalcQtyA,$M2002)=0,"",INDEX(CalcQtyA,$M2002)),"")</f>
        <v/>
      </c>
      <c r="G2002" s="28">
        <f>IF($M2002&lt;&gt;"",IF(INDEX(CalcPriceA,$M2002)=0,"",INDEX(CalcPriceA,$M2002)),"")</f>
        <v/>
      </c>
      <c r="H2002" s="28">
        <f>IF($N2002&lt;&gt;"",IF(INDEX(CalcWitB,$N2002)=0,"",INDEX(CalcWitB,$N2002)),"")</f>
        <v/>
      </c>
      <c r="I2002" s="29">
        <f>IF($M2002&lt;&gt;"",INDEX(CalcAmtA,$M2002),"")</f>
        <v/>
      </c>
      <c r="J2002" s="29">
        <f>IF($B2002="","",IF($J2001="",$C$8,$J2001)+IF($I2002="",0,$I2002)+IF($E2002="",0,$E2002)-IF($H2002="",0,$H2002))</f>
        <v/>
      </c>
      <c r="K2002" s="30">
        <f>IF($M2002&lt;&gt;"",IF(INDEX(CalcNoteA,$M2002)="","—",INDEX(CalcNoteA,$M2002)),IF($N2002&lt;&gt;"",IF(INDEX(CalcNoteB,$N2002)="","—",INDEX(CalcNoteB,$N2002)),""))</f>
        <v/>
      </c>
      <c r="M2002">
        <f>IFERROR(MATCH($C$5&amp;"|"&amp;RIGHT("000000"&amp;1986,6),CalcRankKeyA,0),"")</f>
        <v/>
      </c>
      <c r="N2002">
        <f>IFERROR(MATCH($C$5&amp;"|"&amp;RIGHT("000000"&amp;1986,6),CalcRankKeyB,0),"")</f>
        <v/>
      </c>
    </row>
    <row r="2003">
      <c r="A2003" s="21" t="n">
        <v>1987</v>
      </c>
      <c r="B2003" s="22">
        <f>IF(AND($M2003="",$N2003=""),"",IF($M2003&lt;&gt;"",INDEX(CalcDateA,$M2003),INDEX(CalcDateB,$N2003)))</f>
        <v/>
      </c>
      <c r="C2003" s="22">
        <f>IF($M2003&lt;&gt;"","خرید سبد",IF($N2003&lt;&gt;"",IF(N(INDEX(CalcDepB,$N2003))&gt;0,"دریافت بانکی","پرداخت بانکی"),""))</f>
        <v/>
      </c>
      <c r="D2003" s="22">
        <f>IF($M2003&lt;&gt;"",IF(INDEX(CalcDocA,$M2003)="","—",INDEX(CalcDocA,$M2003)),IF($N2003&lt;&gt;"",INDEX(CalcBankB,$N2003),""))</f>
        <v/>
      </c>
      <c r="E2003" s="23">
        <f>IF($N2003&lt;&gt;"",IF(INDEX(CalcDepB,$N2003)=0,"",INDEX(CalcDepB,$N2003)),"")</f>
        <v/>
      </c>
      <c r="F2003" s="23">
        <f>IF($M2003&lt;&gt;"",IF(INDEX(CalcQtyA,$M2003)=0,"",INDEX(CalcQtyA,$M2003)),"")</f>
        <v/>
      </c>
      <c r="G2003" s="23">
        <f>IF($M2003&lt;&gt;"",IF(INDEX(CalcPriceA,$M2003)=0,"",INDEX(CalcPriceA,$M2003)),"")</f>
        <v/>
      </c>
      <c r="H2003" s="23">
        <f>IF($N2003&lt;&gt;"",IF(INDEX(CalcWitB,$N2003)=0,"",INDEX(CalcWitB,$N2003)),"")</f>
        <v/>
      </c>
      <c r="I2003" s="24">
        <f>IF($M2003&lt;&gt;"",INDEX(CalcAmtA,$M2003),"")</f>
        <v/>
      </c>
      <c r="J2003" s="24">
        <f>IF($B2003="","",IF($J2002="",$C$8,$J2002)+IF($I2003="",0,$I2003)+IF($E2003="",0,$E2003)-IF($H2003="",0,$H2003))</f>
        <v/>
      </c>
      <c r="K2003" s="25">
        <f>IF($M2003&lt;&gt;"",IF(INDEX(CalcNoteA,$M2003)="","—",INDEX(CalcNoteA,$M2003)),IF($N2003&lt;&gt;"",IF(INDEX(CalcNoteB,$N2003)="","—",INDEX(CalcNoteB,$N2003)),""))</f>
        <v/>
      </c>
      <c r="M2003">
        <f>IFERROR(MATCH($C$5&amp;"|"&amp;RIGHT("000000"&amp;1987,6),CalcRankKeyA,0),"")</f>
        <v/>
      </c>
      <c r="N2003">
        <f>IFERROR(MATCH($C$5&amp;"|"&amp;RIGHT("000000"&amp;1987,6),CalcRankKeyB,0),"")</f>
        <v/>
      </c>
    </row>
    <row r="2004">
      <c r="A2004" s="26" t="n">
        <v>1988</v>
      </c>
      <c r="B2004" s="27">
        <f>IF(AND($M2004="",$N2004=""),"",IF($M2004&lt;&gt;"",INDEX(CalcDateA,$M2004),INDEX(CalcDateB,$N2004)))</f>
        <v/>
      </c>
      <c r="C2004" s="27">
        <f>IF($M2004&lt;&gt;"","خرید سبد",IF($N2004&lt;&gt;"",IF(N(INDEX(CalcDepB,$N2004))&gt;0,"دریافت بانکی","پرداخت بانکی"),""))</f>
        <v/>
      </c>
      <c r="D2004" s="27">
        <f>IF($M2004&lt;&gt;"",IF(INDEX(CalcDocA,$M2004)="","—",INDEX(CalcDocA,$M2004)),IF($N2004&lt;&gt;"",INDEX(CalcBankB,$N2004),""))</f>
        <v/>
      </c>
      <c r="E2004" s="28">
        <f>IF($N2004&lt;&gt;"",IF(INDEX(CalcDepB,$N2004)=0,"",INDEX(CalcDepB,$N2004)),"")</f>
        <v/>
      </c>
      <c r="F2004" s="28">
        <f>IF($M2004&lt;&gt;"",IF(INDEX(CalcQtyA,$M2004)=0,"",INDEX(CalcQtyA,$M2004)),"")</f>
        <v/>
      </c>
      <c r="G2004" s="28">
        <f>IF($M2004&lt;&gt;"",IF(INDEX(CalcPriceA,$M2004)=0,"",INDEX(CalcPriceA,$M2004)),"")</f>
        <v/>
      </c>
      <c r="H2004" s="28">
        <f>IF($N2004&lt;&gt;"",IF(INDEX(CalcWitB,$N2004)=0,"",INDEX(CalcWitB,$N2004)),"")</f>
        <v/>
      </c>
      <c r="I2004" s="29">
        <f>IF($M2004&lt;&gt;"",INDEX(CalcAmtA,$M2004),"")</f>
        <v/>
      </c>
      <c r="J2004" s="29">
        <f>IF($B2004="","",IF($J2003="",$C$8,$J2003)+IF($I2004="",0,$I2004)+IF($E2004="",0,$E2004)-IF($H2004="",0,$H2004))</f>
        <v/>
      </c>
      <c r="K2004" s="30">
        <f>IF($M2004&lt;&gt;"",IF(INDEX(CalcNoteA,$M2004)="","—",INDEX(CalcNoteA,$M2004)),IF($N2004&lt;&gt;"",IF(INDEX(CalcNoteB,$N2004)="","—",INDEX(CalcNoteB,$N2004)),""))</f>
        <v/>
      </c>
      <c r="M2004">
        <f>IFERROR(MATCH($C$5&amp;"|"&amp;RIGHT("000000"&amp;1988,6),CalcRankKeyA,0),"")</f>
        <v/>
      </c>
      <c r="N2004">
        <f>IFERROR(MATCH($C$5&amp;"|"&amp;RIGHT("000000"&amp;1988,6),CalcRankKeyB,0),"")</f>
        <v/>
      </c>
    </row>
    <row r="2005">
      <c r="A2005" s="21" t="n">
        <v>1989</v>
      </c>
      <c r="B2005" s="22">
        <f>IF(AND($M2005="",$N2005=""),"",IF($M2005&lt;&gt;"",INDEX(CalcDateA,$M2005),INDEX(CalcDateB,$N2005)))</f>
        <v/>
      </c>
      <c r="C2005" s="22">
        <f>IF($M2005&lt;&gt;"","خرید سبد",IF($N2005&lt;&gt;"",IF(N(INDEX(CalcDepB,$N2005))&gt;0,"دریافت بانکی","پرداخت بانکی"),""))</f>
        <v/>
      </c>
      <c r="D2005" s="22">
        <f>IF($M2005&lt;&gt;"",IF(INDEX(CalcDocA,$M2005)="","—",INDEX(CalcDocA,$M2005)),IF($N2005&lt;&gt;"",INDEX(CalcBankB,$N2005),""))</f>
        <v/>
      </c>
      <c r="E2005" s="23">
        <f>IF($N2005&lt;&gt;"",IF(INDEX(CalcDepB,$N2005)=0,"",INDEX(CalcDepB,$N2005)),"")</f>
        <v/>
      </c>
      <c r="F2005" s="23">
        <f>IF($M2005&lt;&gt;"",IF(INDEX(CalcQtyA,$M2005)=0,"",INDEX(CalcQtyA,$M2005)),"")</f>
        <v/>
      </c>
      <c r="G2005" s="23">
        <f>IF($M2005&lt;&gt;"",IF(INDEX(CalcPriceA,$M2005)=0,"",INDEX(CalcPriceA,$M2005)),"")</f>
        <v/>
      </c>
      <c r="H2005" s="23">
        <f>IF($N2005&lt;&gt;"",IF(INDEX(CalcWitB,$N2005)=0,"",INDEX(CalcWitB,$N2005)),"")</f>
        <v/>
      </c>
      <c r="I2005" s="24">
        <f>IF($M2005&lt;&gt;"",INDEX(CalcAmtA,$M2005),"")</f>
        <v/>
      </c>
      <c r="J2005" s="24">
        <f>IF($B2005="","",IF($J2004="",$C$8,$J2004)+IF($I2005="",0,$I2005)+IF($E2005="",0,$E2005)-IF($H2005="",0,$H2005))</f>
        <v/>
      </c>
      <c r="K2005" s="25">
        <f>IF($M2005&lt;&gt;"",IF(INDEX(CalcNoteA,$M2005)="","—",INDEX(CalcNoteA,$M2005)),IF($N2005&lt;&gt;"",IF(INDEX(CalcNoteB,$N2005)="","—",INDEX(CalcNoteB,$N2005)),""))</f>
        <v/>
      </c>
      <c r="M2005">
        <f>IFERROR(MATCH($C$5&amp;"|"&amp;RIGHT("000000"&amp;1989,6),CalcRankKeyA,0),"")</f>
        <v/>
      </c>
      <c r="N2005">
        <f>IFERROR(MATCH($C$5&amp;"|"&amp;RIGHT("000000"&amp;1989,6),CalcRankKeyB,0),"")</f>
        <v/>
      </c>
    </row>
    <row r="2006">
      <c r="A2006" s="26" t="n">
        <v>1990</v>
      </c>
      <c r="B2006" s="27">
        <f>IF(AND($M2006="",$N2006=""),"",IF($M2006&lt;&gt;"",INDEX(CalcDateA,$M2006),INDEX(CalcDateB,$N2006)))</f>
        <v/>
      </c>
      <c r="C2006" s="27">
        <f>IF($M2006&lt;&gt;"","خرید سبد",IF($N2006&lt;&gt;"",IF(N(INDEX(CalcDepB,$N2006))&gt;0,"دریافت بانکی","پرداخت بانکی"),""))</f>
        <v/>
      </c>
      <c r="D2006" s="27">
        <f>IF($M2006&lt;&gt;"",IF(INDEX(CalcDocA,$M2006)="","—",INDEX(CalcDocA,$M2006)),IF($N2006&lt;&gt;"",INDEX(CalcBankB,$N2006),""))</f>
        <v/>
      </c>
      <c r="E2006" s="28">
        <f>IF($N2006&lt;&gt;"",IF(INDEX(CalcDepB,$N2006)=0,"",INDEX(CalcDepB,$N2006)),"")</f>
        <v/>
      </c>
      <c r="F2006" s="28">
        <f>IF($M2006&lt;&gt;"",IF(INDEX(CalcQtyA,$M2006)=0,"",INDEX(CalcQtyA,$M2006)),"")</f>
        <v/>
      </c>
      <c r="G2006" s="28">
        <f>IF($M2006&lt;&gt;"",IF(INDEX(CalcPriceA,$M2006)=0,"",INDEX(CalcPriceA,$M2006)),"")</f>
        <v/>
      </c>
      <c r="H2006" s="28">
        <f>IF($N2006&lt;&gt;"",IF(INDEX(CalcWitB,$N2006)=0,"",INDEX(CalcWitB,$N2006)),"")</f>
        <v/>
      </c>
      <c r="I2006" s="29">
        <f>IF($M2006&lt;&gt;"",INDEX(CalcAmtA,$M2006),"")</f>
        <v/>
      </c>
      <c r="J2006" s="29">
        <f>IF($B2006="","",IF($J2005="",$C$8,$J2005)+IF($I2006="",0,$I2006)+IF($E2006="",0,$E2006)-IF($H2006="",0,$H2006))</f>
        <v/>
      </c>
      <c r="K2006" s="30">
        <f>IF($M2006&lt;&gt;"",IF(INDEX(CalcNoteA,$M2006)="","—",INDEX(CalcNoteA,$M2006)),IF($N2006&lt;&gt;"",IF(INDEX(CalcNoteB,$N2006)="","—",INDEX(CalcNoteB,$N2006)),""))</f>
        <v/>
      </c>
      <c r="M2006">
        <f>IFERROR(MATCH($C$5&amp;"|"&amp;RIGHT("000000"&amp;1990,6),CalcRankKeyA,0),"")</f>
        <v/>
      </c>
      <c r="N2006">
        <f>IFERROR(MATCH($C$5&amp;"|"&amp;RIGHT("000000"&amp;1990,6),CalcRankKeyB,0),"")</f>
        <v/>
      </c>
    </row>
    <row r="2007">
      <c r="A2007" s="21" t="n">
        <v>1991</v>
      </c>
      <c r="B2007" s="22">
        <f>IF(AND($M2007="",$N2007=""),"",IF($M2007&lt;&gt;"",INDEX(CalcDateA,$M2007),INDEX(CalcDateB,$N2007)))</f>
        <v/>
      </c>
      <c r="C2007" s="22">
        <f>IF($M2007&lt;&gt;"","خرید سبد",IF($N2007&lt;&gt;"",IF(N(INDEX(CalcDepB,$N2007))&gt;0,"دریافت بانکی","پرداخت بانکی"),""))</f>
        <v/>
      </c>
      <c r="D2007" s="22">
        <f>IF($M2007&lt;&gt;"",IF(INDEX(CalcDocA,$M2007)="","—",INDEX(CalcDocA,$M2007)),IF($N2007&lt;&gt;"",INDEX(CalcBankB,$N2007),""))</f>
        <v/>
      </c>
      <c r="E2007" s="23">
        <f>IF($N2007&lt;&gt;"",IF(INDEX(CalcDepB,$N2007)=0,"",INDEX(CalcDepB,$N2007)),"")</f>
        <v/>
      </c>
      <c r="F2007" s="23">
        <f>IF($M2007&lt;&gt;"",IF(INDEX(CalcQtyA,$M2007)=0,"",INDEX(CalcQtyA,$M2007)),"")</f>
        <v/>
      </c>
      <c r="G2007" s="23">
        <f>IF($M2007&lt;&gt;"",IF(INDEX(CalcPriceA,$M2007)=0,"",INDEX(CalcPriceA,$M2007)),"")</f>
        <v/>
      </c>
      <c r="H2007" s="23">
        <f>IF($N2007&lt;&gt;"",IF(INDEX(CalcWitB,$N2007)=0,"",INDEX(CalcWitB,$N2007)),"")</f>
        <v/>
      </c>
      <c r="I2007" s="24">
        <f>IF($M2007&lt;&gt;"",INDEX(CalcAmtA,$M2007),"")</f>
        <v/>
      </c>
      <c r="J2007" s="24">
        <f>IF($B2007="","",IF($J2006="",$C$8,$J2006)+IF($I2007="",0,$I2007)+IF($E2007="",0,$E2007)-IF($H2007="",0,$H2007))</f>
        <v/>
      </c>
      <c r="K2007" s="25">
        <f>IF($M2007&lt;&gt;"",IF(INDEX(CalcNoteA,$M2007)="","—",INDEX(CalcNoteA,$M2007)),IF($N2007&lt;&gt;"",IF(INDEX(CalcNoteB,$N2007)="","—",INDEX(CalcNoteB,$N2007)),""))</f>
        <v/>
      </c>
      <c r="M2007">
        <f>IFERROR(MATCH($C$5&amp;"|"&amp;RIGHT("000000"&amp;1991,6),CalcRankKeyA,0),"")</f>
        <v/>
      </c>
      <c r="N2007">
        <f>IFERROR(MATCH($C$5&amp;"|"&amp;RIGHT("000000"&amp;1991,6),CalcRankKeyB,0),"")</f>
        <v/>
      </c>
    </row>
    <row r="2008">
      <c r="A2008" s="26" t="n">
        <v>1992</v>
      </c>
      <c r="B2008" s="27">
        <f>IF(AND($M2008="",$N2008=""),"",IF($M2008&lt;&gt;"",INDEX(CalcDateA,$M2008),INDEX(CalcDateB,$N2008)))</f>
        <v/>
      </c>
      <c r="C2008" s="27">
        <f>IF($M2008&lt;&gt;"","خرید سبد",IF($N2008&lt;&gt;"",IF(N(INDEX(CalcDepB,$N2008))&gt;0,"دریافت بانکی","پرداخت بانکی"),""))</f>
        <v/>
      </c>
      <c r="D2008" s="27">
        <f>IF($M2008&lt;&gt;"",IF(INDEX(CalcDocA,$M2008)="","—",INDEX(CalcDocA,$M2008)),IF($N2008&lt;&gt;"",INDEX(CalcBankB,$N2008),""))</f>
        <v/>
      </c>
      <c r="E2008" s="28">
        <f>IF($N2008&lt;&gt;"",IF(INDEX(CalcDepB,$N2008)=0,"",INDEX(CalcDepB,$N2008)),"")</f>
        <v/>
      </c>
      <c r="F2008" s="28">
        <f>IF($M2008&lt;&gt;"",IF(INDEX(CalcQtyA,$M2008)=0,"",INDEX(CalcQtyA,$M2008)),"")</f>
        <v/>
      </c>
      <c r="G2008" s="28">
        <f>IF($M2008&lt;&gt;"",IF(INDEX(CalcPriceA,$M2008)=0,"",INDEX(CalcPriceA,$M2008)),"")</f>
        <v/>
      </c>
      <c r="H2008" s="28">
        <f>IF($N2008&lt;&gt;"",IF(INDEX(CalcWitB,$N2008)=0,"",INDEX(CalcWitB,$N2008)),"")</f>
        <v/>
      </c>
      <c r="I2008" s="29">
        <f>IF($M2008&lt;&gt;"",INDEX(CalcAmtA,$M2008),"")</f>
        <v/>
      </c>
      <c r="J2008" s="29">
        <f>IF($B2008="","",IF($J2007="",$C$8,$J2007)+IF($I2008="",0,$I2008)+IF($E2008="",0,$E2008)-IF($H2008="",0,$H2008))</f>
        <v/>
      </c>
      <c r="K2008" s="30">
        <f>IF($M2008&lt;&gt;"",IF(INDEX(CalcNoteA,$M2008)="","—",INDEX(CalcNoteA,$M2008)),IF($N2008&lt;&gt;"",IF(INDEX(CalcNoteB,$N2008)="","—",INDEX(CalcNoteB,$N2008)),""))</f>
        <v/>
      </c>
      <c r="M2008">
        <f>IFERROR(MATCH($C$5&amp;"|"&amp;RIGHT("000000"&amp;1992,6),CalcRankKeyA,0),"")</f>
        <v/>
      </c>
      <c r="N2008">
        <f>IFERROR(MATCH($C$5&amp;"|"&amp;RIGHT("000000"&amp;1992,6),CalcRankKeyB,0),"")</f>
        <v/>
      </c>
    </row>
    <row r="2009">
      <c r="A2009" s="21" t="n">
        <v>1993</v>
      </c>
      <c r="B2009" s="22">
        <f>IF(AND($M2009="",$N2009=""),"",IF($M2009&lt;&gt;"",INDEX(CalcDateA,$M2009),INDEX(CalcDateB,$N2009)))</f>
        <v/>
      </c>
      <c r="C2009" s="22">
        <f>IF($M2009&lt;&gt;"","خرید سبد",IF($N2009&lt;&gt;"",IF(N(INDEX(CalcDepB,$N2009))&gt;0,"دریافت بانکی","پرداخت بانکی"),""))</f>
        <v/>
      </c>
      <c r="D2009" s="22">
        <f>IF($M2009&lt;&gt;"",IF(INDEX(CalcDocA,$M2009)="","—",INDEX(CalcDocA,$M2009)),IF($N2009&lt;&gt;"",INDEX(CalcBankB,$N2009),""))</f>
        <v/>
      </c>
      <c r="E2009" s="23">
        <f>IF($N2009&lt;&gt;"",IF(INDEX(CalcDepB,$N2009)=0,"",INDEX(CalcDepB,$N2009)),"")</f>
        <v/>
      </c>
      <c r="F2009" s="23">
        <f>IF($M2009&lt;&gt;"",IF(INDEX(CalcQtyA,$M2009)=0,"",INDEX(CalcQtyA,$M2009)),"")</f>
        <v/>
      </c>
      <c r="G2009" s="23">
        <f>IF($M2009&lt;&gt;"",IF(INDEX(CalcPriceA,$M2009)=0,"",INDEX(CalcPriceA,$M2009)),"")</f>
        <v/>
      </c>
      <c r="H2009" s="23">
        <f>IF($N2009&lt;&gt;"",IF(INDEX(CalcWitB,$N2009)=0,"",INDEX(CalcWitB,$N2009)),"")</f>
        <v/>
      </c>
      <c r="I2009" s="24">
        <f>IF($M2009&lt;&gt;"",INDEX(CalcAmtA,$M2009),"")</f>
        <v/>
      </c>
      <c r="J2009" s="24">
        <f>IF($B2009="","",IF($J2008="",$C$8,$J2008)+IF($I2009="",0,$I2009)+IF($E2009="",0,$E2009)-IF($H2009="",0,$H2009))</f>
        <v/>
      </c>
      <c r="K2009" s="25">
        <f>IF($M2009&lt;&gt;"",IF(INDEX(CalcNoteA,$M2009)="","—",INDEX(CalcNoteA,$M2009)),IF($N2009&lt;&gt;"",IF(INDEX(CalcNoteB,$N2009)="","—",INDEX(CalcNoteB,$N2009)),""))</f>
        <v/>
      </c>
      <c r="M2009">
        <f>IFERROR(MATCH($C$5&amp;"|"&amp;RIGHT("000000"&amp;1993,6),CalcRankKeyA,0),"")</f>
        <v/>
      </c>
      <c r="N2009">
        <f>IFERROR(MATCH($C$5&amp;"|"&amp;RIGHT("000000"&amp;1993,6),CalcRankKeyB,0),"")</f>
        <v/>
      </c>
    </row>
    <row r="2010">
      <c r="A2010" s="26" t="n">
        <v>1994</v>
      </c>
      <c r="B2010" s="27">
        <f>IF(AND($M2010="",$N2010=""),"",IF($M2010&lt;&gt;"",INDEX(CalcDateA,$M2010),INDEX(CalcDateB,$N2010)))</f>
        <v/>
      </c>
      <c r="C2010" s="27">
        <f>IF($M2010&lt;&gt;"","خرید سبد",IF($N2010&lt;&gt;"",IF(N(INDEX(CalcDepB,$N2010))&gt;0,"دریافت بانکی","پرداخت بانکی"),""))</f>
        <v/>
      </c>
      <c r="D2010" s="27">
        <f>IF($M2010&lt;&gt;"",IF(INDEX(CalcDocA,$M2010)="","—",INDEX(CalcDocA,$M2010)),IF($N2010&lt;&gt;"",INDEX(CalcBankB,$N2010),""))</f>
        <v/>
      </c>
      <c r="E2010" s="28">
        <f>IF($N2010&lt;&gt;"",IF(INDEX(CalcDepB,$N2010)=0,"",INDEX(CalcDepB,$N2010)),"")</f>
        <v/>
      </c>
      <c r="F2010" s="28">
        <f>IF($M2010&lt;&gt;"",IF(INDEX(CalcQtyA,$M2010)=0,"",INDEX(CalcQtyA,$M2010)),"")</f>
        <v/>
      </c>
      <c r="G2010" s="28">
        <f>IF($M2010&lt;&gt;"",IF(INDEX(CalcPriceA,$M2010)=0,"",INDEX(CalcPriceA,$M2010)),"")</f>
        <v/>
      </c>
      <c r="H2010" s="28">
        <f>IF($N2010&lt;&gt;"",IF(INDEX(CalcWitB,$N2010)=0,"",INDEX(CalcWitB,$N2010)),"")</f>
        <v/>
      </c>
      <c r="I2010" s="29">
        <f>IF($M2010&lt;&gt;"",INDEX(CalcAmtA,$M2010),"")</f>
        <v/>
      </c>
      <c r="J2010" s="29">
        <f>IF($B2010="","",IF($J2009="",$C$8,$J2009)+IF($I2010="",0,$I2010)+IF($E2010="",0,$E2010)-IF($H2010="",0,$H2010))</f>
        <v/>
      </c>
      <c r="K2010" s="30">
        <f>IF($M2010&lt;&gt;"",IF(INDEX(CalcNoteA,$M2010)="","—",INDEX(CalcNoteA,$M2010)),IF($N2010&lt;&gt;"",IF(INDEX(CalcNoteB,$N2010)="","—",INDEX(CalcNoteB,$N2010)),""))</f>
        <v/>
      </c>
      <c r="M2010">
        <f>IFERROR(MATCH($C$5&amp;"|"&amp;RIGHT("000000"&amp;1994,6),CalcRankKeyA,0),"")</f>
        <v/>
      </c>
      <c r="N2010">
        <f>IFERROR(MATCH($C$5&amp;"|"&amp;RIGHT("000000"&amp;1994,6),CalcRankKeyB,0),"")</f>
        <v/>
      </c>
    </row>
    <row r="2011">
      <c r="A2011" s="21" t="n">
        <v>1995</v>
      </c>
      <c r="B2011" s="22">
        <f>IF(AND($M2011="",$N2011=""),"",IF($M2011&lt;&gt;"",INDEX(CalcDateA,$M2011),INDEX(CalcDateB,$N2011)))</f>
        <v/>
      </c>
      <c r="C2011" s="22">
        <f>IF($M2011&lt;&gt;"","خرید سبد",IF($N2011&lt;&gt;"",IF(N(INDEX(CalcDepB,$N2011))&gt;0,"دریافت بانکی","پرداخت بانکی"),""))</f>
        <v/>
      </c>
      <c r="D2011" s="22">
        <f>IF($M2011&lt;&gt;"",IF(INDEX(CalcDocA,$M2011)="","—",INDEX(CalcDocA,$M2011)),IF($N2011&lt;&gt;"",INDEX(CalcBankB,$N2011),""))</f>
        <v/>
      </c>
      <c r="E2011" s="23">
        <f>IF($N2011&lt;&gt;"",IF(INDEX(CalcDepB,$N2011)=0,"",INDEX(CalcDepB,$N2011)),"")</f>
        <v/>
      </c>
      <c r="F2011" s="23">
        <f>IF($M2011&lt;&gt;"",IF(INDEX(CalcQtyA,$M2011)=0,"",INDEX(CalcQtyA,$M2011)),"")</f>
        <v/>
      </c>
      <c r="G2011" s="23">
        <f>IF($M2011&lt;&gt;"",IF(INDEX(CalcPriceA,$M2011)=0,"",INDEX(CalcPriceA,$M2011)),"")</f>
        <v/>
      </c>
      <c r="H2011" s="23">
        <f>IF($N2011&lt;&gt;"",IF(INDEX(CalcWitB,$N2011)=0,"",INDEX(CalcWitB,$N2011)),"")</f>
        <v/>
      </c>
      <c r="I2011" s="24">
        <f>IF($M2011&lt;&gt;"",INDEX(CalcAmtA,$M2011),"")</f>
        <v/>
      </c>
      <c r="J2011" s="24">
        <f>IF($B2011="","",IF($J2010="",$C$8,$J2010)+IF($I2011="",0,$I2011)+IF($E2011="",0,$E2011)-IF($H2011="",0,$H2011))</f>
        <v/>
      </c>
      <c r="K2011" s="25">
        <f>IF($M2011&lt;&gt;"",IF(INDEX(CalcNoteA,$M2011)="","—",INDEX(CalcNoteA,$M2011)),IF($N2011&lt;&gt;"",IF(INDEX(CalcNoteB,$N2011)="","—",INDEX(CalcNoteB,$N2011)),""))</f>
        <v/>
      </c>
      <c r="M2011">
        <f>IFERROR(MATCH($C$5&amp;"|"&amp;RIGHT("000000"&amp;1995,6),CalcRankKeyA,0),"")</f>
        <v/>
      </c>
      <c r="N2011">
        <f>IFERROR(MATCH($C$5&amp;"|"&amp;RIGHT("000000"&amp;1995,6),CalcRankKeyB,0),"")</f>
        <v/>
      </c>
    </row>
    <row r="2012">
      <c r="A2012" s="26" t="n">
        <v>1996</v>
      </c>
      <c r="B2012" s="27">
        <f>IF(AND($M2012="",$N2012=""),"",IF($M2012&lt;&gt;"",INDEX(CalcDateA,$M2012),INDEX(CalcDateB,$N2012)))</f>
        <v/>
      </c>
      <c r="C2012" s="27">
        <f>IF($M2012&lt;&gt;"","خرید سبد",IF($N2012&lt;&gt;"",IF(N(INDEX(CalcDepB,$N2012))&gt;0,"دریافت بانکی","پرداخت بانکی"),""))</f>
        <v/>
      </c>
      <c r="D2012" s="27">
        <f>IF($M2012&lt;&gt;"",IF(INDEX(CalcDocA,$M2012)="","—",INDEX(CalcDocA,$M2012)),IF($N2012&lt;&gt;"",INDEX(CalcBankB,$N2012),""))</f>
        <v/>
      </c>
      <c r="E2012" s="28">
        <f>IF($N2012&lt;&gt;"",IF(INDEX(CalcDepB,$N2012)=0,"",INDEX(CalcDepB,$N2012)),"")</f>
        <v/>
      </c>
      <c r="F2012" s="28">
        <f>IF($M2012&lt;&gt;"",IF(INDEX(CalcQtyA,$M2012)=0,"",INDEX(CalcQtyA,$M2012)),"")</f>
        <v/>
      </c>
      <c r="G2012" s="28">
        <f>IF($M2012&lt;&gt;"",IF(INDEX(CalcPriceA,$M2012)=0,"",INDEX(CalcPriceA,$M2012)),"")</f>
        <v/>
      </c>
      <c r="H2012" s="28">
        <f>IF($N2012&lt;&gt;"",IF(INDEX(CalcWitB,$N2012)=0,"",INDEX(CalcWitB,$N2012)),"")</f>
        <v/>
      </c>
      <c r="I2012" s="29">
        <f>IF($M2012&lt;&gt;"",INDEX(CalcAmtA,$M2012),"")</f>
        <v/>
      </c>
      <c r="J2012" s="29">
        <f>IF($B2012="","",IF($J2011="",$C$8,$J2011)+IF($I2012="",0,$I2012)+IF($E2012="",0,$E2012)-IF($H2012="",0,$H2012))</f>
        <v/>
      </c>
      <c r="K2012" s="30">
        <f>IF($M2012&lt;&gt;"",IF(INDEX(CalcNoteA,$M2012)="","—",INDEX(CalcNoteA,$M2012)),IF($N2012&lt;&gt;"",IF(INDEX(CalcNoteB,$N2012)="","—",INDEX(CalcNoteB,$N2012)),""))</f>
        <v/>
      </c>
      <c r="M2012">
        <f>IFERROR(MATCH($C$5&amp;"|"&amp;RIGHT("000000"&amp;1996,6),CalcRankKeyA,0),"")</f>
        <v/>
      </c>
      <c r="N2012">
        <f>IFERROR(MATCH($C$5&amp;"|"&amp;RIGHT("000000"&amp;1996,6),CalcRankKeyB,0),"")</f>
        <v/>
      </c>
    </row>
    <row r="2013">
      <c r="A2013" s="21" t="n">
        <v>1997</v>
      </c>
      <c r="B2013" s="22">
        <f>IF(AND($M2013="",$N2013=""),"",IF($M2013&lt;&gt;"",INDEX(CalcDateA,$M2013),INDEX(CalcDateB,$N2013)))</f>
        <v/>
      </c>
      <c r="C2013" s="22">
        <f>IF($M2013&lt;&gt;"","خرید سبد",IF($N2013&lt;&gt;"",IF(N(INDEX(CalcDepB,$N2013))&gt;0,"دریافت بانکی","پرداخت بانکی"),""))</f>
        <v/>
      </c>
      <c r="D2013" s="22">
        <f>IF($M2013&lt;&gt;"",IF(INDEX(CalcDocA,$M2013)="","—",INDEX(CalcDocA,$M2013)),IF($N2013&lt;&gt;"",INDEX(CalcBankB,$N2013),""))</f>
        <v/>
      </c>
      <c r="E2013" s="23">
        <f>IF($N2013&lt;&gt;"",IF(INDEX(CalcDepB,$N2013)=0,"",INDEX(CalcDepB,$N2013)),"")</f>
        <v/>
      </c>
      <c r="F2013" s="23">
        <f>IF($M2013&lt;&gt;"",IF(INDEX(CalcQtyA,$M2013)=0,"",INDEX(CalcQtyA,$M2013)),"")</f>
        <v/>
      </c>
      <c r="G2013" s="23">
        <f>IF($M2013&lt;&gt;"",IF(INDEX(CalcPriceA,$M2013)=0,"",INDEX(CalcPriceA,$M2013)),"")</f>
        <v/>
      </c>
      <c r="H2013" s="23">
        <f>IF($N2013&lt;&gt;"",IF(INDEX(CalcWitB,$N2013)=0,"",INDEX(CalcWitB,$N2013)),"")</f>
        <v/>
      </c>
      <c r="I2013" s="24">
        <f>IF($M2013&lt;&gt;"",INDEX(CalcAmtA,$M2013),"")</f>
        <v/>
      </c>
      <c r="J2013" s="24">
        <f>IF($B2013="","",IF($J2012="",$C$8,$J2012)+IF($I2013="",0,$I2013)+IF($E2013="",0,$E2013)-IF($H2013="",0,$H2013))</f>
        <v/>
      </c>
      <c r="K2013" s="25">
        <f>IF($M2013&lt;&gt;"",IF(INDEX(CalcNoteA,$M2013)="","—",INDEX(CalcNoteA,$M2013)),IF($N2013&lt;&gt;"",IF(INDEX(CalcNoteB,$N2013)="","—",INDEX(CalcNoteB,$N2013)),""))</f>
        <v/>
      </c>
      <c r="M2013">
        <f>IFERROR(MATCH($C$5&amp;"|"&amp;RIGHT("000000"&amp;1997,6),CalcRankKeyA,0),"")</f>
        <v/>
      </c>
      <c r="N2013">
        <f>IFERROR(MATCH($C$5&amp;"|"&amp;RIGHT("000000"&amp;1997,6),CalcRankKeyB,0),"")</f>
        <v/>
      </c>
    </row>
    <row r="2014">
      <c r="A2014" s="26" t="n">
        <v>1998</v>
      </c>
      <c r="B2014" s="27">
        <f>IF(AND($M2014="",$N2014=""),"",IF($M2014&lt;&gt;"",INDEX(CalcDateA,$M2014),INDEX(CalcDateB,$N2014)))</f>
        <v/>
      </c>
      <c r="C2014" s="27">
        <f>IF($M2014&lt;&gt;"","خرید سبد",IF($N2014&lt;&gt;"",IF(N(INDEX(CalcDepB,$N2014))&gt;0,"دریافت بانکی","پرداخت بانکی"),""))</f>
        <v/>
      </c>
      <c r="D2014" s="27">
        <f>IF($M2014&lt;&gt;"",IF(INDEX(CalcDocA,$M2014)="","—",INDEX(CalcDocA,$M2014)),IF($N2014&lt;&gt;"",INDEX(CalcBankB,$N2014),""))</f>
        <v/>
      </c>
      <c r="E2014" s="28">
        <f>IF($N2014&lt;&gt;"",IF(INDEX(CalcDepB,$N2014)=0,"",INDEX(CalcDepB,$N2014)),"")</f>
        <v/>
      </c>
      <c r="F2014" s="28">
        <f>IF($M2014&lt;&gt;"",IF(INDEX(CalcQtyA,$M2014)=0,"",INDEX(CalcQtyA,$M2014)),"")</f>
        <v/>
      </c>
      <c r="G2014" s="28">
        <f>IF($M2014&lt;&gt;"",IF(INDEX(CalcPriceA,$M2014)=0,"",INDEX(CalcPriceA,$M2014)),"")</f>
        <v/>
      </c>
      <c r="H2014" s="28">
        <f>IF($N2014&lt;&gt;"",IF(INDEX(CalcWitB,$N2014)=0,"",INDEX(CalcWitB,$N2014)),"")</f>
        <v/>
      </c>
      <c r="I2014" s="29">
        <f>IF($M2014&lt;&gt;"",INDEX(CalcAmtA,$M2014),"")</f>
        <v/>
      </c>
      <c r="J2014" s="29">
        <f>IF($B2014="","",IF($J2013="",$C$8,$J2013)+IF($I2014="",0,$I2014)+IF($E2014="",0,$E2014)-IF($H2014="",0,$H2014))</f>
        <v/>
      </c>
      <c r="K2014" s="30">
        <f>IF($M2014&lt;&gt;"",IF(INDEX(CalcNoteA,$M2014)="","—",INDEX(CalcNoteA,$M2014)),IF($N2014&lt;&gt;"",IF(INDEX(CalcNoteB,$N2014)="","—",INDEX(CalcNoteB,$N2014)),""))</f>
        <v/>
      </c>
      <c r="M2014">
        <f>IFERROR(MATCH($C$5&amp;"|"&amp;RIGHT("000000"&amp;1998,6),CalcRankKeyA,0),"")</f>
        <v/>
      </c>
      <c r="N2014">
        <f>IFERROR(MATCH($C$5&amp;"|"&amp;RIGHT("000000"&amp;1998,6),CalcRankKeyB,0),"")</f>
        <v/>
      </c>
    </row>
    <row r="2015">
      <c r="A2015" s="21" t="n">
        <v>1999</v>
      </c>
      <c r="B2015" s="22">
        <f>IF(AND($M2015="",$N2015=""),"",IF($M2015&lt;&gt;"",INDEX(CalcDateA,$M2015),INDEX(CalcDateB,$N2015)))</f>
        <v/>
      </c>
      <c r="C2015" s="22">
        <f>IF($M2015&lt;&gt;"","خرید سبد",IF($N2015&lt;&gt;"",IF(N(INDEX(CalcDepB,$N2015))&gt;0,"دریافت بانکی","پرداخت بانکی"),""))</f>
        <v/>
      </c>
      <c r="D2015" s="22">
        <f>IF($M2015&lt;&gt;"",IF(INDEX(CalcDocA,$M2015)="","—",INDEX(CalcDocA,$M2015)),IF($N2015&lt;&gt;"",INDEX(CalcBankB,$N2015),""))</f>
        <v/>
      </c>
      <c r="E2015" s="23">
        <f>IF($N2015&lt;&gt;"",IF(INDEX(CalcDepB,$N2015)=0,"",INDEX(CalcDepB,$N2015)),"")</f>
        <v/>
      </c>
      <c r="F2015" s="23">
        <f>IF($M2015&lt;&gt;"",IF(INDEX(CalcQtyA,$M2015)=0,"",INDEX(CalcQtyA,$M2015)),"")</f>
        <v/>
      </c>
      <c r="G2015" s="23">
        <f>IF($M2015&lt;&gt;"",IF(INDEX(CalcPriceA,$M2015)=0,"",INDEX(CalcPriceA,$M2015)),"")</f>
        <v/>
      </c>
      <c r="H2015" s="23">
        <f>IF($N2015&lt;&gt;"",IF(INDEX(CalcWitB,$N2015)=0,"",INDEX(CalcWitB,$N2015)),"")</f>
        <v/>
      </c>
      <c r="I2015" s="24">
        <f>IF($M2015&lt;&gt;"",INDEX(CalcAmtA,$M2015),"")</f>
        <v/>
      </c>
      <c r="J2015" s="24">
        <f>IF($B2015="","",IF($J2014="",$C$8,$J2014)+IF($I2015="",0,$I2015)+IF($E2015="",0,$E2015)-IF($H2015="",0,$H2015))</f>
        <v/>
      </c>
      <c r="K2015" s="25">
        <f>IF($M2015&lt;&gt;"",IF(INDEX(CalcNoteA,$M2015)="","—",INDEX(CalcNoteA,$M2015)),IF($N2015&lt;&gt;"",IF(INDEX(CalcNoteB,$N2015)="","—",INDEX(CalcNoteB,$N2015)),""))</f>
        <v/>
      </c>
      <c r="M2015">
        <f>IFERROR(MATCH($C$5&amp;"|"&amp;RIGHT("000000"&amp;1999,6),CalcRankKeyA,0),"")</f>
        <v/>
      </c>
      <c r="N2015">
        <f>IFERROR(MATCH($C$5&amp;"|"&amp;RIGHT("000000"&amp;1999,6),CalcRankKeyB,0),"")</f>
        <v/>
      </c>
    </row>
    <row r="2016">
      <c r="A2016" s="26" t="n">
        <v>2000</v>
      </c>
      <c r="B2016" s="27">
        <f>IF(AND($M2016="",$N2016=""),"",IF($M2016&lt;&gt;"",INDEX(CalcDateA,$M2016),INDEX(CalcDateB,$N2016)))</f>
        <v/>
      </c>
      <c r="C2016" s="27">
        <f>IF($M2016&lt;&gt;"","خرید سبد",IF($N2016&lt;&gt;"",IF(N(INDEX(CalcDepB,$N2016))&gt;0,"دریافت بانکی","پرداخت بانکی"),""))</f>
        <v/>
      </c>
      <c r="D2016" s="27">
        <f>IF($M2016&lt;&gt;"",IF(INDEX(CalcDocA,$M2016)="","—",INDEX(CalcDocA,$M2016)),IF($N2016&lt;&gt;"",INDEX(CalcBankB,$N2016),""))</f>
        <v/>
      </c>
      <c r="E2016" s="28">
        <f>IF($N2016&lt;&gt;"",IF(INDEX(CalcDepB,$N2016)=0,"",INDEX(CalcDepB,$N2016)),"")</f>
        <v/>
      </c>
      <c r="F2016" s="28">
        <f>IF($M2016&lt;&gt;"",IF(INDEX(CalcQtyA,$M2016)=0,"",INDEX(CalcQtyA,$M2016)),"")</f>
        <v/>
      </c>
      <c r="G2016" s="28">
        <f>IF($M2016&lt;&gt;"",IF(INDEX(CalcPriceA,$M2016)=0,"",INDEX(CalcPriceA,$M2016)),"")</f>
        <v/>
      </c>
      <c r="H2016" s="28">
        <f>IF($N2016&lt;&gt;"",IF(INDEX(CalcWitB,$N2016)=0,"",INDEX(CalcWitB,$N2016)),"")</f>
        <v/>
      </c>
      <c r="I2016" s="29">
        <f>IF($M2016&lt;&gt;"",INDEX(CalcAmtA,$M2016),"")</f>
        <v/>
      </c>
      <c r="J2016" s="29">
        <f>IF($B2016="","",IF($J2015="",$C$8,$J2015)+IF($I2016="",0,$I2016)+IF($E2016="",0,$E2016)-IF($H2016="",0,$H2016))</f>
        <v/>
      </c>
      <c r="K2016" s="30">
        <f>IF($M2016&lt;&gt;"",IF(INDEX(CalcNoteA,$M2016)="","—",INDEX(CalcNoteA,$M2016)),IF($N2016&lt;&gt;"",IF(INDEX(CalcNoteB,$N2016)="","—",INDEX(CalcNoteB,$N2016)),""))</f>
        <v/>
      </c>
      <c r="M2016">
        <f>IFERROR(MATCH($C$5&amp;"|"&amp;RIGHT("000000"&amp;2000,6),CalcRankKeyA,0),"")</f>
        <v/>
      </c>
      <c r="N2016">
        <f>IFERROR(MATCH($C$5&amp;"|"&amp;RIGHT("000000"&amp;2000,6),CalcRankKeyB,0),"")</f>
        <v/>
      </c>
    </row>
  </sheetData>
  <mergeCells count="31">
    <mergeCell ref="A11:B11"/>
    <mergeCell ref="G11:H11"/>
    <mergeCell ref="C5:D5"/>
    <mergeCell ref="C14:D14"/>
    <mergeCell ref="E14:F14"/>
    <mergeCell ref="A1:K1"/>
    <mergeCell ref="A6:B6"/>
    <mergeCell ref="C10:D10"/>
    <mergeCell ref="A7:B7"/>
    <mergeCell ref="E10:F10"/>
    <mergeCell ref="G10:H10"/>
    <mergeCell ref="E13:F13"/>
    <mergeCell ref="G13:H13"/>
    <mergeCell ref="E5:K5"/>
    <mergeCell ref="C7:K7"/>
    <mergeCell ref="E8:K8"/>
    <mergeCell ref="I10:K10"/>
    <mergeCell ref="A3:K3"/>
    <mergeCell ref="C11:D11"/>
    <mergeCell ref="E11:F11"/>
    <mergeCell ref="A5:B5"/>
    <mergeCell ref="A2:K2"/>
    <mergeCell ref="A14:B14"/>
    <mergeCell ref="G14:H14"/>
    <mergeCell ref="A8:B8"/>
    <mergeCell ref="C8:D8"/>
    <mergeCell ref="C6:K6"/>
    <mergeCell ref="I11:K11"/>
    <mergeCell ref="A10:B10"/>
    <mergeCell ref="A13:B13"/>
    <mergeCell ref="C13:D13"/>
  </mergeCells>
  <conditionalFormatting sqref="C17:C2016">
    <cfRule type="cellIs" priority="1" operator="equal" dxfId="3">
      <formula>"خرید سبد"</formula>
    </cfRule>
    <cfRule type="cellIs" priority="2" operator="equal" dxfId="4">
      <formula>"پرداخت بانکی"</formula>
    </cfRule>
  </conditionalFormatting>
  <conditionalFormatting sqref="J17:J2016">
    <cfRule type="cellIs" priority="3" operator="lessThan" dxfId="1">
      <formula>0</formula>
    </cfRule>
  </conditionalFormatting>
  <dataValidations count="1">
    <dataValidation sqref="C5" showDropDown="0" showInputMessage="1" showErrorMessage="0" allowBlank="1" errorTitle="کد نامعتبر" error="کد از فایل INFO (شیت Accounts) — مثل S004" promptTitle="کد فروشنده سبد" prompt="کد را وارد کنید؛ کل کارتکس خودکار به‌روز می‌شود." type="custom" errorStyle="warning">
      <formula1>OR($C$5="",COUNTIF(AcctCodes,$C$5)&gt;0)</formula1>
    </dataValidation>
  </dataValidations>
  <printOptions horizontalCentered="1"/>
  <pageMargins left="0.35" right="0.35" top="0.62" bottom="0.55" header="0.28" footer="0.25"/>
  <pageSetup orientation="landscape" paperSize="9" fitToHeight="0" fitToWidth="1"/>
  <headerFooter>
    <oddHeader>&amp;L&amp;"Tahoma"&amp;8 مازندشت — سامانه حساب‌های بانکی&amp;C&amp;"Tahoma"&amp;8 کارتکس فروشنده سبد — دفتر سبد&amp;R&amp;"Tahoma"&amp;8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I1045"/>
  <sheetViews>
    <sheetView showGridLines="0" rightToLeft="1" zoomScale="95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.5" customWidth="1" min="1" max="1"/>
    <col width="10" customWidth="1" min="2" max="2"/>
    <col width="26" customWidth="1" min="3" max="3"/>
    <col width="11" customWidth="1" min="4" max="4"/>
    <col width="15" customWidth="1" min="5" max="5"/>
    <col width="15" customWidth="1" min="6" max="6"/>
    <col width="15" customWidth="1" min="7" max="7"/>
    <col width="16" customWidth="1" min="8" max="8"/>
    <col width="11" customWidth="1" min="9" max="9"/>
  </cols>
  <sheetData>
    <row r="1" ht="26" customHeight="1">
      <c r="A1" s="1">
        <f>IF(Sync!$N$6="","مازندشت",Sync!$N$6)&amp;" — "&amp;IF(Sync!$N$9="","سورتینگ و بسته‌بندی مرکبات",Sync!$N$9)</f>
        <v/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14" customHeight="1">
      <c r="A2" s="2">
        <f>IF(Sync!$N$7="","باغدشت، بخش مرکزی، شهرستان قائم‌شهر، استان مازندران، ایران",Sync!$N$7)&amp;"     |     MAZANDASHT · CITRUS SORTING &amp; PACKING"</f>
        <v/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4" customHeight="1">
      <c r="A3" s="3" t="inlineStr">
        <is>
          <t>خلاصه دفتر سبد — همه فروشندگان و انواع سبد</t>
        </is>
      </c>
      <c r="B3" s="3" t="n"/>
      <c r="C3" s="3" t="n"/>
      <c r="D3" s="3" t="n"/>
      <c r="E3" s="3" t="n"/>
      <c r="F3" s="3" t="n"/>
      <c r="G3" s="3" t="n"/>
      <c r="H3" s="3" t="n"/>
      <c r="I3" s="3" t="n"/>
    </row>
    <row r="4">
      <c r="A4" s="4" t="inlineStr">
        <is>
          <t>جدول بالا: گردش هر فروشنده سبد (از Entry و پرداخت‌های Transactions) — جدول پایین: جمع خرید به تفکیک نوع سبد. همه‌چیز خودکار.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 ht="13" customHeight="1">
      <c r="A5" s="17" t="inlineStr">
        <is>
          <t>جمع کل خرید سبد (ریال)</t>
        </is>
      </c>
      <c r="B5" s="17" t="n"/>
      <c r="C5" s="17" t="inlineStr">
        <is>
          <t>جمع پرداخت به فروشندگان (ریال)</t>
        </is>
      </c>
      <c r="D5" s="17" t="n"/>
      <c r="E5" s="17" t="inlineStr">
        <is>
          <t>مانده کل (بدهی ما)</t>
        </is>
      </c>
      <c r="F5" s="17" t="n"/>
      <c r="G5" s="17" t="inlineStr">
        <is>
          <t>تعداد فروشندگان سبد</t>
        </is>
      </c>
      <c r="H5" s="17" t="n"/>
    </row>
    <row r="6" ht="20" customHeight="1">
      <c r="A6" s="18">
        <f>SUM(CalcAmtA)</f>
        <v/>
      </c>
      <c r="B6" s="18" t="n"/>
      <c r="C6" s="18">
        <f>SUMPRODUCT(SUMIF(CalcPartyB,PkBskParty,CalcWitB))</f>
        <v/>
      </c>
      <c r="D6" s="18" t="n"/>
      <c r="E6" s="18">
        <f>SUM(CalcAmtA)-SUMPRODUCT(SUMIF(CalcPartyB,PkBskParty,CalcWitB))+SUMPRODUCT(SUMIF(CalcPartyB,PkBskParty,CalcDepB))</f>
        <v/>
      </c>
      <c r="F6" s="18" t="n"/>
      <c r="G6" s="20">
        <f>NBskParty</f>
        <v/>
      </c>
      <c r="H6" s="20" t="n"/>
    </row>
    <row r="8">
      <c r="A8" s="31" t="inlineStr">
        <is>
          <t>الف) گردش فروشندگان سبد</t>
        </is>
      </c>
      <c r="B8" s="31" t="n"/>
      <c r="C8" s="31" t="n"/>
      <c r="D8" s="31" t="n"/>
      <c r="E8" s="31" t="n"/>
      <c r="F8" s="31" t="n"/>
      <c r="G8" s="31" t="n"/>
      <c r="H8" s="31" t="n"/>
      <c r="I8" s="31" t="n"/>
    </row>
    <row r="9" ht="30" customHeight="1">
      <c r="A9" s="5" t="inlineStr">
        <is>
          <t>ردیف</t>
        </is>
      </c>
      <c r="B9" s="5" t="inlineStr">
        <is>
          <t>کد</t>
        </is>
      </c>
      <c r="C9" s="5" t="inlineStr">
        <is>
          <t>نام فروشنده</t>
        </is>
      </c>
      <c r="D9" s="5" t="inlineStr">
        <is>
          <t>تعداد سبد</t>
        </is>
      </c>
      <c r="E9" s="5" t="inlineStr">
        <is>
          <t>جمع خرید (ریال)</t>
        </is>
      </c>
      <c r="F9" s="5" t="inlineStr">
        <is>
          <t>جمع پرداخت (ریال)</t>
        </is>
      </c>
      <c r="G9" s="5" t="inlineStr">
        <is>
          <t>جمع دریافت (ریال)</t>
        </is>
      </c>
      <c r="H9" s="5" t="inlineStr">
        <is>
          <t>مانده (ریال)</t>
        </is>
      </c>
      <c r="I9" s="5" t="inlineStr">
        <is>
          <t>وضعیت</t>
        </is>
      </c>
    </row>
    <row r="10" ht="13" customHeight="1">
      <c r="A10" s="21">
        <f>IF($B10="","",1)</f>
        <v/>
      </c>
      <c r="B10" s="32">
        <f>IF(1&gt;NBskParty,"",INDEX(PkBskParty,1))</f>
        <v/>
      </c>
      <c r="C10" s="25">
        <f>IF($B10="","",IFERROR(IF(VLOOKUP($B10,AcctTbl,4,0)="","(بدون نام)",VLOOKUP($B10,AcctTbl,4,0)),"—"))</f>
        <v/>
      </c>
      <c r="D10" s="23">
        <f>IF($B10="","",SUMIF(CalcPartyA,$B10,CalcQtyA))</f>
        <v/>
      </c>
      <c r="E10" s="23">
        <f>IF($B10="","",SUMIF(CalcPartyA,$B10,CalcAmtA))</f>
        <v/>
      </c>
      <c r="F10" s="23">
        <f>IF($B10="","",SUMIF(CalcPartyB,$B10,CalcWitB))</f>
        <v/>
      </c>
      <c r="G10" s="23">
        <f>IF($B10="","",SUMIF(CalcPartyB,$B10,CalcDepB))</f>
        <v/>
      </c>
      <c r="H10" s="24">
        <f>IF($B10="","",$E10-$F10+$G10)</f>
        <v/>
      </c>
      <c r="I10" s="22">
        <f>IF($B10="","",IF(ROUND($H10,0)&gt;0,"● بستانکار",IF(ROUND($H10,0)&lt;0,"● بدهکار","تسویه")))</f>
        <v/>
      </c>
    </row>
    <row r="11">
      <c r="A11" s="26">
        <f>IF($B11="","",2)</f>
        <v/>
      </c>
      <c r="B11" s="33">
        <f>IF(2&gt;NBskParty,"",INDEX(PkBskParty,2))</f>
        <v/>
      </c>
      <c r="C11" s="30">
        <f>IF($B11="","",IFERROR(IF(VLOOKUP($B11,AcctTbl,4,0)="","(بدون نام)",VLOOKUP($B11,AcctTbl,4,0)),"—"))</f>
        <v/>
      </c>
      <c r="D11" s="28">
        <f>IF($B11="","",SUMIF(CalcPartyA,$B11,CalcQtyA))</f>
        <v/>
      </c>
      <c r="E11" s="28">
        <f>IF($B11="","",SUMIF(CalcPartyA,$B11,CalcAmtA))</f>
        <v/>
      </c>
      <c r="F11" s="28">
        <f>IF($B11="","",SUMIF(CalcPartyB,$B11,CalcWitB))</f>
        <v/>
      </c>
      <c r="G11" s="28">
        <f>IF($B11="","",SUMIF(CalcPartyB,$B11,CalcDepB))</f>
        <v/>
      </c>
      <c r="H11" s="29">
        <f>IF($B11="","",$E11-$F11+$G11)</f>
        <v/>
      </c>
      <c r="I11" s="27">
        <f>IF($B11="","",IF(ROUND($H11,0)&gt;0,"● بستانکار",IF(ROUND($H11,0)&lt;0,"● بدهکار","تسویه")))</f>
        <v/>
      </c>
    </row>
    <row r="12">
      <c r="A12" s="21">
        <f>IF($B12="","",3)</f>
        <v/>
      </c>
      <c r="B12" s="32">
        <f>IF(3&gt;NBskParty,"",INDEX(PkBskParty,3))</f>
        <v/>
      </c>
      <c r="C12" s="25">
        <f>IF($B12="","",IFERROR(IF(VLOOKUP($B12,AcctTbl,4,0)="","(بدون نام)",VLOOKUP($B12,AcctTbl,4,0)),"—"))</f>
        <v/>
      </c>
      <c r="D12" s="23">
        <f>IF($B12="","",SUMIF(CalcPartyA,$B12,CalcQtyA))</f>
        <v/>
      </c>
      <c r="E12" s="23">
        <f>IF($B12="","",SUMIF(CalcPartyA,$B12,CalcAmtA))</f>
        <v/>
      </c>
      <c r="F12" s="23">
        <f>IF($B12="","",SUMIF(CalcPartyB,$B12,CalcWitB))</f>
        <v/>
      </c>
      <c r="G12" s="23">
        <f>IF($B12="","",SUMIF(CalcPartyB,$B12,CalcDepB))</f>
        <v/>
      </c>
      <c r="H12" s="24">
        <f>IF($B12="","",$E12-$F12+$G12)</f>
        <v/>
      </c>
      <c r="I12" s="22">
        <f>IF($B12="","",IF(ROUND($H12,0)&gt;0,"● بستانکار",IF(ROUND($H12,0)&lt;0,"● بدهکار","تسویه")))</f>
        <v/>
      </c>
    </row>
    <row r="13">
      <c r="A13" s="26">
        <f>IF($B13="","",4)</f>
        <v/>
      </c>
      <c r="B13" s="33">
        <f>IF(4&gt;NBskParty,"",INDEX(PkBskParty,4))</f>
        <v/>
      </c>
      <c r="C13" s="30">
        <f>IF($B13="","",IFERROR(IF(VLOOKUP($B13,AcctTbl,4,0)="","(بدون نام)",VLOOKUP($B13,AcctTbl,4,0)),"—"))</f>
        <v/>
      </c>
      <c r="D13" s="28">
        <f>IF($B13="","",SUMIF(CalcPartyA,$B13,CalcQtyA))</f>
        <v/>
      </c>
      <c r="E13" s="28">
        <f>IF($B13="","",SUMIF(CalcPartyA,$B13,CalcAmtA))</f>
        <v/>
      </c>
      <c r="F13" s="28">
        <f>IF($B13="","",SUMIF(CalcPartyB,$B13,CalcWitB))</f>
        <v/>
      </c>
      <c r="G13" s="28">
        <f>IF($B13="","",SUMIF(CalcPartyB,$B13,CalcDepB))</f>
        <v/>
      </c>
      <c r="H13" s="29">
        <f>IF($B13="","",$E13-$F13+$G13)</f>
        <v/>
      </c>
      <c r="I13" s="27">
        <f>IF($B13="","",IF(ROUND($H13,0)&gt;0,"● بستانکار",IF(ROUND($H13,0)&lt;0,"● بدهکار","تسویه")))</f>
        <v/>
      </c>
    </row>
    <row r="14">
      <c r="A14" s="21">
        <f>IF($B14="","",5)</f>
        <v/>
      </c>
      <c r="B14" s="32">
        <f>IF(5&gt;NBskParty,"",INDEX(PkBskParty,5))</f>
        <v/>
      </c>
      <c r="C14" s="25">
        <f>IF($B14="","",IFERROR(IF(VLOOKUP($B14,AcctTbl,4,0)="","(بدون نام)",VLOOKUP($B14,AcctTbl,4,0)),"—"))</f>
        <v/>
      </c>
      <c r="D14" s="23">
        <f>IF($B14="","",SUMIF(CalcPartyA,$B14,CalcQtyA))</f>
        <v/>
      </c>
      <c r="E14" s="23">
        <f>IF($B14="","",SUMIF(CalcPartyA,$B14,CalcAmtA))</f>
        <v/>
      </c>
      <c r="F14" s="23">
        <f>IF($B14="","",SUMIF(CalcPartyB,$B14,CalcWitB))</f>
        <v/>
      </c>
      <c r="G14" s="23">
        <f>IF($B14="","",SUMIF(CalcPartyB,$B14,CalcDepB))</f>
        <v/>
      </c>
      <c r="H14" s="24">
        <f>IF($B14="","",$E14-$F14+$G14)</f>
        <v/>
      </c>
      <c r="I14" s="22">
        <f>IF($B14="","",IF(ROUND($H14,0)&gt;0,"● بستانکار",IF(ROUND($H14,0)&lt;0,"● بدهکار","تسویه")))</f>
        <v/>
      </c>
    </row>
    <row r="15">
      <c r="A15" s="26">
        <f>IF($B15="","",6)</f>
        <v/>
      </c>
      <c r="B15" s="33">
        <f>IF(6&gt;NBskParty,"",INDEX(PkBskParty,6))</f>
        <v/>
      </c>
      <c r="C15" s="30">
        <f>IF($B15="","",IFERROR(IF(VLOOKUP($B15,AcctTbl,4,0)="","(بدون نام)",VLOOKUP($B15,AcctTbl,4,0)),"—"))</f>
        <v/>
      </c>
      <c r="D15" s="28">
        <f>IF($B15="","",SUMIF(CalcPartyA,$B15,CalcQtyA))</f>
        <v/>
      </c>
      <c r="E15" s="28">
        <f>IF($B15="","",SUMIF(CalcPartyA,$B15,CalcAmtA))</f>
        <v/>
      </c>
      <c r="F15" s="28">
        <f>IF($B15="","",SUMIF(CalcPartyB,$B15,CalcWitB))</f>
        <v/>
      </c>
      <c r="G15" s="28">
        <f>IF($B15="","",SUMIF(CalcPartyB,$B15,CalcDepB))</f>
        <v/>
      </c>
      <c r="H15" s="29">
        <f>IF($B15="","",$E15-$F15+$G15)</f>
        <v/>
      </c>
      <c r="I15" s="27">
        <f>IF($B15="","",IF(ROUND($H15,0)&gt;0,"● بستانکار",IF(ROUND($H15,0)&lt;0,"● بدهکار","تسویه")))</f>
        <v/>
      </c>
    </row>
    <row r="16">
      <c r="A16" s="21">
        <f>IF($B16="","",7)</f>
        <v/>
      </c>
      <c r="B16" s="32">
        <f>IF(7&gt;NBskParty,"",INDEX(PkBskParty,7))</f>
        <v/>
      </c>
      <c r="C16" s="25">
        <f>IF($B16="","",IFERROR(IF(VLOOKUP($B16,AcctTbl,4,0)="","(بدون نام)",VLOOKUP($B16,AcctTbl,4,0)),"—"))</f>
        <v/>
      </c>
      <c r="D16" s="23">
        <f>IF($B16="","",SUMIF(CalcPartyA,$B16,CalcQtyA))</f>
        <v/>
      </c>
      <c r="E16" s="23">
        <f>IF($B16="","",SUMIF(CalcPartyA,$B16,CalcAmtA))</f>
        <v/>
      </c>
      <c r="F16" s="23">
        <f>IF($B16="","",SUMIF(CalcPartyB,$B16,CalcWitB))</f>
        <v/>
      </c>
      <c r="G16" s="23">
        <f>IF($B16="","",SUMIF(CalcPartyB,$B16,CalcDepB))</f>
        <v/>
      </c>
      <c r="H16" s="24">
        <f>IF($B16="","",$E16-$F16+$G16)</f>
        <v/>
      </c>
      <c r="I16" s="22">
        <f>IF($B16="","",IF(ROUND($H16,0)&gt;0,"● بستانکار",IF(ROUND($H16,0)&lt;0,"● بدهکار","تسویه")))</f>
        <v/>
      </c>
    </row>
    <row r="17">
      <c r="A17" s="26">
        <f>IF($B17="","",8)</f>
        <v/>
      </c>
      <c r="B17" s="33">
        <f>IF(8&gt;NBskParty,"",INDEX(PkBskParty,8))</f>
        <v/>
      </c>
      <c r="C17" s="30">
        <f>IF($B17="","",IFERROR(IF(VLOOKUP($B17,AcctTbl,4,0)="","(بدون نام)",VLOOKUP($B17,AcctTbl,4,0)),"—"))</f>
        <v/>
      </c>
      <c r="D17" s="28">
        <f>IF($B17="","",SUMIF(CalcPartyA,$B17,CalcQtyA))</f>
        <v/>
      </c>
      <c r="E17" s="28">
        <f>IF($B17="","",SUMIF(CalcPartyA,$B17,CalcAmtA))</f>
        <v/>
      </c>
      <c r="F17" s="28">
        <f>IF($B17="","",SUMIF(CalcPartyB,$B17,CalcWitB))</f>
        <v/>
      </c>
      <c r="G17" s="28">
        <f>IF($B17="","",SUMIF(CalcPartyB,$B17,CalcDepB))</f>
        <v/>
      </c>
      <c r="H17" s="29">
        <f>IF($B17="","",$E17-$F17+$G17)</f>
        <v/>
      </c>
      <c r="I17" s="27">
        <f>IF($B17="","",IF(ROUND($H17,0)&gt;0,"● بستانکار",IF(ROUND($H17,0)&lt;0,"● بدهکار","تسویه")))</f>
        <v/>
      </c>
    </row>
    <row r="18">
      <c r="A18" s="21">
        <f>IF($B18="","",9)</f>
        <v/>
      </c>
      <c r="B18" s="32">
        <f>IF(9&gt;NBskParty,"",INDEX(PkBskParty,9))</f>
        <v/>
      </c>
      <c r="C18" s="25">
        <f>IF($B18="","",IFERROR(IF(VLOOKUP($B18,AcctTbl,4,0)="","(بدون نام)",VLOOKUP($B18,AcctTbl,4,0)),"—"))</f>
        <v/>
      </c>
      <c r="D18" s="23">
        <f>IF($B18="","",SUMIF(CalcPartyA,$B18,CalcQtyA))</f>
        <v/>
      </c>
      <c r="E18" s="23">
        <f>IF($B18="","",SUMIF(CalcPartyA,$B18,CalcAmtA))</f>
        <v/>
      </c>
      <c r="F18" s="23">
        <f>IF($B18="","",SUMIF(CalcPartyB,$B18,CalcWitB))</f>
        <v/>
      </c>
      <c r="G18" s="23">
        <f>IF($B18="","",SUMIF(CalcPartyB,$B18,CalcDepB))</f>
        <v/>
      </c>
      <c r="H18" s="24">
        <f>IF($B18="","",$E18-$F18+$G18)</f>
        <v/>
      </c>
      <c r="I18" s="22">
        <f>IF($B18="","",IF(ROUND($H18,0)&gt;0,"● بستانکار",IF(ROUND($H18,0)&lt;0,"● بدهکار","تسویه")))</f>
        <v/>
      </c>
    </row>
    <row r="19">
      <c r="A19" s="26">
        <f>IF($B19="","",10)</f>
        <v/>
      </c>
      <c r="B19" s="33">
        <f>IF(10&gt;NBskParty,"",INDEX(PkBskParty,10))</f>
        <v/>
      </c>
      <c r="C19" s="30">
        <f>IF($B19="","",IFERROR(IF(VLOOKUP($B19,AcctTbl,4,0)="","(بدون نام)",VLOOKUP($B19,AcctTbl,4,0)),"—"))</f>
        <v/>
      </c>
      <c r="D19" s="28">
        <f>IF($B19="","",SUMIF(CalcPartyA,$B19,CalcQtyA))</f>
        <v/>
      </c>
      <c r="E19" s="28">
        <f>IF($B19="","",SUMIF(CalcPartyA,$B19,CalcAmtA))</f>
        <v/>
      </c>
      <c r="F19" s="28">
        <f>IF($B19="","",SUMIF(CalcPartyB,$B19,CalcWitB))</f>
        <v/>
      </c>
      <c r="G19" s="28">
        <f>IF($B19="","",SUMIF(CalcPartyB,$B19,CalcDepB))</f>
        <v/>
      </c>
      <c r="H19" s="29">
        <f>IF($B19="","",$E19-$F19+$G19)</f>
        <v/>
      </c>
      <c r="I19" s="27">
        <f>IF($B19="","",IF(ROUND($H19,0)&gt;0,"● بستانکار",IF(ROUND($H19,0)&lt;0,"● بدهکار","تسویه")))</f>
        <v/>
      </c>
    </row>
    <row r="20">
      <c r="A20" s="21">
        <f>IF($B20="","",11)</f>
        <v/>
      </c>
      <c r="B20" s="32">
        <f>IF(11&gt;NBskParty,"",INDEX(PkBskParty,11))</f>
        <v/>
      </c>
      <c r="C20" s="25">
        <f>IF($B20="","",IFERROR(IF(VLOOKUP($B20,AcctTbl,4,0)="","(بدون نام)",VLOOKUP($B20,AcctTbl,4,0)),"—"))</f>
        <v/>
      </c>
      <c r="D20" s="23">
        <f>IF($B20="","",SUMIF(CalcPartyA,$B20,CalcQtyA))</f>
        <v/>
      </c>
      <c r="E20" s="23">
        <f>IF($B20="","",SUMIF(CalcPartyA,$B20,CalcAmtA))</f>
        <v/>
      </c>
      <c r="F20" s="23">
        <f>IF($B20="","",SUMIF(CalcPartyB,$B20,CalcWitB))</f>
        <v/>
      </c>
      <c r="G20" s="23">
        <f>IF($B20="","",SUMIF(CalcPartyB,$B20,CalcDepB))</f>
        <v/>
      </c>
      <c r="H20" s="24">
        <f>IF($B20="","",$E20-$F20+$G20)</f>
        <v/>
      </c>
      <c r="I20" s="22">
        <f>IF($B20="","",IF(ROUND($H20,0)&gt;0,"● بستانکار",IF(ROUND($H20,0)&lt;0,"● بدهکار","تسویه")))</f>
        <v/>
      </c>
    </row>
    <row r="21">
      <c r="A21" s="26">
        <f>IF($B21="","",12)</f>
        <v/>
      </c>
      <c r="B21" s="33">
        <f>IF(12&gt;NBskParty,"",INDEX(PkBskParty,12))</f>
        <v/>
      </c>
      <c r="C21" s="30">
        <f>IF($B21="","",IFERROR(IF(VLOOKUP($B21,AcctTbl,4,0)="","(بدون نام)",VLOOKUP($B21,AcctTbl,4,0)),"—"))</f>
        <v/>
      </c>
      <c r="D21" s="28">
        <f>IF($B21="","",SUMIF(CalcPartyA,$B21,CalcQtyA))</f>
        <v/>
      </c>
      <c r="E21" s="28">
        <f>IF($B21="","",SUMIF(CalcPartyA,$B21,CalcAmtA))</f>
        <v/>
      </c>
      <c r="F21" s="28">
        <f>IF($B21="","",SUMIF(CalcPartyB,$B21,CalcWitB))</f>
        <v/>
      </c>
      <c r="G21" s="28">
        <f>IF($B21="","",SUMIF(CalcPartyB,$B21,CalcDepB))</f>
        <v/>
      </c>
      <c r="H21" s="29">
        <f>IF($B21="","",$E21-$F21+$G21)</f>
        <v/>
      </c>
      <c r="I21" s="27">
        <f>IF($B21="","",IF(ROUND($H21,0)&gt;0,"● بستانکار",IF(ROUND($H21,0)&lt;0,"● بدهکار","تسویه")))</f>
        <v/>
      </c>
    </row>
    <row r="22">
      <c r="A22" s="21">
        <f>IF($B22="","",13)</f>
        <v/>
      </c>
      <c r="B22" s="32">
        <f>IF(13&gt;NBskParty,"",INDEX(PkBskParty,13))</f>
        <v/>
      </c>
      <c r="C22" s="25">
        <f>IF($B22="","",IFERROR(IF(VLOOKUP($B22,AcctTbl,4,0)="","(بدون نام)",VLOOKUP($B22,AcctTbl,4,0)),"—"))</f>
        <v/>
      </c>
      <c r="D22" s="23">
        <f>IF($B22="","",SUMIF(CalcPartyA,$B22,CalcQtyA))</f>
        <v/>
      </c>
      <c r="E22" s="23">
        <f>IF($B22="","",SUMIF(CalcPartyA,$B22,CalcAmtA))</f>
        <v/>
      </c>
      <c r="F22" s="23">
        <f>IF($B22="","",SUMIF(CalcPartyB,$B22,CalcWitB))</f>
        <v/>
      </c>
      <c r="G22" s="23">
        <f>IF($B22="","",SUMIF(CalcPartyB,$B22,CalcDepB))</f>
        <v/>
      </c>
      <c r="H22" s="24">
        <f>IF($B22="","",$E22-$F22+$G22)</f>
        <v/>
      </c>
      <c r="I22" s="22">
        <f>IF($B22="","",IF(ROUND($H22,0)&gt;0,"● بستانکار",IF(ROUND($H22,0)&lt;0,"● بدهکار","تسویه")))</f>
        <v/>
      </c>
    </row>
    <row r="23">
      <c r="A23" s="26">
        <f>IF($B23="","",14)</f>
        <v/>
      </c>
      <c r="B23" s="33">
        <f>IF(14&gt;NBskParty,"",INDEX(PkBskParty,14))</f>
        <v/>
      </c>
      <c r="C23" s="30">
        <f>IF($B23="","",IFERROR(IF(VLOOKUP($B23,AcctTbl,4,0)="","(بدون نام)",VLOOKUP($B23,AcctTbl,4,0)),"—"))</f>
        <v/>
      </c>
      <c r="D23" s="28">
        <f>IF($B23="","",SUMIF(CalcPartyA,$B23,CalcQtyA))</f>
        <v/>
      </c>
      <c r="E23" s="28">
        <f>IF($B23="","",SUMIF(CalcPartyA,$B23,CalcAmtA))</f>
        <v/>
      </c>
      <c r="F23" s="28">
        <f>IF($B23="","",SUMIF(CalcPartyB,$B23,CalcWitB))</f>
        <v/>
      </c>
      <c r="G23" s="28">
        <f>IF($B23="","",SUMIF(CalcPartyB,$B23,CalcDepB))</f>
        <v/>
      </c>
      <c r="H23" s="29">
        <f>IF($B23="","",$E23-$F23+$G23)</f>
        <v/>
      </c>
      <c r="I23" s="27">
        <f>IF($B23="","",IF(ROUND($H23,0)&gt;0,"● بستانکار",IF(ROUND($H23,0)&lt;0,"● بدهکار","تسویه")))</f>
        <v/>
      </c>
    </row>
    <row r="24">
      <c r="A24" s="21">
        <f>IF($B24="","",15)</f>
        <v/>
      </c>
      <c r="B24" s="32">
        <f>IF(15&gt;NBskParty,"",INDEX(PkBskParty,15))</f>
        <v/>
      </c>
      <c r="C24" s="25">
        <f>IF($B24="","",IFERROR(IF(VLOOKUP($B24,AcctTbl,4,0)="","(بدون نام)",VLOOKUP($B24,AcctTbl,4,0)),"—"))</f>
        <v/>
      </c>
      <c r="D24" s="23">
        <f>IF($B24="","",SUMIF(CalcPartyA,$B24,CalcQtyA))</f>
        <v/>
      </c>
      <c r="E24" s="23">
        <f>IF($B24="","",SUMIF(CalcPartyA,$B24,CalcAmtA))</f>
        <v/>
      </c>
      <c r="F24" s="23">
        <f>IF($B24="","",SUMIF(CalcPartyB,$B24,CalcWitB))</f>
        <v/>
      </c>
      <c r="G24" s="23">
        <f>IF($B24="","",SUMIF(CalcPartyB,$B24,CalcDepB))</f>
        <v/>
      </c>
      <c r="H24" s="24">
        <f>IF($B24="","",$E24-$F24+$G24)</f>
        <v/>
      </c>
      <c r="I24" s="22">
        <f>IF($B24="","",IF(ROUND($H24,0)&gt;0,"● بستانکار",IF(ROUND($H24,0)&lt;0,"● بدهکار","تسویه")))</f>
        <v/>
      </c>
    </row>
    <row r="25">
      <c r="A25" s="26">
        <f>IF($B25="","",16)</f>
        <v/>
      </c>
      <c r="B25" s="33">
        <f>IF(16&gt;NBskParty,"",INDEX(PkBskParty,16))</f>
        <v/>
      </c>
      <c r="C25" s="30">
        <f>IF($B25="","",IFERROR(IF(VLOOKUP($B25,AcctTbl,4,0)="","(بدون نام)",VLOOKUP($B25,AcctTbl,4,0)),"—"))</f>
        <v/>
      </c>
      <c r="D25" s="28">
        <f>IF($B25="","",SUMIF(CalcPartyA,$B25,CalcQtyA))</f>
        <v/>
      </c>
      <c r="E25" s="28">
        <f>IF($B25="","",SUMIF(CalcPartyA,$B25,CalcAmtA))</f>
        <v/>
      </c>
      <c r="F25" s="28">
        <f>IF($B25="","",SUMIF(CalcPartyB,$B25,CalcWitB))</f>
        <v/>
      </c>
      <c r="G25" s="28">
        <f>IF($B25="","",SUMIF(CalcPartyB,$B25,CalcDepB))</f>
        <v/>
      </c>
      <c r="H25" s="29">
        <f>IF($B25="","",$E25-$F25+$G25)</f>
        <v/>
      </c>
      <c r="I25" s="27">
        <f>IF($B25="","",IF(ROUND($H25,0)&gt;0,"● بستانکار",IF(ROUND($H25,0)&lt;0,"● بدهکار","تسویه")))</f>
        <v/>
      </c>
    </row>
    <row r="26">
      <c r="A26" s="21">
        <f>IF($B26="","",17)</f>
        <v/>
      </c>
      <c r="B26" s="32">
        <f>IF(17&gt;NBskParty,"",INDEX(PkBskParty,17))</f>
        <v/>
      </c>
      <c r="C26" s="25">
        <f>IF($B26="","",IFERROR(IF(VLOOKUP($B26,AcctTbl,4,0)="","(بدون نام)",VLOOKUP($B26,AcctTbl,4,0)),"—"))</f>
        <v/>
      </c>
      <c r="D26" s="23">
        <f>IF($B26="","",SUMIF(CalcPartyA,$B26,CalcQtyA))</f>
        <v/>
      </c>
      <c r="E26" s="23">
        <f>IF($B26="","",SUMIF(CalcPartyA,$B26,CalcAmtA))</f>
        <v/>
      </c>
      <c r="F26" s="23">
        <f>IF($B26="","",SUMIF(CalcPartyB,$B26,CalcWitB))</f>
        <v/>
      </c>
      <c r="G26" s="23">
        <f>IF($B26="","",SUMIF(CalcPartyB,$B26,CalcDepB))</f>
        <v/>
      </c>
      <c r="H26" s="24">
        <f>IF($B26="","",$E26-$F26+$G26)</f>
        <v/>
      </c>
      <c r="I26" s="22">
        <f>IF($B26="","",IF(ROUND($H26,0)&gt;0,"● بستانکار",IF(ROUND($H26,0)&lt;0,"● بدهکار","تسویه")))</f>
        <v/>
      </c>
    </row>
    <row r="27">
      <c r="A27" s="26">
        <f>IF($B27="","",18)</f>
        <v/>
      </c>
      <c r="B27" s="33">
        <f>IF(18&gt;NBskParty,"",INDEX(PkBskParty,18))</f>
        <v/>
      </c>
      <c r="C27" s="30">
        <f>IF($B27="","",IFERROR(IF(VLOOKUP($B27,AcctTbl,4,0)="","(بدون نام)",VLOOKUP($B27,AcctTbl,4,0)),"—"))</f>
        <v/>
      </c>
      <c r="D27" s="28">
        <f>IF($B27="","",SUMIF(CalcPartyA,$B27,CalcQtyA))</f>
        <v/>
      </c>
      <c r="E27" s="28">
        <f>IF($B27="","",SUMIF(CalcPartyA,$B27,CalcAmtA))</f>
        <v/>
      </c>
      <c r="F27" s="28">
        <f>IF($B27="","",SUMIF(CalcPartyB,$B27,CalcWitB))</f>
        <v/>
      </c>
      <c r="G27" s="28">
        <f>IF($B27="","",SUMIF(CalcPartyB,$B27,CalcDepB))</f>
        <v/>
      </c>
      <c r="H27" s="29">
        <f>IF($B27="","",$E27-$F27+$G27)</f>
        <v/>
      </c>
      <c r="I27" s="27">
        <f>IF($B27="","",IF(ROUND($H27,0)&gt;0,"● بستانکار",IF(ROUND($H27,0)&lt;0,"● بدهکار","تسویه")))</f>
        <v/>
      </c>
    </row>
    <row r="28">
      <c r="A28" s="21">
        <f>IF($B28="","",19)</f>
        <v/>
      </c>
      <c r="B28" s="32">
        <f>IF(19&gt;NBskParty,"",INDEX(PkBskParty,19))</f>
        <v/>
      </c>
      <c r="C28" s="25">
        <f>IF($B28="","",IFERROR(IF(VLOOKUP($B28,AcctTbl,4,0)="","(بدون نام)",VLOOKUP($B28,AcctTbl,4,0)),"—"))</f>
        <v/>
      </c>
      <c r="D28" s="23">
        <f>IF($B28="","",SUMIF(CalcPartyA,$B28,CalcQtyA))</f>
        <v/>
      </c>
      <c r="E28" s="23">
        <f>IF($B28="","",SUMIF(CalcPartyA,$B28,CalcAmtA))</f>
        <v/>
      </c>
      <c r="F28" s="23">
        <f>IF($B28="","",SUMIF(CalcPartyB,$B28,CalcWitB))</f>
        <v/>
      </c>
      <c r="G28" s="23">
        <f>IF($B28="","",SUMIF(CalcPartyB,$B28,CalcDepB))</f>
        <v/>
      </c>
      <c r="H28" s="24">
        <f>IF($B28="","",$E28-$F28+$G28)</f>
        <v/>
      </c>
      <c r="I28" s="22">
        <f>IF($B28="","",IF(ROUND($H28,0)&gt;0,"● بستانکار",IF(ROUND($H28,0)&lt;0,"● بدهکار","تسویه")))</f>
        <v/>
      </c>
    </row>
    <row r="29">
      <c r="A29" s="26">
        <f>IF($B29="","",20)</f>
        <v/>
      </c>
      <c r="B29" s="33">
        <f>IF(20&gt;NBskParty,"",INDEX(PkBskParty,20))</f>
        <v/>
      </c>
      <c r="C29" s="30">
        <f>IF($B29="","",IFERROR(IF(VLOOKUP($B29,AcctTbl,4,0)="","(بدون نام)",VLOOKUP($B29,AcctTbl,4,0)),"—"))</f>
        <v/>
      </c>
      <c r="D29" s="28">
        <f>IF($B29="","",SUMIF(CalcPartyA,$B29,CalcQtyA))</f>
        <v/>
      </c>
      <c r="E29" s="28">
        <f>IF($B29="","",SUMIF(CalcPartyA,$B29,CalcAmtA))</f>
        <v/>
      </c>
      <c r="F29" s="28">
        <f>IF($B29="","",SUMIF(CalcPartyB,$B29,CalcWitB))</f>
        <v/>
      </c>
      <c r="G29" s="28">
        <f>IF($B29="","",SUMIF(CalcPartyB,$B29,CalcDepB))</f>
        <v/>
      </c>
      <c r="H29" s="29">
        <f>IF($B29="","",$E29-$F29+$G29)</f>
        <v/>
      </c>
      <c r="I29" s="27">
        <f>IF($B29="","",IF(ROUND($H29,0)&gt;0,"● بستانکار",IF(ROUND($H29,0)&lt;0,"● بدهکار","تسویه")))</f>
        <v/>
      </c>
    </row>
    <row r="30">
      <c r="A30" s="21">
        <f>IF($B30="","",21)</f>
        <v/>
      </c>
      <c r="B30" s="32">
        <f>IF(21&gt;NBskParty,"",INDEX(PkBskParty,21))</f>
        <v/>
      </c>
      <c r="C30" s="25">
        <f>IF($B30="","",IFERROR(IF(VLOOKUP($B30,AcctTbl,4,0)="","(بدون نام)",VLOOKUP($B30,AcctTbl,4,0)),"—"))</f>
        <v/>
      </c>
      <c r="D30" s="23">
        <f>IF($B30="","",SUMIF(CalcPartyA,$B30,CalcQtyA))</f>
        <v/>
      </c>
      <c r="E30" s="23">
        <f>IF($B30="","",SUMIF(CalcPartyA,$B30,CalcAmtA))</f>
        <v/>
      </c>
      <c r="F30" s="23">
        <f>IF($B30="","",SUMIF(CalcPartyB,$B30,CalcWitB))</f>
        <v/>
      </c>
      <c r="G30" s="23">
        <f>IF($B30="","",SUMIF(CalcPartyB,$B30,CalcDepB))</f>
        <v/>
      </c>
      <c r="H30" s="24">
        <f>IF($B30="","",$E30-$F30+$G30)</f>
        <v/>
      </c>
      <c r="I30" s="22">
        <f>IF($B30="","",IF(ROUND($H30,0)&gt;0,"● بستانکار",IF(ROUND($H30,0)&lt;0,"● بدهکار","تسویه")))</f>
        <v/>
      </c>
    </row>
    <row r="31">
      <c r="A31" s="26">
        <f>IF($B31="","",22)</f>
        <v/>
      </c>
      <c r="B31" s="33">
        <f>IF(22&gt;NBskParty,"",INDEX(PkBskParty,22))</f>
        <v/>
      </c>
      <c r="C31" s="30">
        <f>IF($B31="","",IFERROR(IF(VLOOKUP($B31,AcctTbl,4,0)="","(بدون نام)",VLOOKUP($B31,AcctTbl,4,0)),"—"))</f>
        <v/>
      </c>
      <c r="D31" s="28">
        <f>IF($B31="","",SUMIF(CalcPartyA,$B31,CalcQtyA))</f>
        <v/>
      </c>
      <c r="E31" s="28">
        <f>IF($B31="","",SUMIF(CalcPartyA,$B31,CalcAmtA))</f>
        <v/>
      </c>
      <c r="F31" s="28">
        <f>IF($B31="","",SUMIF(CalcPartyB,$B31,CalcWitB))</f>
        <v/>
      </c>
      <c r="G31" s="28">
        <f>IF($B31="","",SUMIF(CalcPartyB,$B31,CalcDepB))</f>
        <v/>
      </c>
      <c r="H31" s="29">
        <f>IF($B31="","",$E31-$F31+$G31)</f>
        <v/>
      </c>
      <c r="I31" s="27">
        <f>IF($B31="","",IF(ROUND($H31,0)&gt;0,"● بستانکار",IF(ROUND($H31,0)&lt;0,"● بدهکار","تسویه")))</f>
        <v/>
      </c>
    </row>
    <row r="32">
      <c r="A32" s="21">
        <f>IF($B32="","",23)</f>
        <v/>
      </c>
      <c r="B32" s="32">
        <f>IF(23&gt;NBskParty,"",INDEX(PkBskParty,23))</f>
        <v/>
      </c>
      <c r="C32" s="25">
        <f>IF($B32="","",IFERROR(IF(VLOOKUP($B32,AcctTbl,4,0)="","(بدون نام)",VLOOKUP($B32,AcctTbl,4,0)),"—"))</f>
        <v/>
      </c>
      <c r="D32" s="23">
        <f>IF($B32="","",SUMIF(CalcPartyA,$B32,CalcQtyA))</f>
        <v/>
      </c>
      <c r="E32" s="23">
        <f>IF($B32="","",SUMIF(CalcPartyA,$B32,CalcAmtA))</f>
        <v/>
      </c>
      <c r="F32" s="23">
        <f>IF($B32="","",SUMIF(CalcPartyB,$B32,CalcWitB))</f>
        <v/>
      </c>
      <c r="G32" s="23">
        <f>IF($B32="","",SUMIF(CalcPartyB,$B32,CalcDepB))</f>
        <v/>
      </c>
      <c r="H32" s="24">
        <f>IF($B32="","",$E32-$F32+$G32)</f>
        <v/>
      </c>
      <c r="I32" s="22">
        <f>IF($B32="","",IF(ROUND($H32,0)&gt;0,"● بستانکار",IF(ROUND($H32,0)&lt;0,"● بدهکار","تسویه")))</f>
        <v/>
      </c>
    </row>
    <row r="33">
      <c r="A33" s="26">
        <f>IF($B33="","",24)</f>
        <v/>
      </c>
      <c r="B33" s="33">
        <f>IF(24&gt;NBskParty,"",INDEX(PkBskParty,24))</f>
        <v/>
      </c>
      <c r="C33" s="30">
        <f>IF($B33="","",IFERROR(IF(VLOOKUP($B33,AcctTbl,4,0)="","(بدون نام)",VLOOKUP($B33,AcctTbl,4,0)),"—"))</f>
        <v/>
      </c>
      <c r="D33" s="28">
        <f>IF($B33="","",SUMIF(CalcPartyA,$B33,CalcQtyA))</f>
        <v/>
      </c>
      <c r="E33" s="28">
        <f>IF($B33="","",SUMIF(CalcPartyA,$B33,CalcAmtA))</f>
        <v/>
      </c>
      <c r="F33" s="28">
        <f>IF($B33="","",SUMIF(CalcPartyB,$B33,CalcWitB))</f>
        <v/>
      </c>
      <c r="G33" s="28">
        <f>IF($B33="","",SUMIF(CalcPartyB,$B33,CalcDepB))</f>
        <v/>
      </c>
      <c r="H33" s="29">
        <f>IF($B33="","",$E33-$F33+$G33)</f>
        <v/>
      </c>
      <c r="I33" s="27">
        <f>IF($B33="","",IF(ROUND($H33,0)&gt;0,"● بستانکار",IF(ROUND($H33,0)&lt;0,"● بدهکار","تسویه")))</f>
        <v/>
      </c>
    </row>
    <row r="34">
      <c r="A34" s="21">
        <f>IF($B34="","",25)</f>
        <v/>
      </c>
      <c r="B34" s="32">
        <f>IF(25&gt;NBskParty,"",INDEX(PkBskParty,25))</f>
        <v/>
      </c>
      <c r="C34" s="25">
        <f>IF($B34="","",IFERROR(IF(VLOOKUP($B34,AcctTbl,4,0)="","(بدون نام)",VLOOKUP($B34,AcctTbl,4,0)),"—"))</f>
        <v/>
      </c>
      <c r="D34" s="23">
        <f>IF($B34="","",SUMIF(CalcPartyA,$B34,CalcQtyA))</f>
        <v/>
      </c>
      <c r="E34" s="23">
        <f>IF($B34="","",SUMIF(CalcPartyA,$B34,CalcAmtA))</f>
        <v/>
      </c>
      <c r="F34" s="23">
        <f>IF($B34="","",SUMIF(CalcPartyB,$B34,CalcWitB))</f>
        <v/>
      </c>
      <c r="G34" s="23">
        <f>IF($B34="","",SUMIF(CalcPartyB,$B34,CalcDepB))</f>
        <v/>
      </c>
      <c r="H34" s="24">
        <f>IF($B34="","",$E34-$F34+$G34)</f>
        <v/>
      </c>
      <c r="I34" s="22">
        <f>IF($B34="","",IF(ROUND($H34,0)&gt;0,"● بستانکار",IF(ROUND($H34,0)&lt;0,"● بدهکار","تسویه")))</f>
        <v/>
      </c>
    </row>
    <row r="35">
      <c r="A35" s="26">
        <f>IF($B35="","",26)</f>
        <v/>
      </c>
      <c r="B35" s="33">
        <f>IF(26&gt;NBskParty,"",INDEX(PkBskParty,26))</f>
        <v/>
      </c>
      <c r="C35" s="30">
        <f>IF($B35="","",IFERROR(IF(VLOOKUP($B35,AcctTbl,4,0)="","(بدون نام)",VLOOKUP($B35,AcctTbl,4,0)),"—"))</f>
        <v/>
      </c>
      <c r="D35" s="28">
        <f>IF($B35="","",SUMIF(CalcPartyA,$B35,CalcQtyA))</f>
        <v/>
      </c>
      <c r="E35" s="28">
        <f>IF($B35="","",SUMIF(CalcPartyA,$B35,CalcAmtA))</f>
        <v/>
      </c>
      <c r="F35" s="28">
        <f>IF($B35="","",SUMIF(CalcPartyB,$B35,CalcWitB))</f>
        <v/>
      </c>
      <c r="G35" s="28">
        <f>IF($B35="","",SUMIF(CalcPartyB,$B35,CalcDepB))</f>
        <v/>
      </c>
      <c r="H35" s="29">
        <f>IF($B35="","",$E35-$F35+$G35)</f>
        <v/>
      </c>
      <c r="I35" s="27">
        <f>IF($B35="","",IF(ROUND($H35,0)&gt;0,"● بستانکار",IF(ROUND($H35,0)&lt;0,"● بدهکار","تسویه")))</f>
        <v/>
      </c>
    </row>
    <row r="36">
      <c r="A36" s="21">
        <f>IF($B36="","",27)</f>
        <v/>
      </c>
      <c r="B36" s="32">
        <f>IF(27&gt;NBskParty,"",INDEX(PkBskParty,27))</f>
        <v/>
      </c>
      <c r="C36" s="25">
        <f>IF($B36="","",IFERROR(IF(VLOOKUP($B36,AcctTbl,4,0)="","(بدون نام)",VLOOKUP($B36,AcctTbl,4,0)),"—"))</f>
        <v/>
      </c>
      <c r="D36" s="23">
        <f>IF($B36="","",SUMIF(CalcPartyA,$B36,CalcQtyA))</f>
        <v/>
      </c>
      <c r="E36" s="23">
        <f>IF($B36="","",SUMIF(CalcPartyA,$B36,CalcAmtA))</f>
        <v/>
      </c>
      <c r="F36" s="23">
        <f>IF($B36="","",SUMIF(CalcPartyB,$B36,CalcWitB))</f>
        <v/>
      </c>
      <c r="G36" s="23">
        <f>IF($B36="","",SUMIF(CalcPartyB,$B36,CalcDepB))</f>
        <v/>
      </c>
      <c r="H36" s="24">
        <f>IF($B36="","",$E36-$F36+$G36)</f>
        <v/>
      </c>
      <c r="I36" s="22">
        <f>IF($B36="","",IF(ROUND($H36,0)&gt;0,"● بستانکار",IF(ROUND($H36,0)&lt;0,"● بدهکار","تسویه")))</f>
        <v/>
      </c>
    </row>
    <row r="37">
      <c r="A37" s="26">
        <f>IF($B37="","",28)</f>
        <v/>
      </c>
      <c r="B37" s="33">
        <f>IF(28&gt;NBskParty,"",INDEX(PkBskParty,28))</f>
        <v/>
      </c>
      <c r="C37" s="30">
        <f>IF($B37="","",IFERROR(IF(VLOOKUP($B37,AcctTbl,4,0)="","(بدون نام)",VLOOKUP($B37,AcctTbl,4,0)),"—"))</f>
        <v/>
      </c>
      <c r="D37" s="28">
        <f>IF($B37="","",SUMIF(CalcPartyA,$B37,CalcQtyA))</f>
        <v/>
      </c>
      <c r="E37" s="28">
        <f>IF($B37="","",SUMIF(CalcPartyA,$B37,CalcAmtA))</f>
        <v/>
      </c>
      <c r="F37" s="28">
        <f>IF($B37="","",SUMIF(CalcPartyB,$B37,CalcWitB))</f>
        <v/>
      </c>
      <c r="G37" s="28">
        <f>IF($B37="","",SUMIF(CalcPartyB,$B37,CalcDepB))</f>
        <v/>
      </c>
      <c r="H37" s="29">
        <f>IF($B37="","",$E37-$F37+$G37)</f>
        <v/>
      </c>
      <c r="I37" s="27">
        <f>IF($B37="","",IF(ROUND($H37,0)&gt;0,"● بستانکار",IF(ROUND($H37,0)&lt;0,"● بدهکار","تسویه")))</f>
        <v/>
      </c>
    </row>
    <row r="38">
      <c r="A38" s="21">
        <f>IF($B38="","",29)</f>
        <v/>
      </c>
      <c r="B38" s="32">
        <f>IF(29&gt;NBskParty,"",INDEX(PkBskParty,29))</f>
        <v/>
      </c>
      <c r="C38" s="25">
        <f>IF($B38="","",IFERROR(IF(VLOOKUP($B38,AcctTbl,4,0)="","(بدون نام)",VLOOKUP($B38,AcctTbl,4,0)),"—"))</f>
        <v/>
      </c>
      <c r="D38" s="23">
        <f>IF($B38="","",SUMIF(CalcPartyA,$B38,CalcQtyA))</f>
        <v/>
      </c>
      <c r="E38" s="23">
        <f>IF($B38="","",SUMIF(CalcPartyA,$B38,CalcAmtA))</f>
        <v/>
      </c>
      <c r="F38" s="23">
        <f>IF($B38="","",SUMIF(CalcPartyB,$B38,CalcWitB))</f>
        <v/>
      </c>
      <c r="G38" s="23">
        <f>IF($B38="","",SUMIF(CalcPartyB,$B38,CalcDepB))</f>
        <v/>
      </c>
      <c r="H38" s="24">
        <f>IF($B38="","",$E38-$F38+$G38)</f>
        <v/>
      </c>
      <c r="I38" s="22">
        <f>IF($B38="","",IF(ROUND($H38,0)&gt;0,"● بستانکار",IF(ROUND($H38,0)&lt;0,"● بدهکار","تسویه")))</f>
        <v/>
      </c>
    </row>
    <row r="39">
      <c r="A39" s="26">
        <f>IF($B39="","",30)</f>
        <v/>
      </c>
      <c r="B39" s="33">
        <f>IF(30&gt;NBskParty,"",INDEX(PkBskParty,30))</f>
        <v/>
      </c>
      <c r="C39" s="30">
        <f>IF($B39="","",IFERROR(IF(VLOOKUP($B39,AcctTbl,4,0)="","(بدون نام)",VLOOKUP($B39,AcctTbl,4,0)),"—"))</f>
        <v/>
      </c>
      <c r="D39" s="28">
        <f>IF($B39="","",SUMIF(CalcPartyA,$B39,CalcQtyA))</f>
        <v/>
      </c>
      <c r="E39" s="28">
        <f>IF($B39="","",SUMIF(CalcPartyA,$B39,CalcAmtA))</f>
        <v/>
      </c>
      <c r="F39" s="28">
        <f>IF($B39="","",SUMIF(CalcPartyB,$B39,CalcWitB))</f>
        <v/>
      </c>
      <c r="G39" s="28">
        <f>IF($B39="","",SUMIF(CalcPartyB,$B39,CalcDepB))</f>
        <v/>
      </c>
      <c r="H39" s="29">
        <f>IF($B39="","",$E39-$F39+$G39)</f>
        <v/>
      </c>
      <c r="I39" s="27">
        <f>IF($B39="","",IF(ROUND($H39,0)&gt;0,"● بستانکار",IF(ROUND($H39,0)&lt;0,"● بدهکار","تسویه")))</f>
        <v/>
      </c>
    </row>
    <row r="40">
      <c r="A40" s="21">
        <f>IF($B40="","",31)</f>
        <v/>
      </c>
      <c r="B40" s="32">
        <f>IF(31&gt;NBskParty,"",INDEX(PkBskParty,31))</f>
        <v/>
      </c>
      <c r="C40" s="25">
        <f>IF($B40="","",IFERROR(IF(VLOOKUP($B40,AcctTbl,4,0)="","(بدون نام)",VLOOKUP($B40,AcctTbl,4,0)),"—"))</f>
        <v/>
      </c>
      <c r="D40" s="23">
        <f>IF($B40="","",SUMIF(CalcPartyA,$B40,CalcQtyA))</f>
        <v/>
      </c>
      <c r="E40" s="23">
        <f>IF($B40="","",SUMIF(CalcPartyA,$B40,CalcAmtA))</f>
        <v/>
      </c>
      <c r="F40" s="23">
        <f>IF($B40="","",SUMIF(CalcPartyB,$B40,CalcWitB))</f>
        <v/>
      </c>
      <c r="G40" s="23">
        <f>IF($B40="","",SUMIF(CalcPartyB,$B40,CalcDepB))</f>
        <v/>
      </c>
      <c r="H40" s="24">
        <f>IF($B40="","",$E40-$F40+$G40)</f>
        <v/>
      </c>
      <c r="I40" s="22">
        <f>IF($B40="","",IF(ROUND($H40,0)&gt;0,"● بستانکار",IF(ROUND($H40,0)&lt;0,"● بدهکار","تسویه")))</f>
        <v/>
      </c>
    </row>
    <row r="41">
      <c r="A41" s="26">
        <f>IF($B41="","",32)</f>
        <v/>
      </c>
      <c r="B41" s="33">
        <f>IF(32&gt;NBskParty,"",INDEX(PkBskParty,32))</f>
        <v/>
      </c>
      <c r="C41" s="30">
        <f>IF($B41="","",IFERROR(IF(VLOOKUP($B41,AcctTbl,4,0)="","(بدون نام)",VLOOKUP($B41,AcctTbl,4,0)),"—"))</f>
        <v/>
      </c>
      <c r="D41" s="28">
        <f>IF($B41="","",SUMIF(CalcPartyA,$B41,CalcQtyA))</f>
        <v/>
      </c>
      <c r="E41" s="28">
        <f>IF($B41="","",SUMIF(CalcPartyA,$B41,CalcAmtA))</f>
        <v/>
      </c>
      <c r="F41" s="28">
        <f>IF($B41="","",SUMIF(CalcPartyB,$B41,CalcWitB))</f>
        <v/>
      </c>
      <c r="G41" s="28">
        <f>IF($B41="","",SUMIF(CalcPartyB,$B41,CalcDepB))</f>
        <v/>
      </c>
      <c r="H41" s="29">
        <f>IF($B41="","",$E41-$F41+$G41)</f>
        <v/>
      </c>
      <c r="I41" s="27">
        <f>IF($B41="","",IF(ROUND($H41,0)&gt;0,"● بستانکار",IF(ROUND($H41,0)&lt;0,"● بدهکار","تسویه")))</f>
        <v/>
      </c>
    </row>
    <row r="42">
      <c r="A42" s="21">
        <f>IF($B42="","",33)</f>
        <v/>
      </c>
      <c r="B42" s="32">
        <f>IF(33&gt;NBskParty,"",INDEX(PkBskParty,33))</f>
        <v/>
      </c>
      <c r="C42" s="25">
        <f>IF($B42="","",IFERROR(IF(VLOOKUP($B42,AcctTbl,4,0)="","(بدون نام)",VLOOKUP($B42,AcctTbl,4,0)),"—"))</f>
        <v/>
      </c>
      <c r="D42" s="23">
        <f>IF($B42="","",SUMIF(CalcPartyA,$B42,CalcQtyA))</f>
        <v/>
      </c>
      <c r="E42" s="23">
        <f>IF($B42="","",SUMIF(CalcPartyA,$B42,CalcAmtA))</f>
        <v/>
      </c>
      <c r="F42" s="23">
        <f>IF($B42="","",SUMIF(CalcPartyB,$B42,CalcWitB))</f>
        <v/>
      </c>
      <c r="G42" s="23">
        <f>IF($B42="","",SUMIF(CalcPartyB,$B42,CalcDepB))</f>
        <v/>
      </c>
      <c r="H42" s="24">
        <f>IF($B42="","",$E42-$F42+$G42)</f>
        <v/>
      </c>
      <c r="I42" s="22">
        <f>IF($B42="","",IF(ROUND($H42,0)&gt;0,"● بستانکار",IF(ROUND($H42,0)&lt;0,"● بدهکار","تسویه")))</f>
        <v/>
      </c>
    </row>
    <row r="43">
      <c r="A43" s="26">
        <f>IF($B43="","",34)</f>
        <v/>
      </c>
      <c r="B43" s="33">
        <f>IF(34&gt;NBskParty,"",INDEX(PkBskParty,34))</f>
        <v/>
      </c>
      <c r="C43" s="30">
        <f>IF($B43="","",IFERROR(IF(VLOOKUP($B43,AcctTbl,4,0)="","(بدون نام)",VLOOKUP($B43,AcctTbl,4,0)),"—"))</f>
        <v/>
      </c>
      <c r="D43" s="28">
        <f>IF($B43="","",SUMIF(CalcPartyA,$B43,CalcQtyA))</f>
        <v/>
      </c>
      <c r="E43" s="28">
        <f>IF($B43="","",SUMIF(CalcPartyA,$B43,CalcAmtA))</f>
        <v/>
      </c>
      <c r="F43" s="28">
        <f>IF($B43="","",SUMIF(CalcPartyB,$B43,CalcWitB))</f>
        <v/>
      </c>
      <c r="G43" s="28">
        <f>IF($B43="","",SUMIF(CalcPartyB,$B43,CalcDepB))</f>
        <v/>
      </c>
      <c r="H43" s="29">
        <f>IF($B43="","",$E43-$F43+$G43)</f>
        <v/>
      </c>
      <c r="I43" s="27">
        <f>IF($B43="","",IF(ROUND($H43,0)&gt;0,"● بستانکار",IF(ROUND($H43,0)&lt;0,"● بدهکار","تسویه")))</f>
        <v/>
      </c>
    </row>
    <row r="44">
      <c r="A44" s="21">
        <f>IF($B44="","",35)</f>
        <v/>
      </c>
      <c r="B44" s="32">
        <f>IF(35&gt;NBskParty,"",INDEX(PkBskParty,35))</f>
        <v/>
      </c>
      <c r="C44" s="25">
        <f>IF($B44="","",IFERROR(IF(VLOOKUP($B44,AcctTbl,4,0)="","(بدون نام)",VLOOKUP($B44,AcctTbl,4,0)),"—"))</f>
        <v/>
      </c>
      <c r="D44" s="23">
        <f>IF($B44="","",SUMIF(CalcPartyA,$B44,CalcQtyA))</f>
        <v/>
      </c>
      <c r="E44" s="23">
        <f>IF($B44="","",SUMIF(CalcPartyA,$B44,CalcAmtA))</f>
        <v/>
      </c>
      <c r="F44" s="23">
        <f>IF($B44="","",SUMIF(CalcPartyB,$B44,CalcWitB))</f>
        <v/>
      </c>
      <c r="G44" s="23">
        <f>IF($B44="","",SUMIF(CalcPartyB,$B44,CalcDepB))</f>
        <v/>
      </c>
      <c r="H44" s="24">
        <f>IF($B44="","",$E44-$F44+$G44)</f>
        <v/>
      </c>
      <c r="I44" s="22">
        <f>IF($B44="","",IF(ROUND($H44,0)&gt;0,"● بستانکار",IF(ROUND($H44,0)&lt;0,"● بدهکار","تسویه")))</f>
        <v/>
      </c>
    </row>
    <row r="45">
      <c r="A45" s="26">
        <f>IF($B45="","",36)</f>
        <v/>
      </c>
      <c r="B45" s="33">
        <f>IF(36&gt;NBskParty,"",INDEX(PkBskParty,36))</f>
        <v/>
      </c>
      <c r="C45" s="30">
        <f>IF($B45="","",IFERROR(IF(VLOOKUP($B45,AcctTbl,4,0)="","(بدون نام)",VLOOKUP($B45,AcctTbl,4,0)),"—"))</f>
        <v/>
      </c>
      <c r="D45" s="28">
        <f>IF($B45="","",SUMIF(CalcPartyA,$B45,CalcQtyA))</f>
        <v/>
      </c>
      <c r="E45" s="28">
        <f>IF($B45="","",SUMIF(CalcPartyA,$B45,CalcAmtA))</f>
        <v/>
      </c>
      <c r="F45" s="28">
        <f>IF($B45="","",SUMIF(CalcPartyB,$B45,CalcWitB))</f>
        <v/>
      </c>
      <c r="G45" s="28">
        <f>IF($B45="","",SUMIF(CalcPartyB,$B45,CalcDepB))</f>
        <v/>
      </c>
      <c r="H45" s="29">
        <f>IF($B45="","",$E45-$F45+$G45)</f>
        <v/>
      </c>
      <c r="I45" s="27">
        <f>IF($B45="","",IF(ROUND($H45,0)&gt;0,"● بستانکار",IF(ROUND($H45,0)&lt;0,"● بدهکار","تسویه")))</f>
        <v/>
      </c>
    </row>
    <row r="46">
      <c r="A46" s="21">
        <f>IF($B46="","",37)</f>
        <v/>
      </c>
      <c r="B46" s="32">
        <f>IF(37&gt;NBskParty,"",INDEX(PkBskParty,37))</f>
        <v/>
      </c>
      <c r="C46" s="25">
        <f>IF($B46="","",IFERROR(IF(VLOOKUP($B46,AcctTbl,4,0)="","(بدون نام)",VLOOKUP($B46,AcctTbl,4,0)),"—"))</f>
        <v/>
      </c>
      <c r="D46" s="23">
        <f>IF($B46="","",SUMIF(CalcPartyA,$B46,CalcQtyA))</f>
        <v/>
      </c>
      <c r="E46" s="23">
        <f>IF($B46="","",SUMIF(CalcPartyA,$B46,CalcAmtA))</f>
        <v/>
      </c>
      <c r="F46" s="23">
        <f>IF($B46="","",SUMIF(CalcPartyB,$B46,CalcWitB))</f>
        <v/>
      </c>
      <c r="G46" s="23">
        <f>IF($B46="","",SUMIF(CalcPartyB,$B46,CalcDepB))</f>
        <v/>
      </c>
      <c r="H46" s="24">
        <f>IF($B46="","",$E46-$F46+$G46)</f>
        <v/>
      </c>
      <c r="I46" s="22">
        <f>IF($B46="","",IF(ROUND($H46,0)&gt;0,"● بستانکار",IF(ROUND($H46,0)&lt;0,"● بدهکار","تسویه")))</f>
        <v/>
      </c>
    </row>
    <row r="47">
      <c r="A47" s="26">
        <f>IF($B47="","",38)</f>
        <v/>
      </c>
      <c r="B47" s="33">
        <f>IF(38&gt;NBskParty,"",INDEX(PkBskParty,38))</f>
        <v/>
      </c>
      <c r="C47" s="30">
        <f>IF($B47="","",IFERROR(IF(VLOOKUP($B47,AcctTbl,4,0)="","(بدون نام)",VLOOKUP($B47,AcctTbl,4,0)),"—"))</f>
        <v/>
      </c>
      <c r="D47" s="28">
        <f>IF($B47="","",SUMIF(CalcPartyA,$B47,CalcQtyA))</f>
        <v/>
      </c>
      <c r="E47" s="28">
        <f>IF($B47="","",SUMIF(CalcPartyA,$B47,CalcAmtA))</f>
        <v/>
      </c>
      <c r="F47" s="28">
        <f>IF($B47="","",SUMIF(CalcPartyB,$B47,CalcWitB))</f>
        <v/>
      </c>
      <c r="G47" s="28">
        <f>IF($B47="","",SUMIF(CalcPartyB,$B47,CalcDepB))</f>
        <v/>
      </c>
      <c r="H47" s="29">
        <f>IF($B47="","",$E47-$F47+$G47)</f>
        <v/>
      </c>
      <c r="I47" s="27">
        <f>IF($B47="","",IF(ROUND($H47,0)&gt;0,"● بستانکار",IF(ROUND($H47,0)&lt;0,"● بدهکار","تسویه")))</f>
        <v/>
      </c>
    </row>
    <row r="48">
      <c r="A48" s="21">
        <f>IF($B48="","",39)</f>
        <v/>
      </c>
      <c r="B48" s="32">
        <f>IF(39&gt;NBskParty,"",INDEX(PkBskParty,39))</f>
        <v/>
      </c>
      <c r="C48" s="25">
        <f>IF($B48="","",IFERROR(IF(VLOOKUP($B48,AcctTbl,4,0)="","(بدون نام)",VLOOKUP($B48,AcctTbl,4,0)),"—"))</f>
        <v/>
      </c>
      <c r="D48" s="23">
        <f>IF($B48="","",SUMIF(CalcPartyA,$B48,CalcQtyA))</f>
        <v/>
      </c>
      <c r="E48" s="23">
        <f>IF($B48="","",SUMIF(CalcPartyA,$B48,CalcAmtA))</f>
        <v/>
      </c>
      <c r="F48" s="23">
        <f>IF($B48="","",SUMIF(CalcPartyB,$B48,CalcWitB))</f>
        <v/>
      </c>
      <c r="G48" s="23">
        <f>IF($B48="","",SUMIF(CalcPartyB,$B48,CalcDepB))</f>
        <v/>
      </c>
      <c r="H48" s="24">
        <f>IF($B48="","",$E48-$F48+$G48)</f>
        <v/>
      </c>
      <c r="I48" s="22">
        <f>IF($B48="","",IF(ROUND($H48,0)&gt;0,"● بستانکار",IF(ROUND($H48,0)&lt;0,"● بدهکار","تسویه")))</f>
        <v/>
      </c>
    </row>
    <row r="49">
      <c r="A49" s="26">
        <f>IF($B49="","",40)</f>
        <v/>
      </c>
      <c r="B49" s="33">
        <f>IF(40&gt;NBskParty,"",INDEX(PkBskParty,40))</f>
        <v/>
      </c>
      <c r="C49" s="30">
        <f>IF($B49="","",IFERROR(IF(VLOOKUP($B49,AcctTbl,4,0)="","(بدون نام)",VLOOKUP($B49,AcctTbl,4,0)),"—"))</f>
        <v/>
      </c>
      <c r="D49" s="28">
        <f>IF($B49="","",SUMIF(CalcPartyA,$B49,CalcQtyA))</f>
        <v/>
      </c>
      <c r="E49" s="28">
        <f>IF($B49="","",SUMIF(CalcPartyA,$B49,CalcAmtA))</f>
        <v/>
      </c>
      <c r="F49" s="28">
        <f>IF($B49="","",SUMIF(CalcPartyB,$B49,CalcWitB))</f>
        <v/>
      </c>
      <c r="G49" s="28">
        <f>IF($B49="","",SUMIF(CalcPartyB,$B49,CalcDepB))</f>
        <v/>
      </c>
      <c r="H49" s="29">
        <f>IF($B49="","",$E49-$F49+$G49)</f>
        <v/>
      </c>
      <c r="I49" s="27">
        <f>IF($B49="","",IF(ROUND($H49,0)&gt;0,"● بستانکار",IF(ROUND($H49,0)&lt;0,"● بدهکار","تسویه")))</f>
        <v/>
      </c>
    </row>
    <row r="50">
      <c r="A50" s="21">
        <f>IF($B50="","",41)</f>
        <v/>
      </c>
      <c r="B50" s="32">
        <f>IF(41&gt;NBskParty,"",INDEX(PkBskParty,41))</f>
        <v/>
      </c>
      <c r="C50" s="25">
        <f>IF($B50="","",IFERROR(IF(VLOOKUP($B50,AcctTbl,4,0)="","(بدون نام)",VLOOKUP($B50,AcctTbl,4,0)),"—"))</f>
        <v/>
      </c>
      <c r="D50" s="23">
        <f>IF($B50="","",SUMIF(CalcPartyA,$B50,CalcQtyA))</f>
        <v/>
      </c>
      <c r="E50" s="23">
        <f>IF($B50="","",SUMIF(CalcPartyA,$B50,CalcAmtA))</f>
        <v/>
      </c>
      <c r="F50" s="23">
        <f>IF($B50="","",SUMIF(CalcPartyB,$B50,CalcWitB))</f>
        <v/>
      </c>
      <c r="G50" s="23">
        <f>IF($B50="","",SUMIF(CalcPartyB,$B50,CalcDepB))</f>
        <v/>
      </c>
      <c r="H50" s="24">
        <f>IF($B50="","",$E50-$F50+$G50)</f>
        <v/>
      </c>
      <c r="I50" s="22">
        <f>IF($B50="","",IF(ROUND($H50,0)&gt;0,"● بستانکار",IF(ROUND($H50,0)&lt;0,"● بدهکار","تسویه")))</f>
        <v/>
      </c>
    </row>
    <row r="51">
      <c r="A51" s="26">
        <f>IF($B51="","",42)</f>
        <v/>
      </c>
      <c r="B51" s="33">
        <f>IF(42&gt;NBskParty,"",INDEX(PkBskParty,42))</f>
        <v/>
      </c>
      <c r="C51" s="30">
        <f>IF($B51="","",IFERROR(IF(VLOOKUP($B51,AcctTbl,4,0)="","(بدون نام)",VLOOKUP($B51,AcctTbl,4,0)),"—"))</f>
        <v/>
      </c>
      <c r="D51" s="28">
        <f>IF($B51="","",SUMIF(CalcPartyA,$B51,CalcQtyA))</f>
        <v/>
      </c>
      <c r="E51" s="28">
        <f>IF($B51="","",SUMIF(CalcPartyA,$B51,CalcAmtA))</f>
        <v/>
      </c>
      <c r="F51" s="28">
        <f>IF($B51="","",SUMIF(CalcPartyB,$B51,CalcWitB))</f>
        <v/>
      </c>
      <c r="G51" s="28">
        <f>IF($B51="","",SUMIF(CalcPartyB,$B51,CalcDepB))</f>
        <v/>
      </c>
      <c r="H51" s="29">
        <f>IF($B51="","",$E51-$F51+$G51)</f>
        <v/>
      </c>
      <c r="I51" s="27">
        <f>IF($B51="","",IF(ROUND($H51,0)&gt;0,"● بستانکار",IF(ROUND($H51,0)&lt;0,"● بدهکار","تسویه")))</f>
        <v/>
      </c>
    </row>
    <row r="52">
      <c r="A52" s="21">
        <f>IF($B52="","",43)</f>
        <v/>
      </c>
      <c r="B52" s="32">
        <f>IF(43&gt;NBskParty,"",INDEX(PkBskParty,43))</f>
        <v/>
      </c>
      <c r="C52" s="25">
        <f>IF($B52="","",IFERROR(IF(VLOOKUP($B52,AcctTbl,4,0)="","(بدون نام)",VLOOKUP($B52,AcctTbl,4,0)),"—"))</f>
        <v/>
      </c>
      <c r="D52" s="23">
        <f>IF($B52="","",SUMIF(CalcPartyA,$B52,CalcQtyA))</f>
        <v/>
      </c>
      <c r="E52" s="23">
        <f>IF($B52="","",SUMIF(CalcPartyA,$B52,CalcAmtA))</f>
        <v/>
      </c>
      <c r="F52" s="23">
        <f>IF($B52="","",SUMIF(CalcPartyB,$B52,CalcWitB))</f>
        <v/>
      </c>
      <c r="G52" s="23">
        <f>IF($B52="","",SUMIF(CalcPartyB,$B52,CalcDepB))</f>
        <v/>
      </c>
      <c r="H52" s="24">
        <f>IF($B52="","",$E52-$F52+$G52)</f>
        <v/>
      </c>
      <c r="I52" s="22">
        <f>IF($B52="","",IF(ROUND($H52,0)&gt;0,"● بستانکار",IF(ROUND($H52,0)&lt;0,"● بدهکار","تسویه")))</f>
        <v/>
      </c>
    </row>
    <row r="53">
      <c r="A53" s="26">
        <f>IF($B53="","",44)</f>
        <v/>
      </c>
      <c r="B53" s="33">
        <f>IF(44&gt;NBskParty,"",INDEX(PkBskParty,44))</f>
        <v/>
      </c>
      <c r="C53" s="30">
        <f>IF($B53="","",IFERROR(IF(VLOOKUP($B53,AcctTbl,4,0)="","(بدون نام)",VLOOKUP($B53,AcctTbl,4,0)),"—"))</f>
        <v/>
      </c>
      <c r="D53" s="28">
        <f>IF($B53="","",SUMIF(CalcPartyA,$B53,CalcQtyA))</f>
        <v/>
      </c>
      <c r="E53" s="28">
        <f>IF($B53="","",SUMIF(CalcPartyA,$B53,CalcAmtA))</f>
        <v/>
      </c>
      <c r="F53" s="28">
        <f>IF($B53="","",SUMIF(CalcPartyB,$B53,CalcWitB))</f>
        <v/>
      </c>
      <c r="G53" s="28">
        <f>IF($B53="","",SUMIF(CalcPartyB,$B53,CalcDepB))</f>
        <v/>
      </c>
      <c r="H53" s="29">
        <f>IF($B53="","",$E53-$F53+$G53)</f>
        <v/>
      </c>
      <c r="I53" s="27">
        <f>IF($B53="","",IF(ROUND($H53,0)&gt;0,"● بستانکار",IF(ROUND($H53,0)&lt;0,"● بدهکار","تسویه")))</f>
        <v/>
      </c>
    </row>
    <row r="54">
      <c r="A54" s="21">
        <f>IF($B54="","",45)</f>
        <v/>
      </c>
      <c r="B54" s="32">
        <f>IF(45&gt;NBskParty,"",INDEX(PkBskParty,45))</f>
        <v/>
      </c>
      <c r="C54" s="25">
        <f>IF($B54="","",IFERROR(IF(VLOOKUP($B54,AcctTbl,4,0)="","(بدون نام)",VLOOKUP($B54,AcctTbl,4,0)),"—"))</f>
        <v/>
      </c>
      <c r="D54" s="23">
        <f>IF($B54="","",SUMIF(CalcPartyA,$B54,CalcQtyA))</f>
        <v/>
      </c>
      <c r="E54" s="23">
        <f>IF($B54="","",SUMIF(CalcPartyA,$B54,CalcAmtA))</f>
        <v/>
      </c>
      <c r="F54" s="23">
        <f>IF($B54="","",SUMIF(CalcPartyB,$B54,CalcWitB))</f>
        <v/>
      </c>
      <c r="G54" s="23">
        <f>IF($B54="","",SUMIF(CalcPartyB,$B54,CalcDepB))</f>
        <v/>
      </c>
      <c r="H54" s="24">
        <f>IF($B54="","",$E54-$F54+$G54)</f>
        <v/>
      </c>
      <c r="I54" s="22">
        <f>IF($B54="","",IF(ROUND($H54,0)&gt;0,"● بستانکار",IF(ROUND($H54,0)&lt;0,"● بدهکار","تسویه")))</f>
        <v/>
      </c>
    </row>
    <row r="55">
      <c r="A55" s="26">
        <f>IF($B55="","",46)</f>
        <v/>
      </c>
      <c r="B55" s="33">
        <f>IF(46&gt;NBskParty,"",INDEX(PkBskParty,46))</f>
        <v/>
      </c>
      <c r="C55" s="30">
        <f>IF($B55="","",IFERROR(IF(VLOOKUP($B55,AcctTbl,4,0)="","(بدون نام)",VLOOKUP($B55,AcctTbl,4,0)),"—"))</f>
        <v/>
      </c>
      <c r="D55" s="28">
        <f>IF($B55="","",SUMIF(CalcPartyA,$B55,CalcQtyA))</f>
        <v/>
      </c>
      <c r="E55" s="28">
        <f>IF($B55="","",SUMIF(CalcPartyA,$B55,CalcAmtA))</f>
        <v/>
      </c>
      <c r="F55" s="28">
        <f>IF($B55="","",SUMIF(CalcPartyB,$B55,CalcWitB))</f>
        <v/>
      </c>
      <c r="G55" s="28">
        <f>IF($B55="","",SUMIF(CalcPartyB,$B55,CalcDepB))</f>
        <v/>
      </c>
      <c r="H55" s="29">
        <f>IF($B55="","",$E55-$F55+$G55)</f>
        <v/>
      </c>
      <c r="I55" s="27">
        <f>IF($B55="","",IF(ROUND($H55,0)&gt;0,"● بستانکار",IF(ROUND($H55,0)&lt;0,"● بدهکار","تسویه")))</f>
        <v/>
      </c>
    </row>
    <row r="56">
      <c r="A56" s="21">
        <f>IF($B56="","",47)</f>
        <v/>
      </c>
      <c r="B56" s="32">
        <f>IF(47&gt;NBskParty,"",INDEX(PkBskParty,47))</f>
        <v/>
      </c>
      <c r="C56" s="25">
        <f>IF($B56="","",IFERROR(IF(VLOOKUP($B56,AcctTbl,4,0)="","(بدون نام)",VLOOKUP($B56,AcctTbl,4,0)),"—"))</f>
        <v/>
      </c>
      <c r="D56" s="23">
        <f>IF($B56="","",SUMIF(CalcPartyA,$B56,CalcQtyA))</f>
        <v/>
      </c>
      <c r="E56" s="23">
        <f>IF($B56="","",SUMIF(CalcPartyA,$B56,CalcAmtA))</f>
        <v/>
      </c>
      <c r="F56" s="23">
        <f>IF($B56="","",SUMIF(CalcPartyB,$B56,CalcWitB))</f>
        <v/>
      </c>
      <c r="G56" s="23">
        <f>IF($B56="","",SUMIF(CalcPartyB,$B56,CalcDepB))</f>
        <v/>
      </c>
      <c r="H56" s="24">
        <f>IF($B56="","",$E56-$F56+$G56)</f>
        <v/>
      </c>
      <c r="I56" s="22">
        <f>IF($B56="","",IF(ROUND($H56,0)&gt;0,"● بستانکار",IF(ROUND($H56,0)&lt;0,"● بدهکار","تسویه")))</f>
        <v/>
      </c>
    </row>
    <row r="57">
      <c r="A57" s="26">
        <f>IF($B57="","",48)</f>
        <v/>
      </c>
      <c r="B57" s="33">
        <f>IF(48&gt;NBskParty,"",INDEX(PkBskParty,48))</f>
        <v/>
      </c>
      <c r="C57" s="30">
        <f>IF($B57="","",IFERROR(IF(VLOOKUP($B57,AcctTbl,4,0)="","(بدون نام)",VLOOKUP($B57,AcctTbl,4,0)),"—"))</f>
        <v/>
      </c>
      <c r="D57" s="28">
        <f>IF($B57="","",SUMIF(CalcPartyA,$B57,CalcQtyA))</f>
        <v/>
      </c>
      <c r="E57" s="28">
        <f>IF($B57="","",SUMIF(CalcPartyA,$B57,CalcAmtA))</f>
        <v/>
      </c>
      <c r="F57" s="28">
        <f>IF($B57="","",SUMIF(CalcPartyB,$B57,CalcWitB))</f>
        <v/>
      </c>
      <c r="G57" s="28">
        <f>IF($B57="","",SUMIF(CalcPartyB,$B57,CalcDepB))</f>
        <v/>
      </c>
      <c r="H57" s="29">
        <f>IF($B57="","",$E57-$F57+$G57)</f>
        <v/>
      </c>
      <c r="I57" s="27">
        <f>IF($B57="","",IF(ROUND($H57,0)&gt;0,"● بستانکار",IF(ROUND($H57,0)&lt;0,"● بدهکار","تسویه")))</f>
        <v/>
      </c>
    </row>
    <row r="58">
      <c r="A58" s="21">
        <f>IF($B58="","",49)</f>
        <v/>
      </c>
      <c r="B58" s="32">
        <f>IF(49&gt;NBskParty,"",INDEX(PkBskParty,49))</f>
        <v/>
      </c>
      <c r="C58" s="25">
        <f>IF($B58="","",IFERROR(IF(VLOOKUP($B58,AcctTbl,4,0)="","(بدون نام)",VLOOKUP($B58,AcctTbl,4,0)),"—"))</f>
        <v/>
      </c>
      <c r="D58" s="23">
        <f>IF($B58="","",SUMIF(CalcPartyA,$B58,CalcQtyA))</f>
        <v/>
      </c>
      <c r="E58" s="23">
        <f>IF($B58="","",SUMIF(CalcPartyA,$B58,CalcAmtA))</f>
        <v/>
      </c>
      <c r="F58" s="23">
        <f>IF($B58="","",SUMIF(CalcPartyB,$B58,CalcWitB))</f>
        <v/>
      </c>
      <c r="G58" s="23">
        <f>IF($B58="","",SUMIF(CalcPartyB,$B58,CalcDepB))</f>
        <v/>
      </c>
      <c r="H58" s="24">
        <f>IF($B58="","",$E58-$F58+$G58)</f>
        <v/>
      </c>
      <c r="I58" s="22">
        <f>IF($B58="","",IF(ROUND($H58,0)&gt;0,"● بستانکار",IF(ROUND($H58,0)&lt;0,"● بدهکار","تسویه")))</f>
        <v/>
      </c>
    </row>
    <row r="59">
      <c r="A59" s="26">
        <f>IF($B59="","",50)</f>
        <v/>
      </c>
      <c r="B59" s="33">
        <f>IF(50&gt;NBskParty,"",INDEX(PkBskParty,50))</f>
        <v/>
      </c>
      <c r="C59" s="30">
        <f>IF($B59="","",IFERROR(IF(VLOOKUP($B59,AcctTbl,4,0)="","(بدون نام)",VLOOKUP($B59,AcctTbl,4,0)),"—"))</f>
        <v/>
      </c>
      <c r="D59" s="28">
        <f>IF($B59="","",SUMIF(CalcPartyA,$B59,CalcQtyA))</f>
        <v/>
      </c>
      <c r="E59" s="28">
        <f>IF($B59="","",SUMIF(CalcPartyA,$B59,CalcAmtA))</f>
        <v/>
      </c>
      <c r="F59" s="28">
        <f>IF($B59="","",SUMIF(CalcPartyB,$B59,CalcWitB))</f>
        <v/>
      </c>
      <c r="G59" s="28">
        <f>IF($B59="","",SUMIF(CalcPartyB,$B59,CalcDepB))</f>
        <v/>
      </c>
      <c r="H59" s="29">
        <f>IF($B59="","",$E59-$F59+$G59)</f>
        <v/>
      </c>
      <c r="I59" s="27">
        <f>IF($B59="","",IF(ROUND($H59,0)&gt;0,"● بستانکار",IF(ROUND($H59,0)&lt;0,"● بدهکار","تسویه")))</f>
        <v/>
      </c>
    </row>
    <row r="60">
      <c r="A60" s="21">
        <f>IF($B60="","",51)</f>
        <v/>
      </c>
      <c r="B60" s="32">
        <f>IF(51&gt;NBskParty,"",INDEX(PkBskParty,51))</f>
        <v/>
      </c>
      <c r="C60" s="25">
        <f>IF($B60="","",IFERROR(IF(VLOOKUP($B60,AcctTbl,4,0)="","(بدون نام)",VLOOKUP($B60,AcctTbl,4,0)),"—"))</f>
        <v/>
      </c>
      <c r="D60" s="23">
        <f>IF($B60="","",SUMIF(CalcPartyA,$B60,CalcQtyA))</f>
        <v/>
      </c>
      <c r="E60" s="23">
        <f>IF($B60="","",SUMIF(CalcPartyA,$B60,CalcAmtA))</f>
        <v/>
      </c>
      <c r="F60" s="23">
        <f>IF($B60="","",SUMIF(CalcPartyB,$B60,CalcWitB))</f>
        <v/>
      </c>
      <c r="G60" s="23">
        <f>IF($B60="","",SUMIF(CalcPartyB,$B60,CalcDepB))</f>
        <v/>
      </c>
      <c r="H60" s="24">
        <f>IF($B60="","",$E60-$F60+$G60)</f>
        <v/>
      </c>
      <c r="I60" s="22">
        <f>IF($B60="","",IF(ROUND($H60,0)&gt;0,"● بستانکار",IF(ROUND($H60,0)&lt;0,"● بدهکار","تسویه")))</f>
        <v/>
      </c>
    </row>
    <row r="61">
      <c r="A61" s="26">
        <f>IF($B61="","",52)</f>
        <v/>
      </c>
      <c r="B61" s="33">
        <f>IF(52&gt;NBskParty,"",INDEX(PkBskParty,52))</f>
        <v/>
      </c>
      <c r="C61" s="30">
        <f>IF($B61="","",IFERROR(IF(VLOOKUP($B61,AcctTbl,4,0)="","(بدون نام)",VLOOKUP($B61,AcctTbl,4,0)),"—"))</f>
        <v/>
      </c>
      <c r="D61" s="28">
        <f>IF($B61="","",SUMIF(CalcPartyA,$B61,CalcQtyA))</f>
        <v/>
      </c>
      <c r="E61" s="28">
        <f>IF($B61="","",SUMIF(CalcPartyA,$B61,CalcAmtA))</f>
        <v/>
      </c>
      <c r="F61" s="28">
        <f>IF($B61="","",SUMIF(CalcPartyB,$B61,CalcWitB))</f>
        <v/>
      </c>
      <c r="G61" s="28">
        <f>IF($B61="","",SUMIF(CalcPartyB,$B61,CalcDepB))</f>
        <v/>
      </c>
      <c r="H61" s="29">
        <f>IF($B61="","",$E61-$F61+$G61)</f>
        <v/>
      </c>
      <c r="I61" s="27">
        <f>IF($B61="","",IF(ROUND($H61,0)&gt;0,"● بستانکار",IF(ROUND($H61,0)&lt;0,"● بدهکار","تسویه")))</f>
        <v/>
      </c>
    </row>
    <row r="62">
      <c r="A62" s="21">
        <f>IF($B62="","",53)</f>
        <v/>
      </c>
      <c r="B62" s="32">
        <f>IF(53&gt;NBskParty,"",INDEX(PkBskParty,53))</f>
        <v/>
      </c>
      <c r="C62" s="25">
        <f>IF($B62="","",IFERROR(IF(VLOOKUP($B62,AcctTbl,4,0)="","(بدون نام)",VLOOKUP($B62,AcctTbl,4,0)),"—"))</f>
        <v/>
      </c>
      <c r="D62" s="23">
        <f>IF($B62="","",SUMIF(CalcPartyA,$B62,CalcQtyA))</f>
        <v/>
      </c>
      <c r="E62" s="23">
        <f>IF($B62="","",SUMIF(CalcPartyA,$B62,CalcAmtA))</f>
        <v/>
      </c>
      <c r="F62" s="23">
        <f>IF($B62="","",SUMIF(CalcPartyB,$B62,CalcWitB))</f>
        <v/>
      </c>
      <c r="G62" s="23">
        <f>IF($B62="","",SUMIF(CalcPartyB,$B62,CalcDepB))</f>
        <v/>
      </c>
      <c r="H62" s="24">
        <f>IF($B62="","",$E62-$F62+$G62)</f>
        <v/>
      </c>
      <c r="I62" s="22">
        <f>IF($B62="","",IF(ROUND($H62,0)&gt;0,"● بستانکار",IF(ROUND($H62,0)&lt;0,"● بدهکار","تسویه")))</f>
        <v/>
      </c>
    </row>
    <row r="63">
      <c r="A63" s="26">
        <f>IF($B63="","",54)</f>
        <v/>
      </c>
      <c r="B63" s="33">
        <f>IF(54&gt;NBskParty,"",INDEX(PkBskParty,54))</f>
        <v/>
      </c>
      <c r="C63" s="30">
        <f>IF($B63="","",IFERROR(IF(VLOOKUP($B63,AcctTbl,4,0)="","(بدون نام)",VLOOKUP($B63,AcctTbl,4,0)),"—"))</f>
        <v/>
      </c>
      <c r="D63" s="28">
        <f>IF($B63="","",SUMIF(CalcPartyA,$B63,CalcQtyA))</f>
        <v/>
      </c>
      <c r="E63" s="28">
        <f>IF($B63="","",SUMIF(CalcPartyA,$B63,CalcAmtA))</f>
        <v/>
      </c>
      <c r="F63" s="28">
        <f>IF($B63="","",SUMIF(CalcPartyB,$B63,CalcWitB))</f>
        <v/>
      </c>
      <c r="G63" s="28">
        <f>IF($B63="","",SUMIF(CalcPartyB,$B63,CalcDepB))</f>
        <v/>
      </c>
      <c r="H63" s="29">
        <f>IF($B63="","",$E63-$F63+$G63)</f>
        <v/>
      </c>
      <c r="I63" s="27">
        <f>IF($B63="","",IF(ROUND($H63,0)&gt;0,"● بستانکار",IF(ROUND($H63,0)&lt;0,"● بدهکار","تسویه")))</f>
        <v/>
      </c>
    </row>
    <row r="64">
      <c r="A64" s="21">
        <f>IF($B64="","",55)</f>
        <v/>
      </c>
      <c r="B64" s="32">
        <f>IF(55&gt;NBskParty,"",INDEX(PkBskParty,55))</f>
        <v/>
      </c>
      <c r="C64" s="25">
        <f>IF($B64="","",IFERROR(IF(VLOOKUP($B64,AcctTbl,4,0)="","(بدون نام)",VLOOKUP($B64,AcctTbl,4,0)),"—"))</f>
        <v/>
      </c>
      <c r="D64" s="23">
        <f>IF($B64="","",SUMIF(CalcPartyA,$B64,CalcQtyA))</f>
        <v/>
      </c>
      <c r="E64" s="23">
        <f>IF($B64="","",SUMIF(CalcPartyA,$B64,CalcAmtA))</f>
        <v/>
      </c>
      <c r="F64" s="23">
        <f>IF($B64="","",SUMIF(CalcPartyB,$B64,CalcWitB))</f>
        <v/>
      </c>
      <c r="G64" s="23">
        <f>IF($B64="","",SUMIF(CalcPartyB,$B64,CalcDepB))</f>
        <v/>
      </c>
      <c r="H64" s="24">
        <f>IF($B64="","",$E64-$F64+$G64)</f>
        <v/>
      </c>
      <c r="I64" s="22">
        <f>IF($B64="","",IF(ROUND($H64,0)&gt;0,"● بستانکار",IF(ROUND($H64,0)&lt;0,"● بدهکار","تسویه")))</f>
        <v/>
      </c>
    </row>
    <row r="65">
      <c r="A65" s="26">
        <f>IF($B65="","",56)</f>
        <v/>
      </c>
      <c r="B65" s="33">
        <f>IF(56&gt;NBskParty,"",INDEX(PkBskParty,56))</f>
        <v/>
      </c>
      <c r="C65" s="30">
        <f>IF($B65="","",IFERROR(IF(VLOOKUP($B65,AcctTbl,4,0)="","(بدون نام)",VLOOKUP($B65,AcctTbl,4,0)),"—"))</f>
        <v/>
      </c>
      <c r="D65" s="28">
        <f>IF($B65="","",SUMIF(CalcPartyA,$B65,CalcQtyA))</f>
        <v/>
      </c>
      <c r="E65" s="28">
        <f>IF($B65="","",SUMIF(CalcPartyA,$B65,CalcAmtA))</f>
        <v/>
      </c>
      <c r="F65" s="28">
        <f>IF($B65="","",SUMIF(CalcPartyB,$B65,CalcWitB))</f>
        <v/>
      </c>
      <c r="G65" s="28">
        <f>IF($B65="","",SUMIF(CalcPartyB,$B65,CalcDepB))</f>
        <v/>
      </c>
      <c r="H65" s="29">
        <f>IF($B65="","",$E65-$F65+$G65)</f>
        <v/>
      </c>
      <c r="I65" s="27">
        <f>IF($B65="","",IF(ROUND($H65,0)&gt;0,"● بستانکار",IF(ROUND($H65,0)&lt;0,"● بدهکار","تسویه")))</f>
        <v/>
      </c>
    </row>
    <row r="66">
      <c r="A66" s="21">
        <f>IF($B66="","",57)</f>
        <v/>
      </c>
      <c r="B66" s="32">
        <f>IF(57&gt;NBskParty,"",INDEX(PkBskParty,57))</f>
        <v/>
      </c>
      <c r="C66" s="25">
        <f>IF($B66="","",IFERROR(IF(VLOOKUP($B66,AcctTbl,4,0)="","(بدون نام)",VLOOKUP($B66,AcctTbl,4,0)),"—"))</f>
        <v/>
      </c>
      <c r="D66" s="23">
        <f>IF($B66="","",SUMIF(CalcPartyA,$B66,CalcQtyA))</f>
        <v/>
      </c>
      <c r="E66" s="23">
        <f>IF($B66="","",SUMIF(CalcPartyA,$B66,CalcAmtA))</f>
        <v/>
      </c>
      <c r="F66" s="23">
        <f>IF($B66="","",SUMIF(CalcPartyB,$B66,CalcWitB))</f>
        <v/>
      </c>
      <c r="G66" s="23">
        <f>IF($B66="","",SUMIF(CalcPartyB,$B66,CalcDepB))</f>
        <v/>
      </c>
      <c r="H66" s="24">
        <f>IF($B66="","",$E66-$F66+$G66)</f>
        <v/>
      </c>
      <c r="I66" s="22">
        <f>IF($B66="","",IF(ROUND($H66,0)&gt;0,"● بستانکار",IF(ROUND($H66,0)&lt;0,"● بدهکار","تسویه")))</f>
        <v/>
      </c>
    </row>
    <row r="67">
      <c r="A67" s="26">
        <f>IF($B67="","",58)</f>
        <v/>
      </c>
      <c r="B67" s="33">
        <f>IF(58&gt;NBskParty,"",INDEX(PkBskParty,58))</f>
        <v/>
      </c>
      <c r="C67" s="30">
        <f>IF($B67="","",IFERROR(IF(VLOOKUP($B67,AcctTbl,4,0)="","(بدون نام)",VLOOKUP($B67,AcctTbl,4,0)),"—"))</f>
        <v/>
      </c>
      <c r="D67" s="28">
        <f>IF($B67="","",SUMIF(CalcPartyA,$B67,CalcQtyA))</f>
        <v/>
      </c>
      <c r="E67" s="28">
        <f>IF($B67="","",SUMIF(CalcPartyA,$B67,CalcAmtA))</f>
        <v/>
      </c>
      <c r="F67" s="28">
        <f>IF($B67="","",SUMIF(CalcPartyB,$B67,CalcWitB))</f>
        <v/>
      </c>
      <c r="G67" s="28">
        <f>IF($B67="","",SUMIF(CalcPartyB,$B67,CalcDepB))</f>
        <v/>
      </c>
      <c r="H67" s="29">
        <f>IF($B67="","",$E67-$F67+$G67)</f>
        <v/>
      </c>
      <c r="I67" s="27">
        <f>IF($B67="","",IF(ROUND($H67,0)&gt;0,"● بستانکار",IF(ROUND($H67,0)&lt;0,"● بدهکار","تسویه")))</f>
        <v/>
      </c>
    </row>
    <row r="68">
      <c r="A68" s="21">
        <f>IF($B68="","",59)</f>
        <v/>
      </c>
      <c r="B68" s="32">
        <f>IF(59&gt;NBskParty,"",INDEX(PkBskParty,59))</f>
        <v/>
      </c>
      <c r="C68" s="25">
        <f>IF($B68="","",IFERROR(IF(VLOOKUP($B68,AcctTbl,4,0)="","(بدون نام)",VLOOKUP($B68,AcctTbl,4,0)),"—"))</f>
        <v/>
      </c>
      <c r="D68" s="23">
        <f>IF($B68="","",SUMIF(CalcPartyA,$B68,CalcQtyA))</f>
        <v/>
      </c>
      <c r="E68" s="23">
        <f>IF($B68="","",SUMIF(CalcPartyA,$B68,CalcAmtA))</f>
        <v/>
      </c>
      <c r="F68" s="23">
        <f>IF($B68="","",SUMIF(CalcPartyB,$B68,CalcWitB))</f>
        <v/>
      </c>
      <c r="G68" s="23">
        <f>IF($B68="","",SUMIF(CalcPartyB,$B68,CalcDepB))</f>
        <v/>
      </c>
      <c r="H68" s="24">
        <f>IF($B68="","",$E68-$F68+$G68)</f>
        <v/>
      </c>
      <c r="I68" s="22">
        <f>IF($B68="","",IF(ROUND($H68,0)&gt;0,"● بستانکار",IF(ROUND($H68,0)&lt;0,"● بدهکار","تسویه")))</f>
        <v/>
      </c>
    </row>
    <row r="69">
      <c r="A69" s="26">
        <f>IF($B69="","",60)</f>
        <v/>
      </c>
      <c r="B69" s="33">
        <f>IF(60&gt;NBskParty,"",INDEX(PkBskParty,60))</f>
        <v/>
      </c>
      <c r="C69" s="30">
        <f>IF($B69="","",IFERROR(IF(VLOOKUP($B69,AcctTbl,4,0)="","(بدون نام)",VLOOKUP($B69,AcctTbl,4,0)),"—"))</f>
        <v/>
      </c>
      <c r="D69" s="28">
        <f>IF($B69="","",SUMIF(CalcPartyA,$B69,CalcQtyA))</f>
        <v/>
      </c>
      <c r="E69" s="28">
        <f>IF($B69="","",SUMIF(CalcPartyA,$B69,CalcAmtA))</f>
        <v/>
      </c>
      <c r="F69" s="28">
        <f>IF($B69="","",SUMIF(CalcPartyB,$B69,CalcWitB))</f>
        <v/>
      </c>
      <c r="G69" s="28">
        <f>IF($B69="","",SUMIF(CalcPartyB,$B69,CalcDepB))</f>
        <v/>
      </c>
      <c r="H69" s="29">
        <f>IF($B69="","",$E69-$F69+$G69)</f>
        <v/>
      </c>
      <c r="I69" s="27">
        <f>IF($B69="","",IF(ROUND($H69,0)&gt;0,"● بستانکار",IF(ROUND($H69,0)&lt;0,"● بدهکار","تسویه")))</f>
        <v/>
      </c>
    </row>
    <row r="70">
      <c r="A70" s="21">
        <f>IF($B70="","",61)</f>
        <v/>
      </c>
      <c r="B70" s="32">
        <f>IF(61&gt;NBskParty,"",INDEX(PkBskParty,61))</f>
        <v/>
      </c>
      <c r="C70" s="25">
        <f>IF($B70="","",IFERROR(IF(VLOOKUP($B70,AcctTbl,4,0)="","(بدون نام)",VLOOKUP($B70,AcctTbl,4,0)),"—"))</f>
        <v/>
      </c>
      <c r="D70" s="23">
        <f>IF($B70="","",SUMIF(CalcPartyA,$B70,CalcQtyA))</f>
        <v/>
      </c>
      <c r="E70" s="23">
        <f>IF($B70="","",SUMIF(CalcPartyA,$B70,CalcAmtA))</f>
        <v/>
      </c>
      <c r="F70" s="23">
        <f>IF($B70="","",SUMIF(CalcPartyB,$B70,CalcWitB))</f>
        <v/>
      </c>
      <c r="G70" s="23">
        <f>IF($B70="","",SUMIF(CalcPartyB,$B70,CalcDepB))</f>
        <v/>
      </c>
      <c r="H70" s="24">
        <f>IF($B70="","",$E70-$F70+$G70)</f>
        <v/>
      </c>
      <c r="I70" s="22">
        <f>IF($B70="","",IF(ROUND($H70,0)&gt;0,"● بستانکار",IF(ROUND($H70,0)&lt;0,"● بدهکار","تسویه")))</f>
        <v/>
      </c>
    </row>
    <row r="71">
      <c r="A71" s="26">
        <f>IF($B71="","",62)</f>
        <v/>
      </c>
      <c r="B71" s="33">
        <f>IF(62&gt;NBskParty,"",INDEX(PkBskParty,62))</f>
        <v/>
      </c>
      <c r="C71" s="30">
        <f>IF($B71="","",IFERROR(IF(VLOOKUP($B71,AcctTbl,4,0)="","(بدون نام)",VLOOKUP($B71,AcctTbl,4,0)),"—"))</f>
        <v/>
      </c>
      <c r="D71" s="28">
        <f>IF($B71="","",SUMIF(CalcPartyA,$B71,CalcQtyA))</f>
        <v/>
      </c>
      <c r="E71" s="28">
        <f>IF($B71="","",SUMIF(CalcPartyA,$B71,CalcAmtA))</f>
        <v/>
      </c>
      <c r="F71" s="28">
        <f>IF($B71="","",SUMIF(CalcPartyB,$B71,CalcWitB))</f>
        <v/>
      </c>
      <c r="G71" s="28">
        <f>IF($B71="","",SUMIF(CalcPartyB,$B71,CalcDepB))</f>
        <v/>
      </c>
      <c r="H71" s="29">
        <f>IF($B71="","",$E71-$F71+$G71)</f>
        <v/>
      </c>
      <c r="I71" s="27">
        <f>IF($B71="","",IF(ROUND($H71,0)&gt;0,"● بستانکار",IF(ROUND($H71,0)&lt;0,"● بدهکار","تسویه")))</f>
        <v/>
      </c>
    </row>
    <row r="72">
      <c r="A72" s="21">
        <f>IF($B72="","",63)</f>
        <v/>
      </c>
      <c r="B72" s="32">
        <f>IF(63&gt;NBskParty,"",INDEX(PkBskParty,63))</f>
        <v/>
      </c>
      <c r="C72" s="25">
        <f>IF($B72="","",IFERROR(IF(VLOOKUP($B72,AcctTbl,4,0)="","(بدون نام)",VLOOKUP($B72,AcctTbl,4,0)),"—"))</f>
        <v/>
      </c>
      <c r="D72" s="23">
        <f>IF($B72="","",SUMIF(CalcPartyA,$B72,CalcQtyA))</f>
        <v/>
      </c>
      <c r="E72" s="23">
        <f>IF($B72="","",SUMIF(CalcPartyA,$B72,CalcAmtA))</f>
        <v/>
      </c>
      <c r="F72" s="23">
        <f>IF($B72="","",SUMIF(CalcPartyB,$B72,CalcWitB))</f>
        <v/>
      </c>
      <c r="G72" s="23">
        <f>IF($B72="","",SUMIF(CalcPartyB,$B72,CalcDepB))</f>
        <v/>
      </c>
      <c r="H72" s="24">
        <f>IF($B72="","",$E72-$F72+$G72)</f>
        <v/>
      </c>
      <c r="I72" s="22">
        <f>IF($B72="","",IF(ROUND($H72,0)&gt;0,"● بستانکار",IF(ROUND($H72,0)&lt;0,"● بدهکار","تسویه")))</f>
        <v/>
      </c>
    </row>
    <row r="73">
      <c r="A73" s="26">
        <f>IF($B73="","",64)</f>
        <v/>
      </c>
      <c r="B73" s="33">
        <f>IF(64&gt;NBskParty,"",INDEX(PkBskParty,64))</f>
        <v/>
      </c>
      <c r="C73" s="30">
        <f>IF($B73="","",IFERROR(IF(VLOOKUP($B73,AcctTbl,4,0)="","(بدون نام)",VLOOKUP($B73,AcctTbl,4,0)),"—"))</f>
        <v/>
      </c>
      <c r="D73" s="28">
        <f>IF($B73="","",SUMIF(CalcPartyA,$B73,CalcQtyA))</f>
        <v/>
      </c>
      <c r="E73" s="28">
        <f>IF($B73="","",SUMIF(CalcPartyA,$B73,CalcAmtA))</f>
        <v/>
      </c>
      <c r="F73" s="28">
        <f>IF($B73="","",SUMIF(CalcPartyB,$B73,CalcWitB))</f>
        <v/>
      </c>
      <c r="G73" s="28">
        <f>IF($B73="","",SUMIF(CalcPartyB,$B73,CalcDepB))</f>
        <v/>
      </c>
      <c r="H73" s="29">
        <f>IF($B73="","",$E73-$F73+$G73)</f>
        <v/>
      </c>
      <c r="I73" s="27">
        <f>IF($B73="","",IF(ROUND($H73,0)&gt;0,"● بستانکار",IF(ROUND($H73,0)&lt;0,"● بدهکار","تسویه")))</f>
        <v/>
      </c>
    </row>
    <row r="74">
      <c r="A74" s="21">
        <f>IF($B74="","",65)</f>
        <v/>
      </c>
      <c r="B74" s="32">
        <f>IF(65&gt;NBskParty,"",INDEX(PkBskParty,65))</f>
        <v/>
      </c>
      <c r="C74" s="25">
        <f>IF($B74="","",IFERROR(IF(VLOOKUP($B74,AcctTbl,4,0)="","(بدون نام)",VLOOKUP($B74,AcctTbl,4,0)),"—"))</f>
        <v/>
      </c>
      <c r="D74" s="23">
        <f>IF($B74="","",SUMIF(CalcPartyA,$B74,CalcQtyA))</f>
        <v/>
      </c>
      <c r="E74" s="23">
        <f>IF($B74="","",SUMIF(CalcPartyA,$B74,CalcAmtA))</f>
        <v/>
      </c>
      <c r="F74" s="23">
        <f>IF($B74="","",SUMIF(CalcPartyB,$B74,CalcWitB))</f>
        <v/>
      </c>
      <c r="G74" s="23">
        <f>IF($B74="","",SUMIF(CalcPartyB,$B74,CalcDepB))</f>
        <v/>
      </c>
      <c r="H74" s="24">
        <f>IF($B74="","",$E74-$F74+$G74)</f>
        <v/>
      </c>
      <c r="I74" s="22">
        <f>IF($B74="","",IF(ROUND($H74,0)&gt;0,"● بستانکار",IF(ROUND($H74,0)&lt;0,"● بدهکار","تسویه")))</f>
        <v/>
      </c>
    </row>
    <row r="75">
      <c r="A75" s="26">
        <f>IF($B75="","",66)</f>
        <v/>
      </c>
      <c r="B75" s="33">
        <f>IF(66&gt;NBskParty,"",INDEX(PkBskParty,66))</f>
        <v/>
      </c>
      <c r="C75" s="30">
        <f>IF($B75="","",IFERROR(IF(VLOOKUP($B75,AcctTbl,4,0)="","(بدون نام)",VLOOKUP($B75,AcctTbl,4,0)),"—"))</f>
        <v/>
      </c>
      <c r="D75" s="28">
        <f>IF($B75="","",SUMIF(CalcPartyA,$B75,CalcQtyA))</f>
        <v/>
      </c>
      <c r="E75" s="28">
        <f>IF($B75="","",SUMIF(CalcPartyA,$B75,CalcAmtA))</f>
        <v/>
      </c>
      <c r="F75" s="28">
        <f>IF($B75="","",SUMIF(CalcPartyB,$B75,CalcWitB))</f>
        <v/>
      </c>
      <c r="G75" s="28">
        <f>IF($B75="","",SUMIF(CalcPartyB,$B75,CalcDepB))</f>
        <v/>
      </c>
      <c r="H75" s="29">
        <f>IF($B75="","",$E75-$F75+$G75)</f>
        <v/>
      </c>
      <c r="I75" s="27">
        <f>IF($B75="","",IF(ROUND($H75,0)&gt;0,"● بستانکار",IF(ROUND($H75,0)&lt;0,"● بدهکار","تسویه")))</f>
        <v/>
      </c>
    </row>
    <row r="76">
      <c r="A76" s="21">
        <f>IF($B76="","",67)</f>
        <v/>
      </c>
      <c r="B76" s="32">
        <f>IF(67&gt;NBskParty,"",INDEX(PkBskParty,67))</f>
        <v/>
      </c>
      <c r="C76" s="25">
        <f>IF($B76="","",IFERROR(IF(VLOOKUP($B76,AcctTbl,4,0)="","(بدون نام)",VLOOKUP($B76,AcctTbl,4,0)),"—"))</f>
        <v/>
      </c>
      <c r="D76" s="23">
        <f>IF($B76="","",SUMIF(CalcPartyA,$B76,CalcQtyA))</f>
        <v/>
      </c>
      <c r="E76" s="23">
        <f>IF($B76="","",SUMIF(CalcPartyA,$B76,CalcAmtA))</f>
        <v/>
      </c>
      <c r="F76" s="23">
        <f>IF($B76="","",SUMIF(CalcPartyB,$B76,CalcWitB))</f>
        <v/>
      </c>
      <c r="G76" s="23">
        <f>IF($B76="","",SUMIF(CalcPartyB,$B76,CalcDepB))</f>
        <v/>
      </c>
      <c r="H76" s="24">
        <f>IF($B76="","",$E76-$F76+$G76)</f>
        <v/>
      </c>
      <c r="I76" s="22">
        <f>IF($B76="","",IF(ROUND($H76,0)&gt;0,"● بستانکار",IF(ROUND($H76,0)&lt;0,"● بدهکار","تسویه")))</f>
        <v/>
      </c>
    </row>
    <row r="77">
      <c r="A77" s="26">
        <f>IF($B77="","",68)</f>
        <v/>
      </c>
      <c r="B77" s="33">
        <f>IF(68&gt;NBskParty,"",INDEX(PkBskParty,68))</f>
        <v/>
      </c>
      <c r="C77" s="30">
        <f>IF($B77="","",IFERROR(IF(VLOOKUP($B77,AcctTbl,4,0)="","(بدون نام)",VLOOKUP($B77,AcctTbl,4,0)),"—"))</f>
        <v/>
      </c>
      <c r="D77" s="28">
        <f>IF($B77="","",SUMIF(CalcPartyA,$B77,CalcQtyA))</f>
        <v/>
      </c>
      <c r="E77" s="28">
        <f>IF($B77="","",SUMIF(CalcPartyA,$B77,CalcAmtA))</f>
        <v/>
      </c>
      <c r="F77" s="28">
        <f>IF($B77="","",SUMIF(CalcPartyB,$B77,CalcWitB))</f>
        <v/>
      </c>
      <c r="G77" s="28">
        <f>IF($B77="","",SUMIF(CalcPartyB,$B77,CalcDepB))</f>
        <v/>
      </c>
      <c r="H77" s="29">
        <f>IF($B77="","",$E77-$F77+$G77)</f>
        <v/>
      </c>
      <c r="I77" s="27">
        <f>IF($B77="","",IF(ROUND($H77,0)&gt;0,"● بستانکار",IF(ROUND($H77,0)&lt;0,"● بدهکار","تسویه")))</f>
        <v/>
      </c>
    </row>
    <row r="78">
      <c r="A78" s="21">
        <f>IF($B78="","",69)</f>
        <v/>
      </c>
      <c r="B78" s="32">
        <f>IF(69&gt;NBskParty,"",INDEX(PkBskParty,69))</f>
        <v/>
      </c>
      <c r="C78" s="25">
        <f>IF($B78="","",IFERROR(IF(VLOOKUP($B78,AcctTbl,4,0)="","(بدون نام)",VLOOKUP($B78,AcctTbl,4,0)),"—"))</f>
        <v/>
      </c>
      <c r="D78" s="23">
        <f>IF($B78="","",SUMIF(CalcPartyA,$B78,CalcQtyA))</f>
        <v/>
      </c>
      <c r="E78" s="23">
        <f>IF($B78="","",SUMIF(CalcPartyA,$B78,CalcAmtA))</f>
        <v/>
      </c>
      <c r="F78" s="23">
        <f>IF($B78="","",SUMIF(CalcPartyB,$B78,CalcWitB))</f>
        <v/>
      </c>
      <c r="G78" s="23">
        <f>IF($B78="","",SUMIF(CalcPartyB,$B78,CalcDepB))</f>
        <v/>
      </c>
      <c r="H78" s="24">
        <f>IF($B78="","",$E78-$F78+$G78)</f>
        <v/>
      </c>
      <c r="I78" s="22">
        <f>IF($B78="","",IF(ROUND($H78,0)&gt;0,"● بستانکار",IF(ROUND($H78,0)&lt;0,"● بدهکار","تسویه")))</f>
        <v/>
      </c>
    </row>
    <row r="79">
      <c r="A79" s="26">
        <f>IF($B79="","",70)</f>
        <v/>
      </c>
      <c r="B79" s="33">
        <f>IF(70&gt;NBskParty,"",INDEX(PkBskParty,70))</f>
        <v/>
      </c>
      <c r="C79" s="30">
        <f>IF($B79="","",IFERROR(IF(VLOOKUP($B79,AcctTbl,4,0)="","(بدون نام)",VLOOKUP($B79,AcctTbl,4,0)),"—"))</f>
        <v/>
      </c>
      <c r="D79" s="28">
        <f>IF($B79="","",SUMIF(CalcPartyA,$B79,CalcQtyA))</f>
        <v/>
      </c>
      <c r="E79" s="28">
        <f>IF($B79="","",SUMIF(CalcPartyA,$B79,CalcAmtA))</f>
        <v/>
      </c>
      <c r="F79" s="28">
        <f>IF($B79="","",SUMIF(CalcPartyB,$B79,CalcWitB))</f>
        <v/>
      </c>
      <c r="G79" s="28">
        <f>IF($B79="","",SUMIF(CalcPartyB,$B79,CalcDepB))</f>
        <v/>
      </c>
      <c r="H79" s="29">
        <f>IF($B79="","",$E79-$F79+$G79)</f>
        <v/>
      </c>
      <c r="I79" s="27">
        <f>IF($B79="","",IF(ROUND($H79,0)&gt;0,"● بستانکار",IF(ROUND($H79,0)&lt;0,"● بدهکار","تسویه")))</f>
        <v/>
      </c>
    </row>
    <row r="80">
      <c r="A80" s="21">
        <f>IF($B80="","",71)</f>
        <v/>
      </c>
      <c r="B80" s="32">
        <f>IF(71&gt;NBskParty,"",INDEX(PkBskParty,71))</f>
        <v/>
      </c>
      <c r="C80" s="25">
        <f>IF($B80="","",IFERROR(IF(VLOOKUP($B80,AcctTbl,4,0)="","(بدون نام)",VLOOKUP($B80,AcctTbl,4,0)),"—"))</f>
        <v/>
      </c>
      <c r="D80" s="23">
        <f>IF($B80="","",SUMIF(CalcPartyA,$B80,CalcQtyA))</f>
        <v/>
      </c>
      <c r="E80" s="23">
        <f>IF($B80="","",SUMIF(CalcPartyA,$B80,CalcAmtA))</f>
        <v/>
      </c>
      <c r="F80" s="23">
        <f>IF($B80="","",SUMIF(CalcPartyB,$B80,CalcWitB))</f>
        <v/>
      </c>
      <c r="G80" s="23">
        <f>IF($B80="","",SUMIF(CalcPartyB,$B80,CalcDepB))</f>
        <v/>
      </c>
      <c r="H80" s="24">
        <f>IF($B80="","",$E80-$F80+$G80)</f>
        <v/>
      </c>
      <c r="I80" s="22">
        <f>IF($B80="","",IF(ROUND($H80,0)&gt;0,"● بستانکار",IF(ROUND($H80,0)&lt;0,"● بدهکار","تسویه")))</f>
        <v/>
      </c>
    </row>
    <row r="81">
      <c r="A81" s="26">
        <f>IF($B81="","",72)</f>
        <v/>
      </c>
      <c r="B81" s="33">
        <f>IF(72&gt;NBskParty,"",INDEX(PkBskParty,72))</f>
        <v/>
      </c>
      <c r="C81" s="30">
        <f>IF($B81="","",IFERROR(IF(VLOOKUP($B81,AcctTbl,4,0)="","(بدون نام)",VLOOKUP($B81,AcctTbl,4,0)),"—"))</f>
        <v/>
      </c>
      <c r="D81" s="28">
        <f>IF($B81="","",SUMIF(CalcPartyA,$B81,CalcQtyA))</f>
        <v/>
      </c>
      <c r="E81" s="28">
        <f>IF($B81="","",SUMIF(CalcPartyA,$B81,CalcAmtA))</f>
        <v/>
      </c>
      <c r="F81" s="28">
        <f>IF($B81="","",SUMIF(CalcPartyB,$B81,CalcWitB))</f>
        <v/>
      </c>
      <c r="G81" s="28">
        <f>IF($B81="","",SUMIF(CalcPartyB,$B81,CalcDepB))</f>
        <v/>
      </c>
      <c r="H81" s="29">
        <f>IF($B81="","",$E81-$F81+$G81)</f>
        <v/>
      </c>
      <c r="I81" s="27">
        <f>IF($B81="","",IF(ROUND($H81,0)&gt;0,"● بستانکار",IF(ROUND($H81,0)&lt;0,"● بدهکار","تسویه")))</f>
        <v/>
      </c>
    </row>
    <row r="82">
      <c r="A82" s="21">
        <f>IF($B82="","",73)</f>
        <v/>
      </c>
      <c r="B82" s="32">
        <f>IF(73&gt;NBskParty,"",INDEX(PkBskParty,73))</f>
        <v/>
      </c>
      <c r="C82" s="25">
        <f>IF($B82="","",IFERROR(IF(VLOOKUP($B82,AcctTbl,4,0)="","(بدون نام)",VLOOKUP($B82,AcctTbl,4,0)),"—"))</f>
        <v/>
      </c>
      <c r="D82" s="23">
        <f>IF($B82="","",SUMIF(CalcPartyA,$B82,CalcQtyA))</f>
        <v/>
      </c>
      <c r="E82" s="23">
        <f>IF($B82="","",SUMIF(CalcPartyA,$B82,CalcAmtA))</f>
        <v/>
      </c>
      <c r="F82" s="23">
        <f>IF($B82="","",SUMIF(CalcPartyB,$B82,CalcWitB))</f>
        <v/>
      </c>
      <c r="G82" s="23">
        <f>IF($B82="","",SUMIF(CalcPartyB,$B82,CalcDepB))</f>
        <v/>
      </c>
      <c r="H82" s="24">
        <f>IF($B82="","",$E82-$F82+$G82)</f>
        <v/>
      </c>
      <c r="I82" s="22">
        <f>IF($B82="","",IF(ROUND($H82,0)&gt;0,"● بستانکار",IF(ROUND($H82,0)&lt;0,"● بدهکار","تسویه")))</f>
        <v/>
      </c>
    </row>
    <row r="83">
      <c r="A83" s="26">
        <f>IF($B83="","",74)</f>
        <v/>
      </c>
      <c r="B83" s="33">
        <f>IF(74&gt;NBskParty,"",INDEX(PkBskParty,74))</f>
        <v/>
      </c>
      <c r="C83" s="30">
        <f>IF($B83="","",IFERROR(IF(VLOOKUP($B83,AcctTbl,4,0)="","(بدون نام)",VLOOKUP($B83,AcctTbl,4,0)),"—"))</f>
        <v/>
      </c>
      <c r="D83" s="28">
        <f>IF($B83="","",SUMIF(CalcPartyA,$B83,CalcQtyA))</f>
        <v/>
      </c>
      <c r="E83" s="28">
        <f>IF($B83="","",SUMIF(CalcPartyA,$B83,CalcAmtA))</f>
        <v/>
      </c>
      <c r="F83" s="28">
        <f>IF($B83="","",SUMIF(CalcPartyB,$B83,CalcWitB))</f>
        <v/>
      </c>
      <c r="G83" s="28">
        <f>IF($B83="","",SUMIF(CalcPartyB,$B83,CalcDepB))</f>
        <v/>
      </c>
      <c r="H83" s="29">
        <f>IF($B83="","",$E83-$F83+$G83)</f>
        <v/>
      </c>
      <c r="I83" s="27">
        <f>IF($B83="","",IF(ROUND($H83,0)&gt;0,"● بستانکار",IF(ROUND($H83,0)&lt;0,"● بدهکار","تسویه")))</f>
        <v/>
      </c>
    </row>
    <row r="84">
      <c r="A84" s="21">
        <f>IF($B84="","",75)</f>
        <v/>
      </c>
      <c r="B84" s="32">
        <f>IF(75&gt;NBskParty,"",INDEX(PkBskParty,75))</f>
        <v/>
      </c>
      <c r="C84" s="25">
        <f>IF($B84="","",IFERROR(IF(VLOOKUP($B84,AcctTbl,4,0)="","(بدون نام)",VLOOKUP($B84,AcctTbl,4,0)),"—"))</f>
        <v/>
      </c>
      <c r="D84" s="23">
        <f>IF($B84="","",SUMIF(CalcPartyA,$B84,CalcQtyA))</f>
        <v/>
      </c>
      <c r="E84" s="23">
        <f>IF($B84="","",SUMIF(CalcPartyA,$B84,CalcAmtA))</f>
        <v/>
      </c>
      <c r="F84" s="23">
        <f>IF($B84="","",SUMIF(CalcPartyB,$B84,CalcWitB))</f>
        <v/>
      </c>
      <c r="G84" s="23">
        <f>IF($B84="","",SUMIF(CalcPartyB,$B84,CalcDepB))</f>
        <v/>
      </c>
      <c r="H84" s="24">
        <f>IF($B84="","",$E84-$F84+$G84)</f>
        <v/>
      </c>
      <c r="I84" s="22">
        <f>IF($B84="","",IF(ROUND($H84,0)&gt;0,"● بستانکار",IF(ROUND($H84,0)&lt;0,"● بدهکار","تسویه")))</f>
        <v/>
      </c>
    </row>
    <row r="85">
      <c r="A85" s="26">
        <f>IF($B85="","",76)</f>
        <v/>
      </c>
      <c r="B85" s="33">
        <f>IF(76&gt;NBskParty,"",INDEX(PkBskParty,76))</f>
        <v/>
      </c>
      <c r="C85" s="30">
        <f>IF($B85="","",IFERROR(IF(VLOOKUP($B85,AcctTbl,4,0)="","(بدون نام)",VLOOKUP($B85,AcctTbl,4,0)),"—"))</f>
        <v/>
      </c>
      <c r="D85" s="28">
        <f>IF($B85="","",SUMIF(CalcPartyA,$B85,CalcQtyA))</f>
        <v/>
      </c>
      <c r="E85" s="28">
        <f>IF($B85="","",SUMIF(CalcPartyA,$B85,CalcAmtA))</f>
        <v/>
      </c>
      <c r="F85" s="28">
        <f>IF($B85="","",SUMIF(CalcPartyB,$B85,CalcWitB))</f>
        <v/>
      </c>
      <c r="G85" s="28">
        <f>IF($B85="","",SUMIF(CalcPartyB,$B85,CalcDepB))</f>
        <v/>
      </c>
      <c r="H85" s="29">
        <f>IF($B85="","",$E85-$F85+$G85)</f>
        <v/>
      </c>
      <c r="I85" s="27">
        <f>IF($B85="","",IF(ROUND($H85,0)&gt;0,"● بستانکار",IF(ROUND($H85,0)&lt;0,"● بدهکار","تسویه")))</f>
        <v/>
      </c>
    </row>
    <row r="86">
      <c r="A86" s="21">
        <f>IF($B86="","",77)</f>
        <v/>
      </c>
      <c r="B86" s="32">
        <f>IF(77&gt;NBskParty,"",INDEX(PkBskParty,77))</f>
        <v/>
      </c>
      <c r="C86" s="25">
        <f>IF($B86="","",IFERROR(IF(VLOOKUP($B86,AcctTbl,4,0)="","(بدون نام)",VLOOKUP($B86,AcctTbl,4,0)),"—"))</f>
        <v/>
      </c>
      <c r="D86" s="23">
        <f>IF($B86="","",SUMIF(CalcPartyA,$B86,CalcQtyA))</f>
        <v/>
      </c>
      <c r="E86" s="23">
        <f>IF($B86="","",SUMIF(CalcPartyA,$B86,CalcAmtA))</f>
        <v/>
      </c>
      <c r="F86" s="23">
        <f>IF($B86="","",SUMIF(CalcPartyB,$B86,CalcWitB))</f>
        <v/>
      </c>
      <c r="G86" s="23">
        <f>IF($B86="","",SUMIF(CalcPartyB,$B86,CalcDepB))</f>
        <v/>
      </c>
      <c r="H86" s="24">
        <f>IF($B86="","",$E86-$F86+$G86)</f>
        <v/>
      </c>
      <c r="I86" s="22">
        <f>IF($B86="","",IF(ROUND($H86,0)&gt;0,"● بستانکار",IF(ROUND($H86,0)&lt;0,"● بدهکار","تسویه")))</f>
        <v/>
      </c>
    </row>
    <row r="87">
      <c r="A87" s="26">
        <f>IF($B87="","",78)</f>
        <v/>
      </c>
      <c r="B87" s="33">
        <f>IF(78&gt;NBskParty,"",INDEX(PkBskParty,78))</f>
        <v/>
      </c>
      <c r="C87" s="30">
        <f>IF($B87="","",IFERROR(IF(VLOOKUP($B87,AcctTbl,4,0)="","(بدون نام)",VLOOKUP($B87,AcctTbl,4,0)),"—"))</f>
        <v/>
      </c>
      <c r="D87" s="28">
        <f>IF($B87="","",SUMIF(CalcPartyA,$B87,CalcQtyA))</f>
        <v/>
      </c>
      <c r="E87" s="28">
        <f>IF($B87="","",SUMIF(CalcPartyA,$B87,CalcAmtA))</f>
        <v/>
      </c>
      <c r="F87" s="28">
        <f>IF($B87="","",SUMIF(CalcPartyB,$B87,CalcWitB))</f>
        <v/>
      </c>
      <c r="G87" s="28">
        <f>IF($B87="","",SUMIF(CalcPartyB,$B87,CalcDepB))</f>
        <v/>
      </c>
      <c r="H87" s="29">
        <f>IF($B87="","",$E87-$F87+$G87)</f>
        <v/>
      </c>
      <c r="I87" s="27">
        <f>IF($B87="","",IF(ROUND($H87,0)&gt;0,"● بستانکار",IF(ROUND($H87,0)&lt;0,"● بدهکار","تسویه")))</f>
        <v/>
      </c>
    </row>
    <row r="88">
      <c r="A88" s="21">
        <f>IF($B88="","",79)</f>
        <v/>
      </c>
      <c r="B88" s="32">
        <f>IF(79&gt;NBskParty,"",INDEX(PkBskParty,79))</f>
        <v/>
      </c>
      <c r="C88" s="25">
        <f>IF($B88="","",IFERROR(IF(VLOOKUP($B88,AcctTbl,4,0)="","(بدون نام)",VLOOKUP($B88,AcctTbl,4,0)),"—"))</f>
        <v/>
      </c>
      <c r="D88" s="23">
        <f>IF($B88="","",SUMIF(CalcPartyA,$B88,CalcQtyA))</f>
        <v/>
      </c>
      <c r="E88" s="23">
        <f>IF($B88="","",SUMIF(CalcPartyA,$B88,CalcAmtA))</f>
        <v/>
      </c>
      <c r="F88" s="23">
        <f>IF($B88="","",SUMIF(CalcPartyB,$B88,CalcWitB))</f>
        <v/>
      </c>
      <c r="G88" s="23">
        <f>IF($B88="","",SUMIF(CalcPartyB,$B88,CalcDepB))</f>
        <v/>
      </c>
      <c r="H88" s="24">
        <f>IF($B88="","",$E88-$F88+$G88)</f>
        <v/>
      </c>
      <c r="I88" s="22">
        <f>IF($B88="","",IF(ROUND($H88,0)&gt;0,"● بستانکار",IF(ROUND($H88,0)&lt;0,"● بدهکار","تسویه")))</f>
        <v/>
      </c>
    </row>
    <row r="89">
      <c r="A89" s="26">
        <f>IF($B89="","",80)</f>
        <v/>
      </c>
      <c r="B89" s="33">
        <f>IF(80&gt;NBskParty,"",INDEX(PkBskParty,80))</f>
        <v/>
      </c>
      <c r="C89" s="30">
        <f>IF($B89="","",IFERROR(IF(VLOOKUP($B89,AcctTbl,4,0)="","(بدون نام)",VLOOKUP($B89,AcctTbl,4,0)),"—"))</f>
        <v/>
      </c>
      <c r="D89" s="28">
        <f>IF($B89="","",SUMIF(CalcPartyA,$B89,CalcQtyA))</f>
        <v/>
      </c>
      <c r="E89" s="28">
        <f>IF($B89="","",SUMIF(CalcPartyA,$B89,CalcAmtA))</f>
        <v/>
      </c>
      <c r="F89" s="28">
        <f>IF($B89="","",SUMIF(CalcPartyB,$B89,CalcWitB))</f>
        <v/>
      </c>
      <c r="G89" s="28">
        <f>IF($B89="","",SUMIF(CalcPartyB,$B89,CalcDepB))</f>
        <v/>
      </c>
      <c r="H89" s="29">
        <f>IF($B89="","",$E89-$F89+$G89)</f>
        <v/>
      </c>
      <c r="I89" s="27">
        <f>IF($B89="","",IF(ROUND($H89,0)&gt;0,"● بستانکار",IF(ROUND($H89,0)&lt;0,"● بدهکار","تسویه")))</f>
        <v/>
      </c>
    </row>
    <row r="90">
      <c r="A90" s="21">
        <f>IF($B90="","",81)</f>
        <v/>
      </c>
      <c r="B90" s="32">
        <f>IF(81&gt;NBskParty,"",INDEX(PkBskParty,81))</f>
        <v/>
      </c>
      <c r="C90" s="25">
        <f>IF($B90="","",IFERROR(IF(VLOOKUP($B90,AcctTbl,4,0)="","(بدون نام)",VLOOKUP($B90,AcctTbl,4,0)),"—"))</f>
        <v/>
      </c>
      <c r="D90" s="23">
        <f>IF($B90="","",SUMIF(CalcPartyA,$B90,CalcQtyA))</f>
        <v/>
      </c>
      <c r="E90" s="23">
        <f>IF($B90="","",SUMIF(CalcPartyA,$B90,CalcAmtA))</f>
        <v/>
      </c>
      <c r="F90" s="23">
        <f>IF($B90="","",SUMIF(CalcPartyB,$B90,CalcWitB))</f>
        <v/>
      </c>
      <c r="G90" s="23">
        <f>IF($B90="","",SUMIF(CalcPartyB,$B90,CalcDepB))</f>
        <v/>
      </c>
      <c r="H90" s="24">
        <f>IF($B90="","",$E90-$F90+$G90)</f>
        <v/>
      </c>
      <c r="I90" s="22">
        <f>IF($B90="","",IF(ROUND($H90,0)&gt;0,"● بستانکار",IF(ROUND($H90,0)&lt;0,"● بدهکار","تسویه")))</f>
        <v/>
      </c>
    </row>
    <row r="91">
      <c r="A91" s="26">
        <f>IF($B91="","",82)</f>
        <v/>
      </c>
      <c r="B91" s="33">
        <f>IF(82&gt;NBskParty,"",INDEX(PkBskParty,82))</f>
        <v/>
      </c>
      <c r="C91" s="30">
        <f>IF($B91="","",IFERROR(IF(VLOOKUP($B91,AcctTbl,4,0)="","(بدون نام)",VLOOKUP($B91,AcctTbl,4,0)),"—"))</f>
        <v/>
      </c>
      <c r="D91" s="28">
        <f>IF($B91="","",SUMIF(CalcPartyA,$B91,CalcQtyA))</f>
        <v/>
      </c>
      <c r="E91" s="28">
        <f>IF($B91="","",SUMIF(CalcPartyA,$B91,CalcAmtA))</f>
        <v/>
      </c>
      <c r="F91" s="28">
        <f>IF($B91="","",SUMIF(CalcPartyB,$B91,CalcWitB))</f>
        <v/>
      </c>
      <c r="G91" s="28">
        <f>IF($B91="","",SUMIF(CalcPartyB,$B91,CalcDepB))</f>
        <v/>
      </c>
      <c r="H91" s="29">
        <f>IF($B91="","",$E91-$F91+$G91)</f>
        <v/>
      </c>
      <c r="I91" s="27">
        <f>IF($B91="","",IF(ROUND($H91,0)&gt;0,"● بستانکار",IF(ROUND($H91,0)&lt;0,"● بدهکار","تسویه")))</f>
        <v/>
      </c>
    </row>
    <row r="92">
      <c r="A92" s="21">
        <f>IF($B92="","",83)</f>
        <v/>
      </c>
      <c r="B92" s="32">
        <f>IF(83&gt;NBskParty,"",INDEX(PkBskParty,83))</f>
        <v/>
      </c>
      <c r="C92" s="25">
        <f>IF($B92="","",IFERROR(IF(VLOOKUP($B92,AcctTbl,4,0)="","(بدون نام)",VLOOKUP($B92,AcctTbl,4,0)),"—"))</f>
        <v/>
      </c>
      <c r="D92" s="23">
        <f>IF($B92="","",SUMIF(CalcPartyA,$B92,CalcQtyA))</f>
        <v/>
      </c>
      <c r="E92" s="23">
        <f>IF($B92="","",SUMIF(CalcPartyA,$B92,CalcAmtA))</f>
        <v/>
      </c>
      <c r="F92" s="23">
        <f>IF($B92="","",SUMIF(CalcPartyB,$B92,CalcWitB))</f>
        <v/>
      </c>
      <c r="G92" s="23">
        <f>IF($B92="","",SUMIF(CalcPartyB,$B92,CalcDepB))</f>
        <v/>
      </c>
      <c r="H92" s="24">
        <f>IF($B92="","",$E92-$F92+$G92)</f>
        <v/>
      </c>
      <c r="I92" s="22">
        <f>IF($B92="","",IF(ROUND($H92,0)&gt;0,"● بستانکار",IF(ROUND($H92,0)&lt;0,"● بدهکار","تسویه")))</f>
        <v/>
      </c>
    </row>
    <row r="93">
      <c r="A93" s="26">
        <f>IF($B93="","",84)</f>
        <v/>
      </c>
      <c r="B93" s="33">
        <f>IF(84&gt;NBskParty,"",INDEX(PkBskParty,84))</f>
        <v/>
      </c>
      <c r="C93" s="30">
        <f>IF($B93="","",IFERROR(IF(VLOOKUP($B93,AcctTbl,4,0)="","(بدون نام)",VLOOKUP($B93,AcctTbl,4,0)),"—"))</f>
        <v/>
      </c>
      <c r="D93" s="28">
        <f>IF($B93="","",SUMIF(CalcPartyA,$B93,CalcQtyA))</f>
        <v/>
      </c>
      <c r="E93" s="28">
        <f>IF($B93="","",SUMIF(CalcPartyA,$B93,CalcAmtA))</f>
        <v/>
      </c>
      <c r="F93" s="28">
        <f>IF($B93="","",SUMIF(CalcPartyB,$B93,CalcWitB))</f>
        <v/>
      </c>
      <c r="G93" s="28">
        <f>IF($B93="","",SUMIF(CalcPartyB,$B93,CalcDepB))</f>
        <v/>
      </c>
      <c r="H93" s="29">
        <f>IF($B93="","",$E93-$F93+$G93)</f>
        <v/>
      </c>
      <c r="I93" s="27">
        <f>IF($B93="","",IF(ROUND($H93,0)&gt;0,"● بستانکار",IF(ROUND($H93,0)&lt;0,"● بدهکار","تسویه")))</f>
        <v/>
      </c>
    </row>
    <row r="94">
      <c r="A94" s="21">
        <f>IF($B94="","",85)</f>
        <v/>
      </c>
      <c r="B94" s="32">
        <f>IF(85&gt;NBskParty,"",INDEX(PkBskParty,85))</f>
        <v/>
      </c>
      <c r="C94" s="25">
        <f>IF($B94="","",IFERROR(IF(VLOOKUP($B94,AcctTbl,4,0)="","(بدون نام)",VLOOKUP($B94,AcctTbl,4,0)),"—"))</f>
        <v/>
      </c>
      <c r="D94" s="23">
        <f>IF($B94="","",SUMIF(CalcPartyA,$B94,CalcQtyA))</f>
        <v/>
      </c>
      <c r="E94" s="23">
        <f>IF($B94="","",SUMIF(CalcPartyA,$B94,CalcAmtA))</f>
        <v/>
      </c>
      <c r="F94" s="23">
        <f>IF($B94="","",SUMIF(CalcPartyB,$B94,CalcWitB))</f>
        <v/>
      </c>
      <c r="G94" s="23">
        <f>IF($B94="","",SUMIF(CalcPartyB,$B94,CalcDepB))</f>
        <v/>
      </c>
      <c r="H94" s="24">
        <f>IF($B94="","",$E94-$F94+$G94)</f>
        <v/>
      </c>
      <c r="I94" s="22">
        <f>IF($B94="","",IF(ROUND($H94,0)&gt;0,"● بستانکار",IF(ROUND($H94,0)&lt;0,"● بدهکار","تسویه")))</f>
        <v/>
      </c>
    </row>
    <row r="95">
      <c r="A95" s="26">
        <f>IF($B95="","",86)</f>
        <v/>
      </c>
      <c r="B95" s="33">
        <f>IF(86&gt;NBskParty,"",INDEX(PkBskParty,86))</f>
        <v/>
      </c>
      <c r="C95" s="30">
        <f>IF($B95="","",IFERROR(IF(VLOOKUP($B95,AcctTbl,4,0)="","(بدون نام)",VLOOKUP($B95,AcctTbl,4,0)),"—"))</f>
        <v/>
      </c>
      <c r="D95" s="28">
        <f>IF($B95="","",SUMIF(CalcPartyA,$B95,CalcQtyA))</f>
        <v/>
      </c>
      <c r="E95" s="28">
        <f>IF($B95="","",SUMIF(CalcPartyA,$B95,CalcAmtA))</f>
        <v/>
      </c>
      <c r="F95" s="28">
        <f>IF($B95="","",SUMIF(CalcPartyB,$B95,CalcWitB))</f>
        <v/>
      </c>
      <c r="G95" s="28">
        <f>IF($B95="","",SUMIF(CalcPartyB,$B95,CalcDepB))</f>
        <v/>
      </c>
      <c r="H95" s="29">
        <f>IF($B95="","",$E95-$F95+$G95)</f>
        <v/>
      </c>
      <c r="I95" s="27">
        <f>IF($B95="","",IF(ROUND($H95,0)&gt;0,"● بستانکار",IF(ROUND($H95,0)&lt;0,"● بدهکار","تسویه")))</f>
        <v/>
      </c>
    </row>
    <row r="96">
      <c r="A96" s="21">
        <f>IF($B96="","",87)</f>
        <v/>
      </c>
      <c r="B96" s="32">
        <f>IF(87&gt;NBskParty,"",INDEX(PkBskParty,87))</f>
        <v/>
      </c>
      <c r="C96" s="25">
        <f>IF($B96="","",IFERROR(IF(VLOOKUP($B96,AcctTbl,4,0)="","(بدون نام)",VLOOKUP($B96,AcctTbl,4,0)),"—"))</f>
        <v/>
      </c>
      <c r="D96" s="23">
        <f>IF($B96="","",SUMIF(CalcPartyA,$B96,CalcQtyA))</f>
        <v/>
      </c>
      <c r="E96" s="23">
        <f>IF($B96="","",SUMIF(CalcPartyA,$B96,CalcAmtA))</f>
        <v/>
      </c>
      <c r="F96" s="23">
        <f>IF($B96="","",SUMIF(CalcPartyB,$B96,CalcWitB))</f>
        <v/>
      </c>
      <c r="G96" s="23">
        <f>IF($B96="","",SUMIF(CalcPartyB,$B96,CalcDepB))</f>
        <v/>
      </c>
      <c r="H96" s="24">
        <f>IF($B96="","",$E96-$F96+$G96)</f>
        <v/>
      </c>
      <c r="I96" s="22">
        <f>IF($B96="","",IF(ROUND($H96,0)&gt;0,"● بستانکار",IF(ROUND($H96,0)&lt;0,"● بدهکار","تسویه")))</f>
        <v/>
      </c>
    </row>
    <row r="97">
      <c r="A97" s="26">
        <f>IF($B97="","",88)</f>
        <v/>
      </c>
      <c r="B97" s="33">
        <f>IF(88&gt;NBskParty,"",INDEX(PkBskParty,88))</f>
        <v/>
      </c>
      <c r="C97" s="30">
        <f>IF($B97="","",IFERROR(IF(VLOOKUP($B97,AcctTbl,4,0)="","(بدون نام)",VLOOKUP($B97,AcctTbl,4,0)),"—"))</f>
        <v/>
      </c>
      <c r="D97" s="28">
        <f>IF($B97="","",SUMIF(CalcPartyA,$B97,CalcQtyA))</f>
        <v/>
      </c>
      <c r="E97" s="28">
        <f>IF($B97="","",SUMIF(CalcPartyA,$B97,CalcAmtA))</f>
        <v/>
      </c>
      <c r="F97" s="28">
        <f>IF($B97="","",SUMIF(CalcPartyB,$B97,CalcWitB))</f>
        <v/>
      </c>
      <c r="G97" s="28">
        <f>IF($B97="","",SUMIF(CalcPartyB,$B97,CalcDepB))</f>
        <v/>
      </c>
      <c r="H97" s="29">
        <f>IF($B97="","",$E97-$F97+$G97)</f>
        <v/>
      </c>
      <c r="I97" s="27">
        <f>IF($B97="","",IF(ROUND($H97,0)&gt;0,"● بستانکار",IF(ROUND($H97,0)&lt;0,"● بدهکار","تسویه")))</f>
        <v/>
      </c>
    </row>
    <row r="98">
      <c r="A98" s="21">
        <f>IF($B98="","",89)</f>
        <v/>
      </c>
      <c r="B98" s="32">
        <f>IF(89&gt;NBskParty,"",INDEX(PkBskParty,89))</f>
        <v/>
      </c>
      <c r="C98" s="25">
        <f>IF($B98="","",IFERROR(IF(VLOOKUP($B98,AcctTbl,4,0)="","(بدون نام)",VLOOKUP($B98,AcctTbl,4,0)),"—"))</f>
        <v/>
      </c>
      <c r="D98" s="23">
        <f>IF($B98="","",SUMIF(CalcPartyA,$B98,CalcQtyA))</f>
        <v/>
      </c>
      <c r="E98" s="23">
        <f>IF($B98="","",SUMIF(CalcPartyA,$B98,CalcAmtA))</f>
        <v/>
      </c>
      <c r="F98" s="23">
        <f>IF($B98="","",SUMIF(CalcPartyB,$B98,CalcWitB))</f>
        <v/>
      </c>
      <c r="G98" s="23">
        <f>IF($B98="","",SUMIF(CalcPartyB,$B98,CalcDepB))</f>
        <v/>
      </c>
      <c r="H98" s="24">
        <f>IF($B98="","",$E98-$F98+$G98)</f>
        <v/>
      </c>
      <c r="I98" s="22">
        <f>IF($B98="","",IF(ROUND($H98,0)&gt;0,"● بستانکار",IF(ROUND($H98,0)&lt;0,"● بدهکار","تسویه")))</f>
        <v/>
      </c>
    </row>
    <row r="99">
      <c r="A99" s="26">
        <f>IF($B99="","",90)</f>
        <v/>
      </c>
      <c r="B99" s="33">
        <f>IF(90&gt;NBskParty,"",INDEX(PkBskParty,90))</f>
        <v/>
      </c>
      <c r="C99" s="30">
        <f>IF($B99="","",IFERROR(IF(VLOOKUP($B99,AcctTbl,4,0)="","(بدون نام)",VLOOKUP($B99,AcctTbl,4,0)),"—"))</f>
        <v/>
      </c>
      <c r="D99" s="28">
        <f>IF($B99="","",SUMIF(CalcPartyA,$B99,CalcQtyA))</f>
        <v/>
      </c>
      <c r="E99" s="28">
        <f>IF($B99="","",SUMIF(CalcPartyA,$B99,CalcAmtA))</f>
        <v/>
      </c>
      <c r="F99" s="28">
        <f>IF($B99="","",SUMIF(CalcPartyB,$B99,CalcWitB))</f>
        <v/>
      </c>
      <c r="G99" s="28">
        <f>IF($B99="","",SUMIF(CalcPartyB,$B99,CalcDepB))</f>
        <v/>
      </c>
      <c r="H99" s="29">
        <f>IF($B99="","",$E99-$F99+$G99)</f>
        <v/>
      </c>
      <c r="I99" s="27">
        <f>IF($B99="","",IF(ROUND($H99,0)&gt;0,"● بستانکار",IF(ROUND($H99,0)&lt;0,"● بدهکار","تسویه")))</f>
        <v/>
      </c>
    </row>
    <row r="100">
      <c r="A100" s="21">
        <f>IF($B100="","",91)</f>
        <v/>
      </c>
      <c r="B100" s="32">
        <f>IF(91&gt;NBskParty,"",INDEX(PkBskParty,91))</f>
        <v/>
      </c>
      <c r="C100" s="25">
        <f>IF($B100="","",IFERROR(IF(VLOOKUP($B100,AcctTbl,4,0)="","(بدون نام)",VLOOKUP($B100,AcctTbl,4,0)),"—"))</f>
        <v/>
      </c>
      <c r="D100" s="23">
        <f>IF($B100="","",SUMIF(CalcPartyA,$B100,CalcQtyA))</f>
        <v/>
      </c>
      <c r="E100" s="23">
        <f>IF($B100="","",SUMIF(CalcPartyA,$B100,CalcAmtA))</f>
        <v/>
      </c>
      <c r="F100" s="23">
        <f>IF($B100="","",SUMIF(CalcPartyB,$B100,CalcWitB))</f>
        <v/>
      </c>
      <c r="G100" s="23">
        <f>IF($B100="","",SUMIF(CalcPartyB,$B100,CalcDepB))</f>
        <v/>
      </c>
      <c r="H100" s="24">
        <f>IF($B100="","",$E100-$F100+$G100)</f>
        <v/>
      </c>
      <c r="I100" s="22">
        <f>IF($B100="","",IF(ROUND($H100,0)&gt;0,"● بستانکار",IF(ROUND($H100,0)&lt;0,"● بدهکار","تسویه")))</f>
        <v/>
      </c>
    </row>
    <row r="101">
      <c r="A101" s="26">
        <f>IF($B101="","",92)</f>
        <v/>
      </c>
      <c r="B101" s="33">
        <f>IF(92&gt;NBskParty,"",INDEX(PkBskParty,92))</f>
        <v/>
      </c>
      <c r="C101" s="30">
        <f>IF($B101="","",IFERROR(IF(VLOOKUP($B101,AcctTbl,4,0)="","(بدون نام)",VLOOKUP($B101,AcctTbl,4,0)),"—"))</f>
        <v/>
      </c>
      <c r="D101" s="28">
        <f>IF($B101="","",SUMIF(CalcPartyA,$B101,CalcQtyA))</f>
        <v/>
      </c>
      <c r="E101" s="28">
        <f>IF($B101="","",SUMIF(CalcPartyA,$B101,CalcAmtA))</f>
        <v/>
      </c>
      <c r="F101" s="28">
        <f>IF($B101="","",SUMIF(CalcPartyB,$B101,CalcWitB))</f>
        <v/>
      </c>
      <c r="G101" s="28">
        <f>IF($B101="","",SUMIF(CalcPartyB,$B101,CalcDepB))</f>
        <v/>
      </c>
      <c r="H101" s="29">
        <f>IF($B101="","",$E101-$F101+$G101)</f>
        <v/>
      </c>
      <c r="I101" s="27">
        <f>IF($B101="","",IF(ROUND($H101,0)&gt;0,"● بستانکار",IF(ROUND($H101,0)&lt;0,"● بدهکار","تسویه")))</f>
        <v/>
      </c>
    </row>
    <row r="102">
      <c r="A102" s="21">
        <f>IF($B102="","",93)</f>
        <v/>
      </c>
      <c r="B102" s="32">
        <f>IF(93&gt;NBskParty,"",INDEX(PkBskParty,93))</f>
        <v/>
      </c>
      <c r="C102" s="25">
        <f>IF($B102="","",IFERROR(IF(VLOOKUP($B102,AcctTbl,4,0)="","(بدون نام)",VLOOKUP($B102,AcctTbl,4,0)),"—"))</f>
        <v/>
      </c>
      <c r="D102" s="23">
        <f>IF($B102="","",SUMIF(CalcPartyA,$B102,CalcQtyA))</f>
        <v/>
      </c>
      <c r="E102" s="23">
        <f>IF($B102="","",SUMIF(CalcPartyA,$B102,CalcAmtA))</f>
        <v/>
      </c>
      <c r="F102" s="23">
        <f>IF($B102="","",SUMIF(CalcPartyB,$B102,CalcWitB))</f>
        <v/>
      </c>
      <c r="G102" s="23">
        <f>IF($B102="","",SUMIF(CalcPartyB,$B102,CalcDepB))</f>
        <v/>
      </c>
      <c r="H102" s="24">
        <f>IF($B102="","",$E102-$F102+$G102)</f>
        <v/>
      </c>
      <c r="I102" s="22">
        <f>IF($B102="","",IF(ROUND($H102,0)&gt;0,"● بستانکار",IF(ROUND($H102,0)&lt;0,"● بدهکار","تسویه")))</f>
        <v/>
      </c>
    </row>
    <row r="103">
      <c r="A103" s="26">
        <f>IF($B103="","",94)</f>
        <v/>
      </c>
      <c r="B103" s="33">
        <f>IF(94&gt;NBskParty,"",INDEX(PkBskParty,94))</f>
        <v/>
      </c>
      <c r="C103" s="30">
        <f>IF($B103="","",IFERROR(IF(VLOOKUP($B103,AcctTbl,4,0)="","(بدون نام)",VLOOKUP($B103,AcctTbl,4,0)),"—"))</f>
        <v/>
      </c>
      <c r="D103" s="28">
        <f>IF($B103="","",SUMIF(CalcPartyA,$B103,CalcQtyA))</f>
        <v/>
      </c>
      <c r="E103" s="28">
        <f>IF($B103="","",SUMIF(CalcPartyA,$B103,CalcAmtA))</f>
        <v/>
      </c>
      <c r="F103" s="28">
        <f>IF($B103="","",SUMIF(CalcPartyB,$B103,CalcWitB))</f>
        <v/>
      </c>
      <c r="G103" s="28">
        <f>IF($B103="","",SUMIF(CalcPartyB,$B103,CalcDepB))</f>
        <v/>
      </c>
      <c r="H103" s="29">
        <f>IF($B103="","",$E103-$F103+$G103)</f>
        <v/>
      </c>
      <c r="I103" s="27">
        <f>IF($B103="","",IF(ROUND($H103,0)&gt;0,"● بستانکار",IF(ROUND($H103,0)&lt;0,"● بدهکار","تسویه")))</f>
        <v/>
      </c>
    </row>
    <row r="104">
      <c r="A104" s="21">
        <f>IF($B104="","",95)</f>
        <v/>
      </c>
      <c r="B104" s="32">
        <f>IF(95&gt;NBskParty,"",INDEX(PkBskParty,95))</f>
        <v/>
      </c>
      <c r="C104" s="25">
        <f>IF($B104="","",IFERROR(IF(VLOOKUP($B104,AcctTbl,4,0)="","(بدون نام)",VLOOKUP($B104,AcctTbl,4,0)),"—"))</f>
        <v/>
      </c>
      <c r="D104" s="23">
        <f>IF($B104="","",SUMIF(CalcPartyA,$B104,CalcQtyA))</f>
        <v/>
      </c>
      <c r="E104" s="23">
        <f>IF($B104="","",SUMIF(CalcPartyA,$B104,CalcAmtA))</f>
        <v/>
      </c>
      <c r="F104" s="23">
        <f>IF($B104="","",SUMIF(CalcPartyB,$B104,CalcWitB))</f>
        <v/>
      </c>
      <c r="G104" s="23">
        <f>IF($B104="","",SUMIF(CalcPartyB,$B104,CalcDepB))</f>
        <v/>
      </c>
      <c r="H104" s="24">
        <f>IF($B104="","",$E104-$F104+$G104)</f>
        <v/>
      </c>
      <c r="I104" s="22">
        <f>IF($B104="","",IF(ROUND($H104,0)&gt;0,"● بستانکار",IF(ROUND($H104,0)&lt;0,"● بدهکار","تسویه")))</f>
        <v/>
      </c>
    </row>
    <row r="105">
      <c r="A105" s="26">
        <f>IF($B105="","",96)</f>
        <v/>
      </c>
      <c r="B105" s="33">
        <f>IF(96&gt;NBskParty,"",INDEX(PkBskParty,96))</f>
        <v/>
      </c>
      <c r="C105" s="30">
        <f>IF($B105="","",IFERROR(IF(VLOOKUP($B105,AcctTbl,4,0)="","(بدون نام)",VLOOKUP($B105,AcctTbl,4,0)),"—"))</f>
        <v/>
      </c>
      <c r="D105" s="28">
        <f>IF($B105="","",SUMIF(CalcPartyA,$B105,CalcQtyA))</f>
        <v/>
      </c>
      <c r="E105" s="28">
        <f>IF($B105="","",SUMIF(CalcPartyA,$B105,CalcAmtA))</f>
        <v/>
      </c>
      <c r="F105" s="28">
        <f>IF($B105="","",SUMIF(CalcPartyB,$B105,CalcWitB))</f>
        <v/>
      </c>
      <c r="G105" s="28">
        <f>IF($B105="","",SUMIF(CalcPartyB,$B105,CalcDepB))</f>
        <v/>
      </c>
      <c r="H105" s="29">
        <f>IF($B105="","",$E105-$F105+$G105)</f>
        <v/>
      </c>
      <c r="I105" s="27">
        <f>IF($B105="","",IF(ROUND($H105,0)&gt;0,"● بستانکار",IF(ROUND($H105,0)&lt;0,"● بدهکار","تسویه")))</f>
        <v/>
      </c>
    </row>
    <row r="106">
      <c r="A106" s="21">
        <f>IF($B106="","",97)</f>
        <v/>
      </c>
      <c r="B106" s="32">
        <f>IF(97&gt;NBskParty,"",INDEX(PkBskParty,97))</f>
        <v/>
      </c>
      <c r="C106" s="25">
        <f>IF($B106="","",IFERROR(IF(VLOOKUP($B106,AcctTbl,4,0)="","(بدون نام)",VLOOKUP($B106,AcctTbl,4,0)),"—"))</f>
        <v/>
      </c>
      <c r="D106" s="23">
        <f>IF($B106="","",SUMIF(CalcPartyA,$B106,CalcQtyA))</f>
        <v/>
      </c>
      <c r="E106" s="23">
        <f>IF($B106="","",SUMIF(CalcPartyA,$B106,CalcAmtA))</f>
        <v/>
      </c>
      <c r="F106" s="23">
        <f>IF($B106="","",SUMIF(CalcPartyB,$B106,CalcWitB))</f>
        <v/>
      </c>
      <c r="G106" s="23">
        <f>IF($B106="","",SUMIF(CalcPartyB,$B106,CalcDepB))</f>
        <v/>
      </c>
      <c r="H106" s="24">
        <f>IF($B106="","",$E106-$F106+$G106)</f>
        <v/>
      </c>
      <c r="I106" s="22">
        <f>IF($B106="","",IF(ROUND($H106,0)&gt;0,"● بستانکار",IF(ROUND($H106,0)&lt;0,"● بدهکار","تسویه")))</f>
        <v/>
      </c>
    </row>
    <row r="107">
      <c r="A107" s="26">
        <f>IF($B107="","",98)</f>
        <v/>
      </c>
      <c r="B107" s="33">
        <f>IF(98&gt;NBskParty,"",INDEX(PkBskParty,98))</f>
        <v/>
      </c>
      <c r="C107" s="30">
        <f>IF($B107="","",IFERROR(IF(VLOOKUP($B107,AcctTbl,4,0)="","(بدون نام)",VLOOKUP($B107,AcctTbl,4,0)),"—"))</f>
        <v/>
      </c>
      <c r="D107" s="28">
        <f>IF($B107="","",SUMIF(CalcPartyA,$B107,CalcQtyA))</f>
        <v/>
      </c>
      <c r="E107" s="28">
        <f>IF($B107="","",SUMIF(CalcPartyA,$B107,CalcAmtA))</f>
        <v/>
      </c>
      <c r="F107" s="28">
        <f>IF($B107="","",SUMIF(CalcPartyB,$B107,CalcWitB))</f>
        <v/>
      </c>
      <c r="G107" s="28">
        <f>IF($B107="","",SUMIF(CalcPartyB,$B107,CalcDepB))</f>
        <v/>
      </c>
      <c r="H107" s="29">
        <f>IF($B107="","",$E107-$F107+$G107)</f>
        <v/>
      </c>
      <c r="I107" s="27">
        <f>IF($B107="","",IF(ROUND($H107,0)&gt;0,"● بستانکار",IF(ROUND($H107,0)&lt;0,"● بدهکار","تسویه")))</f>
        <v/>
      </c>
    </row>
    <row r="108">
      <c r="A108" s="21">
        <f>IF($B108="","",99)</f>
        <v/>
      </c>
      <c r="B108" s="32">
        <f>IF(99&gt;NBskParty,"",INDEX(PkBskParty,99))</f>
        <v/>
      </c>
      <c r="C108" s="25">
        <f>IF($B108="","",IFERROR(IF(VLOOKUP($B108,AcctTbl,4,0)="","(بدون نام)",VLOOKUP($B108,AcctTbl,4,0)),"—"))</f>
        <v/>
      </c>
      <c r="D108" s="23">
        <f>IF($B108="","",SUMIF(CalcPartyA,$B108,CalcQtyA))</f>
        <v/>
      </c>
      <c r="E108" s="23">
        <f>IF($B108="","",SUMIF(CalcPartyA,$B108,CalcAmtA))</f>
        <v/>
      </c>
      <c r="F108" s="23">
        <f>IF($B108="","",SUMIF(CalcPartyB,$B108,CalcWitB))</f>
        <v/>
      </c>
      <c r="G108" s="23">
        <f>IF($B108="","",SUMIF(CalcPartyB,$B108,CalcDepB))</f>
        <v/>
      </c>
      <c r="H108" s="24">
        <f>IF($B108="","",$E108-$F108+$G108)</f>
        <v/>
      </c>
      <c r="I108" s="22">
        <f>IF($B108="","",IF(ROUND($H108,0)&gt;0,"● بستانکار",IF(ROUND($H108,0)&lt;0,"● بدهکار","تسویه")))</f>
        <v/>
      </c>
    </row>
    <row r="109">
      <c r="A109" s="26">
        <f>IF($B109="","",100)</f>
        <v/>
      </c>
      <c r="B109" s="33">
        <f>IF(100&gt;NBskParty,"",INDEX(PkBskParty,100))</f>
        <v/>
      </c>
      <c r="C109" s="30">
        <f>IF($B109="","",IFERROR(IF(VLOOKUP($B109,AcctTbl,4,0)="","(بدون نام)",VLOOKUP($B109,AcctTbl,4,0)),"—"))</f>
        <v/>
      </c>
      <c r="D109" s="28">
        <f>IF($B109="","",SUMIF(CalcPartyA,$B109,CalcQtyA))</f>
        <v/>
      </c>
      <c r="E109" s="28">
        <f>IF($B109="","",SUMIF(CalcPartyA,$B109,CalcAmtA))</f>
        <v/>
      </c>
      <c r="F109" s="28">
        <f>IF($B109="","",SUMIF(CalcPartyB,$B109,CalcWitB))</f>
        <v/>
      </c>
      <c r="G109" s="28">
        <f>IF($B109="","",SUMIF(CalcPartyB,$B109,CalcDepB))</f>
        <v/>
      </c>
      <c r="H109" s="29">
        <f>IF($B109="","",$E109-$F109+$G109)</f>
        <v/>
      </c>
      <c r="I109" s="27">
        <f>IF($B109="","",IF(ROUND($H109,0)&gt;0,"● بستانکار",IF(ROUND($H109,0)&lt;0,"● بدهکار","تسویه")))</f>
        <v/>
      </c>
    </row>
    <row r="110">
      <c r="A110" s="21">
        <f>IF($B110="","",101)</f>
        <v/>
      </c>
      <c r="B110" s="32">
        <f>IF(101&gt;NBskParty,"",INDEX(PkBskParty,101))</f>
        <v/>
      </c>
      <c r="C110" s="25">
        <f>IF($B110="","",IFERROR(IF(VLOOKUP($B110,AcctTbl,4,0)="","(بدون نام)",VLOOKUP($B110,AcctTbl,4,0)),"—"))</f>
        <v/>
      </c>
      <c r="D110" s="23">
        <f>IF($B110="","",SUMIF(CalcPartyA,$B110,CalcQtyA))</f>
        <v/>
      </c>
      <c r="E110" s="23">
        <f>IF($B110="","",SUMIF(CalcPartyA,$B110,CalcAmtA))</f>
        <v/>
      </c>
      <c r="F110" s="23">
        <f>IF($B110="","",SUMIF(CalcPartyB,$B110,CalcWitB))</f>
        <v/>
      </c>
      <c r="G110" s="23">
        <f>IF($B110="","",SUMIF(CalcPartyB,$B110,CalcDepB))</f>
        <v/>
      </c>
      <c r="H110" s="24">
        <f>IF($B110="","",$E110-$F110+$G110)</f>
        <v/>
      </c>
      <c r="I110" s="22">
        <f>IF($B110="","",IF(ROUND($H110,0)&gt;0,"● بستانکار",IF(ROUND($H110,0)&lt;0,"● بدهکار","تسویه")))</f>
        <v/>
      </c>
    </row>
    <row r="111">
      <c r="A111" s="26">
        <f>IF($B111="","",102)</f>
        <v/>
      </c>
      <c r="B111" s="33">
        <f>IF(102&gt;NBskParty,"",INDEX(PkBskParty,102))</f>
        <v/>
      </c>
      <c r="C111" s="30">
        <f>IF($B111="","",IFERROR(IF(VLOOKUP($B111,AcctTbl,4,0)="","(بدون نام)",VLOOKUP($B111,AcctTbl,4,0)),"—"))</f>
        <v/>
      </c>
      <c r="D111" s="28">
        <f>IF($B111="","",SUMIF(CalcPartyA,$B111,CalcQtyA))</f>
        <v/>
      </c>
      <c r="E111" s="28">
        <f>IF($B111="","",SUMIF(CalcPartyA,$B111,CalcAmtA))</f>
        <v/>
      </c>
      <c r="F111" s="28">
        <f>IF($B111="","",SUMIF(CalcPartyB,$B111,CalcWitB))</f>
        <v/>
      </c>
      <c r="G111" s="28">
        <f>IF($B111="","",SUMIF(CalcPartyB,$B111,CalcDepB))</f>
        <v/>
      </c>
      <c r="H111" s="29">
        <f>IF($B111="","",$E111-$F111+$G111)</f>
        <v/>
      </c>
      <c r="I111" s="27">
        <f>IF($B111="","",IF(ROUND($H111,0)&gt;0,"● بستانکار",IF(ROUND($H111,0)&lt;0,"● بدهکار","تسویه")))</f>
        <v/>
      </c>
    </row>
    <row r="112">
      <c r="A112" s="21">
        <f>IF($B112="","",103)</f>
        <v/>
      </c>
      <c r="B112" s="32">
        <f>IF(103&gt;NBskParty,"",INDEX(PkBskParty,103))</f>
        <v/>
      </c>
      <c r="C112" s="25">
        <f>IF($B112="","",IFERROR(IF(VLOOKUP($B112,AcctTbl,4,0)="","(بدون نام)",VLOOKUP($B112,AcctTbl,4,0)),"—"))</f>
        <v/>
      </c>
      <c r="D112" s="23">
        <f>IF($B112="","",SUMIF(CalcPartyA,$B112,CalcQtyA))</f>
        <v/>
      </c>
      <c r="E112" s="23">
        <f>IF($B112="","",SUMIF(CalcPartyA,$B112,CalcAmtA))</f>
        <v/>
      </c>
      <c r="F112" s="23">
        <f>IF($B112="","",SUMIF(CalcPartyB,$B112,CalcWitB))</f>
        <v/>
      </c>
      <c r="G112" s="23">
        <f>IF($B112="","",SUMIF(CalcPartyB,$B112,CalcDepB))</f>
        <v/>
      </c>
      <c r="H112" s="24">
        <f>IF($B112="","",$E112-$F112+$G112)</f>
        <v/>
      </c>
      <c r="I112" s="22">
        <f>IF($B112="","",IF(ROUND($H112,0)&gt;0,"● بستانکار",IF(ROUND($H112,0)&lt;0,"● بدهکار","تسویه")))</f>
        <v/>
      </c>
    </row>
    <row r="113">
      <c r="A113" s="26">
        <f>IF($B113="","",104)</f>
        <v/>
      </c>
      <c r="B113" s="33">
        <f>IF(104&gt;NBskParty,"",INDEX(PkBskParty,104))</f>
        <v/>
      </c>
      <c r="C113" s="30">
        <f>IF($B113="","",IFERROR(IF(VLOOKUP($B113,AcctTbl,4,0)="","(بدون نام)",VLOOKUP($B113,AcctTbl,4,0)),"—"))</f>
        <v/>
      </c>
      <c r="D113" s="28">
        <f>IF($B113="","",SUMIF(CalcPartyA,$B113,CalcQtyA))</f>
        <v/>
      </c>
      <c r="E113" s="28">
        <f>IF($B113="","",SUMIF(CalcPartyA,$B113,CalcAmtA))</f>
        <v/>
      </c>
      <c r="F113" s="28">
        <f>IF($B113="","",SUMIF(CalcPartyB,$B113,CalcWitB))</f>
        <v/>
      </c>
      <c r="G113" s="28">
        <f>IF($B113="","",SUMIF(CalcPartyB,$B113,CalcDepB))</f>
        <v/>
      </c>
      <c r="H113" s="29">
        <f>IF($B113="","",$E113-$F113+$G113)</f>
        <v/>
      </c>
      <c r="I113" s="27">
        <f>IF($B113="","",IF(ROUND($H113,0)&gt;0,"● بستانکار",IF(ROUND($H113,0)&lt;0,"● بدهکار","تسویه")))</f>
        <v/>
      </c>
    </row>
    <row r="114">
      <c r="A114" s="21">
        <f>IF($B114="","",105)</f>
        <v/>
      </c>
      <c r="B114" s="32">
        <f>IF(105&gt;NBskParty,"",INDEX(PkBskParty,105))</f>
        <v/>
      </c>
      <c r="C114" s="25">
        <f>IF($B114="","",IFERROR(IF(VLOOKUP($B114,AcctTbl,4,0)="","(بدون نام)",VLOOKUP($B114,AcctTbl,4,0)),"—"))</f>
        <v/>
      </c>
      <c r="D114" s="23">
        <f>IF($B114="","",SUMIF(CalcPartyA,$B114,CalcQtyA))</f>
        <v/>
      </c>
      <c r="E114" s="23">
        <f>IF($B114="","",SUMIF(CalcPartyA,$B114,CalcAmtA))</f>
        <v/>
      </c>
      <c r="F114" s="23">
        <f>IF($B114="","",SUMIF(CalcPartyB,$B114,CalcWitB))</f>
        <v/>
      </c>
      <c r="G114" s="23">
        <f>IF($B114="","",SUMIF(CalcPartyB,$B114,CalcDepB))</f>
        <v/>
      </c>
      <c r="H114" s="24">
        <f>IF($B114="","",$E114-$F114+$G114)</f>
        <v/>
      </c>
      <c r="I114" s="22">
        <f>IF($B114="","",IF(ROUND($H114,0)&gt;0,"● بستانکار",IF(ROUND($H114,0)&lt;0,"● بدهکار","تسویه")))</f>
        <v/>
      </c>
    </row>
    <row r="115">
      <c r="A115" s="26">
        <f>IF($B115="","",106)</f>
        <v/>
      </c>
      <c r="B115" s="33">
        <f>IF(106&gt;NBskParty,"",INDEX(PkBskParty,106))</f>
        <v/>
      </c>
      <c r="C115" s="30">
        <f>IF($B115="","",IFERROR(IF(VLOOKUP($B115,AcctTbl,4,0)="","(بدون نام)",VLOOKUP($B115,AcctTbl,4,0)),"—"))</f>
        <v/>
      </c>
      <c r="D115" s="28">
        <f>IF($B115="","",SUMIF(CalcPartyA,$B115,CalcQtyA))</f>
        <v/>
      </c>
      <c r="E115" s="28">
        <f>IF($B115="","",SUMIF(CalcPartyA,$B115,CalcAmtA))</f>
        <v/>
      </c>
      <c r="F115" s="28">
        <f>IF($B115="","",SUMIF(CalcPartyB,$B115,CalcWitB))</f>
        <v/>
      </c>
      <c r="G115" s="28">
        <f>IF($B115="","",SUMIF(CalcPartyB,$B115,CalcDepB))</f>
        <v/>
      </c>
      <c r="H115" s="29">
        <f>IF($B115="","",$E115-$F115+$G115)</f>
        <v/>
      </c>
      <c r="I115" s="27">
        <f>IF($B115="","",IF(ROUND($H115,0)&gt;0,"● بستانکار",IF(ROUND($H115,0)&lt;0,"● بدهکار","تسویه")))</f>
        <v/>
      </c>
    </row>
    <row r="116">
      <c r="A116" s="21">
        <f>IF($B116="","",107)</f>
        <v/>
      </c>
      <c r="B116" s="32">
        <f>IF(107&gt;NBskParty,"",INDEX(PkBskParty,107))</f>
        <v/>
      </c>
      <c r="C116" s="25">
        <f>IF($B116="","",IFERROR(IF(VLOOKUP($B116,AcctTbl,4,0)="","(بدون نام)",VLOOKUP($B116,AcctTbl,4,0)),"—"))</f>
        <v/>
      </c>
      <c r="D116" s="23">
        <f>IF($B116="","",SUMIF(CalcPartyA,$B116,CalcQtyA))</f>
        <v/>
      </c>
      <c r="E116" s="23">
        <f>IF($B116="","",SUMIF(CalcPartyA,$B116,CalcAmtA))</f>
        <v/>
      </c>
      <c r="F116" s="23">
        <f>IF($B116="","",SUMIF(CalcPartyB,$B116,CalcWitB))</f>
        <v/>
      </c>
      <c r="G116" s="23">
        <f>IF($B116="","",SUMIF(CalcPartyB,$B116,CalcDepB))</f>
        <v/>
      </c>
      <c r="H116" s="24">
        <f>IF($B116="","",$E116-$F116+$G116)</f>
        <v/>
      </c>
      <c r="I116" s="22">
        <f>IF($B116="","",IF(ROUND($H116,0)&gt;0,"● بستانکار",IF(ROUND($H116,0)&lt;0,"● بدهکار","تسویه")))</f>
        <v/>
      </c>
    </row>
    <row r="117">
      <c r="A117" s="26">
        <f>IF($B117="","",108)</f>
        <v/>
      </c>
      <c r="B117" s="33">
        <f>IF(108&gt;NBskParty,"",INDEX(PkBskParty,108))</f>
        <v/>
      </c>
      <c r="C117" s="30">
        <f>IF($B117="","",IFERROR(IF(VLOOKUP($B117,AcctTbl,4,0)="","(بدون نام)",VLOOKUP($B117,AcctTbl,4,0)),"—"))</f>
        <v/>
      </c>
      <c r="D117" s="28">
        <f>IF($B117="","",SUMIF(CalcPartyA,$B117,CalcQtyA))</f>
        <v/>
      </c>
      <c r="E117" s="28">
        <f>IF($B117="","",SUMIF(CalcPartyA,$B117,CalcAmtA))</f>
        <v/>
      </c>
      <c r="F117" s="28">
        <f>IF($B117="","",SUMIF(CalcPartyB,$B117,CalcWitB))</f>
        <v/>
      </c>
      <c r="G117" s="28">
        <f>IF($B117="","",SUMIF(CalcPartyB,$B117,CalcDepB))</f>
        <v/>
      </c>
      <c r="H117" s="29">
        <f>IF($B117="","",$E117-$F117+$G117)</f>
        <v/>
      </c>
      <c r="I117" s="27">
        <f>IF($B117="","",IF(ROUND($H117,0)&gt;0,"● بستانکار",IF(ROUND($H117,0)&lt;0,"● بدهکار","تسویه")))</f>
        <v/>
      </c>
    </row>
    <row r="118">
      <c r="A118" s="21">
        <f>IF($B118="","",109)</f>
        <v/>
      </c>
      <c r="B118" s="32">
        <f>IF(109&gt;NBskParty,"",INDEX(PkBskParty,109))</f>
        <v/>
      </c>
      <c r="C118" s="25">
        <f>IF($B118="","",IFERROR(IF(VLOOKUP($B118,AcctTbl,4,0)="","(بدون نام)",VLOOKUP($B118,AcctTbl,4,0)),"—"))</f>
        <v/>
      </c>
      <c r="D118" s="23">
        <f>IF($B118="","",SUMIF(CalcPartyA,$B118,CalcQtyA))</f>
        <v/>
      </c>
      <c r="E118" s="23">
        <f>IF($B118="","",SUMIF(CalcPartyA,$B118,CalcAmtA))</f>
        <v/>
      </c>
      <c r="F118" s="23">
        <f>IF($B118="","",SUMIF(CalcPartyB,$B118,CalcWitB))</f>
        <v/>
      </c>
      <c r="G118" s="23">
        <f>IF($B118="","",SUMIF(CalcPartyB,$B118,CalcDepB))</f>
        <v/>
      </c>
      <c r="H118" s="24">
        <f>IF($B118="","",$E118-$F118+$G118)</f>
        <v/>
      </c>
      <c r="I118" s="22">
        <f>IF($B118="","",IF(ROUND($H118,0)&gt;0,"● بستانکار",IF(ROUND($H118,0)&lt;0,"● بدهکار","تسویه")))</f>
        <v/>
      </c>
    </row>
    <row r="119">
      <c r="A119" s="26">
        <f>IF($B119="","",110)</f>
        <v/>
      </c>
      <c r="B119" s="33">
        <f>IF(110&gt;NBskParty,"",INDEX(PkBskParty,110))</f>
        <v/>
      </c>
      <c r="C119" s="30">
        <f>IF($B119="","",IFERROR(IF(VLOOKUP($B119,AcctTbl,4,0)="","(بدون نام)",VLOOKUP($B119,AcctTbl,4,0)),"—"))</f>
        <v/>
      </c>
      <c r="D119" s="28">
        <f>IF($B119="","",SUMIF(CalcPartyA,$B119,CalcQtyA))</f>
        <v/>
      </c>
      <c r="E119" s="28">
        <f>IF($B119="","",SUMIF(CalcPartyA,$B119,CalcAmtA))</f>
        <v/>
      </c>
      <c r="F119" s="28">
        <f>IF($B119="","",SUMIF(CalcPartyB,$B119,CalcWitB))</f>
        <v/>
      </c>
      <c r="G119" s="28">
        <f>IF($B119="","",SUMIF(CalcPartyB,$B119,CalcDepB))</f>
        <v/>
      </c>
      <c r="H119" s="29">
        <f>IF($B119="","",$E119-$F119+$G119)</f>
        <v/>
      </c>
      <c r="I119" s="27">
        <f>IF($B119="","",IF(ROUND($H119,0)&gt;0,"● بستانکار",IF(ROUND($H119,0)&lt;0,"● بدهکار","تسویه")))</f>
        <v/>
      </c>
    </row>
    <row r="120">
      <c r="A120" s="21">
        <f>IF($B120="","",111)</f>
        <v/>
      </c>
      <c r="B120" s="32">
        <f>IF(111&gt;NBskParty,"",INDEX(PkBskParty,111))</f>
        <v/>
      </c>
      <c r="C120" s="25">
        <f>IF($B120="","",IFERROR(IF(VLOOKUP($B120,AcctTbl,4,0)="","(بدون نام)",VLOOKUP($B120,AcctTbl,4,0)),"—"))</f>
        <v/>
      </c>
      <c r="D120" s="23">
        <f>IF($B120="","",SUMIF(CalcPartyA,$B120,CalcQtyA))</f>
        <v/>
      </c>
      <c r="E120" s="23">
        <f>IF($B120="","",SUMIF(CalcPartyA,$B120,CalcAmtA))</f>
        <v/>
      </c>
      <c r="F120" s="23">
        <f>IF($B120="","",SUMIF(CalcPartyB,$B120,CalcWitB))</f>
        <v/>
      </c>
      <c r="G120" s="23">
        <f>IF($B120="","",SUMIF(CalcPartyB,$B120,CalcDepB))</f>
        <v/>
      </c>
      <c r="H120" s="24">
        <f>IF($B120="","",$E120-$F120+$G120)</f>
        <v/>
      </c>
      <c r="I120" s="22">
        <f>IF($B120="","",IF(ROUND($H120,0)&gt;0,"● بستانکار",IF(ROUND($H120,0)&lt;0,"● بدهکار","تسویه")))</f>
        <v/>
      </c>
    </row>
    <row r="121">
      <c r="A121" s="26">
        <f>IF($B121="","",112)</f>
        <v/>
      </c>
      <c r="B121" s="33">
        <f>IF(112&gt;NBskParty,"",INDEX(PkBskParty,112))</f>
        <v/>
      </c>
      <c r="C121" s="30">
        <f>IF($B121="","",IFERROR(IF(VLOOKUP($B121,AcctTbl,4,0)="","(بدون نام)",VLOOKUP($B121,AcctTbl,4,0)),"—"))</f>
        <v/>
      </c>
      <c r="D121" s="28">
        <f>IF($B121="","",SUMIF(CalcPartyA,$B121,CalcQtyA))</f>
        <v/>
      </c>
      <c r="E121" s="28">
        <f>IF($B121="","",SUMIF(CalcPartyA,$B121,CalcAmtA))</f>
        <v/>
      </c>
      <c r="F121" s="28">
        <f>IF($B121="","",SUMIF(CalcPartyB,$B121,CalcWitB))</f>
        <v/>
      </c>
      <c r="G121" s="28">
        <f>IF($B121="","",SUMIF(CalcPartyB,$B121,CalcDepB))</f>
        <v/>
      </c>
      <c r="H121" s="29">
        <f>IF($B121="","",$E121-$F121+$G121)</f>
        <v/>
      </c>
      <c r="I121" s="27">
        <f>IF($B121="","",IF(ROUND($H121,0)&gt;0,"● بستانکار",IF(ROUND($H121,0)&lt;0,"● بدهکار","تسویه")))</f>
        <v/>
      </c>
    </row>
    <row r="122">
      <c r="A122" s="21">
        <f>IF($B122="","",113)</f>
        <v/>
      </c>
      <c r="B122" s="32">
        <f>IF(113&gt;NBskParty,"",INDEX(PkBskParty,113))</f>
        <v/>
      </c>
      <c r="C122" s="25">
        <f>IF($B122="","",IFERROR(IF(VLOOKUP($B122,AcctTbl,4,0)="","(بدون نام)",VLOOKUP($B122,AcctTbl,4,0)),"—"))</f>
        <v/>
      </c>
      <c r="D122" s="23">
        <f>IF($B122="","",SUMIF(CalcPartyA,$B122,CalcQtyA))</f>
        <v/>
      </c>
      <c r="E122" s="23">
        <f>IF($B122="","",SUMIF(CalcPartyA,$B122,CalcAmtA))</f>
        <v/>
      </c>
      <c r="F122" s="23">
        <f>IF($B122="","",SUMIF(CalcPartyB,$B122,CalcWitB))</f>
        <v/>
      </c>
      <c r="G122" s="23">
        <f>IF($B122="","",SUMIF(CalcPartyB,$B122,CalcDepB))</f>
        <v/>
      </c>
      <c r="H122" s="24">
        <f>IF($B122="","",$E122-$F122+$G122)</f>
        <v/>
      </c>
      <c r="I122" s="22">
        <f>IF($B122="","",IF(ROUND($H122,0)&gt;0,"● بستانکار",IF(ROUND($H122,0)&lt;0,"● بدهکار","تسویه")))</f>
        <v/>
      </c>
    </row>
    <row r="123">
      <c r="A123" s="26">
        <f>IF($B123="","",114)</f>
        <v/>
      </c>
      <c r="B123" s="33">
        <f>IF(114&gt;NBskParty,"",INDEX(PkBskParty,114))</f>
        <v/>
      </c>
      <c r="C123" s="30">
        <f>IF($B123="","",IFERROR(IF(VLOOKUP($B123,AcctTbl,4,0)="","(بدون نام)",VLOOKUP($B123,AcctTbl,4,0)),"—"))</f>
        <v/>
      </c>
      <c r="D123" s="28">
        <f>IF($B123="","",SUMIF(CalcPartyA,$B123,CalcQtyA))</f>
        <v/>
      </c>
      <c r="E123" s="28">
        <f>IF($B123="","",SUMIF(CalcPartyA,$B123,CalcAmtA))</f>
        <v/>
      </c>
      <c r="F123" s="28">
        <f>IF($B123="","",SUMIF(CalcPartyB,$B123,CalcWitB))</f>
        <v/>
      </c>
      <c r="G123" s="28">
        <f>IF($B123="","",SUMIF(CalcPartyB,$B123,CalcDepB))</f>
        <v/>
      </c>
      <c r="H123" s="29">
        <f>IF($B123="","",$E123-$F123+$G123)</f>
        <v/>
      </c>
      <c r="I123" s="27">
        <f>IF($B123="","",IF(ROUND($H123,0)&gt;0,"● بستانکار",IF(ROUND($H123,0)&lt;0,"● بدهکار","تسویه")))</f>
        <v/>
      </c>
    </row>
    <row r="124">
      <c r="A124" s="21">
        <f>IF($B124="","",115)</f>
        <v/>
      </c>
      <c r="B124" s="32">
        <f>IF(115&gt;NBskParty,"",INDEX(PkBskParty,115))</f>
        <v/>
      </c>
      <c r="C124" s="25">
        <f>IF($B124="","",IFERROR(IF(VLOOKUP($B124,AcctTbl,4,0)="","(بدون نام)",VLOOKUP($B124,AcctTbl,4,0)),"—"))</f>
        <v/>
      </c>
      <c r="D124" s="23">
        <f>IF($B124="","",SUMIF(CalcPartyA,$B124,CalcQtyA))</f>
        <v/>
      </c>
      <c r="E124" s="23">
        <f>IF($B124="","",SUMIF(CalcPartyA,$B124,CalcAmtA))</f>
        <v/>
      </c>
      <c r="F124" s="23">
        <f>IF($B124="","",SUMIF(CalcPartyB,$B124,CalcWitB))</f>
        <v/>
      </c>
      <c r="G124" s="23">
        <f>IF($B124="","",SUMIF(CalcPartyB,$B124,CalcDepB))</f>
        <v/>
      </c>
      <c r="H124" s="24">
        <f>IF($B124="","",$E124-$F124+$G124)</f>
        <v/>
      </c>
      <c r="I124" s="22">
        <f>IF($B124="","",IF(ROUND($H124,0)&gt;0,"● بستانکار",IF(ROUND($H124,0)&lt;0,"● بدهکار","تسویه")))</f>
        <v/>
      </c>
    </row>
    <row r="125">
      <c r="A125" s="26">
        <f>IF($B125="","",116)</f>
        <v/>
      </c>
      <c r="B125" s="33">
        <f>IF(116&gt;NBskParty,"",INDEX(PkBskParty,116))</f>
        <v/>
      </c>
      <c r="C125" s="30">
        <f>IF($B125="","",IFERROR(IF(VLOOKUP($B125,AcctTbl,4,0)="","(بدون نام)",VLOOKUP($B125,AcctTbl,4,0)),"—"))</f>
        <v/>
      </c>
      <c r="D125" s="28">
        <f>IF($B125="","",SUMIF(CalcPartyA,$B125,CalcQtyA))</f>
        <v/>
      </c>
      <c r="E125" s="28">
        <f>IF($B125="","",SUMIF(CalcPartyA,$B125,CalcAmtA))</f>
        <v/>
      </c>
      <c r="F125" s="28">
        <f>IF($B125="","",SUMIF(CalcPartyB,$B125,CalcWitB))</f>
        <v/>
      </c>
      <c r="G125" s="28">
        <f>IF($B125="","",SUMIF(CalcPartyB,$B125,CalcDepB))</f>
        <v/>
      </c>
      <c r="H125" s="29">
        <f>IF($B125="","",$E125-$F125+$G125)</f>
        <v/>
      </c>
      <c r="I125" s="27">
        <f>IF($B125="","",IF(ROUND($H125,0)&gt;0,"● بستانکار",IF(ROUND($H125,0)&lt;0,"● بدهکار","تسویه")))</f>
        <v/>
      </c>
    </row>
    <row r="126">
      <c r="A126" s="21">
        <f>IF($B126="","",117)</f>
        <v/>
      </c>
      <c r="B126" s="32">
        <f>IF(117&gt;NBskParty,"",INDEX(PkBskParty,117))</f>
        <v/>
      </c>
      <c r="C126" s="25">
        <f>IF($B126="","",IFERROR(IF(VLOOKUP($B126,AcctTbl,4,0)="","(بدون نام)",VLOOKUP($B126,AcctTbl,4,0)),"—"))</f>
        <v/>
      </c>
      <c r="D126" s="23">
        <f>IF($B126="","",SUMIF(CalcPartyA,$B126,CalcQtyA))</f>
        <v/>
      </c>
      <c r="E126" s="23">
        <f>IF($B126="","",SUMIF(CalcPartyA,$B126,CalcAmtA))</f>
        <v/>
      </c>
      <c r="F126" s="23">
        <f>IF($B126="","",SUMIF(CalcPartyB,$B126,CalcWitB))</f>
        <v/>
      </c>
      <c r="G126" s="23">
        <f>IF($B126="","",SUMIF(CalcPartyB,$B126,CalcDepB))</f>
        <v/>
      </c>
      <c r="H126" s="24">
        <f>IF($B126="","",$E126-$F126+$G126)</f>
        <v/>
      </c>
      <c r="I126" s="22">
        <f>IF($B126="","",IF(ROUND($H126,0)&gt;0,"● بستانکار",IF(ROUND($H126,0)&lt;0,"● بدهکار","تسویه")))</f>
        <v/>
      </c>
    </row>
    <row r="127">
      <c r="A127" s="26">
        <f>IF($B127="","",118)</f>
        <v/>
      </c>
      <c r="B127" s="33">
        <f>IF(118&gt;NBskParty,"",INDEX(PkBskParty,118))</f>
        <v/>
      </c>
      <c r="C127" s="30">
        <f>IF($B127="","",IFERROR(IF(VLOOKUP($B127,AcctTbl,4,0)="","(بدون نام)",VLOOKUP($B127,AcctTbl,4,0)),"—"))</f>
        <v/>
      </c>
      <c r="D127" s="28">
        <f>IF($B127="","",SUMIF(CalcPartyA,$B127,CalcQtyA))</f>
        <v/>
      </c>
      <c r="E127" s="28">
        <f>IF($B127="","",SUMIF(CalcPartyA,$B127,CalcAmtA))</f>
        <v/>
      </c>
      <c r="F127" s="28">
        <f>IF($B127="","",SUMIF(CalcPartyB,$B127,CalcWitB))</f>
        <v/>
      </c>
      <c r="G127" s="28">
        <f>IF($B127="","",SUMIF(CalcPartyB,$B127,CalcDepB))</f>
        <v/>
      </c>
      <c r="H127" s="29">
        <f>IF($B127="","",$E127-$F127+$G127)</f>
        <v/>
      </c>
      <c r="I127" s="27">
        <f>IF($B127="","",IF(ROUND($H127,0)&gt;0,"● بستانکار",IF(ROUND($H127,0)&lt;0,"● بدهکار","تسویه")))</f>
        <v/>
      </c>
    </row>
    <row r="128">
      <c r="A128" s="21">
        <f>IF($B128="","",119)</f>
        <v/>
      </c>
      <c r="B128" s="32">
        <f>IF(119&gt;NBskParty,"",INDEX(PkBskParty,119))</f>
        <v/>
      </c>
      <c r="C128" s="25">
        <f>IF($B128="","",IFERROR(IF(VLOOKUP($B128,AcctTbl,4,0)="","(بدون نام)",VLOOKUP($B128,AcctTbl,4,0)),"—"))</f>
        <v/>
      </c>
      <c r="D128" s="23">
        <f>IF($B128="","",SUMIF(CalcPartyA,$B128,CalcQtyA))</f>
        <v/>
      </c>
      <c r="E128" s="23">
        <f>IF($B128="","",SUMIF(CalcPartyA,$B128,CalcAmtA))</f>
        <v/>
      </c>
      <c r="F128" s="23">
        <f>IF($B128="","",SUMIF(CalcPartyB,$B128,CalcWitB))</f>
        <v/>
      </c>
      <c r="G128" s="23">
        <f>IF($B128="","",SUMIF(CalcPartyB,$B128,CalcDepB))</f>
        <v/>
      </c>
      <c r="H128" s="24">
        <f>IF($B128="","",$E128-$F128+$G128)</f>
        <v/>
      </c>
      <c r="I128" s="22">
        <f>IF($B128="","",IF(ROUND($H128,0)&gt;0,"● بستانکار",IF(ROUND($H128,0)&lt;0,"● بدهکار","تسویه")))</f>
        <v/>
      </c>
    </row>
    <row r="129">
      <c r="A129" s="26">
        <f>IF($B129="","",120)</f>
        <v/>
      </c>
      <c r="B129" s="33">
        <f>IF(120&gt;NBskParty,"",INDEX(PkBskParty,120))</f>
        <v/>
      </c>
      <c r="C129" s="30">
        <f>IF($B129="","",IFERROR(IF(VLOOKUP($B129,AcctTbl,4,0)="","(بدون نام)",VLOOKUP($B129,AcctTbl,4,0)),"—"))</f>
        <v/>
      </c>
      <c r="D129" s="28">
        <f>IF($B129="","",SUMIF(CalcPartyA,$B129,CalcQtyA))</f>
        <v/>
      </c>
      <c r="E129" s="28">
        <f>IF($B129="","",SUMIF(CalcPartyA,$B129,CalcAmtA))</f>
        <v/>
      </c>
      <c r="F129" s="28">
        <f>IF($B129="","",SUMIF(CalcPartyB,$B129,CalcWitB))</f>
        <v/>
      </c>
      <c r="G129" s="28">
        <f>IF($B129="","",SUMIF(CalcPartyB,$B129,CalcDepB))</f>
        <v/>
      </c>
      <c r="H129" s="29">
        <f>IF($B129="","",$E129-$F129+$G129)</f>
        <v/>
      </c>
      <c r="I129" s="27">
        <f>IF($B129="","",IF(ROUND($H129,0)&gt;0,"● بستانکار",IF(ROUND($H129,0)&lt;0,"● بدهکار","تسویه")))</f>
        <v/>
      </c>
    </row>
    <row r="130">
      <c r="A130" s="21">
        <f>IF($B130="","",121)</f>
        <v/>
      </c>
      <c r="B130" s="32">
        <f>IF(121&gt;NBskParty,"",INDEX(PkBskParty,121))</f>
        <v/>
      </c>
      <c r="C130" s="25">
        <f>IF($B130="","",IFERROR(IF(VLOOKUP($B130,AcctTbl,4,0)="","(بدون نام)",VLOOKUP($B130,AcctTbl,4,0)),"—"))</f>
        <v/>
      </c>
      <c r="D130" s="23">
        <f>IF($B130="","",SUMIF(CalcPartyA,$B130,CalcQtyA))</f>
        <v/>
      </c>
      <c r="E130" s="23">
        <f>IF($B130="","",SUMIF(CalcPartyA,$B130,CalcAmtA))</f>
        <v/>
      </c>
      <c r="F130" s="23">
        <f>IF($B130="","",SUMIF(CalcPartyB,$B130,CalcWitB))</f>
        <v/>
      </c>
      <c r="G130" s="23">
        <f>IF($B130="","",SUMIF(CalcPartyB,$B130,CalcDepB))</f>
        <v/>
      </c>
      <c r="H130" s="24">
        <f>IF($B130="","",$E130-$F130+$G130)</f>
        <v/>
      </c>
      <c r="I130" s="22">
        <f>IF($B130="","",IF(ROUND($H130,0)&gt;0,"● بستانکار",IF(ROUND($H130,0)&lt;0,"● بدهکار","تسویه")))</f>
        <v/>
      </c>
    </row>
    <row r="131">
      <c r="A131" s="26">
        <f>IF($B131="","",122)</f>
        <v/>
      </c>
      <c r="B131" s="33">
        <f>IF(122&gt;NBskParty,"",INDEX(PkBskParty,122))</f>
        <v/>
      </c>
      <c r="C131" s="30">
        <f>IF($B131="","",IFERROR(IF(VLOOKUP($B131,AcctTbl,4,0)="","(بدون نام)",VLOOKUP($B131,AcctTbl,4,0)),"—"))</f>
        <v/>
      </c>
      <c r="D131" s="28">
        <f>IF($B131="","",SUMIF(CalcPartyA,$B131,CalcQtyA))</f>
        <v/>
      </c>
      <c r="E131" s="28">
        <f>IF($B131="","",SUMIF(CalcPartyA,$B131,CalcAmtA))</f>
        <v/>
      </c>
      <c r="F131" s="28">
        <f>IF($B131="","",SUMIF(CalcPartyB,$B131,CalcWitB))</f>
        <v/>
      </c>
      <c r="G131" s="28">
        <f>IF($B131="","",SUMIF(CalcPartyB,$B131,CalcDepB))</f>
        <v/>
      </c>
      <c r="H131" s="29">
        <f>IF($B131="","",$E131-$F131+$G131)</f>
        <v/>
      </c>
      <c r="I131" s="27">
        <f>IF($B131="","",IF(ROUND($H131,0)&gt;0,"● بستانکار",IF(ROUND($H131,0)&lt;0,"● بدهکار","تسویه")))</f>
        <v/>
      </c>
    </row>
    <row r="132">
      <c r="A132" s="21">
        <f>IF($B132="","",123)</f>
        <v/>
      </c>
      <c r="B132" s="32">
        <f>IF(123&gt;NBskParty,"",INDEX(PkBskParty,123))</f>
        <v/>
      </c>
      <c r="C132" s="25">
        <f>IF($B132="","",IFERROR(IF(VLOOKUP($B132,AcctTbl,4,0)="","(بدون نام)",VLOOKUP($B132,AcctTbl,4,0)),"—"))</f>
        <v/>
      </c>
      <c r="D132" s="23">
        <f>IF($B132="","",SUMIF(CalcPartyA,$B132,CalcQtyA))</f>
        <v/>
      </c>
      <c r="E132" s="23">
        <f>IF($B132="","",SUMIF(CalcPartyA,$B132,CalcAmtA))</f>
        <v/>
      </c>
      <c r="F132" s="23">
        <f>IF($B132="","",SUMIF(CalcPartyB,$B132,CalcWitB))</f>
        <v/>
      </c>
      <c r="G132" s="23">
        <f>IF($B132="","",SUMIF(CalcPartyB,$B132,CalcDepB))</f>
        <v/>
      </c>
      <c r="H132" s="24">
        <f>IF($B132="","",$E132-$F132+$G132)</f>
        <v/>
      </c>
      <c r="I132" s="22">
        <f>IF($B132="","",IF(ROUND($H132,0)&gt;0,"● بستانکار",IF(ROUND($H132,0)&lt;0,"● بدهکار","تسویه")))</f>
        <v/>
      </c>
    </row>
    <row r="133">
      <c r="A133" s="26">
        <f>IF($B133="","",124)</f>
        <v/>
      </c>
      <c r="B133" s="33">
        <f>IF(124&gt;NBskParty,"",INDEX(PkBskParty,124))</f>
        <v/>
      </c>
      <c r="C133" s="30">
        <f>IF($B133="","",IFERROR(IF(VLOOKUP($B133,AcctTbl,4,0)="","(بدون نام)",VLOOKUP($B133,AcctTbl,4,0)),"—"))</f>
        <v/>
      </c>
      <c r="D133" s="28">
        <f>IF($B133="","",SUMIF(CalcPartyA,$B133,CalcQtyA))</f>
        <v/>
      </c>
      <c r="E133" s="28">
        <f>IF($B133="","",SUMIF(CalcPartyA,$B133,CalcAmtA))</f>
        <v/>
      </c>
      <c r="F133" s="28">
        <f>IF($B133="","",SUMIF(CalcPartyB,$B133,CalcWitB))</f>
        <v/>
      </c>
      <c r="G133" s="28">
        <f>IF($B133="","",SUMIF(CalcPartyB,$B133,CalcDepB))</f>
        <v/>
      </c>
      <c r="H133" s="29">
        <f>IF($B133="","",$E133-$F133+$G133)</f>
        <v/>
      </c>
      <c r="I133" s="27">
        <f>IF($B133="","",IF(ROUND($H133,0)&gt;0,"● بستانکار",IF(ROUND($H133,0)&lt;0,"● بدهکار","تسویه")))</f>
        <v/>
      </c>
    </row>
    <row r="134">
      <c r="A134" s="21">
        <f>IF($B134="","",125)</f>
        <v/>
      </c>
      <c r="B134" s="32">
        <f>IF(125&gt;NBskParty,"",INDEX(PkBskParty,125))</f>
        <v/>
      </c>
      <c r="C134" s="25">
        <f>IF($B134="","",IFERROR(IF(VLOOKUP($B134,AcctTbl,4,0)="","(بدون نام)",VLOOKUP($B134,AcctTbl,4,0)),"—"))</f>
        <v/>
      </c>
      <c r="D134" s="23">
        <f>IF($B134="","",SUMIF(CalcPartyA,$B134,CalcQtyA))</f>
        <v/>
      </c>
      <c r="E134" s="23">
        <f>IF($B134="","",SUMIF(CalcPartyA,$B134,CalcAmtA))</f>
        <v/>
      </c>
      <c r="F134" s="23">
        <f>IF($B134="","",SUMIF(CalcPartyB,$B134,CalcWitB))</f>
        <v/>
      </c>
      <c r="G134" s="23">
        <f>IF($B134="","",SUMIF(CalcPartyB,$B134,CalcDepB))</f>
        <v/>
      </c>
      <c r="H134" s="24">
        <f>IF($B134="","",$E134-$F134+$G134)</f>
        <v/>
      </c>
      <c r="I134" s="22">
        <f>IF($B134="","",IF(ROUND($H134,0)&gt;0,"● بستانکار",IF(ROUND($H134,0)&lt;0,"● بدهکار","تسویه")))</f>
        <v/>
      </c>
    </row>
    <row r="135">
      <c r="A135" s="26">
        <f>IF($B135="","",126)</f>
        <v/>
      </c>
      <c r="B135" s="33">
        <f>IF(126&gt;NBskParty,"",INDEX(PkBskParty,126))</f>
        <v/>
      </c>
      <c r="C135" s="30">
        <f>IF($B135="","",IFERROR(IF(VLOOKUP($B135,AcctTbl,4,0)="","(بدون نام)",VLOOKUP($B135,AcctTbl,4,0)),"—"))</f>
        <v/>
      </c>
      <c r="D135" s="28">
        <f>IF($B135="","",SUMIF(CalcPartyA,$B135,CalcQtyA))</f>
        <v/>
      </c>
      <c r="E135" s="28">
        <f>IF($B135="","",SUMIF(CalcPartyA,$B135,CalcAmtA))</f>
        <v/>
      </c>
      <c r="F135" s="28">
        <f>IF($B135="","",SUMIF(CalcPartyB,$B135,CalcWitB))</f>
        <v/>
      </c>
      <c r="G135" s="28">
        <f>IF($B135="","",SUMIF(CalcPartyB,$B135,CalcDepB))</f>
        <v/>
      </c>
      <c r="H135" s="29">
        <f>IF($B135="","",$E135-$F135+$G135)</f>
        <v/>
      </c>
      <c r="I135" s="27">
        <f>IF($B135="","",IF(ROUND($H135,0)&gt;0,"● بستانکار",IF(ROUND($H135,0)&lt;0,"● بدهکار","تسویه")))</f>
        <v/>
      </c>
    </row>
    <row r="136">
      <c r="A136" s="21">
        <f>IF($B136="","",127)</f>
        <v/>
      </c>
      <c r="B136" s="32">
        <f>IF(127&gt;NBskParty,"",INDEX(PkBskParty,127))</f>
        <v/>
      </c>
      <c r="C136" s="25">
        <f>IF($B136="","",IFERROR(IF(VLOOKUP($B136,AcctTbl,4,0)="","(بدون نام)",VLOOKUP($B136,AcctTbl,4,0)),"—"))</f>
        <v/>
      </c>
      <c r="D136" s="23">
        <f>IF($B136="","",SUMIF(CalcPartyA,$B136,CalcQtyA))</f>
        <v/>
      </c>
      <c r="E136" s="23">
        <f>IF($B136="","",SUMIF(CalcPartyA,$B136,CalcAmtA))</f>
        <v/>
      </c>
      <c r="F136" s="23">
        <f>IF($B136="","",SUMIF(CalcPartyB,$B136,CalcWitB))</f>
        <v/>
      </c>
      <c r="G136" s="23">
        <f>IF($B136="","",SUMIF(CalcPartyB,$B136,CalcDepB))</f>
        <v/>
      </c>
      <c r="H136" s="24">
        <f>IF($B136="","",$E136-$F136+$G136)</f>
        <v/>
      </c>
      <c r="I136" s="22">
        <f>IF($B136="","",IF(ROUND($H136,0)&gt;0,"● بستانکار",IF(ROUND($H136,0)&lt;0,"● بدهکار","تسویه")))</f>
        <v/>
      </c>
    </row>
    <row r="137">
      <c r="A137" s="26">
        <f>IF($B137="","",128)</f>
        <v/>
      </c>
      <c r="B137" s="33">
        <f>IF(128&gt;NBskParty,"",INDEX(PkBskParty,128))</f>
        <v/>
      </c>
      <c r="C137" s="30">
        <f>IF($B137="","",IFERROR(IF(VLOOKUP($B137,AcctTbl,4,0)="","(بدون نام)",VLOOKUP($B137,AcctTbl,4,0)),"—"))</f>
        <v/>
      </c>
      <c r="D137" s="28">
        <f>IF($B137="","",SUMIF(CalcPartyA,$B137,CalcQtyA))</f>
        <v/>
      </c>
      <c r="E137" s="28">
        <f>IF($B137="","",SUMIF(CalcPartyA,$B137,CalcAmtA))</f>
        <v/>
      </c>
      <c r="F137" s="28">
        <f>IF($B137="","",SUMIF(CalcPartyB,$B137,CalcWitB))</f>
        <v/>
      </c>
      <c r="G137" s="28">
        <f>IF($B137="","",SUMIF(CalcPartyB,$B137,CalcDepB))</f>
        <v/>
      </c>
      <c r="H137" s="29">
        <f>IF($B137="","",$E137-$F137+$G137)</f>
        <v/>
      </c>
      <c r="I137" s="27">
        <f>IF($B137="","",IF(ROUND($H137,0)&gt;0,"● بستانکار",IF(ROUND($H137,0)&lt;0,"● بدهکار","تسویه")))</f>
        <v/>
      </c>
    </row>
    <row r="138">
      <c r="A138" s="21">
        <f>IF($B138="","",129)</f>
        <v/>
      </c>
      <c r="B138" s="32">
        <f>IF(129&gt;NBskParty,"",INDEX(PkBskParty,129))</f>
        <v/>
      </c>
      <c r="C138" s="25">
        <f>IF($B138="","",IFERROR(IF(VLOOKUP($B138,AcctTbl,4,0)="","(بدون نام)",VLOOKUP($B138,AcctTbl,4,0)),"—"))</f>
        <v/>
      </c>
      <c r="D138" s="23">
        <f>IF($B138="","",SUMIF(CalcPartyA,$B138,CalcQtyA))</f>
        <v/>
      </c>
      <c r="E138" s="23">
        <f>IF($B138="","",SUMIF(CalcPartyA,$B138,CalcAmtA))</f>
        <v/>
      </c>
      <c r="F138" s="23">
        <f>IF($B138="","",SUMIF(CalcPartyB,$B138,CalcWitB))</f>
        <v/>
      </c>
      <c r="G138" s="23">
        <f>IF($B138="","",SUMIF(CalcPartyB,$B138,CalcDepB))</f>
        <v/>
      </c>
      <c r="H138" s="24">
        <f>IF($B138="","",$E138-$F138+$G138)</f>
        <v/>
      </c>
      <c r="I138" s="22">
        <f>IF($B138="","",IF(ROUND($H138,0)&gt;0,"● بستانکار",IF(ROUND($H138,0)&lt;0,"● بدهکار","تسویه")))</f>
        <v/>
      </c>
    </row>
    <row r="139">
      <c r="A139" s="26">
        <f>IF($B139="","",130)</f>
        <v/>
      </c>
      <c r="B139" s="33">
        <f>IF(130&gt;NBskParty,"",INDEX(PkBskParty,130))</f>
        <v/>
      </c>
      <c r="C139" s="30">
        <f>IF($B139="","",IFERROR(IF(VLOOKUP($B139,AcctTbl,4,0)="","(بدون نام)",VLOOKUP($B139,AcctTbl,4,0)),"—"))</f>
        <v/>
      </c>
      <c r="D139" s="28">
        <f>IF($B139="","",SUMIF(CalcPartyA,$B139,CalcQtyA))</f>
        <v/>
      </c>
      <c r="E139" s="28">
        <f>IF($B139="","",SUMIF(CalcPartyA,$B139,CalcAmtA))</f>
        <v/>
      </c>
      <c r="F139" s="28">
        <f>IF($B139="","",SUMIF(CalcPartyB,$B139,CalcWitB))</f>
        <v/>
      </c>
      <c r="G139" s="28">
        <f>IF($B139="","",SUMIF(CalcPartyB,$B139,CalcDepB))</f>
        <v/>
      </c>
      <c r="H139" s="29">
        <f>IF($B139="","",$E139-$F139+$G139)</f>
        <v/>
      </c>
      <c r="I139" s="27">
        <f>IF($B139="","",IF(ROUND($H139,0)&gt;0,"● بستانکار",IF(ROUND($H139,0)&lt;0,"● بدهکار","تسویه")))</f>
        <v/>
      </c>
    </row>
    <row r="140">
      <c r="A140" s="21">
        <f>IF($B140="","",131)</f>
        <v/>
      </c>
      <c r="B140" s="32">
        <f>IF(131&gt;NBskParty,"",INDEX(PkBskParty,131))</f>
        <v/>
      </c>
      <c r="C140" s="25">
        <f>IF($B140="","",IFERROR(IF(VLOOKUP($B140,AcctTbl,4,0)="","(بدون نام)",VLOOKUP($B140,AcctTbl,4,0)),"—"))</f>
        <v/>
      </c>
      <c r="D140" s="23">
        <f>IF($B140="","",SUMIF(CalcPartyA,$B140,CalcQtyA))</f>
        <v/>
      </c>
      <c r="E140" s="23">
        <f>IF($B140="","",SUMIF(CalcPartyA,$B140,CalcAmtA))</f>
        <v/>
      </c>
      <c r="F140" s="23">
        <f>IF($B140="","",SUMIF(CalcPartyB,$B140,CalcWitB))</f>
        <v/>
      </c>
      <c r="G140" s="23">
        <f>IF($B140="","",SUMIF(CalcPartyB,$B140,CalcDepB))</f>
        <v/>
      </c>
      <c r="H140" s="24">
        <f>IF($B140="","",$E140-$F140+$G140)</f>
        <v/>
      </c>
      <c r="I140" s="22">
        <f>IF($B140="","",IF(ROUND($H140,0)&gt;0,"● بستانکار",IF(ROUND($H140,0)&lt;0,"● بدهکار","تسویه")))</f>
        <v/>
      </c>
    </row>
    <row r="141">
      <c r="A141" s="26">
        <f>IF($B141="","",132)</f>
        <v/>
      </c>
      <c r="B141" s="33">
        <f>IF(132&gt;NBskParty,"",INDEX(PkBskParty,132))</f>
        <v/>
      </c>
      <c r="C141" s="30">
        <f>IF($B141="","",IFERROR(IF(VLOOKUP($B141,AcctTbl,4,0)="","(بدون نام)",VLOOKUP($B141,AcctTbl,4,0)),"—"))</f>
        <v/>
      </c>
      <c r="D141" s="28">
        <f>IF($B141="","",SUMIF(CalcPartyA,$B141,CalcQtyA))</f>
        <v/>
      </c>
      <c r="E141" s="28">
        <f>IF($B141="","",SUMIF(CalcPartyA,$B141,CalcAmtA))</f>
        <v/>
      </c>
      <c r="F141" s="28">
        <f>IF($B141="","",SUMIF(CalcPartyB,$B141,CalcWitB))</f>
        <v/>
      </c>
      <c r="G141" s="28">
        <f>IF($B141="","",SUMIF(CalcPartyB,$B141,CalcDepB))</f>
        <v/>
      </c>
      <c r="H141" s="29">
        <f>IF($B141="","",$E141-$F141+$G141)</f>
        <v/>
      </c>
      <c r="I141" s="27">
        <f>IF($B141="","",IF(ROUND($H141,0)&gt;0,"● بستانکار",IF(ROUND($H141,0)&lt;0,"● بدهکار","تسویه")))</f>
        <v/>
      </c>
    </row>
    <row r="142">
      <c r="A142" s="21">
        <f>IF($B142="","",133)</f>
        <v/>
      </c>
      <c r="B142" s="32">
        <f>IF(133&gt;NBskParty,"",INDEX(PkBskParty,133))</f>
        <v/>
      </c>
      <c r="C142" s="25">
        <f>IF($B142="","",IFERROR(IF(VLOOKUP($B142,AcctTbl,4,0)="","(بدون نام)",VLOOKUP($B142,AcctTbl,4,0)),"—"))</f>
        <v/>
      </c>
      <c r="D142" s="23">
        <f>IF($B142="","",SUMIF(CalcPartyA,$B142,CalcQtyA))</f>
        <v/>
      </c>
      <c r="E142" s="23">
        <f>IF($B142="","",SUMIF(CalcPartyA,$B142,CalcAmtA))</f>
        <v/>
      </c>
      <c r="F142" s="23">
        <f>IF($B142="","",SUMIF(CalcPartyB,$B142,CalcWitB))</f>
        <v/>
      </c>
      <c r="G142" s="23">
        <f>IF($B142="","",SUMIF(CalcPartyB,$B142,CalcDepB))</f>
        <v/>
      </c>
      <c r="H142" s="24">
        <f>IF($B142="","",$E142-$F142+$G142)</f>
        <v/>
      </c>
      <c r="I142" s="22">
        <f>IF($B142="","",IF(ROUND($H142,0)&gt;0,"● بستانکار",IF(ROUND($H142,0)&lt;0,"● بدهکار","تسویه")))</f>
        <v/>
      </c>
    </row>
    <row r="143">
      <c r="A143" s="26">
        <f>IF($B143="","",134)</f>
        <v/>
      </c>
      <c r="B143" s="33">
        <f>IF(134&gt;NBskParty,"",INDEX(PkBskParty,134))</f>
        <v/>
      </c>
      <c r="C143" s="30">
        <f>IF($B143="","",IFERROR(IF(VLOOKUP($B143,AcctTbl,4,0)="","(بدون نام)",VLOOKUP($B143,AcctTbl,4,0)),"—"))</f>
        <v/>
      </c>
      <c r="D143" s="28">
        <f>IF($B143="","",SUMIF(CalcPartyA,$B143,CalcQtyA))</f>
        <v/>
      </c>
      <c r="E143" s="28">
        <f>IF($B143="","",SUMIF(CalcPartyA,$B143,CalcAmtA))</f>
        <v/>
      </c>
      <c r="F143" s="28">
        <f>IF($B143="","",SUMIF(CalcPartyB,$B143,CalcWitB))</f>
        <v/>
      </c>
      <c r="G143" s="28">
        <f>IF($B143="","",SUMIF(CalcPartyB,$B143,CalcDepB))</f>
        <v/>
      </c>
      <c r="H143" s="29">
        <f>IF($B143="","",$E143-$F143+$G143)</f>
        <v/>
      </c>
      <c r="I143" s="27">
        <f>IF($B143="","",IF(ROUND($H143,0)&gt;0,"● بستانکار",IF(ROUND($H143,0)&lt;0,"● بدهکار","تسویه")))</f>
        <v/>
      </c>
    </row>
    <row r="144">
      <c r="A144" s="21">
        <f>IF($B144="","",135)</f>
        <v/>
      </c>
      <c r="B144" s="32">
        <f>IF(135&gt;NBskParty,"",INDEX(PkBskParty,135))</f>
        <v/>
      </c>
      <c r="C144" s="25">
        <f>IF($B144="","",IFERROR(IF(VLOOKUP($B144,AcctTbl,4,0)="","(بدون نام)",VLOOKUP($B144,AcctTbl,4,0)),"—"))</f>
        <v/>
      </c>
      <c r="D144" s="23">
        <f>IF($B144="","",SUMIF(CalcPartyA,$B144,CalcQtyA))</f>
        <v/>
      </c>
      <c r="E144" s="23">
        <f>IF($B144="","",SUMIF(CalcPartyA,$B144,CalcAmtA))</f>
        <v/>
      </c>
      <c r="F144" s="23">
        <f>IF($B144="","",SUMIF(CalcPartyB,$B144,CalcWitB))</f>
        <v/>
      </c>
      <c r="G144" s="23">
        <f>IF($B144="","",SUMIF(CalcPartyB,$B144,CalcDepB))</f>
        <v/>
      </c>
      <c r="H144" s="24">
        <f>IF($B144="","",$E144-$F144+$G144)</f>
        <v/>
      </c>
      <c r="I144" s="22">
        <f>IF($B144="","",IF(ROUND($H144,0)&gt;0,"● بستانکار",IF(ROUND($H144,0)&lt;0,"● بدهکار","تسویه")))</f>
        <v/>
      </c>
    </row>
    <row r="145">
      <c r="A145" s="26">
        <f>IF($B145="","",136)</f>
        <v/>
      </c>
      <c r="B145" s="33">
        <f>IF(136&gt;NBskParty,"",INDEX(PkBskParty,136))</f>
        <v/>
      </c>
      <c r="C145" s="30">
        <f>IF($B145="","",IFERROR(IF(VLOOKUP($B145,AcctTbl,4,0)="","(بدون نام)",VLOOKUP($B145,AcctTbl,4,0)),"—"))</f>
        <v/>
      </c>
      <c r="D145" s="28">
        <f>IF($B145="","",SUMIF(CalcPartyA,$B145,CalcQtyA))</f>
        <v/>
      </c>
      <c r="E145" s="28">
        <f>IF($B145="","",SUMIF(CalcPartyA,$B145,CalcAmtA))</f>
        <v/>
      </c>
      <c r="F145" s="28">
        <f>IF($B145="","",SUMIF(CalcPartyB,$B145,CalcWitB))</f>
        <v/>
      </c>
      <c r="G145" s="28">
        <f>IF($B145="","",SUMIF(CalcPartyB,$B145,CalcDepB))</f>
        <v/>
      </c>
      <c r="H145" s="29">
        <f>IF($B145="","",$E145-$F145+$G145)</f>
        <v/>
      </c>
      <c r="I145" s="27">
        <f>IF($B145="","",IF(ROUND($H145,0)&gt;0,"● بستانکار",IF(ROUND($H145,0)&lt;0,"● بدهکار","تسویه")))</f>
        <v/>
      </c>
    </row>
    <row r="146">
      <c r="A146" s="21">
        <f>IF($B146="","",137)</f>
        <v/>
      </c>
      <c r="B146" s="32">
        <f>IF(137&gt;NBskParty,"",INDEX(PkBskParty,137))</f>
        <v/>
      </c>
      <c r="C146" s="25">
        <f>IF($B146="","",IFERROR(IF(VLOOKUP($B146,AcctTbl,4,0)="","(بدون نام)",VLOOKUP($B146,AcctTbl,4,0)),"—"))</f>
        <v/>
      </c>
      <c r="D146" s="23">
        <f>IF($B146="","",SUMIF(CalcPartyA,$B146,CalcQtyA))</f>
        <v/>
      </c>
      <c r="E146" s="23">
        <f>IF($B146="","",SUMIF(CalcPartyA,$B146,CalcAmtA))</f>
        <v/>
      </c>
      <c r="F146" s="23">
        <f>IF($B146="","",SUMIF(CalcPartyB,$B146,CalcWitB))</f>
        <v/>
      </c>
      <c r="G146" s="23">
        <f>IF($B146="","",SUMIF(CalcPartyB,$B146,CalcDepB))</f>
        <v/>
      </c>
      <c r="H146" s="24">
        <f>IF($B146="","",$E146-$F146+$G146)</f>
        <v/>
      </c>
      <c r="I146" s="22">
        <f>IF($B146="","",IF(ROUND($H146,0)&gt;0,"● بستانکار",IF(ROUND($H146,0)&lt;0,"● بدهکار","تسویه")))</f>
        <v/>
      </c>
    </row>
    <row r="147">
      <c r="A147" s="26">
        <f>IF($B147="","",138)</f>
        <v/>
      </c>
      <c r="B147" s="33">
        <f>IF(138&gt;NBskParty,"",INDEX(PkBskParty,138))</f>
        <v/>
      </c>
      <c r="C147" s="30">
        <f>IF($B147="","",IFERROR(IF(VLOOKUP($B147,AcctTbl,4,0)="","(بدون نام)",VLOOKUP($B147,AcctTbl,4,0)),"—"))</f>
        <v/>
      </c>
      <c r="D147" s="28">
        <f>IF($B147="","",SUMIF(CalcPartyA,$B147,CalcQtyA))</f>
        <v/>
      </c>
      <c r="E147" s="28">
        <f>IF($B147="","",SUMIF(CalcPartyA,$B147,CalcAmtA))</f>
        <v/>
      </c>
      <c r="F147" s="28">
        <f>IF($B147="","",SUMIF(CalcPartyB,$B147,CalcWitB))</f>
        <v/>
      </c>
      <c r="G147" s="28">
        <f>IF($B147="","",SUMIF(CalcPartyB,$B147,CalcDepB))</f>
        <v/>
      </c>
      <c r="H147" s="29">
        <f>IF($B147="","",$E147-$F147+$G147)</f>
        <v/>
      </c>
      <c r="I147" s="27">
        <f>IF($B147="","",IF(ROUND($H147,0)&gt;0,"● بستانکار",IF(ROUND($H147,0)&lt;0,"● بدهکار","تسویه")))</f>
        <v/>
      </c>
    </row>
    <row r="148">
      <c r="A148" s="21">
        <f>IF($B148="","",139)</f>
        <v/>
      </c>
      <c r="B148" s="32">
        <f>IF(139&gt;NBskParty,"",INDEX(PkBskParty,139))</f>
        <v/>
      </c>
      <c r="C148" s="25">
        <f>IF($B148="","",IFERROR(IF(VLOOKUP($B148,AcctTbl,4,0)="","(بدون نام)",VLOOKUP($B148,AcctTbl,4,0)),"—"))</f>
        <v/>
      </c>
      <c r="D148" s="23">
        <f>IF($B148="","",SUMIF(CalcPartyA,$B148,CalcQtyA))</f>
        <v/>
      </c>
      <c r="E148" s="23">
        <f>IF($B148="","",SUMIF(CalcPartyA,$B148,CalcAmtA))</f>
        <v/>
      </c>
      <c r="F148" s="23">
        <f>IF($B148="","",SUMIF(CalcPartyB,$B148,CalcWitB))</f>
        <v/>
      </c>
      <c r="G148" s="23">
        <f>IF($B148="","",SUMIF(CalcPartyB,$B148,CalcDepB))</f>
        <v/>
      </c>
      <c r="H148" s="24">
        <f>IF($B148="","",$E148-$F148+$G148)</f>
        <v/>
      </c>
      <c r="I148" s="22">
        <f>IF($B148="","",IF(ROUND($H148,0)&gt;0,"● بستانکار",IF(ROUND($H148,0)&lt;0,"● بدهکار","تسویه")))</f>
        <v/>
      </c>
    </row>
    <row r="149">
      <c r="A149" s="26">
        <f>IF($B149="","",140)</f>
        <v/>
      </c>
      <c r="B149" s="33">
        <f>IF(140&gt;NBskParty,"",INDEX(PkBskParty,140))</f>
        <v/>
      </c>
      <c r="C149" s="30">
        <f>IF($B149="","",IFERROR(IF(VLOOKUP($B149,AcctTbl,4,0)="","(بدون نام)",VLOOKUP($B149,AcctTbl,4,0)),"—"))</f>
        <v/>
      </c>
      <c r="D149" s="28">
        <f>IF($B149="","",SUMIF(CalcPartyA,$B149,CalcQtyA))</f>
        <v/>
      </c>
      <c r="E149" s="28">
        <f>IF($B149="","",SUMIF(CalcPartyA,$B149,CalcAmtA))</f>
        <v/>
      </c>
      <c r="F149" s="28">
        <f>IF($B149="","",SUMIF(CalcPartyB,$B149,CalcWitB))</f>
        <v/>
      </c>
      <c r="G149" s="28">
        <f>IF($B149="","",SUMIF(CalcPartyB,$B149,CalcDepB))</f>
        <v/>
      </c>
      <c r="H149" s="29">
        <f>IF($B149="","",$E149-$F149+$G149)</f>
        <v/>
      </c>
      <c r="I149" s="27">
        <f>IF($B149="","",IF(ROUND($H149,0)&gt;0,"● بستانکار",IF(ROUND($H149,0)&lt;0,"● بدهکار","تسویه")))</f>
        <v/>
      </c>
    </row>
    <row r="150">
      <c r="A150" s="21">
        <f>IF($B150="","",141)</f>
        <v/>
      </c>
      <c r="B150" s="32">
        <f>IF(141&gt;NBskParty,"",INDEX(PkBskParty,141))</f>
        <v/>
      </c>
      <c r="C150" s="25">
        <f>IF($B150="","",IFERROR(IF(VLOOKUP($B150,AcctTbl,4,0)="","(بدون نام)",VLOOKUP($B150,AcctTbl,4,0)),"—"))</f>
        <v/>
      </c>
      <c r="D150" s="23">
        <f>IF($B150="","",SUMIF(CalcPartyA,$B150,CalcQtyA))</f>
        <v/>
      </c>
      <c r="E150" s="23">
        <f>IF($B150="","",SUMIF(CalcPartyA,$B150,CalcAmtA))</f>
        <v/>
      </c>
      <c r="F150" s="23">
        <f>IF($B150="","",SUMIF(CalcPartyB,$B150,CalcWitB))</f>
        <v/>
      </c>
      <c r="G150" s="23">
        <f>IF($B150="","",SUMIF(CalcPartyB,$B150,CalcDepB))</f>
        <v/>
      </c>
      <c r="H150" s="24">
        <f>IF($B150="","",$E150-$F150+$G150)</f>
        <v/>
      </c>
      <c r="I150" s="22">
        <f>IF($B150="","",IF(ROUND($H150,0)&gt;0,"● بستانکار",IF(ROUND($H150,0)&lt;0,"● بدهکار","تسویه")))</f>
        <v/>
      </c>
    </row>
    <row r="151">
      <c r="A151" s="26">
        <f>IF($B151="","",142)</f>
        <v/>
      </c>
      <c r="B151" s="33">
        <f>IF(142&gt;NBskParty,"",INDEX(PkBskParty,142))</f>
        <v/>
      </c>
      <c r="C151" s="30">
        <f>IF($B151="","",IFERROR(IF(VLOOKUP($B151,AcctTbl,4,0)="","(بدون نام)",VLOOKUP($B151,AcctTbl,4,0)),"—"))</f>
        <v/>
      </c>
      <c r="D151" s="28">
        <f>IF($B151="","",SUMIF(CalcPartyA,$B151,CalcQtyA))</f>
        <v/>
      </c>
      <c r="E151" s="28">
        <f>IF($B151="","",SUMIF(CalcPartyA,$B151,CalcAmtA))</f>
        <v/>
      </c>
      <c r="F151" s="28">
        <f>IF($B151="","",SUMIF(CalcPartyB,$B151,CalcWitB))</f>
        <v/>
      </c>
      <c r="G151" s="28">
        <f>IF($B151="","",SUMIF(CalcPartyB,$B151,CalcDepB))</f>
        <v/>
      </c>
      <c r="H151" s="29">
        <f>IF($B151="","",$E151-$F151+$G151)</f>
        <v/>
      </c>
      <c r="I151" s="27">
        <f>IF($B151="","",IF(ROUND($H151,0)&gt;0,"● بستانکار",IF(ROUND($H151,0)&lt;0,"● بدهکار","تسویه")))</f>
        <v/>
      </c>
    </row>
    <row r="152">
      <c r="A152" s="21">
        <f>IF($B152="","",143)</f>
        <v/>
      </c>
      <c r="B152" s="32">
        <f>IF(143&gt;NBskParty,"",INDEX(PkBskParty,143))</f>
        <v/>
      </c>
      <c r="C152" s="25">
        <f>IF($B152="","",IFERROR(IF(VLOOKUP($B152,AcctTbl,4,0)="","(بدون نام)",VLOOKUP($B152,AcctTbl,4,0)),"—"))</f>
        <v/>
      </c>
      <c r="D152" s="23">
        <f>IF($B152="","",SUMIF(CalcPartyA,$B152,CalcQtyA))</f>
        <v/>
      </c>
      <c r="E152" s="23">
        <f>IF($B152="","",SUMIF(CalcPartyA,$B152,CalcAmtA))</f>
        <v/>
      </c>
      <c r="F152" s="23">
        <f>IF($B152="","",SUMIF(CalcPartyB,$B152,CalcWitB))</f>
        <v/>
      </c>
      <c r="G152" s="23">
        <f>IF($B152="","",SUMIF(CalcPartyB,$B152,CalcDepB))</f>
        <v/>
      </c>
      <c r="H152" s="24">
        <f>IF($B152="","",$E152-$F152+$G152)</f>
        <v/>
      </c>
      <c r="I152" s="22">
        <f>IF($B152="","",IF(ROUND($H152,0)&gt;0,"● بستانکار",IF(ROUND($H152,0)&lt;0,"● بدهکار","تسویه")))</f>
        <v/>
      </c>
    </row>
    <row r="153">
      <c r="A153" s="26">
        <f>IF($B153="","",144)</f>
        <v/>
      </c>
      <c r="B153" s="33">
        <f>IF(144&gt;NBskParty,"",INDEX(PkBskParty,144))</f>
        <v/>
      </c>
      <c r="C153" s="30">
        <f>IF($B153="","",IFERROR(IF(VLOOKUP($B153,AcctTbl,4,0)="","(بدون نام)",VLOOKUP($B153,AcctTbl,4,0)),"—"))</f>
        <v/>
      </c>
      <c r="D153" s="28">
        <f>IF($B153="","",SUMIF(CalcPartyA,$B153,CalcQtyA))</f>
        <v/>
      </c>
      <c r="E153" s="28">
        <f>IF($B153="","",SUMIF(CalcPartyA,$B153,CalcAmtA))</f>
        <v/>
      </c>
      <c r="F153" s="28">
        <f>IF($B153="","",SUMIF(CalcPartyB,$B153,CalcWitB))</f>
        <v/>
      </c>
      <c r="G153" s="28">
        <f>IF($B153="","",SUMIF(CalcPartyB,$B153,CalcDepB))</f>
        <v/>
      </c>
      <c r="H153" s="29">
        <f>IF($B153="","",$E153-$F153+$G153)</f>
        <v/>
      </c>
      <c r="I153" s="27">
        <f>IF($B153="","",IF(ROUND($H153,0)&gt;0,"● بستانکار",IF(ROUND($H153,0)&lt;0,"● بدهکار","تسویه")))</f>
        <v/>
      </c>
    </row>
    <row r="154">
      <c r="A154" s="21">
        <f>IF($B154="","",145)</f>
        <v/>
      </c>
      <c r="B154" s="32">
        <f>IF(145&gt;NBskParty,"",INDEX(PkBskParty,145))</f>
        <v/>
      </c>
      <c r="C154" s="25">
        <f>IF($B154="","",IFERROR(IF(VLOOKUP($B154,AcctTbl,4,0)="","(بدون نام)",VLOOKUP($B154,AcctTbl,4,0)),"—"))</f>
        <v/>
      </c>
      <c r="D154" s="23">
        <f>IF($B154="","",SUMIF(CalcPartyA,$B154,CalcQtyA))</f>
        <v/>
      </c>
      <c r="E154" s="23">
        <f>IF($B154="","",SUMIF(CalcPartyA,$B154,CalcAmtA))</f>
        <v/>
      </c>
      <c r="F154" s="23">
        <f>IF($B154="","",SUMIF(CalcPartyB,$B154,CalcWitB))</f>
        <v/>
      </c>
      <c r="G154" s="23">
        <f>IF($B154="","",SUMIF(CalcPartyB,$B154,CalcDepB))</f>
        <v/>
      </c>
      <c r="H154" s="24">
        <f>IF($B154="","",$E154-$F154+$G154)</f>
        <v/>
      </c>
      <c r="I154" s="22">
        <f>IF($B154="","",IF(ROUND($H154,0)&gt;0,"● بستانکار",IF(ROUND($H154,0)&lt;0,"● بدهکار","تسویه")))</f>
        <v/>
      </c>
    </row>
    <row r="155">
      <c r="A155" s="26">
        <f>IF($B155="","",146)</f>
        <v/>
      </c>
      <c r="B155" s="33">
        <f>IF(146&gt;NBskParty,"",INDEX(PkBskParty,146))</f>
        <v/>
      </c>
      <c r="C155" s="30">
        <f>IF($B155="","",IFERROR(IF(VLOOKUP($B155,AcctTbl,4,0)="","(بدون نام)",VLOOKUP($B155,AcctTbl,4,0)),"—"))</f>
        <v/>
      </c>
      <c r="D155" s="28">
        <f>IF($B155="","",SUMIF(CalcPartyA,$B155,CalcQtyA))</f>
        <v/>
      </c>
      <c r="E155" s="28">
        <f>IF($B155="","",SUMIF(CalcPartyA,$B155,CalcAmtA))</f>
        <v/>
      </c>
      <c r="F155" s="28">
        <f>IF($B155="","",SUMIF(CalcPartyB,$B155,CalcWitB))</f>
        <v/>
      </c>
      <c r="G155" s="28">
        <f>IF($B155="","",SUMIF(CalcPartyB,$B155,CalcDepB))</f>
        <v/>
      </c>
      <c r="H155" s="29">
        <f>IF($B155="","",$E155-$F155+$G155)</f>
        <v/>
      </c>
      <c r="I155" s="27">
        <f>IF($B155="","",IF(ROUND($H155,0)&gt;0,"● بستانکار",IF(ROUND($H155,0)&lt;0,"● بدهکار","تسویه")))</f>
        <v/>
      </c>
    </row>
    <row r="156">
      <c r="A156" s="21">
        <f>IF($B156="","",147)</f>
        <v/>
      </c>
      <c r="B156" s="32">
        <f>IF(147&gt;NBskParty,"",INDEX(PkBskParty,147))</f>
        <v/>
      </c>
      <c r="C156" s="25">
        <f>IF($B156="","",IFERROR(IF(VLOOKUP($B156,AcctTbl,4,0)="","(بدون نام)",VLOOKUP($B156,AcctTbl,4,0)),"—"))</f>
        <v/>
      </c>
      <c r="D156" s="23">
        <f>IF($B156="","",SUMIF(CalcPartyA,$B156,CalcQtyA))</f>
        <v/>
      </c>
      <c r="E156" s="23">
        <f>IF($B156="","",SUMIF(CalcPartyA,$B156,CalcAmtA))</f>
        <v/>
      </c>
      <c r="F156" s="23">
        <f>IF($B156="","",SUMIF(CalcPartyB,$B156,CalcWitB))</f>
        <v/>
      </c>
      <c r="G156" s="23">
        <f>IF($B156="","",SUMIF(CalcPartyB,$B156,CalcDepB))</f>
        <v/>
      </c>
      <c r="H156" s="24">
        <f>IF($B156="","",$E156-$F156+$G156)</f>
        <v/>
      </c>
      <c r="I156" s="22">
        <f>IF($B156="","",IF(ROUND($H156,0)&gt;0,"● بستانکار",IF(ROUND($H156,0)&lt;0,"● بدهکار","تسویه")))</f>
        <v/>
      </c>
    </row>
    <row r="157">
      <c r="A157" s="26">
        <f>IF($B157="","",148)</f>
        <v/>
      </c>
      <c r="B157" s="33">
        <f>IF(148&gt;NBskParty,"",INDEX(PkBskParty,148))</f>
        <v/>
      </c>
      <c r="C157" s="30">
        <f>IF($B157="","",IFERROR(IF(VLOOKUP($B157,AcctTbl,4,0)="","(بدون نام)",VLOOKUP($B157,AcctTbl,4,0)),"—"))</f>
        <v/>
      </c>
      <c r="D157" s="28">
        <f>IF($B157="","",SUMIF(CalcPartyA,$B157,CalcQtyA))</f>
        <v/>
      </c>
      <c r="E157" s="28">
        <f>IF($B157="","",SUMIF(CalcPartyA,$B157,CalcAmtA))</f>
        <v/>
      </c>
      <c r="F157" s="28">
        <f>IF($B157="","",SUMIF(CalcPartyB,$B157,CalcWitB))</f>
        <v/>
      </c>
      <c r="G157" s="28">
        <f>IF($B157="","",SUMIF(CalcPartyB,$B157,CalcDepB))</f>
        <v/>
      </c>
      <c r="H157" s="29">
        <f>IF($B157="","",$E157-$F157+$G157)</f>
        <v/>
      </c>
      <c r="I157" s="27">
        <f>IF($B157="","",IF(ROUND($H157,0)&gt;0,"● بستانکار",IF(ROUND($H157,0)&lt;0,"● بدهکار","تسویه")))</f>
        <v/>
      </c>
    </row>
    <row r="158">
      <c r="A158" s="21">
        <f>IF($B158="","",149)</f>
        <v/>
      </c>
      <c r="B158" s="32">
        <f>IF(149&gt;NBskParty,"",INDEX(PkBskParty,149))</f>
        <v/>
      </c>
      <c r="C158" s="25">
        <f>IF($B158="","",IFERROR(IF(VLOOKUP($B158,AcctTbl,4,0)="","(بدون نام)",VLOOKUP($B158,AcctTbl,4,0)),"—"))</f>
        <v/>
      </c>
      <c r="D158" s="23">
        <f>IF($B158="","",SUMIF(CalcPartyA,$B158,CalcQtyA))</f>
        <v/>
      </c>
      <c r="E158" s="23">
        <f>IF($B158="","",SUMIF(CalcPartyA,$B158,CalcAmtA))</f>
        <v/>
      </c>
      <c r="F158" s="23">
        <f>IF($B158="","",SUMIF(CalcPartyB,$B158,CalcWitB))</f>
        <v/>
      </c>
      <c r="G158" s="23">
        <f>IF($B158="","",SUMIF(CalcPartyB,$B158,CalcDepB))</f>
        <v/>
      </c>
      <c r="H158" s="24">
        <f>IF($B158="","",$E158-$F158+$G158)</f>
        <v/>
      </c>
      <c r="I158" s="22">
        <f>IF($B158="","",IF(ROUND($H158,0)&gt;0,"● بستانکار",IF(ROUND($H158,0)&lt;0,"● بدهکار","تسویه")))</f>
        <v/>
      </c>
    </row>
    <row r="159">
      <c r="A159" s="26">
        <f>IF($B159="","",150)</f>
        <v/>
      </c>
      <c r="B159" s="33">
        <f>IF(150&gt;NBskParty,"",INDEX(PkBskParty,150))</f>
        <v/>
      </c>
      <c r="C159" s="30">
        <f>IF($B159="","",IFERROR(IF(VLOOKUP($B159,AcctTbl,4,0)="","(بدون نام)",VLOOKUP($B159,AcctTbl,4,0)),"—"))</f>
        <v/>
      </c>
      <c r="D159" s="28">
        <f>IF($B159="","",SUMIF(CalcPartyA,$B159,CalcQtyA))</f>
        <v/>
      </c>
      <c r="E159" s="28">
        <f>IF($B159="","",SUMIF(CalcPartyA,$B159,CalcAmtA))</f>
        <v/>
      </c>
      <c r="F159" s="28">
        <f>IF($B159="","",SUMIF(CalcPartyB,$B159,CalcWitB))</f>
        <v/>
      </c>
      <c r="G159" s="28">
        <f>IF($B159="","",SUMIF(CalcPartyB,$B159,CalcDepB))</f>
        <v/>
      </c>
      <c r="H159" s="29">
        <f>IF($B159="","",$E159-$F159+$G159)</f>
        <v/>
      </c>
      <c r="I159" s="27">
        <f>IF($B159="","",IF(ROUND($H159,0)&gt;0,"● بستانکار",IF(ROUND($H159,0)&lt;0,"● بدهکار","تسویه")))</f>
        <v/>
      </c>
    </row>
    <row r="160">
      <c r="A160" s="21">
        <f>IF($B160="","",151)</f>
        <v/>
      </c>
      <c r="B160" s="32">
        <f>IF(151&gt;NBskParty,"",INDEX(PkBskParty,151))</f>
        <v/>
      </c>
      <c r="C160" s="25">
        <f>IF($B160="","",IFERROR(IF(VLOOKUP($B160,AcctTbl,4,0)="","(بدون نام)",VLOOKUP($B160,AcctTbl,4,0)),"—"))</f>
        <v/>
      </c>
      <c r="D160" s="23">
        <f>IF($B160="","",SUMIF(CalcPartyA,$B160,CalcQtyA))</f>
        <v/>
      </c>
      <c r="E160" s="23">
        <f>IF($B160="","",SUMIF(CalcPartyA,$B160,CalcAmtA))</f>
        <v/>
      </c>
      <c r="F160" s="23">
        <f>IF($B160="","",SUMIF(CalcPartyB,$B160,CalcWitB))</f>
        <v/>
      </c>
      <c r="G160" s="23">
        <f>IF($B160="","",SUMIF(CalcPartyB,$B160,CalcDepB))</f>
        <v/>
      </c>
      <c r="H160" s="24">
        <f>IF($B160="","",$E160-$F160+$G160)</f>
        <v/>
      </c>
      <c r="I160" s="22">
        <f>IF($B160="","",IF(ROUND($H160,0)&gt;0,"● بستانکار",IF(ROUND($H160,0)&lt;0,"● بدهکار","تسویه")))</f>
        <v/>
      </c>
    </row>
    <row r="161">
      <c r="A161" s="26">
        <f>IF($B161="","",152)</f>
        <v/>
      </c>
      <c r="B161" s="33">
        <f>IF(152&gt;NBskParty,"",INDEX(PkBskParty,152))</f>
        <v/>
      </c>
      <c r="C161" s="30">
        <f>IF($B161="","",IFERROR(IF(VLOOKUP($B161,AcctTbl,4,0)="","(بدون نام)",VLOOKUP($B161,AcctTbl,4,0)),"—"))</f>
        <v/>
      </c>
      <c r="D161" s="28">
        <f>IF($B161="","",SUMIF(CalcPartyA,$B161,CalcQtyA))</f>
        <v/>
      </c>
      <c r="E161" s="28">
        <f>IF($B161="","",SUMIF(CalcPartyA,$B161,CalcAmtA))</f>
        <v/>
      </c>
      <c r="F161" s="28">
        <f>IF($B161="","",SUMIF(CalcPartyB,$B161,CalcWitB))</f>
        <v/>
      </c>
      <c r="G161" s="28">
        <f>IF($B161="","",SUMIF(CalcPartyB,$B161,CalcDepB))</f>
        <v/>
      </c>
      <c r="H161" s="29">
        <f>IF($B161="","",$E161-$F161+$G161)</f>
        <v/>
      </c>
      <c r="I161" s="27">
        <f>IF($B161="","",IF(ROUND($H161,0)&gt;0,"● بستانکار",IF(ROUND($H161,0)&lt;0,"● بدهکار","تسویه")))</f>
        <v/>
      </c>
    </row>
    <row r="162">
      <c r="A162" s="21">
        <f>IF($B162="","",153)</f>
        <v/>
      </c>
      <c r="B162" s="32">
        <f>IF(153&gt;NBskParty,"",INDEX(PkBskParty,153))</f>
        <v/>
      </c>
      <c r="C162" s="25">
        <f>IF($B162="","",IFERROR(IF(VLOOKUP($B162,AcctTbl,4,0)="","(بدون نام)",VLOOKUP($B162,AcctTbl,4,0)),"—"))</f>
        <v/>
      </c>
      <c r="D162" s="23">
        <f>IF($B162="","",SUMIF(CalcPartyA,$B162,CalcQtyA))</f>
        <v/>
      </c>
      <c r="E162" s="23">
        <f>IF($B162="","",SUMIF(CalcPartyA,$B162,CalcAmtA))</f>
        <v/>
      </c>
      <c r="F162" s="23">
        <f>IF($B162="","",SUMIF(CalcPartyB,$B162,CalcWitB))</f>
        <v/>
      </c>
      <c r="G162" s="23">
        <f>IF($B162="","",SUMIF(CalcPartyB,$B162,CalcDepB))</f>
        <v/>
      </c>
      <c r="H162" s="24">
        <f>IF($B162="","",$E162-$F162+$G162)</f>
        <v/>
      </c>
      <c r="I162" s="22">
        <f>IF($B162="","",IF(ROUND($H162,0)&gt;0,"● بستانکار",IF(ROUND($H162,0)&lt;0,"● بدهکار","تسویه")))</f>
        <v/>
      </c>
    </row>
    <row r="163">
      <c r="A163" s="26">
        <f>IF($B163="","",154)</f>
        <v/>
      </c>
      <c r="B163" s="33">
        <f>IF(154&gt;NBskParty,"",INDEX(PkBskParty,154))</f>
        <v/>
      </c>
      <c r="C163" s="30">
        <f>IF($B163="","",IFERROR(IF(VLOOKUP($B163,AcctTbl,4,0)="","(بدون نام)",VLOOKUP($B163,AcctTbl,4,0)),"—"))</f>
        <v/>
      </c>
      <c r="D163" s="28">
        <f>IF($B163="","",SUMIF(CalcPartyA,$B163,CalcQtyA))</f>
        <v/>
      </c>
      <c r="E163" s="28">
        <f>IF($B163="","",SUMIF(CalcPartyA,$B163,CalcAmtA))</f>
        <v/>
      </c>
      <c r="F163" s="28">
        <f>IF($B163="","",SUMIF(CalcPartyB,$B163,CalcWitB))</f>
        <v/>
      </c>
      <c r="G163" s="28">
        <f>IF($B163="","",SUMIF(CalcPartyB,$B163,CalcDepB))</f>
        <v/>
      </c>
      <c r="H163" s="29">
        <f>IF($B163="","",$E163-$F163+$G163)</f>
        <v/>
      </c>
      <c r="I163" s="27">
        <f>IF($B163="","",IF(ROUND($H163,0)&gt;0,"● بستانکار",IF(ROUND($H163,0)&lt;0,"● بدهکار","تسویه")))</f>
        <v/>
      </c>
    </row>
    <row r="164">
      <c r="A164" s="21">
        <f>IF($B164="","",155)</f>
        <v/>
      </c>
      <c r="B164" s="32">
        <f>IF(155&gt;NBskParty,"",INDEX(PkBskParty,155))</f>
        <v/>
      </c>
      <c r="C164" s="25">
        <f>IF($B164="","",IFERROR(IF(VLOOKUP($B164,AcctTbl,4,0)="","(بدون نام)",VLOOKUP($B164,AcctTbl,4,0)),"—"))</f>
        <v/>
      </c>
      <c r="D164" s="23">
        <f>IF($B164="","",SUMIF(CalcPartyA,$B164,CalcQtyA))</f>
        <v/>
      </c>
      <c r="E164" s="23">
        <f>IF($B164="","",SUMIF(CalcPartyA,$B164,CalcAmtA))</f>
        <v/>
      </c>
      <c r="F164" s="23">
        <f>IF($B164="","",SUMIF(CalcPartyB,$B164,CalcWitB))</f>
        <v/>
      </c>
      <c r="G164" s="23">
        <f>IF($B164="","",SUMIF(CalcPartyB,$B164,CalcDepB))</f>
        <v/>
      </c>
      <c r="H164" s="24">
        <f>IF($B164="","",$E164-$F164+$G164)</f>
        <v/>
      </c>
      <c r="I164" s="22">
        <f>IF($B164="","",IF(ROUND($H164,0)&gt;0,"● بستانکار",IF(ROUND($H164,0)&lt;0,"● بدهکار","تسویه")))</f>
        <v/>
      </c>
    </row>
    <row r="165">
      <c r="A165" s="26">
        <f>IF($B165="","",156)</f>
        <v/>
      </c>
      <c r="B165" s="33">
        <f>IF(156&gt;NBskParty,"",INDEX(PkBskParty,156))</f>
        <v/>
      </c>
      <c r="C165" s="30">
        <f>IF($B165="","",IFERROR(IF(VLOOKUP($B165,AcctTbl,4,0)="","(بدون نام)",VLOOKUP($B165,AcctTbl,4,0)),"—"))</f>
        <v/>
      </c>
      <c r="D165" s="28">
        <f>IF($B165="","",SUMIF(CalcPartyA,$B165,CalcQtyA))</f>
        <v/>
      </c>
      <c r="E165" s="28">
        <f>IF($B165="","",SUMIF(CalcPartyA,$B165,CalcAmtA))</f>
        <v/>
      </c>
      <c r="F165" s="28">
        <f>IF($B165="","",SUMIF(CalcPartyB,$B165,CalcWitB))</f>
        <v/>
      </c>
      <c r="G165" s="28">
        <f>IF($B165="","",SUMIF(CalcPartyB,$B165,CalcDepB))</f>
        <v/>
      </c>
      <c r="H165" s="29">
        <f>IF($B165="","",$E165-$F165+$G165)</f>
        <v/>
      </c>
      <c r="I165" s="27">
        <f>IF($B165="","",IF(ROUND($H165,0)&gt;0,"● بستانکار",IF(ROUND($H165,0)&lt;0,"● بدهکار","تسویه")))</f>
        <v/>
      </c>
    </row>
    <row r="166">
      <c r="A166" s="21">
        <f>IF($B166="","",157)</f>
        <v/>
      </c>
      <c r="B166" s="32">
        <f>IF(157&gt;NBskParty,"",INDEX(PkBskParty,157))</f>
        <v/>
      </c>
      <c r="C166" s="25">
        <f>IF($B166="","",IFERROR(IF(VLOOKUP($B166,AcctTbl,4,0)="","(بدون نام)",VLOOKUP($B166,AcctTbl,4,0)),"—"))</f>
        <v/>
      </c>
      <c r="D166" s="23">
        <f>IF($B166="","",SUMIF(CalcPartyA,$B166,CalcQtyA))</f>
        <v/>
      </c>
      <c r="E166" s="23">
        <f>IF($B166="","",SUMIF(CalcPartyA,$B166,CalcAmtA))</f>
        <v/>
      </c>
      <c r="F166" s="23">
        <f>IF($B166="","",SUMIF(CalcPartyB,$B166,CalcWitB))</f>
        <v/>
      </c>
      <c r="G166" s="23">
        <f>IF($B166="","",SUMIF(CalcPartyB,$B166,CalcDepB))</f>
        <v/>
      </c>
      <c r="H166" s="24">
        <f>IF($B166="","",$E166-$F166+$G166)</f>
        <v/>
      </c>
      <c r="I166" s="22">
        <f>IF($B166="","",IF(ROUND($H166,0)&gt;0,"● بستانکار",IF(ROUND($H166,0)&lt;0,"● بدهکار","تسویه")))</f>
        <v/>
      </c>
    </row>
    <row r="167">
      <c r="A167" s="26">
        <f>IF($B167="","",158)</f>
        <v/>
      </c>
      <c r="B167" s="33">
        <f>IF(158&gt;NBskParty,"",INDEX(PkBskParty,158))</f>
        <v/>
      </c>
      <c r="C167" s="30">
        <f>IF($B167="","",IFERROR(IF(VLOOKUP($B167,AcctTbl,4,0)="","(بدون نام)",VLOOKUP($B167,AcctTbl,4,0)),"—"))</f>
        <v/>
      </c>
      <c r="D167" s="28">
        <f>IF($B167="","",SUMIF(CalcPartyA,$B167,CalcQtyA))</f>
        <v/>
      </c>
      <c r="E167" s="28">
        <f>IF($B167="","",SUMIF(CalcPartyA,$B167,CalcAmtA))</f>
        <v/>
      </c>
      <c r="F167" s="28">
        <f>IF($B167="","",SUMIF(CalcPartyB,$B167,CalcWitB))</f>
        <v/>
      </c>
      <c r="G167" s="28">
        <f>IF($B167="","",SUMIF(CalcPartyB,$B167,CalcDepB))</f>
        <v/>
      </c>
      <c r="H167" s="29">
        <f>IF($B167="","",$E167-$F167+$G167)</f>
        <v/>
      </c>
      <c r="I167" s="27">
        <f>IF($B167="","",IF(ROUND($H167,0)&gt;0,"● بستانکار",IF(ROUND($H167,0)&lt;0,"● بدهکار","تسویه")))</f>
        <v/>
      </c>
    </row>
    <row r="168">
      <c r="A168" s="21">
        <f>IF($B168="","",159)</f>
        <v/>
      </c>
      <c r="B168" s="32">
        <f>IF(159&gt;NBskParty,"",INDEX(PkBskParty,159))</f>
        <v/>
      </c>
      <c r="C168" s="25">
        <f>IF($B168="","",IFERROR(IF(VLOOKUP($B168,AcctTbl,4,0)="","(بدون نام)",VLOOKUP($B168,AcctTbl,4,0)),"—"))</f>
        <v/>
      </c>
      <c r="D168" s="23">
        <f>IF($B168="","",SUMIF(CalcPartyA,$B168,CalcQtyA))</f>
        <v/>
      </c>
      <c r="E168" s="23">
        <f>IF($B168="","",SUMIF(CalcPartyA,$B168,CalcAmtA))</f>
        <v/>
      </c>
      <c r="F168" s="23">
        <f>IF($B168="","",SUMIF(CalcPartyB,$B168,CalcWitB))</f>
        <v/>
      </c>
      <c r="G168" s="23">
        <f>IF($B168="","",SUMIF(CalcPartyB,$B168,CalcDepB))</f>
        <v/>
      </c>
      <c r="H168" s="24">
        <f>IF($B168="","",$E168-$F168+$G168)</f>
        <v/>
      </c>
      <c r="I168" s="22">
        <f>IF($B168="","",IF(ROUND($H168,0)&gt;0,"● بستانکار",IF(ROUND($H168,0)&lt;0,"● بدهکار","تسویه")))</f>
        <v/>
      </c>
    </row>
    <row r="169">
      <c r="A169" s="26">
        <f>IF($B169="","",160)</f>
        <v/>
      </c>
      <c r="B169" s="33">
        <f>IF(160&gt;NBskParty,"",INDEX(PkBskParty,160))</f>
        <v/>
      </c>
      <c r="C169" s="30">
        <f>IF($B169="","",IFERROR(IF(VLOOKUP($B169,AcctTbl,4,0)="","(بدون نام)",VLOOKUP($B169,AcctTbl,4,0)),"—"))</f>
        <v/>
      </c>
      <c r="D169" s="28">
        <f>IF($B169="","",SUMIF(CalcPartyA,$B169,CalcQtyA))</f>
        <v/>
      </c>
      <c r="E169" s="28">
        <f>IF($B169="","",SUMIF(CalcPartyA,$B169,CalcAmtA))</f>
        <v/>
      </c>
      <c r="F169" s="28">
        <f>IF($B169="","",SUMIF(CalcPartyB,$B169,CalcWitB))</f>
        <v/>
      </c>
      <c r="G169" s="28">
        <f>IF($B169="","",SUMIF(CalcPartyB,$B169,CalcDepB))</f>
        <v/>
      </c>
      <c r="H169" s="29">
        <f>IF($B169="","",$E169-$F169+$G169)</f>
        <v/>
      </c>
      <c r="I169" s="27">
        <f>IF($B169="","",IF(ROUND($H169,0)&gt;0,"● بستانکار",IF(ROUND($H169,0)&lt;0,"● بدهکار","تسویه")))</f>
        <v/>
      </c>
    </row>
    <row r="170">
      <c r="A170" s="21">
        <f>IF($B170="","",161)</f>
        <v/>
      </c>
      <c r="B170" s="32">
        <f>IF(161&gt;NBskParty,"",INDEX(PkBskParty,161))</f>
        <v/>
      </c>
      <c r="C170" s="25">
        <f>IF($B170="","",IFERROR(IF(VLOOKUP($B170,AcctTbl,4,0)="","(بدون نام)",VLOOKUP($B170,AcctTbl,4,0)),"—"))</f>
        <v/>
      </c>
      <c r="D170" s="23">
        <f>IF($B170="","",SUMIF(CalcPartyA,$B170,CalcQtyA))</f>
        <v/>
      </c>
      <c r="E170" s="23">
        <f>IF($B170="","",SUMIF(CalcPartyA,$B170,CalcAmtA))</f>
        <v/>
      </c>
      <c r="F170" s="23">
        <f>IF($B170="","",SUMIF(CalcPartyB,$B170,CalcWitB))</f>
        <v/>
      </c>
      <c r="G170" s="23">
        <f>IF($B170="","",SUMIF(CalcPartyB,$B170,CalcDepB))</f>
        <v/>
      </c>
      <c r="H170" s="24">
        <f>IF($B170="","",$E170-$F170+$G170)</f>
        <v/>
      </c>
      <c r="I170" s="22">
        <f>IF($B170="","",IF(ROUND($H170,0)&gt;0,"● بستانکار",IF(ROUND($H170,0)&lt;0,"● بدهکار","تسویه")))</f>
        <v/>
      </c>
    </row>
    <row r="171">
      <c r="A171" s="26">
        <f>IF($B171="","",162)</f>
        <v/>
      </c>
      <c r="B171" s="33">
        <f>IF(162&gt;NBskParty,"",INDEX(PkBskParty,162))</f>
        <v/>
      </c>
      <c r="C171" s="30">
        <f>IF($B171="","",IFERROR(IF(VLOOKUP($B171,AcctTbl,4,0)="","(بدون نام)",VLOOKUP($B171,AcctTbl,4,0)),"—"))</f>
        <v/>
      </c>
      <c r="D171" s="28">
        <f>IF($B171="","",SUMIF(CalcPartyA,$B171,CalcQtyA))</f>
        <v/>
      </c>
      <c r="E171" s="28">
        <f>IF($B171="","",SUMIF(CalcPartyA,$B171,CalcAmtA))</f>
        <v/>
      </c>
      <c r="F171" s="28">
        <f>IF($B171="","",SUMIF(CalcPartyB,$B171,CalcWitB))</f>
        <v/>
      </c>
      <c r="G171" s="28">
        <f>IF($B171="","",SUMIF(CalcPartyB,$B171,CalcDepB))</f>
        <v/>
      </c>
      <c r="H171" s="29">
        <f>IF($B171="","",$E171-$F171+$G171)</f>
        <v/>
      </c>
      <c r="I171" s="27">
        <f>IF($B171="","",IF(ROUND($H171,0)&gt;0,"● بستانکار",IF(ROUND($H171,0)&lt;0,"● بدهکار","تسویه")))</f>
        <v/>
      </c>
    </row>
    <row r="172">
      <c r="A172" s="21">
        <f>IF($B172="","",163)</f>
        <v/>
      </c>
      <c r="B172" s="32">
        <f>IF(163&gt;NBskParty,"",INDEX(PkBskParty,163))</f>
        <v/>
      </c>
      <c r="C172" s="25">
        <f>IF($B172="","",IFERROR(IF(VLOOKUP($B172,AcctTbl,4,0)="","(بدون نام)",VLOOKUP($B172,AcctTbl,4,0)),"—"))</f>
        <v/>
      </c>
      <c r="D172" s="23">
        <f>IF($B172="","",SUMIF(CalcPartyA,$B172,CalcQtyA))</f>
        <v/>
      </c>
      <c r="E172" s="23">
        <f>IF($B172="","",SUMIF(CalcPartyA,$B172,CalcAmtA))</f>
        <v/>
      </c>
      <c r="F172" s="23">
        <f>IF($B172="","",SUMIF(CalcPartyB,$B172,CalcWitB))</f>
        <v/>
      </c>
      <c r="G172" s="23">
        <f>IF($B172="","",SUMIF(CalcPartyB,$B172,CalcDepB))</f>
        <v/>
      </c>
      <c r="H172" s="24">
        <f>IF($B172="","",$E172-$F172+$G172)</f>
        <v/>
      </c>
      <c r="I172" s="22">
        <f>IF($B172="","",IF(ROUND($H172,0)&gt;0,"● بستانکار",IF(ROUND($H172,0)&lt;0,"● بدهکار","تسویه")))</f>
        <v/>
      </c>
    </row>
    <row r="173">
      <c r="A173" s="26">
        <f>IF($B173="","",164)</f>
        <v/>
      </c>
      <c r="B173" s="33">
        <f>IF(164&gt;NBskParty,"",INDEX(PkBskParty,164))</f>
        <v/>
      </c>
      <c r="C173" s="30">
        <f>IF($B173="","",IFERROR(IF(VLOOKUP($B173,AcctTbl,4,0)="","(بدون نام)",VLOOKUP($B173,AcctTbl,4,0)),"—"))</f>
        <v/>
      </c>
      <c r="D173" s="28">
        <f>IF($B173="","",SUMIF(CalcPartyA,$B173,CalcQtyA))</f>
        <v/>
      </c>
      <c r="E173" s="28">
        <f>IF($B173="","",SUMIF(CalcPartyA,$B173,CalcAmtA))</f>
        <v/>
      </c>
      <c r="F173" s="28">
        <f>IF($B173="","",SUMIF(CalcPartyB,$B173,CalcWitB))</f>
        <v/>
      </c>
      <c r="G173" s="28">
        <f>IF($B173="","",SUMIF(CalcPartyB,$B173,CalcDepB))</f>
        <v/>
      </c>
      <c r="H173" s="29">
        <f>IF($B173="","",$E173-$F173+$G173)</f>
        <v/>
      </c>
      <c r="I173" s="27">
        <f>IF($B173="","",IF(ROUND($H173,0)&gt;0,"● بستانکار",IF(ROUND($H173,0)&lt;0,"● بدهکار","تسویه")))</f>
        <v/>
      </c>
    </row>
    <row r="174">
      <c r="A174" s="21">
        <f>IF($B174="","",165)</f>
        <v/>
      </c>
      <c r="B174" s="32">
        <f>IF(165&gt;NBskParty,"",INDEX(PkBskParty,165))</f>
        <v/>
      </c>
      <c r="C174" s="25">
        <f>IF($B174="","",IFERROR(IF(VLOOKUP($B174,AcctTbl,4,0)="","(بدون نام)",VLOOKUP($B174,AcctTbl,4,0)),"—"))</f>
        <v/>
      </c>
      <c r="D174" s="23">
        <f>IF($B174="","",SUMIF(CalcPartyA,$B174,CalcQtyA))</f>
        <v/>
      </c>
      <c r="E174" s="23">
        <f>IF($B174="","",SUMIF(CalcPartyA,$B174,CalcAmtA))</f>
        <v/>
      </c>
      <c r="F174" s="23">
        <f>IF($B174="","",SUMIF(CalcPartyB,$B174,CalcWitB))</f>
        <v/>
      </c>
      <c r="G174" s="23">
        <f>IF($B174="","",SUMIF(CalcPartyB,$B174,CalcDepB))</f>
        <v/>
      </c>
      <c r="H174" s="24">
        <f>IF($B174="","",$E174-$F174+$G174)</f>
        <v/>
      </c>
      <c r="I174" s="22">
        <f>IF($B174="","",IF(ROUND($H174,0)&gt;0,"● بستانکار",IF(ROUND($H174,0)&lt;0,"● بدهکار","تسویه")))</f>
        <v/>
      </c>
    </row>
    <row r="175">
      <c r="A175" s="26">
        <f>IF($B175="","",166)</f>
        <v/>
      </c>
      <c r="B175" s="33">
        <f>IF(166&gt;NBskParty,"",INDEX(PkBskParty,166))</f>
        <v/>
      </c>
      <c r="C175" s="30">
        <f>IF($B175="","",IFERROR(IF(VLOOKUP($B175,AcctTbl,4,0)="","(بدون نام)",VLOOKUP($B175,AcctTbl,4,0)),"—"))</f>
        <v/>
      </c>
      <c r="D175" s="28">
        <f>IF($B175="","",SUMIF(CalcPartyA,$B175,CalcQtyA))</f>
        <v/>
      </c>
      <c r="E175" s="28">
        <f>IF($B175="","",SUMIF(CalcPartyA,$B175,CalcAmtA))</f>
        <v/>
      </c>
      <c r="F175" s="28">
        <f>IF($B175="","",SUMIF(CalcPartyB,$B175,CalcWitB))</f>
        <v/>
      </c>
      <c r="G175" s="28">
        <f>IF($B175="","",SUMIF(CalcPartyB,$B175,CalcDepB))</f>
        <v/>
      </c>
      <c r="H175" s="29">
        <f>IF($B175="","",$E175-$F175+$G175)</f>
        <v/>
      </c>
      <c r="I175" s="27">
        <f>IF($B175="","",IF(ROUND($H175,0)&gt;0,"● بستانکار",IF(ROUND($H175,0)&lt;0,"● بدهکار","تسویه")))</f>
        <v/>
      </c>
    </row>
    <row r="176">
      <c r="A176" s="21">
        <f>IF($B176="","",167)</f>
        <v/>
      </c>
      <c r="B176" s="32">
        <f>IF(167&gt;NBskParty,"",INDEX(PkBskParty,167))</f>
        <v/>
      </c>
      <c r="C176" s="25">
        <f>IF($B176="","",IFERROR(IF(VLOOKUP($B176,AcctTbl,4,0)="","(بدون نام)",VLOOKUP($B176,AcctTbl,4,0)),"—"))</f>
        <v/>
      </c>
      <c r="D176" s="23">
        <f>IF($B176="","",SUMIF(CalcPartyA,$B176,CalcQtyA))</f>
        <v/>
      </c>
      <c r="E176" s="23">
        <f>IF($B176="","",SUMIF(CalcPartyA,$B176,CalcAmtA))</f>
        <v/>
      </c>
      <c r="F176" s="23">
        <f>IF($B176="","",SUMIF(CalcPartyB,$B176,CalcWitB))</f>
        <v/>
      </c>
      <c r="G176" s="23">
        <f>IF($B176="","",SUMIF(CalcPartyB,$B176,CalcDepB))</f>
        <v/>
      </c>
      <c r="H176" s="24">
        <f>IF($B176="","",$E176-$F176+$G176)</f>
        <v/>
      </c>
      <c r="I176" s="22">
        <f>IF($B176="","",IF(ROUND($H176,0)&gt;0,"● بستانکار",IF(ROUND($H176,0)&lt;0,"● بدهکار","تسویه")))</f>
        <v/>
      </c>
    </row>
    <row r="177">
      <c r="A177" s="26">
        <f>IF($B177="","",168)</f>
        <v/>
      </c>
      <c r="B177" s="33">
        <f>IF(168&gt;NBskParty,"",INDEX(PkBskParty,168))</f>
        <v/>
      </c>
      <c r="C177" s="30">
        <f>IF($B177="","",IFERROR(IF(VLOOKUP($B177,AcctTbl,4,0)="","(بدون نام)",VLOOKUP($B177,AcctTbl,4,0)),"—"))</f>
        <v/>
      </c>
      <c r="D177" s="28">
        <f>IF($B177="","",SUMIF(CalcPartyA,$B177,CalcQtyA))</f>
        <v/>
      </c>
      <c r="E177" s="28">
        <f>IF($B177="","",SUMIF(CalcPartyA,$B177,CalcAmtA))</f>
        <v/>
      </c>
      <c r="F177" s="28">
        <f>IF($B177="","",SUMIF(CalcPartyB,$B177,CalcWitB))</f>
        <v/>
      </c>
      <c r="G177" s="28">
        <f>IF($B177="","",SUMIF(CalcPartyB,$B177,CalcDepB))</f>
        <v/>
      </c>
      <c r="H177" s="29">
        <f>IF($B177="","",$E177-$F177+$G177)</f>
        <v/>
      </c>
      <c r="I177" s="27">
        <f>IF($B177="","",IF(ROUND($H177,0)&gt;0,"● بستانکار",IF(ROUND($H177,0)&lt;0,"● بدهکار","تسویه")))</f>
        <v/>
      </c>
    </row>
    <row r="178">
      <c r="A178" s="21">
        <f>IF($B178="","",169)</f>
        <v/>
      </c>
      <c r="B178" s="32">
        <f>IF(169&gt;NBskParty,"",INDEX(PkBskParty,169))</f>
        <v/>
      </c>
      <c r="C178" s="25">
        <f>IF($B178="","",IFERROR(IF(VLOOKUP($B178,AcctTbl,4,0)="","(بدون نام)",VLOOKUP($B178,AcctTbl,4,0)),"—"))</f>
        <v/>
      </c>
      <c r="D178" s="23">
        <f>IF($B178="","",SUMIF(CalcPartyA,$B178,CalcQtyA))</f>
        <v/>
      </c>
      <c r="E178" s="23">
        <f>IF($B178="","",SUMIF(CalcPartyA,$B178,CalcAmtA))</f>
        <v/>
      </c>
      <c r="F178" s="23">
        <f>IF($B178="","",SUMIF(CalcPartyB,$B178,CalcWitB))</f>
        <v/>
      </c>
      <c r="G178" s="23">
        <f>IF($B178="","",SUMIF(CalcPartyB,$B178,CalcDepB))</f>
        <v/>
      </c>
      <c r="H178" s="24">
        <f>IF($B178="","",$E178-$F178+$G178)</f>
        <v/>
      </c>
      <c r="I178" s="22">
        <f>IF($B178="","",IF(ROUND($H178,0)&gt;0,"● بستانکار",IF(ROUND($H178,0)&lt;0,"● بدهکار","تسویه")))</f>
        <v/>
      </c>
    </row>
    <row r="179">
      <c r="A179" s="26">
        <f>IF($B179="","",170)</f>
        <v/>
      </c>
      <c r="B179" s="33">
        <f>IF(170&gt;NBskParty,"",INDEX(PkBskParty,170))</f>
        <v/>
      </c>
      <c r="C179" s="30">
        <f>IF($B179="","",IFERROR(IF(VLOOKUP($B179,AcctTbl,4,0)="","(بدون نام)",VLOOKUP($B179,AcctTbl,4,0)),"—"))</f>
        <v/>
      </c>
      <c r="D179" s="28">
        <f>IF($B179="","",SUMIF(CalcPartyA,$B179,CalcQtyA))</f>
        <v/>
      </c>
      <c r="E179" s="28">
        <f>IF($B179="","",SUMIF(CalcPartyA,$B179,CalcAmtA))</f>
        <v/>
      </c>
      <c r="F179" s="28">
        <f>IF($B179="","",SUMIF(CalcPartyB,$B179,CalcWitB))</f>
        <v/>
      </c>
      <c r="G179" s="28">
        <f>IF($B179="","",SUMIF(CalcPartyB,$B179,CalcDepB))</f>
        <v/>
      </c>
      <c r="H179" s="29">
        <f>IF($B179="","",$E179-$F179+$G179)</f>
        <v/>
      </c>
      <c r="I179" s="27">
        <f>IF($B179="","",IF(ROUND($H179,0)&gt;0,"● بستانکار",IF(ROUND($H179,0)&lt;0,"● بدهکار","تسویه")))</f>
        <v/>
      </c>
    </row>
    <row r="180">
      <c r="A180" s="21">
        <f>IF($B180="","",171)</f>
        <v/>
      </c>
      <c r="B180" s="32">
        <f>IF(171&gt;NBskParty,"",INDEX(PkBskParty,171))</f>
        <v/>
      </c>
      <c r="C180" s="25">
        <f>IF($B180="","",IFERROR(IF(VLOOKUP($B180,AcctTbl,4,0)="","(بدون نام)",VLOOKUP($B180,AcctTbl,4,0)),"—"))</f>
        <v/>
      </c>
      <c r="D180" s="23">
        <f>IF($B180="","",SUMIF(CalcPartyA,$B180,CalcQtyA))</f>
        <v/>
      </c>
      <c r="E180" s="23">
        <f>IF($B180="","",SUMIF(CalcPartyA,$B180,CalcAmtA))</f>
        <v/>
      </c>
      <c r="F180" s="23">
        <f>IF($B180="","",SUMIF(CalcPartyB,$B180,CalcWitB))</f>
        <v/>
      </c>
      <c r="G180" s="23">
        <f>IF($B180="","",SUMIF(CalcPartyB,$B180,CalcDepB))</f>
        <v/>
      </c>
      <c r="H180" s="24">
        <f>IF($B180="","",$E180-$F180+$G180)</f>
        <v/>
      </c>
      <c r="I180" s="22">
        <f>IF($B180="","",IF(ROUND($H180,0)&gt;0,"● بستانکار",IF(ROUND($H180,0)&lt;0,"● بدهکار","تسویه")))</f>
        <v/>
      </c>
    </row>
    <row r="181">
      <c r="A181" s="26">
        <f>IF($B181="","",172)</f>
        <v/>
      </c>
      <c r="B181" s="33">
        <f>IF(172&gt;NBskParty,"",INDEX(PkBskParty,172))</f>
        <v/>
      </c>
      <c r="C181" s="30">
        <f>IF($B181="","",IFERROR(IF(VLOOKUP($B181,AcctTbl,4,0)="","(بدون نام)",VLOOKUP($B181,AcctTbl,4,0)),"—"))</f>
        <v/>
      </c>
      <c r="D181" s="28">
        <f>IF($B181="","",SUMIF(CalcPartyA,$B181,CalcQtyA))</f>
        <v/>
      </c>
      <c r="E181" s="28">
        <f>IF($B181="","",SUMIF(CalcPartyA,$B181,CalcAmtA))</f>
        <v/>
      </c>
      <c r="F181" s="28">
        <f>IF($B181="","",SUMIF(CalcPartyB,$B181,CalcWitB))</f>
        <v/>
      </c>
      <c r="G181" s="28">
        <f>IF($B181="","",SUMIF(CalcPartyB,$B181,CalcDepB))</f>
        <v/>
      </c>
      <c r="H181" s="29">
        <f>IF($B181="","",$E181-$F181+$G181)</f>
        <v/>
      </c>
      <c r="I181" s="27">
        <f>IF($B181="","",IF(ROUND($H181,0)&gt;0,"● بستانکار",IF(ROUND($H181,0)&lt;0,"● بدهکار","تسویه")))</f>
        <v/>
      </c>
    </row>
    <row r="182">
      <c r="A182" s="21">
        <f>IF($B182="","",173)</f>
        <v/>
      </c>
      <c r="B182" s="32">
        <f>IF(173&gt;NBskParty,"",INDEX(PkBskParty,173))</f>
        <v/>
      </c>
      <c r="C182" s="25">
        <f>IF($B182="","",IFERROR(IF(VLOOKUP($B182,AcctTbl,4,0)="","(بدون نام)",VLOOKUP($B182,AcctTbl,4,0)),"—"))</f>
        <v/>
      </c>
      <c r="D182" s="23">
        <f>IF($B182="","",SUMIF(CalcPartyA,$B182,CalcQtyA))</f>
        <v/>
      </c>
      <c r="E182" s="23">
        <f>IF($B182="","",SUMIF(CalcPartyA,$B182,CalcAmtA))</f>
        <v/>
      </c>
      <c r="F182" s="23">
        <f>IF($B182="","",SUMIF(CalcPartyB,$B182,CalcWitB))</f>
        <v/>
      </c>
      <c r="G182" s="23">
        <f>IF($B182="","",SUMIF(CalcPartyB,$B182,CalcDepB))</f>
        <v/>
      </c>
      <c r="H182" s="24">
        <f>IF($B182="","",$E182-$F182+$G182)</f>
        <v/>
      </c>
      <c r="I182" s="22">
        <f>IF($B182="","",IF(ROUND($H182,0)&gt;0,"● بستانکار",IF(ROUND($H182,0)&lt;0,"● بدهکار","تسویه")))</f>
        <v/>
      </c>
    </row>
    <row r="183">
      <c r="A183" s="26">
        <f>IF($B183="","",174)</f>
        <v/>
      </c>
      <c r="B183" s="33">
        <f>IF(174&gt;NBskParty,"",INDEX(PkBskParty,174))</f>
        <v/>
      </c>
      <c r="C183" s="30">
        <f>IF($B183="","",IFERROR(IF(VLOOKUP($B183,AcctTbl,4,0)="","(بدون نام)",VLOOKUP($B183,AcctTbl,4,0)),"—"))</f>
        <v/>
      </c>
      <c r="D183" s="28">
        <f>IF($B183="","",SUMIF(CalcPartyA,$B183,CalcQtyA))</f>
        <v/>
      </c>
      <c r="E183" s="28">
        <f>IF($B183="","",SUMIF(CalcPartyA,$B183,CalcAmtA))</f>
        <v/>
      </c>
      <c r="F183" s="28">
        <f>IF($B183="","",SUMIF(CalcPartyB,$B183,CalcWitB))</f>
        <v/>
      </c>
      <c r="G183" s="28">
        <f>IF($B183="","",SUMIF(CalcPartyB,$B183,CalcDepB))</f>
        <v/>
      </c>
      <c r="H183" s="29">
        <f>IF($B183="","",$E183-$F183+$G183)</f>
        <v/>
      </c>
      <c r="I183" s="27">
        <f>IF($B183="","",IF(ROUND($H183,0)&gt;0,"● بستانکار",IF(ROUND($H183,0)&lt;0,"● بدهکار","تسویه")))</f>
        <v/>
      </c>
    </row>
    <row r="184">
      <c r="A184" s="21">
        <f>IF($B184="","",175)</f>
        <v/>
      </c>
      <c r="B184" s="32">
        <f>IF(175&gt;NBskParty,"",INDEX(PkBskParty,175))</f>
        <v/>
      </c>
      <c r="C184" s="25">
        <f>IF($B184="","",IFERROR(IF(VLOOKUP($B184,AcctTbl,4,0)="","(بدون نام)",VLOOKUP($B184,AcctTbl,4,0)),"—"))</f>
        <v/>
      </c>
      <c r="D184" s="23">
        <f>IF($B184="","",SUMIF(CalcPartyA,$B184,CalcQtyA))</f>
        <v/>
      </c>
      <c r="E184" s="23">
        <f>IF($B184="","",SUMIF(CalcPartyA,$B184,CalcAmtA))</f>
        <v/>
      </c>
      <c r="F184" s="23">
        <f>IF($B184="","",SUMIF(CalcPartyB,$B184,CalcWitB))</f>
        <v/>
      </c>
      <c r="G184" s="23">
        <f>IF($B184="","",SUMIF(CalcPartyB,$B184,CalcDepB))</f>
        <v/>
      </c>
      <c r="H184" s="24">
        <f>IF($B184="","",$E184-$F184+$G184)</f>
        <v/>
      </c>
      <c r="I184" s="22">
        <f>IF($B184="","",IF(ROUND($H184,0)&gt;0,"● بستانکار",IF(ROUND($H184,0)&lt;0,"● بدهکار","تسویه")))</f>
        <v/>
      </c>
    </row>
    <row r="185">
      <c r="A185" s="26">
        <f>IF($B185="","",176)</f>
        <v/>
      </c>
      <c r="B185" s="33">
        <f>IF(176&gt;NBskParty,"",INDEX(PkBskParty,176))</f>
        <v/>
      </c>
      <c r="C185" s="30">
        <f>IF($B185="","",IFERROR(IF(VLOOKUP($B185,AcctTbl,4,0)="","(بدون نام)",VLOOKUP($B185,AcctTbl,4,0)),"—"))</f>
        <v/>
      </c>
      <c r="D185" s="28">
        <f>IF($B185="","",SUMIF(CalcPartyA,$B185,CalcQtyA))</f>
        <v/>
      </c>
      <c r="E185" s="28">
        <f>IF($B185="","",SUMIF(CalcPartyA,$B185,CalcAmtA))</f>
        <v/>
      </c>
      <c r="F185" s="28">
        <f>IF($B185="","",SUMIF(CalcPartyB,$B185,CalcWitB))</f>
        <v/>
      </c>
      <c r="G185" s="28">
        <f>IF($B185="","",SUMIF(CalcPartyB,$B185,CalcDepB))</f>
        <v/>
      </c>
      <c r="H185" s="29">
        <f>IF($B185="","",$E185-$F185+$G185)</f>
        <v/>
      </c>
      <c r="I185" s="27">
        <f>IF($B185="","",IF(ROUND($H185,0)&gt;0,"● بستانکار",IF(ROUND($H185,0)&lt;0,"● بدهکار","تسویه")))</f>
        <v/>
      </c>
    </row>
    <row r="186">
      <c r="A186" s="21">
        <f>IF($B186="","",177)</f>
        <v/>
      </c>
      <c r="B186" s="32">
        <f>IF(177&gt;NBskParty,"",INDEX(PkBskParty,177))</f>
        <v/>
      </c>
      <c r="C186" s="25">
        <f>IF($B186="","",IFERROR(IF(VLOOKUP($B186,AcctTbl,4,0)="","(بدون نام)",VLOOKUP($B186,AcctTbl,4,0)),"—"))</f>
        <v/>
      </c>
      <c r="D186" s="23">
        <f>IF($B186="","",SUMIF(CalcPartyA,$B186,CalcQtyA))</f>
        <v/>
      </c>
      <c r="E186" s="23">
        <f>IF($B186="","",SUMIF(CalcPartyA,$B186,CalcAmtA))</f>
        <v/>
      </c>
      <c r="F186" s="23">
        <f>IF($B186="","",SUMIF(CalcPartyB,$B186,CalcWitB))</f>
        <v/>
      </c>
      <c r="G186" s="23">
        <f>IF($B186="","",SUMIF(CalcPartyB,$B186,CalcDepB))</f>
        <v/>
      </c>
      <c r="H186" s="24">
        <f>IF($B186="","",$E186-$F186+$G186)</f>
        <v/>
      </c>
      <c r="I186" s="22">
        <f>IF($B186="","",IF(ROUND($H186,0)&gt;0,"● بستانکار",IF(ROUND($H186,0)&lt;0,"● بدهکار","تسویه")))</f>
        <v/>
      </c>
    </row>
    <row r="187">
      <c r="A187" s="26">
        <f>IF($B187="","",178)</f>
        <v/>
      </c>
      <c r="B187" s="33">
        <f>IF(178&gt;NBskParty,"",INDEX(PkBskParty,178))</f>
        <v/>
      </c>
      <c r="C187" s="30">
        <f>IF($B187="","",IFERROR(IF(VLOOKUP($B187,AcctTbl,4,0)="","(بدون نام)",VLOOKUP($B187,AcctTbl,4,0)),"—"))</f>
        <v/>
      </c>
      <c r="D187" s="28">
        <f>IF($B187="","",SUMIF(CalcPartyA,$B187,CalcQtyA))</f>
        <v/>
      </c>
      <c r="E187" s="28">
        <f>IF($B187="","",SUMIF(CalcPartyA,$B187,CalcAmtA))</f>
        <v/>
      </c>
      <c r="F187" s="28">
        <f>IF($B187="","",SUMIF(CalcPartyB,$B187,CalcWitB))</f>
        <v/>
      </c>
      <c r="G187" s="28">
        <f>IF($B187="","",SUMIF(CalcPartyB,$B187,CalcDepB))</f>
        <v/>
      </c>
      <c r="H187" s="29">
        <f>IF($B187="","",$E187-$F187+$G187)</f>
        <v/>
      </c>
      <c r="I187" s="27">
        <f>IF($B187="","",IF(ROUND($H187,0)&gt;0,"● بستانکار",IF(ROUND($H187,0)&lt;0,"● بدهکار","تسویه")))</f>
        <v/>
      </c>
    </row>
    <row r="188">
      <c r="A188" s="21">
        <f>IF($B188="","",179)</f>
        <v/>
      </c>
      <c r="B188" s="32">
        <f>IF(179&gt;NBskParty,"",INDEX(PkBskParty,179))</f>
        <v/>
      </c>
      <c r="C188" s="25">
        <f>IF($B188="","",IFERROR(IF(VLOOKUP($B188,AcctTbl,4,0)="","(بدون نام)",VLOOKUP($B188,AcctTbl,4,0)),"—"))</f>
        <v/>
      </c>
      <c r="D188" s="23">
        <f>IF($B188="","",SUMIF(CalcPartyA,$B188,CalcQtyA))</f>
        <v/>
      </c>
      <c r="E188" s="23">
        <f>IF($B188="","",SUMIF(CalcPartyA,$B188,CalcAmtA))</f>
        <v/>
      </c>
      <c r="F188" s="23">
        <f>IF($B188="","",SUMIF(CalcPartyB,$B188,CalcWitB))</f>
        <v/>
      </c>
      <c r="G188" s="23">
        <f>IF($B188="","",SUMIF(CalcPartyB,$B188,CalcDepB))</f>
        <v/>
      </c>
      <c r="H188" s="24">
        <f>IF($B188="","",$E188-$F188+$G188)</f>
        <v/>
      </c>
      <c r="I188" s="22">
        <f>IF($B188="","",IF(ROUND($H188,0)&gt;0,"● بستانکار",IF(ROUND($H188,0)&lt;0,"● بدهکار","تسویه")))</f>
        <v/>
      </c>
    </row>
    <row r="189">
      <c r="A189" s="26">
        <f>IF($B189="","",180)</f>
        <v/>
      </c>
      <c r="B189" s="33">
        <f>IF(180&gt;NBskParty,"",INDEX(PkBskParty,180))</f>
        <v/>
      </c>
      <c r="C189" s="30">
        <f>IF($B189="","",IFERROR(IF(VLOOKUP($B189,AcctTbl,4,0)="","(بدون نام)",VLOOKUP($B189,AcctTbl,4,0)),"—"))</f>
        <v/>
      </c>
      <c r="D189" s="28">
        <f>IF($B189="","",SUMIF(CalcPartyA,$B189,CalcQtyA))</f>
        <v/>
      </c>
      <c r="E189" s="28">
        <f>IF($B189="","",SUMIF(CalcPartyA,$B189,CalcAmtA))</f>
        <v/>
      </c>
      <c r="F189" s="28">
        <f>IF($B189="","",SUMIF(CalcPartyB,$B189,CalcWitB))</f>
        <v/>
      </c>
      <c r="G189" s="28">
        <f>IF($B189="","",SUMIF(CalcPartyB,$B189,CalcDepB))</f>
        <v/>
      </c>
      <c r="H189" s="29">
        <f>IF($B189="","",$E189-$F189+$G189)</f>
        <v/>
      </c>
      <c r="I189" s="27">
        <f>IF($B189="","",IF(ROUND($H189,0)&gt;0,"● بستانکار",IF(ROUND($H189,0)&lt;0,"● بدهکار","تسویه")))</f>
        <v/>
      </c>
    </row>
    <row r="190">
      <c r="A190" s="21">
        <f>IF($B190="","",181)</f>
        <v/>
      </c>
      <c r="B190" s="32">
        <f>IF(181&gt;NBskParty,"",INDEX(PkBskParty,181))</f>
        <v/>
      </c>
      <c r="C190" s="25">
        <f>IF($B190="","",IFERROR(IF(VLOOKUP($B190,AcctTbl,4,0)="","(بدون نام)",VLOOKUP($B190,AcctTbl,4,0)),"—"))</f>
        <v/>
      </c>
      <c r="D190" s="23">
        <f>IF($B190="","",SUMIF(CalcPartyA,$B190,CalcQtyA))</f>
        <v/>
      </c>
      <c r="E190" s="23">
        <f>IF($B190="","",SUMIF(CalcPartyA,$B190,CalcAmtA))</f>
        <v/>
      </c>
      <c r="F190" s="23">
        <f>IF($B190="","",SUMIF(CalcPartyB,$B190,CalcWitB))</f>
        <v/>
      </c>
      <c r="G190" s="23">
        <f>IF($B190="","",SUMIF(CalcPartyB,$B190,CalcDepB))</f>
        <v/>
      </c>
      <c r="H190" s="24">
        <f>IF($B190="","",$E190-$F190+$G190)</f>
        <v/>
      </c>
      <c r="I190" s="22">
        <f>IF($B190="","",IF(ROUND($H190,0)&gt;0,"● بستانکار",IF(ROUND($H190,0)&lt;0,"● بدهکار","تسویه")))</f>
        <v/>
      </c>
    </row>
    <row r="191">
      <c r="A191" s="26">
        <f>IF($B191="","",182)</f>
        <v/>
      </c>
      <c r="B191" s="33">
        <f>IF(182&gt;NBskParty,"",INDEX(PkBskParty,182))</f>
        <v/>
      </c>
      <c r="C191" s="30">
        <f>IF($B191="","",IFERROR(IF(VLOOKUP($B191,AcctTbl,4,0)="","(بدون نام)",VLOOKUP($B191,AcctTbl,4,0)),"—"))</f>
        <v/>
      </c>
      <c r="D191" s="28">
        <f>IF($B191="","",SUMIF(CalcPartyA,$B191,CalcQtyA))</f>
        <v/>
      </c>
      <c r="E191" s="28">
        <f>IF($B191="","",SUMIF(CalcPartyA,$B191,CalcAmtA))</f>
        <v/>
      </c>
      <c r="F191" s="28">
        <f>IF($B191="","",SUMIF(CalcPartyB,$B191,CalcWitB))</f>
        <v/>
      </c>
      <c r="G191" s="28">
        <f>IF($B191="","",SUMIF(CalcPartyB,$B191,CalcDepB))</f>
        <v/>
      </c>
      <c r="H191" s="29">
        <f>IF($B191="","",$E191-$F191+$G191)</f>
        <v/>
      </c>
      <c r="I191" s="27">
        <f>IF($B191="","",IF(ROUND($H191,0)&gt;0,"● بستانکار",IF(ROUND($H191,0)&lt;0,"● بدهکار","تسویه")))</f>
        <v/>
      </c>
    </row>
    <row r="192">
      <c r="A192" s="21">
        <f>IF($B192="","",183)</f>
        <v/>
      </c>
      <c r="B192" s="32">
        <f>IF(183&gt;NBskParty,"",INDEX(PkBskParty,183))</f>
        <v/>
      </c>
      <c r="C192" s="25">
        <f>IF($B192="","",IFERROR(IF(VLOOKUP($B192,AcctTbl,4,0)="","(بدون نام)",VLOOKUP($B192,AcctTbl,4,0)),"—"))</f>
        <v/>
      </c>
      <c r="D192" s="23">
        <f>IF($B192="","",SUMIF(CalcPartyA,$B192,CalcQtyA))</f>
        <v/>
      </c>
      <c r="E192" s="23">
        <f>IF($B192="","",SUMIF(CalcPartyA,$B192,CalcAmtA))</f>
        <v/>
      </c>
      <c r="F192" s="23">
        <f>IF($B192="","",SUMIF(CalcPartyB,$B192,CalcWitB))</f>
        <v/>
      </c>
      <c r="G192" s="23">
        <f>IF($B192="","",SUMIF(CalcPartyB,$B192,CalcDepB))</f>
        <v/>
      </c>
      <c r="H192" s="24">
        <f>IF($B192="","",$E192-$F192+$G192)</f>
        <v/>
      </c>
      <c r="I192" s="22">
        <f>IF($B192="","",IF(ROUND($H192,0)&gt;0,"● بستانکار",IF(ROUND($H192,0)&lt;0,"● بدهکار","تسویه")))</f>
        <v/>
      </c>
    </row>
    <row r="193">
      <c r="A193" s="26">
        <f>IF($B193="","",184)</f>
        <v/>
      </c>
      <c r="B193" s="33">
        <f>IF(184&gt;NBskParty,"",INDEX(PkBskParty,184))</f>
        <v/>
      </c>
      <c r="C193" s="30">
        <f>IF($B193="","",IFERROR(IF(VLOOKUP($B193,AcctTbl,4,0)="","(بدون نام)",VLOOKUP($B193,AcctTbl,4,0)),"—"))</f>
        <v/>
      </c>
      <c r="D193" s="28">
        <f>IF($B193="","",SUMIF(CalcPartyA,$B193,CalcQtyA))</f>
        <v/>
      </c>
      <c r="E193" s="28">
        <f>IF($B193="","",SUMIF(CalcPartyA,$B193,CalcAmtA))</f>
        <v/>
      </c>
      <c r="F193" s="28">
        <f>IF($B193="","",SUMIF(CalcPartyB,$B193,CalcWitB))</f>
        <v/>
      </c>
      <c r="G193" s="28">
        <f>IF($B193="","",SUMIF(CalcPartyB,$B193,CalcDepB))</f>
        <v/>
      </c>
      <c r="H193" s="29">
        <f>IF($B193="","",$E193-$F193+$G193)</f>
        <v/>
      </c>
      <c r="I193" s="27">
        <f>IF($B193="","",IF(ROUND($H193,0)&gt;0,"● بستانکار",IF(ROUND($H193,0)&lt;0,"● بدهکار","تسویه")))</f>
        <v/>
      </c>
    </row>
    <row r="194">
      <c r="A194" s="21">
        <f>IF($B194="","",185)</f>
        <v/>
      </c>
      <c r="B194" s="32">
        <f>IF(185&gt;NBskParty,"",INDEX(PkBskParty,185))</f>
        <v/>
      </c>
      <c r="C194" s="25">
        <f>IF($B194="","",IFERROR(IF(VLOOKUP($B194,AcctTbl,4,0)="","(بدون نام)",VLOOKUP($B194,AcctTbl,4,0)),"—"))</f>
        <v/>
      </c>
      <c r="D194" s="23">
        <f>IF($B194="","",SUMIF(CalcPartyA,$B194,CalcQtyA))</f>
        <v/>
      </c>
      <c r="E194" s="23">
        <f>IF($B194="","",SUMIF(CalcPartyA,$B194,CalcAmtA))</f>
        <v/>
      </c>
      <c r="F194" s="23">
        <f>IF($B194="","",SUMIF(CalcPartyB,$B194,CalcWitB))</f>
        <v/>
      </c>
      <c r="G194" s="23">
        <f>IF($B194="","",SUMIF(CalcPartyB,$B194,CalcDepB))</f>
        <v/>
      </c>
      <c r="H194" s="24">
        <f>IF($B194="","",$E194-$F194+$G194)</f>
        <v/>
      </c>
      <c r="I194" s="22">
        <f>IF($B194="","",IF(ROUND($H194,0)&gt;0,"● بستانکار",IF(ROUND($H194,0)&lt;0,"● بدهکار","تسویه")))</f>
        <v/>
      </c>
    </row>
    <row r="195">
      <c r="A195" s="26">
        <f>IF($B195="","",186)</f>
        <v/>
      </c>
      <c r="B195" s="33">
        <f>IF(186&gt;NBskParty,"",INDEX(PkBskParty,186))</f>
        <v/>
      </c>
      <c r="C195" s="30">
        <f>IF($B195="","",IFERROR(IF(VLOOKUP($B195,AcctTbl,4,0)="","(بدون نام)",VLOOKUP($B195,AcctTbl,4,0)),"—"))</f>
        <v/>
      </c>
      <c r="D195" s="28">
        <f>IF($B195="","",SUMIF(CalcPartyA,$B195,CalcQtyA))</f>
        <v/>
      </c>
      <c r="E195" s="28">
        <f>IF($B195="","",SUMIF(CalcPartyA,$B195,CalcAmtA))</f>
        <v/>
      </c>
      <c r="F195" s="28">
        <f>IF($B195="","",SUMIF(CalcPartyB,$B195,CalcWitB))</f>
        <v/>
      </c>
      <c r="G195" s="28">
        <f>IF($B195="","",SUMIF(CalcPartyB,$B195,CalcDepB))</f>
        <v/>
      </c>
      <c r="H195" s="29">
        <f>IF($B195="","",$E195-$F195+$G195)</f>
        <v/>
      </c>
      <c r="I195" s="27">
        <f>IF($B195="","",IF(ROUND($H195,0)&gt;0,"● بستانکار",IF(ROUND($H195,0)&lt;0,"● بدهکار","تسویه")))</f>
        <v/>
      </c>
    </row>
    <row r="196">
      <c r="A196" s="21">
        <f>IF($B196="","",187)</f>
        <v/>
      </c>
      <c r="B196" s="32">
        <f>IF(187&gt;NBskParty,"",INDEX(PkBskParty,187))</f>
        <v/>
      </c>
      <c r="C196" s="25">
        <f>IF($B196="","",IFERROR(IF(VLOOKUP($B196,AcctTbl,4,0)="","(بدون نام)",VLOOKUP($B196,AcctTbl,4,0)),"—"))</f>
        <v/>
      </c>
      <c r="D196" s="23">
        <f>IF($B196="","",SUMIF(CalcPartyA,$B196,CalcQtyA))</f>
        <v/>
      </c>
      <c r="E196" s="23">
        <f>IF($B196="","",SUMIF(CalcPartyA,$B196,CalcAmtA))</f>
        <v/>
      </c>
      <c r="F196" s="23">
        <f>IF($B196="","",SUMIF(CalcPartyB,$B196,CalcWitB))</f>
        <v/>
      </c>
      <c r="G196" s="23">
        <f>IF($B196="","",SUMIF(CalcPartyB,$B196,CalcDepB))</f>
        <v/>
      </c>
      <c r="H196" s="24">
        <f>IF($B196="","",$E196-$F196+$G196)</f>
        <v/>
      </c>
      <c r="I196" s="22">
        <f>IF($B196="","",IF(ROUND($H196,0)&gt;0,"● بستانکار",IF(ROUND($H196,0)&lt;0,"● بدهکار","تسویه")))</f>
        <v/>
      </c>
    </row>
    <row r="197">
      <c r="A197" s="26">
        <f>IF($B197="","",188)</f>
        <v/>
      </c>
      <c r="B197" s="33">
        <f>IF(188&gt;NBskParty,"",INDEX(PkBskParty,188))</f>
        <v/>
      </c>
      <c r="C197" s="30">
        <f>IF($B197="","",IFERROR(IF(VLOOKUP($B197,AcctTbl,4,0)="","(بدون نام)",VLOOKUP($B197,AcctTbl,4,0)),"—"))</f>
        <v/>
      </c>
      <c r="D197" s="28">
        <f>IF($B197="","",SUMIF(CalcPartyA,$B197,CalcQtyA))</f>
        <v/>
      </c>
      <c r="E197" s="28">
        <f>IF($B197="","",SUMIF(CalcPartyA,$B197,CalcAmtA))</f>
        <v/>
      </c>
      <c r="F197" s="28">
        <f>IF($B197="","",SUMIF(CalcPartyB,$B197,CalcWitB))</f>
        <v/>
      </c>
      <c r="G197" s="28">
        <f>IF($B197="","",SUMIF(CalcPartyB,$B197,CalcDepB))</f>
        <v/>
      </c>
      <c r="H197" s="29">
        <f>IF($B197="","",$E197-$F197+$G197)</f>
        <v/>
      </c>
      <c r="I197" s="27">
        <f>IF($B197="","",IF(ROUND($H197,0)&gt;0,"● بستانکار",IF(ROUND($H197,0)&lt;0,"● بدهکار","تسویه")))</f>
        <v/>
      </c>
    </row>
    <row r="198">
      <c r="A198" s="21">
        <f>IF($B198="","",189)</f>
        <v/>
      </c>
      <c r="B198" s="32">
        <f>IF(189&gt;NBskParty,"",INDEX(PkBskParty,189))</f>
        <v/>
      </c>
      <c r="C198" s="25">
        <f>IF($B198="","",IFERROR(IF(VLOOKUP($B198,AcctTbl,4,0)="","(بدون نام)",VLOOKUP($B198,AcctTbl,4,0)),"—"))</f>
        <v/>
      </c>
      <c r="D198" s="23">
        <f>IF($B198="","",SUMIF(CalcPartyA,$B198,CalcQtyA))</f>
        <v/>
      </c>
      <c r="E198" s="23">
        <f>IF($B198="","",SUMIF(CalcPartyA,$B198,CalcAmtA))</f>
        <v/>
      </c>
      <c r="F198" s="23">
        <f>IF($B198="","",SUMIF(CalcPartyB,$B198,CalcWitB))</f>
        <v/>
      </c>
      <c r="G198" s="23">
        <f>IF($B198="","",SUMIF(CalcPartyB,$B198,CalcDepB))</f>
        <v/>
      </c>
      <c r="H198" s="24">
        <f>IF($B198="","",$E198-$F198+$G198)</f>
        <v/>
      </c>
      <c r="I198" s="22">
        <f>IF($B198="","",IF(ROUND($H198,0)&gt;0,"● بستانکار",IF(ROUND($H198,0)&lt;0,"● بدهکار","تسویه")))</f>
        <v/>
      </c>
    </row>
    <row r="199">
      <c r="A199" s="26">
        <f>IF($B199="","",190)</f>
        <v/>
      </c>
      <c r="B199" s="33">
        <f>IF(190&gt;NBskParty,"",INDEX(PkBskParty,190))</f>
        <v/>
      </c>
      <c r="C199" s="30">
        <f>IF($B199="","",IFERROR(IF(VLOOKUP($B199,AcctTbl,4,0)="","(بدون نام)",VLOOKUP($B199,AcctTbl,4,0)),"—"))</f>
        <v/>
      </c>
      <c r="D199" s="28">
        <f>IF($B199="","",SUMIF(CalcPartyA,$B199,CalcQtyA))</f>
        <v/>
      </c>
      <c r="E199" s="28">
        <f>IF($B199="","",SUMIF(CalcPartyA,$B199,CalcAmtA))</f>
        <v/>
      </c>
      <c r="F199" s="28">
        <f>IF($B199="","",SUMIF(CalcPartyB,$B199,CalcWitB))</f>
        <v/>
      </c>
      <c r="G199" s="28">
        <f>IF($B199="","",SUMIF(CalcPartyB,$B199,CalcDepB))</f>
        <v/>
      </c>
      <c r="H199" s="29">
        <f>IF($B199="","",$E199-$F199+$G199)</f>
        <v/>
      </c>
      <c r="I199" s="27">
        <f>IF($B199="","",IF(ROUND($H199,0)&gt;0,"● بستانکار",IF(ROUND($H199,0)&lt;0,"● بدهکار","تسویه")))</f>
        <v/>
      </c>
    </row>
    <row r="200">
      <c r="A200" s="21">
        <f>IF($B200="","",191)</f>
        <v/>
      </c>
      <c r="B200" s="32">
        <f>IF(191&gt;NBskParty,"",INDEX(PkBskParty,191))</f>
        <v/>
      </c>
      <c r="C200" s="25">
        <f>IF($B200="","",IFERROR(IF(VLOOKUP($B200,AcctTbl,4,0)="","(بدون نام)",VLOOKUP($B200,AcctTbl,4,0)),"—"))</f>
        <v/>
      </c>
      <c r="D200" s="23">
        <f>IF($B200="","",SUMIF(CalcPartyA,$B200,CalcQtyA))</f>
        <v/>
      </c>
      <c r="E200" s="23">
        <f>IF($B200="","",SUMIF(CalcPartyA,$B200,CalcAmtA))</f>
        <v/>
      </c>
      <c r="F200" s="23">
        <f>IF($B200="","",SUMIF(CalcPartyB,$B200,CalcWitB))</f>
        <v/>
      </c>
      <c r="G200" s="23">
        <f>IF($B200="","",SUMIF(CalcPartyB,$B200,CalcDepB))</f>
        <v/>
      </c>
      <c r="H200" s="24">
        <f>IF($B200="","",$E200-$F200+$G200)</f>
        <v/>
      </c>
      <c r="I200" s="22">
        <f>IF($B200="","",IF(ROUND($H200,0)&gt;0,"● بستانکار",IF(ROUND($H200,0)&lt;0,"● بدهکار","تسویه")))</f>
        <v/>
      </c>
    </row>
    <row r="201">
      <c r="A201" s="26">
        <f>IF($B201="","",192)</f>
        <v/>
      </c>
      <c r="B201" s="33">
        <f>IF(192&gt;NBskParty,"",INDEX(PkBskParty,192))</f>
        <v/>
      </c>
      <c r="C201" s="30">
        <f>IF($B201="","",IFERROR(IF(VLOOKUP($B201,AcctTbl,4,0)="","(بدون نام)",VLOOKUP($B201,AcctTbl,4,0)),"—"))</f>
        <v/>
      </c>
      <c r="D201" s="28">
        <f>IF($B201="","",SUMIF(CalcPartyA,$B201,CalcQtyA))</f>
        <v/>
      </c>
      <c r="E201" s="28">
        <f>IF($B201="","",SUMIF(CalcPartyA,$B201,CalcAmtA))</f>
        <v/>
      </c>
      <c r="F201" s="28">
        <f>IF($B201="","",SUMIF(CalcPartyB,$B201,CalcWitB))</f>
        <v/>
      </c>
      <c r="G201" s="28">
        <f>IF($B201="","",SUMIF(CalcPartyB,$B201,CalcDepB))</f>
        <v/>
      </c>
      <c r="H201" s="29">
        <f>IF($B201="","",$E201-$F201+$G201)</f>
        <v/>
      </c>
      <c r="I201" s="27">
        <f>IF($B201="","",IF(ROUND($H201,0)&gt;0,"● بستانکار",IF(ROUND($H201,0)&lt;0,"● بدهکار","تسویه")))</f>
        <v/>
      </c>
    </row>
    <row r="202">
      <c r="A202" s="21">
        <f>IF($B202="","",193)</f>
        <v/>
      </c>
      <c r="B202" s="32">
        <f>IF(193&gt;NBskParty,"",INDEX(PkBskParty,193))</f>
        <v/>
      </c>
      <c r="C202" s="25">
        <f>IF($B202="","",IFERROR(IF(VLOOKUP($B202,AcctTbl,4,0)="","(بدون نام)",VLOOKUP($B202,AcctTbl,4,0)),"—"))</f>
        <v/>
      </c>
      <c r="D202" s="23">
        <f>IF($B202="","",SUMIF(CalcPartyA,$B202,CalcQtyA))</f>
        <v/>
      </c>
      <c r="E202" s="23">
        <f>IF($B202="","",SUMIF(CalcPartyA,$B202,CalcAmtA))</f>
        <v/>
      </c>
      <c r="F202" s="23">
        <f>IF($B202="","",SUMIF(CalcPartyB,$B202,CalcWitB))</f>
        <v/>
      </c>
      <c r="G202" s="23">
        <f>IF($B202="","",SUMIF(CalcPartyB,$B202,CalcDepB))</f>
        <v/>
      </c>
      <c r="H202" s="24">
        <f>IF($B202="","",$E202-$F202+$G202)</f>
        <v/>
      </c>
      <c r="I202" s="22">
        <f>IF($B202="","",IF(ROUND($H202,0)&gt;0,"● بستانکار",IF(ROUND($H202,0)&lt;0,"● بدهکار","تسویه")))</f>
        <v/>
      </c>
    </row>
    <row r="203">
      <c r="A203" s="26">
        <f>IF($B203="","",194)</f>
        <v/>
      </c>
      <c r="B203" s="33">
        <f>IF(194&gt;NBskParty,"",INDEX(PkBskParty,194))</f>
        <v/>
      </c>
      <c r="C203" s="30">
        <f>IF($B203="","",IFERROR(IF(VLOOKUP($B203,AcctTbl,4,0)="","(بدون نام)",VLOOKUP($B203,AcctTbl,4,0)),"—"))</f>
        <v/>
      </c>
      <c r="D203" s="28">
        <f>IF($B203="","",SUMIF(CalcPartyA,$B203,CalcQtyA))</f>
        <v/>
      </c>
      <c r="E203" s="28">
        <f>IF($B203="","",SUMIF(CalcPartyA,$B203,CalcAmtA))</f>
        <v/>
      </c>
      <c r="F203" s="28">
        <f>IF($B203="","",SUMIF(CalcPartyB,$B203,CalcWitB))</f>
        <v/>
      </c>
      <c r="G203" s="28">
        <f>IF($B203="","",SUMIF(CalcPartyB,$B203,CalcDepB))</f>
        <v/>
      </c>
      <c r="H203" s="29">
        <f>IF($B203="","",$E203-$F203+$G203)</f>
        <v/>
      </c>
      <c r="I203" s="27">
        <f>IF($B203="","",IF(ROUND($H203,0)&gt;0,"● بستانکار",IF(ROUND($H203,0)&lt;0,"● بدهکار","تسویه")))</f>
        <v/>
      </c>
    </row>
    <row r="204">
      <c r="A204" s="21">
        <f>IF($B204="","",195)</f>
        <v/>
      </c>
      <c r="B204" s="32">
        <f>IF(195&gt;NBskParty,"",INDEX(PkBskParty,195))</f>
        <v/>
      </c>
      <c r="C204" s="25">
        <f>IF($B204="","",IFERROR(IF(VLOOKUP($B204,AcctTbl,4,0)="","(بدون نام)",VLOOKUP($B204,AcctTbl,4,0)),"—"))</f>
        <v/>
      </c>
      <c r="D204" s="23">
        <f>IF($B204="","",SUMIF(CalcPartyA,$B204,CalcQtyA))</f>
        <v/>
      </c>
      <c r="E204" s="23">
        <f>IF($B204="","",SUMIF(CalcPartyA,$B204,CalcAmtA))</f>
        <v/>
      </c>
      <c r="F204" s="23">
        <f>IF($B204="","",SUMIF(CalcPartyB,$B204,CalcWitB))</f>
        <v/>
      </c>
      <c r="G204" s="23">
        <f>IF($B204="","",SUMIF(CalcPartyB,$B204,CalcDepB))</f>
        <v/>
      </c>
      <c r="H204" s="24">
        <f>IF($B204="","",$E204-$F204+$G204)</f>
        <v/>
      </c>
      <c r="I204" s="22">
        <f>IF($B204="","",IF(ROUND($H204,0)&gt;0,"● بستانکار",IF(ROUND($H204,0)&lt;0,"● بدهکار","تسویه")))</f>
        <v/>
      </c>
    </row>
    <row r="205">
      <c r="A205" s="26">
        <f>IF($B205="","",196)</f>
        <v/>
      </c>
      <c r="B205" s="33">
        <f>IF(196&gt;NBskParty,"",INDEX(PkBskParty,196))</f>
        <v/>
      </c>
      <c r="C205" s="30">
        <f>IF($B205="","",IFERROR(IF(VLOOKUP($B205,AcctTbl,4,0)="","(بدون نام)",VLOOKUP($B205,AcctTbl,4,0)),"—"))</f>
        <v/>
      </c>
      <c r="D205" s="28">
        <f>IF($B205="","",SUMIF(CalcPartyA,$B205,CalcQtyA))</f>
        <v/>
      </c>
      <c r="E205" s="28">
        <f>IF($B205="","",SUMIF(CalcPartyA,$B205,CalcAmtA))</f>
        <v/>
      </c>
      <c r="F205" s="28">
        <f>IF($B205="","",SUMIF(CalcPartyB,$B205,CalcWitB))</f>
        <v/>
      </c>
      <c r="G205" s="28">
        <f>IF($B205="","",SUMIF(CalcPartyB,$B205,CalcDepB))</f>
        <v/>
      </c>
      <c r="H205" s="29">
        <f>IF($B205="","",$E205-$F205+$G205)</f>
        <v/>
      </c>
      <c r="I205" s="27">
        <f>IF($B205="","",IF(ROUND($H205,0)&gt;0,"● بستانکار",IF(ROUND($H205,0)&lt;0,"● بدهکار","تسویه")))</f>
        <v/>
      </c>
    </row>
    <row r="206">
      <c r="A206" s="21">
        <f>IF($B206="","",197)</f>
        <v/>
      </c>
      <c r="B206" s="32">
        <f>IF(197&gt;NBskParty,"",INDEX(PkBskParty,197))</f>
        <v/>
      </c>
      <c r="C206" s="25">
        <f>IF($B206="","",IFERROR(IF(VLOOKUP($B206,AcctTbl,4,0)="","(بدون نام)",VLOOKUP($B206,AcctTbl,4,0)),"—"))</f>
        <v/>
      </c>
      <c r="D206" s="23">
        <f>IF($B206="","",SUMIF(CalcPartyA,$B206,CalcQtyA))</f>
        <v/>
      </c>
      <c r="E206" s="23">
        <f>IF($B206="","",SUMIF(CalcPartyA,$B206,CalcAmtA))</f>
        <v/>
      </c>
      <c r="F206" s="23">
        <f>IF($B206="","",SUMIF(CalcPartyB,$B206,CalcWitB))</f>
        <v/>
      </c>
      <c r="G206" s="23">
        <f>IF($B206="","",SUMIF(CalcPartyB,$B206,CalcDepB))</f>
        <v/>
      </c>
      <c r="H206" s="24">
        <f>IF($B206="","",$E206-$F206+$G206)</f>
        <v/>
      </c>
      <c r="I206" s="22">
        <f>IF($B206="","",IF(ROUND($H206,0)&gt;0,"● بستانکار",IF(ROUND($H206,0)&lt;0,"● بدهکار","تسویه")))</f>
        <v/>
      </c>
    </row>
    <row r="207">
      <c r="A207" s="26">
        <f>IF($B207="","",198)</f>
        <v/>
      </c>
      <c r="B207" s="33">
        <f>IF(198&gt;NBskParty,"",INDEX(PkBskParty,198))</f>
        <v/>
      </c>
      <c r="C207" s="30">
        <f>IF($B207="","",IFERROR(IF(VLOOKUP($B207,AcctTbl,4,0)="","(بدون نام)",VLOOKUP($B207,AcctTbl,4,0)),"—"))</f>
        <v/>
      </c>
      <c r="D207" s="28">
        <f>IF($B207="","",SUMIF(CalcPartyA,$B207,CalcQtyA))</f>
        <v/>
      </c>
      <c r="E207" s="28">
        <f>IF($B207="","",SUMIF(CalcPartyA,$B207,CalcAmtA))</f>
        <v/>
      </c>
      <c r="F207" s="28">
        <f>IF($B207="","",SUMIF(CalcPartyB,$B207,CalcWitB))</f>
        <v/>
      </c>
      <c r="G207" s="28">
        <f>IF($B207="","",SUMIF(CalcPartyB,$B207,CalcDepB))</f>
        <v/>
      </c>
      <c r="H207" s="29">
        <f>IF($B207="","",$E207-$F207+$G207)</f>
        <v/>
      </c>
      <c r="I207" s="27">
        <f>IF($B207="","",IF(ROUND($H207,0)&gt;0,"● بستانکار",IF(ROUND($H207,0)&lt;0,"● بدهکار","تسویه")))</f>
        <v/>
      </c>
    </row>
    <row r="208">
      <c r="A208" s="21">
        <f>IF($B208="","",199)</f>
        <v/>
      </c>
      <c r="B208" s="32">
        <f>IF(199&gt;NBskParty,"",INDEX(PkBskParty,199))</f>
        <v/>
      </c>
      <c r="C208" s="25">
        <f>IF($B208="","",IFERROR(IF(VLOOKUP($B208,AcctTbl,4,0)="","(بدون نام)",VLOOKUP($B208,AcctTbl,4,0)),"—"))</f>
        <v/>
      </c>
      <c r="D208" s="23">
        <f>IF($B208="","",SUMIF(CalcPartyA,$B208,CalcQtyA))</f>
        <v/>
      </c>
      <c r="E208" s="23">
        <f>IF($B208="","",SUMIF(CalcPartyA,$B208,CalcAmtA))</f>
        <v/>
      </c>
      <c r="F208" s="23">
        <f>IF($B208="","",SUMIF(CalcPartyB,$B208,CalcWitB))</f>
        <v/>
      </c>
      <c r="G208" s="23">
        <f>IF($B208="","",SUMIF(CalcPartyB,$B208,CalcDepB))</f>
        <v/>
      </c>
      <c r="H208" s="24">
        <f>IF($B208="","",$E208-$F208+$G208)</f>
        <v/>
      </c>
      <c r="I208" s="22">
        <f>IF($B208="","",IF(ROUND($H208,0)&gt;0,"● بستانکار",IF(ROUND($H208,0)&lt;0,"● بدهکار","تسویه")))</f>
        <v/>
      </c>
    </row>
    <row r="209">
      <c r="A209" s="26">
        <f>IF($B209="","",200)</f>
        <v/>
      </c>
      <c r="B209" s="33">
        <f>IF(200&gt;NBskParty,"",INDEX(PkBskParty,200))</f>
        <v/>
      </c>
      <c r="C209" s="30">
        <f>IF($B209="","",IFERROR(IF(VLOOKUP($B209,AcctTbl,4,0)="","(بدون نام)",VLOOKUP($B209,AcctTbl,4,0)),"—"))</f>
        <v/>
      </c>
      <c r="D209" s="28">
        <f>IF($B209="","",SUMIF(CalcPartyA,$B209,CalcQtyA))</f>
        <v/>
      </c>
      <c r="E209" s="28">
        <f>IF($B209="","",SUMIF(CalcPartyA,$B209,CalcAmtA))</f>
        <v/>
      </c>
      <c r="F209" s="28">
        <f>IF($B209="","",SUMIF(CalcPartyB,$B209,CalcWitB))</f>
        <v/>
      </c>
      <c r="G209" s="28">
        <f>IF($B209="","",SUMIF(CalcPartyB,$B209,CalcDepB))</f>
        <v/>
      </c>
      <c r="H209" s="29">
        <f>IF($B209="","",$E209-$F209+$G209)</f>
        <v/>
      </c>
      <c r="I209" s="27">
        <f>IF($B209="","",IF(ROUND($H209,0)&gt;0,"● بستانکار",IF(ROUND($H209,0)&lt;0,"● بدهکار","تسویه")))</f>
        <v/>
      </c>
    </row>
    <row r="210">
      <c r="A210" s="21">
        <f>IF($B210="","",201)</f>
        <v/>
      </c>
      <c r="B210" s="32">
        <f>IF(201&gt;NBskParty,"",INDEX(PkBskParty,201))</f>
        <v/>
      </c>
      <c r="C210" s="25">
        <f>IF($B210="","",IFERROR(IF(VLOOKUP($B210,AcctTbl,4,0)="","(بدون نام)",VLOOKUP($B210,AcctTbl,4,0)),"—"))</f>
        <v/>
      </c>
      <c r="D210" s="23">
        <f>IF($B210="","",SUMIF(CalcPartyA,$B210,CalcQtyA))</f>
        <v/>
      </c>
      <c r="E210" s="23">
        <f>IF($B210="","",SUMIF(CalcPartyA,$B210,CalcAmtA))</f>
        <v/>
      </c>
      <c r="F210" s="23">
        <f>IF($B210="","",SUMIF(CalcPartyB,$B210,CalcWitB))</f>
        <v/>
      </c>
      <c r="G210" s="23">
        <f>IF($B210="","",SUMIF(CalcPartyB,$B210,CalcDepB))</f>
        <v/>
      </c>
      <c r="H210" s="24">
        <f>IF($B210="","",$E210-$F210+$G210)</f>
        <v/>
      </c>
      <c r="I210" s="22">
        <f>IF($B210="","",IF(ROUND($H210,0)&gt;0,"● بستانکار",IF(ROUND($H210,0)&lt;0,"● بدهکار","تسویه")))</f>
        <v/>
      </c>
    </row>
    <row r="211">
      <c r="A211" s="26">
        <f>IF($B211="","",202)</f>
        <v/>
      </c>
      <c r="B211" s="33">
        <f>IF(202&gt;NBskParty,"",INDEX(PkBskParty,202))</f>
        <v/>
      </c>
      <c r="C211" s="30">
        <f>IF($B211="","",IFERROR(IF(VLOOKUP($B211,AcctTbl,4,0)="","(بدون نام)",VLOOKUP($B211,AcctTbl,4,0)),"—"))</f>
        <v/>
      </c>
      <c r="D211" s="28">
        <f>IF($B211="","",SUMIF(CalcPartyA,$B211,CalcQtyA))</f>
        <v/>
      </c>
      <c r="E211" s="28">
        <f>IF($B211="","",SUMIF(CalcPartyA,$B211,CalcAmtA))</f>
        <v/>
      </c>
      <c r="F211" s="28">
        <f>IF($B211="","",SUMIF(CalcPartyB,$B211,CalcWitB))</f>
        <v/>
      </c>
      <c r="G211" s="28">
        <f>IF($B211="","",SUMIF(CalcPartyB,$B211,CalcDepB))</f>
        <v/>
      </c>
      <c r="H211" s="29">
        <f>IF($B211="","",$E211-$F211+$G211)</f>
        <v/>
      </c>
      <c r="I211" s="27">
        <f>IF($B211="","",IF(ROUND($H211,0)&gt;0,"● بستانکار",IF(ROUND($H211,0)&lt;0,"● بدهکار","تسویه")))</f>
        <v/>
      </c>
    </row>
    <row r="212">
      <c r="A212" s="21">
        <f>IF($B212="","",203)</f>
        <v/>
      </c>
      <c r="B212" s="32">
        <f>IF(203&gt;NBskParty,"",INDEX(PkBskParty,203))</f>
        <v/>
      </c>
      <c r="C212" s="25">
        <f>IF($B212="","",IFERROR(IF(VLOOKUP($B212,AcctTbl,4,0)="","(بدون نام)",VLOOKUP($B212,AcctTbl,4,0)),"—"))</f>
        <v/>
      </c>
      <c r="D212" s="23">
        <f>IF($B212="","",SUMIF(CalcPartyA,$B212,CalcQtyA))</f>
        <v/>
      </c>
      <c r="E212" s="23">
        <f>IF($B212="","",SUMIF(CalcPartyA,$B212,CalcAmtA))</f>
        <v/>
      </c>
      <c r="F212" s="23">
        <f>IF($B212="","",SUMIF(CalcPartyB,$B212,CalcWitB))</f>
        <v/>
      </c>
      <c r="G212" s="23">
        <f>IF($B212="","",SUMIF(CalcPartyB,$B212,CalcDepB))</f>
        <v/>
      </c>
      <c r="H212" s="24">
        <f>IF($B212="","",$E212-$F212+$G212)</f>
        <v/>
      </c>
      <c r="I212" s="22">
        <f>IF($B212="","",IF(ROUND($H212,0)&gt;0,"● بستانکار",IF(ROUND($H212,0)&lt;0,"● بدهکار","تسویه")))</f>
        <v/>
      </c>
    </row>
    <row r="213">
      <c r="A213" s="26">
        <f>IF($B213="","",204)</f>
        <v/>
      </c>
      <c r="B213" s="33">
        <f>IF(204&gt;NBskParty,"",INDEX(PkBskParty,204))</f>
        <v/>
      </c>
      <c r="C213" s="30">
        <f>IF($B213="","",IFERROR(IF(VLOOKUP($B213,AcctTbl,4,0)="","(بدون نام)",VLOOKUP($B213,AcctTbl,4,0)),"—"))</f>
        <v/>
      </c>
      <c r="D213" s="28">
        <f>IF($B213="","",SUMIF(CalcPartyA,$B213,CalcQtyA))</f>
        <v/>
      </c>
      <c r="E213" s="28">
        <f>IF($B213="","",SUMIF(CalcPartyA,$B213,CalcAmtA))</f>
        <v/>
      </c>
      <c r="F213" s="28">
        <f>IF($B213="","",SUMIF(CalcPartyB,$B213,CalcWitB))</f>
        <v/>
      </c>
      <c r="G213" s="28">
        <f>IF($B213="","",SUMIF(CalcPartyB,$B213,CalcDepB))</f>
        <v/>
      </c>
      <c r="H213" s="29">
        <f>IF($B213="","",$E213-$F213+$G213)</f>
        <v/>
      </c>
      <c r="I213" s="27">
        <f>IF($B213="","",IF(ROUND($H213,0)&gt;0,"● بستانکار",IF(ROUND($H213,0)&lt;0,"● بدهکار","تسویه")))</f>
        <v/>
      </c>
    </row>
    <row r="214">
      <c r="A214" s="21">
        <f>IF($B214="","",205)</f>
        <v/>
      </c>
      <c r="B214" s="32">
        <f>IF(205&gt;NBskParty,"",INDEX(PkBskParty,205))</f>
        <v/>
      </c>
      <c r="C214" s="25">
        <f>IF($B214="","",IFERROR(IF(VLOOKUP($B214,AcctTbl,4,0)="","(بدون نام)",VLOOKUP($B214,AcctTbl,4,0)),"—"))</f>
        <v/>
      </c>
      <c r="D214" s="23">
        <f>IF($B214="","",SUMIF(CalcPartyA,$B214,CalcQtyA))</f>
        <v/>
      </c>
      <c r="E214" s="23">
        <f>IF($B214="","",SUMIF(CalcPartyA,$B214,CalcAmtA))</f>
        <v/>
      </c>
      <c r="F214" s="23">
        <f>IF($B214="","",SUMIF(CalcPartyB,$B214,CalcWitB))</f>
        <v/>
      </c>
      <c r="G214" s="23">
        <f>IF($B214="","",SUMIF(CalcPartyB,$B214,CalcDepB))</f>
        <v/>
      </c>
      <c r="H214" s="24">
        <f>IF($B214="","",$E214-$F214+$G214)</f>
        <v/>
      </c>
      <c r="I214" s="22">
        <f>IF($B214="","",IF(ROUND($H214,0)&gt;0,"● بستانکار",IF(ROUND($H214,0)&lt;0,"● بدهکار","تسویه")))</f>
        <v/>
      </c>
    </row>
    <row r="215">
      <c r="A215" s="26">
        <f>IF($B215="","",206)</f>
        <v/>
      </c>
      <c r="B215" s="33">
        <f>IF(206&gt;NBskParty,"",INDEX(PkBskParty,206))</f>
        <v/>
      </c>
      <c r="C215" s="30">
        <f>IF($B215="","",IFERROR(IF(VLOOKUP($B215,AcctTbl,4,0)="","(بدون نام)",VLOOKUP($B215,AcctTbl,4,0)),"—"))</f>
        <v/>
      </c>
      <c r="D215" s="28">
        <f>IF($B215="","",SUMIF(CalcPartyA,$B215,CalcQtyA))</f>
        <v/>
      </c>
      <c r="E215" s="28">
        <f>IF($B215="","",SUMIF(CalcPartyA,$B215,CalcAmtA))</f>
        <v/>
      </c>
      <c r="F215" s="28">
        <f>IF($B215="","",SUMIF(CalcPartyB,$B215,CalcWitB))</f>
        <v/>
      </c>
      <c r="G215" s="28">
        <f>IF($B215="","",SUMIF(CalcPartyB,$B215,CalcDepB))</f>
        <v/>
      </c>
      <c r="H215" s="29">
        <f>IF($B215="","",$E215-$F215+$G215)</f>
        <v/>
      </c>
      <c r="I215" s="27">
        <f>IF($B215="","",IF(ROUND($H215,0)&gt;0,"● بستانکار",IF(ROUND($H215,0)&lt;0,"● بدهکار","تسویه")))</f>
        <v/>
      </c>
    </row>
    <row r="216">
      <c r="A216" s="21">
        <f>IF($B216="","",207)</f>
        <v/>
      </c>
      <c r="B216" s="32">
        <f>IF(207&gt;NBskParty,"",INDEX(PkBskParty,207))</f>
        <v/>
      </c>
      <c r="C216" s="25">
        <f>IF($B216="","",IFERROR(IF(VLOOKUP($B216,AcctTbl,4,0)="","(بدون نام)",VLOOKUP($B216,AcctTbl,4,0)),"—"))</f>
        <v/>
      </c>
      <c r="D216" s="23">
        <f>IF($B216="","",SUMIF(CalcPartyA,$B216,CalcQtyA))</f>
        <v/>
      </c>
      <c r="E216" s="23">
        <f>IF($B216="","",SUMIF(CalcPartyA,$B216,CalcAmtA))</f>
        <v/>
      </c>
      <c r="F216" s="23">
        <f>IF($B216="","",SUMIF(CalcPartyB,$B216,CalcWitB))</f>
        <v/>
      </c>
      <c r="G216" s="23">
        <f>IF($B216="","",SUMIF(CalcPartyB,$B216,CalcDepB))</f>
        <v/>
      </c>
      <c r="H216" s="24">
        <f>IF($B216="","",$E216-$F216+$G216)</f>
        <v/>
      </c>
      <c r="I216" s="22">
        <f>IF($B216="","",IF(ROUND($H216,0)&gt;0,"● بستانکار",IF(ROUND($H216,0)&lt;0,"● بدهکار","تسویه")))</f>
        <v/>
      </c>
    </row>
    <row r="217">
      <c r="A217" s="26">
        <f>IF($B217="","",208)</f>
        <v/>
      </c>
      <c r="B217" s="33">
        <f>IF(208&gt;NBskParty,"",INDEX(PkBskParty,208))</f>
        <v/>
      </c>
      <c r="C217" s="30">
        <f>IF($B217="","",IFERROR(IF(VLOOKUP($B217,AcctTbl,4,0)="","(بدون نام)",VLOOKUP($B217,AcctTbl,4,0)),"—"))</f>
        <v/>
      </c>
      <c r="D217" s="28">
        <f>IF($B217="","",SUMIF(CalcPartyA,$B217,CalcQtyA))</f>
        <v/>
      </c>
      <c r="E217" s="28">
        <f>IF($B217="","",SUMIF(CalcPartyA,$B217,CalcAmtA))</f>
        <v/>
      </c>
      <c r="F217" s="28">
        <f>IF($B217="","",SUMIF(CalcPartyB,$B217,CalcWitB))</f>
        <v/>
      </c>
      <c r="G217" s="28">
        <f>IF($B217="","",SUMIF(CalcPartyB,$B217,CalcDepB))</f>
        <v/>
      </c>
      <c r="H217" s="29">
        <f>IF($B217="","",$E217-$F217+$G217)</f>
        <v/>
      </c>
      <c r="I217" s="27">
        <f>IF($B217="","",IF(ROUND($H217,0)&gt;0,"● بستانکار",IF(ROUND($H217,0)&lt;0,"● بدهکار","تسویه")))</f>
        <v/>
      </c>
    </row>
    <row r="218">
      <c r="A218" s="21">
        <f>IF($B218="","",209)</f>
        <v/>
      </c>
      <c r="B218" s="32">
        <f>IF(209&gt;NBskParty,"",INDEX(PkBskParty,209))</f>
        <v/>
      </c>
      <c r="C218" s="25">
        <f>IF($B218="","",IFERROR(IF(VLOOKUP($B218,AcctTbl,4,0)="","(بدون نام)",VLOOKUP($B218,AcctTbl,4,0)),"—"))</f>
        <v/>
      </c>
      <c r="D218" s="23">
        <f>IF($B218="","",SUMIF(CalcPartyA,$B218,CalcQtyA))</f>
        <v/>
      </c>
      <c r="E218" s="23">
        <f>IF($B218="","",SUMIF(CalcPartyA,$B218,CalcAmtA))</f>
        <v/>
      </c>
      <c r="F218" s="23">
        <f>IF($B218="","",SUMIF(CalcPartyB,$B218,CalcWitB))</f>
        <v/>
      </c>
      <c r="G218" s="23">
        <f>IF($B218="","",SUMIF(CalcPartyB,$B218,CalcDepB))</f>
        <v/>
      </c>
      <c r="H218" s="24">
        <f>IF($B218="","",$E218-$F218+$G218)</f>
        <v/>
      </c>
      <c r="I218" s="22">
        <f>IF($B218="","",IF(ROUND($H218,0)&gt;0,"● بستانکار",IF(ROUND($H218,0)&lt;0,"● بدهکار","تسویه")))</f>
        <v/>
      </c>
    </row>
    <row r="219">
      <c r="A219" s="26">
        <f>IF($B219="","",210)</f>
        <v/>
      </c>
      <c r="B219" s="33">
        <f>IF(210&gt;NBskParty,"",INDEX(PkBskParty,210))</f>
        <v/>
      </c>
      <c r="C219" s="30">
        <f>IF($B219="","",IFERROR(IF(VLOOKUP($B219,AcctTbl,4,0)="","(بدون نام)",VLOOKUP($B219,AcctTbl,4,0)),"—"))</f>
        <v/>
      </c>
      <c r="D219" s="28">
        <f>IF($B219="","",SUMIF(CalcPartyA,$B219,CalcQtyA))</f>
        <v/>
      </c>
      <c r="E219" s="28">
        <f>IF($B219="","",SUMIF(CalcPartyA,$B219,CalcAmtA))</f>
        <v/>
      </c>
      <c r="F219" s="28">
        <f>IF($B219="","",SUMIF(CalcPartyB,$B219,CalcWitB))</f>
        <v/>
      </c>
      <c r="G219" s="28">
        <f>IF($B219="","",SUMIF(CalcPartyB,$B219,CalcDepB))</f>
        <v/>
      </c>
      <c r="H219" s="29">
        <f>IF($B219="","",$E219-$F219+$G219)</f>
        <v/>
      </c>
      <c r="I219" s="27">
        <f>IF($B219="","",IF(ROUND($H219,0)&gt;0,"● بستانکار",IF(ROUND($H219,0)&lt;0,"● بدهکار","تسویه")))</f>
        <v/>
      </c>
    </row>
    <row r="220">
      <c r="A220" s="21">
        <f>IF($B220="","",211)</f>
        <v/>
      </c>
      <c r="B220" s="32">
        <f>IF(211&gt;NBskParty,"",INDEX(PkBskParty,211))</f>
        <v/>
      </c>
      <c r="C220" s="25">
        <f>IF($B220="","",IFERROR(IF(VLOOKUP($B220,AcctTbl,4,0)="","(بدون نام)",VLOOKUP($B220,AcctTbl,4,0)),"—"))</f>
        <v/>
      </c>
      <c r="D220" s="23">
        <f>IF($B220="","",SUMIF(CalcPartyA,$B220,CalcQtyA))</f>
        <v/>
      </c>
      <c r="E220" s="23">
        <f>IF($B220="","",SUMIF(CalcPartyA,$B220,CalcAmtA))</f>
        <v/>
      </c>
      <c r="F220" s="23">
        <f>IF($B220="","",SUMIF(CalcPartyB,$B220,CalcWitB))</f>
        <v/>
      </c>
      <c r="G220" s="23">
        <f>IF($B220="","",SUMIF(CalcPartyB,$B220,CalcDepB))</f>
        <v/>
      </c>
      <c r="H220" s="24">
        <f>IF($B220="","",$E220-$F220+$G220)</f>
        <v/>
      </c>
      <c r="I220" s="22">
        <f>IF($B220="","",IF(ROUND($H220,0)&gt;0,"● بستانکار",IF(ROUND($H220,0)&lt;0,"● بدهکار","تسویه")))</f>
        <v/>
      </c>
    </row>
    <row r="221">
      <c r="A221" s="26">
        <f>IF($B221="","",212)</f>
        <v/>
      </c>
      <c r="B221" s="33">
        <f>IF(212&gt;NBskParty,"",INDEX(PkBskParty,212))</f>
        <v/>
      </c>
      <c r="C221" s="30">
        <f>IF($B221="","",IFERROR(IF(VLOOKUP($B221,AcctTbl,4,0)="","(بدون نام)",VLOOKUP($B221,AcctTbl,4,0)),"—"))</f>
        <v/>
      </c>
      <c r="D221" s="28">
        <f>IF($B221="","",SUMIF(CalcPartyA,$B221,CalcQtyA))</f>
        <v/>
      </c>
      <c r="E221" s="28">
        <f>IF($B221="","",SUMIF(CalcPartyA,$B221,CalcAmtA))</f>
        <v/>
      </c>
      <c r="F221" s="28">
        <f>IF($B221="","",SUMIF(CalcPartyB,$B221,CalcWitB))</f>
        <v/>
      </c>
      <c r="G221" s="28">
        <f>IF($B221="","",SUMIF(CalcPartyB,$B221,CalcDepB))</f>
        <v/>
      </c>
      <c r="H221" s="29">
        <f>IF($B221="","",$E221-$F221+$G221)</f>
        <v/>
      </c>
      <c r="I221" s="27">
        <f>IF($B221="","",IF(ROUND($H221,0)&gt;0,"● بستانکار",IF(ROUND($H221,0)&lt;0,"● بدهکار","تسویه")))</f>
        <v/>
      </c>
    </row>
    <row r="222">
      <c r="A222" s="21">
        <f>IF($B222="","",213)</f>
        <v/>
      </c>
      <c r="B222" s="32">
        <f>IF(213&gt;NBskParty,"",INDEX(PkBskParty,213))</f>
        <v/>
      </c>
      <c r="C222" s="25">
        <f>IF($B222="","",IFERROR(IF(VLOOKUP($B222,AcctTbl,4,0)="","(بدون نام)",VLOOKUP($B222,AcctTbl,4,0)),"—"))</f>
        <v/>
      </c>
      <c r="D222" s="23">
        <f>IF($B222="","",SUMIF(CalcPartyA,$B222,CalcQtyA))</f>
        <v/>
      </c>
      <c r="E222" s="23">
        <f>IF($B222="","",SUMIF(CalcPartyA,$B222,CalcAmtA))</f>
        <v/>
      </c>
      <c r="F222" s="23">
        <f>IF($B222="","",SUMIF(CalcPartyB,$B222,CalcWitB))</f>
        <v/>
      </c>
      <c r="G222" s="23">
        <f>IF($B222="","",SUMIF(CalcPartyB,$B222,CalcDepB))</f>
        <v/>
      </c>
      <c r="H222" s="24">
        <f>IF($B222="","",$E222-$F222+$G222)</f>
        <v/>
      </c>
      <c r="I222" s="22">
        <f>IF($B222="","",IF(ROUND($H222,0)&gt;0,"● بستانکار",IF(ROUND($H222,0)&lt;0,"● بدهکار","تسویه")))</f>
        <v/>
      </c>
    </row>
    <row r="223">
      <c r="A223" s="26">
        <f>IF($B223="","",214)</f>
        <v/>
      </c>
      <c r="B223" s="33">
        <f>IF(214&gt;NBskParty,"",INDEX(PkBskParty,214))</f>
        <v/>
      </c>
      <c r="C223" s="30">
        <f>IF($B223="","",IFERROR(IF(VLOOKUP($B223,AcctTbl,4,0)="","(بدون نام)",VLOOKUP($B223,AcctTbl,4,0)),"—"))</f>
        <v/>
      </c>
      <c r="D223" s="28">
        <f>IF($B223="","",SUMIF(CalcPartyA,$B223,CalcQtyA))</f>
        <v/>
      </c>
      <c r="E223" s="28">
        <f>IF($B223="","",SUMIF(CalcPartyA,$B223,CalcAmtA))</f>
        <v/>
      </c>
      <c r="F223" s="28">
        <f>IF($B223="","",SUMIF(CalcPartyB,$B223,CalcWitB))</f>
        <v/>
      </c>
      <c r="G223" s="28">
        <f>IF($B223="","",SUMIF(CalcPartyB,$B223,CalcDepB))</f>
        <v/>
      </c>
      <c r="H223" s="29">
        <f>IF($B223="","",$E223-$F223+$G223)</f>
        <v/>
      </c>
      <c r="I223" s="27">
        <f>IF($B223="","",IF(ROUND($H223,0)&gt;0,"● بستانکار",IF(ROUND($H223,0)&lt;0,"● بدهکار","تسویه")))</f>
        <v/>
      </c>
    </row>
    <row r="224">
      <c r="A224" s="21">
        <f>IF($B224="","",215)</f>
        <v/>
      </c>
      <c r="B224" s="32">
        <f>IF(215&gt;NBskParty,"",INDEX(PkBskParty,215))</f>
        <v/>
      </c>
      <c r="C224" s="25">
        <f>IF($B224="","",IFERROR(IF(VLOOKUP($B224,AcctTbl,4,0)="","(بدون نام)",VLOOKUP($B224,AcctTbl,4,0)),"—"))</f>
        <v/>
      </c>
      <c r="D224" s="23">
        <f>IF($B224="","",SUMIF(CalcPartyA,$B224,CalcQtyA))</f>
        <v/>
      </c>
      <c r="E224" s="23">
        <f>IF($B224="","",SUMIF(CalcPartyA,$B224,CalcAmtA))</f>
        <v/>
      </c>
      <c r="F224" s="23">
        <f>IF($B224="","",SUMIF(CalcPartyB,$B224,CalcWitB))</f>
        <v/>
      </c>
      <c r="G224" s="23">
        <f>IF($B224="","",SUMIF(CalcPartyB,$B224,CalcDepB))</f>
        <v/>
      </c>
      <c r="H224" s="24">
        <f>IF($B224="","",$E224-$F224+$G224)</f>
        <v/>
      </c>
      <c r="I224" s="22">
        <f>IF($B224="","",IF(ROUND($H224,0)&gt;0,"● بستانکار",IF(ROUND($H224,0)&lt;0,"● بدهکار","تسویه")))</f>
        <v/>
      </c>
    </row>
    <row r="225">
      <c r="A225" s="26">
        <f>IF($B225="","",216)</f>
        <v/>
      </c>
      <c r="B225" s="33">
        <f>IF(216&gt;NBskParty,"",INDEX(PkBskParty,216))</f>
        <v/>
      </c>
      <c r="C225" s="30">
        <f>IF($B225="","",IFERROR(IF(VLOOKUP($B225,AcctTbl,4,0)="","(بدون نام)",VLOOKUP($B225,AcctTbl,4,0)),"—"))</f>
        <v/>
      </c>
      <c r="D225" s="28">
        <f>IF($B225="","",SUMIF(CalcPartyA,$B225,CalcQtyA))</f>
        <v/>
      </c>
      <c r="E225" s="28">
        <f>IF($B225="","",SUMIF(CalcPartyA,$B225,CalcAmtA))</f>
        <v/>
      </c>
      <c r="F225" s="28">
        <f>IF($B225="","",SUMIF(CalcPartyB,$B225,CalcWitB))</f>
        <v/>
      </c>
      <c r="G225" s="28">
        <f>IF($B225="","",SUMIF(CalcPartyB,$B225,CalcDepB))</f>
        <v/>
      </c>
      <c r="H225" s="29">
        <f>IF($B225="","",$E225-$F225+$G225)</f>
        <v/>
      </c>
      <c r="I225" s="27">
        <f>IF($B225="","",IF(ROUND($H225,0)&gt;0,"● بستانکار",IF(ROUND($H225,0)&lt;0,"● بدهکار","تسویه")))</f>
        <v/>
      </c>
    </row>
    <row r="226">
      <c r="A226" s="21">
        <f>IF($B226="","",217)</f>
        <v/>
      </c>
      <c r="B226" s="32">
        <f>IF(217&gt;NBskParty,"",INDEX(PkBskParty,217))</f>
        <v/>
      </c>
      <c r="C226" s="25">
        <f>IF($B226="","",IFERROR(IF(VLOOKUP($B226,AcctTbl,4,0)="","(بدون نام)",VLOOKUP($B226,AcctTbl,4,0)),"—"))</f>
        <v/>
      </c>
      <c r="D226" s="23">
        <f>IF($B226="","",SUMIF(CalcPartyA,$B226,CalcQtyA))</f>
        <v/>
      </c>
      <c r="E226" s="23">
        <f>IF($B226="","",SUMIF(CalcPartyA,$B226,CalcAmtA))</f>
        <v/>
      </c>
      <c r="F226" s="23">
        <f>IF($B226="","",SUMIF(CalcPartyB,$B226,CalcWitB))</f>
        <v/>
      </c>
      <c r="G226" s="23">
        <f>IF($B226="","",SUMIF(CalcPartyB,$B226,CalcDepB))</f>
        <v/>
      </c>
      <c r="H226" s="24">
        <f>IF($B226="","",$E226-$F226+$G226)</f>
        <v/>
      </c>
      <c r="I226" s="22">
        <f>IF($B226="","",IF(ROUND($H226,0)&gt;0,"● بستانکار",IF(ROUND($H226,0)&lt;0,"● بدهکار","تسویه")))</f>
        <v/>
      </c>
    </row>
    <row r="227">
      <c r="A227" s="26">
        <f>IF($B227="","",218)</f>
        <v/>
      </c>
      <c r="B227" s="33">
        <f>IF(218&gt;NBskParty,"",INDEX(PkBskParty,218))</f>
        <v/>
      </c>
      <c r="C227" s="30">
        <f>IF($B227="","",IFERROR(IF(VLOOKUP($B227,AcctTbl,4,0)="","(بدون نام)",VLOOKUP($B227,AcctTbl,4,0)),"—"))</f>
        <v/>
      </c>
      <c r="D227" s="28">
        <f>IF($B227="","",SUMIF(CalcPartyA,$B227,CalcQtyA))</f>
        <v/>
      </c>
      <c r="E227" s="28">
        <f>IF($B227="","",SUMIF(CalcPartyA,$B227,CalcAmtA))</f>
        <v/>
      </c>
      <c r="F227" s="28">
        <f>IF($B227="","",SUMIF(CalcPartyB,$B227,CalcWitB))</f>
        <v/>
      </c>
      <c r="G227" s="28">
        <f>IF($B227="","",SUMIF(CalcPartyB,$B227,CalcDepB))</f>
        <v/>
      </c>
      <c r="H227" s="29">
        <f>IF($B227="","",$E227-$F227+$G227)</f>
        <v/>
      </c>
      <c r="I227" s="27">
        <f>IF($B227="","",IF(ROUND($H227,0)&gt;0,"● بستانکار",IF(ROUND($H227,0)&lt;0,"● بدهکار","تسویه")))</f>
        <v/>
      </c>
    </row>
    <row r="228">
      <c r="A228" s="21">
        <f>IF($B228="","",219)</f>
        <v/>
      </c>
      <c r="B228" s="32">
        <f>IF(219&gt;NBskParty,"",INDEX(PkBskParty,219))</f>
        <v/>
      </c>
      <c r="C228" s="25">
        <f>IF($B228="","",IFERROR(IF(VLOOKUP($B228,AcctTbl,4,0)="","(بدون نام)",VLOOKUP($B228,AcctTbl,4,0)),"—"))</f>
        <v/>
      </c>
      <c r="D228" s="23">
        <f>IF($B228="","",SUMIF(CalcPartyA,$B228,CalcQtyA))</f>
        <v/>
      </c>
      <c r="E228" s="23">
        <f>IF($B228="","",SUMIF(CalcPartyA,$B228,CalcAmtA))</f>
        <v/>
      </c>
      <c r="F228" s="23">
        <f>IF($B228="","",SUMIF(CalcPartyB,$B228,CalcWitB))</f>
        <v/>
      </c>
      <c r="G228" s="23">
        <f>IF($B228="","",SUMIF(CalcPartyB,$B228,CalcDepB))</f>
        <v/>
      </c>
      <c r="H228" s="24">
        <f>IF($B228="","",$E228-$F228+$G228)</f>
        <v/>
      </c>
      <c r="I228" s="22">
        <f>IF($B228="","",IF(ROUND($H228,0)&gt;0,"● بستانکار",IF(ROUND($H228,0)&lt;0,"● بدهکار","تسویه")))</f>
        <v/>
      </c>
    </row>
    <row r="229">
      <c r="A229" s="26">
        <f>IF($B229="","",220)</f>
        <v/>
      </c>
      <c r="B229" s="33">
        <f>IF(220&gt;NBskParty,"",INDEX(PkBskParty,220))</f>
        <v/>
      </c>
      <c r="C229" s="30">
        <f>IF($B229="","",IFERROR(IF(VLOOKUP($B229,AcctTbl,4,0)="","(بدون نام)",VLOOKUP($B229,AcctTbl,4,0)),"—"))</f>
        <v/>
      </c>
      <c r="D229" s="28">
        <f>IF($B229="","",SUMIF(CalcPartyA,$B229,CalcQtyA))</f>
        <v/>
      </c>
      <c r="E229" s="28">
        <f>IF($B229="","",SUMIF(CalcPartyA,$B229,CalcAmtA))</f>
        <v/>
      </c>
      <c r="F229" s="28">
        <f>IF($B229="","",SUMIF(CalcPartyB,$B229,CalcWitB))</f>
        <v/>
      </c>
      <c r="G229" s="28">
        <f>IF($B229="","",SUMIF(CalcPartyB,$B229,CalcDepB))</f>
        <v/>
      </c>
      <c r="H229" s="29">
        <f>IF($B229="","",$E229-$F229+$G229)</f>
        <v/>
      </c>
      <c r="I229" s="27">
        <f>IF($B229="","",IF(ROUND($H229,0)&gt;0,"● بستانکار",IF(ROUND($H229,0)&lt;0,"● بدهکار","تسویه")))</f>
        <v/>
      </c>
    </row>
    <row r="230">
      <c r="A230" s="21">
        <f>IF($B230="","",221)</f>
        <v/>
      </c>
      <c r="B230" s="32">
        <f>IF(221&gt;NBskParty,"",INDEX(PkBskParty,221))</f>
        <v/>
      </c>
      <c r="C230" s="25">
        <f>IF($B230="","",IFERROR(IF(VLOOKUP($B230,AcctTbl,4,0)="","(بدون نام)",VLOOKUP($B230,AcctTbl,4,0)),"—"))</f>
        <v/>
      </c>
      <c r="D230" s="23">
        <f>IF($B230="","",SUMIF(CalcPartyA,$B230,CalcQtyA))</f>
        <v/>
      </c>
      <c r="E230" s="23">
        <f>IF($B230="","",SUMIF(CalcPartyA,$B230,CalcAmtA))</f>
        <v/>
      </c>
      <c r="F230" s="23">
        <f>IF($B230="","",SUMIF(CalcPartyB,$B230,CalcWitB))</f>
        <v/>
      </c>
      <c r="G230" s="23">
        <f>IF($B230="","",SUMIF(CalcPartyB,$B230,CalcDepB))</f>
        <v/>
      </c>
      <c r="H230" s="24">
        <f>IF($B230="","",$E230-$F230+$G230)</f>
        <v/>
      </c>
      <c r="I230" s="22">
        <f>IF($B230="","",IF(ROUND($H230,0)&gt;0,"● بستانکار",IF(ROUND($H230,0)&lt;0,"● بدهکار","تسویه")))</f>
        <v/>
      </c>
    </row>
    <row r="231">
      <c r="A231" s="26">
        <f>IF($B231="","",222)</f>
        <v/>
      </c>
      <c r="B231" s="33">
        <f>IF(222&gt;NBskParty,"",INDEX(PkBskParty,222))</f>
        <v/>
      </c>
      <c r="C231" s="30">
        <f>IF($B231="","",IFERROR(IF(VLOOKUP($B231,AcctTbl,4,0)="","(بدون نام)",VLOOKUP($B231,AcctTbl,4,0)),"—"))</f>
        <v/>
      </c>
      <c r="D231" s="28">
        <f>IF($B231="","",SUMIF(CalcPartyA,$B231,CalcQtyA))</f>
        <v/>
      </c>
      <c r="E231" s="28">
        <f>IF($B231="","",SUMIF(CalcPartyA,$B231,CalcAmtA))</f>
        <v/>
      </c>
      <c r="F231" s="28">
        <f>IF($B231="","",SUMIF(CalcPartyB,$B231,CalcWitB))</f>
        <v/>
      </c>
      <c r="G231" s="28">
        <f>IF($B231="","",SUMIF(CalcPartyB,$B231,CalcDepB))</f>
        <v/>
      </c>
      <c r="H231" s="29">
        <f>IF($B231="","",$E231-$F231+$G231)</f>
        <v/>
      </c>
      <c r="I231" s="27">
        <f>IF($B231="","",IF(ROUND($H231,0)&gt;0,"● بستانکار",IF(ROUND($H231,0)&lt;0,"● بدهکار","تسویه")))</f>
        <v/>
      </c>
    </row>
    <row r="232">
      <c r="A232" s="21">
        <f>IF($B232="","",223)</f>
        <v/>
      </c>
      <c r="B232" s="32">
        <f>IF(223&gt;NBskParty,"",INDEX(PkBskParty,223))</f>
        <v/>
      </c>
      <c r="C232" s="25">
        <f>IF($B232="","",IFERROR(IF(VLOOKUP($B232,AcctTbl,4,0)="","(بدون نام)",VLOOKUP($B232,AcctTbl,4,0)),"—"))</f>
        <v/>
      </c>
      <c r="D232" s="23">
        <f>IF($B232="","",SUMIF(CalcPartyA,$B232,CalcQtyA))</f>
        <v/>
      </c>
      <c r="E232" s="23">
        <f>IF($B232="","",SUMIF(CalcPartyA,$B232,CalcAmtA))</f>
        <v/>
      </c>
      <c r="F232" s="23">
        <f>IF($B232="","",SUMIF(CalcPartyB,$B232,CalcWitB))</f>
        <v/>
      </c>
      <c r="G232" s="23">
        <f>IF($B232="","",SUMIF(CalcPartyB,$B232,CalcDepB))</f>
        <v/>
      </c>
      <c r="H232" s="24">
        <f>IF($B232="","",$E232-$F232+$G232)</f>
        <v/>
      </c>
      <c r="I232" s="22">
        <f>IF($B232="","",IF(ROUND($H232,0)&gt;0,"● بستانکار",IF(ROUND($H232,0)&lt;0,"● بدهکار","تسویه")))</f>
        <v/>
      </c>
    </row>
    <row r="233">
      <c r="A233" s="26">
        <f>IF($B233="","",224)</f>
        <v/>
      </c>
      <c r="B233" s="33">
        <f>IF(224&gt;NBskParty,"",INDEX(PkBskParty,224))</f>
        <v/>
      </c>
      <c r="C233" s="30">
        <f>IF($B233="","",IFERROR(IF(VLOOKUP($B233,AcctTbl,4,0)="","(بدون نام)",VLOOKUP($B233,AcctTbl,4,0)),"—"))</f>
        <v/>
      </c>
      <c r="D233" s="28">
        <f>IF($B233="","",SUMIF(CalcPartyA,$B233,CalcQtyA))</f>
        <v/>
      </c>
      <c r="E233" s="28">
        <f>IF($B233="","",SUMIF(CalcPartyA,$B233,CalcAmtA))</f>
        <v/>
      </c>
      <c r="F233" s="28">
        <f>IF($B233="","",SUMIF(CalcPartyB,$B233,CalcWitB))</f>
        <v/>
      </c>
      <c r="G233" s="28">
        <f>IF($B233="","",SUMIF(CalcPartyB,$B233,CalcDepB))</f>
        <v/>
      </c>
      <c r="H233" s="29">
        <f>IF($B233="","",$E233-$F233+$G233)</f>
        <v/>
      </c>
      <c r="I233" s="27">
        <f>IF($B233="","",IF(ROUND($H233,0)&gt;0,"● بستانکار",IF(ROUND($H233,0)&lt;0,"● بدهکار","تسویه")))</f>
        <v/>
      </c>
    </row>
    <row r="234">
      <c r="A234" s="21">
        <f>IF($B234="","",225)</f>
        <v/>
      </c>
      <c r="B234" s="32">
        <f>IF(225&gt;NBskParty,"",INDEX(PkBskParty,225))</f>
        <v/>
      </c>
      <c r="C234" s="25">
        <f>IF($B234="","",IFERROR(IF(VLOOKUP($B234,AcctTbl,4,0)="","(بدون نام)",VLOOKUP($B234,AcctTbl,4,0)),"—"))</f>
        <v/>
      </c>
      <c r="D234" s="23">
        <f>IF($B234="","",SUMIF(CalcPartyA,$B234,CalcQtyA))</f>
        <v/>
      </c>
      <c r="E234" s="23">
        <f>IF($B234="","",SUMIF(CalcPartyA,$B234,CalcAmtA))</f>
        <v/>
      </c>
      <c r="F234" s="23">
        <f>IF($B234="","",SUMIF(CalcPartyB,$B234,CalcWitB))</f>
        <v/>
      </c>
      <c r="G234" s="23">
        <f>IF($B234="","",SUMIF(CalcPartyB,$B234,CalcDepB))</f>
        <v/>
      </c>
      <c r="H234" s="24">
        <f>IF($B234="","",$E234-$F234+$G234)</f>
        <v/>
      </c>
      <c r="I234" s="22">
        <f>IF($B234="","",IF(ROUND($H234,0)&gt;0,"● بستانکار",IF(ROUND($H234,0)&lt;0,"● بدهکار","تسویه")))</f>
        <v/>
      </c>
    </row>
    <row r="235">
      <c r="A235" s="26">
        <f>IF($B235="","",226)</f>
        <v/>
      </c>
      <c r="B235" s="33">
        <f>IF(226&gt;NBskParty,"",INDEX(PkBskParty,226))</f>
        <v/>
      </c>
      <c r="C235" s="30">
        <f>IF($B235="","",IFERROR(IF(VLOOKUP($B235,AcctTbl,4,0)="","(بدون نام)",VLOOKUP($B235,AcctTbl,4,0)),"—"))</f>
        <v/>
      </c>
      <c r="D235" s="28">
        <f>IF($B235="","",SUMIF(CalcPartyA,$B235,CalcQtyA))</f>
        <v/>
      </c>
      <c r="E235" s="28">
        <f>IF($B235="","",SUMIF(CalcPartyA,$B235,CalcAmtA))</f>
        <v/>
      </c>
      <c r="F235" s="28">
        <f>IF($B235="","",SUMIF(CalcPartyB,$B235,CalcWitB))</f>
        <v/>
      </c>
      <c r="G235" s="28">
        <f>IF($B235="","",SUMIF(CalcPartyB,$B235,CalcDepB))</f>
        <v/>
      </c>
      <c r="H235" s="29">
        <f>IF($B235="","",$E235-$F235+$G235)</f>
        <v/>
      </c>
      <c r="I235" s="27">
        <f>IF($B235="","",IF(ROUND($H235,0)&gt;0,"● بستانکار",IF(ROUND($H235,0)&lt;0,"● بدهکار","تسویه")))</f>
        <v/>
      </c>
    </row>
    <row r="236">
      <c r="A236" s="21">
        <f>IF($B236="","",227)</f>
        <v/>
      </c>
      <c r="B236" s="32">
        <f>IF(227&gt;NBskParty,"",INDEX(PkBskParty,227))</f>
        <v/>
      </c>
      <c r="C236" s="25">
        <f>IF($B236="","",IFERROR(IF(VLOOKUP($B236,AcctTbl,4,0)="","(بدون نام)",VLOOKUP($B236,AcctTbl,4,0)),"—"))</f>
        <v/>
      </c>
      <c r="D236" s="23">
        <f>IF($B236="","",SUMIF(CalcPartyA,$B236,CalcQtyA))</f>
        <v/>
      </c>
      <c r="E236" s="23">
        <f>IF($B236="","",SUMIF(CalcPartyA,$B236,CalcAmtA))</f>
        <v/>
      </c>
      <c r="F236" s="23">
        <f>IF($B236="","",SUMIF(CalcPartyB,$B236,CalcWitB))</f>
        <v/>
      </c>
      <c r="G236" s="23">
        <f>IF($B236="","",SUMIF(CalcPartyB,$B236,CalcDepB))</f>
        <v/>
      </c>
      <c r="H236" s="24">
        <f>IF($B236="","",$E236-$F236+$G236)</f>
        <v/>
      </c>
      <c r="I236" s="22">
        <f>IF($B236="","",IF(ROUND($H236,0)&gt;0,"● بستانکار",IF(ROUND($H236,0)&lt;0,"● بدهکار","تسویه")))</f>
        <v/>
      </c>
    </row>
    <row r="237">
      <c r="A237" s="26">
        <f>IF($B237="","",228)</f>
        <v/>
      </c>
      <c r="B237" s="33">
        <f>IF(228&gt;NBskParty,"",INDEX(PkBskParty,228))</f>
        <v/>
      </c>
      <c r="C237" s="30">
        <f>IF($B237="","",IFERROR(IF(VLOOKUP($B237,AcctTbl,4,0)="","(بدون نام)",VLOOKUP($B237,AcctTbl,4,0)),"—"))</f>
        <v/>
      </c>
      <c r="D237" s="28">
        <f>IF($B237="","",SUMIF(CalcPartyA,$B237,CalcQtyA))</f>
        <v/>
      </c>
      <c r="E237" s="28">
        <f>IF($B237="","",SUMIF(CalcPartyA,$B237,CalcAmtA))</f>
        <v/>
      </c>
      <c r="F237" s="28">
        <f>IF($B237="","",SUMIF(CalcPartyB,$B237,CalcWitB))</f>
        <v/>
      </c>
      <c r="G237" s="28">
        <f>IF($B237="","",SUMIF(CalcPartyB,$B237,CalcDepB))</f>
        <v/>
      </c>
      <c r="H237" s="29">
        <f>IF($B237="","",$E237-$F237+$G237)</f>
        <v/>
      </c>
      <c r="I237" s="27">
        <f>IF($B237="","",IF(ROUND($H237,0)&gt;0,"● بستانکار",IF(ROUND($H237,0)&lt;0,"● بدهکار","تسویه")))</f>
        <v/>
      </c>
    </row>
    <row r="238">
      <c r="A238" s="21">
        <f>IF($B238="","",229)</f>
        <v/>
      </c>
      <c r="B238" s="32">
        <f>IF(229&gt;NBskParty,"",INDEX(PkBskParty,229))</f>
        <v/>
      </c>
      <c r="C238" s="25">
        <f>IF($B238="","",IFERROR(IF(VLOOKUP($B238,AcctTbl,4,0)="","(بدون نام)",VLOOKUP($B238,AcctTbl,4,0)),"—"))</f>
        <v/>
      </c>
      <c r="D238" s="23">
        <f>IF($B238="","",SUMIF(CalcPartyA,$B238,CalcQtyA))</f>
        <v/>
      </c>
      <c r="E238" s="23">
        <f>IF($B238="","",SUMIF(CalcPartyA,$B238,CalcAmtA))</f>
        <v/>
      </c>
      <c r="F238" s="23">
        <f>IF($B238="","",SUMIF(CalcPartyB,$B238,CalcWitB))</f>
        <v/>
      </c>
      <c r="G238" s="23">
        <f>IF($B238="","",SUMIF(CalcPartyB,$B238,CalcDepB))</f>
        <v/>
      </c>
      <c r="H238" s="24">
        <f>IF($B238="","",$E238-$F238+$G238)</f>
        <v/>
      </c>
      <c r="I238" s="22">
        <f>IF($B238="","",IF(ROUND($H238,0)&gt;0,"● بستانکار",IF(ROUND($H238,0)&lt;0,"● بدهکار","تسویه")))</f>
        <v/>
      </c>
    </row>
    <row r="239">
      <c r="A239" s="26">
        <f>IF($B239="","",230)</f>
        <v/>
      </c>
      <c r="B239" s="33">
        <f>IF(230&gt;NBskParty,"",INDEX(PkBskParty,230))</f>
        <v/>
      </c>
      <c r="C239" s="30">
        <f>IF($B239="","",IFERROR(IF(VLOOKUP($B239,AcctTbl,4,0)="","(بدون نام)",VLOOKUP($B239,AcctTbl,4,0)),"—"))</f>
        <v/>
      </c>
      <c r="D239" s="28">
        <f>IF($B239="","",SUMIF(CalcPartyA,$B239,CalcQtyA))</f>
        <v/>
      </c>
      <c r="E239" s="28">
        <f>IF($B239="","",SUMIF(CalcPartyA,$B239,CalcAmtA))</f>
        <v/>
      </c>
      <c r="F239" s="28">
        <f>IF($B239="","",SUMIF(CalcPartyB,$B239,CalcWitB))</f>
        <v/>
      </c>
      <c r="G239" s="28">
        <f>IF($B239="","",SUMIF(CalcPartyB,$B239,CalcDepB))</f>
        <v/>
      </c>
      <c r="H239" s="29">
        <f>IF($B239="","",$E239-$F239+$G239)</f>
        <v/>
      </c>
      <c r="I239" s="27">
        <f>IF($B239="","",IF(ROUND($H239,0)&gt;0,"● بستانکار",IF(ROUND($H239,0)&lt;0,"● بدهکار","تسویه")))</f>
        <v/>
      </c>
    </row>
    <row r="240">
      <c r="A240" s="21">
        <f>IF($B240="","",231)</f>
        <v/>
      </c>
      <c r="B240" s="32">
        <f>IF(231&gt;NBskParty,"",INDEX(PkBskParty,231))</f>
        <v/>
      </c>
      <c r="C240" s="25">
        <f>IF($B240="","",IFERROR(IF(VLOOKUP($B240,AcctTbl,4,0)="","(بدون نام)",VLOOKUP($B240,AcctTbl,4,0)),"—"))</f>
        <v/>
      </c>
      <c r="D240" s="23">
        <f>IF($B240="","",SUMIF(CalcPartyA,$B240,CalcQtyA))</f>
        <v/>
      </c>
      <c r="E240" s="23">
        <f>IF($B240="","",SUMIF(CalcPartyA,$B240,CalcAmtA))</f>
        <v/>
      </c>
      <c r="F240" s="23">
        <f>IF($B240="","",SUMIF(CalcPartyB,$B240,CalcWitB))</f>
        <v/>
      </c>
      <c r="G240" s="23">
        <f>IF($B240="","",SUMIF(CalcPartyB,$B240,CalcDepB))</f>
        <v/>
      </c>
      <c r="H240" s="24">
        <f>IF($B240="","",$E240-$F240+$G240)</f>
        <v/>
      </c>
      <c r="I240" s="22">
        <f>IF($B240="","",IF(ROUND($H240,0)&gt;0,"● بستانکار",IF(ROUND($H240,0)&lt;0,"● بدهکار","تسویه")))</f>
        <v/>
      </c>
    </row>
    <row r="241">
      <c r="A241" s="26">
        <f>IF($B241="","",232)</f>
        <v/>
      </c>
      <c r="B241" s="33">
        <f>IF(232&gt;NBskParty,"",INDEX(PkBskParty,232))</f>
        <v/>
      </c>
      <c r="C241" s="30">
        <f>IF($B241="","",IFERROR(IF(VLOOKUP($B241,AcctTbl,4,0)="","(بدون نام)",VLOOKUP($B241,AcctTbl,4,0)),"—"))</f>
        <v/>
      </c>
      <c r="D241" s="28">
        <f>IF($B241="","",SUMIF(CalcPartyA,$B241,CalcQtyA))</f>
        <v/>
      </c>
      <c r="E241" s="28">
        <f>IF($B241="","",SUMIF(CalcPartyA,$B241,CalcAmtA))</f>
        <v/>
      </c>
      <c r="F241" s="28">
        <f>IF($B241="","",SUMIF(CalcPartyB,$B241,CalcWitB))</f>
        <v/>
      </c>
      <c r="G241" s="28">
        <f>IF($B241="","",SUMIF(CalcPartyB,$B241,CalcDepB))</f>
        <v/>
      </c>
      <c r="H241" s="29">
        <f>IF($B241="","",$E241-$F241+$G241)</f>
        <v/>
      </c>
      <c r="I241" s="27">
        <f>IF($B241="","",IF(ROUND($H241,0)&gt;0,"● بستانکار",IF(ROUND($H241,0)&lt;0,"● بدهکار","تسویه")))</f>
        <v/>
      </c>
    </row>
    <row r="242">
      <c r="A242" s="21">
        <f>IF($B242="","",233)</f>
        <v/>
      </c>
      <c r="B242" s="32">
        <f>IF(233&gt;NBskParty,"",INDEX(PkBskParty,233))</f>
        <v/>
      </c>
      <c r="C242" s="25">
        <f>IF($B242="","",IFERROR(IF(VLOOKUP($B242,AcctTbl,4,0)="","(بدون نام)",VLOOKUP($B242,AcctTbl,4,0)),"—"))</f>
        <v/>
      </c>
      <c r="D242" s="23">
        <f>IF($B242="","",SUMIF(CalcPartyA,$B242,CalcQtyA))</f>
        <v/>
      </c>
      <c r="E242" s="23">
        <f>IF($B242="","",SUMIF(CalcPartyA,$B242,CalcAmtA))</f>
        <v/>
      </c>
      <c r="F242" s="23">
        <f>IF($B242="","",SUMIF(CalcPartyB,$B242,CalcWitB))</f>
        <v/>
      </c>
      <c r="G242" s="23">
        <f>IF($B242="","",SUMIF(CalcPartyB,$B242,CalcDepB))</f>
        <v/>
      </c>
      <c r="H242" s="24">
        <f>IF($B242="","",$E242-$F242+$G242)</f>
        <v/>
      </c>
      <c r="I242" s="22">
        <f>IF($B242="","",IF(ROUND($H242,0)&gt;0,"● بستانکار",IF(ROUND($H242,0)&lt;0,"● بدهکار","تسویه")))</f>
        <v/>
      </c>
    </row>
    <row r="243">
      <c r="A243" s="26">
        <f>IF($B243="","",234)</f>
        <v/>
      </c>
      <c r="B243" s="33">
        <f>IF(234&gt;NBskParty,"",INDEX(PkBskParty,234))</f>
        <v/>
      </c>
      <c r="C243" s="30">
        <f>IF($B243="","",IFERROR(IF(VLOOKUP($B243,AcctTbl,4,0)="","(بدون نام)",VLOOKUP($B243,AcctTbl,4,0)),"—"))</f>
        <v/>
      </c>
      <c r="D243" s="28">
        <f>IF($B243="","",SUMIF(CalcPartyA,$B243,CalcQtyA))</f>
        <v/>
      </c>
      <c r="E243" s="28">
        <f>IF($B243="","",SUMIF(CalcPartyA,$B243,CalcAmtA))</f>
        <v/>
      </c>
      <c r="F243" s="28">
        <f>IF($B243="","",SUMIF(CalcPartyB,$B243,CalcWitB))</f>
        <v/>
      </c>
      <c r="G243" s="28">
        <f>IF($B243="","",SUMIF(CalcPartyB,$B243,CalcDepB))</f>
        <v/>
      </c>
      <c r="H243" s="29">
        <f>IF($B243="","",$E243-$F243+$G243)</f>
        <v/>
      </c>
      <c r="I243" s="27">
        <f>IF($B243="","",IF(ROUND($H243,0)&gt;0,"● بستانکار",IF(ROUND($H243,0)&lt;0,"● بدهکار","تسویه")))</f>
        <v/>
      </c>
    </row>
    <row r="244">
      <c r="A244" s="21">
        <f>IF($B244="","",235)</f>
        <v/>
      </c>
      <c r="B244" s="32">
        <f>IF(235&gt;NBskParty,"",INDEX(PkBskParty,235))</f>
        <v/>
      </c>
      <c r="C244" s="25">
        <f>IF($B244="","",IFERROR(IF(VLOOKUP($B244,AcctTbl,4,0)="","(بدون نام)",VLOOKUP($B244,AcctTbl,4,0)),"—"))</f>
        <v/>
      </c>
      <c r="D244" s="23">
        <f>IF($B244="","",SUMIF(CalcPartyA,$B244,CalcQtyA))</f>
        <v/>
      </c>
      <c r="E244" s="23">
        <f>IF($B244="","",SUMIF(CalcPartyA,$B244,CalcAmtA))</f>
        <v/>
      </c>
      <c r="F244" s="23">
        <f>IF($B244="","",SUMIF(CalcPartyB,$B244,CalcWitB))</f>
        <v/>
      </c>
      <c r="G244" s="23">
        <f>IF($B244="","",SUMIF(CalcPartyB,$B244,CalcDepB))</f>
        <v/>
      </c>
      <c r="H244" s="24">
        <f>IF($B244="","",$E244-$F244+$G244)</f>
        <v/>
      </c>
      <c r="I244" s="22">
        <f>IF($B244="","",IF(ROUND($H244,0)&gt;0,"● بستانکار",IF(ROUND($H244,0)&lt;0,"● بدهکار","تسویه")))</f>
        <v/>
      </c>
    </row>
    <row r="245">
      <c r="A245" s="26">
        <f>IF($B245="","",236)</f>
        <v/>
      </c>
      <c r="B245" s="33">
        <f>IF(236&gt;NBskParty,"",INDEX(PkBskParty,236))</f>
        <v/>
      </c>
      <c r="C245" s="30">
        <f>IF($B245="","",IFERROR(IF(VLOOKUP($B245,AcctTbl,4,0)="","(بدون نام)",VLOOKUP($B245,AcctTbl,4,0)),"—"))</f>
        <v/>
      </c>
      <c r="D245" s="28">
        <f>IF($B245="","",SUMIF(CalcPartyA,$B245,CalcQtyA))</f>
        <v/>
      </c>
      <c r="E245" s="28">
        <f>IF($B245="","",SUMIF(CalcPartyA,$B245,CalcAmtA))</f>
        <v/>
      </c>
      <c r="F245" s="28">
        <f>IF($B245="","",SUMIF(CalcPartyB,$B245,CalcWitB))</f>
        <v/>
      </c>
      <c r="G245" s="28">
        <f>IF($B245="","",SUMIF(CalcPartyB,$B245,CalcDepB))</f>
        <v/>
      </c>
      <c r="H245" s="29">
        <f>IF($B245="","",$E245-$F245+$G245)</f>
        <v/>
      </c>
      <c r="I245" s="27">
        <f>IF($B245="","",IF(ROUND($H245,0)&gt;0,"● بستانکار",IF(ROUND($H245,0)&lt;0,"● بدهکار","تسویه")))</f>
        <v/>
      </c>
    </row>
    <row r="246">
      <c r="A246" s="21">
        <f>IF($B246="","",237)</f>
        <v/>
      </c>
      <c r="B246" s="32">
        <f>IF(237&gt;NBskParty,"",INDEX(PkBskParty,237))</f>
        <v/>
      </c>
      <c r="C246" s="25">
        <f>IF($B246="","",IFERROR(IF(VLOOKUP($B246,AcctTbl,4,0)="","(بدون نام)",VLOOKUP($B246,AcctTbl,4,0)),"—"))</f>
        <v/>
      </c>
      <c r="D246" s="23">
        <f>IF($B246="","",SUMIF(CalcPartyA,$B246,CalcQtyA))</f>
        <v/>
      </c>
      <c r="E246" s="23">
        <f>IF($B246="","",SUMIF(CalcPartyA,$B246,CalcAmtA))</f>
        <v/>
      </c>
      <c r="F246" s="23">
        <f>IF($B246="","",SUMIF(CalcPartyB,$B246,CalcWitB))</f>
        <v/>
      </c>
      <c r="G246" s="23">
        <f>IF($B246="","",SUMIF(CalcPartyB,$B246,CalcDepB))</f>
        <v/>
      </c>
      <c r="H246" s="24">
        <f>IF($B246="","",$E246-$F246+$G246)</f>
        <v/>
      </c>
      <c r="I246" s="22">
        <f>IF($B246="","",IF(ROUND($H246,0)&gt;0,"● بستانکار",IF(ROUND($H246,0)&lt;0,"● بدهکار","تسویه")))</f>
        <v/>
      </c>
    </row>
    <row r="247">
      <c r="A247" s="26">
        <f>IF($B247="","",238)</f>
        <v/>
      </c>
      <c r="B247" s="33">
        <f>IF(238&gt;NBskParty,"",INDEX(PkBskParty,238))</f>
        <v/>
      </c>
      <c r="C247" s="30">
        <f>IF($B247="","",IFERROR(IF(VLOOKUP($B247,AcctTbl,4,0)="","(بدون نام)",VLOOKUP($B247,AcctTbl,4,0)),"—"))</f>
        <v/>
      </c>
      <c r="D247" s="28">
        <f>IF($B247="","",SUMIF(CalcPartyA,$B247,CalcQtyA))</f>
        <v/>
      </c>
      <c r="E247" s="28">
        <f>IF($B247="","",SUMIF(CalcPartyA,$B247,CalcAmtA))</f>
        <v/>
      </c>
      <c r="F247" s="28">
        <f>IF($B247="","",SUMIF(CalcPartyB,$B247,CalcWitB))</f>
        <v/>
      </c>
      <c r="G247" s="28">
        <f>IF($B247="","",SUMIF(CalcPartyB,$B247,CalcDepB))</f>
        <v/>
      </c>
      <c r="H247" s="29">
        <f>IF($B247="","",$E247-$F247+$G247)</f>
        <v/>
      </c>
      <c r="I247" s="27">
        <f>IF($B247="","",IF(ROUND($H247,0)&gt;0,"● بستانکار",IF(ROUND($H247,0)&lt;0,"● بدهکار","تسویه")))</f>
        <v/>
      </c>
    </row>
    <row r="248">
      <c r="A248" s="21">
        <f>IF($B248="","",239)</f>
        <v/>
      </c>
      <c r="B248" s="32">
        <f>IF(239&gt;NBskParty,"",INDEX(PkBskParty,239))</f>
        <v/>
      </c>
      <c r="C248" s="25">
        <f>IF($B248="","",IFERROR(IF(VLOOKUP($B248,AcctTbl,4,0)="","(بدون نام)",VLOOKUP($B248,AcctTbl,4,0)),"—"))</f>
        <v/>
      </c>
      <c r="D248" s="23">
        <f>IF($B248="","",SUMIF(CalcPartyA,$B248,CalcQtyA))</f>
        <v/>
      </c>
      <c r="E248" s="23">
        <f>IF($B248="","",SUMIF(CalcPartyA,$B248,CalcAmtA))</f>
        <v/>
      </c>
      <c r="F248" s="23">
        <f>IF($B248="","",SUMIF(CalcPartyB,$B248,CalcWitB))</f>
        <v/>
      </c>
      <c r="G248" s="23">
        <f>IF($B248="","",SUMIF(CalcPartyB,$B248,CalcDepB))</f>
        <v/>
      </c>
      <c r="H248" s="24">
        <f>IF($B248="","",$E248-$F248+$G248)</f>
        <v/>
      </c>
      <c r="I248" s="22">
        <f>IF($B248="","",IF(ROUND($H248,0)&gt;0,"● بستانکار",IF(ROUND($H248,0)&lt;0,"● بدهکار","تسویه")))</f>
        <v/>
      </c>
    </row>
    <row r="249">
      <c r="A249" s="26">
        <f>IF($B249="","",240)</f>
        <v/>
      </c>
      <c r="B249" s="33">
        <f>IF(240&gt;NBskParty,"",INDEX(PkBskParty,240))</f>
        <v/>
      </c>
      <c r="C249" s="30">
        <f>IF($B249="","",IFERROR(IF(VLOOKUP($B249,AcctTbl,4,0)="","(بدون نام)",VLOOKUP($B249,AcctTbl,4,0)),"—"))</f>
        <v/>
      </c>
      <c r="D249" s="28">
        <f>IF($B249="","",SUMIF(CalcPartyA,$B249,CalcQtyA))</f>
        <v/>
      </c>
      <c r="E249" s="28">
        <f>IF($B249="","",SUMIF(CalcPartyA,$B249,CalcAmtA))</f>
        <v/>
      </c>
      <c r="F249" s="28">
        <f>IF($B249="","",SUMIF(CalcPartyB,$B249,CalcWitB))</f>
        <v/>
      </c>
      <c r="G249" s="28">
        <f>IF($B249="","",SUMIF(CalcPartyB,$B249,CalcDepB))</f>
        <v/>
      </c>
      <c r="H249" s="29">
        <f>IF($B249="","",$E249-$F249+$G249)</f>
        <v/>
      </c>
      <c r="I249" s="27">
        <f>IF($B249="","",IF(ROUND($H249,0)&gt;0,"● بستانکار",IF(ROUND($H249,0)&lt;0,"● بدهکار","تسویه")))</f>
        <v/>
      </c>
    </row>
    <row r="250">
      <c r="A250" s="21">
        <f>IF($B250="","",241)</f>
        <v/>
      </c>
      <c r="B250" s="32">
        <f>IF(241&gt;NBskParty,"",INDEX(PkBskParty,241))</f>
        <v/>
      </c>
      <c r="C250" s="25">
        <f>IF($B250="","",IFERROR(IF(VLOOKUP($B250,AcctTbl,4,0)="","(بدون نام)",VLOOKUP($B250,AcctTbl,4,0)),"—"))</f>
        <v/>
      </c>
      <c r="D250" s="23">
        <f>IF($B250="","",SUMIF(CalcPartyA,$B250,CalcQtyA))</f>
        <v/>
      </c>
      <c r="E250" s="23">
        <f>IF($B250="","",SUMIF(CalcPartyA,$B250,CalcAmtA))</f>
        <v/>
      </c>
      <c r="F250" s="23">
        <f>IF($B250="","",SUMIF(CalcPartyB,$B250,CalcWitB))</f>
        <v/>
      </c>
      <c r="G250" s="23">
        <f>IF($B250="","",SUMIF(CalcPartyB,$B250,CalcDepB))</f>
        <v/>
      </c>
      <c r="H250" s="24">
        <f>IF($B250="","",$E250-$F250+$G250)</f>
        <v/>
      </c>
      <c r="I250" s="22">
        <f>IF($B250="","",IF(ROUND($H250,0)&gt;0,"● بستانکار",IF(ROUND($H250,0)&lt;0,"● بدهکار","تسویه")))</f>
        <v/>
      </c>
    </row>
    <row r="251">
      <c r="A251" s="26">
        <f>IF($B251="","",242)</f>
        <v/>
      </c>
      <c r="B251" s="33">
        <f>IF(242&gt;NBskParty,"",INDEX(PkBskParty,242))</f>
        <v/>
      </c>
      <c r="C251" s="30">
        <f>IF($B251="","",IFERROR(IF(VLOOKUP($B251,AcctTbl,4,0)="","(بدون نام)",VLOOKUP($B251,AcctTbl,4,0)),"—"))</f>
        <v/>
      </c>
      <c r="D251" s="28">
        <f>IF($B251="","",SUMIF(CalcPartyA,$B251,CalcQtyA))</f>
        <v/>
      </c>
      <c r="E251" s="28">
        <f>IF($B251="","",SUMIF(CalcPartyA,$B251,CalcAmtA))</f>
        <v/>
      </c>
      <c r="F251" s="28">
        <f>IF($B251="","",SUMIF(CalcPartyB,$B251,CalcWitB))</f>
        <v/>
      </c>
      <c r="G251" s="28">
        <f>IF($B251="","",SUMIF(CalcPartyB,$B251,CalcDepB))</f>
        <v/>
      </c>
      <c r="H251" s="29">
        <f>IF($B251="","",$E251-$F251+$G251)</f>
        <v/>
      </c>
      <c r="I251" s="27">
        <f>IF($B251="","",IF(ROUND($H251,0)&gt;0,"● بستانکار",IF(ROUND($H251,0)&lt;0,"● بدهکار","تسویه")))</f>
        <v/>
      </c>
    </row>
    <row r="252">
      <c r="A252" s="21">
        <f>IF($B252="","",243)</f>
        <v/>
      </c>
      <c r="B252" s="32">
        <f>IF(243&gt;NBskParty,"",INDEX(PkBskParty,243))</f>
        <v/>
      </c>
      <c r="C252" s="25">
        <f>IF($B252="","",IFERROR(IF(VLOOKUP($B252,AcctTbl,4,0)="","(بدون نام)",VLOOKUP($B252,AcctTbl,4,0)),"—"))</f>
        <v/>
      </c>
      <c r="D252" s="23">
        <f>IF($B252="","",SUMIF(CalcPartyA,$B252,CalcQtyA))</f>
        <v/>
      </c>
      <c r="E252" s="23">
        <f>IF($B252="","",SUMIF(CalcPartyA,$B252,CalcAmtA))</f>
        <v/>
      </c>
      <c r="F252" s="23">
        <f>IF($B252="","",SUMIF(CalcPartyB,$B252,CalcWitB))</f>
        <v/>
      </c>
      <c r="G252" s="23">
        <f>IF($B252="","",SUMIF(CalcPartyB,$B252,CalcDepB))</f>
        <v/>
      </c>
      <c r="H252" s="24">
        <f>IF($B252="","",$E252-$F252+$G252)</f>
        <v/>
      </c>
      <c r="I252" s="22">
        <f>IF($B252="","",IF(ROUND($H252,0)&gt;0,"● بستانکار",IF(ROUND($H252,0)&lt;0,"● بدهکار","تسویه")))</f>
        <v/>
      </c>
    </row>
    <row r="253">
      <c r="A253" s="26">
        <f>IF($B253="","",244)</f>
        <v/>
      </c>
      <c r="B253" s="33">
        <f>IF(244&gt;NBskParty,"",INDEX(PkBskParty,244))</f>
        <v/>
      </c>
      <c r="C253" s="30">
        <f>IF($B253="","",IFERROR(IF(VLOOKUP($B253,AcctTbl,4,0)="","(بدون نام)",VLOOKUP($B253,AcctTbl,4,0)),"—"))</f>
        <v/>
      </c>
      <c r="D253" s="28">
        <f>IF($B253="","",SUMIF(CalcPartyA,$B253,CalcQtyA))</f>
        <v/>
      </c>
      <c r="E253" s="28">
        <f>IF($B253="","",SUMIF(CalcPartyA,$B253,CalcAmtA))</f>
        <v/>
      </c>
      <c r="F253" s="28">
        <f>IF($B253="","",SUMIF(CalcPartyB,$B253,CalcWitB))</f>
        <v/>
      </c>
      <c r="G253" s="28">
        <f>IF($B253="","",SUMIF(CalcPartyB,$B253,CalcDepB))</f>
        <v/>
      </c>
      <c r="H253" s="29">
        <f>IF($B253="","",$E253-$F253+$G253)</f>
        <v/>
      </c>
      <c r="I253" s="27">
        <f>IF($B253="","",IF(ROUND($H253,0)&gt;0,"● بستانکار",IF(ROUND($H253,0)&lt;0,"● بدهکار","تسویه")))</f>
        <v/>
      </c>
    </row>
    <row r="254">
      <c r="A254" s="21">
        <f>IF($B254="","",245)</f>
        <v/>
      </c>
      <c r="B254" s="32">
        <f>IF(245&gt;NBskParty,"",INDEX(PkBskParty,245))</f>
        <v/>
      </c>
      <c r="C254" s="25">
        <f>IF($B254="","",IFERROR(IF(VLOOKUP($B254,AcctTbl,4,0)="","(بدون نام)",VLOOKUP($B254,AcctTbl,4,0)),"—"))</f>
        <v/>
      </c>
      <c r="D254" s="23">
        <f>IF($B254="","",SUMIF(CalcPartyA,$B254,CalcQtyA))</f>
        <v/>
      </c>
      <c r="E254" s="23">
        <f>IF($B254="","",SUMIF(CalcPartyA,$B254,CalcAmtA))</f>
        <v/>
      </c>
      <c r="F254" s="23">
        <f>IF($B254="","",SUMIF(CalcPartyB,$B254,CalcWitB))</f>
        <v/>
      </c>
      <c r="G254" s="23">
        <f>IF($B254="","",SUMIF(CalcPartyB,$B254,CalcDepB))</f>
        <v/>
      </c>
      <c r="H254" s="24">
        <f>IF($B254="","",$E254-$F254+$G254)</f>
        <v/>
      </c>
      <c r="I254" s="22">
        <f>IF($B254="","",IF(ROUND($H254,0)&gt;0,"● بستانکار",IF(ROUND($H254,0)&lt;0,"● بدهکار","تسویه")))</f>
        <v/>
      </c>
    </row>
    <row r="255">
      <c r="A255" s="26">
        <f>IF($B255="","",246)</f>
        <v/>
      </c>
      <c r="B255" s="33">
        <f>IF(246&gt;NBskParty,"",INDEX(PkBskParty,246))</f>
        <v/>
      </c>
      <c r="C255" s="30">
        <f>IF($B255="","",IFERROR(IF(VLOOKUP($B255,AcctTbl,4,0)="","(بدون نام)",VLOOKUP($B255,AcctTbl,4,0)),"—"))</f>
        <v/>
      </c>
      <c r="D255" s="28">
        <f>IF($B255="","",SUMIF(CalcPartyA,$B255,CalcQtyA))</f>
        <v/>
      </c>
      <c r="E255" s="28">
        <f>IF($B255="","",SUMIF(CalcPartyA,$B255,CalcAmtA))</f>
        <v/>
      </c>
      <c r="F255" s="28">
        <f>IF($B255="","",SUMIF(CalcPartyB,$B255,CalcWitB))</f>
        <v/>
      </c>
      <c r="G255" s="28">
        <f>IF($B255="","",SUMIF(CalcPartyB,$B255,CalcDepB))</f>
        <v/>
      </c>
      <c r="H255" s="29">
        <f>IF($B255="","",$E255-$F255+$G255)</f>
        <v/>
      </c>
      <c r="I255" s="27">
        <f>IF($B255="","",IF(ROUND($H255,0)&gt;0,"● بستانکار",IF(ROUND($H255,0)&lt;0,"● بدهکار","تسویه")))</f>
        <v/>
      </c>
    </row>
    <row r="256">
      <c r="A256" s="21">
        <f>IF($B256="","",247)</f>
        <v/>
      </c>
      <c r="B256" s="32">
        <f>IF(247&gt;NBskParty,"",INDEX(PkBskParty,247))</f>
        <v/>
      </c>
      <c r="C256" s="25">
        <f>IF($B256="","",IFERROR(IF(VLOOKUP($B256,AcctTbl,4,0)="","(بدون نام)",VLOOKUP($B256,AcctTbl,4,0)),"—"))</f>
        <v/>
      </c>
      <c r="D256" s="23">
        <f>IF($B256="","",SUMIF(CalcPartyA,$B256,CalcQtyA))</f>
        <v/>
      </c>
      <c r="E256" s="23">
        <f>IF($B256="","",SUMIF(CalcPartyA,$B256,CalcAmtA))</f>
        <v/>
      </c>
      <c r="F256" s="23">
        <f>IF($B256="","",SUMIF(CalcPartyB,$B256,CalcWitB))</f>
        <v/>
      </c>
      <c r="G256" s="23">
        <f>IF($B256="","",SUMIF(CalcPartyB,$B256,CalcDepB))</f>
        <v/>
      </c>
      <c r="H256" s="24">
        <f>IF($B256="","",$E256-$F256+$G256)</f>
        <v/>
      </c>
      <c r="I256" s="22">
        <f>IF($B256="","",IF(ROUND($H256,0)&gt;0,"● بستانکار",IF(ROUND($H256,0)&lt;0,"● بدهکار","تسویه")))</f>
        <v/>
      </c>
    </row>
    <row r="257">
      <c r="A257" s="26">
        <f>IF($B257="","",248)</f>
        <v/>
      </c>
      <c r="B257" s="33">
        <f>IF(248&gt;NBskParty,"",INDEX(PkBskParty,248))</f>
        <v/>
      </c>
      <c r="C257" s="30">
        <f>IF($B257="","",IFERROR(IF(VLOOKUP($B257,AcctTbl,4,0)="","(بدون نام)",VLOOKUP($B257,AcctTbl,4,0)),"—"))</f>
        <v/>
      </c>
      <c r="D257" s="28">
        <f>IF($B257="","",SUMIF(CalcPartyA,$B257,CalcQtyA))</f>
        <v/>
      </c>
      <c r="E257" s="28">
        <f>IF($B257="","",SUMIF(CalcPartyA,$B257,CalcAmtA))</f>
        <v/>
      </c>
      <c r="F257" s="28">
        <f>IF($B257="","",SUMIF(CalcPartyB,$B257,CalcWitB))</f>
        <v/>
      </c>
      <c r="G257" s="28">
        <f>IF($B257="","",SUMIF(CalcPartyB,$B257,CalcDepB))</f>
        <v/>
      </c>
      <c r="H257" s="29">
        <f>IF($B257="","",$E257-$F257+$G257)</f>
        <v/>
      </c>
      <c r="I257" s="27">
        <f>IF($B257="","",IF(ROUND($H257,0)&gt;0,"● بستانکار",IF(ROUND($H257,0)&lt;0,"● بدهکار","تسویه")))</f>
        <v/>
      </c>
    </row>
    <row r="258">
      <c r="A258" s="21">
        <f>IF($B258="","",249)</f>
        <v/>
      </c>
      <c r="B258" s="32">
        <f>IF(249&gt;NBskParty,"",INDEX(PkBskParty,249))</f>
        <v/>
      </c>
      <c r="C258" s="25">
        <f>IF($B258="","",IFERROR(IF(VLOOKUP($B258,AcctTbl,4,0)="","(بدون نام)",VLOOKUP($B258,AcctTbl,4,0)),"—"))</f>
        <v/>
      </c>
      <c r="D258" s="23">
        <f>IF($B258="","",SUMIF(CalcPartyA,$B258,CalcQtyA))</f>
        <v/>
      </c>
      <c r="E258" s="23">
        <f>IF($B258="","",SUMIF(CalcPartyA,$B258,CalcAmtA))</f>
        <v/>
      </c>
      <c r="F258" s="23">
        <f>IF($B258="","",SUMIF(CalcPartyB,$B258,CalcWitB))</f>
        <v/>
      </c>
      <c r="G258" s="23">
        <f>IF($B258="","",SUMIF(CalcPartyB,$B258,CalcDepB))</f>
        <v/>
      </c>
      <c r="H258" s="24">
        <f>IF($B258="","",$E258-$F258+$G258)</f>
        <v/>
      </c>
      <c r="I258" s="22">
        <f>IF($B258="","",IF(ROUND($H258,0)&gt;0,"● بستانکار",IF(ROUND($H258,0)&lt;0,"● بدهکار","تسویه")))</f>
        <v/>
      </c>
    </row>
    <row r="259">
      <c r="A259" s="26">
        <f>IF($B259="","",250)</f>
        <v/>
      </c>
      <c r="B259" s="33">
        <f>IF(250&gt;NBskParty,"",INDEX(PkBskParty,250))</f>
        <v/>
      </c>
      <c r="C259" s="30">
        <f>IF($B259="","",IFERROR(IF(VLOOKUP($B259,AcctTbl,4,0)="","(بدون نام)",VLOOKUP($B259,AcctTbl,4,0)),"—"))</f>
        <v/>
      </c>
      <c r="D259" s="28">
        <f>IF($B259="","",SUMIF(CalcPartyA,$B259,CalcQtyA))</f>
        <v/>
      </c>
      <c r="E259" s="28">
        <f>IF($B259="","",SUMIF(CalcPartyA,$B259,CalcAmtA))</f>
        <v/>
      </c>
      <c r="F259" s="28">
        <f>IF($B259="","",SUMIF(CalcPartyB,$B259,CalcWitB))</f>
        <v/>
      </c>
      <c r="G259" s="28">
        <f>IF($B259="","",SUMIF(CalcPartyB,$B259,CalcDepB))</f>
        <v/>
      </c>
      <c r="H259" s="29">
        <f>IF($B259="","",$E259-$F259+$G259)</f>
        <v/>
      </c>
      <c r="I259" s="27">
        <f>IF($B259="","",IF(ROUND($H259,0)&gt;0,"● بستانکار",IF(ROUND($H259,0)&lt;0,"● بدهکار","تسویه")))</f>
        <v/>
      </c>
    </row>
    <row r="260">
      <c r="A260" s="21">
        <f>IF($B260="","",251)</f>
        <v/>
      </c>
      <c r="B260" s="32">
        <f>IF(251&gt;NBskParty,"",INDEX(PkBskParty,251))</f>
        <v/>
      </c>
      <c r="C260" s="25">
        <f>IF($B260="","",IFERROR(IF(VLOOKUP($B260,AcctTbl,4,0)="","(بدون نام)",VLOOKUP($B260,AcctTbl,4,0)),"—"))</f>
        <v/>
      </c>
      <c r="D260" s="23">
        <f>IF($B260="","",SUMIF(CalcPartyA,$B260,CalcQtyA))</f>
        <v/>
      </c>
      <c r="E260" s="23">
        <f>IF($B260="","",SUMIF(CalcPartyA,$B260,CalcAmtA))</f>
        <v/>
      </c>
      <c r="F260" s="23">
        <f>IF($B260="","",SUMIF(CalcPartyB,$B260,CalcWitB))</f>
        <v/>
      </c>
      <c r="G260" s="23">
        <f>IF($B260="","",SUMIF(CalcPartyB,$B260,CalcDepB))</f>
        <v/>
      </c>
      <c r="H260" s="24">
        <f>IF($B260="","",$E260-$F260+$G260)</f>
        <v/>
      </c>
      <c r="I260" s="22">
        <f>IF($B260="","",IF(ROUND($H260,0)&gt;0,"● بستانکار",IF(ROUND($H260,0)&lt;0,"● بدهکار","تسویه")))</f>
        <v/>
      </c>
    </row>
    <row r="261">
      <c r="A261" s="26">
        <f>IF($B261="","",252)</f>
        <v/>
      </c>
      <c r="B261" s="33">
        <f>IF(252&gt;NBskParty,"",INDEX(PkBskParty,252))</f>
        <v/>
      </c>
      <c r="C261" s="30">
        <f>IF($B261="","",IFERROR(IF(VLOOKUP($B261,AcctTbl,4,0)="","(بدون نام)",VLOOKUP($B261,AcctTbl,4,0)),"—"))</f>
        <v/>
      </c>
      <c r="D261" s="28">
        <f>IF($B261="","",SUMIF(CalcPartyA,$B261,CalcQtyA))</f>
        <v/>
      </c>
      <c r="E261" s="28">
        <f>IF($B261="","",SUMIF(CalcPartyA,$B261,CalcAmtA))</f>
        <v/>
      </c>
      <c r="F261" s="28">
        <f>IF($B261="","",SUMIF(CalcPartyB,$B261,CalcWitB))</f>
        <v/>
      </c>
      <c r="G261" s="28">
        <f>IF($B261="","",SUMIF(CalcPartyB,$B261,CalcDepB))</f>
        <v/>
      </c>
      <c r="H261" s="29">
        <f>IF($B261="","",$E261-$F261+$G261)</f>
        <v/>
      </c>
      <c r="I261" s="27">
        <f>IF($B261="","",IF(ROUND($H261,0)&gt;0,"● بستانکار",IF(ROUND($H261,0)&lt;0,"● بدهکار","تسویه")))</f>
        <v/>
      </c>
    </row>
    <row r="262">
      <c r="A262" s="21">
        <f>IF($B262="","",253)</f>
        <v/>
      </c>
      <c r="B262" s="32">
        <f>IF(253&gt;NBskParty,"",INDEX(PkBskParty,253))</f>
        <v/>
      </c>
      <c r="C262" s="25">
        <f>IF($B262="","",IFERROR(IF(VLOOKUP($B262,AcctTbl,4,0)="","(بدون نام)",VLOOKUP($B262,AcctTbl,4,0)),"—"))</f>
        <v/>
      </c>
      <c r="D262" s="23">
        <f>IF($B262="","",SUMIF(CalcPartyA,$B262,CalcQtyA))</f>
        <v/>
      </c>
      <c r="E262" s="23">
        <f>IF($B262="","",SUMIF(CalcPartyA,$B262,CalcAmtA))</f>
        <v/>
      </c>
      <c r="F262" s="23">
        <f>IF($B262="","",SUMIF(CalcPartyB,$B262,CalcWitB))</f>
        <v/>
      </c>
      <c r="G262" s="23">
        <f>IF($B262="","",SUMIF(CalcPartyB,$B262,CalcDepB))</f>
        <v/>
      </c>
      <c r="H262" s="24">
        <f>IF($B262="","",$E262-$F262+$G262)</f>
        <v/>
      </c>
      <c r="I262" s="22">
        <f>IF($B262="","",IF(ROUND($H262,0)&gt;0,"● بستانکار",IF(ROUND($H262,0)&lt;0,"● بدهکار","تسویه")))</f>
        <v/>
      </c>
    </row>
    <row r="263">
      <c r="A263" s="26">
        <f>IF($B263="","",254)</f>
        <v/>
      </c>
      <c r="B263" s="33">
        <f>IF(254&gt;NBskParty,"",INDEX(PkBskParty,254))</f>
        <v/>
      </c>
      <c r="C263" s="30">
        <f>IF($B263="","",IFERROR(IF(VLOOKUP($B263,AcctTbl,4,0)="","(بدون نام)",VLOOKUP($B263,AcctTbl,4,0)),"—"))</f>
        <v/>
      </c>
      <c r="D263" s="28">
        <f>IF($B263="","",SUMIF(CalcPartyA,$B263,CalcQtyA))</f>
        <v/>
      </c>
      <c r="E263" s="28">
        <f>IF($B263="","",SUMIF(CalcPartyA,$B263,CalcAmtA))</f>
        <v/>
      </c>
      <c r="F263" s="28">
        <f>IF($B263="","",SUMIF(CalcPartyB,$B263,CalcWitB))</f>
        <v/>
      </c>
      <c r="G263" s="28">
        <f>IF($B263="","",SUMIF(CalcPartyB,$B263,CalcDepB))</f>
        <v/>
      </c>
      <c r="H263" s="29">
        <f>IF($B263="","",$E263-$F263+$G263)</f>
        <v/>
      </c>
      <c r="I263" s="27">
        <f>IF($B263="","",IF(ROUND($H263,0)&gt;0,"● بستانکار",IF(ROUND($H263,0)&lt;0,"● بدهکار","تسویه")))</f>
        <v/>
      </c>
    </row>
    <row r="264">
      <c r="A264" s="21">
        <f>IF($B264="","",255)</f>
        <v/>
      </c>
      <c r="B264" s="32">
        <f>IF(255&gt;NBskParty,"",INDEX(PkBskParty,255))</f>
        <v/>
      </c>
      <c r="C264" s="25">
        <f>IF($B264="","",IFERROR(IF(VLOOKUP($B264,AcctTbl,4,0)="","(بدون نام)",VLOOKUP($B264,AcctTbl,4,0)),"—"))</f>
        <v/>
      </c>
      <c r="D264" s="23">
        <f>IF($B264="","",SUMIF(CalcPartyA,$B264,CalcQtyA))</f>
        <v/>
      </c>
      <c r="E264" s="23">
        <f>IF($B264="","",SUMIF(CalcPartyA,$B264,CalcAmtA))</f>
        <v/>
      </c>
      <c r="F264" s="23">
        <f>IF($B264="","",SUMIF(CalcPartyB,$B264,CalcWitB))</f>
        <v/>
      </c>
      <c r="G264" s="23">
        <f>IF($B264="","",SUMIF(CalcPartyB,$B264,CalcDepB))</f>
        <v/>
      </c>
      <c r="H264" s="24">
        <f>IF($B264="","",$E264-$F264+$G264)</f>
        <v/>
      </c>
      <c r="I264" s="22">
        <f>IF($B264="","",IF(ROUND($H264,0)&gt;0,"● بستانکار",IF(ROUND($H264,0)&lt;0,"● بدهکار","تسویه")))</f>
        <v/>
      </c>
    </row>
    <row r="265">
      <c r="A265" s="26">
        <f>IF($B265="","",256)</f>
        <v/>
      </c>
      <c r="B265" s="33">
        <f>IF(256&gt;NBskParty,"",INDEX(PkBskParty,256))</f>
        <v/>
      </c>
      <c r="C265" s="30">
        <f>IF($B265="","",IFERROR(IF(VLOOKUP($B265,AcctTbl,4,0)="","(بدون نام)",VLOOKUP($B265,AcctTbl,4,0)),"—"))</f>
        <v/>
      </c>
      <c r="D265" s="28">
        <f>IF($B265="","",SUMIF(CalcPartyA,$B265,CalcQtyA))</f>
        <v/>
      </c>
      <c r="E265" s="28">
        <f>IF($B265="","",SUMIF(CalcPartyA,$B265,CalcAmtA))</f>
        <v/>
      </c>
      <c r="F265" s="28">
        <f>IF($B265="","",SUMIF(CalcPartyB,$B265,CalcWitB))</f>
        <v/>
      </c>
      <c r="G265" s="28">
        <f>IF($B265="","",SUMIF(CalcPartyB,$B265,CalcDepB))</f>
        <v/>
      </c>
      <c r="H265" s="29">
        <f>IF($B265="","",$E265-$F265+$G265)</f>
        <v/>
      </c>
      <c r="I265" s="27">
        <f>IF($B265="","",IF(ROUND($H265,0)&gt;0,"● بستانکار",IF(ROUND($H265,0)&lt;0,"● بدهکار","تسویه")))</f>
        <v/>
      </c>
    </row>
    <row r="266">
      <c r="A266" s="21">
        <f>IF($B266="","",257)</f>
        <v/>
      </c>
      <c r="B266" s="32">
        <f>IF(257&gt;NBskParty,"",INDEX(PkBskParty,257))</f>
        <v/>
      </c>
      <c r="C266" s="25">
        <f>IF($B266="","",IFERROR(IF(VLOOKUP($B266,AcctTbl,4,0)="","(بدون نام)",VLOOKUP($B266,AcctTbl,4,0)),"—"))</f>
        <v/>
      </c>
      <c r="D266" s="23">
        <f>IF($B266="","",SUMIF(CalcPartyA,$B266,CalcQtyA))</f>
        <v/>
      </c>
      <c r="E266" s="23">
        <f>IF($B266="","",SUMIF(CalcPartyA,$B266,CalcAmtA))</f>
        <v/>
      </c>
      <c r="F266" s="23">
        <f>IF($B266="","",SUMIF(CalcPartyB,$B266,CalcWitB))</f>
        <v/>
      </c>
      <c r="G266" s="23">
        <f>IF($B266="","",SUMIF(CalcPartyB,$B266,CalcDepB))</f>
        <v/>
      </c>
      <c r="H266" s="24">
        <f>IF($B266="","",$E266-$F266+$G266)</f>
        <v/>
      </c>
      <c r="I266" s="22">
        <f>IF($B266="","",IF(ROUND($H266,0)&gt;0,"● بستانکار",IF(ROUND($H266,0)&lt;0,"● بدهکار","تسویه")))</f>
        <v/>
      </c>
    </row>
    <row r="267">
      <c r="A267" s="26">
        <f>IF($B267="","",258)</f>
        <v/>
      </c>
      <c r="B267" s="33">
        <f>IF(258&gt;NBskParty,"",INDEX(PkBskParty,258))</f>
        <v/>
      </c>
      <c r="C267" s="30">
        <f>IF($B267="","",IFERROR(IF(VLOOKUP($B267,AcctTbl,4,0)="","(بدون نام)",VLOOKUP($B267,AcctTbl,4,0)),"—"))</f>
        <v/>
      </c>
      <c r="D267" s="28">
        <f>IF($B267="","",SUMIF(CalcPartyA,$B267,CalcQtyA))</f>
        <v/>
      </c>
      <c r="E267" s="28">
        <f>IF($B267="","",SUMIF(CalcPartyA,$B267,CalcAmtA))</f>
        <v/>
      </c>
      <c r="F267" s="28">
        <f>IF($B267="","",SUMIF(CalcPartyB,$B267,CalcWitB))</f>
        <v/>
      </c>
      <c r="G267" s="28">
        <f>IF($B267="","",SUMIF(CalcPartyB,$B267,CalcDepB))</f>
        <v/>
      </c>
      <c r="H267" s="29">
        <f>IF($B267="","",$E267-$F267+$G267)</f>
        <v/>
      </c>
      <c r="I267" s="27">
        <f>IF($B267="","",IF(ROUND($H267,0)&gt;0,"● بستانکار",IF(ROUND($H267,0)&lt;0,"● بدهکار","تسویه")))</f>
        <v/>
      </c>
    </row>
    <row r="268">
      <c r="A268" s="21">
        <f>IF($B268="","",259)</f>
        <v/>
      </c>
      <c r="B268" s="32">
        <f>IF(259&gt;NBskParty,"",INDEX(PkBskParty,259))</f>
        <v/>
      </c>
      <c r="C268" s="25">
        <f>IF($B268="","",IFERROR(IF(VLOOKUP($B268,AcctTbl,4,0)="","(بدون نام)",VLOOKUP($B268,AcctTbl,4,0)),"—"))</f>
        <v/>
      </c>
      <c r="D268" s="23">
        <f>IF($B268="","",SUMIF(CalcPartyA,$B268,CalcQtyA))</f>
        <v/>
      </c>
      <c r="E268" s="23">
        <f>IF($B268="","",SUMIF(CalcPartyA,$B268,CalcAmtA))</f>
        <v/>
      </c>
      <c r="F268" s="23">
        <f>IF($B268="","",SUMIF(CalcPartyB,$B268,CalcWitB))</f>
        <v/>
      </c>
      <c r="G268" s="23">
        <f>IF($B268="","",SUMIF(CalcPartyB,$B268,CalcDepB))</f>
        <v/>
      </c>
      <c r="H268" s="24">
        <f>IF($B268="","",$E268-$F268+$G268)</f>
        <v/>
      </c>
      <c r="I268" s="22">
        <f>IF($B268="","",IF(ROUND($H268,0)&gt;0,"● بستانکار",IF(ROUND($H268,0)&lt;0,"● بدهکار","تسویه")))</f>
        <v/>
      </c>
    </row>
    <row r="269">
      <c r="A269" s="26">
        <f>IF($B269="","",260)</f>
        <v/>
      </c>
      <c r="B269" s="33">
        <f>IF(260&gt;NBskParty,"",INDEX(PkBskParty,260))</f>
        <v/>
      </c>
      <c r="C269" s="30">
        <f>IF($B269="","",IFERROR(IF(VLOOKUP($B269,AcctTbl,4,0)="","(بدون نام)",VLOOKUP($B269,AcctTbl,4,0)),"—"))</f>
        <v/>
      </c>
      <c r="D269" s="28">
        <f>IF($B269="","",SUMIF(CalcPartyA,$B269,CalcQtyA))</f>
        <v/>
      </c>
      <c r="E269" s="28">
        <f>IF($B269="","",SUMIF(CalcPartyA,$B269,CalcAmtA))</f>
        <v/>
      </c>
      <c r="F269" s="28">
        <f>IF($B269="","",SUMIF(CalcPartyB,$B269,CalcWitB))</f>
        <v/>
      </c>
      <c r="G269" s="28">
        <f>IF($B269="","",SUMIF(CalcPartyB,$B269,CalcDepB))</f>
        <v/>
      </c>
      <c r="H269" s="29">
        <f>IF($B269="","",$E269-$F269+$G269)</f>
        <v/>
      </c>
      <c r="I269" s="27">
        <f>IF($B269="","",IF(ROUND($H269,0)&gt;0,"● بستانکار",IF(ROUND($H269,0)&lt;0,"● بدهکار","تسویه")))</f>
        <v/>
      </c>
    </row>
    <row r="270">
      <c r="A270" s="21">
        <f>IF($B270="","",261)</f>
        <v/>
      </c>
      <c r="B270" s="32">
        <f>IF(261&gt;NBskParty,"",INDEX(PkBskParty,261))</f>
        <v/>
      </c>
      <c r="C270" s="25">
        <f>IF($B270="","",IFERROR(IF(VLOOKUP($B270,AcctTbl,4,0)="","(بدون نام)",VLOOKUP($B270,AcctTbl,4,0)),"—"))</f>
        <v/>
      </c>
      <c r="D270" s="23">
        <f>IF($B270="","",SUMIF(CalcPartyA,$B270,CalcQtyA))</f>
        <v/>
      </c>
      <c r="E270" s="23">
        <f>IF($B270="","",SUMIF(CalcPartyA,$B270,CalcAmtA))</f>
        <v/>
      </c>
      <c r="F270" s="23">
        <f>IF($B270="","",SUMIF(CalcPartyB,$B270,CalcWitB))</f>
        <v/>
      </c>
      <c r="G270" s="23">
        <f>IF($B270="","",SUMIF(CalcPartyB,$B270,CalcDepB))</f>
        <v/>
      </c>
      <c r="H270" s="24">
        <f>IF($B270="","",$E270-$F270+$G270)</f>
        <v/>
      </c>
      <c r="I270" s="22">
        <f>IF($B270="","",IF(ROUND($H270,0)&gt;0,"● بستانکار",IF(ROUND($H270,0)&lt;0,"● بدهکار","تسویه")))</f>
        <v/>
      </c>
    </row>
    <row r="271">
      <c r="A271" s="26">
        <f>IF($B271="","",262)</f>
        <v/>
      </c>
      <c r="B271" s="33">
        <f>IF(262&gt;NBskParty,"",INDEX(PkBskParty,262))</f>
        <v/>
      </c>
      <c r="C271" s="30">
        <f>IF($B271="","",IFERROR(IF(VLOOKUP($B271,AcctTbl,4,0)="","(بدون نام)",VLOOKUP($B271,AcctTbl,4,0)),"—"))</f>
        <v/>
      </c>
      <c r="D271" s="28">
        <f>IF($B271="","",SUMIF(CalcPartyA,$B271,CalcQtyA))</f>
        <v/>
      </c>
      <c r="E271" s="28">
        <f>IF($B271="","",SUMIF(CalcPartyA,$B271,CalcAmtA))</f>
        <v/>
      </c>
      <c r="F271" s="28">
        <f>IF($B271="","",SUMIF(CalcPartyB,$B271,CalcWitB))</f>
        <v/>
      </c>
      <c r="G271" s="28">
        <f>IF($B271="","",SUMIF(CalcPartyB,$B271,CalcDepB))</f>
        <v/>
      </c>
      <c r="H271" s="29">
        <f>IF($B271="","",$E271-$F271+$G271)</f>
        <v/>
      </c>
      <c r="I271" s="27">
        <f>IF($B271="","",IF(ROUND($H271,0)&gt;0,"● بستانکار",IF(ROUND($H271,0)&lt;0,"● بدهکار","تسویه")))</f>
        <v/>
      </c>
    </row>
    <row r="272">
      <c r="A272" s="21">
        <f>IF($B272="","",263)</f>
        <v/>
      </c>
      <c r="B272" s="32">
        <f>IF(263&gt;NBskParty,"",INDEX(PkBskParty,263))</f>
        <v/>
      </c>
      <c r="C272" s="25">
        <f>IF($B272="","",IFERROR(IF(VLOOKUP($B272,AcctTbl,4,0)="","(بدون نام)",VLOOKUP($B272,AcctTbl,4,0)),"—"))</f>
        <v/>
      </c>
      <c r="D272" s="23">
        <f>IF($B272="","",SUMIF(CalcPartyA,$B272,CalcQtyA))</f>
        <v/>
      </c>
      <c r="E272" s="23">
        <f>IF($B272="","",SUMIF(CalcPartyA,$B272,CalcAmtA))</f>
        <v/>
      </c>
      <c r="F272" s="23">
        <f>IF($B272="","",SUMIF(CalcPartyB,$B272,CalcWitB))</f>
        <v/>
      </c>
      <c r="G272" s="23">
        <f>IF($B272="","",SUMIF(CalcPartyB,$B272,CalcDepB))</f>
        <v/>
      </c>
      <c r="H272" s="24">
        <f>IF($B272="","",$E272-$F272+$G272)</f>
        <v/>
      </c>
      <c r="I272" s="22">
        <f>IF($B272="","",IF(ROUND($H272,0)&gt;0,"● بستانکار",IF(ROUND($H272,0)&lt;0,"● بدهکار","تسویه")))</f>
        <v/>
      </c>
    </row>
    <row r="273">
      <c r="A273" s="26">
        <f>IF($B273="","",264)</f>
        <v/>
      </c>
      <c r="B273" s="33">
        <f>IF(264&gt;NBskParty,"",INDEX(PkBskParty,264))</f>
        <v/>
      </c>
      <c r="C273" s="30">
        <f>IF($B273="","",IFERROR(IF(VLOOKUP($B273,AcctTbl,4,0)="","(بدون نام)",VLOOKUP($B273,AcctTbl,4,0)),"—"))</f>
        <v/>
      </c>
      <c r="D273" s="28">
        <f>IF($B273="","",SUMIF(CalcPartyA,$B273,CalcQtyA))</f>
        <v/>
      </c>
      <c r="E273" s="28">
        <f>IF($B273="","",SUMIF(CalcPartyA,$B273,CalcAmtA))</f>
        <v/>
      </c>
      <c r="F273" s="28">
        <f>IF($B273="","",SUMIF(CalcPartyB,$B273,CalcWitB))</f>
        <v/>
      </c>
      <c r="G273" s="28">
        <f>IF($B273="","",SUMIF(CalcPartyB,$B273,CalcDepB))</f>
        <v/>
      </c>
      <c r="H273" s="29">
        <f>IF($B273="","",$E273-$F273+$G273)</f>
        <v/>
      </c>
      <c r="I273" s="27">
        <f>IF($B273="","",IF(ROUND($H273,0)&gt;0,"● بستانکار",IF(ROUND($H273,0)&lt;0,"● بدهکار","تسویه")))</f>
        <v/>
      </c>
    </row>
    <row r="274">
      <c r="A274" s="21">
        <f>IF($B274="","",265)</f>
        <v/>
      </c>
      <c r="B274" s="32">
        <f>IF(265&gt;NBskParty,"",INDEX(PkBskParty,265))</f>
        <v/>
      </c>
      <c r="C274" s="25">
        <f>IF($B274="","",IFERROR(IF(VLOOKUP($B274,AcctTbl,4,0)="","(بدون نام)",VLOOKUP($B274,AcctTbl,4,0)),"—"))</f>
        <v/>
      </c>
      <c r="D274" s="23">
        <f>IF($B274="","",SUMIF(CalcPartyA,$B274,CalcQtyA))</f>
        <v/>
      </c>
      <c r="E274" s="23">
        <f>IF($B274="","",SUMIF(CalcPartyA,$B274,CalcAmtA))</f>
        <v/>
      </c>
      <c r="F274" s="23">
        <f>IF($B274="","",SUMIF(CalcPartyB,$B274,CalcWitB))</f>
        <v/>
      </c>
      <c r="G274" s="23">
        <f>IF($B274="","",SUMIF(CalcPartyB,$B274,CalcDepB))</f>
        <v/>
      </c>
      <c r="H274" s="24">
        <f>IF($B274="","",$E274-$F274+$G274)</f>
        <v/>
      </c>
      <c r="I274" s="22">
        <f>IF($B274="","",IF(ROUND($H274,0)&gt;0,"● بستانکار",IF(ROUND($H274,0)&lt;0,"● بدهکار","تسویه")))</f>
        <v/>
      </c>
    </row>
    <row r="275">
      <c r="A275" s="26">
        <f>IF($B275="","",266)</f>
        <v/>
      </c>
      <c r="B275" s="33">
        <f>IF(266&gt;NBskParty,"",INDEX(PkBskParty,266))</f>
        <v/>
      </c>
      <c r="C275" s="30">
        <f>IF($B275="","",IFERROR(IF(VLOOKUP($B275,AcctTbl,4,0)="","(بدون نام)",VLOOKUP($B275,AcctTbl,4,0)),"—"))</f>
        <v/>
      </c>
      <c r="D275" s="28">
        <f>IF($B275="","",SUMIF(CalcPartyA,$B275,CalcQtyA))</f>
        <v/>
      </c>
      <c r="E275" s="28">
        <f>IF($B275="","",SUMIF(CalcPartyA,$B275,CalcAmtA))</f>
        <v/>
      </c>
      <c r="F275" s="28">
        <f>IF($B275="","",SUMIF(CalcPartyB,$B275,CalcWitB))</f>
        <v/>
      </c>
      <c r="G275" s="28">
        <f>IF($B275="","",SUMIF(CalcPartyB,$B275,CalcDepB))</f>
        <v/>
      </c>
      <c r="H275" s="29">
        <f>IF($B275="","",$E275-$F275+$G275)</f>
        <v/>
      </c>
      <c r="I275" s="27">
        <f>IF($B275="","",IF(ROUND($H275,0)&gt;0,"● بستانکار",IF(ROUND($H275,0)&lt;0,"● بدهکار","تسویه")))</f>
        <v/>
      </c>
    </row>
    <row r="276">
      <c r="A276" s="21">
        <f>IF($B276="","",267)</f>
        <v/>
      </c>
      <c r="B276" s="32">
        <f>IF(267&gt;NBskParty,"",INDEX(PkBskParty,267))</f>
        <v/>
      </c>
      <c r="C276" s="25">
        <f>IF($B276="","",IFERROR(IF(VLOOKUP($B276,AcctTbl,4,0)="","(بدون نام)",VLOOKUP($B276,AcctTbl,4,0)),"—"))</f>
        <v/>
      </c>
      <c r="D276" s="23">
        <f>IF($B276="","",SUMIF(CalcPartyA,$B276,CalcQtyA))</f>
        <v/>
      </c>
      <c r="E276" s="23">
        <f>IF($B276="","",SUMIF(CalcPartyA,$B276,CalcAmtA))</f>
        <v/>
      </c>
      <c r="F276" s="23">
        <f>IF($B276="","",SUMIF(CalcPartyB,$B276,CalcWitB))</f>
        <v/>
      </c>
      <c r="G276" s="23">
        <f>IF($B276="","",SUMIF(CalcPartyB,$B276,CalcDepB))</f>
        <v/>
      </c>
      <c r="H276" s="24">
        <f>IF($B276="","",$E276-$F276+$G276)</f>
        <v/>
      </c>
      <c r="I276" s="22">
        <f>IF($B276="","",IF(ROUND($H276,0)&gt;0,"● بستانکار",IF(ROUND($H276,0)&lt;0,"● بدهکار","تسویه")))</f>
        <v/>
      </c>
    </row>
    <row r="277">
      <c r="A277" s="26">
        <f>IF($B277="","",268)</f>
        <v/>
      </c>
      <c r="B277" s="33">
        <f>IF(268&gt;NBskParty,"",INDEX(PkBskParty,268))</f>
        <v/>
      </c>
      <c r="C277" s="30">
        <f>IF($B277="","",IFERROR(IF(VLOOKUP($B277,AcctTbl,4,0)="","(بدون نام)",VLOOKUP($B277,AcctTbl,4,0)),"—"))</f>
        <v/>
      </c>
      <c r="D277" s="28">
        <f>IF($B277="","",SUMIF(CalcPartyA,$B277,CalcQtyA))</f>
        <v/>
      </c>
      <c r="E277" s="28">
        <f>IF($B277="","",SUMIF(CalcPartyA,$B277,CalcAmtA))</f>
        <v/>
      </c>
      <c r="F277" s="28">
        <f>IF($B277="","",SUMIF(CalcPartyB,$B277,CalcWitB))</f>
        <v/>
      </c>
      <c r="G277" s="28">
        <f>IF($B277="","",SUMIF(CalcPartyB,$B277,CalcDepB))</f>
        <v/>
      </c>
      <c r="H277" s="29">
        <f>IF($B277="","",$E277-$F277+$G277)</f>
        <v/>
      </c>
      <c r="I277" s="27">
        <f>IF($B277="","",IF(ROUND($H277,0)&gt;0,"● بستانکار",IF(ROUND($H277,0)&lt;0,"● بدهکار","تسویه")))</f>
        <v/>
      </c>
    </row>
    <row r="278">
      <c r="A278" s="21">
        <f>IF($B278="","",269)</f>
        <v/>
      </c>
      <c r="B278" s="32">
        <f>IF(269&gt;NBskParty,"",INDEX(PkBskParty,269))</f>
        <v/>
      </c>
      <c r="C278" s="25">
        <f>IF($B278="","",IFERROR(IF(VLOOKUP($B278,AcctTbl,4,0)="","(بدون نام)",VLOOKUP($B278,AcctTbl,4,0)),"—"))</f>
        <v/>
      </c>
      <c r="D278" s="23">
        <f>IF($B278="","",SUMIF(CalcPartyA,$B278,CalcQtyA))</f>
        <v/>
      </c>
      <c r="E278" s="23">
        <f>IF($B278="","",SUMIF(CalcPartyA,$B278,CalcAmtA))</f>
        <v/>
      </c>
      <c r="F278" s="23">
        <f>IF($B278="","",SUMIF(CalcPartyB,$B278,CalcWitB))</f>
        <v/>
      </c>
      <c r="G278" s="23">
        <f>IF($B278="","",SUMIF(CalcPartyB,$B278,CalcDepB))</f>
        <v/>
      </c>
      <c r="H278" s="24">
        <f>IF($B278="","",$E278-$F278+$G278)</f>
        <v/>
      </c>
      <c r="I278" s="22">
        <f>IF($B278="","",IF(ROUND($H278,0)&gt;0,"● بستانکار",IF(ROUND($H278,0)&lt;0,"● بدهکار","تسویه")))</f>
        <v/>
      </c>
    </row>
    <row r="279">
      <c r="A279" s="26">
        <f>IF($B279="","",270)</f>
        <v/>
      </c>
      <c r="B279" s="33">
        <f>IF(270&gt;NBskParty,"",INDEX(PkBskParty,270))</f>
        <v/>
      </c>
      <c r="C279" s="30">
        <f>IF($B279="","",IFERROR(IF(VLOOKUP($B279,AcctTbl,4,0)="","(بدون نام)",VLOOKUP($B279,AcctTbl,4,0)),"—"))</f>
        <v/>
      </c>
      <c r="D279" s="28">
        <f>IF($B279="","",SUMIF(CalcPartyA,$B279,CalcQtyA))</f>
        <v/>
      </c>
      <c r="E279" s="28">
        <f>IF($B279="","",SUMIF(CalcPartyA,$B279,CalcAmtA))</f>
        <v/>
      </c>
      <c r="F279" s="28">
        <f>IF($B279="","",SUMIF(CalcPartyB,$B279,CalcWitB))</f>
        <v/>
      </c>
      <c r="G279" s="28">
        <f>IF($B279="","",SUMIF(CalcPartyB,$B279,CalcDepB))</f>
        <v/>
      </c>
      <c r="H279" s="29">
        <f>IF($B279="","",$E279-$F279+$G279)</f>
        <v/>
      </c>
      <c r="I279" s="27">
        <f>IF($B279="","",IF(ROUND($H279,0)&gt;0,"● بستانکار",IF(ROUND($H279,0)&lt;0,"● بدهکار","تسویه")))</f>
        <v/>
      </c>
    </row>
    <row r="280">
      <c r="A280" s="21">
        <f>IF($B280="","",271)</f>
        <v/>
      </c>
      <c r="B280" s="32">
        <f>IF(271&gt;NBskParty,"",INDEX(PkBskParty,271))</f>
        <v/>
      </c>
      <c r="C280" s="25">
        <f>IF($B280="","",IFERROR(IF(VLOOKUP($B280,AcctTbl,4,0)="","(بدون نام)",VLOOKUP($B280,AcctTbl,4,0)),"—"))</f>
        <v/>
      </c>
      <c r="D280" s="23">
        <f>IF($B280="","",SUMIF(CalcPartyA,$B280,CalcQtyA))</f>
        <v/>
      </c>
      <c r="E280" s="23">
        <f>IF($B280="","",SUMIF(CalcPartyA,$B280,CalcAmtA))</f>
        <v/>
      </c>
      <c r="F280" s="23">
        <f>IF($B280="","",SUMIF(CalcPartyB,$B280,CalcWitB))</f>
        <v/>
      </c>
      <c r="G280" s="23">
        <f>IF($B280="","",SUMIF(CalcPartyB,$B280,CalcDepB))</f>
        <v/>
      </c>
      <c r="H280" s="24">
        <f>IF($B280="","",$E280-$F280+$G280)</f>
        <v/>
      </c>
      <c r="I280" s="22">
        <f>IF($B280="","",IF(ROUND($H280,0)&gt;0,"● بستانکار",IF(ROUND($H280,0)&lt;0,"● بدهکار","تسویه")))</f>
        <v/>
      </c>
    </row>
    <row r="281">
      <c r="A281" s="26">
        <f>IF($B281="","",272)</f>
        <v/>
      </c>
      <c r="B281" s="33">
        <f>IF(272&gt;NBskParty,"",INDEX(PkBskParty,272))</f>
        <v/>
      </c>
      <c r="C281" s="30">
        <f>IF($B281="","",IFERROR(IF(VLOOKUP($B281,AcctTbl,4,0)="","(بدون نام)",VLOOKUP($B281,AcctTbl,4,0)),"—"))</f>
        <v/>
      </c>
      <c r="D281" s="28">
        <f>IF($B281="","",SUMIF(CalcPartyA,$B281,CalcQtyA))</f>
        <v/>
      </c>
      <c r="E281" s="28">
        <f>IF($B281="","",SUMIF(CalcPartyA,$B281,CalcAmtA))</f>
        <v/>
      </c>
      <c r="F281" s="28">
        <f>IF($B281="","",SUMIF(CalcPartyB,$B281,CalcWitB))</f>
        <v/>
      </c>
      <c r="G281" s="28">
        <f>IF($B281="","",SUMIF(CalcPartyB,$B281,CalcDepB))</f>
        <v/>
      </c>
      <c r="H281" s="29">
        <f>IF($B281="","",$E281-$F281+$G281)</f>
        <v/>
      </c>
      <c r="I281" s="27">
        <f>IF($B281="","",IF(ROUND($H281,0)&gt;0,"● بستانکار",IF(ROUND($H281,0)&lt;0,"● بدهکار","تسویه")))</f>
        <v/>
      </c>
    </row>
    <row r="282">
      <c r="A282" s="21">
        <f>IF($B282="","",273)</f>
        <v/>
      </c>
      <c r="B282" s="32">
        <f>IF(273&gt;NBskParty,"",INDEX(PkBskParty,273))</f>
        <v/>
      </c>
      <c r="C282" s="25">
        <f>IF($B282="","",IFERROR(IF(VLOOKUP($B282,AcctTbl,4,0)="","(بدون نام)",VLOOKUP($B282,AcctTbl,4,0)),"—"))</f>
        <v/>
      </c>
      <c r="D282" s="23">
        <f>IF($B282="","",SUMIF(CalcPartyA,$B282,CalcQtyA))</f>
        <v/>
      </c>
      <c r="E282" s="23">
        <f>IF($B282="","",SUMIF(CalcPartyA,$B282,CalcAmtA))</f>
        <v/>
      </c>
      <c r="F282" s="23">
        <f>IF($B282="","",SUMIF(CalcPartyB,$B282,CalcWitB))</f>
        <v/>
      </c>
      <c r="G282" s="23">
        <f>IF($B282="","",SUMIF(CalcPartyB,$B282,CalcDepB))</f>
        <v/>
      </c>
      <c r="H282" s="24">
        <f>IF($B282="","",$E282-$F282+$G282)</f>
        <v/>
      </c>
      <c r="I282" s="22">
        <f>IF($B282="","",IF(ROUND($H282,0)&gt;0,"● بستانکار",IF(ROUND($H282,0)&lt;0,"● بدهکار","تسویه")))</f>
        <v/>
      </c>
    </row>
    <row r="283">
      <c r="A283" s="26">
        <f>IF($B283="","",274)</f>
        <v/>
      </c>
      <c r="B283" s="33">
        <f>IF(274&gt;NBskParty,"",INDEX(PkBskParty,274))</f>
        <v/>
      </c>
      <c r="C283" s="30">
        <f>IF($B283="","",IFERROR(IF(VLOOKUP($B283,AcctTbl,4,0)="","(بدون نام)",VLOOKUP($B283,AcctTbl,4,0)),"—"))</f>
        <v/>
      </c>
      <c r="D283" s="28">
        <f>IF($B283="","",SUMIF(CalcPartyA,$B283,CalcQtyA))</f>
        <v/>
      </c>
      <c r="E283" s="28">
        <f>IF($B283="","",SUMIF(CalcPartyA,$B283,CalcAmtA))</f>
        <v/>
      </c>
      <c r="F283" s="28">
        <f>IF($B283="","",SUMIF(CalcPartyB,$B283,CalcWitB))</f>
        <v/>
      </c>
      <c r="G283" s="28">
        <f>IF($B283="","",SUMIF(CalcPartyB,$B283,CalcDepB))</f>
        <v/>
      </c>
      <c r="H283" s="29">
        <f>IF($B283="","",$E283-$F283+$G283)</f>
        <v/>
      </c>
      <c r="I283" s="27">
        <f>IF($B283="","",IF(ROUND($H283,0)&gt;0,"● بستانکار",IF(ROUND($H283,0)&lt;0,"● بدهکار","تسویه")))</f>
        <v/>
      </c>
    </row>
    <row r="284">
      <c r="A284" s="21">
        <f>IF($B284="","",275)</f>
        <v/>
      </c>
      <c r="B284" s="32">
        <f>IF(275&gt;NBskParty,"",INDEX(PkBskParty,275))</f>
        <v/>
      </c>
      <c r="C284" s="25">
        <f>IF($B284="","",IFERROR(IF(VLOOKUP($B284,AcctTbl,4,0)="","(بدون نام)",VLOOKUP($B284,AcctTbl,4,0)),"—"))</f>
        <v/>
      </c>
      <c r="D284" s="23">
        <f>IF($B284="","",SUMIF(CalcPartyA,$B284,CalcQtyA))</f>
        <v/>
      </c>
      <c r="E284" s="23">
        <f>IF($B284="","",SUMIF(CalcPartyA,$B284,CalcAmtA))</f>
        <v/>
      </c>
      <c r="F284" s="23">
        <f>IF($B284="","",SUMIF(CalcPartyB,$B284,CalcWitB))</f>
        <v/>
      </c>
      <c r="G284" s="23">
        <f>IF($B284="","",SUMIF(CalcPartyB,$B284,CalcDepB))</f>
        <v/>
      </c>
      <c r="H284" s="24">
        <f>IF($B284="","",$E284-$F284+$G284)</f>
        <v/>
      </c>
      <c r="I284" s="22">
        <f>IF($B284="","",IF(ROUND($H284,0)&gt;0,"● بستانکار",IF(ROUND($H284,0)&lt;0,"● بدهکار","تسویه")))</f>
        <v/>
      </c>
    </row>
    <row r="285">
      <c r="A285" s="26">
        <f>IF($B285="","",276)</f>
        <v/>
      </c>
      <c r="B285" s="33">
        <f>IF(276&gt;NBskParty,"",INDEX(PkBskParty,276))</f>
        <v/>
      </c>
      <c r="C285" s="30">
        <f>IF($B285="","",IFERROR(IF(VLOOKUP($B285,AcctTbl,4,0)="","(بدون نام)",VLOOKUP($B285,AcctTbl,4,0)),"—"))</f>
        <v/>
      </c>
      <c r="D285" s="28">
        <f>IF($B285="","",SUMIF(CalcPartyA,$B285,CalcQtyA))</f>
        <v/>
      </c>
      <c r="E285" s="28">
        <f>IF($B285="","",SUMIF(CalcPartyA,$B285,CalcAmtA))</f>
        <v/>
      </c>
      <c r="F285" s="28">
        <f>IF($B285="","",SUMIF(CalcPartyB,$B285,CalcWitB))</f>
        <v/>
      </c>
      <c r="G285" s="28">
        <f>IF($B285="","",SUMIF(CalcPartyB,$B285,CalcDepB))</f>
        <v/>
      </c>
      <c r="H285" s="29">
        <f>IF($B285="","",$E285-$F285+$G285)</f>
        <v/>
      </c>
      <c r="I285" s="27">
        <f>IF($B285="","",IF(ROUND($H285,0)&gt;0,"● بستانکار",IF(ROUND($H285,0)&lt;0,"● بدهکار","تسویه")))</f>
        <v/>
      </c>
    </row>
    <row r="286">
      <c r="A286" s="21">
        <f>IF($B286="","",277)</f>
        <v/>
      </c>
      <c r="B286" s="32">
        <f>IF(277&gt;NBskParty,"",INDEX(PkBskParty,277))</f>
        <v/>
      </c>
      <c r="C286" s="25">
        <f>IF($B286="","",IFERROR(IF(VLOOKUP($B286,AcctTbl,4,0)="","(بدون نام)",VLOOKUP($B286,AcctTbl,4,0)),"—"))</f>
        <v/>
      </c>
      <c r="D286" s="23">
        <f>IF($B286="","",SUMIF(CalcPartyA,$B286,CalcQtyA))</f>
        <v/>
      </c>
      <c r="E286" s="23">
        <f>IF($B286="","",SUMIF(CalcPartyA,$B286,CalcAmtA))</f>
        <v/>
      </c>
      <c r="F286" s="23">
        <f>IF($B286="","",SUMIF(CalcPartyB,$B286,CalcWitB))</f>
        <v/>
      </c>
      <c r="G286" s="23">
        <f>IF($B286="","",SUMIF(CalcPartyB,$B286,CalcDepB))</f>
        <v/>
      </c>
      <c r="H286" s="24">
        <f>IF($B286="","",$E286-$F286+$G286)</f>
        <v/>
      </c>
      <c r="I286" s="22">
        <f>IF($B286="","",IF(ROUND($H286,0)&gt;0,"● بستانکار",IF(ROUND($H286,0)&lt;0,"● بدهکار","تسویه")))</f>
        <v/>
      </c>
    </row>
    <row r="287">
      <c r="A287" s="26">
        <f>IF($B287="","",278)</f>
        <v/>
      </c>
      <c r="B287" s="33">
        <f>IF(278&gt;NBskParty,"",INDEX(PkBskParty,278))</f>
        <v/>
      </c>
      <c r="C287" s="30">
        <f>IF($B287="","",IFERROR(IF(VLOOKUP($B287,AcctTbl,4,0)="","(بدون نام)",VLOOKUP($B287,AcctTbl,4,0)),"—"))</f>
        <v/>
      </c>
      <c r="D287" s="28">
        <f>IF($B287="","",SUMIF(CalcPartyA,$B287,CalcQtyA))</f>
        <v/>
      </c>
      <c r="E287" s="28">
        <f>IF($B287="","",SUMIF(CalcPartyA,$B287,CalcAmtA))</f>
        <v/>
      </c>
      <c r="F287" s="28">
        <f>IF($B287="","",SUMIF(CalcPartyB,$B287,CalcWitB))</f>
        <v/>
      </c>
      <c r="G287" s="28">
        <f>IF($B287="","",SUMIF(CalcPartyB,$B287,CalcDepB))</f>
        <v/>
      </c>
      <c r="H287" s="29">
        <f>IF($B287="","",$E287-$F287+$G287)</f>
        <v/>
      </c>
      <c r="I287" s="27">
        <f>IF($B287="","",IF(ROUND($H287,0)&gt;0,"● بستانکار",IF(ROUND($H287,0)&lt;0,"● بدهکار","تسویه")))</f>
        <v/>
      </c>
    </row>
    <row r="288">
      <c r="A288" s="21">
        <f>IF($B288="","",279)</f>
        <v/>
      </c>
      <c r="B288" s="32">
        <f>IF(279&gt;NBskParty,"",INDEX(PkBskParty,279))</f>
        <v/>
      </c>
      <c r="C288" s="25">
        <f>IF($B288="","",IFERROR(IF(VLOOKUP($B288,AcctTbl,4,0)="","(بدون نام)",VLOOKUP($B288,AcctTbl,4,0)),"—"))</f>
        <v/>
      </c>
      <c r="D288" s="23">
        <f>IF($B288="","",SUMIF(CalcPartyA,$B288,CalcQtyA))</f>
        <v/>
      </c>
      <c r="E288" s="23">
        <f>IF($B288="","",SUMIF(CalcPartyA,$B288,CalcAmtA))</f>
        <v/>
      </c>
      <c r="F288" s="23">
        <f>IF($B288="","",SUMIF(CalcPartyB,$B288,CalcWitB))</f>
        <v/>
      </c>
      <c r="G288" s="23">
        <f>IF($B288="","",SUMIF(CalcPartyB,$B288,CalcDepB))</f>
        <v/>
      </c>
      <c r="H288" s="24">
        <f>IF($B288="","",$E288-$F288+$G288)</f>
        <v/>
      </c>
      <c r="I288" s="22">
        <f>IF($B288="","",IF(ROUND($H288,0)&gt;0,"● بستانکار",IF(ROUND($H288,0)&lt;0,"● بدهکار","تسویه")))</f>
        <v/>
      </c>
    </row>
    <row r="289">
      <c r="A289" s="26">
        <f>IF($B289="","",280)</f>
        <v/>
      </c>
      <c r="B289" s="33">
        <f>IF(280&gt;NBskParty,"",INDEX(PkBskParty,280))</f>
        <v/>
      </c>
      <c r="C289" s="30">
        <f>IF($B289="","",IFERROR(IF(VLOOKUP($B289,AcctTbl,4,0)="","(بدون نام)",VLOOKUP($B289,AcctTbl,4,0)),"—"))</f>
        <v/>
      </c>
      <c r="D289" s="28">
        <f>IF($B289="","",SUMIF(CalcPartyA,$B289,CalcQtyA))</f>
        <v/>
      </c>
      <c r="E289" s="28">
        <f>IF($B289="","",SUMIF(CalcPartyA,$B289,CalcAmtA))</f>
        <v/>
      </c>
      <c r="F289" s="28">
        <f>IF($B289="","",SUMIF(CalcPartyB,$B289,CalcWitB))</f>
        <v/>
      </c>
      <c r="G289" s="28">
        <f>IF($B289="","",SUMIF(CalcPartyB,$B289,CalcDepB))</f>
        <v/>
      </c>
      <c r="H289" s="29">
        <f>IF($B289="","",$E289-$F289+$G289)</f>
        <v/>
      </c>
      <c r="I289" s="27">
        <f>IF($B289="","",IF(ROUND($H289,0)&gt;0,"● بستانکار",IF(ROUND($H289,0)&lt;0,"● بدهکار","تسویه")))</f>
        <v/>
      </c>
    </row>
    <row r="290">
      <c r="A290" s="21">
        <f>IF($B290="","",281)</f>
        <v/>
      </c>
      <c r="B290" s="32">
        <f>IF(281&gt;NBskParty,"",INDEX(PkBskParty,281))</f>
        <v/>
      </c>
      <c r="C290" s="25">
        <f>IF($B290="","",IFERROR(IF(VLOOKUP($B290,AcctTbl,4,0)="","(بدون نام)",VLOOKUP($B290,AcctTbl,4,0)),"—"))</f>
        <v/>
      </c>
      <c r="D290" s="23">
        <f>IF($B290="","",SUMIF(CalcPartyA,$B290,CalcQtyA))</f>
        <v/>
      </c>
      <c r="E290" s="23">
        <f>IF($B290="","",SUMIF(CalcPartyA,$B290,CalcAmtA))</f>
        <v/>
      </c>
      <c r="F290" s="23">
        <f>IF($B290="","",SUMIF(CalcPartyB,$B290,CalcWitB))</f>
        <v/>
      </c>
      <c r="G290" s="23">
        <f>IF($B290="","",SUMIF(CalcPartyB,$B290,CalcDepB))</f>
        <v/>
      </c>
      <c r="H290" s="24">
        <f>IF($B290="","",$E290-$F290+$G290)</f>
        <v/>
      </c>
      <c r="I290" s="22">
        <f>IF($B290="","",IF(ROUND($H290,0)&gt;0,"● بستانکار",IF(ROUND($H290,0)&lt;0,"● بدهکار","تسویه")))</f>
        <v/>
      </c>
    </row>
    <row r="291">
      <c r="A291" s="26">
        <f>IF($B291="","",282)</f>
        <v/>
      </c>
      <c r="B291" s="33">
        <f>IF(282&gt;NBskParty,"",INDEX(PkBskParty,282))</f>
        <v/>
      </c>
      <c r="C291" s="30">
        <f>IF($B291="","",IFERROR(IF(VLOOKUP($B291,AcctTbl,4,0)="","(بدون نام)",VLOOKUP($B291,AcctTbl,4,0)),"—"))</f>
        <v/>
      </c>
      <c r="D291" s="28">
        <f>IF($B291="","",SUMIF(CalcPartyA,$B291,CalcQtyA))</f>
        <v/>
      </c>
      <c r="E291" s="28">
        <f>IF($B291="","",SUMIF(CalcPartyA,$B291,CalcAmtA))</f>
        <v/>
      </c>
      <c r="F291" s="28">
        <f>IF($B291="","",SUMIF(CalcPartyB,$B291,CalcWitB))</f>
        <v/>
      </c>
      <c r="G291" s="28">
        <f>IF($B291="","",SUMIF(CalcPartyB,$B291,CalcDepB))</f>
        <v/>
      </c>
      <c r="H291" s="29">
        <f>IF($B291="","",$E291-$F291+$G291)</f>
        <v/>
      </c>
      <c r="I291" s="27">
        <f>IF($B291="","",IF(ROUND($H291,0)&gt;0,"● بستانکار",IF(ROUND($H291,0)&lt;0,"● بدهکار","تسویه")))</f>
        <v/>
      </c>
    </row>
    <row r="292">
      <c r="A292" s="21">
        <f>IF($B292="","",283)</f>
        <v/>
      </c>
      <c r="B292" s="32">
        <f>IF(283&gt;NBskParty,"",INDEX(PkBskParty,283))</f>
        <v/>
      </c>
      <c r="C292" s="25">
        <f>IF($B292="","",IFERROR(IF(VLOOKUP($B292,AcctTbl,4,0)="","(بدون نام)",VLOOKUP($B292,AcctTbl,4,0)),"—"))</f>
        <v/>
      </c>
      <c r="D292" s="23">
        <f>IF($B292="","",SUMIF(CalcPartyA,$B292,CalcQtyA))</f>
        <v/>
      </c>
      <c r="E292" s="23">
        <f>IF($B292="","",SUMIF(CalcPartyA,$B292,CalcAmtA))</f>
        <v/>
      </c>
      <c r="F292" s="23">
        <f>IF($B292="","",SUMIF(CalcPartyB,$B292,CalcWitB))</f>
        <v/>
      </c>
      <c r="G292" s="23">
        <f>IF($B292="","",SUMIF(CalcPartyB,$B292,CalcDepB))</f>
        <v/>
      </c>
      <c r="H292" s="24">
        <f>IF($B292="","",$E292-$F292+$G292)</f>
        <v/>
      </c>
      <c r="I292" s="22">
        <f>IF($B292="","",IF(ROUND($H292,0)&gt;0,"● بستانکار",IF(ROUND($H292,0)&lt;0,"● بدهکار","تسویه")))</f>
        <v/>
      </c>
    </row>
    <row r="293">
      <c r="A293" s="26">
        <f>IF($B293="","",284)</f>
        <v/>
      </c>
      <c r="B293" s="33">
        <f>IF(284&gt;NBskParty,"",INDEX(PkBskParty,284))</f>
        <v/>
      </c>
      <c r="C293" s="30">
        <f>IF($B293="","",IFERROR(IF(VLOOKUP($B293,AcctTbl,4,0)="","(بدون نام)",VLOOKUP($B293,AcctTbl,4,0)),"—"))</f>
        <v/>
      </c>
      <c r="D293" s="28">
        <f>IF($B293="","",SUMIF(CalcPartyA,$B293,CalcQtyA))</f>
        <v/>
      </c>
      <c r="E293" s="28">
        <f>IF($B293="","",SUMIF(CalcPartyA,$B293,CalcAmtA))</f>
        <v/>
      </c>
      <c r="F293" s="28">
        <f>IF($B293="","",SUMIF(CalcPartyB,$B293,CalcWitB))</f>
        <v/>
      </c>
      <c r="G293" s="28">
        <f>IF($B293="","",SUMIF(CalcPartyB,$B293,CalcDepB))</f>
        <v/>
      </c>
      <c r="H293" s="29">
        <f>IF($B293="","",$E293-$F293+$G293)</f>
        <v/>
      </c>
      <c r="I293" s="27">
        <f>IF($B293="","",IF(ROUND($H293,0)&gt;0,"● بستانکار",IF(ROUND($H293,0)&lt;0,"● بدهکار","تسویه")))</f>
        <v/>
      </c>
    </row>
    <row r="294">
      <c r="A294" s="21">
        <f>IF($B294="","",285)</f>
        <v/>
      </c>
      <c r="B294" s="32">
        <f>IF(285&gt;NBskParty,"",INDEX(PkBskParty,285))</f>
        <v/>
      </c>
      <c r="C294" s="25">
        <f>IF($B294="","",IFERROR(IF(VLOOKUP($B294,AcctTbl,4,0)="","(بدون نام)",VLOOKUP($B294,AcctTbl,4,0)),"—"))</f>
        <v/>
      </c>
      <c r="D294" s="23">
        <f>IF($B294="","",SUMIF(CalcPartyA,$B294,CalcQtyA))</f>
        <v/>
      </c>
      <c r="E294" s="23">
        <f>IF($B294="","",SUMIF(CalcPartyA,$B294,CalcAmtA))</f>
        <v/>
      </c>
      <c r="F294" s="23">
        <f>IF($B294="","",SUMIF(CalcPartyB,$B294,CalcWitB))</f>
        <v/>
      </c>
      <c r="G294" s="23">
        <f>IF($B294="","",SUMIF(CalcPartyB,$B294,CalcDepB))</f>
        <v/>
      </c>
      <c r="H294" s="24">
        <f>IF($B294="","",$E294-$F294+$G294)</f>
        <v/>
      </c>
      <c r="I294" s="22">
        <f>IF($B294="","",IF(ROUND($H294,0)&gt;0,"● بستانکار",IF(ROUND($H294,0)&lt;0,"● بدهکار","تسویه")))</f>
        <v/>
      </c>
    </row>
    <row r="295">
      <c r="A295" s="26">
        <f>IF($B295="","",286)</f>
        <v/>
      </c>
      <c r="B295" s="33">
        <f>IF(286&gt;NBskParty,"",INDEX(PkBskParty,286))</f>
        <v/>
      </c>
      <c r="C295" s="30">
        <f>IF($B295="","",IFERROR(IF(VLOOKUP($B295,AcctTbl,4,0)="","(بدون نام)",VLOOKUP($B295,AcctTbl,4,0)),"—"))</f>
        <v/>
      </c>
      <c r="D295" s="28">
        <f>IF($B295="","",SUMIF(CalcPartyA,$B295,CalcQtyA))</f>
        <v/>
      </c>
      <c r="E295" s="28">
        <f>IF($B295="","",SUMIF(CalcPartyA,$B295,CalcAmtA))</f>
        <v/>
      </c>
      <c r="F295" s="28">
        <f>IF($B295="","",SUMIF(CalcPartyB,$B295,CalcWitB))</f>
        <v/>
      </c>
      <c r="G295" s="28">
        <f>IF($B295="","",SUMIF(CalcPartyB,$B295,CalcDepB))</f>
        <v/>
      </c>
      <c r="H295" s="29">
        <f>IF($B295="","",$E295-$F295+$G295)</f>
        <v/>
      </c>
      <c r="I295" s="27">
        <f>IF($B295="","",IF(ROUND($H295,0)&gt;0,"● بستانکار",IF(ROUND($H295,0)&lt;0,"● بدهکار","تسویه")))</f>
        <v/>
      </c>
    </row>
    <row r="296">
      <c r="A296" s="21">
        <f>IF($B296="","",287)</f>
        <v/>
      </c>
      <c r="B296" s="32">
        <f>IF(287&gt;NBskParty,"",INDEX(PkBskParty,287))</f>
        <v/>
      </c>
      <c r="C296" s="25">
        <f>IF($B296="","",IFERROR(IF(VLOOKUP($B296,AcctTbl,4,0)="","(بدون نام)",VLOOKUP($B296,AcctTbl,4,0)),"—"))</f>
        <v/>
      </c>
      <c r="D296" s="23">
        <f>IF($B296="","",SUMIF(CalcPartyA,$B296,CalcQtyA))</f>
        <v/>
      </c>
      <c r="E296" s="23">
        <f>IF($B296="","",SUMIF(CalcPartyA,$B296,CalcAmtA))</f>
        <v/>
      </c>
      <c r="F296" s="23">
        <f>IF($B296="","",SUMIF(CalcPartyB,$B296,CalcWitB))</f>
        <v/>
      </c>
      <c r="G296" s="23">
        <f>IF($B296="","",SUMIF(CalcPartyB,$B296,CalcDepB))</f>
        <v/>
      </c>
      <c r="H296" s="24">
        <f>IF($B296="","",$E296-$F296+$G296)</f>
        <v/>
      </c>
      <c r="I296" s="22">
        <f>IF($B296="","",IF(ROUND($H296,0)&gt;0,"● بستانکار",IF(ROUND($H296,0)&lt;0,"● بدهکار","تسویه")))</f>
        <v/>
      </c>
    </row>
    <row r="297">
      <c r="A297" s="26">
        <f>IF($B297="","",288)</f>
        <v/>
      </c>
      <c r="B297" s="33">
        <f>IF(288&gt;NBskParty,"",INDEX(PkBskParty,288))</f>
        <v/>
      </c>
      <c r="C297" s="30">
        <f>IF($B297="","",IFERROR(IF(VLOOKUP($B297,AcctTbl,4,0)="","(بدون نام)",VLOOKUP($B297,AcctTbl,4,0)),"—"))</f>
        <v/>
      </c>
      <c r="D297" s="28">
        <f>IF($B297="","",SUMIF(CalcPartyA,$B297,CalcQtyA))</f>
        <v/>
      </c>
      <c r="E297" s="28">
        <f>IF($B297="","",SUMIF(CalcPartyA,$B297,CalcAmtA))</f>
        <v/>
      </c>
      <c r="F297" s="28">
        <f>IF($B297="","",SUMIF(CalcPartyB,$B297,CalcWitB))</f>
        <v/>
      </c>
      <c r="G297" s="28">
        <f>IF($B297="","",SUMIF(CalcPartyB,$B297,CalcDepB))</f>
        <v/>
      </c>
      <c r="H297" s="29">
        <f>IF($B297="","",$E297-$F297+$G297)</f>
        <v/>
      </c>
      <c r="I297" s="27">
        <f>IF($B297="","",IF(ROUND($H297,0)&gt;0,"● بستانکار",IF(ROUND($H297,0)&lt;0,"● بدهکار","تسویه")))</f>
        <v/>
      </c>
    </row>
    <row r="298">
      <c r="A298" s="21">
        <f>IF($B298="","",289)</f>
        <v/>
      </c>
      <c r="B298" s="32">
        <f>IF(289&gt;NBskParty,"",INDEX(PkBskParty,289))</f>
        <v/>
      </c>
      <c r="C298" s="25">
        <f>IF($B298="","",IFERROR(IF(VLOOKUP($B298,AcctTbl,4,0)="","(بدون نام)",VLOOKUP($B298,AcctTbl,4,0)),"—"))</f>
        <v/>
      </c>
      <c r="D298" s="23">
        <f>IF($B298="","",SUMIF(CalcPartyA,$B298,CalcQtyA))</f>
        <v/>
      </c>
      <c r="E298" s="23">
        <f>IF($B298="","",SUMIF(CalcPartyA,$B298,CalcAmtA))</f>
        <v/>
      </c>
      <c r="F298" s="23">
        <f>IF($B298="","",SUMIF(CalcPartyB,$B298,CalcWitB))</f>
        <v/>
      </c>
      <c r="G298" s="23">
        <f>IF($B298="","",SUMIF(CalcPartyB,$B298,CalcDepB))</f>
        <v/>
      </c>
      <c r="H298" s="24">
        <f>IF($B298="","",$E298-$F298+$G298)</f>
        <v/>
      </c>
      <c r="I298" s="22">
        <f>IF($B298="","",IF(ROUND($H298,0)&gt;0,"● بستانکار",IF(ROUND($H298,0)&lt;0,"● بدهکار","تسویه")))</f>
        <v/>
      </c>
    </row>
    <row r="299">
      <c r="A299" s="26">
        <f>IF($B299="","",290)</f>
        <v/>
      </c>
      <c r="B299" s="33">
        <f>IF(290&gt;NBskParty,"",INDEX(PkBskParty,290))</f>
        <v/>
      </c>
      <c r="C299" s="30">
        <f>IF($B299="","",IFERROR(IF(VLOOKUP($B299,AcctTbl,4,0)="","(بدون نام)",VLOOKUP($B299,AcctTbl,4,0)),"—"))</f>
        <v/>
      </c>
      <c r="D299" s="28">
        <f>IF($B299="","",SUMIF(CalcPartyA,$B299,CalcQtyA))</f>
        <v/>
      </c>
      <c r="E299" s="28">
        <f>IF($B299="","",SUMIF(CalcPartyA,$B299,CalcAmtA))</f>
        <v/>
      </c>
      <c r="F299" s="28">
        <f>IF($B299="","",SUMIF(CalcPartyB,$B299,CalcWitB))</f>
        <v/>
      </c>
      <c r="G299" s="28">
        <f>IF($B299="","",SUMIF(CalcPartyB,$B299,CalcDepB))</f>
        <v/>
      </c>
      <c r="H299" s="29">
        <f>IF($B299="","",$E299-$F299+$G299)</f>
        <v/>
      </c>
      <c r="I299" s="27">
        <f>IF($B299="","",IF(ROUND($H299,0)&gt;0,"● بستانکار",IF(ROUND($H299,0)&lt;0,"● بدهکار","تسویه")))</f>
        <v/>
      </c>
    </row>
    <row r="300">
      <c r="A300" s="21">
        <f>IF($B300="","",291)</f>
        <v/>
      </c>
      <c r="B300" s="32">
        <f>IF(291&gt;NBskParty,"",INDEX(PkBskParty,291))</f>
        <v/>
      </c>
      <c r="C300" s="25">
        <f>IF($B300="","",IFERROR(IF(VLOOKUP($B300,AcctTbl,4,0)="","(بدون نام)",VLOOKUP($B300,AcctTbl,4,0)),"—"))</f>
        <v/>
      </c>
      <c r="D300" s="23">
        <f>IF($B300="","",SUMIF(CalcPartyA,$B300,CalcQtyA))</f>
        <v/>
      </c>
      <c r="E300" s="23">
        <f>IF($B300="","",SUMIF(CalcPartyA,$B300,CalcAmtA))</f>
        <v/>
      </c>
      <c r="F300" s="23">
        <f>IF($B300="","",SUMIF(CalcPartyB,$B300,CalcWitB))</f>
        <v/>
      </c>
      <c r="G300" s="23">
        <f>IF($B300="","",SUMIF(CalcPartyB,$B300,CalcDepB))</f>
        <v/>
      </c>
      <c r="H300" s="24">
        <f>IF($B300="","",$E300-$F300+$G300)</f>
        <v/>
      </c>
      <c r="I300" s="22">
        <f>IF($B300="","",IF(ROUND($H300,0)&gt;0,"● بستانکار",IF(ROUND($H300,0)&lt;0,"● بدهکار","تسویه")))</f>
        <v/>
      </c>
    </row>
    <row r="301">
      <c r="A301" s="26">
        <f>IF($B301="","",292)</f>
        <v/>
      </c>
      <c r="B301" s="33">
        <f>IF(292&gt;NBskParty,"",INDEX(PkBskParty,292))</f>
        <v/>
      </c>
      <c r="C301" s="30">
        <f>IF($B301="","",IFERROR(IF(VLOOKUP($B301,AcctTbl,4,0)="","(بدون نام)",VLOOKUP($B301,AcctTbl,4,0)),"—"))</f>
        <v/>
      </c>
      <c r="D301" s="28">
        <f>IF($B301="","",SUMIF(CalcPartyA,$B301,CalcQtyA))</f>
        <v/>
      </c>
      <c r="E301" s="28">
        <f>IF($B301="","",SUMIF(CalcPartyA,$B301,CalcAmtA))</f>
        <v/>
      </c>
      <c r="F301" s="28">
        <f>IF($B301="","",SUMIF(CalcPartyB,$B301,CalcWitB))</f>
        <v/>
      </c>
      <c r="G301" s="28">
        <f>IF($B301="","",SUMIF(CalcPartyB,$B301,CalcDepB))</f>
        <v/>
      </c>
      <c r="H301" s="29">
        <f>IF($B301="","",$E301-$F301+$G301)</f>
        <v/>
      </c>
      <c r="I301" s="27">
        <f>IF($B301="","",IF(ROUND($H301,0)&gt;0,"● بستانکار",IF(ROUND($H301,0)&lt;0,"● بدهکار","تسویه")))</f>
        <v/>
      </c>
    </row>
    <row r="302">
      <c r="A302" s="21">
        <f>IF($B302="","",293)</f>
        <v/>
      </c>
      <c r="B302" s="32">
        <f>IF(293&gt;NBskParty,"",INDEX(PkBskParty,293))</f>
        <v/>
      </c>
      <c r="C302" s="25">
        <f>IF($B302="","",IFERROR(IF(VLOOKUP($B302,AcctTbl,4,0)="","(بدون نام)",VLOOKUP($B302,AcctTbl,4,0)),"—"))</f>
        <v/>
      </c>
      <c r="D302" s="23">
        <f>IF($B302="","",SUMIF(CalcPartyA,$B302,CalcQtyA))</f>
        <v/>
      </c>
      <c r="E302" s="23">
        <f>IF($B302="","",SUMIF(CalcPartyA,$B302,CalcAmtA))</f>
        <v/>
      </c>
      <c r="F302" s="23">
        <f>IF($B302="","",SUMIF(CalcPartyB,$B302,CalcWitB))</f>
        <v/>
      </c>
      <c r="G302" s="23">
        <f>IF($B302="","",SUMIF(CalcPartyB,$B302,CalcDepB))</f>
        <v/>
      </c>
      <c r="H302" s="24">
        <f>IF($B302="","",$E302-$F302+$G302)</f>
        <v/>
      </c>
      <c r="I302" s="22">
        <f>IF($B302="","",IF(ROUND($H302,0)&gt;0,"● بستانکار",IF(ROUND($H302,0)&lt;0,"● بدهکار","تسویه")))</f>
        <v/>
      </c>
    </row>
    <row r="303">
      <c r="A303" s="26">
        <f>IF($B303="","",294)</f>
        <v/>
      </c>
      <c r="B303" s="33">
        <f>IF(294&gt;NBskParty,"",INDEX(PkBskParty,294))</f>
        <v/>
      </c>
      <c r="C303" s="30">
        <f>IF($B303="","",IFERROR(IF(VLOOKUP($B303,AcctTbl,4,0)="","(بدون نام)",VLOOKUP($B303,AcctTbl,4,0)),"—"))</f>
        <v/>
      </c>
      <c r="D303" s="28">
        <f>IF($B303="","",SUMIF(CalcPartyA,$B303,CalcQtyA))</f>
        <v/>
      </c>
      <c r="E303" s="28">
        <f>IF($B303="","",SUMIF(CalcPartyA,$B303,CalcAmtA))</f>
        <v/>
      </c>
      <c r="F303" s="28">
        <f>IF($B303="","",SUMIF(CalcPartyB,$B303,CalcWitB))</f>
        <v/>
      </c>
      <c r="G303" s="28">
        <f>IF($B303="","",SUMIF(CalcPartyB,$B303,CalcDepB))</f>
        <v/>
      </c>
      <c r="H303" s="29">
        <f>IF($B303="","",$E303-$F303+$G303)</f>
        <v/>
      </c>
      <c r="I303" s="27">
        <f>IF($B303="","",IF(ROUND($H303,0)&gt;0,"● بستانکار",IF(ROUND($H303,0)&lt;0,"● بدهکار","تسویه")))</f>
        <v/>
      </c>
    </row>
    <row r="304">
      <c r="A304" s="21">
        <f>IF($B304="","",295)</f>
        <v/>
      </c>
      <c r="B304" s="32">
        <f>IF(295&gt;NBskParty,"",INDEX(PkBskParty,295))</f>
        <v/>
      </c>
      <c r="C304" s="25">
        <f>IF($B304="","",IFERROR(IF(VLOOKUP($B304,AcctTbl,4,0)="","(بدون نام)",VLOOKUP($B304,AcctTbl,4,0)),"—"))</f>
        <v/>
      </c>
      <c r="D304" s="23">
        <f>IF($B304="","",SUMIF(CalcPartyA,$B304,CalcQtyA))</f>
        <v/>
      </c>
      <c r="E304" s="23">
        <f>IF($B304="","",SUMIF(CalcPartyA,$B304,CalcAmtA))</f>
        <v/>
      </c>
      <c r="F304" s="23">
        <f>IF($B304="","",SUMIF(CalcPartyB,$B304,CalcWitB))</f>
        <v/>
      </c>
      <c r="G304" s="23">
        <f>IF($B304="","",SUMIF(CalcPartyB,$B304,CalcDepB))</f>
        <v/>
      </c>
      <c r="H304" s="24">
        <f>IF($B304="","",$E304-$F304+$G304)</f>
        <v/>
      </c>
      <c r="I304" s="22">
        <f>IF($B304="","",IF(ROUND($H304,0)&gt;0,"● بستانکار",IF(ROUND($H304,0)&lt;0,"● بدهکار","تسویه")))</f>
        <v/>
      </c>
    </row>
    <row r="305">
      <c r="A305" s="26">
        <f>IF($B305="","",296)</f>
        <v/>
      </c>
      <c r="B305" s="33">
        <f>IF(296&gt;NBskParty,"",INDEX(PkBskParty,296))</f>
        <v/>
      </c>
      <c r="C305" s="30">
        <f>IF($B305="","",IFERROR(IF(VLOOKUP($B305,AcctTbl,4,0)="","(بدون نام)",VLOOKUP($B305,AcctTbl,4,0)),"—"))</f>
        <v/>
      </c>
      <c r="D305" s="28">
        <f>IF($B305="","",SUMIF(CalcPartyA,$B305,CalcQtyA))</f>
        <v/>
      </c>
      <c r="E305" s="28">
        <f>IF($B305="","",SUMIF(CalcPartyA,$B305,CalcAmtA))</f>
        <v/>
      </c>
      <c r="F305" s="28">
        <f>IF($B305="","",SUMIF(CalcPartyB,$B305,CalcWitB))</f>
        <v/>
      </c>
      <c r="G305" s="28">
        <f>IF($B305="","",SUMIF(CalcPartyB,$B305,CalcDepB))</f>
        <v/>
      </c>
      <c r="H305" s="29">
        <f>IF($B305="","",$E305-$F305+$G305)</f>
        <v/>
      </c>
      <c r="I305" s="27">
        <f>IF($B305="","",IF(ROUND($H305,0)&gt;0,"● بستانکار",IF(ROUND($H305,0)&lt;0,"● بدهکار","تسویه")))</f>
        <v/>
      </c>
    </row>
    <row r="306">
      <c r="A306" s="21">
        <f>IF($B306="","",297)</f>
        <v/>
      </c>
      <c r="B306" s="32">
        <f>IF(297&gt;NBskParty,"",INDEX(PkBskParty,297))</f>
        <v/>
      </c>
      <c r="C306" s="25">
        <f>IF($B306="","",IFERROR(IF(VLOOKUP($B306,AcctTbl,4,0)="","(بدون نام)",VLOOKUP($B306,AcctTbl,4,0)),"—"))</f>
        <v/>
      </c>
      <c r="D306" s="23">
        <f>IF($B306="","",SUMIF(CalcPartyA,$B306,CalcQtyA))</f>
        <v/>
      </c>
      <c r="E306" s="23">
        <f>IF($B306="","",SUMIF(CalcPartyA,$B306,CalcAmtA))</f>
        <v/>
      </c>
      <c r="F306" s="23">
        <f>IF($B306="","",SUMIF(CalcPartyB,$B306,CalcWitB))</f>
        <v/>
      </c>
      <c r="G306" s="23">
        <f>IF($B306="","",SUMIF(CalcPartyB,$B306,CalcDepB))</f>
        <v/>
      </c>
      <c r="H306" s="24">
        <f>IF($B306="","",$E306-$F306+$G306)</f>
        <v/>
      </c>
      <c r="I306" s="22">
        <f>IF($B306="","",IF(ROUND($H306,0)&gt;0,"● بستانکار",IF(ROUND($H306,0)&lt;0,"● بدهکار","تسویه")))</f>
        <v/>
      </c>
    </row>
    <row r="307">
      <c r="A307" s="26">
        <f>IF($B307="","",298)</f>
        <v/>
      </c>
      <c r="B307" s="33">
        <f>IF(298&gt;NBskParty,"",INDEX(PkBskParty,298))</f>
        <v/>
      </c>
      <c r="C307" s="30">
        <f>IF($B307="","",IFERROR(IF(VLOOKUP($B307,AcctTbl,4,0)="","(بدون نام)",VLOOKUP($B307,AcctTbl,4,0)),"—"))</f>
        <v/>
      </c>
      <c r="D307" s="28">
        <f>IF($B307="","",SUMIF(CalcPartyA,$B307,CalcQtyA))</f>
        <v/>
      </c>
      <c r="E307" s="28">
        <f>IF($B307="","",SUMIF(CalcPartyA,$B307,CalcAmtA))</f>
        <v/>
      </c>
      <c r="F307" s="28">
        <f>IF($B307="","",SUMIF(CalcPartyB,$B307,CalcWitB))</f>
        <v/>
      </c>
      <c r="G307" s="28">
        <f>IF($B307="","",SUMIF(CalcPartyB,$B307,CalcDepB))</f>
        <v/>
      </c>
      <c r="H307" s="29">
        <f>IF($B307="","",$E307-$F307+$G307)</f>
        <v/>
      </c>
      <c r="I307" s="27">
        <f>IF($B307="","",IF(ROUND($H307,0)&gt;0,"● بستانکار",IF(ROUND($H307,0)&lt;0,"● بدهکار","تسویه")))</f>
        <v/>
      </c>
    </row>
    <row r="308">
      <c r="A308" s="21">
        <f>IF($B308="","",299)</f>
        <v/>
      </c>
      <c r="B308" s="32">
        <f>IF(299&gt;NBskParty,"",INDEX(PkBskParty,299))</f>
        <v/>
      </c>
      <c r="C308" s="25">
        <f>IF($B308="","",IFERROR(IF(VLOOKUP($B308,AcctTbl,4,0)="","(بدون نام)",VLOOKUP($B308,AcctTbl,4,0)),"—"))</f>
        <v/>
      </c>
      <c r="D308" s="23">
        <f>IF($B308="","",SUMIF(CalcPartyA,$B308,CalcQtyA))</f>
        <v/>
      </c>
      <c r="E308" s="23">
        <f>IF($B308="","",SUMIF(CalcPartyA,$B308,CalcAmtA))</f>
        <v/>
      </c>
      <c r="F308" s="23">
        <f>IF($B308="","",SUMIF(CalcPartyB,$B308,CalcWitB))</f>
        <v/>
      </c>
      <c r="G308" s="23">
        <f>IF($B308="","",SUMIF(CalcPartyB,$B308,CalcDepB))</f>
        <v/>
      </c>
      <c r="H308" s="24">
        <f>IF($B308="","",$E308-$F308+$G308)</f>
        <v/>
      </c>
      <c r="I308" s="22">
        <f>IF($B308="","",IF(ROUND($H308,0)&gt;0,"● بستانکار",IF(ROUND($H308,0)&lt;0,"● بدهکار","تسویه")))</f>
        <v/>
      </c>
    </row>
    <row r="309">
      <c r="A309" s="26">
        <f>IF($B309="","",300)</f>
        <v/>
      </c>
      <c r="B309" s="33">
        <f>IF(300&gt;NBskParty,"",INDEX(PkBskParty,300))</f>
        <v/>
      </c>
      <c r="C309" s="30">
        <f>IF($B309="","",IFERROR(IF(VLOOKUP($B309,AcctTbl,4,0)="","(بدون نام)",VLOOKUP($B309,AcctTbl,4,0)),"—"))</f>
        <v/>
      </c>
      <c r="D309" s="28">
        <f>IF($B309="","",SUMIF(CalcPartyA,$B309,CalcQtyA))</f>
        <v/>
      </c>
      <c r="E309" s="28">
        <f>IF($B309="","",SUMIF(CalcPartyA,$B309,CalcAmtA))</f>
        <v/>
      </c>
      <c r="F309" s="28">
        <f>IF($B309="","",SUMIF(CalcPartyB,$B309,CalcWitB))</f>
        <v/>
      </c>
      <c r="G309" s="28">
        <f>IF($B309="","",SUMIF(CalcPartyB,$B309,CalcDepB))</f>
        <v/>
      </c>
      <c r="H309" s="29">
        <f>IF($B309="","",$E309-$F309+$G309)</f>
        <v/>
      </c>
      <c r="I309" s="27">
        <f>IF($B309="","",IF(ROUND($H309,0)&gt;0,"● بستانکار",IF(ROUND($H309,0)&lt;0,"● بدهکار","تسویه")))</f>
        <v/>
      </c>
    </row>
    <row r="310">
      <c r="A310" s="21">
        <f>IF($B310="","",301)</f>
        <v/>
      </c>
      <c r="B310" s="32">
        <f>IF(301&gt;NBskParty,"",INDEX(PkBskParty,301))</f>
        <v/>
      </c>
      <c r="C310" s="25">
        <f>IF($B310="","",IFERROR(IF(VLOOKUP($B310,AcctTbl,4,0)="","(بدون نام)",VLOOKUP($B310,AcctTbl,4,0)),"—"))</f>
        <v/>
      </c>
      <c r="D310" s="23">
        <f>IF($B310="","",SUMIF(CalcPartyA,$B310,CalcQtyA))</f>
        <v/>
      </c>
      <c r="E310" s="23">
        <f>IF($B310="","",SUMIF(CalcPartyA,$B310,CalcAmtA))</f>
        <v/>
      </c>
      <c r="F310" s="23">
        <f>IF($B310="","",SUMIF(CalcPartyB,$B310,CalcWitB))</f>
        <v/>
      </c>
      <c r="G310" s="23">
        <f>IF($B310="","",SUMIF(CalcPartyB,$B310,CalcDepB))</f>
        <v/>
      </c>
      <c r="H310" s="24">
        <f>IF($B310="","",$E310-$F310+$G310)</f>
        <v/>
      </c>
      <c r="I310" s="22">
        <f>IF($B310="","",IF(ROUND($H310,0)&gt;0,"● بستانکار",IF(ROUND($H310,0)&lt;0,"● بدهکار","تسویه")))</f>
        <v/>
      </c>
    </row>
    <row r="311">
      <c r="A311" s="26">
        <f>IF($B311="","",302)</f>
        <v/>
      </c>
      <c r="B311" s="33">
        <f>IF(302&gt;NBskParty,"",INDEX(PkBskParty,302))</f>
        <v/>
      </c>
      <c r="C311" s="30">
        <f>IF($B311="","",IFERROR(IF(VLOOKUP($B311,AcctTbl,4,0)="","(بدون نام)",VLOOKUP($B311,AcctTbl,4,0)),"—"))</f>
        <v/>
      </c>
      <c r="D311" s="28">
        <f>IF($B311="","",SUMIF(CalcPartyA,$B311,CalcQtyA))</f>
        <v/>
      </c>
      <c r="E311" s="28">
        <f>IF($B311="","",SUMIF(CalcPartyA,$B311,CalcAmtA))</f>
        <v/>
      </c>
      <c r="F311" s="28">
        <f>IF($B311="","",SUMIF(CalcPartyB,$B311,CalcWitB))</f>
        <v/>
      </c>
      <c r="G311" s="28">
        <f>IF($B311="","",SUMIF(CalcPartyB,$B311,CalcDepB))</f>
        <v/>
      </c>
      <c r="H311" s="29">
        <f>IF($B311="","",$E311-$F311+$G311)</f>
        <v/>
      </c>
      <c r="I311" s="27">
        <f>IF($B311="","",IF(ROUND($H311,0)&gt;0,"● بستانکار",IF(ROUND($H311,0)&lt;0,"● بدهکار","تسویه")))</f>
        <v/>
      </c>
    </row>
    <row r="312">
      <c r="A312" s="21">
        <f>IF($B312="","",303)</f>
        <v/>
      </c>
      <c r="B312" s="32">
        <f>IF(303&gt;NBskParty,"",INDEX(PkBskParty,303))</f>
        <v/>
      </c>
      <c r="C312" s="25">
        <f>IF($B312="","",IFERROR(IF(VLOOKUP($B312,AcctTbl,4,0)="","(بدون نام)",VLOOKUP($B312,AcctTbl,4,0)),"—"))</f>
        <v/>
      </c>
      <c r="D312" s="23">
        <f>IF($B312="","",SUMIF(CalcPartyA,$B312,CalcQtyA))</f>
        <v/>
      </c>
      <c r="E312" s="23">
        <f>IF($B312="","",SUMIF(CalcPartyA,$B312,CalcAmtA))</f>
        <v/>
      </c>
      <c r="F312" s="23">
        <f>IF($B312="","",SUMIF(CalcPartyB,$B312,CalcWitB))</f>
        <v/>
      </c>
      <c r="G312" s="23">
        <f>IF($B312="","",SUMIF(CalcPartyB,$B312,CalcDepB))</f>
        <v/>
      </c>
      <c r="H312" s="24">
        <f>IF($B312="","",$E312-$F312+$G312)</f>
        <v/>
      </c>
      <c r="I312" s="22">
        <f>IF($B312="","",IF(ROUND($H312,0)&gt;0,"● بستانکار",IF(ROUND($H312,0)&lt;0,"● بدهکار","تسویه")))</f>
        <v/>
      </c>
    </row>
    <row r="313">
      <c r="A313" s="26">
        <f>IF($B313="","",304)</f>
        <v/>
      </c>
      <c r="B313" s="33">
        <f>IF(304&gt;NBskParty,"",INDEX(PkBskParty,304))</f>
        <v/>
      </c>
      <c r="C313" s="30">
        <f>IF($B313="","",IFERROR(IF(VLOOKUP($B313,AcctTbl,4,0)="","(بدون نام)",VLOOKUP($B313,AcctTbl,4,0)),"—"))</f>
        <v/>
      </c>
      <c r="D313" s="28">
        <f>IF($B313="","",SUMIF(CalcPartyA,$B313,CalcQtyA))</f>
        <v/>
      </c>
      <c r="E313" s="28">
        <f>IF($B313="","",SUMIF(CalcPartyA,$B313,CalcAmtA))</f>
        <v/>
      </c>
      <c r="F313" s="28">
        <f>IF($B313="","",SUMIF(CalcPartyB,$B313,CalcWitB))</f>
        <v/>
      </c>
      <c r="G313" s="28">
        <f>IF($B313="","",SUMIF(CalcPartyB,$B313,CalcDepB))</f>
        <v/>
      </c>
      <c r="H313" s="29">
        <f>IF($B313="","",$E313-$F313+$G313)</f>
        <v/>
      </c>
      <c r="I313" s="27">
        <f>IF($B313="","",IF(ROUND($H313,0)&gt;0,"● بستانکار",IF(ROUND($H313,0)&lt;0,"● بدهکار","تسویه")))</f>
        <v/>
      </c>
    </row>
    <row r="314">
      <c r="A314" s="21">
        <f>IF($B314="","",305)</f>
        <v/>
      </c>
      <c r="B314" s="32">
        <f>IF(305&gt;NBskParty,"",INDEX(PkBskParty,305))</f>
        <v/>
      </c>
      <c r="C314" s="25">
        <f>IF($B314="","",IFERROR(IF(VLOOKUP($B314,AcctTbl,4,0)="","(بدون نام)",VLOOKUP($B314,AcctTbl,4,0)),"—"))</f>
        <v/>
      </c>
      <c r="D314" s="23">
        <f>IF($B314="","",SUMIF(CalcPartyA,$B314,CalcQtyA))</f>
        <v/>
      </c>
      <c r="E314" s="23">
        <f>IF($B314="","",SUMIF(CalcPartyA,$B314,CalcAmtA))</f>
        <v/>
      </c>
      <c r="F314" s="23">
        <f>IF($B314="","",SUMIF(CalcPartyB,$B314,CalcWitB))</f>
        <v/>
      </c>
      <c r="G314" s="23">
        <f>IF($B314="","",SUMIF(CalcPartyB,$B314,CalcDepB))</f>
        <v/>
      </c>
      <c r="H314" s="24">
        <f>IF($B314="","",$E314-$F314+$G314)</f>
        <v/>
      </c>
      <c r="I314" s="22">
        <f>IF($B314="","",IF(ROUND($H314,0)&gt;0,"● بستانکار",IF(ROUND($H314,0)&lt;0,"● بدهکار","تسویه")))</f>
        <v/>
      </c>
    </row>
    <row r="315">
      <c r="A315" s="26">
        <f>IF($B315="","",306)</f>
        <v/>
      </c>
      <c r="B315" s="33">
        <f>IF(306&gt;NBskParty,"",INDEX(PkBskParty,306))</f>
        <v/>
      </c>
      <c r="C315" s="30">
        <f>IF($B315="","",IFERROR(IF(VLOOKUP($B315,AcctTbl,4,0)="","(بدون نام)",VLOOKUP($B315,AcctTbl,4,0)),"—"))</f>
        <v/>
      </c>
      <c r="D315" s="28">
        <f>IF($B315="","",SUMIF(CalcPartyA,$B315,CalcQtyA))</f>
        <v/>
      </c>
      <c r="E315" s="28">
        <f>IF($B315="","",SUMIF(CalcPartyA,$B315,CalcAmtA))</f>
        <v/>
      </c>
      <c r="F315" s="28">
        <f>IF($B315="","",SUMIF(CalcPartyB,$B315,CalcWitB))</f>
        <v/>
      </c>
      <c r="G315" s="28">
        <f>IF($B315="","",SUMIF(CalcPartyB,$B315,CalcDepB))</f>
        <v/>
      </c>
      <c r="H315" s="29">
        <f>IF($B315="","",$E315-$F315+$G315)</f>
        <v/>
      </c>
      <c r="I315" s="27">
        <f>IF($B315="","",IF(ROUND($H315,0)&gt;0,"● بستانکار",IF(ROUND($H315,0)&lt;0,"● بدهکار","تسویه")))</f>
        <v/>
      </c>
    </row>
    <row r="316">
      <c r="A316" s="21">
        <f>IF($B316="","",307)</f>
        <v/>
      </c>
      <c r="B316" s="32">
        <f>IF(307&gt;NBskParty,"",INDEX(PkBskParty,307))</f>
        <v/>
      </c>
      <c r="C316" s="25">
        <f>IF($B316="","",IFERROR(IF(VLOOKUP($B316,AcctTbl,4,0)="","(بدون نام)",VLOOKUP($B316,AcctTbl,4,0)),"—"))</f>
        <v/>
      </c>
      <c r="D316" s="23">
        <f>IF($B316="","",SUMIF(CalcPartyA,$B316,CalcQtyA))</f>
        <v/>
      </c>
      <c r="E316" s="23">
        <f>IF($B316="","",SUMIF(CalcPartyA,$B316,CalcAmtA))</f>
        <v/>
      </c>
      <c r="F316" s="23">
        <f>IF($B316="","",SUMIF(CalcPartyB,$B316,CalcWitB))</f>
        <v/>
      </c>
      <c r="G316" s="23">
        <f>IF($B316="","",SUMIF(CalcPartyB,$B316,CalcDepB))</f>
        <v/>
      </c>
      <c r="H316" s="24">
        <f>IF($B316="","",$E316-$F316+$G316)</f>
        <v/>
      </c>
      <c r="I316" s="22">
        <f>IF($B316="","",IF(ROUND($H316,0)&gt;0,"● بستانکار",IF(ROUND($H316,0)&lt;0,"● بدهکار","تسویه")))</f>
        <v/>
      </c>
    </row>
    <row r="317">
      <c r="A317" s="26">
        <f>IF($B317="","",308)</f>
        <v/>
      </c>
      <c r="B317" s="33">
        <f>IF(308&gt;NBskParty,"",INDEX(PkBskParty,308))</f>
        <v/>
      </c>
      <c r="C317" s="30">
        <f>IF($B317="","",IFERROR(IF(VLOOKUP($B317,AcctTbl,4,0)="","(بدون نام)",VLOOKUP($B317,AcctTbl,4,0)),"—"))</f>
        <v/>
      </c>
      <c r="D317" s="28">
        <f>IF($B317="","",SUMIF(CalcPartyA,$B317,CalcQtyA))</f>
        <v/>
      </c>
      <c r="E317" s="28">
        <f>IF($B317="","",SUMIF(CalcPartyA,$B317,CalcAmtA))</f>
        <v/>
      </c>
      <c r="F317" s="28">
        <f>IF($B317="","",SUMIF(CalcPartyB,$B317,CalcWitB))</f>
        <v/>
      </c>
      <c r="G317" s="28">
        <f>IF($B317="","",SUMIF(CalcPartyB,$B317,CalcDepB))</f>
        <v/>
      </c>
      <c r="H317" s="29">
        <f>IF($B317="","",$E317-$F317+$G317)</f>
        <v/>
      </c>
      <c r="I317" s="27">
        <f>IF($B317="","",IF(ROUND($H317,0)&gt;0,"● بستانکار",IF(ROUND($H317,0)&lt;0,"● بدهکار","تسویه")))</f>
        <v/>
      </c>
    </row>
    <row r="318">
      <c r="A318" s="21">
        <f>IF($B318="","",309)</f>
        <v/>
      </c>
      <c r="B318" s="32">
        <f>IF(309&gt;NBskParty,"",INDEX(PkBskParty,309))</f>
        <v/>
      </c>
      <c r="C318" s="25">
        <f>IF($B318="","",IFERROR(IF(VLOOKUP($B318,AcctTbl,4,0)="","(بدون نام)",VLOOKUP($B318,AcctTbl,4,0)),"—"))</f>
        <v/>
      </c>
      <c r="D318" s="23">
        <f>IF($B318="","",SUMIF(CalcPartyA,$B318,CalcQtyA))</f>
        <v/>
      </c>
      <c r="E318" s="23">
        <f>IF($B318="","",SUMIF(CalcPartyA,$B318,CalcAmtA))</f>
        <v/>
      </c>
      <c r="F318" s="23">
        <f>IF($B318="","",SUMIF(CalcPartyB,$B318,CalcWitB))</f>
        <v/>
      </c>
      <c r="G318" s="23">
        <f>IF($B318="","",SUMIF(CalcPartyB,$B318,CalcDepB))</f>
        <v/>
      </c>
      <c r="H318" s="24">
        <f>IF($B318="","",$E318-$F318+$G318)</f>
        <v/>
      </c>
      <c r="I318" s="22">
        <f>IF($B318="","",IF(ROUND($H318,0)&gt;0,"● بستانکار",IF(ROUND($H318,0)&lt;0,"● بدهکار","تسویه")))</f>
        <v/>
      </c>
    </row>
    <row r="319">
      <c r="A319" s="26">
        <f>IF($B319="","",310)</f>
        <v/>
      </c>
      <c r="B319" s="33">
        <f>IF(310&gt;NBskParty,"",INDEX(PkBskParty,310))</f>
        <v/>
      </c>
      <c r="C319" s="30">
        <f>IF($B319="","",IFERROR(IF(VLOOKUP($B319,AcctTbl,4,0)="","(بدون نام)",VLOOKUP($B319,AcctTbl,4,0)),"—"))</f>
        <v/>
      </c>
      <c r="D319" s="28">
        <f>IF($B319="","",SUMIF(CalcPartyA,$B319,CalcQtyA))</f>
        <v/>
      </c>
      <c r="E319" s="28">
        <f>IF($B319="","",SUMIF(CalcPartyA,$B319,CalcAmtA))</f>
        <v/>
      </c>
      <c r="F319" s="28">
        <f>IF($B319="","",SUMIF(CalcPartyB,$B319,CalcWitB))</f>
        <v/>
      </c>
      <c r="G319" s="28">
        <f>IF($B319="","",SUMIF(CalcPartyB,$B319,CalcDepB))</f>
        <v/>
      </c>
      <c r="H319" s="29">
        <f>IF($B319="","",$E319-$F319+$G319)</f>
        <v/>
      </c>
      <c r="I319" s="27">
        <f>IF($B319="","",IF(ROUND($H319,0)&gt;0,"● بستانکار",IF(ROUND($H319,0)&lt;0,"● بدهکار","تسویه")))</f>
        <v/>
      </c>
    </row>
    <row r="320">
      <c r="A320" s="21">
        <f>IF($B320="","",311)</f>
        <v/>
      </c>
      <c r="B320" s="32">
        <f>IF(311&gt;NBskParty,"",INDEX(PkBskParty,311))</f>
        <v/>
      </c>
      <c r="C320" s="25">
        <f>IF($B320="","",IFERROR(IF(VLOOKUP($B320,AcctTbl,4,0)="","(بدون نام)",VLOOKUP($B320,AcctTbl,4,0)),"—"))</f>
        <v/>
      </c>
      <c r="D320" s="23">
        <f>IF($B320="","",SUMIF(CalcPartyA,$B320,CalcQtyA))</f>
        <v/>
      </c>
      <c r="E320" s="23">
        <f>IF($B320="","",SUMIF(CalcPartyA,$B320,CalcAmtA))</f>
        <v/>
      </c>
      <c r="F320" s="23">
        <f>IF($B320="","",SUMIF(CalcPartyB,$B320,CalcWitB))</f>
        <v/>
      </c>
      <c r="G320" s="23">
        <f>IF($B320="","",SUMIF(CalcPartyB,$B320,CalcDepB))</f>
        <v/>
      </c>
      <c r="H320" s="24">
        <f>IF($B320="","",$E320-$F320+$G320)</f>
        <v/>
      </c>
      <c r="I320" s="22">
        <f>IF($B320="","",IF(ROUND($H320,0)&gt;0,"● بستانکار",IF(ROUND($H320,0)&lt;0,"● بدهکار","تسویه")))</f>
        <v/>
      </c>
    </row>
    <row r="321">
      <c r="A321" s="26">
        <f>IF($B321="","",312)</f>
        <v/>
      </c>
      <c r="B321" s="33">
        <f>IF(312&gt;NBskParty,"",INDEX(PkBskParty,312))</f>
        <v/>
      </c>
      <c r="C321" s="30">
        <f>IF($B321="","",IFERROR(IF(VLOOKUP($B321,AcctTbl,4,0)="","(بدون نام)",VLOOKUP($B321,AcctTbl,4,0)),"—"))</f>
        <v/>
      </c>
      <c r="D321" s="28">
        <f>IF($B321="","",SUMIF(CalcPartyA,$B321,CalcQtyA))</f>
        <v/>
      </c>
      <c r="E321" s="28">
        <f>IF($B321="","",SUMIF(CalcPartyA,$B321,CalcAmtA))</f>
        <v/>
      </c>
      <c r="F321" s="28">
        <f>IF($B321="","",SUMIF(CalcPartyB,$B321,CalcWitB))</f>
        <v/>
      </c>
      <c r="G321" s="28">
        <f>IF($B321="","",SUMIF(CalcPartyB,$B321,CalcDepB))</f>
        <v/>
      </c>
      <c r="H321" s="29">
        <f>IF($B321="","",$E321-$F321+$G321)</f>
        <v/>
      </c>
      <c r="I321" s="27">
        <f>IF($B321="","",IF(ROUND($H321,0)&gt;0,"● بستانکار",IF(ROUND($H321,0)&lt;0,"● بدهکار","تسویه")))</f>
        <v/>
      </c>
    </row>
    <row r="322">
      <c r="A322" s="21">
        <f>IF($B322="","",313)</f>
        <v/>
      </c>
      <c r="B322" s="32">
        <f>IF(313&gt;NBskParty,"",INDEX(PkBskParty,313))</f>
        <v/>
      </c>
      <c r="C322" s="25">
        <f>IF($B322="","",IFERROR(IF(VLOOKUP($B322,AcctTbl,4,0)="","(بدون نام)",VLOOKUP($B322,AcctTbl,4,0)),"—"))</f>
        <v/>
      </c>
      <c r="D322" s="23">
        <f>IF($B322="","",SUMIF(CalcPartyA,$B322,CalcQtyA))</f>
        <v/>
      </c>
      <c r="E322" s="23">
        <f>IF($B322="","",SUMIF(CalcPartyA,$B322,CalcAmtA))</f>
        <v/>
      </c>
      <c r="F322" s="23">
        <f>IF($B322="","",SUMIF(CalcPartyB,$B322,CalcWitB))</f>
        <v/>
      </c>
      <c r="G322" s="23">
        <f>IF($B322="","",SUMIF(CalcPartyB,$B322,CalcDepB))</f>
        <v/>
      </c>
      <c r="H322" s="24">
        <f>IF($B322="","",$E322-$F322+$G322)</f>
        <v/>
      </c>
      <c r="I322" s="22">
        <f>IF($B322="","",IF(ROUND($H322,0)&gt;0,"● بستانکار",IF(ROUND($H322,0)&lt;0,"● بدهکار","تسویه")))</f>
        <v/>
      </c>
    </row>
    <row r="323">
      <c r="A323" s="26">
        <f>IF($B323="","",314)</f>
        <v/>
      </c>
      <c r="B323" s="33">
        <f>IF(314&gt;NBskParty,"",INDEX(PkBskParty,314))</f>
        <v/>
      </c>
      <c r="C323" s="30">
        <f>IF($B323="","",IFERROR(IF(VLOOKUP($B323,AcctTbl,4,0)="","(بدون نام)",VLOOKUP($B323,AcctTbl,4,0)),"—"))</f>
        <v/>
      </c>
      <c r="D323" s="28">
        <f>IF($B323="","",SUMIF(CalcPartyA,$B323,CalcQtyA))</f>
        <v/>
      </c>
      <c r="E323" s="28">
        <f>IF($B323="","",SUMIF(CalcPartyA,$B323,CalcAmtA))</f>
        <v/>
      </c>
      <c r="F323" s="28">
        <f>IF($B323="","",SUMIF(CalcPartyB,$B323,CalcWitB))</f>
        <v/>
      </c>
      <c r="G323" s="28">
        <f>IF($B323="","",SUMIF(CalcPartyB,$B323,CalcDepB))</f>
        <v/>
      </c>
      <c r="H323" s="29">
        <f>IF($B323="","",$E323-$F323+$G323)</f>
        <v/>
      </c>
      <c r="I323" s="27">
        <f>IF($B323="","",IF(ROUND($H323,0)&gt;0,"● بستانکار",IF(ROUND($H323,0)&lt;0,"● بدهکار","تسویه")))</f>
        <v/>
      </c>
    </row>
    <row r="324">
      <c r="A324" s="21">
        <f>IF($B324="","",315)</f>
        <v/>
      </c>
      <c r="B324" s="32">
        <f>IF(315&gt;NBskParty,"",INDEX(PkBskParty,315))</f>
        <v/>
      </c>
      <c r="C324" s="25">
        <f>IF($B324="","",IFERROR(IF(VLOOKUP($B324,AcctTbl,4,0)="","(بدون نام)",VLOOKUP($B324,AcctTbl,4,0)),"—"))</f>
        <v/>
      </c>
      <c r="D324" s="23">
        <f>IF($B324="","",SUMIF(CalcPartyA,$B324,CalcQtyA))</f>
        <v/>
      </c>
      <c r="E324" s="23">
        <f>IF($B324="","",SUMIF(CalcPartyA,$B324,CalcAmtA))</f>
        <v/>
      </c>
      <c r="F324" s="23">
        <f>IF($B324="","",SUMIF(CalcPartyB,$B324,CalcWitB))</f>
        <v/>
      </c>
      <c r="G324" s="23">
        <f>IF($B324="","",SUMIF(CalcPartyB,$B324,CalcDepB))</f>
        <v/>
      </c>
      <c r="H324" s="24">
        <f>IF($B324="","",$E324-$F324+$G324)</f>
        <v/>
      </c>
      <c r="I324" s="22">
        <f>IF($B324="","",IF(ROUND($H324,0)&gt;0,"● بستانکار",IF(ROUND($H324,0)&lt;0,"● بدهکار","تسویه")))</f>
        <v/>
      </c>
    </row>
    <row r="325">
      <c r="A325" s="26">
        <f>IF($B325="","",316)</f>
        <v/>
      </c>
      <c r="B325" s="33">
        <f>IF(316&gt;NBskParty,"",INDEX(PkBskParty,316))</f>
        <v/>
      </c>
      <c r="C325" s="30">
        <f>IF($B325="","",IFERROR(IF(VLOOKUP($B325,AcctTbl,4,0)="","(بدون نام)",VLOOKUP($B325,AcctTbl,4,0)),"—"))</f>
        <v/>
      </c>
      <c r="D325" s="28">
        <f>IF($B325="","",SUMIF(CalcPartyA,$B325,CalcQtyA))</f>
        <v/>
      </c>
      <c r="E325" s="28">
        <f>IF($B325="","",SUMIF(CalcPartyA,$B325,CalcAmtA))</f>
        <v/>
      </c>
      <c r="F325" s="28">
        <f>IF($B325="","",SUMIF(CalcPartyB,$B325,CalcWitB))</f>
        <v/>
      </c>
      <c r="G325" s="28">
        <f>IF($B325="","",SUMIF(CalcPartyB,$B325,CalcDepB))</f>
        <v/>
      </c>
      <c r="H325" s="29">
        <f>IF($B325="","",$E325-$F325+$G325)</f>
        <v/>
      </c>
      <c r="I325" s="27">
        <f>IF($B325="","",IF(ROUND($H325,0)&gt;0,"● بستانکار",IF(ROUND($H325,0)&lt;0,"● بدهکار","تسویه")))</f>
        <v/>
      </c>
    </row>
    <row r="326">
      <c r="A326" s="21">
        <f>IF($B326="","",317)</f>
        <v/>
      </c>
      <c r="B326" s="32">
        <f>IF(317&gt;NBskParty,"",INDEX(PkBskParty,317))</f>
        <v/>
      </c>
      <c r="C326" s="25">
        <f>IF($B326="","",IFERROR(IF(VLOOKUP($B326,AcctTbl,4,0)="","(بدون نام)",VLOOKUP($B326,AcctTbl,4,0)),"—"))</f>
        <v/>
      </c>
      <c r="D326" s="23">
        <f>IF($B326="","",SUMIF(CalcPartyA,$B326,CalcQtyA))</f>
        <v/>
      </c>
      <c r="E326" s="23">
        <f>IF($B326="","",SUMIF(CalcPartyA,$B326,CalcAmtA))</f>
        <v/>
      </c>
      <c r="F326" s="23">
        <f>IF($B326="","",SUMIF(CalcPartyB,$B326,CalcWitB))</f>
        <v/>
      </c>
      <c r="G326" s="23">
        <f>IF($B326="","",SUMIF(CalcPartyB,$B326,CalcDepB))</f>
        <v/>
      </c>
      <c r="H326" s="24">
        <f>IF($B326="","",$E326-$F326+$G326)</f>
        <v/>
      </c>
      <c r="I326" s="22">
        <f>IF($B326="","",IF(ROUND($H326,0)&gt;0,"● بستانکار",IF(ROUND($H326,0)&lt;0,"● بدهکار","تسویه")))</f>
        <v/>
      </c>
    </row>
    <row r="327">
      <c r="A327" s="26">
        <f>IF($B327="","",318)</f>
        <v/>
      </c>
      <c r="B327" s="33">
        <f>IF(318&gt;NBskParty,"",INDEX(PkBskParty,318))</f>
        <v/>
      </c>
      <c r="C327" s="30">
        <f>IF($B327="","",IFERROR(IF(VLOOKUP($B327,AcctTbl,4,0)="","(بدون نام)",VLOOKUP($B327,AcctTbl,4,0)),"—"))</f>
        <v/>
      </c>
      <c r="D327" s="28">
        <f>IF($B327="","",SUMIF(CalcPartyA,$B327,CalcQtyA))</f>
        <v/>
      </c>
      <c r="E327" s="28">
        <f>IF($B327="","",SUMIF(CalcPartyA,$B327,CalcAmtA))</f>
        <v/>
      </c>
      <c r="F327" s="28">
        <f>IF($B327="","",SUMIF(CalcPartyB,$B327,CalcWitB))</f>
        <v/>
      </c>
      <c r="G327" s="28">
        <f>IF($B327="","",SUMIF(CalcPartyB,$B327,CalcDepB))</f>
        <v/>
      </c>
      <c r="H327" s="29">
        <f>IF($B327="","",$E327-$F327+$G327)</f>
        <v/>
      </c>
      <c r="I327" s="27">
        <f>IF($B327="","",IF(ROUND($H327,0)&gt;0,"● بستانکار",IF(ROUND($H327,0)&lt;0,"● بدهکار","تسویه")))</f>
        <v/>
      </c>
    </row>
    <row r="328">
      <c r="A328" s="21">
        <f>IF($B328="","",319)</f>
        <v/>
      </c>
      <c r="B328" s="32">
        <f>IF(319&gt;NBskParty,"",INDEX(PkBskParty,319))</f>
        <v/>
      </c>
      <c r="C328" s="25">
        <f>IF($B328="","",IFERROR(IF(VLOOKUP($B328,AcctTbl,4,0)="","(بدون نام)",VLOOKUP($B328,AcctTbl,4,0)),"—"))</f>
        <v/>
      </c>
      <c r="D328" s="23">
        <f>IF($B328="","",SUMIF(CalcPartyA,$B328,CalcQtyA))</f>
        <v/>
      </c>
      <c r="E328" s="23">
        <f>IF($B328="","",SUMIF(CalcPartyA,$B328,CalcAmtA))</f>
        <v/>
      </c>
      <c r="F328" s="23">
        <f>IF($B328="","",SUMIF(CalcPartyB,$B328,CalcWitB))</f>
        <v/>
      </c>
      <c r="G328" s="23">
        <f>IF($B328="","",SUMIF(CalcPartyB,$B328,CalcDepB))</f>
        <v/>
      </c>
      <c r="H328" s="24">
        <f>IF($B328="","",$E328-$F328+$G328)</f>
        <v/>
      </c>
      <c r="I328" s="22">
        <f>IF($B328="","",IF(ROUND($H328,0)&gt;0,"● بستانکار",IF(ROUND($H328,0)&lt;0,"● بدهکار","تسویه")))</f>
        <v/>
      </c>
    </row>
    <row r="329">
      <c r="A329" s="26">
        <f>IF($B329="","",320)</f>
        <v/>
      </c>
      <c r="B329" s="33">
        <f>IF(320&gt;NBskParty,"",INDEX(PkBskParty,320))</f>
        <v/>
      </c>
      <c r="C329" s="30">
        <f>IF($B329="","",IFERROR(IF(VLOOKUP($B329,AcctTbl,4,0)="","(بدون نام)",VLOOKUP($B329,AcctTbl,4,0)),"—"))</f>
        <v/>
      </c>
      <c r="D329" s="28">
        <f>IF($B329="","",SUMIF(CalcPartyA,$B329,CalcQtyA))</f>
        <v/>
      </c>
      <c r="E329" s="28">
        <f>IF($B329="","",SUMIF(CalcPartyA,$B329,CalcAmtA))</f>
        <v/>
      </c>
      <c r="F329" s="28">
        <f>IF($B329="","",SUMIF(CalcPartyB,$B329,CalcWitB))</f>
        <v/>
      </c>
      <c r="G329" s="28">
        <f>IF($B329="","",SUMIF(CalcPartyB,$B329,CalcDepB))</f>
        <v/>
      </c>
      <c r="H329" s="29">
        <f>IF($B329="","",$E329-$F329+$G329)</f>
        <v/>
      </c>
      <c r="I329" s="27">
        <f>IF($B329="","",IF(ROUND($H329,0)&gt;0,"● بستانکار",IF(ROUND($H329,0)&lt;0,"● بدهکار","تسویه")))</f>
        <v/>
      </c>
    </row>
    <row r="330">
      <c r="A330" s="21">
        <f>IF($B330="","",321)</f>
        <v/>
      </c>
      <c r="B330" s="32">
        <f>IF(321&gt;NBskParty,"",INDEX(PkBskParty,321))</f>
        <v/>
      </c>
      <c r="C330" s="25">
        <f>IF($B330="","",IFERROR(IF(VLOOKUP($B330,AcctTbl,4,0)="","(بدون نام)",VLOOKUP($B330,AcctTbl,4,0)),"—"))</f>
        <v/>
      </c>
      <c r="D330" s="23">
        <f>IF($B330="","",SUMIF(CalcPartyA,$B330,CalcQtyA))</f>
        <v/>
      </c>
      <c r="E330" s="23">
        <f>IF($B330="","",SUMIF(CalcPartyA,$B330,CalcAmtA))</f>
        <v/>
      </c>
      <c r="F330" s="23">
        <f>IF($B330="","",SUMIF(CalcPartyB,$B330,CalcWitB))</f>
        <v/>
      </c>
      <c r="G330" s="23">
        <f>IF($B330="","",SUMIF(CalcPartyB,$B330,CalcDepB))</f>
        <v/>
      </c>
      <c r="H330" s="24">
        <f>IF($B330="","",$E330-$F330+$G330)</f>
        <v/>
      </c>
      <c r="I330" s="22">
        <f>IF($B330="","",IF(ROUND($H330,0)&gt;0,"● بستانکار",IF(ROUND($H330,0)&lt;0,"● بدهکار","تسویه")))</f>
        <v/>
      </c>
    </row>
    <row r="331">
      <c r="A331" s="26">
        <f>IF($B331="","",322)</f>
        <v/>
      </c>
      <c r="B331" s="33">
        <f>IF(322&gt;NBskParty,"",INDEX(PkBskParty,322))</f>
        <v/>
      </c>
      <c r="C331" s="30">
        <f>IF($B331="","",IFERROR(IF(VLOOKUP($B331,AcctTbl,4,0)="","(بدون نام)",VLOOKUP($B331,AcctTbl,4,0)),"—"))</f>
        <v/>
      </c>
      <c r="D331" s="28">
        <f>IF($B331="","",SUMIF(CalcPartyA,$B331,CalcQtyA))</f>
        <v/>
      </c>
      <c r="E331" s="28">
        <f>IF($B331="","",SUMIF(CalcPartyA,$B331,CalcAmtA))</f>
        <v/>
      </c>
      <c r="F331" s="28">
        <f>IF($B331="","",SUMIF(CalcPartyB,$B331,CalcWitB))</f>
        <v/>
      </c>
      <c r="G331" s="28">
        <f>IF($B331="","",SUMIF(CalcPartyB,$B331,CalcDepB))</f>
        <v/>
      </c>
      <c r="H331" s="29">
        <f>IF($B331="","",$E331-$F331+$G331)</f>
        <v/>
      </c>
      <c r="I331" s="27">
        <f>IF($B331="","",IF(ROUND($H331,0)&gt;0,"● بستانکار",IF(ROUND($H331,0)&lt;0,"● بدهکار","تسویه")))</f>
        <v/>
      </c>
    </row>
    <row r="332">
      <c r="A332" s="21">
        <f>IF($B332="","",323)</f>
        <v/>
      </c>
      <c r="B332" s="32">
        <f>IF(323&gt;NBskParty,"",INDEX(PkBskParty,323))</f>
        <v/>
      </c>
      <c r="C332" s="25">
        <f>IF($B332="","",IFERROR(IF(VLOOKUP($B332,AcctTbl,4,0)="","(بدون نام)",VLOOKUP($B332,AcctTbl,4,0)),"—"))</f>
        <v/>
      </c>
      <c r="D332" s="23">
        <f>IF($B332="","",SUMIF(CalcPartyA,$B332,CalcQtyA))</f>
        <v/>
      </c>
      <c r="E332" s="23">
        <f>IF($B332="","",SUMIF(CalcPartyA,$B332,CalcAmtA))</f>
        <v/>
      </c>
      <c r="F332" s="23">
        <f>IF($B332="","",SUMIF(CalcPartyB,$B332,CalcWitB))</f>
        <v/>
      </c>
      <c r="G332" s="23">
        <f>IF($B332="","",SUMIF(CalcPartyB,$B332,CalcDepB))</f>
        <v/>
      </c>
      <c r="H332" s="24">
        <f>IF($B332="","",$E332-$F332+$G332)</f>
        <v/>
      </c>
      <c r="I332" s="22">
        <f>IF($B332="","",IF(ROUND($H332,0)&gt;0,"● بستانکار",IF(ROUND($H332,0)&lt;0,"● بدهکار","تسویه")))</f>
        <v/>
      </c>
    </row>
    <row r="333">
      <c r="A333" s="26">
        <f>IF($B333="","",324)</f>
        <v/>
      </c>
      <c r="B333" s="33">
        <f>IF(324&gt;NBskParty,"",INDEX(PkBskParty,324))</f>
        <v/>
      </c>
      <c r="C333" s="30">
        <f>IF($B333="","",IFERROR(IF(VLOOKUP($B333,AcctTbl,4,0)="","(بدون نام)",VLOOKUP($B333,AcctTbl,4,0)),"—"))</f>
        <v/>
      </c>
      <c r="D333" s="28">
        <f>IF($B333="","",SUMIF(CalcPartyA,$B333,CalcQtyA))</f>
        <v/>
      </c>
      <c r="E333" s="28">
        <f>IF($B333="","",SUMIF(CalcPartyA,$B333,CalcAmtA))</f>
        <v/>
      </c>
      <c r="F333" s="28">
        <f>IF($B333="","",SUMIF(CalcPartyB,$B333,CalcWitB))</f>
        <v/>
      </c>
      <c r="G333" s="28">
        <f>IF($B333="","",SUMIF(CalcPartyB,$B333,CalcDepB))</f>
        <v/>
      </c>
      <c r="H333" s="29">
        <f>IF($B333="","",$E333-$F333+$G333)</f>
        <v/>
      </c>
      <c r="I333" s="27">
        <f>IF($B333="","",IF(ROUND($H333,0)&gt;0,"● بستانکار",IF(ROUND($H333,0)&lt;0,"● بدهکار","تسویه")))</f>
        <v/>
      </c>
    </row>
    <row r="334">
      <c r="A334" s="21">
        <f>IF($B334="","",325)</f>
        <v/>
      </c>
      <c r="B334" s="32">
        <f>IF(325&gt;NBskParty,"",INDEX(PkBskParty,325))</f>
        <v/>
      </c>
      <c r="C334" s="25">
        <f>IF($B334="","",IFERROR(IF(VLOOKUP($B334,AcctTbl,4,0)="","(بدون نام)",VLOOKUP($B334,AcctTbl,4,0)),"—"))</f>
        <v/>
      </c>
      <c r="D334" s="23">
        <f>IF($B334="","",SUMIF(CalcPartyA,$B334,CalcQtyA))</f>
        <v/>
      </c>
      <c r="E334" s="23">
        <f>IF($B334="","",SUMIF(CalcPartyA,$B334,CalcAmtA))</f>
        <v/>
      </c>
      <c r="F334" s="23">
        <f>IF($B334="","",SUMIF(CalcPartyB,$B334,CalcWitB))</f>
        <v/>
      </c>
      <c r="G334" s="23">
        <f>IF($B334="","",SUMIF(CalcPartyB,$B334,CalcDepB))</f>
        <v/>
      </c>
      <c r="H334" s="24">
        <f>IF($B334="","",$E334-$F334+$G334)</f>
        <v/>
      </c>
      <c r="I334" s="22">
        <f>IF($B334="","",IF(ROUND($H334,0)&gt;0,"● بستانکار",IF(ROUND($H334,0)&lt;0,"● بدهکار","تسویه")))</f>
        <v/>
      </c>
    </row>
    <row r="335">
      <c r="A335" s="26">
        <f>IF($B335="","",326)</f>
        <v/>
      </c>
      <c r="B335" s="33">
        <f>IF(326&gt;NBskParty,"",INDEX(PkBskParty,326))</f>
        <v/>
      </c>
      <c r="C335" s="30">
        <f>IF($B335="","",IFERROR(IF(VLOOKUP($B335,AcctTbl,4,0)="","(بدون نام)",VLOOKUP($B335,AcctTbl,4,0)),"—"))</f>
        <v/>
      </c>
      <c r="D335" s="28">
        <f>IF($B335="","",SUMIF(CalcPartyA,$B335,CalcQtyA))</f>
        <v/>
      </c>
      <c r="E335" s="28">
        <f>IF($B335="","",SUMIF(CalcPartyA,$B335,CalcAmtA))</f>
        <v/>
      </c>
      <c r="F335" s="28">
        <f>IF($B335="","",SUMIF(CalcPartyB,$B335,CalcWitB))</f>
        <v/>
      </c>
      <c r="G335" s="28">
        <f>IF($B335="","",SUMIF(CalcPartyB,$B335,CalcDepB))</f>
        <v/>
      </c>
      <c r="H335" s="29">
        <f>IF($B335="","",$E335-$F335+$G335)</f>
        <v/>
      </c>
      <c r="I335" s="27">
        <f>IF($B335="","",IF(ROUND($H335,0)&gt;0,"● بستانکار",IF(ROUND($H335,0)&lt;0,"● بدهکار","تسویه")))</f>
        <v/>
      </c>
    </row>
    <row r="336">
      <c r="A336" s="21">
        <f>IF($B336="","",327)</f>
        <v/>
      </c>
      <c r="B336" s="32">
        <f>IF(327&gt;NBskParty,"",INDEX(PkBskParty,327))</f>
        <v/>
      </c>
      <c r="C336" s="25">
        <f>IF($B336="","",IFERROR(IF(VLOOKUP($B336,AcctTbl,4,0)="","(بدون نام)",VLOOKUP($B336,AcctTbl,4,0)),"—"))</f>
        <v/>
      </c>
      <c r="D336" s="23">
        <f>IF($B336="","",SUMIF(CalcPartyA,$B336,CalcQtyA))</f>
        <v/>
      </c>
      <c r="E336" s="23">
        <f>IF($B336="","",SUMIF(CalcPartyA,$B336,CalcAmtA))</f>
        <v/>
      </c>
      <c r="F336" s="23">
        <f>IF($B336="","",SUMIF(CalcPartyB,$B336,CalcWitB))</f>
        <v/>
      </c>
      <c r="G336" s="23">
        <f>IF($B336="","",SUMIF(CalcPartyB,$B336,CalcDepB))</f>
        <v/>
      </c>
      <c r="H336" s="24">
        <f>IF($B336="","",$E336-$F336+$G336)</f>
        <v/>
      </c>
      <c r="I336" s="22">
        <f>IF($B336="","",IF(ROUND($H336,0)&gt;0,"● بستانکار",IF(ROUND($H336,0)&lt;0,"● بدهکار","تسویه")))</f>
        <v/>
      </c>
    </row>
    <row r="337">
      <c r="A337" s="26">
        <f>IF($B337="","",328)</f>
        <v/>
      </c>
      <c r="B337" s="33">
        <f>IF(328&gt;NBskParty,"",INDEX(PkBskParty,328))</f>
        <v/>
      </c>
      <c r="C337" s="30">
        <f>IF($B337="","",IFERROR(IF(VLOOKUP($B337,AcctTbl,4,0)="","(بدون نام)",VLOOKUP($B337,AcctTbl,4,0)),"—"))</f>
        <v/>
      </c>
      <c r="D337" s="28">
        <f>IF($B337="","",SUMIF(CalcPartyA,$B337,CalcQtyA))</f>
        <v/>
      </c>
      <c r="E337" s="28">
        <f>IF($B337="","",SUMIF(CalcPartyA,$B337,CalcAmtA))</f>
        <v/>
      </c>
      <c r="F337" s="28">
        <f>IF($B337="","",SUMIF(CalcPartyB,$B337,CalcWitB))</f>
        <v/>
      </c>
      <c r="G337" s="28">
        <f>IF($B337="","",SUMIF(CalcPartyB,$B337,CalcDepB))</f>
        <v/>
      </c>
      <c r="H337" s="29">
        <f>IF($B337="","",$E337-$F337+$G337)</f>
        <v/>
      </c>
      <c r="I337" s="27">
        <f>IF($B337="","",IF(ROUND($H337,0)&gt;0,"● بستانکار",IF(ROUND($H337,0)&lt;0,"● بدهکار","تسویه")))</f>
        <v/>
      </c>
    </row>
    <row r="338">
      <c r="A338" s="21">
        <f>IF($B338="","",329)</f>
        <v/>
      </c>
      <c r="B338" s="32">
        <f>IF(329&gt;NBskParty,"",INDEX(PkBskParty,329))</f>
        <v/>
      </c>
      <c r="C338" s="25">
        <f>IF($B338="","",IFERROR(IF(VLOOKUP($B338,AcctTbl,4,0)="","(بدون نام)",VLOOKUP($B338,AcctTbl,4,0)),"—"))</f>
        <v/>
      </c>
      <c r="D338" s="23">
        <f>IF($B338="","",SUMIF(CalcPartyA,$B338,CalcQtyA))</f>
        <v/>
      </c>
      <c r="E338" s="23">
        <f>IF($B338="","",SUMIF(CalcPartyA,$B338,CalcAmtA))</f>
        <v/>
      </c>
      <c r="F338" s="23">
        <f>IF($B338="","",SUMIF(CalcPartyB,$B338,CalcWitB))</f>
        <v/>
      </c>
      <c r="G338" s="23">
        <f>IF($B338="","",SUMIF(CalcPartyB,$B338,CalcDepB))</f>
        <v/>
      </c>
      <c r="H338" s="24">
        <f>IF($B338="","",$E338-$F338+$G338)</f>
        <v/>
      </c>
      <c r="I338" s="22">
        <f>IF($B338="","",IF(ROUND($H338,0)&gt;0,"● بستانکار",IF(ROUND($H338,0)&lt;0,"● بدهکار","تسویه")))</f>
        <v/>
      </c>
    </row>
    <row r="339">
      <c r="A339" s="26">
        <f>IF($B339="","",330)</f>
        <v/>
      </c>
      <c r="B339" s="33">
        <f>IF(330&gt;NBskParty,"",INDEX(PkBskParty,330))</f>
        <v/>
      </c>
      <c r="C339" s="30">
        <f>IF($B339="","",IFERROR(IF(VLOOKUP($B339,AcctTbl,4,0)="","(بدون نام)",VLOOKUP($B339,AcctTbl,4,0)),"—"))</f>
        <v/>
      </c>
      <c r="D339" s="28">
        <f>IF($B339="","",SUMIF(CalcPartyA,$B339,CalcQtyA))</f>
        <v/>
      </c>
      <c r="E339" s="28">
        <f>IF($B339="","",SUMIF(CalcPartyA,$B339,CalcAmtA))</f>
        <v/>
      </c>
      <c r="F339" s="28">
        <f>IF($B339="","",SUMIF(CalcPartyB,$B339,CalcWitB))</f>
        <v/>
      </c>
      <c r="G339" s="28">
        <f>IF($B339="","",SUMIF(CalcPartyB,$B339,CalcDepB))</f>
        <v/>
      </c>
      <c r="H339" s="29">
        <f>IF($B339="","",$E339-$F339+$G339)</f>
        <v/>
      </c>
      <c r="I339" s="27">
        <f>IF($B339="","",IF(ROUND($H339,0)&gt;0,"● بستانکار",IF(ROUND($H339,0)&lt;0,"● بدهکار","تسویه")))</f>
        <v/>
      </c>
    </row>
    <row r="340">
      <c r="A340" s="21">
        <f>IF($B340="","",331)</f>
        <v/>
      </c>
      <c r="B340" s="32">
        <f>IF(331&gt;NBskParty,"",INDEX(PkBskParty,331))</f>
        <v/>
      </c>
      <c r="C340" s="25">
        <f>IF($B340="","",IFERROR(IF(VLOOKUP($B340,AcctTbl,4,0)="","(بدون نام)",VLOOKUP($B340,AcctTbl,4,0)),"—"))</f>
        <v/>
      </c>
      <c r="D340" s="23">
        <f>IF($B340="","",SUMIF(CalcPartyA,$B340,CalcQtyA))</f>
        <v/>
      </c>
      <c r="E340" s="23">
        <f>IF($B340="","",SUMIF(CalcPartyA,$B340,CalcAmtA))</f>
        <v/>
      </c>
      <c r="F340" s="23">
        <f>IF($B340="","",SUMIF(CalcPartyB,$B340,CalcWitB))</f>
        <v/>
      </c>
      <c r="G340" s="23">
        <f>IF($B340="","",SUMIF(CalcPartyB,$B340,CalcDepB))</f>
        <v/>
      </c>
      <c r="H340" s="24">
        <f>IF($B340="","",$E340-$F340+$G340)</f>
        <v/>
      </c>
      <c r="I340" s="22">
        <f>IF($B340="","",IF(ROUND($H340,0)&gt;0,"● بستانکار",IF(ROUND($H340,0)&lt;0,"● بدهکار","تسویه")))</f>
        <v/>
      </c>
    </row>
    <row r="341">
      <c r="A341" s="26">
        <f>IF($B341="","",332)</f>
        <v/>
      </c>
      <c r="B341" s="33">
        <f>IF(332&gt;NBskParty,"",INDEX(PkBskParty,332))</f>
        <v/>
      </c>
      <c r="C341" s="30">
        <f>IF($B341="","",IFERROR(IF(VLOOKUP($B341,AcctTbl,4,0)="","(بدون نام)",VLOOKUP($B341,AcctTbl,4,0)),"—"))</f>
        <v/>
      </c>
      <c r="D341" s="28">
        <f>IF($B341="","",SUMIF(CalcPartyA,$B341,CalcQtyA))</f>
        <v/>
      </c>
      <c r="E341" s="28">
        <f>IF($B341="","",SUMIF(CalcPartyA,$B341,CalcAmtA))</f>
        <v/>
      </c>
      <c r="F341" s="28">
        <f>IF($B341="","",SUMIF(CalcPartyB,$B341,CalcWitB))</f>
        <v/>
      </c>
      <c r="G341" s="28">
        <f>IF($B341="","",SUMIF(CalcPartyB,$B341,CalcDepB))</f>
        <v/>
      </c>
      <c r="H341" s="29">
        <f>IF($B341="","",$E341-$F341+$G341)</f>
        <v/>
      </c>
      <c r="I341" s="27">
        <f>IF($B341="","",IF(ROUND($H341,0)&gt;0,"● بستانکار",IF(ROUND($H341,0)&lt;0,"● بدهکار","تسویه")))</f>
        <v/>
      </c>
    </row>
    <row r="342">
      <c r="A342" s="21">
        <f>IF($B342="","",333)</f>
        <v/>
      </c>
      <c r="B342" s="32">
        <f>IF(333&gt;NBskParty,"",INDEX(PkBskParty,333))</f>
        <v/>
      </c>
      <c r="C342" s="25">
        <f>IF($B342="","",IFERROR(IF(VLOOKUP($B342,AcctTbl,4,0)="","(بدون نام)",VLOOKUP($B342,AcctTbl,4,0)),"—"))</f>
        <v/>
      </c>
      <c r="D342" s="23">
        <f>IF($B342="","",SUMIF(CalcPartyA,$B342,CalcQtyA))</f>
        <v/>
      </c>
      <c r="E342" s="23">
        <f>IF($B342="","",SUMIF(CalcPartyA,$B342,CalcAmtA))</f>
        <v/>
      </c>
      <c r="F342" s="23">
        <f>IF($B342="","",SUMIF(CalcPartyB,$B342,CalcWitB))</f>
        <v/>
      </c>
      <c r="G342" s="23">
        <f>IF($B342="","",SUMIF(CalcPartyB,$B342,CalcDepB))</f>
        <v/>
      </c>
      <c r="H342" s="24">
        <f>IF($B342="","",$E342-$F342+$G342)</f>
        <v/>
      </c>
      <c r="I342" s="22">
        <f>IF($B342="","",IF(ROUND($H342,0)&gt;0,"● بستانکار",IF(ROUND($H342,0)&lt;0,"● بدهکار","تسویه")))</f>
        <v/>
      </c>
    </row>
    <row r="343">
      <c r="A343" s="26">
        <f>IF($B343="","",334)</f>
        <v/>
      </c>
      <c r="B343" s="33">
        <f>IF(334&gt;NBskParty,"",INDEX(PkBskParty,334))</f>
        <v/>
      </c>
      <c r="C343" s="30">
        <f>IF($B343="","",IFERROR(IF(VLOOKUP($B343,AcctTbl,4,0)="","(بدون نام)",VLOOKUP($B343,AcctTbl,4,0)),"—"))</f>
        <v/>
      </c>
      <c r="D343" s="28">
        <f>IF($B343="","",SUMIF(CalcPartyA,$B343,CalcQtyA))</f>
        <v/>
      </c>
      <c r="E343" s="28">
        <f>IF($B343="","",SUMIF(CalcPartyA,$B343,CalcAmtA))</f>
        <v/>
      </c>
      <c r="F343" s="28">
        <f>IF($B343="","",SUMIF(CalcPartyB,$B343,CalcWitB))</f>
        <v/>
      </c>
      <c r="G343" s="28">
        <f>IF($B343="","",SUMIF(CalcPartyB,$B343,CalcDepB))</f>
        <v/>
      </c>
      <c r="H343" s="29">
        <f>IF($B343="","",$E343-$F343+$G343)</f>
        <v/>
      </c>
      <c r="I343" s="27">
        <f>IF($B343="","",IF(ROUND($H343,0)&gt;0,"● بستانکار",IF(ROUND($H343,0)&lt;0,"● بدهکار","تسویه")))</f>
        <v/>
      </c>
    </row>
    <row r="344">
      <c r="A344" s="21">
        <f>IF($B344="","",335)</f>
        <v/>
      </c>
      <c r="B344" s="32">
        <f>IF(335&gt;NBskParty,"",INDEX(PkBskParty,335))</f>
        <v/>
      </c>
      <c r="C344" s="25">
        <f>IF($B344="","",IFERROR(IF(VLOOKUP($B344,AcctTbl,4,0)="","(بدون نام)",VLOOKUP($B344,AcctTbl,4,0)),"—"))</f>
        <v/>
      </c>
      <c r="D344" s="23">
        <f>IF($B344="","",SUMIF(CalcPartyA,$B344,CalcQtyA))</f>
        <v/>
      </c>
      <c r="E344" s="23">
        <f>IF($B344="","",SUMIF(CalcPartyA,$B344,CalcAmtA))</f>
        <v/>
      </c>
      <c r="F344" s="23">
        <f>IF($B344="","",SUMIF(CalcPartyB,$B344,CalcWitB))</f>
        <v/>
      </c>
      <c r="G344" s="23">
        <f>IF($B344="","",SUMIF(CalcPartyB,$B344,CalcDepB))</f>
        <v/>
      </c>
      <c r="H344" s="24">
        <f>IF($B344="","",$E344-$F344+$G344)</f>
        <v/>
      </c>
      <c r="I344" s="22">
        <f>IF($B344="","",IF(ROUND($H344,0)&gt;0,"● بستانکار",IF(ROUND($H344,0)&lt;0,"● بدهکار","تسویه")))</f>
        <v/>
      </c>
    </row>
    <row r="345">
      <c r="A345" s="26">
        <f>IF($B345="","",336)</f>
        <v/>
      </c>
      <c r="B345" s="33">
        <f>IF(336&gt;NBskParty,"",INDEX(PkBskParty,336))</f>
        <v/>
      </c>
      <c r="C345" s="30">
        <f>IF($B345="","",IFERROR(IF(VLOOKUP($B345,AcctTbl,4,0)="","(بدون نام)",VLOOKUP($B345,AcctTbl,4,0)),"—"))</f>
        <v/>
      </c>
      <c r="D345" s="28">
        <f>IF($B345="","",SUMIF(CalcPartyA,$B345,CalcQtyA))</f>
        <v/>
      </c>
      <c r="E345" s="28">
        <f>IF($B345="","",SUMIF(CalcPartyA,$B345,CalcAmtA))</f>
        <v/>
      </c>
      <c r="F345" s="28">
        <f>IF($B345="","",SUMIF(CalcPartyB,$B345,CalcWitB))</f>
        <v/>
      </c>
      <c r="G345" s="28">
        <f>IF($B345="","",SUMIF(CalcPartyB,$B345,CalcDepB))</f>
        <v/>
      </c>
      <c r="H345" s="29">
        <f>IF($B345="","",$E345-$F345+$G345)</f>
        <v/>
      </c>
      <c r="I345" s="27">
        <f>IF($B345="","",IF(ROUND($H345,0)&gt;0,"● بستانکار",IF(ROUND($H345,0)&lt;0,"● بدهکار","تسویه")))</f>
        <v/>
      </c>
    </row>
    <row r="346">
      <c r="A346" s="21">
        <f>IF($B346="","",337)</f>
        <v/>
      </c>
      <c r="B346" s="32">
        <f>IF(337&gt;NBskParty,"",INDEX(PkBskParty,337))</f>
        <v/>
      </c>
      <c r="C346" s="25">
        <f>IF($B346="","",IFERROR(IF(VLOOKUP($B346,AcctTbl,4,0)="","(بدون نام)",VLOOKUP($B346,AcctTbl,4,0)),"—"))</f>
        <v/>
      </c>
      <c r="D346" s="23">
        <f>IF($B346="","",SUMIF(CalcPartyA,$B346,CalcQtyA))</f>
        <v/>
      </c>
      <c r="E346" s="23">
        <f>IF($B346="","",SUMIF(CalcPartyA,$B346,CalcAmtA))</f>
        <v/>
      </c>
      <c r="F346" s="23">
        <f>IF($B346="","",SUMIF(CalcPartyB,$B346,CalcWitB))</f>
        <v/>
      </c>
      <c r="G346" s="23">
        <f>IF($B346="","",SUMIF(CalcPartyB,$B346,CalcDepB))</f>
        <v/>
      </c>
      <c r="H346" s="24">
        <f>IF($B346="","",$E346-$F346+$G346)</f>
        <v/>
      </c>
      <c r="I346" s="22">
        <f>IF($B346="","",IF(ROUND($H346,0)&gt;0,"● بستانکار",IF(ROUND($H346,0)&lt;0,"● بدهکار","تسویه")))</f>
        <v/>
      </c>
    </row>
    <row r="347">
      <c r="A347" s="26">
        <f>IF($B347="","",338)</f>
        <v/>
      </c>
      <c r="B347" s="33">
        <f>IF(338&gt;NBskParty,"",INDEX(PkBskParty,338))</f>
        <v/>
      </c>
      <c r="C347" s="30">
        <f>IF($B347="","",IFERROR(IF(VLOOKUP($B347,AcctTbl,4,0)="","(بدون نام)",VLOOKUP($B347,AcctTbl,4,0)),"—"))</f>
        <v/>
      </c>
      <c r="D347" s="28">
        <f>IF($B347="","",SUMIF(CalcPartyA,$B347,CalcQtyA))</f>
        <v/>
      </c>
      <c r="E347" s="28">
        <f>IF($B347="","",SUMIF(CalcPartyA,$B347,CalcAmtA))</f>
        <v/>
      </c>
      <c r="F347" s="28">
        <f>IF($B347="","",SUMIF(CalcPartyB,$B347,CalcWitB))</f>
        <v/>
      </c>
      <c r="G347" s="28">
        <f>IF($B347="","",SUMIF(CalcPartyB,$B347,CalcDepB))</f>
        <v/>
      </c>
      <c r="H347" s="29">
        <f>IF($B347="","",$E347-$F347+$G347)</f>
        <v/>
      </c>
      <c r="I347" s="27">
        <f>IF($B347="","",IF(ROUND($H347,0)&gt;0,"● بستانکار",IF(ROUND($H347,0)&lt;0,"● بدهکار","تسویه")))</f>
        <v/>
      </c>
    </row>
    <row r="348">
      <c r="A348" s="21">
        <f>IF($B348="","",339)</f>
        <v/>
      </c>
      <c r="B348" s="32">
        <f>IF(339&gt;NBskParty,"",INDEX(PkBskParty,339))</f>
        <v/>
      </c>
      <c r="C348" s="25">
        <f>IF($B348="","",IFERROR(IF(VLOOKUP($B348,AcctTbl,4,0)="","(بدون نام)",VLOOKUP($B348,AcctTbl,4,0)),"—"))</f>
        <v/>
      </c>
      <c r="D348" s="23">
        <f>IF($B348="","",SUMIF(CalcPartyA,$B348,CalcQtyA))</f>
        <v/>
      </c>
      <c r="E348" s="23">
        <f>IF($B348="","",SUMIF(CalcPartyA,$B348,CalcAmtA))</f>
        <v/>
      </c>
      <c r="F348" s="23">
        <f>IF($B348="","",SUMIF(CalcPartyB,$B348,CalcWitB))</f>
        <v/>
      </c>
      <c r="G348" s="23">
        <f>IF($B348="","",SUMIF(CalcPartyB,$B348,CalcDepB))</f>
        <v/>
      </c>
      <c r="H348" s="24">
        <f>IF($B348="","",$E348-$F348+$G348)</f>
        <v/>
      </c>
      <c r="I348" s="22">
        <f>IF($B348="","",IF(ROUND($H348,0)&gt;0,"● بستانکار",IF(ROUND($H348,0)&lt;0,"● بدهکار","تسویه")))</f>
        <v/>
      </c>
    </row>
    <row r="349">
      <c r="A349" s="26">
        <f>IF($B349="","",340)</f>
        <v/>
      </c>
      <c r="B349" s="33">
        <f>IF(340&gt;NBskParty,"",INDEX(PkBskParty,340))</f>
        <v/>
      </c>
      <c r="C349" s="30">
        <f>IF($B349="","",IFERROR(IF(VLOOKUP($B349,AcctTbl,4,0)="","(بدون نام)",VLOOKUP($B349,AcctTbl,4,0)),"—"))</f>
        <v/>
      </c>
      <c r="D349" s="28">
        <f>IF($B349="","",SUMIF(CalcPartyA,$B349,CalcQtyA))</f>
        <v/>
      </c>
      <c r="E349" s="28">
        <f>IF($B349="","",SUMIF(CalcPartyA,$B349,CalcAmtA))</f>
        <v/>
      </c>
      <c r="F349" s="28">
        <f>IF($B349="","",SUMIF(CalcPartyB,$B349,CalcWitB))</f>
        <v/>
      </c>
      <c r="G349" s="28">
        <f>IF($B349="","",SUMIF(CalcPartyB,$B349,CalcDepB))</f>
        <v/>
      </c>
      <c r="H349" s="29">
        <f>IF($B349="","",$E349-$F349+$G349)</f>
        <v/>
      </c>
      <c r="I349" s="27">
        <f>IF($B349="","",IF(ROUND($H349,0)&gt;0,"● بستانکار",IF(ROUND($H349,0)&lt;0,"● بدهکار","تسویه")))</f>
        <v/>
      </c>
    </row>
    <row r="350">
      <c r="A350" s="21">
        <f>IF($B350="","",341)</f>
        <v/>
      </c>
      <c r="B350" s="32">
        <f>IF(341&gt;NBskParty,"",INDEX(PkBskParty,341))</f>
        <v/>
      </c>
      <c r="C350" s="25">
        <f>IF($B350="","",IFERROR(IF(VLOOKUP($B350,AcctTbl,4,0)="","(بدون نام)",VLOOKUP($B350,AcctTbl,4,0)),"—"))</f>
        <v/>
      </c>
      <c r="D350" s="23">
        <f>IF($B350="","",SUMIF(CalcPartyA,$B350,CalcQtyA))</f>
        <v/>
      </c>
      <c r="E350" s="23">
        <f>IF($B350="","",SUMIF(CalcPartyA,$B350,CalcAmtA))</f>
        <v/>
      </c>
      <c r="F350" s="23">
        <f>IF($B350="","",SUMIF(CalcPartyB,$B350,CalcWitB))</f>
        <v/>
      </c>
      <c r="G350" s="23">
        <f>IF($B350="","",SUMIF(CalcPartyB,$B350,CalcDepB))</f>
        <v/>
      </c>
      <c r="H350" s="24">
        <f>IF($B350="","",$E350-$F350+$G350)</f>
        <v/>
      </c>
      <c r="I350" s="22">
        <f>IF($B350="","",IF(ROUND($H350,0)&gt;0,"● بستانکار",IF(ROUND($H350,0)&lt;0,"● بدهکار","تسویه")))</f>
        <v/>
      </c>
    </row>
    <row r="351">
      <c r="A351" s="26">
        <f>IF($B351="","",342)</f>
        <v/>
      </c>
      <c r="B351" s="33">
        <f>IF(342&gt;NBskParty,"",INDEX(PkBskParty,342))</f>
        <v/>
      </c>
      <c r="C351" s="30">
        <f>IF($B351="","",IFERROR(IF(VLOOKUP($B351,AcctTbl,4,0)="","(بدون نام)",VLOOKUP($B351,AcctTbl,4,0)),"—"))</f>
        <v/>
      </c>
      <c r="D351" s="28">
        <f>IF($B351="","",SUMIF(CalcPartyA,$B351,CalcQtyA))</f>
        <v/>
      </c>
      <c r="E351" s="28">
        <f>IF($B351="","",SUMIF(CalcPartyA,$B351,CalcAmtA))</f>
        <v/>
      </c>
      <c r="F351" s="28">
        <f>IF($B351="","",SUMIF(CalcPartyB,$B351,CalcWitB))</f>
        <v/>
      </c>
      <c r="G351" s="28">
        <f>IF($B351="","",SUMIF(CalcPartyB,$B351,CalcDepB))</f>
        <v/>
      </c>
      <c r="H351" s="29">
        <f>IF($B351="","",$E351-$F351+$G351)</f>
        <v/>
      </c>
      <c r="I351" s="27">
        <f>IF($B351="","",IF(ROUND($H351,0)&gt;0,"● بستانکار",IF(ROUND($H351,0)&lt;0,"● بدهکار","تسویه")))</f>
        <v/>
      </c>
    </row>
    <row r="352">
      <c r="A352" s="21">
        <f>IF($B352="","",343)</f>
        <v/>
      </c>
      <c r="B352" s="32">
        <f>IF(343&gt;NBskParty,"",INDEX(PkBskParty,343))</f>
        <v/>
      </c>
      <c r="C352" s="25">
        <f>IF($B352="","",IFERROR(IF(VLOOKUP($B352,AcctTbl,4,0)="","(بدون نام)",VLOOKUP($B352,AcctTbl,4,0)),"—"))</f>
        <v/>
      </c>
      <c r="D352" s="23">
        <f>IF($B352="","",SUMIF(CalcPartyA,$B352,CalcQtyA))</f>
        <v/>
      </c>
      <c r="E352" s="23">
        <f>IF($B352="","",SUMIF(CalcPartyA,$B352,CalcAmtA))</f>
        <v/>
      </c>
      <c r="F352" s="23">
        <f>IF($B352="","",SUMIF(CalcPartyB,$B352,CalcWitB))</f>
        <v/>
      </c>
      <c r="G352" s="23">
        <f>IF($B352="","",SUMIF(CalcPartyB,$B352,CalcDepB))</f>
        <v/>
      </c>
      <c r="H352" s="24">
        <f>IF($B352="","",$E352-$F352+$G352)</f>
        <v/>
      </c>
      <c r="I352" s="22">
        <f>IF($B352="","",IF(ROUND($H352,0)&gt;0,"● بستانکار",IF(ROUND($H352,0)&lt;0,"● بدهکار","تسویه")))</f>
        <v/>
      </c>
    </row>
    <row r="353">
      <c r="A353" s="26">
        <f>IF($B353="","",344)</f>
        <v/>
      </c>
      <c r="B353" s="33">
        <f>IF(344&gt;NBskParty,"",INDEX(PkBskParty,344))</f>
        <v/>
      </c>
      <c r="C353" s="30">
        <f>IF($B353="","",IFERROR(IF(VLOOKUP($B353,AcctTbl,4,0)="","(بدون نام)",VLOOKUP($B353,AcctTbl,4,0)),"—"))</f>
        <v/>
      </c>
      <c r="D353" s="28">
        <f>IF($B353="","",SUMIF(CalcPartyA,$B353,CalcQtyA))</f>
        <v/>
      </c>
      <c r="E353" s="28">
        <f>IF($B353="","",SUMIF(CalcPartyA,$B353,CalcAmtA))</f>
        <v/>
      </c>
      <c r="F353" s="28">
        <f>IF($B353="","",SUMIF(CalcPartyB,$B353,CalcWitB))</f>
        <v/>
      </c>
      <c r="G353" s="28">
        <f>IF($B353="","",SUMIF(CalcPartyB,$B353,CalcDepB))</f>
        <v/>
      </c>
      <c r="H353" s="29">
        <f>IF($B353="","",$E353-$F353+$G353)</f>
        <v/>
      </c>
      <c r="I353" s="27">
        <f>IF($B353="","",IF(ROUND($H353,0)&gt;0,"● بستانکار",IF(ROUND($H353,0)&lt;0,"● بدهکار","تسویه")))</f>
        <v/>
      </c>
    </row>
    <row r="354">
      <c r="A354" s="21">
        <f>IF($B354="","",345)</f>
        <v/>
      </c>
      <c r="B354" s="32">
        <f>IF(345&gt;NBskParty,"",INDEX(PkBskParty,345))</f>
        <v/>
      </c>
      <c r="C354" s="25">
        <f>IF($B354="","",IFERROR(IF(VLOOKUP($B354,AcctTbl,4,0)="","(بدون نام)",VLOOKUP($B354,AcctTbl,4,0)),"—"))</f>
        <v/>
      </c>
      <c r="D354" s="23">
        <f>IF($B354="","",SUMIF(CalcPartyA,$B354,CalcQtyA))</f>
        <v/>
      </c>
      <c r="E354" s="23">
        <f>IF($B354="","",SUMIF(CalcPartyA,$B354,CalcAmtA))</f>
        <v/>
      </c>
      <c r="F354" s="23">
        <f>IF($B354="","",SUMIF(CalcPartyB,$B354,CalcWitB))</f>
        <v/>
      </c>
      <c r="G354" s="23">
        <f>IF($B354="","",SUMIF(CalcPartyB,$B354,CalcDepB))</f>
        <v/>
      </c>
      <c r="H354" s="24">
        <f>IF($B354="","",$E354-$F354+$G354)</f>
        <v/>
      </c>
      <c r="I354" s="22">
        <f>IF($B354="","",IF(ROUND($H354,0)&gt;0,"● بستانکار",IF(ROUND($H354,0)&lt;0,"● بدهکار","تسویه")))</f>
        <v/>
      </c>
    </row>
    <row r="355">
      <c r="A355" s="26">
        <f>IF($B355="","",346)</f>
        <v/>
      </c>
      <c r="B355" s="33">
        <f>IF(346&gt;NBskParty,"",INDEX(PkBskParty,346))</f>
        <v/>
      </c>
      <c r="C355" s="30">
        <f>IF($B355="","",IFERROR(IF(VLOOKUP($B355,AcctTbl,4,0)="","(بدون نام)",VLOOKUP($B355,AcctTbl,4,0)),"—"))</f>
        <v/>
      </c>
      <c r="D355" s="28">
        <f>IF($B355="","",SUMIF(CalcPartyA,$B355,CalcQtyA))</f>
        <v/>
      </c>
      <c r="E355" s="28">
        <f>IF($B355="","",SUMIF(CalcPartyA,$B355,CalcAmtA))</f>
        <v/>
      </c>
      <c r="F355" s="28">
        <f>IF($B355="","",SUMIF(CalcPartyB,$B355,CalcWitB))</f>
        <v/>
      </c>
      <c r="G355" s="28">
        <f>IF($B355="","",SUMIF(CalcPartyB,$B355,CalcDepB))</f>
        <v/>
      </c>
      <c r="H355" s="29">
        <f>IF($B355="","",$E355-$F355+$G355)</f>
        <v/>
      </c>
      <c r="I355" s="27">
        <f>IF($B355="","",IF(ROUND($H355,0)&gt;0,"● بستانکار",IF(ROUND($H355,0)&lt;0,"● بدهکار","تسویه")))</f>
        <v/>
      </c>
    </row>
    <row r="356">
      <c r="A356" s="21">
        <f>IF($B356="","",347)</f>
        <v/>
      </c>
      <c r="B356" s="32">
        <f>IF(347&gt;NBskParty,"",INDEX(PkBskParty,347))</f>
        <v/>
      </c>
      <c r="C356" s="25">
        <f>IF($B356="","",IFERROR(IF(VLOOKUP($B356,AcctTbl,4,0)="","(بدون نام)",VLOOKUP($B356,AcctTbl,4,0)),"—"))</f>
        <v/>
      </c>
      <c r="D356" s="23">
        <f>IF($B356="","",SUMIF(CalcPartyA,$B356,CalcQtyA))</f>
        <v/>
      </c>
      <c r="E356" s="23">
        <f>IF($B356="","",SUMIF(CalcPartyA,$B356,CalcAmtA))</f>
        <v/>
      </c>
      <c r="F356" s="23">
        <f>IF($B356="","",SUMIF(CalcPartyB,$B356,CalcWitB))</f>
        <v/>
      </c>
      <c r="G356" s="23">
        <f>IF($B356="","",SUMIF(CalcPartyB,$B356,CalcDepB))</f>
        <v/>
      </c>
      <c r="H356" s="24">
        <f>IF($B356="","",$E356-$F356+$G356)</f>
        <v/>
      </c>
      <c r="I356" s="22">
        <f>IF($B356="","",IF(ROUND($H356,0)&gt;0,"● بستانکار",IF(ROUND($H356,0)&lt;0,"● بدهکار","تسویه")))</f>
        <v/>
      </c>
    </row>
    <row r="357">
      <c r="A357" s="26">
        <f>IF($B357="","",348)</f>
        <v/>
      </c>
      <c r="B357" s="33">
        <f>IF(348&gt;NBskParty,"",INDEX(PkBskParty,348))</f>
        <v/>
      </c>
      <c r="C357" s="30">
        <f>IF($B357="","",IFERROR(IF(VLOOKUP($B357,AcctTbl,4,0)="","(بدون نام)",VLOOKUP($B357,AcctTbl,4,0)),"—"))</f>
        <v/>
      </c>
      <c r="D357" s="28">
        <f>IF($B357="","",SUMIF(CalcPartyA,$B357,CalcQtyA))</f>
        <v/>
      </c>
      <c r="E357" s="28">
        <f>IF($B357="","",SUMIF(CalcPartyA,$B357,CalcAmtA))</f>
        <v/>
      </c>
      <c r="F357" s="28">
        <f>IF($B357="","",SUMIF(CalcPartyB,$B357,CalcWitB))</f>
        <v/>
      </c>
      <c r="G357" s="28">
        <f>IF($B357="","",SUMIF(CalcPartyB,$B357,CalcDepB))</f>
        <v/>
      </c>
      <c r="H357" s="29">
        <f>IF($B357="","",$E357-$F357+$G357)</f>
        <v/>
      </c>
      <c r="I357" s="27">
        <f>IF($B357="","",IF(ROUND($H357,0)&gt;0,"● بستانکار",IF(ROUND($H357,0)&lt;0,"● بدهکار","تسویه")))</f>
        <v/>
      </c>
    </row>
    <row r="358">
      <c r="A358" s="21">
        <f>IF($B358="","",349)</f>
        <v/>
      </c>
      <c r="B358" s="32">
        <f>IF(349&gt;NBskParty,"",INDEX(PkBskParty,349))</f>
        <v/>
      </c>
      <c r="C358" s="25">
        <f>IF($B358="","",IFERROR(IF(VLOOKUP($B358,AcctTbl,4,0)="","(بدون نام)",VLOOKUP($B358,AcctTbl,4,0)),"—"))</f>
        <v/>
      </c>
      <c r="D358" s="23">
        <f>IF($B358="","",SUMIF(CalcPartyA,$B358,CalcQtyA))</f>
        <v/>
      </c>
      <c r="E358" s="23">
        <f>IF($B358="","",SUMIF(CalcPartyA,$B358,CalcAmtA))</f>
        <v/>
      </c>
      <c r="F358" s="23">
        <f>IF($B358="","",SUMIF(CalcPartyB,$B358,CalcWitB))</f>
        <v/>
      </c>
      <c r="G358" s="23">
        <f>IF($B358="","",SUMIF(CalcPartyB,$B358,CalcDepB))</f>
        <v/>
      </c>
      <c r="H358" s="24">
        <f>IF($B358="","",$E358-$F358+$G358)</f>
        <v/>
      </c>
      <c r="I358" s="22">
        <f>IF($B358="","",IF(ROUND($H358,0)&gt;0,"● بستانکار",IF(ROUND($H358,0)&lt;0,"● بدهکار","تسویه")))</f>
        <v/>
      </c>
    </row>
    <row r="359">
      <c r="A359" s="26">
        <f>IF($B359="","",350)</f>
        <v/>
      </c>
      <c r="B359" s="33">
        <f>IF(350&gt;NBskParty,"",INDEX(PkBskParty,350))</f>
        <v/>
      </c>
      <c r="C359" s="30">
        <f>IF($B359="","",IFERROR(IF(VLOOKUP($B359,AcctTbl,4,0)="","(بدون نام)",VLOOKUP($B359,AcctTbl,4,0)),"—"))</f>
        <v/>
      </c>
      <c r="D359" s="28">
        <f>IF($B359="","",SUMIF(CalcPartyA,$B359,CalcQtyA))</f>
        <v/>
      </c>
      <c r="E359" s="28">
        <f>IF($B359="","",SUMIF(CalcPartyA,$B359,CalcAmtA))</f>
        <v/>
      </c>
      <c r="F359" s="28">
        <f>IF($B359="","",SUMIF(CalcPartyB,$B359,CalcWitB))</f>
        <v/>
      </c>
      <c r="G359" s="28">
        <f>IF($B359="","",SUMIF(CalcPartyB,$B359,CalcDepB))</f>
        <v/>
      </c>
      <c r="H359" s="29">
        <f>IF($B359="","",$E359-$F359+$G359)</f>
        <v/>
      </c>
      <c r="I359" s="27">
        <f>IF($B359="","",IF(ROUND($H359,0)&gt;0,"● بستانکار",IF(ROUND($H359,0)&lt;0,"● بدهکار","تسویه")))</f>
        <v/>
      </c>
    </row>
    <row r="360">
      <c r="A360" s="21">
        <f>IF($B360="","",351)</f>
        <v/>
      </c>
      <c r="B360" s="32">
        <f>IF(351&gt;NBskParty,"",INDEX(PkBskParty,351))</f>
        <v/>
      </c>
      <c r="C360" s="25">
        <f>IF($B360="","",IFERROR(IF(VLOOKUP($B360,AcctTbl,4,0)="","(بدون نام)",VLOOKUP($B360,AcctTbl,4,0)),"—"))</f>
        <v/>
      </c>
      <c r="D360" s="23">
        <f>IF($B360="","",SUMIF(CalcPartyA,$B360,CalcQtyA))</f>
        <v/>
      </c>
      <c r="E360" s="23">
        <f>IF($B360="","",SUMIF(CalcPartyA,$B360,CalcAmtA))</f>
        <v/>
      </c>
      <c r="F360" s="23">
        <f>IF($B360="","",SUMIF(CalcPartyB,$B360,CalcWitB))</f>
        <v/>
      </c>
      <c r="G360" s="23">
        <f>IF($B360="","",SUMIF(CalcPartyB,$B360,CalcDepB))</f>
        <v/>
      </c>
      <c r="H360" s="24">
        <f>IF($B360="","",$E360-$F360+$G360)</f>
        <v/>
      </c>
      <c r="I360" s="22">
        <f>IF($B360="","",IF(ROUND($H360,0)&gt;0,"● بستانکار",IF(ROUND($H360,0)&lt;0,"● بدهکار","تسویه")))</f>
        <v/>
      </c>
    </row>
    <row r="361">
      <c r="A361" s="26">
        <f>IF($B361="","",352)</f>
        <v/>
      </c>
      <c r="B361" s="33">
        <f>IF(352&gt;NBskParty,"",INDEX(PkBskParty,352))</f>
        <v/>
      </c>
      <c r="C361" s="30">
        <f>IF($B361="","",IFERROR(IF(VLOOKUP($B361,AcctTbl,4,0)="","(بدون نام)",VLOOKUP($B361,AcctTbl,4,0)),"—"))</f>
        <v/>
      </c>
      <c r="D361" s="28">
        <f>IF($B361="","",SUMIF(CalcPartyA,$B361,CalcQtyA))</f>
        <v/>
      </c>
      <c r="E361" s="28">
        <f>IF($B361="","",SUMIF(CalcPartyA,$B361,CalcAmtA))</f>
        <v/>
      </c>
      <c r="F361" s="28">
        <f>IF($B361="","",SUMIF(CalcPartyB,$B361,CalcWitB))</f>
        <v/>
      </c>
      <c r="G361" s="28">
        <f>IF($B361="","",SUMIF(CalcPartyB,$B361,CalcDepB))</f>
        <v/>
      </c>
      <c r="H361" s="29">
        <f>IF($B361="","",$E361-$F361+$G361)</f>
        <v/>
      </c>
      <c r="I361" s="27">
        <f>IF($B361="","",IF(ROUND($H361,0)&gt;0,"● بستانکار",IF(ROUND($H361,0)&lt;0,"● بدهکار","تسویه")))</f>
        <v/>
      </c>
    </row>
    <row r="362">
      <c r="A362" s="21">
        <f>IF($B362="","",353)</f>
        <v/>
      </c>
      <c r="B362" s="32">
        <f>IF(353&gt;NBskParty,"",INDEX(PkBskParty,353))</f>
        <v/>
      </c>
      <c r="C362" s="25">
        <f>IF($B362="","",IFERROR(IF(VLOOKUP($B362,AcctTbl,4,0)="","(بدون نام)",VLOOKUP($B362,AcctTbl,4,0)),"—"))</f>
        <v/>
      </c>
      <c r="D362" s="23">
        <f>IF($B362="","",SUMIF(CalcPartyA,$B362,CalcQtyA))</f>
        <v/>
      </c>
      <c r="E362" s="23">
        <f>IF($B362="","",SUMIF(CalcPartyA,$B362,CalcAmtA))</f>
        <v/>
      </c>
      <c r="F362" s="23">
        <f>IF($B362="","",SUMIF(CalcPartyB,$B362,CalcWitB))</f>
        <v/>
      </c>
      <c r="G362" s="23">
        <f>IF($B362="","",SUMIF(CalcPartyB,$B362,CalcDepB))</f>
        <v/>
      </c>
      <c r="H362" s="24">
        <f>IF($B362="","",$E362-$F362+$G362)</f>
        <v/>
      </c>
      <c r="I362" s="22">
        <f>IF($B362="","",IF(ROUND($H362,0)&gt;0,"● بستانکار",IF(ROUND($H362,0)&lt;0,"● بدهکار","تسویه")))</f>
        <v/>
      </c>
    </row>
    <row r="363">
      <c r="A363" s="26">
        <f>IF($B363="","",354)</f>
        <v/>
      </c>
      <c r="B363" s="33">
        <f>IF(354&gt;NBskParty,"",INDEX(PkBskParty,354))</f>
        <v/>
      </c>
      <c r="C363" s="30">
        <f>IF($B363="","",IFERROR(IF(VLOOKUP($B363,AcctTbl,4,0)="","(بدون نام)",VLOOKUP($B363,AcctTbl,4,0)),"—"))</f>
        <v/>
      </c>
      <c r="D363" s="28">
        <f>IF($B363="","",SUMIF(CalcPartyA,$B363,CalcQtyA))</f>
        <v/>
      </c>
      <c r="E363" s="28">
        <f>IF($B363="","",SUMIF(CalcPartyA,$B363,CalcAmtA))</f>
        <v/>
      </c>
      <c r="F363" s="28">
        <f>IF($B363="","",SUMIF(CalcPartyB,$B363,CalcWitB))</f>
        <v/>
      </c>
      <c r="G363" s="28">
        <f>IF($B363="","",SUMIF(CalcPartyB,$B363,CalcDepB))</f>
        <v/>
      </c>
      <c r="H363" s="29">
        <f>IF($B363="","",$E363-$F363+$G363)</f>
        <v/>
      </c>
      <c r="I363" s="27">
        <f>IF($B363="","",IF(ROUND($H363,0)&gt;0,"● بستانکار",IF(ROUND($H363,0)&lt;0,"● بدهکار","تسویه")))</f>
        <v/>
      </c>
    </row>
    <row r="364">
      <c r="A364" s="21">
        <f>IF($B364="","",355)</f>
        <v/>
      </c>
      <c r="B364" s="32">
        <f>IF(355&gt;NBskParty,"",INDEX(PkBskParty,355))</f>
        <v/>
      </c>
      <c r="C364" s="25">
        <f>IF($B364="","",IFERROR(IF(VLOOKUP($B364,AcctTbl,4,0)="","(بدون نام)",VLOOKUP($B364,AcctTbl,4,0)),"—"))</f>
        <v/>
      </c>
      <c r="D364" s="23">
        <f>IF($B364="","",SUMIF(CalcPartyA,$B364,CalcQtyA))</f>
        <v/>
      </c>
      <c r="E364" s="23">
        <f>IF($B364="","",SUMIF(CalcPartyA,$B364,CalcAmtA))</f>
        <v/>
      </c>
      <c r="F364" s="23">
        <f>IF($B364="","",SUMIF(CalcPartyB,$B364,CalcWitB))</f>
        <v/>
      </c>
      <c r="G364" s="23">
        <f>IF($B364="","",SUMIF(CalcPartyB,$B364,CalcDepB))</f>
        <v/>
      </c>
      <c r="H364" s="24">
        <f>IF($B364="","",$E364-$F364+$G364)</f>
        <v/>
      </c>
      <c r="I364" s="22">
        <f>IF($B364="","",IF(ROUND($H364,0)&gt;0,"● بستانکار",IF(ROUND($H364,0)&lt;0,"● بدهکار","تسویه")))</f>
        <v/>
      </c>
    </row>
    <row r="365">
      <c r="A365" s="26">
        <f>IF($B365="","",356)</f>
        <v/>
      </c>
      <c r="B365" s="33">
        <f>IF(356&gt;NBskParty,"",INDEX(PkBskParty,356))</f>
        <v/>
      </c>
      <c r="C365" s="30">
        <f>IF($B365="","",IFERROR(IF(VLOOKUP($B365,AcctTbl,4,0)="","(بدون نام)",VLOOKUP($B365,AcctTbl,4,0)),"—"))</f>
        <v/>
      </c>
      <c r="D365" s="28">
        <f>IF($B365="","",SUMIF(CalcPartyA,$B365,CalcQtyA))</f>
        <v/>
      </c>
      <c r="E365" s="28">
        <f>IF($B365="","",SUMIF(CalcPartyA,$B365,CalcAmtA))</f>
        <v/>
      </c>
      <c r="F365" s="28">
        <f>IF($B365="","",SUMIF(CalcPartyB,$B365,CalcWitB))</f>
        <v/>
      </c>
      <c r="G365" s="28">
        <f>IF($B365="","",SUMIF(CalcPartyB,$B365,CalcDepB))</f>
        <v/>
      </c>
      <c r="H365" s="29">
        <f>IF($B365="","",$E365-$F365+$G365)</f>
        <v/>
      </c>
      <c r="I365" s="27">
        <f>IF($B365="","",IF(ROUND($H365,0)&gt;0,"● بستانکار",IF(ROUND($H365,0)&lt;0,"● بدهکار","تسویه")))</f>
        <v/>
      </c>
    </row>
    <row r="366">
      <c r="A366" s="21">
        <f>IF($B366="","",357)</f>
        <v/>
      </c>
      <c r="B366" s="32">
        <f>IF(357&gt;NBskParty,"",INDEX(PkBskParty,357))</f>
        <v/>
      </c>
      <c r="C366" s="25">
        <f>IF($B366="","",IFERROR(IF(VLOOKUP($B366,AcctTbl,4,0)="","(بدون نام)",VLOOKUP($B366,AcctTbl,4,0)),"—"))</f>
        <v/>
      </c>
      <c r="D366" s="23">
        <f>IF($B366="","",SUMIF(CalcPartyA,$B366,CalcQtyA))</f>
        <v/>
      </c>
      <c r="E366" s="23">
        <f>IF($B366="","",SUMIF(CalcPartyA,$B366,CalcAmtA))</f>
        <v/>
      </c>
      <c r="F366" s="23">
        <f>IF($B366="","",SUMIF(CalcPartyB,$B366,CalcWitB))</f>
        <v/>
      </c>
      <c r="G366" s="23">
        <f>IF($B366="","",SUMIF(CalcPartyB,$B366,CalcDepB))</f>
        <v/>
      </c>
      <c r="H366" s="24">
        <f>IF($B366="","",$E366-$F366+$G366)</f>
        <v/>
      </c>
      <c r="I366" s="22">
        <f>IF($B366="","",IF(ROUND($H366,0)&gt;0,"● بستانکار",IF(ROUND($H366,0)&lt;0,"● بدهکار","تسویه")))</f>
        <v/>
      </c>
    </row>
    <row r="367">
      <c r="A367" s="26">
        <f>IF($B367="","",358)</f>
        <v/>
      </c>
      <c r="B367" s="33">
        <f>IF(358&gt;NBskParty,"",INDEX(PkBskParty,358))</f>
        <v/>
      </c>
      <c r="C367" s="30">
        <f>IF($B367="","",IFERROR(IF(VLOOKUP($B367,AcctTbl,4,0)="","(بدون نام)",VLOOKUP($B367,AcctTbl,4,0)),"—"))</f>
        <v/>
      </c>
      <c r="D367" s="28">
        <f>IF($B367="","",SUMIF(CalcPartyA,$B367,CalcQtyA))</f>
        <v/>
      </c>
      <c r="E367" s="28">
        <f>IF($B367="","",SUMIF(CalcPartyA,$B367,CalcAmtA))</f>
        <v/>
      </c>
      <c r="F367" s="28">
        <f>IF($B367="","",SUMIF(CalcPartyB,$B367,CalcWitB))</f>
        <v/>
      </c>
      <c r="G367" s="28">
        <f>IF($B367="","",SUMIF(CalcPartyB,$B367,CalcDepB))</f>
        <v/>
      </c>
      <c r="H367" s="29">
        <f>IF($B367="","",$E367-$F367+$G367)</f>
        <v/>
      </c>
      <c r="I367" s="27">
        <f>IF($B367="","",IF(ROUND($H367,0)&gt;0,"● بستانکار",IF(ROUND($H367,0)&lt;0,"● بدهکار","تسویه")))</f>
        <v/>
      </c>
    </row>
    <row r="368">
      <c r="A368" s="21">
        <f>IF($B368="","",359)</f>
        <v/>
      </c>
      <c r="B368" s="32">
        <f>IF(359&gt;NBskParty,"",INDEX(PkBskParty,359))</f>
        <v/>
      </c>
      <c r="C368" s="25">
        <f>IF($B368="","",IFERROR(IF(VLOOKUP($B368,AcctTbl,4,0)="","(بدون نام)",VLOOKUP($B368,AcctTbl,4,0)),"—"))</f>
        <v/>
      </c>
      <c r="D368" s="23">
        <f>IF($B368="","",SUMIF(CalcPartyA,$B368,CalcQtyA))</f>
        <v/>
      </c>
      <c r="E368" s="23">
        <f>IF($B368="","",SUMIF(CalcPartyA,$B368,CalcAmtA))</f>
        <v/>
      </c>
      <c r="F368" s="23">
        <f>IF($B368="","",SUMIF(CalcPartyB,$B368,CalcWitB))</f>
        <v/>
      </c>
      <c r="G368" s="23">
        <f>IF($B368="","",SUMIF(CalcPartyB,$B368,CalcDepB))</f>
        <v/>
      </c>
      <c r="H368" s="24">
        <f>IF($B368="","",$E368-$F368+$G368)</f>
        <v/>
      </c>
      <c r="I368" s="22">
        <f>IF($B368="","",IF(ROUND($H368,0)&gt;0,"● بستانکار",IF(ROUND($H368,0)&lt;0,"● بدهکار","تسویه")))</f>
        <v/>
      </c>
    </row>
    <row r="369">
      <c r="A369" s="26">
        <f>IF($B369="","",360)</f>
        <v/>
      </c>
      <c r="B369" s="33">
        <f>IF(360&gt;NBskParty,"",INDEX(PkBskParty,360))</f>
        <v/>
      </c>
      <c r="C369" s="30">
        <f>IF($B369="","",IFERROR(IF(VLOOKUP($B369,AcctTbl,4,0)="","(بدون نام)",VLOOKUP($B369,AcctTbl,4,0)),"—"))</f>
        <v/>
      </c>
      <c r="D369" s="28">
        <f>IF($B369="","",SUMIF(CalcPartyA,$B369,CalcQtyA))</f>
        <v/>
      </c>
      <c r="E369" s="28">
        <f>IF($B369="","",SUMIF(CalcPartyA,$B369,CalcAmtA))</f>
        <v/>
      </c>
      <c r="F369" s="28">
        <f>IF($B369="","",SUMIF(CalcPartyB,$B369,CalcWitB))</f>
        <v/>
      </c>
      <c r="G369" s="28">
        <f>IF($B369="","",SUMIF(CalcPartyB,$B369,CalcDepB))</f>
        <v/>
      </c>
      <c r="H369" s="29">
        <f>IF($B369="","",$E369-$F369+$G369)</f>
        <v/>
      </c>
      <c r="I369" s="27">
        <f>IF($B369="","",IF(ROUND($H369,0)&gt;0,"● بستانکار",IF(ROUND($H369,0)&lt;0,"● بدهکار","تسویه")))</f>
        <v/>
      </c>
    </row>
    <row r="370">
      <c r="A370" s="21">
        <f>IF($B370="","",361)</f>
        <v/>
      </c>
      <c r="B370" s="32">
        <f>IF(361&gt;NBskParty,"",INDEX(PkBskParty,361))</f>
        <v/>
      </c>
      <c r="C370" s="25">
        <f>IF($B370="","",IFERROR(IF(VLOOKUP($B370,AcctTbl,4,0)="","(بدون نام)",VLOOKUP($B370,AcctTbl,4,0)),"—"))</f>
        <v/>
      </c>
      <c r="D370" s="23">
        <f>IF($B370="","",SUMIF(CalcPartyA,$B370,CalcQtyA))</f>
        <v/>
      </c>
      <c r="E370" s="23">
        <f>IF($B370="","",SUMIF(CalcPartyA,$B370,CalcAmtA))</f>
        <v/>
      </c>
      <c r="F370" s="23">
        <f>IF($B370="","",SUMIF(CalcPartyB,$B370,CalcWitB))</f>
        <v/>
      </c>
      <c r="G370" s="23">
        <f>IF($B370="","",SUMIF(CalcPartyB,$B370,CalcDepB))</f>
        <v/>
      </c>
      <c r="H370" s="24">
        <f>IF($B370="","",$E370-$F370+$G370)</f>
        <v/>
      </c>
      <c r="I370" s="22">
        <f>IF($B370="","",IF(ROUND($H370,0)&gt;0,"● بستانکار",IF(ROUND($H370,0)&lt;0,"● بدهکار","تسویه")))</f>
        <v/>
      </c>
    </row>
    <row r="371">
      <c r="A371" s="26">
        <f>IF($B371="","",362)</f>
        <v/>
      </c>
      <c r="B371" s="33">
        <f>IF(362&gt;NBskParty,"",INDEX(PkBskParty,362))</f>
        <v/>
      </c>
      <c r="C371" s="30">
        <f>IF($B371="","",IFERROR(IF(VLOOKUP($B371,AcctTbl,4,0)="","(بدون نام)",VLOOKUP($B371,AcctTbl,4,0)),"—"))</f>
        <v/>
      </c>
      <c r="D371" s="28">
        <f>IF($B371="","",SUMIF(CalcPartyA,$B371,CalcQtyA))</f>
        <v/>
      </c>
      <c r="E371" s="28">
        <f>IF($B371="","",SUMIF(CalcPartyA,$B371,CalcAmtA))</f>
        <v/>
      </c>
      <c r="F371" s="28">
        <f>IF($B371="","",SUMIF(CalcPartyB,$B371,CalcWitB))</f>
        <v/>
      </c>
      <c r="G371" s="28">
        <f>IF($B371="","",SUMIF(CalcPartyB,$B371,CalcDepB))</f>
        <v/>
      </c>
      <c r="H371" s="29">
        <f>IF($B371="","",$E371-$F371+$G371)</f>
        <v/>
      </c>
      <c r="I371" s="27">
        <f>IF($B371="","",IF(ROUND($H371,0)&gt;0,"● بستانکار",IF(ROUND($H371,0)&lt;0,"● بدهکار","تسویه")))</f>
        <v/>
      </c>
    </row>
    <row r="372">
      <c r="A372" s="21">
        <f>IF($B372="","",363)</f>
        <v/>
      </c>
      <c r="B372" s="32">
        <f>IF(363&gt;NBskParty,"",INDEX(PkBskParty,363))</f>
        <v/>
      </c>
      <c r="C372" s="25">
        <f>IF($B372="","",IFERROR(IF(VLOOKUP($B372,AcctTbl,4,0)="","(بدون نام)",VLOOKUP($B372,AcctTbl,4,0)),"—"))</f>
        <v/>
      </c>
      <c r="D372" s="23">
        <f>IF($B372="","",SUMIF(CalcPartyA,$B372,CalcQtyA))</f>
        <v/>
      </c>
      <c r="E372" s="23">
        <f>IF($B372="","",SUMIF(CalcPartyA,$B372,CalcAmtA))</f>
        <v/>
      </c>
      <c r="F372" s="23">
        <f>IF($B372="","",SUMIF(CalcPartyB,$B372,CalcWitB))</f>
        <v/>
      </c>
      <c r="G372" s="23">
        <f>IF($B372="","",SUMIF(CalcPartyB,$B372,CalcDepB))</f>
        <v/>
      </c>
      <c r="H372" s="24">
        <f>IF($B372="","",$E372-$F372+$G372)</f>
        <v/>
      </c>
      <c r="I372" s="22">
        <f>IF($B372="","",IF(ROUND($H372,0)&gt;0,"● بستانکار",IF(ROUND($H372,0)&lt;0,"● بدهکار","تسویه")))</f>
        <v/>
      </c>
    </row>
    <row r="373">
      <c r="A373" s="26">
        <f>IF($B373="","",364)</f>
        <v/>
      </c>
      <c r="B373" s="33">
        <f>IF(364&gt;NBskParty,"",INDEX(PkBskParty,364))</f>
        <v/>
      </c>
      <c r="C373" s="30">
        <f>IF($B373="","",IFERROR(IF(VLOOKUP($B373,AcctTbl,4,0)="","(بدون نام)",VLOOKUP($B373,AcctTbl,4,0)),"—"))</f>
        <v/>
      </c>
      <c r="D373" s="28">
        <f>IF($B373="","",SUMIF(CalcPartyA,$B373,CalcQtyA))</f>
        <v/>
      </c>
      <c r="E373" s="28">
        <f>IF($B373="","",SUMIF(CalcPartyA,$B373,CalcAmtA))</f>
        <v/>
      </c>
      <c r="F373" s="28">
        <f>IF($B373="","",SUMIF(CalcPartyB,$B373,CalcWitB))</f>
        <v/>
      </c>
      <c r="G373" s="28">
        <f>IF($B373="","",SUMIF(CalcPartyB,$B373,CalcDepB))</f>
        <v/>
      </c>
      <c r="H373" s="29">
        <f>IF($B373="","",$E373-$F373+$G373)</f>
        <v/>
      </c>
      <c r="I373" s="27">
        <f>IF($B373="","",IF(ROUND($H373,0)&gt;0,"● بستانکار",IF(ROUND($H373,0)&lt;0,"● بدهکار","تسویه")))</f>
        <v/>
      </c>
    </row>
    <row r="374">
      <c r="A374" s="21">
        <f>IF($B374="","",365)</f>
        <v/>
      </c>
      <c r="B374" s="32">
        <f>IF(365&gt;NBskParty,"",INDEX(PkBskParty,365))</f>
        <v/>
      </c>
      <c r="C374" s="25">
        <f>IF($B374="","",IFERROR(IF(VLOOKUP($B374,AcctTbl,4,0)="","(بدون نام)",VLOOKUP($B374,AcctTbl,4,0)),"—"))</f>
        <v/>
      </c>
      <c r="D374" s="23">
        <f>IF($B374="","",SUMIF(CalcPartyA,$B374,CalcQtyA))</f>
        <v/>
      </c>
      <c r="E374" s="23">
        <f>IF($B374="","",SUMIF(CalcPartyA,$B374,CalcAmtA))</f>
        <v/>
      </c>
      <c r="F374" s="23">
        <f>IF($B374="","",SUMIF(CalcPartyB,$B374,CalcWitB))</f>
        <v/>
      </c>
      <c r="G374" s="23">
        <f>IF($B374="","",SUMIF(CalcPartyB,$B374,CalcDepB))</f>
        <v/>
      </c>
      <c r="H374" s="24">
        <f>IF($B374="","",$E374-$F374+$G374)</f>
        <v/>
      </c>
      <c r="I374" s="22">
        <f>IF($B374="","",IF(ROUND($H374,0)&gt;0,"● بستانکار",IF(ROUND($H374,0)&lt;0,"● بدهکار","تسویه")))</f>
        <v/>
      </c>
    </row>
    <row r="375">
      <c r="A375" s="26">
        <f>IF($B375="","",366)</f>
        <v/>
      </c>
      <c r="B375" s="33">
        <f>IF(366&gt;NBskParty,"",INDEX(PkBskParty,366))</f>
        <v/>
      </c>
      <c r="C375" s="30">
        <f>IF($B375="","",IFERROR(IF(VLOOKUP($B375,AcctTbl,4,0)="","(بدون نام)",VLOOKUP($B375,AcctTbl,4,0)),"—"))</f>
        <v/>
      </c>
      <c r="D375" s="28">
        <f>IF($B375="","",SUMIF(CalcPartyA,$B375,CalcQtyA))</f>
        <v/>
      </c>
      <c r="E375" s="28">
        <f>IF($B375="","",SUMIF(CalcPartyA,$B375,CalcAmtA))</f>
        <v/>
      </c>
      <c r="F375" s="28">
        <f>IF($B375="","",SUMIF(CalcPartyB,$B375,CalcWitB))</f>
        <v/>
      </c>
      <c r="G375" s="28">
        <f>IF($B375="","",SUMIF(CalcPartyB,$B375,CalcDepB))</f>
        <v/>
      </c>
      <c r="H375" s="29">
        <f>IF($B375="","",$E375-$F375+$G375)</f>
        <v/>
      </c>
      <c r="I375" s="27">
        <f>IF($B375="","",IF(ROUND($H375,0)&gt;0,"● بستانکار",IF(ROUND($H375,0)&lt;0,"● بدهکار","تسویه")))</f>
        <v/>
      </c>
    </row>
    <row r="376">
      <c r="A376" s="21">
        <f>IF($B376="","",367)</f>
        <v/>
      </c>
      <c r="B376" s="32">
        <f>IF(367&gt;NBskParty,"",INDEX(PkBskParty,367))</f>
        <v/>
      </c>
      <c r="C376" s="25">
        <f>IF($B376="","",IFERROR(IF(VLOOKUP($B376,AcctTbl,4,0)="","(بدون نام)",VLOOKUP($B376,AcctTbl,4,0)),"—"))</f>
        <v/>
      </c>
      <c r="D376" s="23">
        <f>IF($B376="","",SUMIF(CalcPartyA,$B376,CalcQtyA))</f>
        <v/>
      </c>
      <c r="E376" s="23">
        <f>IF($B376="","",SUMIF(CalcPartyA,$B376,CalcAmtA))</f>
        <v/>
      </c>
      <c r="F376" s="23">
        <f>IF($B376="","",SUMIF(CalcPartyB,$B376,CalcWitB))</f>
        <v/>
      </c>
      <c r="G376" s="23">
        <f>IF($B376="","",SUMIF(CalcPartyB,$B376,CalcDepB))</f>
        <v/>
      </c>
      <c r="H376" s="24">
        <f>IF($B376="","",$E376-$F376+$G376)</f>
        <v/>
      </c>
      <c r="I376" s="22">
        <f>IF($B376="","",IF(ROUND($H376,0)&gt;0,"● بستانکار",IF(ROUND($H376,0)&lt;0,"● بدهکار","تسویه")))</f>
        <v/>
      </c>
    </row>
    <row r="377">
      <c r="A377" s="26">
        <f>IF($B377="","",368)</f>
        <v/>
      </c>
      <c r="B377" s="33">
        <f>IF(368&gt;NBskParty,"",INDEX(PkBskParty,368))</f>
        <v/>
      </c>
      <c r="C377" s="30">
        <f>IF($B377="","",IFERROR(IF(VLOOKUP($B377,AcctTbl,4,0)="","(بدون نام)",VLOOKUP($B377,AcctTbl,4,0)),"—"))</f>
        <v/>
      </c>
      <c r="D377" s="28">
        <f>IF($B377="","",SUMIF(CalcPartyA,$B377,CalcQtyA))</f>
        <v/>
      </c>
      <c r="E377" s="28">
        <f>IF($B377="","",SUMIF(CalcPartyA,$B377,CalcAmtA))</f>
        <v/>
      </c>
      <c r="F377" s="28">
        <f>IF($B377="","",SUMIF(CalcPartyB,$B377,CalcWitB))</f>
        <v/>
      </c>
      <c r="G377" s="28">
        <f>IF($B377="","",SUMIF(CalcPartyB,$B377,CalcDepB))</f>
        <v/>
      </c>
      <c r="H377" s="29">
        <f>IF($B377="","",$E377-$F377+$G377)</f>
        <v/>
      </c>
      <c r="I377" s="27">
        <f>IF($B377="","",IF(ROUND($H377,0)&gt;0,"● بستانکار",IF(ROUND($H377,0)&lt;0,"● بدهکار","تسویه")))</f>
        <v/>
      </c>
    </row>
    <row r="378">
      <c r="A378" s="21">
        <f>IF($B378="","",369)</f>
        <v/>
      </c>
      <c r="B378" s="32">
        <f>IF(369&gt;NBskParty,"",INDEX(PkBskParty,369))</f>
        <v/>
      </c>
      <c r="C378" s="25">
        <f>IF($B378="","",IFERROR(IF(VLOOKUP($B378,AcctTbl,4,0)="","(بدون نام)",VLOOKUP($B378,AcctTbl,4,0)),"—"))</f>
        <v/>
      </c>
      <c r="D378" s="23">
        <f>IF($B378="","",SUMIF(CalcPartyA,$B378,CalcQtyA))</f>
        <v/>
      </c>
      <c r="E378" s="23">
        <f>IF($B378="","",SUMIF(CalcPartyA,$B378,CalcAmtA))</f>
        <v/>
      </c>
      <c r="F378" s="23">
        <f>IF($B378="","",SUMIF(CalcPartyB,$B378,CalcWitB))</f>
        <v/>
      </c>
      <c r="G378" s="23">
        <f>IF($B378="","",SUMIF(CalcPartyB,$B378,CalcDepB))</f>
        <v/>
      </c>
      <c r="H378" s="24">
        <f>IF($B378="","",$E378-$F378+$G378)</f>
        <v/>
      </c>
      <c r="I378" s="22">
        <f>IF($B378="","",IF(ROUND($H378,0)&gt;0,"● بستانکار",IF(ROUND($H378,0)&lt;0,"● بدهکار","تسویه")))</f>
        <v/>
      </c>
    </row>
    <row r="379">
      <c r="A379" s="26">
        <f>IF($B379="","",370)</f>
        <v/>
      </c>
      <c r="B379" s="33">
        <f>IF(370&gt;NBskParty,"",INDEX(PkBskParty,370))</f>
        <v/>
      </c>
      <c r="C379" s="30">
        <f>IF($B379="","",IFERROR(IF(VLOOKUP($B379,AcctTbl,4,0)="","(بدون نام)",VLOOKUP($B379,AcctTbl,4,0)),"—"))</f>
        <v/>
      </c>
      <c r="D379" s="28">
        <f>IF($B379="","",SUMIF(CalcPartyA,$B379,CalcQtyA))</f>
        <v/>
      </c>
      <c r="E379" s="28">
        <f>IF($B379="","",SUMIF(CalcPartyA,$B379,CalcAmtA))</f>
        <v/>
      </c>
      <c r="F379" s="28">
        <f>IF($B379="","",SUMIF(CalcPartyB,$B379,CalcWitB))</f>
        <v/>
      </c>
      <c r="G379" s="28">
        <f>IF($B379="","",SUMIF(CalcPartyB,$B379,CalcDepB))</f>
        <v/>
      </c>
      <c r="H379" s="29">
        <f>IF($B379="","",$E379-$F379+$G379)</f>
        <v/>
      </c>
      <c r="I379" s="27">
        <f>IF($B379="","",IF(ROUND($H379,0)&gt;0,"● بستانکار",IF(ROUND($H379,0)&lt;0,"● بدهکار","تسویه")))</f>
        <v/>
      </c>
    </row>
    <row r="380">
      <c r="A380" s="21">
        <f>IF($B380="","",371)</f>
        <v/>
      </c>
      <c r="B380" s="32">
        <f>IF(371&gt;NBskParty,"",INDEX(PkBskParty,371))</f>
        <v/>
      </c>
      <c r="C380" s="25">
        <f>IF($B380="","",IFERROR(IF(VLOOKUP($B380,AcctTbl,4,0)="","(بدون نام)",VLOOKUP($B380,AcctTbl,4,0)),"—"))</f>
        <v/>
      </c>
      <c r="D380" s="23">
        <f>IF($B380="","",SUMIF(CalcPartyA,$B380,CalcQtyA))</f>
        <v/>
      </c>
      <c r="E380" s="23">
        <f>IF($B380="","",SUMIF(CalcPartyA,$B380,CalcAmtA))</f>
        <v/>
      </c>
      <c r="F380" s="23">
        <f>IF($B380="","",SUMIF(CalcPartyB,$B380,CalcWitB))</f>
        <v/>
      </c>
      <c r="G380" s="23">
        <f>IF($B380="","",SUMIF(CalcPartyB,$B380,CalcDepB))</f>
        <v/>
      </c>
      <c r="H380" s="24">
        <f>IF($B380="","",$E380-$F380+$G380)</f>
        <v/>
      </c>
      <c r="I380" s="22">
        <f>IF($B380="","",IF(ROUND($H380,0)&gt;0,"● بستانکار",IF(ROUND($H380,0)&lt;0,"● بدهکار","تسویه")))</f>
        <v/>
      </c>
    </row>
    <row r="381">
      <c r="A381" s="26">
        <f>IF($B381="","",372)</f>
        <v/>
      </c>
      <c r="B381" s="33">
        <f>IF(372&gt;NBskParty,"",INDEX(PkBskParty,372))</f>
        <v/>
      </c>
      <c r="C381" s="30">
        <f>IF($B381="","",IFERROR(IF(VLOOKUP($B381,AcctTbl,4,0)="","(بدون نام)",VLOOKUP($B381,AcctTbl,4,0)),"—"))</f>
        <v/>
      </c>
      <c r="D381" s="28">
        <f>IF($B381="","",SUMIF(CalcPartyA,$B381,CalcQtyA))</f>
        <v/>
      </c>
      <c r="E381" s="28">
        <f>IF($B381="","",SUMIF(CalcPartyA,$B381,CalcAmtA))</f>
        <v/>
      </c>
      <c r="F381" s="28">
        <f>IF($B381="","",SUMIF(CalcPartyB,$B381,CalcWitB))</f>
        <v/>
      </c>
      <c r="G381" s="28">
        <f>IF($B381="","",SUMIF(CalcPartyB,$B381,CalcDepB))</f>
        <v/>
      </c>
      <c r="H381" s="29">
        <f>IF($B381="","",$E381-$F381+$G381)</f>
        <v/>
      </c>
      <c r="I381" s="27">
        <f>IF($B381="","",IF(ROUND($H381,0)&gt;0,"● بستانکار",IF(ROUND($H381,0)&lt;0,"● بدهکار","تسویه")))</f>
        <v/>
      </c>
    </row>
    <row r="382">
      <c r="A382" s="21">
        <f>IF($B382="","",373)</f>
        <v/>
      </c>
      <c r="B382" s="32">
        <f>IF(373&gt;NBskParty,"",INDEX(PkBskParty,373))</f>
        <v/>
      </c>
      <c r="C382" s="25">
        <f>IF($B382="","",IFERROR(IF(VLOOKUP($B382,AcctTbl,4,0)="","(بدون نام)",VLOOKUP($B382,AcctTbl,4,0)),"—"))</f>
        <v/>
      </c>
      <c r="D382" s="23">
        <f>IF($B382="","",SUMIF(CalcPartyA,$B382,CalcQtyA))</f>
        <v/>
      </c>
      <c r="E382" s="23">
        <f>IF($B382="","",SUMIF(CalcPartyA,$B382,CalcAmtA))</f>
        <v/>
      </c>
      <c r="F382" s="23">
        <f>IF($B382="","",SUMIF(CalcPartyB,$B382,CalcWitB))</f>
        <v/>
      </c>
      <c r="G382" s="23">
        <f>IF($B382="","",SUMIF(CalcPartyB,$B382,CalcDepB))</f>
        <v/>
      </c>
      <c r="H382" s="24">
        <f>IF($B382="","",$E382-$F382+$G382)</f>
        <v/>
      </c>
      <c r="I382" s="22">
        <f>IF($B382="","",IF(ROUND($H382,0)&gt;0,"● بستانکار",IF(ROUND($H382,0)&lt;0,"● بدهکار","تسویه")))</f>
        <v/>
      </c>
    </row>
    <row r="383">
      <c r="A383" s="26">
        <f>IF($B383="","",374)</f>
        <v/>
      </c>
      <c r="B383" s="33">
        <f>IF(374&gt;NBskParty,"",INDEX(PkBskParty,374))</f>
        <v/>
      </c>
      <c r="C383" s="30">
        <f>IF($B383="","",IFERROR(IF(VLOOKUP($B383,AcctTbl,4,0)="","(بدون نام)",VLOOKUP($B383,AcctTbl,4,0)),"—"))</f>
        <v/>
      </c>
      <c r="D383" s="28">
        <f>IF($B383="","",SUMIF(CalcPartyA,$B383,CalcQtyA))</f>
        <v/>
      </c>
      <c r="E383" s="28">
        <f>IF($B383="","",SUMIF(CalcPartyA,$B383,CalcAmtA))</f>
        <v/>
      </c>
      <c r="F383" s="28">
        <f>IF($B383="","",SUMIF(CalcPartyB,$B383,CalcWitB))</f>
        <v/>
      </c>
      <c r="G383" s="28">
        <f>IF($B383="","",SUMIF(CalcPartyB,$B383,CalcDepB))</f>
        <v/>
      </c>
      <c r="H383" s="29">
        <f>IF($B383="","",$E383-$F383+$G383)</f>
        <v/>
      </c>
      <c r="I383" s="27">
        <f>IF($B383="","",IF(ROUND($H383,0)&gt;0,"● بستانکار",IF(ROUND($H383,0)&lt;0,"● بدهکار","تسویه")))</f>
        <v/>
      </c>
    </row>
    <row r="384">
      <c r="A384" s="21">
        <f>IF($B384="","",375)</f>
        <v/>
      </c>
      <c r="B384" s="32">
        <f>IF(375&gt;NBskParty,"",INDEX(PkBskParty,375))</f>
        <v/>
      </c>
      <c r="C384" s="25">
        <f>IF($B384="","",IFERROR(IF(VLOOKUP($B384,AcctTbl,4,0)="","(بدون نام)",VLOOKUP($B384,AcctTbl,4,0)),"—"))</f>
        <v/>
      </c>
      <c r="D384" s="23">
        <f>IF($B384="","",SUMIF(CalcPartyA,$B384,CalcQtyA))</f>
        <v/>
      </c>
      <c r="E384" s="23">
        <f>IF($B384="","",SUMIF(CalcPartyA,$B384,CalcAmtA))</f>
        <v/>
      </c>
      <c r="F384" s="23">
        <f>IF($B384="","",SUMIF(CalcPartyB,$B384,CalcWitB))</f>
        <v/>
      </c>
      <c r="G384" s="23">
        <f>IF($B384="","",SUMIF(CalcPartyB,$B384,CalcDepB))</f>
        <v/>
      </c>
      <c r="H384" s="24">
        <f>IF($B384="","",$E384-$F384+$G384)</f>
        <v/>
      </c>
      <c r="I384" s="22">
        <f>IF($B384="","",IF(ROUND($H384,0)&gt;0,"● بستانکار",IF(ROUND($H384,0)&lt;0,"● بدهکار","تسویه")))</f>
        <v/>
      </c>
    </row>
    <row r="385">
      <c r="A385" s="26">
        <f>IF($B385="","",376)</f>
        <v/>
      </c>
      <c r="B385" s="33">
        <f>IF(376&gt;NBskParty,"",INDEX(PkBskParty,376))</f>
        <v/>
      </c>
      <c r="C385" s="30">
        <f>IF($B385="","",IFERROR(IF(VLOOKUP($B385,AcctTbl,4,0)="","(بدون نام)",VLOOKUP($B385,AcctTbl,4,0)),"—"))</f>
        <v/>
      </c>
      <c r="D385" s="28">
        <f>IF($B385="","",SUMIF(CalcPartyA,$B385,CalcQtyA))</f>
        <v/>
      </c>
      <c r="E385" s="28">
        <f>IF($B385="","",SUMIF(CalcPartyA,$B385,CalcAmtA))</f>
        <v/>
      </c>
      <c r="F385" s="28">
        <f>IF($B385="","",SUMIF(CalcPartyB,$B385,CalcWitB))</f>
        <v/>
      </c>
      <c r="G385" s="28">
        <f>IF($B385="","",SUMIF(CalcPartyB,$B385,CalcDepB))</f>
        <v/>
      </c>
      <c r="H385" s="29">
        <f>IF($B385="","",$E385-$F385+$G385)</f>
        <v/>
      </c>
      <c r="I385" s="27">
        <f>IF($B385="","",IF(ROUND($H385,0)&gt;0,"● بستانکار",IF(ROUND($H385,0)&lt;0,"● بدهکار","تسویه")))</f>
        <v/>
      </c>
    </row>
    <row r="386">
      <c r="A386" s="21">
        <f>IF($B386="","",377)</f>
        <v/>
      </c>
      <c r="B386" s="32">
        <f>IF(377&gt;NBskParty,"",INDEX(PkBskParty,377))</f>
        <v/>
      </c>
      <c r="C386" s="25">
        <f>IF($B386="","",IFERROR(IF(VLOOKUP($B386,AcctTbl,4,0)="","(بدون نام)",VLOOKUP($B386,AcctTbl,4,0)),"—"))</f>
        <v/>
      </c>
      <c r="D386" s="23">
        <f>IF($B386="","",SUMIF(CalcPartyA,$B386,CalcQtyA))</f>
        <v/>
      </c>
      <c r="E386" s="23">
        <f>IF($B386="","",SUMIF(CalcPartyA,$B386,CalcAmtA))</f>
        <v/>
      </c>
      <c r="F386" s="23">
        <f>IF($B386="","",SUMIF(CalcPartyB,$B386,CalcWitB))</f>
        <v/>
      </c>
      <c r="G386" s="23">
        <f>IF($B386="","",SUMIF(CalcPartyB,$B386,CalcDepB))</f>
        <v/>
      </c>
      <c r="H386" s="24">
        <f>IF($B386="","",$E386-$F386+$G386)</f>
        <v/>
      </c>
      <c r="I386" s="22">
        <f>IF($B386="","",IF(ROUND($H386,0)&gt;0,"● بستانکار",IF(ROUND($H386,0)&lt;0,"● بدهکار","تسویه")))</f>
        <v/>
      </c>
    </row>
    <row r="387">
      <c r="A387" s="26">
        <f>IF($B387="","",378)</f>
        <v/>
      </c>
      <c r="B387" s="33">
        <f>IF(378&gt;NBskParty,"",INDEX(PkBskParty,378))</f>
        <v/>
      </c>
      <c r="C387" s="30">
        <f>IF($B387="","",IFERROR(IF(VLOOKUP($B387,AcctTbl,4,0)="","(بدون نام)",VLOOKUP($B387,AcctTbl,4,0)),"—"))</f>
        <v/>
      </c>
      <c r="D387" s="28">
        <f>IF($B387="","",SUMIF(CalcPartyA,$B387,CalcQtyA))</f>
        <v/>
      </c>
      <c r="E387" s="28">
        <f>IF($B387="","",SUMIF(CalcPartyA,$B387,CalcAmtA))</f>
        <v/>
      </c>
      <c r="F387" s="28">
        <f>IF($B387="","",SUMIF(CalcPartyB,$B387,CalcWitB))</f>
        <v/>
      </c>
      <c r="G387" s="28">
        <f>IF($B387="","",SUMIF(CalcPartyB,$B387,CalcDepB))</f>
        <v/>
      </c>
      <c r="H387" s="29">
        <f>IF($B387="","",$E387-$F387+$G387)</f>
        <v/>
      </c>
      <c r="I387" s="27">
        <f>IF($B387="","",IF(ROUND($H387,0)&gt;0,"● بستانکار",IF(ROUND($H387,0)&lt;0,"● بدهکار","تسویه")))</f>
        <v/>
      </c>
    </row>
    <row r="388">
      <c r="A388" s="21">
        <f>IF($B388="","",379)</f>
        <v/>
      </c>
      <c r="B388" s="32">
        <f>IF(379&gt;NBskParty,"",INDEX(PkBskParty,379))</f>
        <v/>
      </c>
      <c r="C388" s="25">
        <f>IF($B388="","",IFERROR(IF(VLOOKUP($B388,AcctTbl,4,0)="","(بدون نام)",VLOOKUP($B388,AcctTbl,4,0)),"—"))</f>
        <v/>
      </c>
      <c r="D388" s="23">
        <f>IF($B388="","",SUMIF(CalcPartyA,$B388,CalcQtyA))</f>
        <v/>
      </c>
      <c r="E388" s="23">
        <f>IF($B388="","",SUMIF(CalcPartyA,$B388,CalcAmtA))</f>
        <v/>
      </c>
      <c r="F388" s="23">
        <f>IF($B388="","",SUMIF(CalcPartyB,$B388,CalcWitB))</f>
        <v/>
      </c>
      <c r="G388" s="23">
        <f>IF($B388="","",SUMIF(CalcPartyB,$B388,CalcDepB))</f>
        <v/>
      </c>
      <c r="H388" s="24">
        <f>IF($B388="","",$E388-$F388+$G388)</f>
        <v/>
      </c>
      <c r="I388" s="22">
        <f>IF($B388="","",IF(ROUND($H388,0)&gt;0,"● بستانکار",IF(ROUND($H388,0)&lt;0,"● بدهکار","تسویه")))</f>
        <v/>
      </c>
    </row>
    <row r="389">
      <c r="A389" s="26">
        <f>IF($B389="","",380)</f>
        <v/>
      </c>
      <c r="B389" s="33">
        <f>IF(380&gt;NBskParty,"",INDEX(PkBskParty,380))</f>
        <v/>
      </c>
      <c r="C389" s="30">
        <f>IF($B389="","",IFERROR(IF(VLOOKUP($B389,AcctTbl,4,0)="","(بدون نام)",VLOOKUP($B389,AcctTbl,4,0)),"—"))</f>
        <v/>
      </c>
      <c r="D389" s="28">
        <f>IF($B389="","",SUMIF(CalcPartyA,$B389,CalcQtyA))</f>
        <v/>
      </c>
      <c r="E389" s="28">
        <f>IF($B389="","",SUMIF(CalcPartyA,$B389,CalcAmtA))</f>
        <v/>
      </c>
      <c r="F389" s="28">
        <f>IF($B389="","",SUMIF(CalcPartyB,$B389,CalcWitB))</f>
        <v/>
      </c>
      <c r="G389" s="28">
        <f>IF($B389="","",SUMIF(CalcPartyB,$B389,CalcDepB))</f>
        <v/>
      </c>
      <c r="H389" s="29">
        <f>IF($B389="","",$E389-$F389+$G389)</f>
        <v/>
      </c>
      <c r="I389" s="27">
        <f>IF($B389="","",IF(ROUND($H389,0)&gt;0,"● بستانکار",IF(ROUND($H389,0)&lt;0,"● بدهکار","تسویه")))</f>
        <v/>
      </c>
    </row>
    <row r="390">
      <c r="A390" s="21">
        <f>IF($B390="","",381)</f>
        <v/>
      </c>
      <c r="B390" s="32">
        <f>IF(381&gt;NBskParty,"",INDEX(PkBskParty,381))</f>
        <v/>
      </c>
      <c r="C390" s="25">
        <f>IF($B390="","",IFERROR(IF(VLOOKUP($B390,AcctTbl,4,0)="","(بدون نام)",VLOOKUP($B390,AcctTbl,4,0)),"—"))</f>
        <v/>
      </c>
      <c r="D390" s="23">
        <f>IF($B390="","",SUMIF(CalcPartyA,$B390,CalcQtyA))</f>
        <v/>
      </c>
      <c r="E390" s="23">
        <f>IF($B390="","",SUMIF(CalcPartyA,$B390,CalcAmtA))</f>
        <v/>
      </c>
      <c r="F390" s="23">
        <f>IF($B390="","",SUMIF(CalcPartyB,$B390,CalcWitB))</f>
        <v/>
      </c>
      <c r="G390" s="23">
        <f>IF($B390="","",SUMIF(CalcPartyB,$B390,CalcDepB))</f>
        <v/>
      </c>
      <c r="H390" s="24">
        <f>IF($B390="","",$E390-$F390+$G390)</f>
        <v/>
      </c>
      <c r="I390" s="22">
        <f>IF($B390="","",IF(ROUND($H390,0)&gt;0,"● بستانکار",IF(ROUND($H390,0)&lt;0,"● بدهکار","تسویه")))</f>
        <v/>
      </c>
    </row>
    <row r="391">
      <c r="A391" s="26">
        <f>IF($B391="","",382)</f>
        <v/>
      </c>
      <c r="B391" s="33">
        <f>IF(382&gt;NBskParty,"",INDEX(PkBskParty,382))</f>
        <v/>
      </c>
      <c r="C391" s="30">
        <f>IF($B391="","",IFERROR(IF(VLOOKUP($B391,AcctTbl,4,0)="","(بدون نام)",VLOOKUP($B391,AcctTbl,4,0)),"—"))</f>
        <v/>
      </c>
      <c r="D391" s="28">
        <f>IF($B391="","",SUMIF(CalcPartyA,$B391,CalcQtyA))</f>
        <v/>
      </c>
      <c r="E391" s="28">
        <f>IF($B391="","",SUMIF(CalcPartyA,$B391,CalcAmtA))</f>
        <v/>
      </c>
      <c r="F391" s="28">
        <f>IF($B391="","",SUMIF(CalcPartyB,$B391,CalcWitB))</f>
        <v/>
      </c>
      <c r="G391" s="28">
        <f>IF($B391="","",SUMIF(CalcPartyB,$B391,CalcDepB))</f>
        <v/>
      </c>
      <c r="H391" s="29">
        <f>IF($B391="","",$E391-$F391+$G391)</f>
        <v/>
      </c>
      <c r="I391" s="27">
        <f>IF($B391="","",IF(ROUND($H391,0)&gt;0,"● بستانکار",IF(ROUND($H391,0)&lt;0,"● بدهکار","تسویه")))</f>
        <v/>
      </c>
    </row>
    <row r="392">
      <c r="A392" s="21">
        <f>IF($B392="","",383)</f>
        <v/>
      </c>
      <c r="B392" s="32">
        <f>IF(383&gt;NBskParty,"",INDEX(PkBskParty,383))</f>
        <v/>
      </c>
      <c r="C392" s="25">
        <f>IF($B392="","",IFERROR(IF(VLOOKUP($B392,AcctTbl,4,0)="","(بدون نام)",VLOOKUP($B392,AcctTbl,4,0)),"—"))</f>
        <v/>
      </c>
      <c r="D392" s="23">
        <f>IF($B392="","",SUMIF(CalcPartyA,$B392,CalcQtyA))</f>
        <v/>
      </c>
      <c r="E392" s="23">
        <f>IF($B392="","",SUMIF(CalcPartyA,$B392,CalcAmtA))</f>
        <v/>
      </c>
      <c r="F392" s="23">
        <f>IF($B392="","",SUMIF(CalcPartyB,$B392,CalcWitB))</f>
        <v/>
      </c>
      <c r="G392" s="23">
        <f>IF($B392="","",SUMIF(CalcPartyB,$B392,CalcDepB))</f>
        <v/>
      </c>
      <c r="H392" s="24">
        <f>IF($B392="","",$E392-$F392+$G392)</f>
        <v/>
      </c>
      <c r="I392" s="22">
        <f>IF($B392="","",IF(ROUND($H392,0)&gt;0,"● بستانکار",IF(ROUND($H392,0)&lt;0,"● بدهکار","تسویه")))</f>
        <v/>
      </c>
    </row>
    <row r="393">
      <c r="A393" s="26">
        <f>IF($B393="","",384)</f>
        <v/>
      </c>
      <c r="B393" s="33">
        <f>IF(384&gt;NBskParty,"",INDEX(PkBskParty,384))</f>
        <v/>
      </c>
      <c r="C393" s="30">
        <f>IF($B393="","",IFERROR(IF(VLOOKUP($B393,AcctTbl,4,0)="","(بدون نام)",VLOOKUP($B393,AcctTbl,4,0)),"—"))</f>
        <v/>
      </c>
      <c r="D393" s="28">
        <f>IF($B393="","",SUMIF(CalcPartyA,$B393,CalcQtyA))</f>
        <v/>
      </c>
      <c r="E393" s="28">
        <f>IF($B393="","",SUMIF(CalcPartyA,$B393,CalcAmtA))</f>
        <v/>
      </c>
      <c r="F393" s="28">
        <f>IF($B393="","",SUMIF(CalcPartyB,$B393,CalcWitB))</f>
        <v/>
      </c>
      <c r="G393" s="28">
        <f>IF($B393="","",SUMIF(CalcPartyB,$B393,CalcDepB))</f>
        <v/>
      </c>
      <c r="H393" s="29">
        <f>IF($B393="","",$E393-$F393+$G393)</f>
        <v/>
      </c>
      <c r="I393" s="27">
        <f>IF($B393="","",IF(ROUND($H393,0)&gt;0,"● بستانکار",IF(ROUND($H393,0)&lt;0,"● بدهکار","تسویه")))</f>
        <v/>
      </c>
    </row>
    <row r="394">
      <c r="A394" s="21">
        <f>IF($B394="","",385)</f>
        <v/>
      </c>
      <c r="B394" s="32">
        <f>IF(385&gt;NBskParty,"",INDEX(PkBskParty,385))</f>
        <v/>
      </c>
      <c r="C394" s="25">
        <f>IF($B394="","",IFERROR(IF(VLOOKUP($B394,AcctTbl,4,0)="","(بدون نام)",VLOOKUP($B394,AcctTbl,4,0)),"—"))</f>
        <v/>
      </c>
      <c r="D394" s="23">
        <f>IF($B394="","",SUMIF(CalcPartyA,$B394,CalcQtyA))</f>
        <v/>
      </c>
      <c r="E394" s="23">
        <f>IF($B394="","",SUMIF(CalcPartyA,$B394,CalcAmtA))</f>
        <v/>
      </c>
      <c r="F394" s="23">
        <f>IF($B394="","",SUMIF(CalcPartyB,$B394,CalcWitB))</f>
        <v/>
      </c>
      <c r="G394" s="23">
        <f>IF($B394="","",SUMIF(CalcPartyB,$B394,CalcDepB))</f>
        <v/>
      </c>
      <c r="H394" s="24">
        <f>IF($B394="","",$E394-$F394+$G394)</f>
        <v/>
      </c>
      <c r="I394" s="22">
        <f>IF($B394="","",IF(ROUND($H394,0)&gt;0,"● بستانکار",IF(ROUND($H394,0)&lt;0,"● بدهکار","تسویه")))</f>
        <v/>
      </c>
    </row>
    <row r="395">
      <c r="A395" s="26">
        <f>IF($B395="","",386)</f>
        <v/>
      </c>
      <c r="B395" s="33">
        <f>IF(386&gt;NBskParty,"",INDEX(PkBskParty,386))</f>
        <v/>
      </c>
      <c r="C395" s="30">
        <f>IF($B395="","",IFERROR(IF(VLOOKUP($B395,AcctTbl,4,0)="","(بدون نام)",VLOOKUP($B395,AcctTbl,4,0)),"—"))</f>
        <v/>
      </c>
      <c r="D395" s="28">
        <f>IF($B395="","",SUMIF(CalcPartyA,$B395,CalcQtyA))</f>
        <v/>
      </c>
      <c r="E395" s="28">
        <f>IF($B395="","",SUMIF(CalcPartyA,$B395,CalcAmtA))</f>
        <v/>
      </c>
      <c r="F395" s="28">
        <f>IF($B395="","",SUMIF(CalcPartyB,$B395,CalcWitB))</f>
        <v/>
      </c>
      <c r="G395" s="28">
        <f>IF($B395="","",SUMIF(CalcPartyB,$B395,CalcDepB))</f>
        <v/>
      </c>
      <c r="H395" s="29">
        <f>IF($B395="","",$E395-$F395+$G395)</f>
        <v/>
      </c>
      <c r="I395" s="27">
        <f>IF($B395="","",IF(ROUND($H395,0)&gt;0,"● بستانکار",IF(ROUND($H395,0)&lt;0,"● بدهکار","تسویه")))</f>
        <v/>
      </c>
    </row>
    <row r="396">
      <c r="A396" s="21">
        <f>IF($B396="","",387)</f>
        <v/>
      </c>
      <c r="B396" s="32">
        <f>IF(387&gt;NBskParty,"",INDEX(PkBskParty,387))</f>
        <v/>
      </c>
      <c r="C396" s="25">
        <f>IF($B396="","",IFERROR(IF(VLOOKUP($B396,AcctTbl,4,0)="","(بدون نام)",VLOOKUP($B396,AcctTbl,4,0)),"—"))</f>
        <v/>
      </c>
      <c r="D396" s="23">
        <f>IF($B396="","",SUMIF(CalcPartyA,$B396,CalcQtyA))</f>
        <v/>
      </c>
      <c r="E396" s="23">
        <f>IF($B396="","",SUMIF(CalcPartyA,$B396,CalcAmtA))</f>
        <v/>
      </c>
      <c r="F396" s="23">
        <f>IF($B396="","",SUMIF(CalcPartyB,$B396,CalcWitB))</f>
        <v/>
      </c>
      <c r="G396" s="23">
        <f>IF($B396="","",SUMIF(CalcPartyB,$B396,CalcDepB))</f>
        <v/>
      </c>
      <c r="H396" s="24">
        <f>IF($B396="","",$E396-$F396+$G396)</f>
        <v/>
      </c>
      <c r="I396" s="22">
        <f>IF($B396="","",IF(ROUND($H396,0)&gt;0,"● بستانکار",IF(ROUND($H396,0)&lt;0,"● بدهکار","تسویه")))</f>
        <v/>
      </c>
    </row>
    <row r="397">
      <c r="A397" s="26">
        <f>IF($B397="","",388)</f>
        <v/>
      </c>
      <c r="B397" s="33">
        <f>IF(388&gt;NBskParty,"",INDEX(PkBskParty,388))</f>
        <v/>
      </c>
      <c r="C397" s="30">
        <f>IF($B397="","",IFERROR(IF(VLOOKUP($B397,AcctTbl,4,0)="","(بدون نام)",VLOOKUP($B397,AcctTbl,4,0)),"—"))</f>
        <v/>
      </c>
      <c r="D397" s="28">
        <f>IF($B397="","",SUMIF(CalcPartyA,$B397,CalcQtyA))</f>
        <v/>
      </c>
      <c r="E397" s="28">
        <f>IF($B397="","",SUMIF(CalcPartyA,$B397,CalcAmtA))</f>
        <v/>
      </c>
      <c r="F397" s="28">
        <f>IF($B397="","",SUMIF(CalcPartyB,$B397,CalcWitB))</f>
        <v/>
      </c>
      <c r="G397" s="28">
        <f>IF($B397="","",SUMIF(CalcPartyB,$B397,CalcDepB))</f>
        <v/>
      </c>
      <c r="H397" s="29">
        <f>IF($B397="","",$E397-$F397+$G397)</f>
        <v/>
      </c>
      <c r="I397" s="27">
        <f>IF($B397="","",IF(ROUND($H397,0)&gt;0,"● بستانکار",IF(ROUND($H397,0)&lt;0,"● بدهکار","تسویه")))</f>
        <v/>
      </c>
    </row>
    <row r="398">
      <c r="A398" s="21">
        <f>IF($B398="","",389)</f>
        <v/>
      </c>
      <c r="B398" s="32">
        <f>IF(389&gt;NBskParty,"",INDEX(PkBskParty,389))</f>
        <v/>
      </c>
      <c r="C398" s="25">
        <f>IF($B398="","",IFERROR(IF(VLOOKUP($B398,AcctTbl,4,0)="","(بدون نام)",VLOOKUP($B398,AcctTbl,4,0)),"—"))</f>
        <v/>
      </c>
      <c r="D398" s="23">
        <f>IF($B398="","",SUMIF(CalcPartyA,$B398,CalcQtyA))</f>
        <v/>
      </c>
      <c r="E398" s="23">
        <f>IF($B398="","",SUMIF(CalcPartyA,$B398,CalcAmtA))</f>
        <v/>
      </c>
      <c r="F398" s="23">
        <f>IF($B398="","",SUMIF(CalcPartyB,$B398,CalcWitB))</f>
        <v/>
      </c>
      <c r="G398" s="23">
        <f>IF($B398="","",SUMIF(CalcPartyB,$B398,CalcDepB))</f>
        <v/>
      </c>
      <c r="H398" s="24">
        <f>IF($B398="","",$E398-$F398+$G398)</f>
        <v/>
      </c>
      <c r="I398" s="22">
        <f>IF($B398="","",IF(ROUND($H398,0)&gt;0,"● بستانکار",IF(ROUND($H398,0)&lt;0,"● بدهکار","تسویه")))</f>
        <v/>
      </c>
    </row>
    <row r="399">
      <c r="A399" s="26">
        <f>IF($B399="","",390)</f>
        <v/>
      </c>
      <c r="B399" s="33">
        <f>IF(390&gt;NBskParty,"",INDEX(PkBskParty,390))</f>
        <v/>
      </c>
      <c r="C399" s="30">
        <f>IF($B399="","",IFERROR(IF(VLOOKUP($B399,AcctTbl,4,0)="","(بدون نام)",VLOOKUP($B399,AcctTbl,4,0)),"—"))</f>
        <v/>
      </c>
      <c r="D399" s="28">
        <f>IF($B399="","",SUMIF(CalcPartyA,$B399,CalcQtyA))</f>
        <v/>
      </c>
      <c r="E399" s="28">
        <f>IF($B399="","",SUMIF(CalcPartyA,$B399,CalcAmtA))</f>
        <v/>
      </c>
      <c r="F399" s="28">
        <f>IF($B399="","",SUMIF(CalcPartyB,$B399,CalcWitB))</f>
        <v/>
      </c>
      <c r="G399" s="28">
        <f>IF($B399="","",SUMIF(CalcPartyB,$B399,CalcDepB))</f>
        <v/>
      </c>
      <c r="H399" s="29">
        <f>IF($B399="","",$E399-$F399+$G399)</f>
        <v/>
      </c>
      <c r="I399" s="27">
        <f>IF($B399="","",IF(ROUND($H399,0)&gt;0,"● بستانکار",IF(ROUND($H399,0)&lt;0,"● بدهکار","تسویه")))</f>
        <v/>
      </c>
    </row>
    <row r="400">
      <c r="A400" s="21">
        <f>IF($B400="","",391)</f>
        <v/>
      </c>
      <c r="B400" s="32">
        <f>IF(391&gt;NBskParty,"",INDEX(PkBskParty,391))</f>
        <v/>
      </c>
      <c r="C400" s="25">
        <f>IF($B400="","",IFERROR(IF(VLOOKUP($B400,AcctTbl,4,0)="","(بدون نام)",VLOOKUP($B400,AcctTbl,4,0)),"—"))</f>
        <v/>
      </c>
      <c r="D400" s="23">
        <f>IF($B400="","",SUMIF(CalcPartyA,$B400,CalcQtyA))</f>
        <v/>
      </c>
      <c r="E400" s="23">
        <f>IF($B400="","",SUMIF(CalcPartyA,$B400,CalcAmtA))</f>
        <v/>
      </c>
      <c r="F400" s="23">
        <f>IF($B400="","",SUMIF(CalcPartyB,$B400,CalcWitB))</f>
        <v/>
      </c>
      <c r="G400" s="23">
        <f>IF($B400="","",SUMIF(CalcPartyB,$B400,CalcDepB))</f>
        <v/>
      </c>
      <c r="H400" s="24">
        <f>IF($B400="","",$E400-$F400+$G400)</f>
        <v/>
      </c>
      <c r="I400" s="22">
        <f>IF($B400="","",IF(ROUND($H400,0)&gt;0,"● بستانکار",IF(ROUND($H400,0)&lt;0,"● بدهکار","تسویه")))</f>
        <v/>
      </c>
    </row>
    <row r="401">
      <c r="A401" s="26">
        <f>IF($B401="","",392)</f>
        <v/>
      </c>
      <c r="B401" s="33">
        <f>IF(392&gt;NBskParty,"",INDEX(PkBskParty,392))</f>
        <v/>
      </c>
      <c r="C401" s="30">
        <f>IF($B401="","",IFERROR(IF(VLOOKUP($B401,AcctTbl,4,0)="","(بدون نام)",VLOOKUP($B401,AcctTbl,4,0)),"—"))</f>
        <v/>
      </c>
      <c r="D401" s="28">
        <f>IF($B401="","",SUMIF(CalcPartyA,$B401,CalcQtyA))</f>
        <v/>
      </c>
      <c r="E401" s="28">
        <f>IF($B401="","",SUMIF(CalcPartyA,$B401,CalcAmtA))</f>
        <v/>
      </c>
      <c r="F401" s="28">
        <f>IF($B401="","",SUMIF(CalcPartyB,$B401,CalcWitB))</f>
        <v/>
      </c>
      <c r="G401" s="28">
        <f>IF($B401="","",SUMIF(CalcPartyB,$B401,CalcDepB))</f>
        <v/>
      </c>
      <c r="H401" s="29">
        <f>IF($B401="","",$E401-$F401+$G401)</f>
        <v/>
      </c>
      <c r="I401" s="27">
        <f>IF($B401="","",IF(ROUND($H401,0)&gt;0,"● بستانکار",IF(ROUND($H401,0)&lt;0,"● بدهکار","تسویه")))</f>
        <v/>
      </c>
    </row>
    <row r="402">
      <c r="A402" s="21">
        <f>IF($B402="","",393)</f>
        <v/>
      </c>
      <c r="B402" s="32">
        <f>IF(393&gt;NBskParty,"",INDEX(PkBskParty,393))</f>
        <v/>
      </c>
      <c r="C402" s="25">
        <f>IF($B402="","",IFERROR(IF(VLOOKUP($B402,AcctTbl,4,0)="","(بدون نام)",VLOOKUP($B402,AcctTbl,4,0)),"—"))</f>
        <v/>
      </c>
      <c r="D402" s="23">
        <f>IF($B402="","",SUMIF(CalcPartyA,$B402,CalcQtyA))</f>
        <v/>
      </c>
      <c r="E402" s="23">
        <f>IF($B402="","",SUMIF(CalcPartyA,$B402,CalcAmtA))</f>
        <v/>
      </c>
      <c r="F402" s="23">
        <f>IF($B402="","",SUMIF(CalcPartyB,$B402,CalcWitB))</f>
        <v/>
      </c>
      <c r="G402" s="23">
        <f>IF($B402="","",SUMIF(CalcPartyB,$B402,CalcDepB))</f>
        <v/>
      </c>
      <c r="H402" s="24">
        <f>IF($B402="","",$E402-$F402+$G402)</f>
        <v/>
      </c>
      <c r="I402" s="22">
        <f>IF($B402="","",IF(ROUND($H402,0)&gt;0,"● بستانکار",IF(ROUND($H402,0)&lt;0,"● بدهکار","تسویه")))</f>
        <v/>
      </c>
    </row>
    <row r="403">
      <c r="A403" s="26">
        <f>IF($B403="","",394)</f>
        <v/>
      </c>
      <c r="B403" s="33">
        <f>IF(394&gt;NBskParty,"",INDEX(PkBskParty,394))</f>
        <v/>
      </c>
      <c r="C403" s="30">
        <f>IF($B403="","",IFERROR(IF(VLOOKUP($B403,AcctTbl,4,0)="","(بدون نام)",VLOOKUP($B403,AcctTbl,4,0)),"—"))</f>
        <v/>
      </c>
      <c r="D403" s="28">
        <f>IF($B403="","",SUMIF(CalcPartyA,$B403,CalcQtyA))</f>
        <v/>
      </c>
      <c r="E403" s="28">
        <f>IF($B403="","",SUMIF(CalcPartyA,$B403,CalcAmtA))</f>
        <v/>
      </c>
      <c r="F403" s="28">
        <f>IF($B403="","",SUMIF(CalcPartyB,$B403,CalcWitB))</f>
        <v/>
      </c>
      <c r="G403" s="28">
        <f>IF($B403="","",SUMIF(CalcPartyB,$B403,CalcDepB))</f>
        <v/>
      </c>
      <c r="H403" s="29">
        <f>IF($B403="","",$E403-$F403+$G403)</f>
        <v/>
      </c>
      <c r="I403" s="27">
        <f>IF($B403="","",IF(ROUND($H403,0)&gt;0,"● بستانکار",IF(ROUND($H403,0)&lt;0,"● بدهکار","تسویه")))</f>
        <v/>
      </c>
    </row>
    <row r="404">
      <c r="A404" s="21">
        <f>IF($B404="","",395)</f>
        <v/>
      </c>
      <c r="B404" s="32">
        <f>IF(395&gt;NBskParty,"",INDEX(PkBskParty,395))</f>
        <v/>
      </c>
      <c r="C404" s="25">
        <f>IF($B404="","",IFERROR(IF(VLOOKUP($B404,AcctTbl,4,0)="","(بدون نام)",VLOOKUP($B404,AcctTbl,4,0)),"—"))</f>
        <v/>
      </c>
      <c r="D404" s="23">
        <f>IF($B404="","",SUMIF(CalcPartyA,$B404,CalcQtyA))</f>
        <v/>
      </c>
      <c r="E404" s="23">
        <f>IF($B404="","",SUMIF(CalcPartyA,$B404,CalcAmtA))</f>
        <v/>
      </c>
      <c r="F404" s="23">
        <f>IF($B404="","",SUMIF(CalcPartyB,$B404,CalcWitB))</f>
        <v/>
      </c>
      <c r="G404" s="23">
        <f>IF($B404="","",SUMIF(CalcPartyB,$B404,CalcDepB))</f>
        <v/>
      </c>
      <c r="H404" s="24">
        <f>IF($B404="","",$E404-$F404+$G404)</f>
        <v/>
      </c>
      <c r="I404" s="22">
        <f>IF($B404="","",IF(ROUND($H404,0)&gt;0,"● بستانکار",IF(ROUND($H404,0)&lt;0,"● بدهکار","تسویه")))</f>
        <v/>
      </c>
    </row>
    <row r="405">
      <c r="A405" s="26">
        <f>IF($B405="","",396)</f>
        <v/>
      </c>
      <c r="B405" s="33">
        <f>IF(396&gt;NBskParty,"",INDEX(PkBskParty,396))</f>
        <v/>
      </c>
      <c r="C405" s="30">
        <f>IF($B405="","",IFERROR(IF(VLOOKUP($B405,AcctTbl,4,0)="","(بدون نام)",VLOOKUP($B405,AcctTbl,4,0)),"—"))</f>
        <v/>
      </c>
      <c r="D405" s="28">
        <f>IF($B405="","",SUMIF(CalcPartyA,$B405,CalcQtyA))</f>
        <v/>
      </c>
      <c r="E405" s="28">
        <f>IF($B405="","",SUMIF(CalcPartyA,$B405,CalcAmtA))</f>
        <v/>
      </c>
      <c r="F405" s="28">
        <f>IF($B405="","",SUMIF(CalcPartyB,$B405,CalcWitB))</f>
        <v/>
      </c>
      <c r="G405" s="28">
        <f>IF($B405="","",SUMIF(CalcPartyB,$B405,CalcDepB))</f>
        <v/>
      </c>
      <c r="H405" s="29">
        <f>IF($B405="","",$E405-$F405+$G405)</f>
        <v/>
      </c>
      <c r="I405" s="27">
        <f>IF($B405="","",IF(ROUND($H405,0)&gt;0,"● بستانکار",IF(ROUND($H405,0)&lt;0,"● بدهکار","تسویه")))</f>
        <v/>
      </c>
    </row>
    <row r="406">
      <c r="A406" s="21">
        <f>IF($B406="","",397)</f>
        <v/>
      </c>
      <c r="B406" s="32">
        <f>IF(397&gt;NBskParty,"",INDEX(PkBskParty,397))</f>
        <v/>
      </c>
      <c r="C406" s="25">
        <f>IF($B406="","",IFERROR(IF(VLOOKUP($B406,AcctTbl,4,0)="","(بدون نام)",VLOOKUP($B406,AcctTbl,4,0)),"—"))</f>
        <v/>
      </c>
      <c r="D406" s="23">
        <f>IF($B406="","",SUMIF(CalcPartyA,$B406,CalcQtyA))</f>
        <v/>
      </c>
      <c r="E406" s="23">
        <f>IF($B406="","",SUMIF(CalcPartyA,$B406,CalcAmtA))</f>
        <v/>
      </c>
      <c r="F406" s="23">
        <f>IF($B406="","",SUMIF(CalcPartyB,$B406,CalcWitB))</f>
        <v/>
      </c>
      <c r="G406" s="23">
        <f>IF($B406="","",SUMIF(CalcPartyB,$B406,CalcDepB))</f>
        <v/>
      </c>
      <c r="H406" s="24">
        <f>IF($B406="","",$E406-$F406+$G406)</f>
        <v/>
      </c>
      <c r="I406" s="22">
        <f>IF($B406="","",IF(ROUND($H406,0)&gt;0,"● بستانکار",IF(ROUND($H406,0)&lt;0,"● بدهکار","تسویه")))</f>
        <v/>
      </c>
    </row>
    <row r="407">
      <c r="A407" s="26">
        <f>IF($B407="","",398)</f>
        <v/>
      </c>
      <c r="B407" s="33">
        <f>IF(398&gt;NBskParty,"",INDEX(PkBskParty,398))</f>
        <v/>
      </c>
      <c r="C407" s="30">
        <f>IF($B407="","",IFERROR(IF(VLOOKUP($B407,AcctTbl,4,0)="","(بدون نام)",VLOOKUP($B407,AcctTbl,4,0)),"—"))</f>
        <v/>
      </c>
      <c r="D407" s="28">
        <f>IF($B407="","",SUMIF(CalcPartyA,$B407,CalcQtyA))</f>
        <v/>
      </c>
      <c r="E407" s="28">
        <f>IF($B407="","",SUMIF(CalcPartyA,$B407,CalcAmtA))</f>
        <v/>
      </c>
      <c r="F407" s="28">
        <f>IF($B407="","",SUMIF(CalcPartyB,$B407,CalcWitB))</f>
        <v/>
      </c>
      <c r="G407" s="28">
        <f>IF($B407="","",SUMIF(CalcPartyB,$B407,CalcDepB))</f>
        <v/>
      </c>
      <c r="H407" s="29">
        <f>IF($B407="","",$E407-$F407+$G407)</f>
        <v/>
      </c>
      <c r="I407" s="27">
        <f>IF($B407="","",IF(ROUND($H407,0)&gt;0,"● بستانکار",IF(ROUND($H407,0)&lt;0,"● بدهکار","تسویه")))</f>
        <v/>
      </c>
    </row>
    <row r="408">
      <c r="A408" s="21">
        <f>IF($B408="","",399)</f>
        <v/>
      </c>
      <c r="B408" s="32">
        <f>IF(399&gt;NBskParty,"",INDEX(PkBskParty,399))</f>
        <v/>
      </c>
      <c r="C408" s="25">
        <f>IF($B408="","",IFERROR(IF(VLOOKUP($B408,AcctTbl,4,0)="","(بدون نام)",VLOOKUP($B408,AcctTbl,4,0)),"—"))</f>
        <v/>
      </c>
      <c r="D408" s="23">
        <f>IF($B408="","",SUMIF(CalcPartyA,$B408,CalcQtyA))</f>
        <v/>
      </c>
      <c r="E408" s="23">
        <f>IF($B408="","",SUMIF(CalcPartyA,$B408,CalcAmtA))</f>
        <v/>
      </c>
      <c r="F408" s="23">
        <f>IF($B408="","",SUMIF(CalcPartyB,$B408,CalcWitB))</f>
        <v/>
      </c>
      <c r="G408" s="23">
        <f>IF($B408="","",SUMIF(CalcPartyB,$B408,CalcDepB))</f>
        <v/>
      </c>
      <c r="H408" s="24">
        <f>IF($B408="","",$E408-$F408+$G408)</f>
        <v/>
      </c>
      <c r="I408" s="22">
        <f>IF($B408="","",IF(ROUND($H408,0)&gt;0,"● بستانکار",IF(ROUND($H408,0)&lt;0,"● بدهکار","تسویه")))</f>
        <v/>
      </c>
    </row>
    <row r="409">
      <c r="A409" s="26">
        <f>IF($B409="","",400)</f>
        <v/>
      </c>
      <c r="B409" s="33">
        <f>IF(400&gt;NBskParty,"",INDEX(PkBskParty,400))</f>
        <v/>
      </c>
      <c r="C409" s="30">
        <f>IF($B409="","",IFERROR(IF(VLOOKUP($B409,AcctTbl,4,0)="","(بدون نام)",VLOOKUP($B409,AcctTbl,4,0)),"—"))</f>
        <v/>
      </c>
      <c r="D409" s="28">
        <f>IF($B409="","",SUMIF(CalcPartyA,$B409,CalcQtyA))</f>
        <v/>
      </c>
      <c r="E409" s="28">
        <f>IF($B409="","",SUMIF(CalcPartyA,$B409,CalcAmtA))</f>
        <v/>
      </c>
      <c r="F409" s="28">
        <f>IF($B409="","",SUMIF(CalcPartyB,$B409,CalcWitB))</f>
        <v/>
      </c>
      <c r="G409" s="28">
        <f>IF($B409="","",SUMIF(CalcPartyB,$B409,CalcDepB))</f>
        <v/>
      </c>
      <c r="H409" s="29">
        <f>IF($B409="","",$E409-$F409+$G409)</f>
        <v/>
      </c>
      <c r="I409" s="27">
        <f>IF($B409="","",IF(ROUND($H409,0)&gt;0,"● بستانکار",IF(ROUND($H409,0)&lt;0,"● بدهکار","تسویه")))</f>
        <v/>
      </c>
    </row>
    <row r="410">
      <c r="A410" s="21">
        <f>IF($B410="","",401)</f>
        <v/>
      </c>
      <c r="B410" s="32">
        <f>IF(401&gt;NBskParty,"",INDEX(PkBskParty,401))</f>
        <v/>
      </c>
      <c r="C410" s="25">
        <f>IF($B410="","",IFERROR(IF(VLOOKUP($B410,AcctTbl,4,0)="","(بدون نام)",VLOOKUP($B410,AcctTbl,4,0)),"—"))</f>
        <v/>
      </c>
      <c r="D410" s="23">
        <f>IF($B410="","",SUMIF(CalcPartyA,$B410,CalcQtyA))</f>
        <v/>
      </c>
      <c r="E410" s="23">
        <f>IF($B410="","",SUMIF(CalcPartyA,$B410,CalcAmtA))</f>
        <v/>
      </c>
      <c r="F410" s="23">
        <f>IF($B410="","",SUMIF(CalcPartyB,$B410,CalcWitB))</f>
        <v/>
      </c>
      <c r="G410" s="23">
        <f>IF($B410="","",SUMIF(CalcPartyB,$B410,CalcDepB))</f>
        <v/>
      </c>
      <c r="H410" s="24">
        <f>IF($B410="","",$E410-$F410+$G410)</f>
        <v/>
      </c>
      <c r="I410" s="22">
        <f>IF($B410="","",IF(ROUND($H410,0)&gt;0,"● بستانکار",IF(ROUND($H410,0)&lt;0,"● بدهکار","تسویه")))</f>
        <v/>
      </c>
    </row>
    <row r="411">
      <c r="A411" s="26">
        <f>IF($B411="","",402)</f>
        <v/>
      </c>
      <c r="B411" s="33">
        <f>IF(402&gt;NBskParty,"",INDEX(PkBskParty,402))</f>
        <v/>
      </c>
      <c r="C411" s="30">
        <f>IF($B411="","",IFERROR(IF(VLOOKUP($B411,AcctTbl,4,0)="","(بدون نام)",VLOOKUP($B411,AcctTbl,4,0)),"—"))</f>
        <v/>
      </c>
      <c r="D411" s="28">
        <f>IF($B411="","",SUMIF(CalcPartyA,$B411,CalcQtyA))</f>
        <v/>
      </c>
      <c r="E411" s="28">
        <f>IF($B411="","",SUMIF(CalcPartyA,$B411,CalcAmtA))</f>
        <v/>
      </c>
      <c r="F411" s="28">
        <f>IF($B411="","",SUMIF(CalcPartyB,$B411,CalcWitB))</f>
        <v/>
      </c>
      <c r="G411" s="28">
        <f>IF($B411="","",SUMIF(CalcPartyB,$B411,CalcDepB))</f>
        <v/>
      </c>
      <c r="H411" s="29">
        <f>IF($B411="","",$E411-$F411+$G411)</f>
        <v/>
      </c>
      <c r="I411" s="27">
        <f>IF($B411="","",IF(ROUND($H411,0)&gt;0,"● بستانکار",IF(ROUND($H411,0)&lt;0,"● بدهکار","تسویه")))</f>
        <v/>
      </c>
    </row>
    <row r="412">
      <c r="A412" s="21">
        <f>IF($B412="","",403)</f>
        <v/>
      </c>
      <c r="B412" s="32">
        <f>IF(403&gt;NBskParty,"",INDEX(PkBskParty,403))</f>
        <v/>
      </c>
      <c r="C412" s="25">
        <f>IF($B412="","",IFERROR(IF(VLOOKUP($B412,AcctTbl,4,0)="","(بدون نام)",VLOOKUP($B412,AcctTbl,4,0)),"—"))</f>
        <v/>
      </c>
      <c r="D412" s="23">
        <f>IF($B412="","",SUMIF(CalcPartyA,$B412,CalcQtyA))</f>
        <v/>
      </c>
      <c r="E412" s="23">
        <f>IF($B412="","",SUMIF(CalcPartyA,$B412,CalcAmtA))</f>
        <v/>
      </c>
      <c r="F412" s="23">
        <f>IF($B412="","",SUMIF(CalcPartyB,$B412,CalcWitB))</f>
        <v/>
      </c>
      <c r="G412" s="23">
        <f>IF($B412="","",SUMIF(CalcPartyB,$B412,CalcDepB))</f>
        <v/>
      </c>
      <c r="H412" s="24">
        <f>IF($B412="","",$E412-$F412+$G412)</f>
        <v/>
      </c>
      <c r="I412" s="22">
        <f>IF($B412="","",IF(ROUND($H412,0)&gt;0,"● بستانکار",IF(ROUND($H412,0)&lt;0,"● بدهکار","تسویه")))</f>
        <v/>
      </c>
    </row>
    <row r="413">
      <c r="A413" s="26">
        <f>IF($B413="","",404)</f>
        <v/>
      </c>
      <c r="B413" s="33">
        <f>IF(404&gt;NBskParty,"",INDEX(PkBskParty,404))</f>
        <v/>
      </c>
      <c r="C413" s="30">
        <f>IF($B413="","",IFERROR(IF(VLOOKUP($B413,AcctTbl,4,0)="","(بدون نام)",VLOOKUP($B413,AcctTbl,4,0)),"—"))</f>
        <v/>
      </c>
      <c r="D413" s="28">
        <f>IF($B413="","",SUMIF(CalcPartyA,$B413,CalcQtyA))</f>
        <v/>
      </c>
      <c r="E413" s="28">
        <f>IF($B413="","",SUMIF(CalcPartyA,$B413,CalcAmtA))</f>
        <v/>
      </c>
      <c r="F413" s="28">
        <f>IF($B413="","",SUMIF(CalcPartyB,$B413,CalcWitB))</f>
        <v/>
      </c>
      <c r="G413" s="28">
        <f>IF($B413="","",SUMIF(CalcPartyB,$B413,CalcDepB))</f>
        <v/>
      </c>
      <c r="H413" s="29">
        <f>IF($B413="","",$E413-$F413+$G413)</f>
        <v/>
      </c>
      <c r="I413" s="27">
        <f>IF($B413="","",IF(ROUND($H413,0)&gt;0,"● بستانکار",IF(ROUND($H413,0)&lt;0,"● بدهکار","تسویه")))</f>
        <v/>
      </c>
    </row>
    <row r="414">
      <c r="A414" s="21">
        <f>IF($B414="","",405)</f>
        <v/>
      </c>
      <c r="B414" s="32">
        <f>IF(405&gt;NBskParty,"",INDEX(PkBskParty,405))</f>
        <v/>
      </c>
      <c r="C414" s="25">
        <f>IF($B414="","",IFERROR(IF(VLOOKUP($B414,AcctTbl,4,0)="","(بدون نام)",VLOOKUP($B414,AcctTbl,4,0)),"—"))</f>
        <v/>
      </c>
      <c r="D414" s="23">
        <f>IF($B414="","",SUMIF(CalcPartyA,$B414,CalcQtyA))</f>
        <v/>
      </c>
      <c r="E414" s="23">
        <f>IF($B414="","",SUMIF(CalcPartyA,$B414,CalcAmtA))</f>
        <v/>
      </c>
      <c r="F414" s="23">
        <f>IF($B414="","",SUMIF(CalcPartyB,$B414,CalcWitB))</f>
        <v/>
      </c>
      <c r="G414" s="23">
        <f>IF($B414="","",SUMIF(CalcPartyB,$B414,CalcDepB))</f>
        <v/>
      </c>
      <c r="H414" s="24">
        <f>IF($B414="","",$E414-$F414+$G414)</f>
        <v/>
      </c>
      <c r="I414" s="22">
        <f>IF($B414="","",IF(ROUND($H414,0)&gt;0,"● بستانکار",IF(ROUND($H414,0)&lt;0,"● بدهکار","تسویه")))</f>
        <v/>
      </c>
    </row>
    <row r="415">
      <c r="A415" s="26">
        <f>IF($B415="","",406)</f>
        <v/>
      </c>
      <c r="B415" s="33">
        <f>IF(406&gt;NBskParty,"",INDEX(PkBskParty,406))</f>
        <v/>
      </c>
      <c r="C415" s="30">
        <f>IF($B415="","",IFERROR(IF(VLOOKUP($B415,AcctTbl,4,0)="","(بدون نام)",VLOOKUP($B415,AcctTbl,4,0)),"—"))</f>
        <v/>
      </c>
      <c r="D415" s="28">
        <f>IF($B415="","",SUMIF(CalcPartyA,$B415,CalcQtyA))</f>
        <v/>
      </c>
      <c r="E415" s="28">
        <f>IF($B415="","",SUMIF(CalcPartyA,$B415,CalcAmtA))</f>
        <v/>
      </c>
      <c r="F415" s="28">
        <f>IF($B415="","",SUMIF(CalcPartyB,$B415,CalcWitB))</f>
        <v/>
      </c>
      <c r="G415" s="28">
        <f>IF($B415="","",SUMIF(CalcPartyB,$B415,CalcDepB))</f>
        <v/>
      </c>
      <c r="H415" s="29">
        <f>IF($B415="","",$E415-$F415+$G415)</f>
        <v/>
      </c>
      <c r="I415" s="27">
        <f>IF($B415="","",IF(ROUND($H415,0)&gt;0,"● بستانکار",IF(ROUND($H415,0)&lt;0,"● بدهکار","تسویه")))</f>
        <v/>
      </c>
    </row>
    <row r="416">
      <c r="A416" s="21">
        <f>IF($B416="","",407)</f>
        <v/>
      </c>
      <c r="B416" s="32">
        <f>IF(407&gt;NBskParty,"",INDEX(PkBskParty,407))</f>
        <v/>
      </c>
      <c r="C416" s="25">
        <f>IF($B416="","",IFERROR(IF(VLOOKUP($B416,AcctTbl,4,0)="","(بدون نام)",VLOOKUP($B416,AcctTbl,4,0)),"—"))</f>
        <v/>
      </c>
      <c r="D416" s="23">
        <f>IF($B416="","",SUMIF(CalcPartyA,$B416,CalcQtyA))</f>
        <v/>
      </c>
      <c r="E416" s="23">
        <f>IF($B416="","",SUMIF(CalcPartyA,$B416,CalcAmtA))</f>
        <v/>
      </c>
      <c r="F416" s="23">
        <f>IF($B416="","",SUMIF(CalcPartyB,$B416,CalcWitB))</f>
        <v/>
      </c>
      <c r="G416" s="23">
        <f>IF($B416="","",SUMIF(CalcPartyB,$B416,CalcDepB))</f>
        <v/>
      </c>
      <c r="H416" s="24">
        <f>IF($B416="","",$E416-$F416+$G416)</f>
        <v/>
      </c>
      <c r="I416" s="22">
        <f>IF($B416="","",IF(ROUND($H416,0)&gt;0,"● بستانکار",IF(ROUND($H416,0)&lt;0,"● بدهکار","تسویه")))</f>
        <v/>
      </c>
    </row>
    <row r="417">
      <c r="A417" s="26">
        <f>IF($B417="","",408)</f>
        <v/>
      </c>
      <c r="B417" s="33">
        <f>IF(408&gt;NBskParty,"",INDEX(PkBskParty,408))</f>
        <v/>
      </c>
      <c r="C417" s="30">
        <f>IF($B417="","",IFERROR(IF(VLOOKUP($B417,AcctTbl,4,0)="","(بدون نام)",VLOOKUP($B417,AcctTbl,4,0)),"—"))</f>
        <v/>
      </c>
      <c r="D417" s="28">
        <f>IF($B417="","",SUMIF(CalcPartyA,$B417,CalcQtyA))</f>
        <v/>
      </c>
      <c r="E417" s="28">
        <f>IF($B417="","",SUMIF(CalcPartyA,$B417,CalcAmtA))</f>
        <v/>
      </c>
      <c r="F417" s="28">
        <f>IF($B417="","",SUMIF(CalcPartyB,$B417,CalcWitB))</f>
        <v/>
      </c>
      <c r="G417" s="28">
        <f>IF($B417="","",SUMIF(CalcPartyB,$B417,CalcDepB))</f>
        <v/>
      </c>
      <c r="H417" s="29">
        <f>IF($B417="","",$E417-$F417+$G417)</f>
        <v/>
      </c>
      <c r="I417" s="27">
        <f>IF($B417="","",IF(ROUND($H417,0)&gt;0,"● بستانکار",IF(ROUND($H417,0)&lt;0,"● بدهکار","تسویه")))</f>
        <v/>
      </c>
    </row>
    <row r="418">
      <c r="A418" s="21">
        <f>IF($B418="","",409)</f>
        <v/>
      </c>
      <c r="B418" s="32">
        <f>IF(409&gt;NBskParty,"",INDEX(PkBskParty,409))</f>
        <v/>
      </c>
      <c r="C418" s="25">
        <f>IF($B418="","",IFERROR(IF(VLOOKUP($B418,AcctTbl,4,0)="","(بدون نام)",VLOOKUP($B418,AcctTbl,4,0)),"—"))</f>
        <v/>
      </c>
      <c r="D418" s="23">
        <f>IF($B418="","",SUMIF(CalcPartyA,$B418,CalcQtyA))</f>
        <v/>
      </c>
      <c r="E418" s="23">
        <f>IF($B418="","",SUMIF(CalcPartyA,$B418,CalcAmtA))</f>
        <v/>
      </c>
      <c r="F418" s="23">
        <f>IF($B418="","",SUMIF(CalcPartyB,$B418,CalcWitB))</f>
        <v/>
      </c>
      <c r="G418" s="23">
        <f>IF($B418="","",SUMIF(CalcPartyB,$B418,CalcDepB))</f>
        <v/>
      </c>
      <c r="H418" s="24">
        <f>IF($B418="","",$E418-$F418+$G418)</f>
        <v/>
      </c>
      <c r="I418" s="22">
        <f>IF($B418="","",IF(ROUND($H418,0)&gt;0,"● بستانکار",IF(ROUND($H418,0)&lt;0,"● بدهکار","تسویه")))</f>
        <v/>
      </c>
    </row>
    <row r="419">
      <c r="A419" s="26">
        <f>IF($B419="","",410)</f>
        <v/>
      </c>
      <c r="B419" s="33">
        <f>IF(410&gt;NBskParty,"",INDEX(PkBskParty,410))</f>
        <v/>
      </c>
      <c r="C419" s="30">
        <f>IF($B419="","",IFERROR(IF(VLOOKUP($B419,AcctTbl,4,0)="","(بدون نام)",VLOOKUP($B419,AcctTbl,4,0)),"—"))</f>
        <v/>
      </c>
      <c r="D419" s="28">
        <f>IF($B419="","",SUMIF(CalcPartyA,$B419,CalcQtyA))</f>
        <v/>
      </c>
      <c r="E419" s="28">
        <f>IF($B419="","",SUMIF(CalcPartyA,$B419,CalcAmtA))</f>
        <v/>
      </c>
      <c r="F419" s="28">
        <f>IF($B419="","",SUMIF(CalcPartyB,$B419,CalcWitB))</f>
        <v/>
      </c>
      <c r="G419" s="28">
        <f>IF($B419="","",SUMIF(CalcPartyB,$B419,CalcDepB))</f>
        <v/>
      </c>
      <c r="H419" s="29">
        <f>IF($B419="","",$E419-$F419+$G419)</f>
        <v/>
      </c>
      <c r="I419" s="27">
        <f>IF($B419="","",IF(ROUND($H419,0)&gt;0,"● بستانکار",IF(ROUND($H419,0)&lt;0,"● بدهکار","تسویه")))</f>
        <v/>
      </c>
    </row>
    <row r="420">
      <c r="A420" s="21">
        <f>IF($B420="","",411)</f>
        <v/>
      </c>
      <c r="B420" s="32">
        <f>IF(411&gt;NBskParty,"",INDEX(PkBskParty,411))</f>
        <v/>
      </c>
      <c r="C420" s="25">
        <f>IF($B420="","",IFERROR(IF(VLOOKUP($B420,AcctTbl,4,0)="","(بدون نام)",VLOOKUP($B420,AcctTbl,4,0)),"—"))</f>
        <v/>
      </c>
      <c r="D420" s="23">
        <f>IF($B420="","",SUMIF(CalcPartyA,$B420,CalcQtyA))</f>
        <v/>
      </c>
      <c r="E420" s="23">
        <f>IF($B420="","",SUMIF(CalcPartyA,$B420,CalcAmtA))</f>
        <v/>
      </c>
      <c r="F420" s="23">
        <f>IF($B420="","",SUMIF(CalcPartyB,$B420,CalcWitB))</f>
        <v/>
      </c>
      <c r="G420" s="23">
        <f>IF($B420="","",SUMIF(CalcPartyB,$B420,CalcDepB))</f>
        <v/>
      </c>
      <c r="H420" s="24">
        <f>IF($B420="","",$E420-$F420+$G420)</f>
        <v/>
      </c>
      <c r="I420" s="22">
        <f>IF($B420="","",IF(ROUND($H420,0)&gt;0,"● بستانکار",IF(ROUND($H420,0)&lt;0,"● بدهکار","تسویه")))</f>
        <v/>
      </c>
    </row>
    <row r="421">
      <c r="A421" s="26">
        <f>IF($B421="","",412)</f>
        <v/>
      </c>
      <c r="B421" s="33">
        <f>IF(412&gt;NBskParty,"",INDEX(PkBskParty,412))</f>
        <v/>
      </c>
      <c r="C421" s="30">
        <f>IF($B421="","",IFERROR(IF(VLOOKUP($B421,AcctTbl,4,0)="","(بدون نام)",VLOOKUP($B421,AcctTbl,4,0)),"—"))</f>
        <v/>
      </c>
      <c r="D421" s="28">
        <f>IF($B421="","",SUMIF(CalcPartyA,$B421,CalcQtyA))</f>
        <v/>
      </c>
      <c r="E421" s="28">
        <f>IF($B421="","",SUMIF(CalcPartyA,$B421,CalcAmtA))</f>
        <v/>
      </c>
      <c r="F421" s="28">
        <f>IF($B421="","",SUMIF(CalcPartyB,$B421,CalcWitB))</f>
        <v/>
      </c>
      <c r="G421" s="28">
        <f>IF($B421="","",SUMIF(CalcPartyB,$B421,CalcDepB))</f>
        <v/>
      </c>
      <c r="H421" s="29">
        <f>IF($B421="","",$E421-$F421+$G421)</f>
        <v/>
      </c>
      <c r="I421" s="27">
        <f>IF($B421="","",IF(ROUND($H421,0)&gt;0,"● بستانکار",IF(ROUND($H421,0)&lt;0,"● بدهکار","تسویه")))</f>
        <v/>
      </c>
    </row>
    <row r="422">
      <c r="A422" s="21">
        <f>IF($B422="","",413)</f>
        <v/>
      </c>
      <c r="B422" s="32">
        <f>IF(413&gt;NBskParty,"",INDEX(PkBskParty,413))</f>
        <v/>
      </c>
      <c r="C422" s="25">
        <f>IF($B422="","",IFERROR(IF(VLOOKUP($B422,AcctTbl,4,0)="","(بدون نام)",VLOOKUP($B422,AcctTbl,4,0)),"—"))</f>
        <v/>
      </c>
      <c r="D422" s="23">
        <f>IF($B422="","",SUMIF(CalcPartyA,$B422,CalcQtyA))</f>
        <v/>
      </c>
      <c r="E422" s="23">
        <f>IF($B422="","",SUMIF(CalcPartyA,$B422,CalcAmtA))</f>
        <v/>
      </c>
      <c r="F422" s="23">
        <f>IF($B422="","",SUMIF(CalcPartyB,$B422,CalcWitB))</f>
        <v/>
      </c>
      <c r="G422" s="23">
        <f>IF($B422="","",SUMIF(CalcPartyB,$B422,CalcDepB))</f>
        <v/>
      </c>
      <c r="H422" s="24">
        <f>IF($B422="","",$E422-$F422+$G422)</f>
        <v/>
      </c>
      <c r="I422" s="22">
        <f>IF($B422="","",IF(ROUND($H422,0)&gt;0,"● بستانکار",IF(ROUND($H422,0)&lt;0,"● بدهکار","تسویه")))</f>
        <v/>
      </c>
    </row>
    <row r="423">
      <c r="A423" s="26">
        <f>IF($B423="","",414)</f>
        <v/>
      </c>
      <c r="B423" s="33">
        <f>IF(414&gt;NBskParty,"",INDEX(PkBskParty,414))</f>
        <v/>
      </c>
      <c r="C423" s="30">
        <f>IF($B423="","",IFERROR(IF(VLOOKUP($B423,AcctTbl,4,0)="","(بدون نام)",VLOOKUP($B423,AcctTbl,4,0)),"—"))</f>
        <v/>
      </c>
      <c r="D423" s="28">
        <f>IF($B423="","",SUMIF(CalcPartyA,$B423,CalcQtyA))</f>
        <v/>
      </c>
      <c r="E423" s="28">
        <f>IF($B423="","",SUMIF(CalcPartyA,$B423,CalcAmtA))</f>
        <v/>
      </c>
      <c r="F423" s="28">
        <f>IF($B423="","",SUMIF(CalcPartyB,$B423,CalcWitB))</f>
        <v/>
      </c>
      <c r="G423" s="28">
        <f>IF($B423="","",SUMIF(CalcPartyB,$B423,CalcDepB))</f>
        <v/>
      </c>
      <c r="H423" s="29">
        <f>IF($B423="","",$E423-$F423+$G423)</f>
        <v/>
      </c>
      <c r="I423" s="27">
        <f>IF($B423="","",IF(ROUND($H423,0)&gt;0,"● بستانکار",IF(ROUND($H423,0)&lt;0,"● بدهکار","تسویه")))</f>
        <v/>
      </c>
    </row>
    <row r="424">
      <c r="A424" s="21">
        <f>IF($B424="","",415)</f>
        <v/>
      </c>
      <c r="B424" s="32">
        <f>IF(415&gt;NBskParty,"",INDEX(PkBskParty,415))</f>
        <v/>
      </c>
      <c r="C424" s="25">
        <f>IF($B424="","",IFERROR(IF(VLOOKUP($B424,AcctTbl,4,0)="","(بدون نام)",VLOOKUP($B424,AcctTbl,4,0)),"—"))</f>
        <v/>
      </c>
      <c r="D424" s="23">
        <f>IF($B424="","",SUMIF(CalcPartyA,$B424,CalcQtyA))</f>
        <v/>
      </c>
      <c r="E424" s="23">
        <f>IF($B424="","",SUMIF(CalcPartyA,$B424,CalcAmtA))</f>
        <v/>
      </c>
      <c r="F424" s="23">
        <f>IF($B424="","",SUMIF(CalcPartyB,$B424,CalcWitB))</f>
        <v/>
      </c>
      <c r="G424" s="23">
        <f>IF($B424="","",SUMIF(CalcPartyB,$B424,CalcDepB))</f>
        <v/>
      </c>
      <c r="H424" s="24">
        <f>IF($B424="","",$E424-$F424+$G424)</f>
        <v/>
      </c>
      <c r="I424" s="22">
        <f>IF($B424="","",IF(ROUND($H424,0)&gt;0,"● بستانکار",IF(ROUND($H424,0)&lt;0,"● بدهکار","تسویه")))</f>
        <v/>
      </c>
    </row>
    <row r="425">
      <c r="A425" s="26">
        <f>IF($B425="","",416)</f>
        <v/>
      </c>
      <c r="B425" s="33">
        <f>IF(416&gt;NBskParty,"",INDEX(PkBskParty,416))</f>
        <v/>
      </c>
      <c r="C425" s="30">
        <f>IF($B425="","",IFERROR(IF(VLOOKUP($B425,AcctTbl,4,0)="","(بدون نام)",VLOOKUP($B425,AcctTbl,4,0)),"—"))</f>
        <v/>
      </c>
      <c r="D425" s="28">
        <f>IF($B425="","",SUMIF(CalcPartyA,$B425,CalcQtyA))</f>
        <v/>
      </c>
      <c r="E425" s="28">
        <f>IF($B425="","",SUMIF(CalcPartyA,$B425,CalcAmtA))</f>
        <v/>
      </c>
      <c r="F425" s="28">
        <f>IF($B425="","",SUMIF(CalcPartyB,$B425,CalcWitB))</f>
        <v/>
      </c>
      <c r="G425" s="28">
        <f>IF($B425="","",SUMIF(CalcPartyB,$B425,CalcDepB))</f>
        <v/>
      </c>
      <c r="H425" s="29">
        <f>IF($B425="","",$E425-$F425+$G425)</f>
        <v/>
      </c>
      <c r="I425" s="27">
        <f>IF($B425="","",IF(ROUND($H425,0)&gt;0,"● بستانکار",IF(ROUND($H425,0)&lt;0,"● بدهکار","تسویه")))</f>
        <v/>
      </c>
    </row>
    <row r="426">
      <c r="A426" s="21">
        <f>IF($B426="","",417)</f>
        <v/>
      </c>
      <c r="B426" s="32">
        <f>IF(417&gt;NBskParty,"",INDEX(PkBskParty,417))</f>
        <v/>
      </c>
      <c r="C426" s="25">
        <f>IF($B426="","",IFERROR(IF(VLOOKUP($B426,AcctTbl,4,0)="","(بدون نام)",VLOOKUP($B426,AcctTbl,4,0)),"—"))</f>
        <v/>
      </c>
      <c r="D426" s="23">
        <f>IF($B426="","",SUMIF(CalcPartyA,$B426,CalcQtyA))</f>
        <v/>
      </c>
      <c r="E426" s="23">
        <f>IF($B426="","",SUMIF(CalcPartyA,$B426,CalcAmtA))</f>
        <v/>
      </c>
      <c r="F426" s="23">
        <f>IF($B426="","",SUMIF(CalcPartyB,$B426,CalcWitB))</f>
        <v/>
      </c>
      <c r="G426" s="23">
        <f>IF($B426="","",SUMIF(CalcPartyB,$B426,CalcDepB))</f>
        <v/>
      </c>
      <c r="H426" s="24">
        <f>IF($B426="","",$E426-$F426+$G426)</f>
        <v/>
      </c>
      <c r="I426" s="22">
        <f>IF($B426="","",IF(ROUND($H426,0)&gt;0,"● بستانکار",IF(ROUND($H426,0)&lt;0,"● بدهکار","تسویه")))</f>
        <v/>
      </c>
    </row>
    <row r="427">
      <c r="A427" s="26">
        <f>IF($B427="","",418)</f>
        <v/>
      </c>
      <c r="B427" s="33">
        <f>IF(418&gt;NBskParty,"",INDEX(PkBskParty,418))</f>
        <v/>
      </c>
      <c r="C427" s="30">
        <f>IF($B427="","",IFERROR(IF(VLOOKUP($B427,AcctTbl,4,0)="","(بدون نام)",VLOOKUP($B427,AcctTbl,4,0)),"—"))</f>
        <v/>
      </c>
      <c r="D427" s="28">
        <f>IF($B427="","",SUMIF(CalcPartyA,$B427,CalcQtyA))</f>
        <v/>
      </c>
      <c r="E427" s="28">
        <f>IF($B427="","",SUMIF(CalcPartyA,$B427,CalcAmtA))</f>
        <v/>
      </c>
      <c r="F427" s="28">
        <f>IF($B427="","",SUMIF(CalcPartyB,$B427,CalcWitB))</f>
        <v/>
      </c>
      <c r="G427" s="28">
        <f>IF($B427="","",SUMIF(CalcPartyB,$B427,CalcDepB))</f>
        <v/>
      </c>
      <c r="H427" s="29">
        <f>IF($B427="","",$E427-$F427+$G427)</f>
        <v/>
      </c>
      <c r="I427" s="27">
        <f>IF($B427="","",IF(ROUND($H427,0)&gt;0,"● بستانکار",IF(ROUND($H427,0)&lt;0,"● بدهکار","تسویه")))</f>
        <v/>
      </c>
    </row>
    <row r="428">
      <c r="A428" s="21">
        <f>IF($B428="","",419)</f>
        <v/>
      </c>
      <c r="B428" s="32">
        <f>IF(419&gt;NBskParty,"",INDEX(PkBskParty,419))</f>
        <v/>
      </c>
      <c r="C428" s="25">
        <f>IF($B428="","",IFERROR(IF(VLOOKUP($B428,AcctTbl,4,0)="","(بدون نام)",VLOOKUP($B428,AcctTbl,4,0)),"—"))</f>
        <v/>
      </c>
      <c r="D428" s="23">
        <f>IF($B428="","",SUMIF(CalcPartyA,$B428,CalcQtyA))</f>
        <v/>
      </c>
      <c r="E428" s="23">
        <f>IF($B428="","",SUMIF(CalcPartyA,$B428,CalcAmtA))</f>
        <v/>
      </c>
      <c r="F428" s="23">
        <f>IF($B428="","",SUMIF(CalcPartyB,$B428,CalcWitB))</f>
        <v/>
      </c>
      <c r="G428" s="23">
        <f>IF($B428="","",SUMIF(CalcPartyB,$B428,CalcDepB))</f>
        <v/>
      </c>
      <c r="H428" s="24">
        <f>IF($B428="","",$E428-$F428+$G428)</f>
        <v/>
      </c>
      <c r="I428" s="22">
        <f>IF($B428="","",IF(ROUND($H428,0)&gt;0,"● بستانکار",IF(ROUND($H428,0)&lt;0,"● بدهکار","تسویه")))</f>
        <v/>
      </c>
    </row>
    <row r="429">
      <c r="A429" s="26">
        <f>IF($B429="","",420)</f>
        <v/>
      </c>
      <c r="B429" s="33">
        <f>IF(420&gt;NBskParty,"",INDEX(PkBskParty,420))</f>
        <v/>
      </c>
      <c r="C429" s="30">
        <f>IF($B429="","",IFERROR(IF(VLOOKUP($B429,AcctTbl,4,0)="","(بدون نام)",VLOOKUP($B429,AcctTbl,4,0)),"—"))</f>
        <v/>
      </c>
      <c r="D429" s="28">
        <f>IF($B429="","",SUMIF(CalcPartyA,$B429,CalcQtyA))</f>
        <v/>
      </c>
      <c r="E429" s="28">
        <f>IF($B429="","",SUMIF(CalcPartyA,$B429,CalcAmtA))</f>
        <v/>
      </c>
      <c r="F429" s="28">
        <f>IF($B429="","",SUMIF(CalcPartyB,$B429,CalcWitB))</f>
        <v/>
      </c>
      <c r="G429" s="28">
        <f>IF($B429="","",SUMIF(CalcPartyB,$B429,CalcDepB))</f>
        <v/>
      </c>
      <c r="H429" s="29">
        <f>IF($B429="","",$E429-$F429+$G429)</f>
        <v/>
      </c>
      <c r="I429" s="27">
        <f>IF($B429="","",IF(ROUND($H429,0)&gt;0,"● بستانکار",IF(ROUND($H429,0)&lt;0,"● بدهکار","تسویه")))</f>
        <v/>
      </c>
    </row>
    <row r="430">
      <c r="A430" s="21">
        <f>IF($B430="","",421)</f>
        <v/>
      </c>
      <c r="B430" s="32">
        <f>IF(421&gt;NBskParty,"",INDEX(PkBskParty,421))</f>
        <v/>
      </c>
      <c r="C430" s="25">
        <f>IF($B430="","",IFERROR(IF(VLOOKUP($B430,AcctTbl,4,0)="","(بدون نام)",VLOOKUP($B430,AcctTbl,4,0)),"—"))</f>
        <v/>
      </c>
      <c r="D430" s="23">
        <f>IF($B430="","",SUMIF(CalcPartyA,$B430,CalcQtyA))</f>
        <v/>
      </c>
      <c r="E430" s="23">
        <f>IF($B430="","",SUMIF(CalcPartyA,$B430,CalcAmtA))</f>
        <v/>
      </c>
      <c r="F430" s="23">
        <f>IF($B430="","",SUMIF(CalcPartyB,$B430,CalcWitB))</f>
        <v/>
      </c>
      <c r="G430" s="23">
        <f>IF($B430="","",SUMIF(CalcPartyB,$B430,CalcDepB))</f>
        <v/>
      </c>
      <c r="H430" s="24">
        <f>IF($B430="","",$E430-$F430+$G430)</f>
        <v/>
      </c>
      <c r="I430" s="22">
        <f>IF($B430="","",IF(ROUND($H430,0)&gt;0,"● بستانکار",IF(ROUND($H430,0)&lt;0,"● بدهکار","تسویه")))</f>
        <v/>
      </c>
    </row>
    <row r="431">
      <c r="A431" s="26">
        <f>IF($B431="","",422)</f>
        <v/>
      </c>
      <c r="B431" s="33">
        <f>IF(422&gt;NBskParty,"",INDEX(PkBskParty,422))</f>
        <v/>
      </c>
      <c r="C431" s="30">
        <f>IF($B431="","",IFERROR(IF(VLOOKUP($B431,AcctTbl,4,0)="","(بدون نام)",VLOOKUP($B431,AcctTbl,4,0)),"—"))</f>
        <v/>
      </c>
      <c r="D431" s="28">
        <f>IF($B431="","",SUMIF(CalcPartyA,$B431,CalcQtyA))</f>
        <v/>
      </c>
      <c r="E431" s="28">
        <f>IF($B431="","",SUMIF(CalcPartyA,$B431,CalcAmtA))</f>
        <v/>
      </c>
      <c r="F431" s="28">
        <f>IF($B431="","",SUMIF(CalcPartyB,$B431,CalcWitB))</f>
        <v/>
      </c>
      <c r="G431" s="28">
        <f>IF($B431="","",SUMIF(CalcPartyB,$B431,CalcDepB))</f>
        <v/>
      </c>
      <c r="H431" s="29">
        <f>IF($B431="","",$E431-$F431+$G431)</f>
        <v/>
      </c>
      <c r="I431" s="27">
        <f>IF($B431="","",IF(ROUND($H431,0)&gt;0,"● بستانکار",IF(ROUND($H431,0)&lt;0,"● بدهکار","تسویه")))</f>
        <v/>
      </c>
    </row>
    <row r="432">
      <c r="A432" s="21">
        <f>IF($B432="","",423)</f>
        <v/>
      </c>
      <c r="B432" s="32">
        <f>IF(423&gt;NBskParty,"",INDEX(PkBskParty,423))</f>
        <v/>
      </c>
      <c r="C432" s="25">
        <f>IF($B432="","",IFERROR(IF(VLOOKUP($B432,AcctTbl,4,0)="","(بدون نام)",VLOOKUP($B432,AcctTbl,4,0)),"—"))</f>
        <v/>
      </c>
      <c r="D432" s="23">
        <f>IF($B432="","",SUMIF(CalcPartyA,$B432,CalcQtyA))</f>
        <v/>
      </c>
      <c r="E432" s="23">
        <f>IF($B432="","",SUMIF(CalcPartyA,$B432,CalcAmtA))</f>
        <v/>
      </c>
      <c r="F432" s="23">
        <f>IF($B432="","",SUMIF(CalcPartyB,$B432,CalcWitB))</f>
        <v/>
      </c>
      <c r="G432" s="23">
        <f>IF($B432="","",SUMIF(CalcPartyB,$B432,CalcDepB))</f>
        <v/>
      </c>
      <c r="H432" s="24">
        <f>IF($B432="","",$E432-$F432+$G432)</f>
        <v/>
      </c>
      <c r="I432" s="22">
        <f>IF($B432="","",IF(ROUND($H432,0)&gt;0,"● بستانکار",IF(ROUND($H432,0)&lt;0,"● بدهکار","تسویه")))</f>
        <v/>
      </c>
    </row>
    <row r="433">
      <c r="A433" s="26">
        <f>IF($B433="","",424)</f>
        <v/>
      </c>
      <c r="B433" s="33">
        <f>IF(424&gt;NBskParty,"",INDEX(PkBskParty,424))</f>
        <v/>
      </c>
      <c r="C433" s="30">
        <f>IF($B433="","",IFERROR(IF(VLOOKUP($B433,AcctTbl,4,0)="","(بدون نام)",VLOOKUP($B433,AcctTbl,4,0)),"—"))</f>
        <v/>
      </c>
      <c r="D433" s="28">
        <f>IF($B433="","",SUMIF(CalcPartyA,$B433,CalcQtyA))</f>
        <v/>
      </c>
      <c r="E433" s="28">
        <f>IF($B433="","",SUMIF(CalcPartyA,$B433,CalcAmtA))</f>
        <v/>
      </c>
      <c r="F433" s="28">
        <f>IF($B433="","",SUMIF(CalcPartyB,$B433,CalcWitB))</f>
        <v/>
      </c>
      <c r="G433" s="28">
        <f>IF($B433="","",SUMIF(CalcPartyB,$B433,CalcDepB))</f>
        <v/>
      </c>
      <c r="H433" s="29">
        <f>IF($B433="","",$E433-$F433+$G433)</f>
        <v/>
      </c>
      <c r="I433" s="27">
        <f>IF($B433="","",IF(ROUND($H433,0)&gt;0,"● بستانکار",IF(ROUND($H433,0)&lt;0,"● بدهکار","تسویه")))</f>
        <v/>
      </c>
    </row>
    <row r="434">
      <c r="A434" s="21">
        <f>IF($B434="","",425)</f>
        <v/>
      </c>
      <c r="B434" s="32">
        <f>IF(425&gt;NBskParty,"",INDEX(PkBskParty,425))</f>
        <v/>
      </c>
      <c r="C434" s="25">
        <f>IF($B434="","",IFERROR(IF(VLOOKUP($B434,AcctTbl,4,0)="","(بدون نام)",VLOOKUP($B434,AcctTbl,4,0)),"—"))</f>
        <v/>
      </c>
      <c r="D434" s="23">
        <f>IF($B434="","",SUMIF(CalcPartyA,$B434,CalcQtyA))</f>
        <v/>
      </c>
      <c r="E434" s="23">
        <f>IF($B434="","",SUMIF(CalcPartyA,$B434,CalcAmtA))</f>
        <v/>
      </c>
      <c r="F434" s="23">
        <f>IF($B434="","",SUMIF(CalcPartyB,$B434,CalcWitB))</f>
        <v/>
      </c>
      <c r="G434" s="23">
        <f>IF($B434="","",SUMIF(CalcPartyB,$B434,CalcDepB))</f>
        <v/>
      </c>
      <c r="H434" s="24">
        <f>IF($B434="","",$E434-$F434+$G434)</f>
        <v/>
      </c>
      <c r="I434" s="22">
        <f>IF($B434="","",IF(ROUND($H434,0)&gt;0,"● بستانکار",IF(ROUND($H434,0)&lt;0,"● بدهکار","تسویه")))</f>
        <v/>
      </c>
    </row>
    <row r="435">
      <c r="A435" s="26">
        <f>IF($B435="","",426)</f>
        <v/>
      </c>
      <c r="B435" s="33">
        <f>IF(426&gt;NBskParty,"",INDEX(PkBskParty,426))</f>
        <v/>
      </c>
      <c r="C435" s="30">
        <f>IF($B435="","",IFERROR(IF(VLOOKUP($B435,AcctTbl,4,0)="","(بدون نام)",VLOOKUP($B435,AcctTbl,4,0)),"—"))</f>
        <v/>
      </c>
      <c r="D435" s="28">
        <f>IF($B435="","",SUMIF(CalcPartyA,$B435,CalcQtyA))</f>
        <v/>
      </c>
      <c r="E435" s="28">
        <f>IF($B435="","",SUMIF(CalcPartyA,$B435,CalcAmtA))</f>
        <v/>
      </c>
      <c r="F435" s="28">
        <f>IF($B435="","",SUMIF(CalcPartyB,$B435,CalcWitB))</f>
        <v/>
      </c>
      <c r="G435" s="28">
        <f>IF($B435="","",SUMIF(CalcPartyB,$B435,CalcDepB))</f>
        <v/>
      </c>
      <c r="H435" s="29">
        <f>IF($B435="","",$E435-$F435+$G435)</f>
        <v/>
      </c>
      <c r="I435" s="27">
        <f>IF($B435="","",IF(ROUND($H435,0)&gt;0,"● بستانکار",IF(ROUND($H435,0)&lt;0,"● بدهکار","تسویه")))</f>
        <v/>
      </c>
    </row>
    <row r="436">
      <c r="A436" s="21">
        <f>IF($B436="","",427)</f>
        <v/>
      </c>
      <c r="B436" s="32">
        <f>IF(427&gt;NBskParty,"",INDEX(PkBskParty,427))</f>
        <v/>
      </c>
      <c r="C436" s="25">
        <f>IF($B436="","",IFERROR(IF(VLOOKUP($B436,AcctTbl,4,0)="","(بدون نام)",VLOOKUP($B436,AcctTbl,4,0)),"—"))</f>
        <v/>
      </c>
      <c r="D436" s="23">
        <f>IF($B436="","",SUMIF(CalcPartyA,$B436,CalcQtyA))</f>
        <v/>
      </c>
      <c r="E436" s="23">
        <f>IF($B436="","",SUMIF(CalcPartyA,$B436,CalcAmtA))</f>
        <v/>
      </c>
      <c r="F436" s="23">
        <f>IF($B436="","",SUMIF(CalcPartyB,$B436,CalcWitB))</f>
        <v/>
      </c>
      <c r="G436" s="23">
        <f>IF($B436="","",SUMIF(CalcPartyB,$B436,CalcDepB))</f>
        <v/>
      </c>
      <c r="H436" s="24">
        <f>IF($B436="","",$E436-$F436+$G436)</f>
        <v/>
      </c>
      <c r="I436" s="22">
        <f>IF($B436="","",IF(ROUND($H436,0)&gt;0,"● بستانکار",IF(ROUND($H436,0)&lt;0,"● بدهکار","تسویه")))</f>
        <v/>
      </c>
    </row>
    <row r="437">
      <c r="A437" s="26">
        <f>IF($B437="","",428)</f>
        <v/>
      </c>
      <c r="B437" s="33">
        <f>IF(428&gt;NBskParty,"",INDEX(PkBskParty,428))</f>
        <v/>
      </c>
      <c r="C437" s="30">
        <f>IF($B437="","",IFERROR(IF(VLOOKUP($B437,AcctTbl,4,0)="","(بدون نام)",VLOOKUP($B437,AcctTbl,4,0)),"—"))</f>
        <v/>
      </c>
      <c r="D437" s="28">
        <f>IF($B437="","",SUMIF(CalcPartyA,$B437,CalcQtyA))</f>
        <v/>
      </c>
      <c r="E437" s="28">
        <f>IF($B437="","",SUMIF(CalcPartyA,$B437,CalcAmtA))</f>
        <v/>
      </c>
      <c r="F437" s="28">
        <f>IF($B437="","",SUMIF(CalcPartyB,$B437,CalcWitB))</f>
        <v/>
      </c>
      <c r="G437" s="28">
        <f>IF($B437="","",SUMIF(CalcPartyB,$B437,CalcDepB))</f>
        <v/>
      </c>
      <c r="H437" s="29">
        <f>IF($B437="","",$E437-$F437+$G437)</f>
        <v/>
      </c>
      <c r="I437" s="27">
        <f>IF($B437="","",IF(ROUND($H437,0)&gt;0,"● بستانکار",IF(ROUND($H437,0)&lt;0,"● بدهکار","تسویه")))</f>
        <v/>
      </c>
    </row>
    <row r="438">
      <c r="A438" s="21">
        <f>IF($B438="","",429)</f>
        <v/>
      </c>
      <c r="B438" s="32">
        <f>IF(429&gt;NBskParty,"",INDEX(PkBskParty,429))</f>
        <v/>
      </c>
      <c r="C438" s="25">
        <f>IF($B438="","",IFERROR(IF(VLOOKUP($B438,AcctTbl,4,0)="","(بدون نام)",VLOOKUP($B438,AcctTbl,4,0)),"—"))</f>
        <v/>
      </c>
      <c r="D438" s="23">
        <f>IF($B438="","",SUMIF(CalcPartyA,$B438,CalcQtyA))</f>
        <v/>
      </c>
      <c r="E438" s="23">
        <f>IF($B438="","",SUMIF(CalcPartyA,$B438,CalcAmtA))</f>
        <v/>
      </c>
      <c r="F438" s="23">
        <f>IF($B438="","",SUMIF(CalcPartyB,$B438,CalcWitB))</f>
        <v/>
      </c>
      <c r="G438" s="23">
        <f>IF($B438="","",SUMIF(CalcPartyB,$B438,CalcDepB))</f>
        <v/>
      </c>
      <c r="H438" s="24">
        <f>IF($B438="","",$E438-$F438+$G438)</f>
        <v/>
      </c>
      <c r="I438" s="22">
        <f>IF($B438="","",IF(ROUND($H438,0)&gt;0,"● بستانکار",IF(ROUND($H438,0)&lt;0,"● بدهکار","تسویه")))</f>
        <v/>
      </c>
    </row>
    <row r="439">
      <c r="A439" s="26">
        <f>IF($B439="","",430)</f>
        <v/>
      </c>
      <c r="B439" s="33">
        <f>IF(430&gt;NBskParty,"",INDEX(PkBskParty,430))</f>
        <v/>
      </c>
      <c r="C439" s="30">
        <f>IF($B439="","",IFERROR(IF(VLOOKUP($B439,AcctTbl,4,0)="","(بدون نام)",VLOOKUP($B439,AcctTbl,4,0)),"—"))</f>
        <v/>
      </c>
      <c r="D439" s="28">
        <f>IF($B439="","",SUMIF(CalcPartyA,$B439,CalcQtyA))</f>
        <v/>
      </c>
      <c r="E439" s="28">
        <f>IF($B439="","",SUMIF(CalcPartyA,$B439,CalcAmtA))</f>
        <v/>
      </c>
      <c r="F439" s="28">
        <f>IF($B439="","",SUMIF(CalcPartyB,$B439,CalcWitB))</f>
        <v/>
      </c>
      <c r="G439" s="28">
        <f>IF($B439="","",SUMIF(CalcPartyB,$B439,CalcDepB))</f>
        <v/>
      </c>
      <c r="H439" s="29">
        <f>IF($B439="","",$E439-$F439+$G439)</f>
        <v/>
      </c>
      <c r="I439" s="27">
        <f>IF($B439="","",IF(ROUND($H439,0)&gt;0,"● بستانکار",IF(ROUND($H439,0)&lt;0,"● بدهکار","تسویه")))</f>
        <v/>
      </c>
    </row>
    <row r="440">
      <c r="A440" s="21">
        <f>IF($B440="","",431)</f>
        <v/>
      </c>
      <c r="B440" s="32">
        <f>IF(431&gt;NBskParty,"",INDEX(PkBskParty,431))</f>
        <v/>
      </c>
      <c r="C440" s="25">
        <f>IF($B440="","",IFERROR(IF(VLOOKUP($B440,AcctTbl,4,0)="","(بدون نام)",VLOOKUP($B440,AcctTbl,4,0)),"—"))</f>
        <v/>
      </c>
      <c r="D440" s="23">
        <f>IF($B440="","",SUMIF(CalcPartyA,$B440,CalcQtyA))</f>
        <v/>
      </c>
      <c r="E440" s="23">
        <f>IF($B440="","",SUMIF(CalcPartyA,$B440,CalcAmtA))</f>
        <v/>
      </c>
      <c r="F440" s="23">
        <f>IF($B440="","",SUMIF(CalcPartyB,$B440,CalcWitB))</f>
        <v/>
      </c>
      <c r="G440" s="23">
        <f>IF($B440="","",SUMIF(CalcPartyB,$B440,CalcDepB))</f>
        <v/>
      </c>
      <c r="H440" s="24">
        <f>IF($B440="","",$E440-$F440+$G440)</f>
        <v/>
      </c>
      <c r="I440" s="22">
        <f>IF($B440="","",IF(ROUND($H440,0)&gt;0,"● بستانکار",IF(ROUND($H440,0)&lt;0,"● بدهکار","تسویه")))</f>
        <v/>
      </c>
    </row>
    <row r="441">
      <c r="A441" s="26">
        <f>IF($B441="","",432)</f>
        <v/>
      </c>
      <c r="B441" s="33">
        <f>IF(432&gt;NBskParty,"",INDEX(PkBskParty,432))</f>
        <v/>
      </c>
      <c r="C441" s="30">
        <f>IF($B441="","",IFERROR(IF(VLOOKUP($B441,AcctTbl,4,0)="","(بدون نام)",VLOOKUP($B441,AcctTbl,4,0)),"—"))</f>
        <v/>
      </c>
      <c r="D441" s="28">
        <f>IF($B441="","",SUMIF(CalcPartyA,$B441,CalcQtyA))</f>
        <v/>
      </c>
      <c r="E441" s="28">
        <f>IF($B441="","",SUMIF(CalcPartyA,$B441,CalcAmtA))</f>
        <v/>
      </c>
      <c r="F441" s="28">
        <f>IF($B441="","",SUMIF(CalcPartyB,$B441,CalcWitB))</f>
        <v/>
      </c>
      <c r="G441" s="28">
        <f>IF($B441="","",SUMIF(CalcPartyB,$B441,CalcDepB))</f>
        <v/>
      </c>
      <c r="H441" s="29">
        <f>IF($B441="","",$E441-$F441+$G441)</f>
        <v/>
      </c>
      <c r="I441" s="27">
        <f>IF($B441="","",IF(ROUND($H441,0)&gt;0,"● بستانکار",IF(ROUND($H441,0)&lt;0,"● بدهکار","تسویه")))</f>
        <v/>
      </c>
    </row>
    <row r="442">
      <c r="A442" s="21">
        <f>IF($B442="","",433)</f>
        <v/>
      </c>
      <c r="B442" s="32">
        <f>IF(433&gt;NBskParty,"",INDEX(PkBskParty,433))</f>
        <v/>
      </c>
      <c r="C442" s="25">
        <f>IF($B442="","",IFERROR(IF(VLOOKUP($B442,AcctTbl,4,0)="","(بدون نام)",VLOOKUP($B442,AcctTbl,4,0)),"—"))</f>
        <v/>
      </c>
      <c r="D442" s="23">
        <f>IF($B442="","",SUMIF(CalcPartyA,$B442,CalcQtyA))</f>
        <v/>
      </c>
      <c r="E442" s="23">
        <f>IF($B442="","",SUMIF(CalcPartyA,$B442,CalcAmtA))</f>
        <v/>
      </c>
      <c r="F442" s="23">
        <f>IF($B442="","",SUMIF(CalcPartyB,$B442,CalcWitB))</f>
        <v/>
      </c>
      <c r="G442" s="23">
        <f>IF($B442="","",SUMIF(CalcPartyB,$B442,CalcDepB))</f>
        <v/>
      </c>
      <c r="H442" s="24">
        <f>IF($B442="","",$E442-$F442+$G442)</f>
        <v/>
      </c>
      <c r="I442" s="22">
        <f>IF($B442="","",IF(ROUND($H442,0)&gt;0,"● بستانکار",IF(ROUND($H442,0)&lt;0,"● بدهکار","تسویه")))</f>
        <v/>
      </c>
    </row>
    <row r="443">
      <c r="A443" s="26">
        <f>IF($B443="","",434)</f>
        <v/>
      </c>
      <c r="B443" s="33">
        <f>IF(434&gt;NBskParty,"",INDEX(PkBskParty,434))</f>
        <v/>
      </c>
      <c r="C443" s="30">
        <f>IF($B443="","",IFERROR(IF(VLOOKUP($B443,AcctTbl,4,0)="","(بدون نام)",VLOOKUP($B443,AcctTbl,4,0)),"—"))</f>
        <v/>
      </c>
      <c r="D443" s="28">
        <f>IF($B443="","",SUMIF(CalcPartyA,$B443,CalcQtyA))</f>
        <v/>
      </c>
      <c r="E443" s="28">
        <f>IF($B443="","",SUMIF(CalcPartyA,$B443,CalcAmtA))</f>
        <v/>
      </c>
      <c r="F443" s="28">
        <f>IF($B443="","",SUMIF(CalcPartyB,$B443,CalcWitB))</f>
        <v/>
      </c>
      <c r="G443" s="28">
        <f>IF($B443="","",SUMIF(CalcPartyB,$B443,CalcDepB))</f>
        <v/>
      </c>
      <c r="H443" s="29">
        <f>IF($B443="","",$E443-$F443+$G443)</f>
        <v/>
      </c>
      <c r="I443" s="27">
        <f>IF($B443="","",IF(ROUND($H443,0)&gt;0,"● بستانکار",IF(ROUND($H443,0)&lt;0,"● بدهکار","تسویه")))</f>
        <v/>
      </c>
    </row>
    <row r="444">
      <c r="A444" s="21">
        <f>IF($B444="","",435)</f>
        <v/>
      </c>
      <c r="B444" s="32">
        <f>IF(435&gt;NBskParty,"",INDEX(PkBskParty,435))</f>
        <v/>
      </c>
      <c r="C444" s="25">
        <f>IF($B444="","",IFERROR(IF(VLOOKUP($B444,AcctTbl,4,0)="","(بدون نام)",VLOOKUP($B444,AcctTbl,4,0)),"—"))</f>
        <v/>
      </c>
      <c r="D444" s="23">
        <f>IF($B444="","",SUMIF(CalcPartyA,$B444,CalcQtyA))</f>
        <v/>
      </c>
      <c r="E444" s="23">
        <f>IF($B444="","",SUMIF(CalcPartyA,$B444,CalcAmtA))</f>
        <v/>
      </c>
      <c r="F444" s="23">
        <f>IF($B444="","",SUMIF(CalcPartyB,$B444,CalcWitB))</f>
        <v/>
      </c>
      <c r="G444" s="23">
        <f>IF($B444="","",SUMIF(CalcPartyB,$B444,CalcDepB))</f>
        <v/>
      </c>
      <c r="H444" s="24">
        <f>IF($B444="","",$E444-$F444+$G444)</f>
        <v/>
      </c>
      <c r="I444" s="22">
        <f>IF($B444="","",IF(ROUND($H444,0)&gt;0,"● بستانکار",IF(ROUND($H444,0)&lt;0,"● بدهکار","تسویه")))</f>
        <v/>
      </c>
    </row>
    <row r="445">
      <c r="A445" s="26">
        <f>IF($B445="","",436)</f>
        <v/>
      </c>
      <c r="B445" s="33">
        <f>IF(436&gt;NBskParty,"",INDEX(PkBskParty,436))</f>
        <v/>
      </c>
      <c r="C445" s="30">
        <f>IF($B445="","",IFERROR(IF(VLOOKUP($B445,AcctTbl,4,0)="","(بدون نام)",VLOOKUP($B445,AcctTbl,4,0)),"—"))</f>
        <v/>
      </c>
      <c r="D445" s="28">
        <f>IF($B445="","",SUMIF(CalcPartyA,$B445,CalcQtyA))</f>
        <v/>
      </c>
      <c r="E445" s="28">
        <f>IF($B445="","",SUMIF(CalcPartyA,$B445,CalcAmtA))</f>
        <v/>
      </c>
      <c r="F445" s="28">
        <f>IF($B445="","",SUMIF(CalcPartyB,$B445,CalcWitB))</f>
        <v/>
      </c>
      <c r="G445" s="28">
        <f>IF($B445="","",SUMIF(CalcPartyB,$B445,CalcDepB))</f>
        <v/>
      </c>
      <c r="H445" s="29">
        <f>IF($B445="","",$E445-$F445+$G445)</f>
        <v/>
      </c>
      <c r="I445" s="27">
        <f>IF($B445="","",IF(ROUND($H445,0)&gt;0,"● بستانکار",IF(ROUND($H445,0)&lt;0,"● بدهکار","تسویه")))</f>
        <v/>
      </c>
    </row>
    <row r="446">
      <c r="A446" s="21">
        <f>IF($B446="","",437)</f>
        <v/>
      </c>
      <c r="B446" s="32">
        <f>IF(437&gt;NBskParty,"",INDEX(PkBskParty,437))</f>
        <v/>
      </c>
      <c r="C446" s="25">
        <f>IF($B446="","",IFERROR(IF(VLOOKUP($B446,AcctTbl,4,0)="","(بدون نام)",VLOOKUP($B446,AcctTbl,4,0)),"—"))</f>
        <v/>
      </c>
      <c r="D446" s="23">
        <f>IF($B446="","",SUMIF(CalcPartyA,$B446,CalcQtyA))</f>
        <v/>
      </c>
      <c r="E446" s="23">
        <f>IF($B446="","",SUMIF(CalcPartyA,$B446,CalcAmtA))</f>
        <v/>
      </c>
      <c r="F446" s="23">
        <f>IF($B446="","",SUMIF(CalcPartyB,$B446,CalcWitB))</f>
        <v/>
      </c>
      <c r="G446" s="23">
        <f>IF($B446="","",SUMIF(CalcPartyB,$B446,CalcDepB))</f>
        <v/>
      </c>
      <c r="H446" s="24">
        <f>IF($B446="","",$E446-$F446+$G446)</f>
        <v/>
      </c>
      <c r="I446" s="22">
        <f>IF($B446="","",IF(ROUND($H446,0)&gt;0,"● بستانکار",IF(ROUND($H446,0)&lt;0,"● بدهکار","تسویه")))</f>
        <v/>
      </c>
    </row>
    <row r="447">
      <c r="A447" s="26">
        <f>IF($B447="","",438)</f>
        <v/>
      </c>
      <c r="B447" s="33">
        <f>IF(438&gt;NBskParty,"",INDEX(PkBskParty,438))</f>
        <v/>
      </c>
      <c r="C447" s="30">
        <f>IF($B447="","",IFERROR(IF(VLOOKUP($B447,AcctTbl,4,0)="","(بدون نام)",VLOOKUP($B447,AcctTbl,4,0)),"—"))</f>
        <v/>
      </c>
      <c r="D447" s="28">
        <f>IF($B447="","",SUMIF(CalcPartyA,$B447,CalcQtyA))</f>
        <v/>
      </c>
      <c r="E447" s="28">
        <f>IF($B447="","",SUMIF(CalcPartyA,$B447,CalcAmtA))</f>
        <v/>
      </c>
      <c r="F447" s="28">
        <f>IF($B447="","",SUMIF(CalcPartyB,$B447,CalcWitB))</f>
        <v/>
      </c>
      <c r="G447" s="28">
        <f>IF($B447="","",SUMIF(CalcPartyB,$B447,CalcDepB))</f>
        <v/>
      </c>
      <c r="H447" s="29">
        <f>IF($B447="","",$E447-$F447+$G447)</f>
        <v/>
      </c>
      <c r="I447" s="27">
        <f>IF($B447="","",IF(ROUND($H447,0)&gt;0,"● بستانکار",IF(ROUND($H447,0)&lt;0,"● بدهکار","تسویه")))</f>
        <v/>
      </c>
    </row>
    <row r="448">
      <c r="A448" s="21">
        <f>IF($B448="","",439)</f>
        <v/>
      </c>
      <c r="B448" s="32">
        <f>IF(439&gt;NBskParty,"",INDEX(PkBskParty,439))</f>
        <v/>
      </c>
      <c r="C448" s="25">
        <f>IF($B448="","",IFERROR(IF(VLOOKUP($B448,AcctTbl,4,0)="","(بدون نام)",VLOOKUP($B448,AcctTbl,4,0)),"—"))</f>
        <v/>
      </c>
      <c r="D448" s="23">
        <f>IF($B448="","",SUMIF(CalcPartyA,$B448,CalcQtyA))</f>
        <v/>
      </c>
      <c r="E448" s="23">
        <f>IF($B448="","",SUMIF(CalcPartyA,$B448,CalcAmtA))</f>
        <v/>
      </c>
      <c r="F448" s="23">
        <f>IF($B448="","",SUMIF(CalcPartyB,$B448,CalcWitB))</f>
        <v/>
      </c>
      <c r="G448" s="23">
        <f>IF($B448="","",SUMIF(CalcPartyB,$B448,CalcDepB))</f>
        <v/>
      </c>
      <c r="H448" s="24">
        <f>IF($B448="","",$E448-$F448+$G448)</f>
        <v/>
      </c>
      <c r="I448" s="22">
        <f>IF($B448="","",IF(ROUND($H448,0)&gt;0,"● بستانکار",IF(ROUND($H448,0)&lt;0,"● بدهکار","تسویه")))</f>
        <v/>
      </c>
    </row>
    <row r="449">
      <c r="A449" s="26">
        <f>IF($B449="","",440)</f>
        <v/>
      </c>
      <c r="B449" s="33">
        <f>IF(440&gt;NBskParty,"",INDEX(PkBskParty,440))</f>
        <v/>
      </c>
      <c r="C449" s="30">
        <f>IF($B449="","",IFERROR(IF(VLOOKUP($B449,AcctTbl,4,0)="","(بدون نام)",VLOOKUP($B449,AcctTbl,4,0)),"—"))</f>
        <v/>
      </c>
      <c r="D449" s="28">
        <f>IF($B449="","",SUMIF(CalcPartyA,$B449,CalcQtyA))</f>
        <v/>
      </c>
      <c r="E449" s="28">
        <f>IF($B449="","",SUMIF(CalcPartyA,$B449,CalcAmtA))</f>
        <v/>
      </c>
      <c r="F449" s="28">
        <f>IF($B449="","",SUMIF(CalcPartyB,$B449,CalcWitB))</f>
        <v/>
      </c>
      <c r="G449" s="28">
        <f>IF($B449="","",SUMIF(CalcPartyB,$B449,CalcDepB))</f>
        <v/>
      </c>
      <c r="H449" s="29">
        <f>IF($B449="","",$E449-$F449+$G449)</f>
        <v/>
      </c>
      <c r="I449" s="27">
        <f>IF($B449="","",IF(ROUND($H449,0)&gt;0,"● بستانکار",IF(ROUND($H449,0)&lt;0,"● بدهکار","تسویه")))</f>
        <v/>
      </c>
    </row>
    <row r="450">
      <c r="A450" s="21">
        <f>IF($B450="","",441)</f>
        <v/>
      </c>
      <c r="B450" s="32">
        <f>IF(441&gt;NBskParty,"",INDEX(PkBskParty,441))</f>
        <v/>
      </c>
      <c r="C450" s="25">
        <f>IF($B450="","",IFERROR(IF(VLOOKUP($B450,AcctTbl,4,0)="","(بدون نام)",VLOOKUP($B450,AcctTbl,4,0)),"—"))</f>
        <v/>
      </c>
      <c r="D450" s="23">
        <f>IF($B450="","",SUMIF(CalcPartyA,$B450,CalcQtyA))</f>
        <v/>
      </c>
      <c r="E450" s="23">
        <f>IF($B450="","",SUMIF(CalcPartyA,$B450,CalcAmtA))</f>
        <v/>
      </c>
      <c r="F450" s="23">
        <f>IF($B450="","",SUMIF(CalcPartyB,$B450,CalcWitB))</f>
        <v/>
      </c>
      <c r="G450" s="23">
        <f>IF($B450="","",SUMIF(CalcPartyB,$B450,CalcDepB))</f>
        <v/>
      </c>
      <c r="H450" s="24">
        <f>IF($B450="","",$E450-$F450+$G450)</f>
        <v/>
      </c>
      <c r="I450" s="22">
        <f>IF($B450="","",IF(ROUND($H450,0)&gt;0,"● بستانکار",IF(ROUND($H450,0)&lt;0,"● بدهکار","تسویه")))</f>
        <v/>
      </c>
    </row>
    <row r="451">
      <c r="A451" s="26">
        <f>IF($B451="","",442)</f>
        <v/>
      </c>
      <c r="B451" s="33">
        <f>IF(442&gt;NBskParty,"",INDEX(PkBskParty,442))</f>
        <v/>
      </c>
      <c r="C451" s="30">
        <f>IF($B451="","",IFERROR(IF(VLOOKUP($B451,AcctTbl,4,0)="","(بدون نام)",VLOOKUP($B451,AcctTbl,4,0)),"—"))</f>
        <v/>
      </c>
      <c r="D451" s="28">
        <f>IF($B451="","",SUMIF(CalcPartyA,$B451,CalcQtyA))</f>
        <v/>
      </c>
      <c r="E451" s="28">
        <f>IF($B451="","",SUMIF(CalcPartyA,$B451,CalcAmtA))</f>
        <v/>
      </c>
      <c r="F451" s="28">
        <f>IF($B451="","",SUMIF(CalcPartyB,$B451,CalcWitB))</f>
        <v/>
      </c>
      <c r="G451" s="28">
        <f>IF($B451="","",SUMIF(CalcPartyB,$B451,CalcDepB))</f>
        <v/>
      </c>
      <c r="H451" s="29">
        <f>IF($B451="","",$E451-$F451+$G451)</f>
        <v/>
      </c>
      <c r="I451" s="27">
        <f>IF($B451="","",IF(ROUND($H451,0)&gt;0,"● بستانکار",IF(ROUND($H451,0)&lt;0,"● بدهکار","تسویه")))</f>
        <v/>
      </c>
    </row>
    <row r="452">
      <c r="A452" s="21">
        <f>IF($B452="","",443)</f>
        <v/>
      </c>
      <c r="B452" s="32">
        <f>IF(443&gt;NBskParty,"",INDEX(PkBskParty,443))</f>
        <v/>
      </c>
      <c r="C452" s="25">
        <f>IF($B452="","",IFERROR(IF(VLOOKUP($B452,AcctTbl,4,0)="","(بدون نام)",VLOOKUP($B452,AcctTbl,4,0)),"—"))</f>
        <v/>
      </c>
      <c r="D452" s="23">
        <f>IF($B452="","",SUMIF(CalcPartyA,$B452,CalcQtyA))</f>
        <v/>
      </c>
      <c r="E452" s="23">
        <f>IF($B452="","",SUMIF(CalcPartyA,$B452,CalcAmtA))</f>
        <v/>
      </c>
      <c r="F452" s="23">
        <f>IF($B452="","",SUMIF(CalcPartyB,$B452,CalcWitB))</f>
        <v/>
      </c>
      <c r="G452" s="23">
        <f>IF($B452="","",SUMIF(CalcPartyB,$B452,CalcDepB))</f>
        <v/>
      </c>
      <c r="H452" s="24">
        <f>IF($B452="","",$E452-$F452+$G452)</f>
        <v/>
      </c>
      <c r="I452" s="22">
        <f>IF($B452="","",IF(ROUND($H452,0)&gt;0,"● بستانکار",IF(ROUND($H452,0)&lt;0,"● بدهکار","تسویه")))</f>
        <v/>
      </c>
    </row>
    <row r="453">
      <c r="A453" s="26">
        <f>IF($B453="","",444)</f>
        <v/>
      </c>
      <c r="B453" s="33">
        <f>IF(444&gt;NBskParty,"",INDEX(PkBskParty,444))</f>
        <v/>
      </c>
      <c r="C453" s="30">
        <f>IF($B453="","",IFERROR(IF(VLOOKUP($B453,AcctTbl,4,0)="","(بدون نام)",VLOOKUP($B453,AcctTbl,4,0)),"—"))</f>
        <v/>
      </c>
      <c r="D453" s="28">
        <f>IF($B453="","",SUMIF(CalcPartyA,$B453,CalcQtyA))</f>
        <v/>
      </c>
      <c r="E453" s="28">
        <f>IF($B453="","",SUMIF(CalcPartyA,$B453,CalcAmtA))</f>
        <v/>
      </c>
      <c r="F453" s="28">
        <f>IF($B453="","",SUMIF(CalcPartyB,$B453,CalcWitB))</f>
        <v/>
      </c>
      <c r="G453" s="28">
        <f>IF($B453="","",SUMIF(CalcPartyB,$B453,CalcDepB))</f>
        <v/>
      </c>
      <c r="H453" s="29">
        <f>IF($B453="","",$E453-$F453+$G453)</f>
        <v/>
      </c>
      <c r="I453" s="27">
        <f>IF($B453="","",IF(ROUND($H453,0)&gt;0,"● بستانکار",IF(ROUND($H453,0)&lt;0,"● بدهکار","تسویه")))</f>
        <v/>
      </c>
    </row>
    <row r="454">
      <c r="A454" s="21">
        <f>IF($B454="","",445)</f>
        <v/>
      </c>
      <c r="B454" s="32">
        <f>IF(445&gt;NBskParty,"",INDEX(PkBskParty,445))</f>
        <v/>
      </c>
      <c r="C454" s="25">
        <f>IF($B454="","",IFERROR(IF(VLOOKUP($B454,AcctTbl,4,0)="","(بدون نام)",VLOOKUP($B454,AcctTbl,4,0)),"—"))</f>
        <v/>
      </c>
      <c r="D454" s="23">
        <f>IF($B454="","",SUMIF(CalcPartyA,$B454,CalcQtyA))</f>
        <v/>
      </c>
      <c r="E454" s="23">
        <f>IF($B454="","",SUMIF(CalcPartyA,$B454,CalcAmtA))</f>
        <v/>
      </c>
      <c r="F454" s="23">
        <f>IF($B454="","",SUMIF(CalcPartyB,$B454,CalcWitB))</f>
        <v/>
      </c>
      <c r="G454" s="23">
        <f>IF($B454="","",SUMIF(CalcPartyB,$B454,CalcDepB))</f>
        <v/>
      </c>
      <c r="H454" s="24">
        <f>IF($B454="","",$E454-$F454+$G454)</f>
        <v/>
      </c>
      <c r="I454" s="22">
        <f>IF($B454="","",IF(ROUND($H454,0)&gt;0,"● بستانکار",IF(ROUND($H454,0)&lt;0,"● بدهکار","تسویه")))</f>
        <v/>
      </c>
    </row>
    <row r="455">
      <c r="A455" s="26">
        <f>IF($B455="","",446)</f>
        <v/>
      </c>
      <c r="B455" s="33">
        <f>IF(446&gt;NBskParty,"",INDEX(PkBskParty,446))</f>
        <v/>
      </c>
      <c r="C455" s="30">
        <f>IF($B455="","",IFERROR(IF(VLOOKUP($B455,AcctTbl,4,0)="","(بدون نام)",VLOOKUP($B455,AcctTbl,4,0)),"—"))</f>
        <v/>
      </c>
      <c r="D455" s="28">
        <f>IF($B455="","",SUMIF(CalcPartyA,$B455,CalcQtyA))</f>
        <v/>
      </c>
      <c r="E455" s="28">
        <f>IF($B455="","",SUMIF(CalcPartyA,$B455,CalcAmtA))</f>
        <v/>
      </c>
      <c r="F455" s="28">
        <f>IF($B455="","",SUMIF(CalcPartyB,$B455,CalcWitB))</f>
        <v/>
      </c>
      <c r="G455" s="28">
        <f>IF($B455="","",SUMIF(CalcPartyB,$B455,CalcDepB))</f>
        <v/>
      </c>
      <c r="H455" s="29">
        <f>IF($B455="","",$E455-$F455+$G455)</f>
        <v/>
      </c>
      <c r="I455" s="27">
        <f>IF($B455="","",IF(ROUND($H455,0)&gt;0,"● بستانکار",IF(ROUND($H455,0)&lt;0,"● بدهکار","تسویه")))</f>
        <v/>
      </c>
    </row>
    <row r="456">
      <c r="A456" s="21">
        <f>IF($B456="","",447)</f>
        <v/>
      </c>
      <c r="B456" s="32">
        <f>IF(447&gt;NBskParty,"",INDEX(PkBskParty,447))</f>
        <v/>
      </c>
      <c r="C456" s="25">
        <f>IF($B456="","",IFERROR(IF(VLOOKUP($B456,AcctTbl,4,0)="","(بدون نام)",VLOOKUP($B456,AcctTbl,4,0)),"—"))</f>
        <v/>
      </c>
      <c r="D456" s="23">
        <f>IF($B456="","",SUMIF(CalcPartyA,$B456,CalcQtyA))</f>
        <v/>
      </c>
      <c r="E456" s="23">
        <f>IF($B456="","",SUMIF(CalcPartyA,$B456,CalcAmtA))</f>
        <v/>
      </c>
      <c r="F456" s="23">
        <f>IF($B456="","",SUMIF(CalcPartyB,$B456,CalcWitB))</f>
        <v/>
      </c>
      <c r="G456" s="23">
        <f>IF($B456="","",SUMIF(CalcPartyB,$B456,CalcDepB))</f>
        <v/>
      </c>
      <c r="H456" s="24">
        <f>IF($B456="","",$E456-$F456+$G456)</f>
        <v/>
      </c>
      <c r="I456" s="22">
        <f>IF($B456="","",IF(ROUND($H456,0)&gt;0,"● بستانکار",IF(ROUND($H456,0)&lt;0,"● بدهکار","تسویه")))</f>
        <v/>
      </c>
    </row>
    <row r="457">
      <c r="A457" s="26">
        <f>IF($B457="","",448)</f>
        <v/>
      </c>
      <c r="B457" s="33">
        <f>IF(448&gt;NBskParty,"",INDEX(PkBskParty,448))</f>
        <v/>
      </c>
      <c r="C457" s="30">
        <f>IF($B457="","",IFERROR(IF(VLOOKUP($B457,AcctTbl,4,0)="","(بدون نام)",VLOOKUP($B457,AcctTbl,4,0)),"—"))</f>
        <v/>
      </c>
      <c r="D457" s="28">
        <f>IF($B457="","",SUMIF(CalcPartyA,$B457,CalcQtyA))</f>
        <v/>
      </c>
      <c r="E457" s="28">
        <f>IF($B457="","",SUMIF(CalcPartyA,$B457,CalcAmtA))</f>
        <v/>
      </c>
      <c r="F457" s="28">
        <f>IF($B457="","",SUMIF(CalcPartyB,$B457,CalcWitB))</f>
        <v/>
      </c>
      <c r="G457" s="28">
        <f>IF($B457="","",SUMIF(CalcPartyB,$B457,CalcDepB))</f>
        <v/>
      </c>
      <c r="H457" s="29">
        <f>IF($B457="","",$E457-$F457+$G457)</f>
        <v/>
      </c>
      <c r="I457" s="27">
        <f>IF($B457="","",IF(ROUND($H457,0)&gt;0,"● بستانکار",IF(ROUND($H457,0)&lt;0,"● بدهکار","تسویه")))</f>
        <v/>
      </c>
    </row>
    <row r="458">
      <c r="A458" s="21">
        <f>IF($B458="","",449)</f>
        <v/>
      </c>
      <c r="B458" s="32">
        <f>IF(449&gt;NBskParty,"",INDEX(PkBskParty,449))</f>
        <v/>
      </c>
      <c r="C458" s="25">
        <f>IF($B458="","",IFERROR(IF(VLOOKUP($B458,AcctTbl,4,0)="","(بدون نام)",VLOOKUP($B458,AcctTbl,4,0)),"—"))</f>
        <v/>
      </c>
      <c r="D458" s="23">
        <f>IF($B458="","",SUMIF(CalcPartyA,$B458,CalcQtyA))</f>
        <v/>
      </c>
      <c r="E458" s="23">
        <f>IF($B458="","",SUMIF(CalcPartyA,$B458,CalcAmtA))</f>
        <v/>
      </c>
      <c r="F458" s="23">
        <f>IF($B458="","",SUMIF(CalcPartyB,$B458,CalcWitB))</f>
        <v/>
      </c>
      <c r="G458" s="23">
        <f>IF($B458="","",SUMIF(CalcPartyB,$B458,CalcDepB))</f>
        <v/>
      </c>
      <c r="H458" s="24">
        <f>IF($B458="","",$E458-$F458+$G458)</f>
        <v/>
      </c>
      <c r="I458" s="22">
        <f>IF($B458="","",IF(ROUND($H458,0)&gt;0,"● بستانکار",IF(ROUND($H458,0)&lt;0,"● بدهکار","تسویه")))</f>
        <v/>
      </c>
    </row>
    <row r="459">
      <c r="A459" s="26">
        <f>IF($B459="","",450)</f>
        <v/>
      </c>
      <c r="B459" s="33">
        <f>IF(450&gt;NBskParty,"",INDEX(PkBskParty,450))</f>
        <v/>
      </c>
      <c r="C459" s="30">
        <f>IF($B459="","",IFERROR(IF(VLOOKUP($B459,AcctTbl,4,0)="","(بدون نام)",VLOOKUP($B459,AcctTbl,4,0)),"—"))</f>
        <v/>
      </c>
      <c r="D459" s="28">
        <f>IF($B459="","",SUMIF(CalcPartyA,$B459,CalcQtyA))</f>
        <v/>
      </c>
      <c r="E459" s="28">
        <f>IF($B459="","",SUMIF(CalcPartyA,$B459,CalcAmtA))</f>
        <v/>
      </c>
      <c r="F459" s="28">
        <f>IF($B459="","",SUMIF(CalcPartyB,$B459,CalcWitB))</f>
        <v/>
      </c>
      <c r="G459" s="28">
        <f>IF($B459="","",SUMIF(CalcPartyB,$B459,CalcDepB))</f>
        <v/>
      </c>
      <c r="H459" s="29">
        <f>IF($B459="","",$E459-$F459+$G459)</f>
        <v/>
      </c>
      <c r="I459" s="27">
        <f>IF($B459="","",IF(ROUND($H459,0)&gt;0,"● بستانکار",IF(ROUND($H459,0)&lt;0,"● بدهکار","تسویه")))</f>
        <v/>
      </c>
    </row>
    <row r="460">
      <c r="A460" s="21">
        <f>IF($B460="","",451)</f>
        <v/>
      </c>
      <c r="B460" s="32">
        <f>IF(451&gt;NBskParty,"",INDEX(PkBskParty,451))</f>
        <v/>
      </c>
      <c r="C460" s="25">
        <f>IF($B460="","",IFERROR(IF(VLOOKUP($B460,AcctTbl,4,0)="","(بدون نام)",VLOOKUP($B460,AcctTbl,4,0)),"—"))</f>
        <v/>
      </c>
      <c r="D460" s="23">
        <f>IF($B460="","",SUMIF(CalcPartyA,$B460,CalcQtyA))</f>
        <v/>
      </c>
      <c r="E460" s="23">
        <f>IF($B460="","",SUMIF(CalcPartyA,$B460,CalcAmtA))</f>
        <v/>
      </c>
      <c r="F460" s="23">
        <f>IF($B460="","",SUMIF(CalcPartyB,$B460,CalcWitB))</f>
        <v/>
      </c>
      <c r="G460" s="23">
        <f>IF($B460="","",SUMIF(CalcPartyB,$B460,CalcDepB))</f>
        <v/>
      </c>
      <c r="H460" s="24">
        <f>IF($B460="","",$E460-$F460+$G460)</f>
        <v/>
      </c>
      <c r="I460" s="22">
        <f>IF($B460="","",IF(ROUND($H460,0)&gt;0,"● بستانکار",IF(ROUND($H460,0)&lt;0,"● بدهکار","تسویه")))</f>
        <v/>
      </c>
    </row>
    <row r="461">
      <c r="A461" s="26">
        <f>IF($B461="","",452)</f>
        <v/>
      </c>
      <c r="B461" s="33">
        <f>IF(452&gt;NBskParty,"",INDEX(PkBskParty,452))</f>
        <v/>
      </c>
      <c r="C461" s="30">
        <f>IF($B461="","",IFERROR(IF(VLOOKUP($B461,AcctTbl,4,0)="","(بدون نام)",VLOOKUP($B461,AcctTbl,4,0)),"—"))</f>
        <v/>
      </c>
      <c r="D461" s="28">
        <f>IF($B461="","",SUMIF(CalcPartyA,$B461,CalcQtyA))</f>
        <v/>
      </c>
      <c r="E461" s="28">
        <f>IF($B461="","",SUMIF(CalcPartyA,$B461,CalcAmtA))</f>
        <v/>
      </c>
      <c r="F461" s="28">
        <f>IF($B461="","",SUMIF(CalcPartyB,$B461,CalcWitB))</f>
        <v/>
      </c>
      <c r="G461" s="28">
        <f>IF($B461="","",SUMIF(CalcPartyB,$B461,CalcDepB))</f>
        <v/>
      </c>
      <c r="H461" s="29">
        <f>IF($B461="","",$E461-$F461+$G461)</f>
        <v/>
      </c>
      <c r="I461" s="27">
        <f>IF($B461="","",IF(ROUND($H461,0)&gt;0,"● بستانکار",IF(ROUND($H461,0)&lt;0,"● بدهکار","تسویه")))</f>
        <v/>
      </c>
    </row>
    <row r="462">
      <c r="A462" s="21">
        <f>IF($B462="","",453)</f>
        <v/>
      </c>
      <c r="B462" s="32">
        <f>IF(453&gt;NBskParty,"",INDEX(PkBskParty,453))</f>
        <v/>
      </c>
      <c r="C462" s="25">
        <f>IF($B462="","",IFERROR(IF(VLOOKUP($B462,AcctTbl,4,0)="","(بدون نام)",VLOOKUP($B462,AcctTbl,4,0)),"—"))</f>
        <v/>
      </c>
      <c r="D462" s="23">
        <f>IF($B462="","",SUMIF(CalcPartyA,$B462,CalcQtyA))</f>
        <v/>
      </c>
      <c r="E462" s="23">
        <f>IF($B462="","",SUMIF(CalcPartyA,$B462,CalcAmtA))</f>
        <v/>
      </c>
      <c r="F462" s="23">
        <f>IF($B462="","",SUMIF(CalcPartyB,$B462,CalcWitB))</f>
        <v/>
      </c>
      <c r="G462" s="23">
        <f>IF($B462="","",SUMIF(CalcPartyB,$B462,CalcDepB))</f>
        <v/>
      </c>
      <c r="H462" s="24">
        <f>IF($B462="","",$E462-$F462+$G462)</f>
        <v/>
      </c>
      <c r="I462" s="22">
        <f>IF($B462="","",IF(ROUND($H462,0)&gt;0,"● بستانکار",IF(ROUND($H462,0)&lt;0,"● بدهکار","تسویه")))</f>
        <v/>
      </c>
    </row>
    <row r="463">
      <c r="A463" s="26">
        <f>IF($B463="","",454)</f>
        <v/>
      </c>
      <c r="B463" s="33">
        <f>IF(454&gt;NBskParty,"",INDEX(PkBskParty,454))</f>
        <v/>
      </c>
      <c r="C463" s="30">
        <f>IF($B463="","",IFERROR(IF(VLOOKUP($B463,AcctTbl,4,0)="","(بدون نام)",VLOOKUP($B463,AcctTbl,4,0)),"—"))</f>
        <v/>
      </c>
      <c r="D463" s="28">
        <f>IF($B463="","",SUMIF(CalcPartyA,$B463,CalcQtyA))</f>
        <v/>
      </c>
      <c r="E463" s="28">
        <f>IF($B463="","",SUMIF(CalcPartyA,$B463,CalcAmtA))</f>
        <v/>
      </c>
      <c r="F463" s="28">
        <f>IF($B463="","",SUMIF(CalcPartyB,$B463,CalcWitB))</f>
        <v/>
      </c>
      <c r="G463" s="28">
        <f>IF($B463="","",SUMIF(CalcPartyB,$B463,CalcDepB))</f>
        <v/>
      </c>
      <c r="H463" s="29">
        <f>IF($B463="","",$E463-$F463+$G463)</f>
        <v/>
      </c>
      <c r="I463" s="27">
        <f>IF($B463="","",IF(ROUND($H463,0)&gt;0,"● بستانکار",IF(ROUND($H463,0)&lt;0,"● بدهکار","تسویه")))</f>
        <v/>
      </c>
    </row>
    <row r="464">
      <c r="A464" s="21">
        <f>IF($B464="","",455)</f>
        <v/>
      </c>
      <c r="B464" s="32">
        <f>IF(455&gt;NBskParty,"",INDEX(PkBskParty,455))</f>
        <v/>
      </c>
      <c r="C464" s="25">
        <f>IF($B464="","",IFERROR(IF(VLOOKUP($B464,AcctTbl,4,0)="","(بدون نام)",VLOOKUP($B464,AcctTbl,4,0)),"—"))</f>
        <v/>
      </c>
      <c r="D464" s="23">
        <f>IF($B464="","",SUMIF(CalcPartyA,$B464,CalcQtyA))</f>
        <v/>
      </c>
      <c r="E464" s="23">
        <f>IF($B464="","",SUMIF(CalcPartyA,$B464,CalcAmtA))</f>
        <v/>
      </c>
      <c r="F464" s="23">
        <f>IF($B464="","",SUMIF(CalcPartyB,$B464,CalcWitB))</f>
        <v/>
      </c>
      <c r="G464" s="23">
        <f>IF($B464="","",SUMIF(CalcPartyB,$B464,CalcDepB))</f>
        <v/>
      </c>
      <c r="H464" s="24">
        <f>IF($B464="","",$E464-$F464+$G464)</f>
        <v/>
      </c>
      <c r="I464" s="22">
        <f>IF($B464="","",IF(ROUND($H464,0)&gt;0,"● بستانکار",IF(ROUND($H464,0)&lt;0,"● بدهکار","تسویه")))</f>
        <v/>
      </c>
    </row>
    <row r="465">
      <c r="A465" s="26">
        <f>IF($B465="","",456)</f>
        <v/>
      </c>
      <c r="B465" s="33">
        <f>IF(456&gt;NBskParty,"",INDEX(PkBskParty,456))</f>
        <v/>
      </c>
      <c r="C465" s="30">
        <f>IF($B465="","",IFERROR(IF(VLOOKUP($B465,AcctTbl,4,0)="","(بدون نام)",VLOOKUP($B465,AcctTbl,4,0)),"—"))</f>
        <v/>
      </c>
      <c r="D465" s="28">
        <f>IF($B465="","",SUMIF(CalcPartyA,$B465,CalcQtyA))</f>
        <v/>
      </c>
      <c r="E465" s="28">
        <f>IF($B465="","",SUMIF(CalcPartyA,$B465,CalcAmtA))</f>
        <v/>
      </c>
      <c r="F465" s="28">
        <f>IF($B465="","",SUMIF(CalcPartyB,$B465,CalcWitB))</f>
        <v/>
      </c>
      <c r="G465" s="28">
        <f>IF($B465="","",SUMIF(CalcPartyB,$B465,CalcDepB))</f>
        <v/>
      </c>
      <c r="H465" s="29">
        <f>IF($B465="","",$E465-$F465+$G465)</f>
        <v/>
      </c>
      <c r="I465" s="27">
        <f>IF($B465="","",IF(ROUND($H465,0)&gt;0,"● بستانکار",IF(ROUND($H465,0)&lt;0,"● بدهکار","تسویه")))</f>
        <v/>
      </c>
    </row>
    <row r="466">
      <c r="A466" s="21">
        <f>IF($B466="","",457)</f>
        <v/>
      </c>
      <c r="B466" s="32">
        <f>IF(457&gt;NBskParty,"",INDEX(PkBskParty,457))</f>
        <v/>
      </c>
      <c r="C466" s="25">
        <f>IF($B466="","",IFERROR(IF(VLOOKUP($B466,AcctTbl,4,0)="","(بدون نام)",VLOOKUP($B466,AcctTbl,4,0)),"—"))</f>
        <v/>
      </c>
      <c r="D466" s="23">
        <f>IF($B466="","",SUMIF(CalcPartyA,$B466,CalcQtyA))</f>
        <v/>
      </c>
      <c r="E466" s="23">
        <f>IF($B466="","",SUMIF(CalcPartyA,$B466,CalcAmtA))</f>
        <v/>
      </c>
      <c r="F466" s="23">
        <f>IF($B466="","",SUMIF(CalcPartyB,$B466,CalcWitB))</f>
        <v/>
      </c>
      <c r="G466" s="23">
        <f>IF($B466="","",SUMIF(CalcPartyB,$B466,CalcDepB))</f>
        <v/>
      </c>
      <c r="H466" s="24">
        <f>IF($B466="","",$E466-$F466+$G466)</f>
        <v/>
      </c>
      <c r="I466" s="22">
        <f>IF($B466="","",IF(ROUND($H466,0)&gt;0,"● بستانکار",IF(ROUND($H466,0)&lt;0,"● بدهکار","تسویه")))</f>
        <v/>
      </c>
    </row>
    <row r="467">
      <c r="A467" s="26">
        <f>IF($B467="","",458)</f>
        <v/>
      </c>
      <c r="B467" s="33">
        <f>IF(458&gt;NBskParty,"",INDEX(PkBskParty,458))</f>
        <v/>
      </c>
      <c r="C467" s="30">
        <f>IF($B467="","",IFERROR(IF(VLOOKUP($B467,AcctTbl,4,0)="","(بدون نام)",VLOOKUP($B467,AcctTbl,4,0)),"—"))</f>
        <v/>
      </c>
      <c r="D467" s="28">
        <f>IF($B467="","",SUMIF(CalcPartyA,$B467,CalcQtyA))</f>
        <v/>
      </c>
      <c r="E467" s="28">
        <f>IF($B467="","",SUMIF(CalcPartyA,$B467,CalcAmtA))</f>
        <v/>
      </c>
      <c r="F467" s="28">
        <f>IF($B467="","",SUMIF(CalcPartyB,$B467,CalcWitB))</f>
        <v/>
      </c>
      <c r="G467" s="28">
        <f>IF($B467="","",SUMIF(CalcPartyB,$B467,CalcDepB))</f>
        <v/>
      </c>
      <c r="H467" s="29">
        <f>IF($B467="","",$E467-$F467+$G467)</f>
        <v/>
      </c>
      <c r="I467" s="27">
        <f>IF($B467="","",IF(ROUND($H467,0)&gt;0,"● بستانکار",IF(ROUND($H467,0)&lt;0,"● بدهکار","تسویه")))</f>
        <v/>
      </c>
    </row>
    <row r="468">
      <c r="A468" s="21">
        <f>IF($B468="","",459)</f>
        <v/>
      </c>
      <c r="B468" s="32">
        <f>IF(459&gt;NBskParty,"",INDEX(PkBskParty,459))</f>
        <v/>
      </c>
      <c r="C468" s="25">
        <f>IF($B468="","",IFERROR(IF(VLOOKUP($B468,AcctTbl,4,0)="","(بدون نام)",VLOOKUP($B468,AcctTbl,4,0)),"—"))</f>
        <v/>
      </c>
      <c r="D468" s="23">
        <f>IF($B468="","",SUMIF(CalcPartyA,$B468,CalcQtyA))</f>
        <v/>
      </c>
      <c r="E468" s="23">
        <f>IF($B468="","",SUMIF(CalcPartyA,$B468,CalcAmtA))</f>
        <v/>
      </c>
      <c r="F468" s="23">
        <f>IF($B468="","",SUMIF(CalcPartyB,$B468,CalcWitB))</f>
        <v/>
      </c>
      <c r="G468" s="23">
        <f>IF($B468="","",SUMIF(CalcPartyB,$B468,CalcDepB))</f>
        <v/>
      </c>
      <c r="H468" s="24">
        <f>IF($B468="","",$E468-$F468+$G468)</f>
        <v/>
      </c>
      <c r="I468" s="22">
        <f>IF($B468="","",IF(ROUND($H468,0)&gt;0,"● بستانکار",IF(ROUND($H468,0)&lt;0,"● بدهکار","تسویه")))</f>
        <v/>
      </c>
    </row>
    <row r="469">
      <c r="A469" s="26">
        <f>IF($B469="","",460)</f>
        <v/>
      </c>
      <c r="B469" s="33">
        <f>IF(460&gt;NBskParty,"",INDEX(PkBskParty,460))</f>
        <v/>
      </c>
      <c r="C469" s="30">
        <f>IF($B469="","",IFERROR(IF(VLOOKUP($B469,AcctTbl,4,0)="","(بدون نام)",VLOOKUP($B469,AcctTbl,4,0)),"—"))</f>
        <v/>
      </c>
      <c r="D469" s="28">
        <f>IF($B469="","",SUMIF(CalcPartyA,$B469,CalcQtyA))</f>
        <v/>
      </c>
      <c r="E469" s="28">
        <f>IF($B469="","",SUMIF(CalcPartyA,$B469,CalcAmtA))</f>
        <v/>
      </c>
      <c r="F469" s="28">
        <f>IF($B469="","",SUMIF(CalcPartyB,$B469,CalcWitB))</f>
        <v/>
      </c>
      <c r="G469" s="28">
        <f>IF($B469="","",SUMIF(CalcPartyB,$B469,CalcDepB))</f>
        <v/>
      </c>
      <c r="H469" s="29">
        <f>IF($B469="","",$E469-$F469+$G469)</f>
        <v/>
      </c>
      <c r="I469" s="27">
        <f>IF($B469="","",IF(ROUND($H469,0)&gt;0,"● بستانکار",IF(ROUND($H469,0)&lt;0,"● بدهکار","تسویه")))</f>
        <v/>
      </c>
    </row>
    <row r="470">
      <c r="A470" s="21">
        <f>IF($B470="","",461)</f>
        <v/>
      </c>
      <c r="B470" s="32">
        <f>IF(461&gt;NBskParty,"",INDEX(PkBskParty,461))</f>
        <v/>
      </c>
      <c r="C470" s="25">
        <f>IF($B470="","",IFERROR(IF(VLOOKUP($B470,AcctTbl,4,0)="","(بدون نام)",VLOOKUP($B470,AcctTbl,4,0)),"—"))</f>
        <v/>
      </c>
      <c r="D470" s="23">
        <f>IF($B470="","",SUMIF(CalcPartyA,$B470,CalcQtyA))</f>
        <v/>
      </c>
      <c r="E470" s="23">
        <f>IF($B470="","",SUMIF(CalcPartyA,$B470,CalcAmtA))</f>
        <v/>
      </c>
      <c r="F470" s="23">
        <f>IF($B470="","",SUMIF(CalcPartyB,$B470,CalcWitB))</f>
        <v/>
      </c>
      <c r="G470" s="23">
        <f>IF($B470="","",SUMIF(CalcPartyB,$B470,CalcDepB))</f>
        <v/>
      </c>
      <c r="H470" s="24">
        <f>IF($B470="","",$E470-$F470+$G470)</f>
        <v/>
      </c>
      <c r="I470" s="22">
        <f>IF($B470="","",IF(ROUND($H470,0)&gt;0,"● بستانکار",IF(ROUND($H470,0)&lt;0,"● بدهکار","تسویه")))</f>
        <v/>
      </c>
    </row>
    <row r="471">
      <c r="A471" s="26">
        <f>IF($B471="","",462)</f>
        <v/>
      </c>
      <c r="B471" s="33">
        <f>IF(462&gt;NBskParty,"",INDEX(PkBskParty,462))</f>
        <v/>
      </c>
      <c r="C471" s="30">
        <f>IF($B471="","",IFERROR(IF(VLOOKUP($B471,AcctTbl,4,0)="","(بدون نام)",VLOOKUP($B471,AcctTbl,4,0)),"—"))</f>
        <v/>
      </c>
      <c r="D471" s="28">
        <f>IF($B471="","",SUMIF(CalcPartyA,$B471,CalcQtyA))</f>
        <v/>
      </c>
      <c r="E471" s="28">
        <f>IF($B471="","",SUMIF(CalcPartyA,$B471,CalcAmtA))</f>
        <v/>
      </c>
      <c r="F471" s="28">
        <f>IF($B471="","",SUMIF(CalcPartyB,$B471,CalcWitB))</f>
        <v/>
      </c>
      <c r="G471" s="28">
        <f>IF($B471="","",SUMIF(CalcPartyB,$B471,CalcDepB))</f>
        <v/>
      </c>
      <c r="H471" s="29">
        <f>IF($B471="","",$E471-$F471+$G471)</f>
        <v/>
      </c>
      <c r="I471" s="27">
        <f>IF($B471="","",IF(ROUND($H471,0)&gt;0,"● بستانکار",IF(ROUND($H471,0)&lt;0,"● بدهکار","تسویه")))</f>
        <v/>
      </c>
    </row>
    <row r="472">
      <c r="A472" s="21">
        <f>IF($B472="","",463)</f>
        <v/>
      </c>
      <c r="B472" s="32">
        <f>IF(463&gt;NBskParty,"",INDEX(PkBskParty,463))</f>
        <v/>
      </c>
      <c r="C472" s="25">
        <f>IF($B472="","",IFERROR(IF(VLOOKUP($B472,AcctTbl,4,0)="","(بدون نام)",VLOOKUP($B472,AcctTbl,4,0)),"—"))</f>
        <v/>
      </c>
      <c r="D472" s="23">
        <f>IF($B472="","",SUMIF(CalcPartyA,$B472,CalcQtyA))</f>
        <v/>
      </c>
      <c r="E472" s="23">
        <f>IF($B472="","",SUMIF(CalcPartyA,$B472,CalcAmtA))</f>
        <v/>
      </c>
      <c r="F472" s="23">
        <f>IF($B472="","",SUMIF(CalcPartyB,$B472,CalcWitB))</f>
        <v/>
      </c>
      <c r="G472" s="23">
        <f>IF($B472="","",SUMIF(CalcPartyB,$B472,CalcDepB))</f>
        <v/>
      </c>
      <c r="H472" s="24">
        <f>IF($B472="","",$E472-$F472+$G472)</f>
        <v/>
      </c>
      <c r="I472" s="22">
        <f>IF($B472="","",IF(ROUND($H472,0)&gt;0,"● بستانکار",IF(ROUND($H472,0)&lt;0,"● بدهکار","تسویه")))</f>
        <v/>
      </c>
    </row>
    <row r="473">
      <c r="A473" s="26">
        <f>IF($B473="","",464)</f>
        <v/>
      </c>
      <c r="B473" s="33">
        <f>IF(464&gt;NBskParty,"",INDEX(PkBskParty,464))</f>
        <v/>
      </c>
      <c r="C473" s="30">
        <f>IF($B473="","",IFERROR(IF(VLOOKUP($B473,AcctTbl,4,0)="","(بدون نام)",VLOOKUP($B473,AcctTbl,4,0)),"—"))</f>
        <v/>
      </c>
      <c r="D473" s="28">
        <f>IF($B473="","",SUMIF(CalcPartyA,$B473,CalcQtyA))</f>
        <v/>
      </c>
      <c r="E473" s="28">
        <f>IF($B473="","",SUMIF(CalcPartyA,$B473,CalcAmtA))</f>
        <v/>
      </c>
      <c r="F473" s="28">
        <f>IF($B473="","",SUMIF(CalcPartyB,$B473,CalcWitB))</f>
        <v/>
      </c>
      <c r="G473" s="28">
        <f>IF($B473="","",SUMIF(CalcPartyB,$B473,CalcDepB))</f>
        <v/>
      </c>
      <c r="H473" s="29">
        <f>IF($B473="","",$E473-$F473+$G473)</f>
        <v/>
      </c>
      <c r="I473" s="27">
        <f>IF($B473="","",IF(ROUND($H473,0)&gt;0,"● بستانکار",IF(ROUND($H473,0)&lt;0,"● بدهکار","تسویه")))</f>
        <v/>
      </c>
    </row>
    <row r="474">
      <c r="A474" s="21">
        <f>IF($B474="","",465)</f>
        <v/>
      </c>
      <c r="B474" s="32">
        <f>IF(465&gt;NBskParty,"",INDEX(PkBskParty,465))</f>
        <v/>
      </c>
      <c r="C474" s="25">
        <f>IF($B474="","",IFERROR(IF(VLOOKUP($B474,AcctTbl,4,0)="","(بدون نام)",VLOOKUP($B474,AcctTbl,4,0)),"—"))</f>
        <v/>
      </c>
      <c r="D474" s="23">
        <f>IF($B474="","",SUMIF(CalcPartyA,$B474,CalcQtyA))</f>
        <v/>
      </c>
      <c r="E474" s="23">
        <f>IF($B474="","",SUMIF(CalcPartyA,$B474,CalcAmtA))</f>
        <v/>
      </c>
      <c r="F474" s="23">
        <f>IF($B474="","",SUMIF(CalcPartyB,$B474,CalcWitB))</f>
        <v/>
      </c>
      <c r="G474" s="23">
        <f>IF($B474="","",SUMIF(CalcPartyB,$B474,CalcDepB))</f>
        <v/>
      </c>
      <c r="H474" s="24">
        <f>IF($B474="","",$E474-$F474+$G474)</f>
        <v/>
      </c>
      <c r="I474" s="22">
        <f>IF($B474="","",IF(ROUND($H474,0)&gt;0,"● بستانکار",IF(ROUND($H474,0)&lt;0,"● بدهکار","تسویه")))</f>
        <v/>
      </c>
    </row>
    <row r="475">
      <c r="A475" s="26">
        <f>IF($B475="","",466)</f>
        <v/>
      </c>
      <c r="B475" s="33">
        <f>IF(466&gt;NBskParty,"",INDEX(PkBskParty,466))</f>
        <v/>
      </c>
      <c r="C475" s="30">
        <f>IF($B475="","",IFERROR(IF(VLOOKUP($B475,AcctTbl,4,0)="","(بدون نام)",VLOOKUP($B475,AcctTbl,4,0)),"—"))</f>
        <v/>
      </c>
      <c r="D475" s="28">
        <f>IF($B475="","",SUMIF(CalcPartyA,$B475,CalcQtyA))</f>
        <v/>
      </c>
      <c r="E475" s="28">
        <f>IF($B475="","",SUMIF(CalcPartyA,$B475,CalcAmtA))</f>
        <v/>
      </c>
      <c r="F475" s="28">
        <f>IF($B475="","",SUMIF(CalcPartyB,$B475,CalcWitB))</f>
        <v/>
      </c>
      <c r="G475" s="28">
        <f>IF($B475="","",SUMIF(CalcPartyB,$B475,CalcDepB))</f>
        <v/>
      </c>
      <c r="H475" s="29">
        <f>IF($B475="","",$E475-$F475+$G475)</f>
        <v/>
      </c>
      <c r="I475" s="27">
        <f>IF($B475="","",IF(ROUND($H475,0)&gt;0,"● بستانکار",IF(ROUND($H475,0)&lt;0,"● بدهکار","تسویه")))</f>
        <v/>
      </c>
    </row>
    <row r="476">
      <c r="A476" s="21">
        <f>IF($B476="","",467)</f>
        <v/>
      </c>
      <c r="B476" s="32">
        <f>IF(467&gt;NBskParty,"",INDEX(PkBskParty,467))</f>
        <v/>
      </c>
      <c r="C476" s="25">
        <f>IF($B476="","",IFERROR(IF(VLOOKUP($B476,AcctTbl,4,0)="","(بدون نام)",VLOOKUP($B476,AcctTbl,4,0)),"—"))</f>
        <v/>
      </c>
      <c r="D476" s="23">
        <f>IF($B476="","",SUMIF(CalcPartyA,$B476,CalcQtyA))</f>
        <v/>
      </c>
      <c r="E476" s="23">
        <f>IF($B476="","",SUMIF(CalcPartyA,$B476,CalcAmtA))</f>
        <v/>
      </c>
      <c r="F476" s="23">
        <f>IF($B476="","",SUMIF(CalcPartyB,$B476,CalcWitB))</f>
        <v/>
      </c>
      <c r="G476" s="23">
        <f>IF($B476="","",SUMIF(CalcPartyB,$B476,CalcDepB))</f>
        <v/>
      </c>
      <c r="H476" s="24">
        <f>IF($B476="","",$E476-$F476+$G476)</f>
        <v/>
      </c>
      <c r="I476" s="22">
        <f>IF($B476="","",IF(ROUND($H476,0)&gt;0,"● بستانکار",IF(ROUND($H476,0)&lt;0,"● بدهکار","تسویه")))</f>
        <v/>
      </c>
    </row>
    <row r="477">
      <c r="A477" s="26">
        <f>IF($B477="","",468)</f>
        <v/>
      </c>
      <c r="B477" s="33">
        <f>IF(468&gt;NBskParty,"",INDEX(PkBskParty,468))</f>
        <v/>
      </c>
      <c r="C477" s="30">
        <f>IF($B477="","",IFERROR(IF(VLOOKUP($B477,AcctTbl,4,0)="","(بدون نام)",VLOOKUP($B477,AcctTbl,4,0)),"—"))</f>
        <v/>
      </c>
      <c r="D477" s="28">
        <f>IF($B477="","",SUMIF(CalcPartyA,$B477,CalcQtyA))</f>
        <v/>
      </c>
      <c r="E477" s="28">
        <f>IF($B477="","",SUMIF(CalcPartyA,$B477,CalcAmtA))</f>
        <v/>
      </c>
      <c r="F477" s="28">
        <f>IF($B477="","",SUMIF(CalcPartyB,$B477,CalcWitB))</f>
        <v/>
      </c>
      <c r="G477" s="28">
        <f>IF($B477="","",SUMIF(CalcPartyB,$B477,CalcDepB))</f>
        <v/>
      </c>
      <c r="H477" s="29">
        <f>IF($B477="","",$E477-$F477+$G477)</f>
        <v/>
      </c>
      <c r="I477" s="27">
        <f>IF($B477="","",IF(ROUND($H477,0)&gt;0,"● بستانکار",IF(ROUND($H477,0)&lt;0,"● بدهکار","تسویه")))</f>
        <v/>
      </c>
    </row>
    <row r="478">
      <c r="A478" s="21">
        <f>IF($B478="","",469)</f>
        <v/>
      </c>
      <c r="B478" s="32">
        <f>IF(469&gt;NBskParty,"",INDEX(PkBskParty,469))</f>
        <v/>
      </c>
      <c r="C478" s="25">
        <f>IF($B478="","",IFERROR(IF(VLOOKUP($B478,AcctTbl,4,0)="","(بدون نام)",VLOOKUP($B478,AcctTbl,4,0)),"—"))</f>
        <v/>
      </c>
      <c r="D478" s="23">
        <f>IF($B478="","",SUMIF(CalcPartyA,$B478,CalcQtyA))</f>
        <v/>
      </c>
      <c r="E478" s="23">
        <f>IF($B478="","",SUMIF(CalcPartyA,$B478,CalcAmtA))</f>
        <v/>
      </c>
      <c r="F478" s="23">
        <f>IF($B478="","",SUMIF(CalcPartyB,$B478,CalcWitB))</f>
        <v/>
      </c>
      <c r="G478" s="23">
        <f>IF($B478="","",SUMIF(CalcPartyB,$B478,CalcDepB))</f>
        <v/>
      </c>
      <c r="H478" s="24">
        <f>IF($B478="","",$E478-$F478+$G478)</f>
        <v/>
      </c>
      <c r="I478" s="22">
        <f>IF($B478="","",IF(ROUND($H478,0)&gt;0,"● بستانکار",IF(ROUND($H478,0)&lt;0,"● بدهکار","تسویه")))</f>
        <v/>
      </c>
    </row>
    <row r="479">
      <c r="A479" s="26">
        <f>IF($B479="","",470)</f>
        <v/>
      </c>
      <c r="B479" s="33">
        <f>IF(470&gt;NBskParty,"",INDEX(PkBskParty,470))</f>
        <v/>
      </c>
      <c r="C479" s="30">
        <f>IF($B479="","",IFERROR(IF(VLOOKUP($B479,AcctTbl,4,0)="","(بدون نام)",VLOOKUP($B479,AcctTbl,4,0)),"—"))</f>
        <v/>
      </c>
      <c r="D479" s="28">
        <f>IF($B479="","",SUMIF(CalcPartyA,$B479,CalcQtyA))</f>
        <v/>
      </c>
      <c r="E479" s="28">
        <f>IF($B479="","",SUMIF(CalcPartyA,$B479,CalcAmtA))</f>
        <v/>
      </c>
      <c r="F479" s="28">
        <f>IF($B479="","",SUMIF(CalcPartyB,$B479,CalcWitB))</f>
        <v/>
      </c>
      <c r="G479" s="28">
        <f>IF($B479="","",SUMIF(CalcPartyB,$B479,CalcDepB))</f>
        <v/>
      </c>
      <c r="H479" s="29">
        <f>IF($B479="","",$E479-$F479+$G479)</f>
        <v/>
      </c>
      <c r="I479" s="27">
        <f>IF($B479="","",IF(ROUND($H479,0)&gt;0,"● بستانکار",IF(ROUND($H479,0)&lt;0,"● بدهکار","تسویه")))</f>
        <v/>
      </c>
    </row>
    <row r="480">
      <c r="A480" s="21">
        <f>IF($B480="","",471)</f>
        <v/>
      </c>
      <c r="B480" s="32">
        <f>IF(471&gt;NBskParty,"",INDEX(PkBskParty,471))</f>
        <v/>
      </c>
      <c r="C480" s="25">
        <f>IF($B480="","",IFERROR(IF(VLOOKUP($B480,AcctTbl,4,0)="","(بدون نام)",VLOOKUP($B480,AcctTbl,4,0)),"—"))</f>
        <v/>
      </c>
      <c r="D480" s="23">
        <f>IF($B480="","",SUMIF(CalcPartyA,$B480,CalcQtyA))</f>
        <v/>
      </c>
      <c r="E480" s="23">
        <f>IF($B480="","",SUMIF(CalcPartyA,$B480,CalcAmtA))</f>
        <v/>
      </c>
      <c r="F480" s="23">
        <f>IF($B480="","",SUMIF(CalcPartyB,$B480,CalcWitB))</f>
        <v/>
      </c>
      <c r="G480" s="23">
        <f>IF($B480="","",SUMIF(CalcPartyB,$B480,CalcDepB))</f>
        <v/>
      </c>
      <c r="H480" s="24">
        <f>IF($B480="","",$E480-$F480+$G480)</f>
        <v/>
      </c>
      <c r="I480" s="22">
        <f>IF($B480="","",IF(ROUND($H480,0)&gt;0,"● بستانکار",IF(ROUND($H480,0)&lt;0,"● بدهکار","تسویه")))</f>
        <v/>
      </c>
    </row>
    <row r="481">
      <c r="A481" s="26">
        <f>IF($B481="","",472)</f>
        <v/>
      </c>
      <c r="B481" s="33">
        <f>IF(472&gt;NBskParty,"",INDEX(PkBskParty,472))</f>
        <v/>
      </c>
      <c r="C481" s="30">
        <f>IF($B481="","",IFERROR(IF(VLOOKUP($B481,AcctTbl,4,0)="","(بدون نام)",VLOOKUP($B481,AcctTbl,4,0)),"—"))</f>
        <v/>
      </c>
      <c r="D481" s="28">
        <f>IF($B481="","",SUMIF(CalcPartyA,$B481,CalcQtyA))</f>
        <v/>
      </c>
      <c r="E481" s="28">
        <f>IF($B481="","",SUMIF(CalcPartyA,$B481,CalcAmtA))</f>
        <v/>
      </c>
      <c r="F481" s="28">
        <f>IF($B481="","",SUMIF(CalcPartyB,$B481,CalcWitB))</f>
        <v/>
      </c>
      <c r="G481" s="28">
        <f>IF($B481="","",SUMIF(CalcPartyB,$B481,CalcDepB))</f>
        <v/>
      </c>
      <c r="H481" s="29">
        <f>IF($B481="","",$E481-$F481+$G481)</f>
        <v/>
      </c>
      <c r="I481" s="27">
        <f>IF($B481="","",IF(ROUND($H481,0)&gt;0,"● بستانکار",IF(ROUND($H481,0)&lt;0,"● بدهکار","تسویه")))</f>
        <v/>
      </c>
    </row>
    <row r="482">
      <c r="A482" s="21">
        <f>IF($B482="","",473)</f>
        <v/>
      </c>
      <c r="B482" s="32">
        <f>IF(473&gt;NBskParty,"",INDEX(PkBskParty,473))</f>
        <v/>
      </c>
      <c r="C482" s="25">
        <f>IF($B482="","",IFERROR(IF(VLOOKUP($B482,AcctTbl,4,0)="","(بدون نام)",VLOOKUP($B482,AcctTbl,4,0)),"—"))</f>
        <v/>
      </c>
      <c r="D482" s="23">
        <f>IF($B482="","",SUMIF(CalcPartyA,$B482,CalcQtyA))</f>
        <v/>
      </c>
      <c r="E482" s="23">
        <f>IF($B482="","",SUMIF(CalcPartyA,$B482,CalcAmtA))</f>
        <v/>
      </c>
      <c r="F482" s="23">
        <f>IF($B482="","",SUMIF(CalcPartyB,$B482,CalcWitB))</f>
        <v/>
      </c>
      <c r="G482" s="23">
        <f>IF($B482="","",SUMIF(CalcPartyB,$B482,CalcDepB))</f>
        <v/>
      </c>
      <c r="H482" s="24">
        <f>IF($B482="","",$E482-$F482+$G482)</f>
        <v/>
      </c>
      <c r="I482" s="22">
        <f>IF($B482="","",IF(ROUND($H482,0)&gt;0,"● بستانکار",IF(ROUND($H482,0)&lt;0,"● بدهکار","تسویه")))</f>
        <v/>
      </c>
    </row>
    <row r="483">
      <c r="A483" s="26">
        <f>IF($B483="","",474)</f>
        <v/>
      </c>
      <c r="B483" s="33">
        <f>IF(474&gt;NBskParty,"",INDEX(PkBskParty,474))</f>
        <v/>
      </c>
      <c r="C483" s="30">
        <f>IF($B483="","",IFERROR(IF(VLOOKUP($B483,AcctTbl,4,0)="","(بدون نام)",VLOOKUP($B483,AcctTbl,4,0)),"—"))</f>
        <v/>
      </c>
      <c r="D483" s="28">
        <f>IF($B483="","",SUMIF(CalcPartyA,$B483,CalcQtyA))</f>
        <v/>
      </c>
      <c r="E483" s="28">
        <f>IF($B483="","",SUMIF(CalcPartyA,$B483,CalcAmtA))</f>
        <v/>
      </c>
      <c r="F483" s="28">
        <f>IF($B483="","",SUMIF(CalcPartyB,$B483,CalcWitB))</f>
        <v/>
      </c>
      <c r="G483" s="28">
        <f>IF($B483="","",SUMIF(CalcPartyB,$B483,CalcDepB))</f>
        <v/>
      </c>
      <c r="H483" s="29">
        <f>IF($B483="","",$E483-$F483+$G483)</f>
        <v/>
      </c>
      <c r="I483" s="27">
        <f>IF($B483="","",IF(ROUND($H483,0)&gt;0,"● بستانکار",IF(ROUND($H483,0)&lt;0,"● بدهکار","تسویه")))</f>
        <v/>
      </c>
    </row>
    <row r="484">
      <c r="A484" s="21">
        <f>IF($B484="","",475)</f>
        <v/>
      </c>
      <c r="B484" s="32">
        <f>IF(475&gt;NBskParty,"",INDEX(PkBskParty,475))</f>
        <v/>
      </c>
      <c r="C484" s="25">
        <f>IF($B484="","",IFERROR(IF(VLOOKUP($B484,AcctTbl,4,0)="","(بدون نام)",VLOOKUP($B484,AcctTbl,4,0)),"—"))</f>
        <v/>
      </c>
      <c r="D484" s="23">
        <f>IF($B484="","",SUMIF(CalcPartyA,$B484,CalcQtyA))</f>
        <v/>
      </c>
      <c r="E484" s="23">
        <f>IF($B484="","",SUMIF(CalcPartyA,$B484,CalcAmtA))</f>
        <v/>
      </c>
      <c r="F484" s="23">
        <f>IF($B484="","",SUMIF(CalcPartyB,$B484,CalcWitB))</f>
        <v/>
      </c>
      <c r="G484" s="23">
        <f>IF($B484="","",SUMIF(CalcPartyB,$B484,CalcDepB))</f>
        <v/>
      </c>
      <c r="H484" s="24">
        <f>IF($B484="","",$E484-$F484+$G484)</f>
        <v/>
      </c>
      <c r="I484" s="22">
        <f>IF($B484="","",IF(ROUND($H484,0)&gt;0,"● بستانکار",IF(ROUND($H484,0)&lt;0,"● بدهکار","تسویه")))</f>
        <v/>
      </c>
    </row>
    <row r="485">
      <c r="A485" s="26">
        <f>IF($B485="","",476)</f>
        <v/>
      </c>
      <c r="B485" s="33">
        <f>IF(476&gt;NBskParty,"",INDEX(PkBskParty,476))</f>
        <v/>
      </c>
      <c r="C485" s="30">
        <f>IF($B485="","",IFERROR(IF(VLOOKUP($B485,AcctTbl,4,0)="","(بدون نام)",VLOOKUP($B485,AcctTbl,4,0)),"—"))</f>
        <v/>
      </c>
      <c r="D485" s="28">
        <f>IF($B485="","",SUMIF(CalcPartyA,$B485,CalcQtyA))</f>
        <v/>
      </c>
      <c r="E485" s="28">
        <f>IF($B485="","",SUMIF(CalcPartyA,$B485,CalcAmtA))</f>
        <v/>
      </c>
      <c r="F485" s="28">
        <f>IF($B485="","",SUMIF(CalcPartyB,$B485,CalcWitB))</f>
        <v/>
      </c>
      <c r="G485" s="28">
        <f>IF($B485="","",SUMIF(CalcPartyB,$B485,CalcDepB))</f>
        <v/>
      </c>
      <c r="H485" s="29">
        <f>IF($B485="","",$E485-$F485+$G485)</f>
        <v/>
      </c>
      <c r="I485" s="27">
        <f>IF($B485="","",IF(ROUND($H485,0)&gt;0,"● بستانکار",IF(ROUND($H485,0)&lt;0,"● بدهکار","تسویه")))</f>
        <v/>
      </c>
    </row>
    <row r="486">
      <c r="A486" s="21">
        <f>IF($B486="","",477)</f>
        <v/>
      </c>
      <c r="B486" s="32">
        <f>IF(477&gt;NBskParty,"",INDEX(PkBskParty,477))</f>
        <v/>
      </c>
      <c r="C486" s="25">
        <f>IF($B486="","",IFERROR(IF(VLOOKUP($B486,AcctTbl,4,0)="","(بدون نام)",VLOOKUP($B486,AcctTbl,4,0)),"—"))</f>
        <v/>
      </c>
      <c r="D486" s="23">
        <f>IF($B486="","",SUMIF(CalcPartyA,$B486,CalcQtyA))</f>
        <v/>
      </c>
      <c r="E486" s="23">
        <f>IF($B486="","",SUMIF(CalcPartyA,$B486,CalcAmtA))</f>
        <v/>
      </c>
      <c r="F486" s="23">
        <f>IF($B486="","",SUMIF(CalcPartyB,$B486,CalcWitB))</f>
        <v/>
      </c>
      <c r="G486" s="23">
        <f>IF($B486="","",SUMIF(CalcPartyB,$B486,CalcDepB))</f>
        <v/>
      </c>
      <c r="H486" s="24">
        <f>IF($B486="","",$E486-$F486+$G486)</f>
        <v/>
      </c>
      <c r="I486" s="22">
        <f>IF($B486="","",IF(ROUND($H486,0)&gt;0,"● بستانکار",IF(ROUND($H486,0)&lt;0,"● بدهکار","تسویه")))</f>
        <v/>
      </c>
    </row>
    <row r="487">
      <c r="A487" s="26">
        <f>IF($B487="","",478)</f>
        <v/>
      </c>
      <c r="B487" s="33">
        <f>IF(478&gt;NBskParty,"",INDEX(PkBskParty,478))</f>
        <v/>
      </c>
      <c r="C487" s="30">
        <f>IF($B487="","",IFERROR(IF(VLOOKUP($B487,AcctTbl,4,0)="","(بدون نام)",VLOOKUP($B487,AcctTbl,4,0)),"—"))</f>
        <v/>
      </c>
      <c r="D487" s="28">
        <f>IF($B487="","",SUMIF(CalcPartyA,$B487,CalcQtyA))</f>
        <v/>
      </c>
      <c r="E487" s="28">
        <f>IF($B487="","",SUMIF(CalcPartyA,$B487,CalcAmtA))</f>
        <v/>
      </c>
      <c r="F487" s="28">
        <f>IF($B487="","",SUMIF(CalcPartyB,$B487,CalcWitB))</f>
        <v/>
      </c>
      <c r="G487" s="28">
        <f>IF($B487="","",SUMIF(CalcPartyB,$B487,CalcDepB))</f>
        <v/>
      </c>
      <c r="H487" s="29">
        <f>IF($B487="","",$E487-$F487+$G487)</f>
        <v/>
      </c>
      <c r="I487" s="27">
        <f>IF($B487="","",IF(ROUND($H487,0)&gt;0,"● بستانکار",IF(ROUND($H487,0)&lt;0,"● بدهکار","تسویه")))</f>
        <v/>
      </c>
    </row>
    <row r="488">
      <c r="A488" s="21">
        <f>IF($B488="","",479)</f>
        <v/>
      </c>
      <c r="B488" s="32">
        <f>IF(479&gt;NBskParty,"",INDEX(PkBskParty,479))</f>
        <v/>
      </c>
      <c r="C488" s="25">
        <f>IF($B488="","",IFERROR(IF(VLOOKUP($B488,AcctTbl,4,0)="","(بدون نام)",VLOOKUP($B488,AcctTbl,4,0)),"—"))</f>
        <v/>
      </c>
      <c r="D488" s="23">
        <f>IF($B488="","",SUMIF(CalcPartyA,$B488,CalcQtyA))</f>
        <v/>
      </c>
      <c r="E488" s="23">
        <f>IF($B488="","",SUMIF(CalcPartyA,$B488,CalcAmtA))</f>
        <v/>
      </c>
      <c r="F488" s="23">
        <f>IF($B488="","",SUMIF(CalcPartyB,$B488,CalcWitB))</f>
        <v/>
      </c>
      <c r="G488" s="23">
        <f>IF($B488="","",SUMIF(CalcPartyB,$B488,CalcDepB))</f>
        <v/>
      </c>
      <c r="H488" s="24">
        <f>IF($B488="","",$E488-$F488+$G488)</f>
        <v/>
      </c>
      <c r="I488" s="22">
        <f>IF($B488="","",IF(ROUND($H488,0)&gt;0,"● بستانکار",IF(ROUND($H488,0)&lt;0,"● بدهکار","تسویه")))</f>
        <v/>
      </c>
    </row>
    <row r="489">
      <c r="A489" s="26">
        <f>IF($B489="","",480)</f>
        <v/>
      </c>
      <c r="B489" s="33">
        <f>IF(480&gt;NBskParty,"",INDEX(PkBskParty,480))</f>
        <v/>
      </c>
      <c r="C489" s="30">
        <f>IF($B489="","",IFERROR(IF(VLOOKUP($B489,AcctTbl,4,0)="","(بدون نام)",VLOOKUP($B489,AcctTbl,4,0)),"—"))</f>
        <v/>
      </c>
      <c r="D489" s="28">
        <f>IF($B489="","",SUMIF(CalcPartyA,$B489,CalcQtyA))</f>
        <v/>
      </c>
      <c r="E489" s="28">
        <f>IF($B489="","",SUMIF(CalcPartyA,$B489,CalcAmtA))</f>
        <v/>
      </c>
      <c r="F489" s="28">
        <f>IF($B489="","",SUMIF(CalcPartyB,$B489,CalcWitB))</f>
        <v/>
      </c>
      <c r="G489" s="28">
        <f>IF($B489="","",SUMIF(CalcPartyB,$B489,CalcDepB))</f>
        <v/>
      </c>
      <c r="H489" s="29">
        <f>IF($B489="","",$E489-$F489+$G489)</f>
        <v/>
      </c>
      <c r="I489" s="27">
        <f>IF($B489="","",IF(ROUND($H489,0)&gt;0,"● بستانکار",IF(ROUND($H489,0)&lt;0,"● بدهکار","تسویه")))</f>
        <v/>
      </c>
    </row>
    <row r="490">
      <c r="A490" s="21">
        <f>IF($B490="","",481)</f>
        <v/>
      </c>
      <c r="B490" s="32">
        <f>IF(481&gt;NBskParty,"",INDEX(PkBskParty,481))</f>
        <v/>
      </c>
      <c r="C490" s="25">
        <f>IF($B490="","",IFERROR(IF(VLOOKUP($B490,AcctTbl,4,0)="","(بدون نام)",VLOOKUP($B490,AcctTbl,4,0)),"—"))</f>
        <v/>
      </c>
      <c r="D490" s="23">
        <f>IF($B490="","",SUMIF(CalcPartyA,$B490,CalcQtyA))</f>
        <v/>
      </c>
      <c r="E490" s="23">
        <f>IF($B490="","",SUMIF(CalcPartyA,$B490,CalcAmtA))</f>
        <v/>
      </c>
      <c r="F490" s="23">
        <f>IF($B490="","",SUMIF(CalcPartyB,$B490,CalcWitB))</f>
        <v/>
      </c>
      <c r="G490" s="23">
        <f>IF($B490="","",SUMIF(CalcPartyB,$B490,CalcDepB))</f>
        <v/>
      </c>
      <c r="H490" s="24">
        <f>IF($B490="","",$E490-$F490+$G490)</f>
        <v/>
      </c>
      <c r="I490" s="22">
        <f>IF($B490="","",IF(ROUND($H490,0)&gt;0,"● بستانکار",IF(ROUND($H490,0)&lt;0,"● بدهکار","تسویه")))</f>
        <v/>
      </c>
    </row>
    <row r="491">
      <c r="A491" s="26">
        <f>IF($B491="","",482)</f>
        <v/>
      </c>
      <c r="B491" s="33">
        <f>IF(482&gt;NBskParty,"",INDEX(PkBskParty,482))</f>
        <v/>
      </c>
      <c r="C491" s="30">
        <f>IF($B491="","",IFERROR(IF(VLOOKUP($B491,AcctTbl,4,0)="","(بدون نام)",VLOOKUP($B491,AcctTbl,4,0)),"—"))</f>
        <v/>
      </c>
      <c r="D491" s="28">
        <f>IF($B491="","",SUMIF(CalcPartyA,$B491,CalcQtyA))</f>
        <v/>
      </c>
      <c r="E491" s="28">
        <f>IF($B491="","",SUMIF(CalcPartyA,$B491,CalcAmtA))</f>
        <v/>
      </c>
      <c r="F491" s="28">
        <f>IF($B491="","",SUMIF(CalcPartyB,$B491,CalcWitB))</f>
        <v/>
      </c>
      <c r="G491" s="28">
        <f>IF($B491="","",SUMIF(CalcPartyB,$B491,CalcDepB))</f>
        <v/>
      </c>
      <c r="H491" s="29">
        <f>IF($B491="","",$E491-$F491+$G491)</f>
        <v/>
      </c>
      <c r="I491" s="27">
        <f>IF($B491="","",IF(ROUND($H491,0)&gt;0,"● بستانکار",IF(ROUND($H491,0)&lt;0,"● بدهکار","تسویه")))</f>
        <v/>
      </c>
    </row>
    <row r="492">
      <c r="A492" s="21">
        <f>IF($B492="","",483)</f>
        <v/>
      </c>
      <c r="B492" s="32">
        <f>IF(483&gt;NBskParty,"",INDEX(PkBskParty,483))</f>
        <v/>
      </c>
      <c r="C492" s="25">
        <f>IF($B492="","",IFERROR(IF(VLOOKUP($B492,AcctTbl,4,0)="","(بدون نام)",VLOOKUP($B492,AcctTbl,4,0)),"—"))</f>
        <v/>
      </c>
      <c r="D492" s="23">
        <f>IF($B492="","",SUMIF(CalcPartyA,$B492,CalcQtyA))</f>
        <v/>
      </c>
      <c r="E492" s="23">
        <f>IF($B492="","",SUMIF(CalcPartyA,$B492,CalcAmtA))</f>
        <v/>
      </c>
      <c r="F492" s="23">
        <f>IF($B492="","",SUMIF(CalcPartyB,$B492,CalcWitB))</f>
        <v/>
      </c>
      <c r="G492" s="23">
        <f>IF($B492="","",SUMIF(CalcPartyB,$B492,CalcDepB))</f>
        <v/>
      </c>
      <c r="H492" s="24">
        <f>IF($B492="","",$E492-$F492+$G492)</f>
        <v/>
      </c>
      <c r="I492" s="22">
        <f>IF($B492="","",IF(ROUND($H492,0)&gt;0,"● بستانکار",IF(ROUND($H492,0)&lt;0,"● بدهکار","تسویه")))</f>
        <v/>
      </c>
    </row>
    <row r="493">
      <c r="A493" s="26">
        <f>IF($B493="","",484)</f>
        <v/>
      </c>
      <c r="B493" s="33">
        <f>IF(484&gt;NBskParty,"",INDEX(PkBskParty,484))</f>
        <v/>
      </c>
      <c r="C493" s="30">
        <f>IF($B493="","",IFERROR(IF(VLOOKUP($B493,AcctTbl,4,0)="","(بدون نام)",VLOOKUP($B493,AcctTbl,4,0)),"—"))</f>
        <v/>
      </c>
      <c r="D493" s="28">
        <f>IF($B493="","",SUMIF(CalcPartyA,$B493,CalcQtyA))</f>
        <v/>
      </c>
      <c r="E493" s="28">
        <f>IF($B493="","",SUMIF(CalcPartyA,$B493,CalcAmtA))</f>
        <v/>
      </c>
      <c r="F493" s="28">
        <f>IF($B493="","",SUMIF(CalcPartyB,$B493,CalcWitB))</f>
        <v/>
      </c>
      <c r="G493" s="28">
        <f>IF($B493="","",SUMIF(CalcPartyB,$B493,CalcDepB))</f>
        <v/>
      </c>
      <c r="H493" s="29">
        <f>IF($B493="","",$E493-$F493+$G493)</f>
        <v/>
      </c>
      <c r="I493" s="27">
        <f>IF($B493="","",IF(ROUND($H493,0)&gt;0,"● بستانکار",IF(ROUND($H493,0)&lt;0,"● بدهکار","تسویه")))</f>
        <v/>
      </c>
    </row>
    <row r="494">
      <c r="A494" s="21">
        <f>IF($B494="","",485)</f>
        <v/>
      </c>
      <c r="B494" s="32">
        <f>IF(485&gt;NBskParty,"",INDEX(PkBskParty,485))</f>
        <v/>
      </c>
      <c r="C494" s="25">
        <f>IF($B494="","",IFERROR(IF(VLOOKUP($B494,AcctTbl,4,0)="","(بدون نام)",VLOOKUP($B494,AcctTbl,4,0)),"—"))</f>
        <v/>
      </c>
      <c r="D494" s="23">
        <f>IF($B494="","",SUMIF(CalcPartyA,$B494,CalcQtyA))</f>
        <v/>
      </c>
      <c r="E494" s="23">
        <f>IF($B494="","",SUMIF(CalcPartyA,$B494,CalcAmtA))</f>
        <v/>
      </c>
      <c r="F494" s="23">
        <f>IF($B494="","",SUMIF(CalcPartyB,$B494,CalcWitB))</f>
        <v/>
      </c>
      <c r="G494" s="23">
        <f>IF($B494="","",SUMIF(CalcPartyB,$B494,CalcDepB))</f>
        <v/>
      </c>
      <c r="H494" s="24">
        <f>IF($B494="","",$E494-$F494+$G494)</f>
        <v/>
      </c>
      <c r="I494" s="22">
        <f>IF($B494="","",IF(ROUND($H494,0)&gt;0,"● بستانکار",IF(ROUND($H494,0)&lt;0,"● بدهکار","تسویه")))</f>
        <v/>
      </c>
    </row>
    <row r="495">
      <c r="A495" s="26">
        <f>IF($B495="","",486)</f>
        <v/>
      </c>
      <c r="B495" s="33">
        <f>IF(486&gt;NBskParty,"",INDEX(PkBskParty,486))</f>
        <v/>
      </c>
      <c r="C495" s="30">
        <f>IF($B495="","",IFERROR(IF(VLOOKUP($B495,AcctTbl,4,0)="","(بدون نام)",VLOOKUP($B495,AcctTbl,4,0)),"—"))</f>
        <v/>
      </c>
      <c r="D495" s="28">
        <f>IF($B495="","",SUMIF(CalcPartyA,$B495,CalcQtyA))</f>
        <v/>
      </c>
      <c r="E495" s="28">
        <f>IF($B495="","",SUMIF(CalcPartyA,$B495,CalcAmtA))</f>
        <v/>
      </c>
      <c r="F495" s="28">
        <f>IF($B495="","",SUMIF(CalcPartyB,$B495,CalcWitB))</f>
        <v/>
      </c>
      <c r="G495" s="28">
        <f>IF($B495="","",SUMIF(CalcPartyB,$B495,CalcDepB))</f>
        <v/>
      </c>
      <c r="H495" s="29">
        <f>IF($B495="","",$E495-$F495+$G495)</f>
        <v/>
      </c>
      <c r="I495" s="27">
        <f>IF($B495="","",IF(ROUND($H495,0)&gt;0,"● بستانکار",IF(ROUND($H495,0)&lt;0,"● بدهکار","تسویه")))</f>
        <v/>
      </c>
    </row>
    <row r="496">
      <c r="A496" s="21">
        <f>IF($B496="","",487)</f>
        <v/>
      </c>
      <c r="B496" s="32">
        <f>IF(487&gt;NBskParty,"",INDEX(PkBskParty,487))</f>
        <v/>
      </c>
      <c r="C496" s="25">
        <f>IF($B496="","",IFERROR(IF(VLOOKUP($B496,AcctTbl,4,0)="","(بدون نام)",VLOOKUP($B496,AcctTbl,4,0)),"—"))</f>
        <v/>
      </c>
      <c r="D496" s="23">
        <f>IF($B496="","",SUMIF(CalcPartyA,$B496,CalcQtyA))</f>
        <v/>
      </c>
      <c r="E496" s="23">
        <f>IF($B496="","",SUMIF(CalcPartyA,$B496,CalcAmtA))</f>
        <v/>
      </c>
      <c r="F496" s="23">
        <f>IF($B496="","",SUMIF(CalcPartyB,$B496,CalcWitB))</f>
        <v/>
      </c>
      <c r="G496" s="23">
        <f>IF($B496="","",SUMIF(CalcPartyB,$B496,CalcDepB))</f>
        <v/>
      </c>
      <c r="H496" s="24">
        <f>IF($B496="","",$E496-$F496+$G496)</f>
        <v/>
      </c>
      <c r="I496" s="22">
        <f>IF($B496="","",IF(ROUND($H496,0)&gt;0,"● بستانکار",IF(ROUND($H496,0)&lt;0,"● بدهکار","تسویه")))</f>
        <v/>
      </c>
    </row>
    <row r="497">
      <c r="A497" s="26">
        <f>IF($B497="","",488)</f>
        <v/>
      </c>
      <c r="B497" s="33">
        <f>IF(488&gt;NBskParty,"",INDEX(PkBskParty,488))</f>
        <v/>
      </c>
      <c r="C497" s="30">
        <f>IF($B497="","",IFERROR(IF(VLOOKUP($B497,AcctTbl,4,0)="","(بدون نام)",VLOOKUP($B497,AcctTbl,4,0)),"—"))</f>
        <v/>
      </c>
      <c r="D497" s="28">
        <f>IF($B497="","",SUMIF(CalcPartyA,$B497,CalcQtyA))</f>
        <v/>
      </c>
      <c r="E497" s="28">
        <f>IF($B497="","",SUMIF(CalcPartyA,$B497,CalcAmtA))</f>
        <v/>
      </c>
      <c r="F497" s="28">
        <f>IF($B497="","",SUMIF(CalcPartyB,$B497,CalcWitB))</f>
        <v/>
      </c>
      <c r="G497" s="28">
        <f>IF($B497="","",SUMIF(CalcPartyB,$B497,CalcDepB))</f>
        <v/>
      </c>
      <c r="H497" s="29">
        <f>IF($B497="","",$E497-$F497+$G497)</f>
        <v/>
      </c>
      <c r="I497" s="27">
        <f>IF($B497="","",IF(ROUND($H497,0)&gt;0,"● بستانکار",IF(ROUND($H497,0)&lt;0,"● بدهکار","تسویه")))</f>
        <v/>
      </c>
    </row>
    <row r="498">
      <c r="A498" s="21">
        <f>IF($B498="","",489)</f>
        <v/>
      </c>
      <c r="B498" s="32">
        <f>IF(489&gt;NBskParty,"",INDEX(PkBskParty,489))</f>
        <v/>
      </c>
      <c r="C498" s="25">
        <f>IF($B498="","",IFERROR(IF(VLOOKUP($B498,AcctTbl,4,0)="","(بدون نام)",VLOOKUP($B498,AcctTbl,4,0)),"—"))</f>
        <v/>
      </c>
      <c r="D498" s="23">
        <f>IF($B498="","",SUMIF(CalcPartyA,$B498,CalcQtyA))</f>
        <v/>
      </c>
      <c r="E498" s="23">
        <f>IF($B498="","",SUMIF(CalcPartyA,$B498,CalcAmtA))</f>
        <v/>
      </c>
      <c r="F498" s="23">
        <f>IF($B498="","",SUMIF(CalcPartyB,$B498,CalcWitB))</f>
        <v/>
      </c>
      <c r="G498" s="23">
        <f>IF($B498="","",SUMIF(CalcPartyB,$B498,CalcDepB))</f>
        <v/>
      </c>
      <c r="H498" s="24">
        <f>IF($B498="","",$E498-$F498+$G498)</f>
        <v/>
      </c>
      <c r="I498" s="22">
        <f>IF($B498="","",IF(ROUND($H498,0)&gt;0,"● بستانکار",IF(ROUND($H498,0)&lt;0,"● بدهکار","تسویه")))</f>
        <v/>
      </c>
    </row>
    <row r="499">
      <c r="A499" s="26">
        <f>IF($B499="","",490)</f>
        <v/>
      </c>
      <c r="B499" s="33">
        <f>IF(490&gt;NBskParty,"",INDEX(PkBskParty,490))</f>
        <v/>
      </c>
      <c r="C499" s="30">
        <f>IF($B499="","",IFERROR(IF(VLOOKUP($B499,AcctTbl,4,0)="","(بدون نام)",VLOOKUP($B499,AcctTbl,4,0)),"—"))</f>
        <v/>
      </c>
      <c r="D499" s="28">
        <f>IF($B499="","",SUMIF(CalcPartyA,$B499,CalcQtyA))</f>
        <v/>
      </c>
      <c r="E499" s="28">
        <f>IF($B499="","",SUMIF(CalcPartyA,$B499,CalcAmtA))</f>
        <v/>
      </c>
      <c r="F499" s="28">
        <f>IF($B499="","",SUMIF(CalcPartyB,$B499,CalcWitB))</f>
        <v/>
      </c>
      <c r="G499" s="28">
        <f>IF($B499="","",SUMIF(CalcPartyB,$B499,CalcDepB))</f>
        <v/>
      </c>
      <c r="H499" s="29">
        <f>IF($B499="","",$E499-$F499+$G499)</f>
        <v/>
      </c>
      <c r="I499" s="27">
        <f>IF($B499="","",IF(ROUND($H499,0)&gt;0,"● بستانکار",IF(ROUND($H499,0)&lt;0,"● بدهکار","تسویه")))</f>
        <v/>
      </c>
    </row>
    <row r="500">
      <c r="A500" s="21">
        <f>IF($B500="","",491)</f>
        <v/>
      </c>
      <c r="B500" s="32">
        <f>IF(491&gt;NBskParty,"",INDEX(PkBskParty,491))</f>
        <v/>
      </c>
      <c r="C500" s="25">
        <f>IF($B500="","",IFERROR(IF(VLOOKUP($B500,AcctTbl,4,0)="","(بدون نام)",VLOOKUP($B500,AcctTbl,4,0)),"—"))</f>
        <v/>
      </c>
      <c r="D500" s="23">
        <f>IF($B500="","",SUMIF(CalcPartyA,$B500,CalcQtyA))</f>
        <v/>
      </c>
      <c r="E500" s="23">
        <f>IF($B500="","",SUMIF(CalcPartyA,$B500,CalcAmtA))</f>
        <v/>
      </c>
      <c r="F500" s="23">
        <f>IF($B500="","",SUMIF(CalcPartyB,$B500,CalcWitB))</f>
        <v/>
      </c>
      <c r="G500" s="23">
        <f>IF($B500="","",SUMIF(CalcPartyB,$B500,CalcDepB))</f>
        <v/>
      </c>
      <c r="H500" s="24">
        <f>IF($B500="","",$E500-$F500+$G500)</f>
        <v/>
      </c>
      <c r="I500" s="22">
        <f>IF($B500="","",IF(ROUND($H500,0)&gt;0,"● بستانکار",IF(ROUND($H500,0)&lt;0,"● بدهکار","تسویه")))</f>
        <v/>
      </c>
    </row>
    <row r="501">
      <c r="A501" s="26">
        <f>IF($B501="","",492)</f>
        <v/>
      </c>
      <c r="B501" s="33">
        <f>IF(492&gt;NBskParty,"",INDEX(PkBskParty,492))</f>
        <v/>
      </c>
      <c r="C501" s="30">
        <f>IF($B501="","",IFERROR(IF(VLOOKUP($B501,AcctTbl,4,0)="","(بدون نام)",VLOOKUP($B501,AcctTbl,4,0)),"—"))</f>
        <v/>
      </c>
      <c r="D501" s="28">
        <f>IF($B501="","",SUMIF(CalcPartyA,$B501,CalcQtyA))</f>
        <v/>
      </c>
      <c r="E501" s="28">
        <f>IF($B501="","",SUMIF(CalcPartyA,$B501,CalcAmtA))</f>
        <v/>
      </c>
      <c r="F501" s="28">
        <f>IF($B501="","",SUMIF(CalcPartyB,$B501,CalcWitB))</f>
        <v/>
      </c>
      <c r="G501" s="28">
        <f>IF($B501="","",SUMIF(CalcPartyB,$B501,CalcDepB))</f>
        <v/>
      </c>
      <c r="H501" s="29">
        <f>IF($B501="","",$E501-$F501+$G501)</f>
        <v/>
      </c>
      <c r="I501" s="27">
        <f>IF($B501="","",IF(ROUND($H501,0)&gt;0,"● بستانکار",IF(ROUND($H501,0)&lt;0,"● بدهکار","تسویه")))</f>
        <v/>
      </c>
    </row>
    <row r="502">
      <c r="A502" s="21">
        <f>IF($B502="","",493)</f>
        <v/>
      </c>
      <c r="B502" s="32">
        <f>IF(493&gt;NBskParty,"",INDEX(PkBskParty,493))</f>
        <v/>
      </c>
      <c r="C502" s="25">
        <f>IF($B502="","",IFERROR(IF(VLOOKUP($B502,AcctTbl,4,0)="","(بدون نام)",VLOOKUP($B502,AcctTbl,4,0)),"—"))</f>
        <v/>
      </c>
      <c r="D502" s="23">
        <f>IF($B502="","",SUMIF(CalcPartyA,$B502,CalcQtyA))</f>
        <v/>
      </c>
      <c r="E502" s="23">
        <f>IF($B502="","",SUMIF(CalcPartyA,$B502,CalcAmtA))</f>
        <v/>
      </c>
      <c r="F502" s="23">
        <f>IF($B502="","",SUMIF(CalcPartyB,$B502,CalcWitB))</f>
        <v/>
      </c>
      <c r="G502" s="23">
        <f>IF($B502="","",SUMIF(CalcPartyB,$B502,CalcDepB))</f>
        <v/>
      </c>
      <c r="H502" s="24">
        <f>IF($B502="","",$E502-$F502+$G502)</f>
        <v/>
      </c>
      <c r="I502" s="22">
        <f>IF($B502="","",IF(ROUND($H502,0)&gt;0,"● بستانکار",IF(ROUND($H502,0)&lt;0,"● بدهکار","تسویه")))</f>
        <v/>
      </c>
    </row>
    <row r="503">
      <c r="A503" s="26">
        <f>IF($B503="","",494)</f>
        <v/>
      </c>
      <c r="B503" s="33">
        <f>IF(494&gt;NBskParty,"",INDEX(PkBskParty,494))</f>
        <v/>
      </c>
      <c r="C503" s="30">
        <f>IF($B503="","",IFERROR(IF(VLOOKUP($B503,AcctTbl,4,0)="","(بدون نام)",VLOOKUP($B503,AcctTbl,4,0)),"—"))</f>
        <v/>
      </c>
      <c r="D503" s="28">
        <f>IF($B503="","",SUMIF(CalcPartyA,$B503,CalcQtyA))</f>
        <v/>
      </c>
      <c r="E503" s="28">
        <f>IF($B503="","",SUMIF(CalcPartyA,$B503,CalcAmtA))</f>
        <v/>
      </c>
      <c r="F503" s="28">
        <f>IF($B503="","",SUMIF(CalcPartyB,$B503,CalcWitB))</f>
        <v/>
      </c>
      <c r="G503" s="28">
        <f>IF($B503="","",SUMIF(CalcPartyB,$B503,CalcDepB))</f>
        <v/>
      </c>
      <c r="H503" s="29">
        <f>IF($B503="","",$E503-$F503+$G503)</f>
        <v/>
      </c>
      <c r="I503" s="27">
        <f>IF($B503="","",IF(ROUND($H503,0)&gt;0,"● بستانکار",IF(ROUND($H503,0)&lt;0,"● بدهکار","تسویه")))</f>
        <v/>
      </c>
    </row>
    <row r="504">
      <c r="A504" s="21">
        <f>IF($B504="","",495)</f>
        <v/>
      </c>
      <c r="B504" s="32">
        <f>IF(495&gt;NBskParty,"",INDEX(PkBskParty,495))</f>
        <v/>
      </c>
      <c r="C504" s="25">
        <f>IF($B504="","",IFERROR(IF(VLOOKUP($B504,AcctTbl,4,0)="","(بدون نام)",VLOOKUP($B504,AcctTbl,4,0)),"—"))</f>
        <v/>
      </c>
      <c r="D504" s="23">
        <f>IF($B504="","",SUMIF(CalcPartyA,$B504,CalcQtyA))</f>
        <v/>
      </c>
      <c r="E504" s="23">
        <f>IF($B504="","",SUMIF(CalcPartyA,$B504,CalcAmtA))</f>
        <v/>
      </c>
      <c r="F504" s="23">
        <f>IF($B504="","",SUMIF(CalcPartyB,$B504,CalcWitB))</f>
        <v/>
      </c>
      <c r="G504" s="23">
        <f>IF($B504="","",SUMIF(CalcPartyB,$B504,CalcDepB))</f>
        <v/>
      </c>
      <c r="H504" s="24">
        <f>IF($B504="","",$E504-$F504+$G504)</f>
        <v/>
      </c>
      <c r="I504" s="22">
        <f>IF($B504="","",IF(ROUND($H504,0)&gt;0,"● بستانکار",IF(ROUND($H504,0)&lt;0,"● بدهکار","تسویه")))</f>
        <v/>
      </c>
    </row>
    <row r="505">
      <c r="A505" s="26">
        <f>IF($B505="","",496)</f>
        <v/>
      </c>
      <c r="B505" s="33">
        <f>IF(496&gt;NBskParty,"",INDEX(PkBskParty,496))</f>
        <v/>
      </c>
      <c r="C505" s="30">
        <f>IF($B505="","",IFERROR(IF(VLOOKUP($B505,AcctTbl,4,0)="","(بدون نام)",VLOOKUP($B505,AcctTbl,4,0)),"—"))</f>
        <v/>
      </c>
      <c r="D505" s="28">
        <f>IF($B505="","",SUMIF(CalcPartyA,$B505,CalcQtyA))</f>
        <v/>
      </c>
      <c r="E505" s="28">
        <f>IF($B505="","",SUMIF(CalcPartyA,$B505,CalcAmtA))</f>
        <v/>
      </c>
      <c r="F505" s="28">
        <f>IF($B505="","",SUMIF(CalcPartyB,$B505,CalcWitB))</f>
        <v/>
      </c>
      <c r="G505" s="28">
        <f>IF($B505="","",SUMIF(CalcPartyB,$B505,CalcDepB))</f>
        <v/>
      </c>
      <c r="H505" s="29">
        <f>IF($B505="","",$E505-$F505+$G505)</f>
        <v/>
      </c>
      <c r="I505" s="27">
        <f>IF($B505="","",IF(ROUND($H505,0)&gt;0,"● بستانکار",IF(ROUND($H505,0)&lt;0,"● بدهکار","تسویه")))</f>
        <v/>
      </c>
    </row>
    <row r="506">
      <c r="A506" s="21">
        <f>IF($B506="","",497)</f>
        <v/>
      </c>
      <c r="B506" s="32">
        <f>IF(497&gt;NBskParty,"",INDEX(PkBskParty,497))</f>
        <v/>
      </c>
      <c r="C506" s="25">
        <f>IF($B506="","",IFERROR(IF(VLOOKUP($B506,AcctTbl,4,0)="","(بدون نام)",VLOOKUP($B506,AcctTbl,4,0)),"—"))</f>
        <v/>
      </c>
      <c r="D506" s="23">
        <f>IF($B506="","",SUMIF(CalcPartyA,$B506,CalcQtyA))</f>
        <v/>
      </c>
      <c r="E506" s="23">
        <f>IF($B506="","",SUMIF(CalcPartyA,$B506,CalcAmtA))</f>
        <v/>
      </c>
      <c r="F506" s="23">
        <f>IF($B506="","",SUMIF(CalcPartyB,$B506,CalcWitB))</f>
        <v/>
      </c>
      <c r="G506" s="23">
        <f>IF($B506="","",SUMIF(CalcPartyB,$B506,CalcDepB))</f>
        <v/>
      </c>
      <c r="H506" s="24">
        <f>IF($B506="","",$E506-$F506+$G506)</f>
        <v/>
      </c>
      <c r="I506" s="22">
        <f>IF($B506="","",IF(ROUND($H506,0)&gt;0,"● بستانکار",IF(ROUND($H506,0)&lt;0,"● بدهکار","تسویه")))</f>
        <v/>
      </c>
    </row>
    <row r="507">
      <c r="A507" s="26">
        <f>IF($B507="","",498)</f>
        <v/>
      </c>
      <c r="B507" s="33">
        <f>IF(498&gt;NBskParty,"",INDEX(PkBskParty,498))</f>
        <v/>
      </c>
      <c r="C507" s="30">
        <f>IF($B507="","",IFERROR(IF(VLOOKUP($B507,AcctTbl,4,0)="","(بدون نام)",VLOOKUP($B507,AcctTbl,4,0)),"—"))</f>
        <v/>
      </c>
      <c r="D507" s="28">
        <f>IF($B507="","",SUMIF(CalcPartyA,$B507,CalcQtyA))</f>
        <v/>
      </c>
      <c r="E507" s="28">
        <f>IF($B507="","",SUMIF(CalcPartyA,$B507,CalcAmtA))</f>
        <v/>
      </c>
      <c r="F507" s="28">
        <f>IF($B507="","",SUMIF(CalcPartyB,$B507,CalcWitB))</f>
        <v/>
      </c>
      <c r="G507" s="28">
        <f>IF($B507="","",SUMIF(CalcPartyB,$B507,CalcDepB))</f>
        <v/>
      </c>
      <c r="H507" s="29">
        <f>IF($B507="","",$E507-$F507+$G507)</f>
        <v/>
      </c>
      <c r="I507" s="27">
        <f>IF($B507="","",IF(ROUND($H507,0)&gt;0,"● بستانکار",IF(ROUND($H507,0)&lt;0,"● بدهکار","تسویه")))</f>
        <v/>
      </c>
    </row>
    <row r="508">
      <c r="A508" s="21">
        <f>IF($B508="","",499)</f>
        <v/>
      </c>
      <c r="B508" s="32">
        <f>IF(499&gt;NBskParty,"",INDEX(PkBskParty,499))</f>
        <v/>
      </c>
      <c r="C508" s="25">
        <f>IF($B508="","",IFERROR(IF(VLOOKUP($B508,AcctTbl,4,0)="","(بدون نام)",VLOOKUP($B508,AcctTbl,4,0)),"—"))</f>
        <v/>
      </c>
      <c r="D508" s="23">
        <f>IF($B508="","",SUMIF(CalcPartyA,$B508,CalcQtyA))</f>
        <v/>
      </c>
      <c r="E508" s="23">
        <f>IF($B508="","",SUMIF(CalcPartyA,$B508,CalcAmtA))</f>
        <v/>
      </c>
      <c r="F508" s="23">
        <f>IF($B508="","",SUMIF(CalcPartyB,$B508,CalcWitB))</f>
        <v/>
      </c>
      <c r="G508" s="23">
        <f>IF($B508="","",SUMIF(CalcPartyB,$B508,CalcDepB))</f>
        <v/>
      </c>
      <c r="H508" s="24">
        <f>IF($B508="","",$E508-$F508+$G508)</f>
        <v/>
      </c>
      <c r="I508" s="22">
        <f>IF($B508="","",IF(ROUND($H508,0)&gt;0,"● بستانکار",IF(ROUND($H508,0)&lt;0,"● بدهکار","تسویه")))</f>
        <v/>
      </c>
    </row>
    <row r="509">
      <c r="A509" s="26">
        <f>IF($B509="","",500)</f>
        <v/>
      </c>
      <c r="B509" s="33">
        <f>IF(500&gt;NBskParty,"",INDEX(PkBskParty,500))</f>
        <v/>
      </c>
      <c r="C509" s="30">
        <f>IF($B509="","",IFERROR(IF(VLOOKUP($B509,AcctTbl,4,0)="","(بدون نام)",VLOOKUP($B509,AcctTbl,4,0)),"—"))</f>
        <v/>
      </c>
      <c r="D509" s="28">
        <f>IF($B509="","",SUMIF(CalcPartyA,$B509,CalcQtyA))</f>
        <v/>
      </c>
      <c r="E509" s="28">
        <f>IF($B509="","",SUMIF(CalcPartyA,$B509,CalcAmtA))</f>
        <v/>
      </c>
      <c r="F509" s="28">
        <f>IF($B509="","",SUMIF(CalcPartyB,$B509,CalcWitB))</f>
        <v/>
      </c>
      <c r="G509" s="28">
        <f>IF($B509="","",SUMIF(CalcPartyB,$B509,CalcDepB))</f>
        <v/>
      </c>
      <c r="H509" s="29">
        <f>IF($B509="","",$E509-$F509+$G509)</f>
        <v/>
      </c>
      <c r="I509" s="27">
        <f>IF($B509="","",IF(ROUND($H509,0)&gt;0,"● بستانکار",IF(ROUND($H509,0)&lt;0,"● بدهکار","تسویه")))</f>
        <v/>
      </c>
    </row>
    <row r="510">
      <c r="A510" s="21">
        <f>IF($B510="","",501)</f>
        <v/>
      </c>
      <c r="B510" s="32">
        <f>IF(501&gt;NBskParty,"",INDEX(PkBskParty,501))</f>
        <v/>
      </c>
      <c r="C510" s="25">
        <f>IF($B510="","",IFERROR(IF(VLOOKUP($B510,AcctTbl,4,0)="","(بدون نام)",VLOOKUP($B510,AcctTbl,4,0)),"—"))</f>
        <v/>
      </c>
      <c r="D510" s="23">
        <f>IF($B510="","",SUMIF(CalcPartyA,$B510,CalcQtyA))</f>
        <v/>
      </c>
      <c r="E510" s="23">
        <f>IF($B510="","",SUMIF(CalcPartyA,$B510,CalcAmtA))</f>
        <v/>
      </c>
      <c r="F510" s="23">
        <f>IF($B510="","",SUMIF(CalcPartyB,$B510,CalcWitB))</f>
        <v/>
      </c>
      <c r="G510" s="23">
        <f>IF($B510="","",SUMIF(CalcPartyB,$B510,CalcDepB))</f>
        <v/>
      </c>
      <c r="H510" s="24">
        <f>IF($B510="","",$E510-$F510+$G510)</f>
        <v/>
      </c>
      <c r="I510" s="22">
        <f>IF($B510="","",IF(ROUND($H510,0)&gt;0,"● بستانکار",IF(ROUND($H510,0)&lt;0,"● بدهکار","تسویه")))</f>
        <v/>
      </c>
    </row>
    <row r="511">
      <c r="A511" s="26">
        <f>IF($B511="","",502)</f>
        <v/>
      </c>
      <c r="B511" s="33">
        <f>IF(502&gt;NBskParty,"",INDEX(PkBskParty,502))</f>
        <v/>
      </c>
      <c r="C511" s="30">
        <f>IF($B511="","",IFERROR(IF(VLOOKUP($B511,AcctTbl,4,0)="","(بدون نام)",VLOOKUP($B511,AcctTbl,4,0)),"—"))</f>
        <v/>
      </c>
      <c r="D511" s="28">
        <f>IF($B511="","",SUMIF(CalcPartyA,$B511,CalcQtyA))</f>
        <v/>
      </c>
      <c r="E511" s="28">
        <f>IF($B511="","",SUMIF(CalcPartyA,$B511,CalcAmtA))</f>
        <v/>
      </c>
      <c r="F511" s="28">
        <f>IF($B511="","",SUMIF(CalcPartyB,$B511,CalcWitB))</f>
        <v/>
      </c>
      <c r="G511" s="28">
        <f>IF($B511="","",SUMIF(CalcPartyB,$B511,CalcDepB))</f>
        <v/>
      </c>
      <c r="H511" s="29">
        <f>IF($B511="","",$E511-$F511+$G511)</f>
        <v/>
      </c>
      <c r="I511" s="27">
        <f>IF($B511="","",IF(ROUND($H511,0)&gt;0,"● بستانکار",IF(ROUND($H511,0)&lt;0,"● بدهکار","تسویه")))</f>
        <v/>
      </c>
    </row>
    <row r="512">
      <c r="A512" s="21">
        <f>IF($B512="","",503)</f>
        <v/>
      </c>
      <c r="B512" s="32">
        <f>IF(503&gt;NBskParty,"",INDEX(PkBskParty,503))</f>
        <v/>
      </c>
      <c r="C512" s="25">
        <f>IF($B512="","",IFERROR(IF(VLOOKUP($B512,AcctTbl,4,0)="","(بدون نام)",VLOOKUP($B512,AcctTbl,4,0)),"—"))</f>
        <v/>
      </c>
      <c r="D512" s="23">
        <f>IF($B512="","",SUMIF(CalcPartyA,$B512,CalcQtyA))</f>
        <v/>
      </c>
      <c r="E512" s="23">
        <f>IF($B512="","",SUMIF(CalcPartyA,$B512,CalcAmtA))</f>
        <v/>
      </c>
      <c r="F512" s="23">
        <f>IF($B512="","",SUMIF(CalcPartyB,$B512,CalcWitB))</f>
        <v/>
      </c>
      <c r="G512" s="23">
        <f>IF($B512="","",SUMIF(CalcPartyB,$B512,CalcDepB))</f>
        <v/>
      </c>
      <c r="H512" s="24">
        <f>IF($B512="","",$E512-$F512+$G512)</f>
        <v/>
      </c>
      <c r="I512" s="22">
        <f>IF($B512="","",IF(ROUND($H512,0)&gt;0,"● بستانکار",IF(ROUND($H512,0)&lt;0,"● بدهکار","تسویه")))</f>
        <v/>
      </c>
    </row>
    <row r="513">
      <c r="A513" s="26">
        <f>IF($B513="","",504)</f>
        <v/>
      </c>
      <c r="B513" s="33">
        <f>IF(504&gt;NBskParty,"",INDEX(PkBskParty,504))</f>
        <v/>
      </c>
      <c r="C513" s="30">
        <f>IF($B513="","",IFERROR(IF(VLOOKUP($B513,AcctTbl,4,0)="","(بدون نام)",VLOOKUP($B513,AcctTbl,4,0)),"—"))</f>
        <v/>
      </c>
      <c r="D513" s="28">
        <f>IF($B513="","",SUMIF(CalcPartyA,$B513,CalcQtyA))</f>
        <v/>
      </c>
      <c r="E513" s="28">
        <f>IF($B513="","",SUMIF(CalcPartyA,$B513,CalcAmtA))</f>
        <v/>
      </c>
      <c r="F513" s="28">
        <f>IF($B513="","",SUMIF(CalcPartyB,$B513,CalcWitB))</f>
        <v/>
      </c>
      <c r="G513" s="28">
        <f>IF($B513="","",SUMIF(CalcPartyB,$B513,CalcDepB))</f>
        <v/>
      </c>
      <c r="H513" s="29">
        <f>IF($B513="","",$E513-$F513+$G513)</f>
        <v/>
      </c>
      <c r="I513" s="27">
        <f>IF($B513="","",IF(ROUND($H513,0)&gt;0,"● بستانکار",IF(ROUND($H513,0)&lt;0,"● بدهکار","تسویه")))</f>
        <v/>
      </c>
    </row>
    <row r="514">
      <c r="A514" s="21">
        <f>IF($B514="","",505)</f>
        <v/>
      </c>
      <c r="B514" s="32">
        <f>IF(505&gt;NBskParty,"",INDEX(PkBskParty,505))</f>
        <v/>
      </c>
      <c r="C514" s="25">
        <f>IF($B514="","",IFERROR(IF(VLOOKUP($B514,AcctTbl,4,0)="","(بدون نام)",VLOOKUP($B514,AcctTbl,4,0)),"—"))</f>
        <v/>
      </c>
      <c r="D514" s="23">
        <f>IF($B514="","",SUMIF(CalcPartyA,$B514,CalcQtyA))</f>
        <v/>
      </c>
      <c r="E514" s="23">
        <f>IF($B514="","",SUMIF(CalcPartyA,$B514,CalcAmtA))</f>
        <v/>
      </c>
      <c r="F514" s="23">
        <f>IF($B514="","",SUMIF(CalcPartyB,$B514,CalcWitB))</f>
        <v/>
      </c>
      <c r="G514" s="23">
        <f>IF($B514="","",SUMIF(CalcPartyB,$B514,CalcDepB))</f>
        <v/>
      </c>
      <c r="H514" s="24">
        <f>IF($B514="","",$E514-$F514+$G514)</f>
        <v/>
      </c>
      <c r="I514" s="22">
        <f>IF($B514="","",IF(ROUND($H514,0)&gt;0,"● بستانکار",IF(ROUND($H514,0)&lt;0,"● بدهکار","تسویه")))</f>
        <v/>
      </c>
    </row>
    <row r="515">
      <c r="A515" s="26">
        <f>IF($B515="","",506)</f>
        <v/>
      </c>
      <c r="B515" s="33">
        <f>IF(506&gt;NBskParty,"",INDEX(PkBskParty,506))</f>
        <v/>
      </c>
      <c r="C515" s="30">
        <f>IF($B515="","",IFERROR(IF(VLOOKUP($B515,AcctTbl,4,0)="","(بدون نام)",VLOOKUP($B515,AcctTbl,4,0)),"—"))</f>
        <v/>
      </c>
      <c r="D515" s="28">
        <f>IF($B515="","",SUMIF(CalcPartyA,$B515,CalcQtyA))</f>
        <v/>
      </c>
      <c r="E515" s="28">
        <f>IF($B515="","",SUMIF(CalcPartyA,$B515,CalcAmtA))</f>
        <v/>
      </c>
      <c r="F515" s="28">
        <f>IF($B515="","",SUMIF(CalcPartyB,$B515,CalcWitB))</f>
        <v/>
      </c>
      <c r="G515" s="28">
        <f>IF($B515="","",SUMIF(CalcPartyB,$B515,CalcDepB))</f>
        <v/>
      </c>
      <c r="H515" s="29">
        <f>IF($B515="","",$E515-$F515+$G515)</f>
        <v/>
      </c>
      <c r="I515" s="27">
        <f>IF($B515="","",IF(ROUND($H515,0)&gt;0,"● بستانکار",IF(ROUND($H515,0)&lt;0,"● بدهکار","تسویه")))</f>
        <v/>
      </c>
    </row>
    <row r="516">
      <c r="A516" s="21">
        <f>IF($B516="","",507)</f>
        <v/>
      </c>
      <c r="B516" s="32">
        <f>IF(507&gt;NBskParty,"",INDEX(PkBskParty,507))</f>
        <v/>
      </c>
      <c r="C516" s="25">
        <f>IF($B516="","",IFERROR(IF(VLOOKUP($B516,AcctTbl,4,0)="","(بدون نام)",VLOOKUP($B516,AcctTbl,4,0)),"—"))</f>
        <v/>
      </c>
      <c r="D516" s="23">
        <f>IF($B516="","",SUMIF(CalcPartyA,$B516,CalcQtyA))</f>
        <v/>
      </c>
      <c r="E516" s="23">
        <f>IF($B516="","",SUMIF(CalcPartyA,$B516,CalcAmtA))</f>
        <v/>
      </c>
      <c r="F516" s="23">
        <f>IF($B516="","",SUMIF(CalcPartyB,$B516,CalcWitB))</f>
        <v/>
      </c>
      <c r="G516" s="23">
        <f>IF($B516="","",SUMIF(CalcPartyB,$B516,CalcDepB))</f>
        <v/>
      </c>
      <c r="H516" s="24">
        <f>IF($B516="","",$E516-$F516+$G516)</f>
        <v/>
      </c>
      <c r="I516" s="22">
        <f>IF($B516="","",IF(ROUND($H516,0)&gt;0,"● بستانکار",IF(ROUND($H516,0)&lt;0,"● بدهکار","تسویه")))</f>
        <v/>
      </c>
    </row>
    <row r="517">
      <c r="A517" s="26">
        <f>IF($B517="","",508)</f>
        <v/>
      </c>
      <c r="B517" s="33">
        <f>IF(508&gt;NBskParty,"",INDEX(PkBskParty,508))</f>
        <v/>
      </c>
      <c r="C517" s="30">
        <f>IF($B517="","",IFERROR(IF(VLOOKUP($B517,AcctTbl,4,0)="","(بدون نام)",VLOOKUP($B517,AcctTbl,4,0)),"—"))</f>
        <v/>
      </c>
      <c r="D517" s="28">
        <f>IF($B517="","",SUMIF(CalcPartyA,$B517,CalcQtyA))</f>
        <v/>
      </c>
      <c r="E517" s="28">
        <f>IF($B517="","",SUMIF(CalcPartyA,$B517,CalcAmtA))</f>
        <v/>
      </c>
      <c r="F517" s="28">
        <f>IF($B517="","",SUMIF(CalcPartyB,$B517,CalcWitB))</f>
        <v/>
      </c>
      <c r="G517" s="28">
        <f>IF($B517="","",SUMIF(CalcPartyB,$B517,CalcDepB))</f>
        <v/>
      </c>
      <c r="H517" s="29">
        <f>IF($B517="","",$E517-$F517+$G517)</f>
        <v/>
      </c>
      <c r="I517" s="27">
        <f>IF($B517="","",IF(ROUND($H517,0)&gt;0,"● بستانکار",IF(ROUND($H517,0)&lt;0,"● بدهکار","تسویه")))</f>
        <v/>
      </c>
    </row>
    <row r="518">
      <c r="A518" s="21">
        <f>IF($B518="","",509)</f>
        <v/>
      </c>
      <c r="B518" s="32">
        <f>IF(509&gt;NBskParty,"",INDEX(PkBskParty,509))</f>
        <v/>
      </c>
      <c r="C518" s="25">
        <f>IF($B518="","",IFERROR(IF(VLOOKUP($B518,AcctTbl,4,0)="","(بدون نام)",VLOOKUP($B518,AcctTbl,4,0)),"—"))</f>
        <v/>
      </c>
      <c r="D518" s="23">
        <f>IF($B518="","",SUMIF(CalcPartyA,$B518,CalcQtyA))</f>
        <v/>
      </c>
      <c r="E518" s="23">
        <f>IF($B518="","",SUMIF(CalcPartyA,$B518,CalcAmtA))</f>
        <v/>
      </c>
      <c r="F518" s="23">
        <f>IF($B518="","",SUMIF(CalcPartyB,$B518,CalcWitB))</f>
        <v/>
      </c>
      <c r="G518" s="23">
        <f>IF($B518="","",SUMIF(CalcPartyB,$B518,CalcDepB))</f>
        <v/>
      </c>
      <c r="H518" s="24">
        <f>IF($B518="","",$E518-$F518+$G518)</f>
        <v/>
      </c>
      <c r="I518" s="22">
        <f>IF($B518="","",IF(ROUND($H518,0)&gt;0,"● بستانکار",IF(ROUND($H518,0)&lt;0,"● بدهکار","تسویه")))</f>
        <v/>
      </c>
    </row>
    <row r="519">
      <c r="A519" s="26">
        <f>IF($B519="","",510)</f>
        <v/>
      </c>
      <c r="B519" s="33">
        <f>IF(510&gt;NBskParty,"",INDEX(PkBskParty,510))</f>
        <v/>
      </c>
      <c r="C519" s="30">
        <f>IF($B519="","",IFERROR(IF(VLOOKUP($B519,AcctTbl,4,0)="","(بدون نام)",VLOOKUP($B519,AcctTbl,4,0)),"—"))</f>
        <v/>
      </c>
      <c r="D519" s="28">
        <f>IF($B519="","",SUMIF(CalcPartyA,$B519,CalcQtyA))</f>
        <v/>
      </c>
      <c r="E519" s="28">
        <f>IF($B519="","",SUMIF(CalcPartyA,$B519,CalcAmtA))</f>
        <v/>
      </c>
      <c r="F519" s="28">
        <f>IF($B519="","",SUMIF(CalcPartyB,$B519,CalcWitB))</f>
        <v/>
      </c>
      <c r="G519" s="28">
        <f>IF($B519="","",SUMIF(CalcPartyB,$B519,CalcDepB))</f>
        <v/>
      </c>
      <c r="H519" s="29">
        <f>IF($B519="","",$E519-$F519+$G519)</f>
        <v/>
      </c>
      <c r="I519" s="27">
        <f>IF($B519="","",IF(ROUND($H519,0)&gt;0,"● بستانکار",IF(ROUND($H519,0)&lt;0,"● بدهکار","تسویه")))</f>
        <v/>
      </c>
    </row>
    <row r="520">
      <c r="A520" s="21">
        <f>IF($B520="","",511)</f>
        <v/>
      </c>
      <c r="B520" s="32">
        <f>IF(511&gt;NBskParty,"",INDEX(PkBskParty,511))</f>
        <v/>
      </c>
      <c r="C520" s="25">
        <f>IF($B520="","",IFERROR(IF(VLOOKUP($B520,AcctTbl,4,0)="","(بدون نام)",VLOOKUP($B520,AcctTbl,4,0)),"—"))</f>
        <v/>
      </c>
      <c r="D520" s="23">
        <f>IF($B520="","",SUMIF(CalcPartyA,$B520,CalcQtyA))</f>
        <v/>
      </c>
      <c r="E520" s="23">
        <f>IF($B520="","",SUMIF(CalcPartyA,$B520,CalcAmtA))</f>
        <v/>
      </c>
      <c r="F520" s="23">
        <f>IF($B520="","",SUMIF(CalcPartyB,$B520,CalcWitB))</f>
        <v/>
      </c>
      <c r="G520" s="23">
        <f>IF($B520="","",SUMIF(CalcPartyB,$B520,CalcDepB))</f>
        <v/>
      </c>
      <c r="H520" s="24">
        <f>IF($B520="","",$E520-$F520+$G520)</f>
        <v/>
      </c>
      <c r="I520" s="22">
        <f>IF($B520="","",IF(ROUND($H520,0)&gt;0,"● بستانکار",IF(ROUND($H520,0)&lt;0,"● بدهکار","تسویه")))</f>
        <v/>
      </c>
    </row>
    <row r="521">
      <c r="A521" s="26">
        <f>IF($B521="","",512)</f>
        <v/>
      </c>
      <c r="B521" s="33">
        <f>IF(512&gt;NBskParty,"",INDEX(PkBskParty,512))</f>
        <v/>
      </c>
      <c r="C521" s="30">
        <f>IF($B521="","",IFERROR(IF(VLOOKUP($B521,AcctTbl,4,0)="","(بدون نام)",VLOOKUP($B521,AcctTbl,4,0)),"—"))</f>
        <v/>
      </c>
      <c r="D521" s="28">
        <f>IF($B521="","",SUMIF(CalcPartyA,$B521,CalcQtyA))</f>
        <v/>
      </c>
      <c r="E521" s="28">
        <f>IF($B521="","",SUMIF(CalcPartyA,$B521,CalcAmtA))</f>
        <v/>
      </c>
      <c r="F521" s="28">
        <f>IF($B521="","",SUMIF(CalcPartyB,$B521,CalcWitB))</f>
        <v/>
      </c>
      <c r="G521" s="28">
        <f>IF($B521="","",SUMIF(CalcPartyB,$B521,CalcDepB))</f>
        <v/>
      </c>
      <c r="H521" s="29">
        <f>IF($B521="","",$E521-$F521+$G521)</f>
        <v/>
      </c>
      <c r="I521" s="27">
        <f>IF($B521="","",IF(ROUND($H521,0)&gt;0,"● بستانکار",IF(ROUND($H521,0)&lt;0,"● بدهکار","تسویه")))</f>
        <v/>
      </c>
    </row>
    <row r="522">
      <c r="A522" s="21">
        <f>IF($B522="","",513)</f>
        <v/>
      </c>
      <c r="B522" s="32">
        <f>IF(513&gt;NBskParty,"",INDEX(PkBskParty,513))</f>
        <v/>
      </c>
      <c r="C522" s="25">
        <f>IF($B522="","",IFERROR(IF(VLOOKUP($B522,AcctTbl,4,0)="","(بدون نام)",VLOOKUP($B522,AcctTbl,4,0)),"—"))</f>
        <v/>
      </c>
      <c r="D522" s="23">
        <f>IF($B522="","",SUMIF(CalcPartyA,$B522,CalcQtyA))</f>
        <v/>
      </c>
      <c r="E522" s="23">
        <f>IF($B522="","",SUMIF(CalcPartyA,$B522,CalcAmtA))</f>
        <v/>
      </c>
      <c r="F522" s="23">
        <f>IF($B522="","",SUMIF(CalcPartyB,$B522,CalcWitB))</f>
        <v/>
      </c>
      <c r="G522" s="23">
        <f>IF($B522="","",SUMIF(CalcPartyB,$B522,CalcDepB))</f>
        <v/>
      </c>
      <c r="H522" s="24">
        <f>IF($B522="","",$E522-$F522+$G522)</f>
        <v/>
      </c>
      <c r="I522" s="22">
        <f>IF($B522="","",IF(ROUND($H522,0)&gt;0,"● بستانکار",IF(ROUND($H522,0)&lt;0,"● بدهکار","تسویه")))</f>
        <v/>
      </c>
    </row>
    <row r="523">
      <c r="A523" s="26">
        <f>IF($B523="","",514)</f>
        <v/>
      </c>
      <c r="B523" s="33">
        <f>IF(514&gt;NBskParty,"",INDEX(PkBskParty,514))</f>
        <v/>
      </c>
      <c r="C523" s="30">
        <f>IF($B523="","",IFERROR(IF(VLOOKUP($B523,AcctTbl,4,0)="","(بدون نام)",VLOOKUP($B523,AcctTbl,4,0)),"—"))</f>
        <v/>
      </c>
      <c r="D523" s="28">
        <f>IF($B523="","",SUMIF(CalcPartyA,$B523,CalcQtyA))</f>
        <v/>
      </c>
      <c r="E523" s="28">
        <f>IF($B523="","",SUMIF(CalcPartyA,$B523,CalcAmtA))</f>
        <v/>
      </c>
      <c r="F523" s="28">
        <f>IF($B523="","",SUMIF(CalcPartyB,$B523,CalcWitB))</f>
        <v/>
      </c>
      <c r="G523" s="28">
        <f>IF($B523="","",SUMIF(CalcPartyB,$B523,CalcDepB))</f>
        <v/>
      </c>
      <c r="H523" s="29">
        <f>IF($B523="","",$E523-$F523+$G523)</f>
        <v/>
      </c>
      <c r="I523" s="27">
        <f>IF($B523="","",IF(ROUND($H523,0)&gt;0,"● بستانکار",IF(ROUND($H523,0)&lt;0,"● بدهکار","تسویه")))</f>
        <v/>
      </c>
    </row>
    <row r="524">
      <c r="A524" s="21">
        <f>IF($B524="","",515)</f>
        <v/>
      </c>
      <c r="B524" s="32">
        <f>IF(515&gt;NBskParty,"",INDEX(PkBskParty,515))</f>
        <v/>
      </c>
      <c r="C524" s="25">
        <f>IF($B524="","",IFERROR(IF(VLOOKUP($B524,AcctTbl,4,0)="","(بدون نام)",VLOOKUP($B524,AcctTbl,4,0)),"—"))</f>
        <v/>
      </c>
      <c r="D524" s="23">
        <f>IF($B524="","",SUMIF(CalcPartyA,$B524,CalcQtyA))</f>
        <v/>
      </c>
      <c r="E524" s="23">
        <f>IF($B524="","",SUMIF(CalcPartyA,$B524,CalcAmtA))</f>
        <v/>
      </c>
      <c r="F524" s="23">
        <f>IF($B524="","",SUMIF(CalcPartyB,$B524,CalcWitB))</f>
        <v/>
      </c>
      <c r="G524" s="23">
        <f>IF($B524="","",SUMIF(CalcPartyB,$B524,CalcDepB))</f>
        <v/>
      </c>
      <c r="H524" s="24">
        <f>IF($B524="","",$E524-$F524+$G524)</f>
        <v/>
      </c>
      <c r="I524" s="22">
        <f>IF($B524="","",IF(ROUND($H524,0)&gt;0,"● بستانکار",IF(ROUND($H524,0)&lt;0,"● بدهکار","تسویه")))</f>
        <v/>
      </c>
    </row>
    <row r="525">
      <c r="A525" s="26">
        <f>IF($B525="","",516)</f>
        <v/>
      </c>
      <c r="B525" s="33">
        <f>IF(516&gt;NBskParty,"",INDEX(PkBskParty,516))</f>
        <v/>
      </c>
      <c r="C525" s="30">
        <f>IF($B525="","",IFERROR(IF(VLOOKUP($B525,AcctTbl,4,0)="","(بدون نام)",VLOOKUP($B525,AcctTbl,4,0)),"—"))</f>
        <v/>
      </c>
      <c r="D525" s="28">
        <f>IF($B525="","",SUMIF(CalcPartyA,$B525,CalcQtyA))</f>
        <v/>
      </c>
      <c r="E525" s="28">
        <f>IF($B525="","",SUMIF(CalcPartyA,$B525,CalcAmtA))</f>
        <v/>
      </c>
      <c r="F525" s="28">
        <f>IF($B525="","",SUMIF(CalcPartyB,$B525,CalcWitB))</f>
        <v/>
      </c>
      <c r="G525" s="28">
        <f>IF($B525="","",SUMIF(CalcPartyB,$B525,CalcDepB))</f>
        <v/>
      </c>
      <c r="H525" s="29">
        <f>IF($B525="","",$E525-$F525+$G525)</f>
        <v/>
      </c>
      <c r="I525" s="27">
        <f>IF($B525="","",IF(ROUND($H525,0)&gt;0,"● بستانکار",IF(ROUND($H525,0)&lt;0,"● بدهکار","تسویه")))</f>
        <v/>
      </c>
    </row>
    <row r="526">
      <c r="A526" s="21">
        <f>IF($B526="","",517)</f>
        <v/>
      </c>
      <c r="B526" s="32">
        <f>IF(517&gt;NBskParty,"",INDEX(PkBskParty,517))</f>
        <v/>
      </c>
      <c r="C526" s="25">
        <f>IF($B526="","",IFERROR(IF(VLOOKUP($B526,AcctTbl,4,0)="","(بدون نام)",VLOOKUP($B526,AcctTbl,4,0)),"—"))</f>
        <v/>
      </c>
      <c r="D526" s="23">
        <f>IF($B526="","",SUMIF(CalcPartyA,$B526,CalcQtyA))</f>
        <v/>
      </c>
      <c r="E526" s="23">
        <f>IF($B526="","",SUMIF(CalcPartyA,$B526,CalcAmtA))</f>
        <v/>
      </c>
      <c r="F526" s="23">
        <f>IF($B526="","",SUMIF(CalcPartyB,$B526,CalcWitB))</f>
        <v/>
      </c>
      <c r="G526" s="23">
        <f>IF($B526="","",SUMIF(CalcPartyB,$B526,CalcDepB))</f>
        <v/>
      </c>
      <c r="H526" s="24">
        <f>IF($B526="","",$E526-$F526+$G526)</f>
        <v/>
      </c>
      <c r="I526" s="22">
        <f>IF($B526="","",IF(ROUND($H526,0)&gt;0,"● بستانکار",IF(ROUND($H526,0)&lt;0,"● بدهکار","تسویه")))</f>
        <v/>
      </c>
    </row>
    <row r="527">
      <c r="A527" s="26">
        <f>IF($B527="","",518)</f>
        <v/>
      </c>
      <c r="B527" s="33">
        <f>IF(518&gt;NBskParty,"",INDEX(PkBskParty,518))</f>
        <v/>
      </c>
      <c r="C527" s="30">
        <f>IF($B527="","",IFERROR(IF(VLOOKUP($B527,AcctTbl,4,0)="","(بدون نام)",VLOOKUP($B527,AcctTbl,4,0)),"—"))</f>
        <v/>
      </c>
      <c r="D527" s="28">
        <f>IF($B527="","",SUMIF(CalcPartyA,$B527,CalcQtyA))</f>
        <v/>
      </c>
      <c r="E527" s="28">
        <f>IF($B527="","",SUMIF(CalcPartyA,$B527,CalcAmtA))</f>
        <v/>
      </c>
      <c r="F527" s="28">
        <f>IF($B527="","",SUMIF(CalcPartyB,$B527,CalcWitB))</f>
        <v/>
      </c>
      <c r="G527" s="28">
        <f>IF($B527="","",SUMIF(CalcPartyB,$B527,CalcDepB))</f>
        <v/>
      </c>
      <c r="H527" s="29">
        <f>IF($B527="","",$E527-$F527+$G527)</f>
        <v/>
      </c>
      <c r="I527" s="27">
        <f>IF($B527="","",IF(ROUND($H527,0)&gt;0,"● بستانکار",IF(ROUND($H527,0)&lt;0,"● بدهکار","تسویه")))</f>
        <v/>
      </c>
    </row>
    <row r="528">
      <c r="A528" s="21">
        <f>IF($B528="","",519)</f>
        <v/>
      </c>
      <c r="B528" s="32">
        <f>IF(519&gt;NBskParty,"",INDEX(PkBskParty,519))</f>
        <v/>
      </c>
      <c r="C528" s="25">
        <f>IF($B528="","",IFERROR(IF(VLOOKUP($B528,AcctTbl,4,0)="","(بدون نام)",VLOOKUP($B528,AcctTbl,4,0)),"—"))</f>
        <v/>
      </c>
      <c r="D528" s="23">
        <f>IF($B528="","",SUMIF(CalcPartyA,$B528,CalcQtyA))</f>
        <v/>
      </c>
      <c r="E528" s="23">
        <f>IF($B528="","",SUMIF(CalcPartyA,$B528,CalcAmtA))</f>
        <v/>
      </c>
      <c r="F528" s="23">
        <f>IF($B528="","",SUMIF(CalcPartyB,$B528,CalcWitB))</f>
        <v/>
      </c>
      <c r="G528" s="23">
        <f>IF($B528="","",SUMIF(CalcPartyB,$B528,CalcDepB))</f>
        <v/>
      </c>
      <c r="H528" s="24">
        <f>IF($B528="","",$E528-$F528+$G528)</f>
        <v/>
      </c>
      <c r="I528" s="22">
        <f>IF($B528="","",IF(ROUND($H528,0)&gt;0,"● بستانکار",IF(ROUND($H528,0)&lt;0,"● بدهکار","تسویه")))</f>
        <v/>
      </c>
    </row>
    <row r="529">
      <c r="A529" s="26">
        <f>IF($B529="","",520)</f>
        <v/>
      </c>
      <c r="B529" s="33">
        <f>IF(520&gt;NBskParty,"",INDEX(PkBskParty,520))</f>
        <v/>
      </c>
      <c r="C529" s="30">
        <f>IF($B529="","",IFERROR(IF(VLOOKUP($B529,AcctTbl,4,0)="","(بدون نام)",VLOOKUP($B529,AcctTbl,4,0)),"—"))</f>
        <v/>
      </c>
      <c r="D529" s="28">
        <f>IF($B529="","",SUMIF(CalcPartyA,$B529,CalcQtyA))</f>
        <v/>
      </c>
      <c r="E529" s="28">
        <f>IF($B529="","",SUMIF(CalcPartyA,$B529,CalcAmtA))</f>
        <v/>
      </c>
      <c r="F529" s="28">
        <f>IF($B529="","",SUMIF(CalcPartyB,$B529,CalcWitB))</f>
        <v/>
      </c>
      <c r="G529" s="28">
        <f>IF($B529="","",SUMIF(CalcPartyB,$B529,CalcDepB))</f>
        <v/>
      </c>
      <c r="H529" s="29">
        <f>IF($B529="","",$E529-$F529+$G529)</f>
        <v/>
      </c>
      <c r="I529" s="27">
        <f>IF($B529="","",IF(ROUND($H529,0)&gt;0,"● بستانکار",IF(ROUND($H529,0)&lt;0,"● بدهکار","تسویه")))</f>
        <v/>
      </c>
    </row>
    <row r="530">
      <c r="A530" s="21">
        <f>IF($B530="","",521)</f>
        <v/>
      </c>
      <c r="B530" s="32">
        <f>IF(521&gt;NBskParty,"",INDEX(PkBskParty,521))</f>
        <v/>
      </c>
      <c r="C530" s="25">
        <f>IF($B530="","",IFERROR(IF(VLOOKUP($B530,AcctTbl,4,0)="","(بدون نام)",VLOOKUP($B530,AcctTbl,4,0)),"—"))</f>
        <v/>
      </c>
      <c r="D530" s="23">
        <f>IF($B530="","",SUMIF(CalcPartyA,$B530,CalcQtyA))</f>
        <v/>
      </c>
      <c r="E530" s="23">
        <f>IF($B530="","",SUMIF(CalcPartyA,$B530,CalcAmtA))</f>
        <v/>
      </c>
      <c r="F530" s="23">
        <f>IF($B530="","",SUMIF(CalcPartyB,$B530,CalcWitB))</f>
        <v/>
      </c>
      <c r="G530" s="23">
        <f>IF($B530="","",SUMIF(CalcPartyB,$B530,CalcDepB))</f>
        <v/>
      </c>
      <c r="H530" s="24">
        <f>IF($B530="","",$E530-$F530+$G530)</f>
        <v/>
      </c>
      <c r="I530" s="22">
        <f>IF($B530="","",IF(ROUND($H530,0)&gt;0,"● بستانکار",IF(ROUND($H530,0)&lt;0,"● بدهکار","تسویه")))</f>
        <v/>
      </c>
    </row>
    <row r="531">
      <c r="A531" s="26">
        <f>IF($B531="","",522)</f>
        <v/>
      </c>
      <c r="B531" s="33">
        <f>IF(522&gt;NBskParty,"",INDEX(PkBskParty,522))</f>
        <v/>
      </c>
      <c r="C531" s="30">
        <f>IF($B531="","",IFERROR(IF(VLOOKUP($B531,AcctTbl,4,0)="","(بدون نام)",VLOOKUP($B531,AcctTbl,4,0)),"—"))</f>
        <v/>
      </c>
      <c r="D531" s="28">
        <f>IF($B531="","",SUMIF(CalcPartyA,$B531,CalcQtyA))</f>
        <v/>
      </c>
      <c r="E531" s="28">
        <f>IF($B531="","",SUMIF(CalcPartyA,$B531,CalcAmtA))</f>
        <v/>
      </c>
      <c r="F531" s="28">
        <f>IF($B531="","",SUMIF(CalcPartyB,$B531,CalcWitB))</f>
        <v/>
      </c>
      <c r="G531" s="28">
        <f>IF($B531="","",SUMIF(CalcPartyB,$B531,CalcDepB))</f>
        <v/>
      </c>
      <c r="H531" s="29">
        <f>IF($B531="","",$E531-$F531+$G531)</f>
        <v/>
      </c>
      <c r="I531" s="27">
        <f>IF($B531="","",IF(ROUND($H531,0)&gt;0,"● بستانکار",IF(ROUND($H531,0)&lt;0,"● بدهکار","تسویه")))</f>
        <v/>
      </c>
    </row>
    <row r="532">
      <c r="A532" s="21">
        <f>IF($B532="","",523)</f>
        <v/>
      </c>
      <c r="B532" s="32">
        <f>IF(523&gt;NBskParty,"",INDEX(PkBskParty,523))</f>
        <v/>
      </c>
      <c r="C532" s="25">
        <f>IF($B532="","",IFERROR(IF(VLOOKUP($B532,AcctTbl,4,0)="","(بدون نام)",VLOOKUP($B532,AcctTbl,4,0)),"—"))</f>
        <v/>
      </c>
      <c r="D532" s="23">
        <f>IF($B532="","",SUMIF(CalcPartyA,$B532,CalcQtyA))</f>
        <v/>
      </c>
      <c r="E532" s="23">
        <f>IF($B532="","",SUMIF(CalcPartyA,$B532,CalcAmtA))</f>
        <v/>
      </c>
      <c r="F532" s="23">
        <f>IF($B532="","",SUMIF(CalcPartyB,$B532,CalcWitB))</f>
        <v/>
      </c>
      <c r="G532" s="23">
        <f>IF($B532="","",SUMIF(CalcPartyB,$B532,CalcDepB))</f>
        <v/>
      </c>
      <c r="H532" s="24">
        <f>IF($B532="","",$E532-$F532+$G532)</f>
        <v/>
      </c>
      <c r="I532" s="22">
        <f>IF($B532="","",IF(ROUND($H532,0)&gt;0,"● بستانکار",IF(ROUND($H532,0)&lt;0,"● بدهکار","تسویه")))</f>
        <v/>
      </c>
    </row>
    <row r="533">
      <c r="A533" s="26">
        <f>IF($B533="","",524)</f>
        <v/>
      </c>
      <c r="B533" s="33">
        <f>IF(524&gt;NBskParty,"",INDEX(PkBskParty,524))</f>
        <v/>
      </c>
      <c r="C533" s="30">
        <f>IF($B533="","",IFERROR(IF(VLOOKUP($B533,AcctTbl,4,0)="","(بدون نام)",VLOOKUP($B533,AcctTbl,4,0)),"—"))</f>
        <v/>
      </c>
      <c r="D533" s="28">
        <f>IF($B533="","",SUMIF(CalcPartyA,$B533,CalcQtyA))</f>
        <v/>
      </c>
      <c r="E533" s="28">
        <f>IF($B533="","",SUMIF(CalcPartyA,$B533,CalcAmtA))</f>
        <v/>
      </c>
      <c r="F533" s="28">
        <f>IF($B533="","",SUMIF(CalcPartyB,$B533,CalcWitB))</f>
        <v/>
      </c>
      <c r="G533" s="28">
        <f>IF($B533="","",SUMIF(CalcPartyB,$B533,CalcDepB))</f>
        <v/>
      </c>
      <c r="H533" s="29">
        <f>IF($B533="","",$E533-$F533+$G533)</f>
        <v/>
      </c>
      <c r="I533" s="27">
        <f>IF($B533="","",IF(ROUND($H533,0)&gt;0,"● بستانکار",IF(ROUND($H533,0)&lt;0,"● بدهکار","تسویه")))</f>
        <v/>
      </c>
    </row>
    <row r="534">
      <c r="A534" s="21">
        <f>IF($B534="","",525)</f>
        <v/>
      </c>
      <c r="B534" s="32">
        <f>IF(525&gt;NBskParty,"",INDEX(PkBskParty,525))</f>
        <v/>
      </c>
      <c r="C534" s="25">
        <f>IF($B534="","",IFERROR(IF(VLOOKUP($B534,AcctTbl,4,0)="","(بدون نام)",VLOOKUP($B534,AcctTbl,4,0)),"—"))</f>
        <v/>
      </c>
      <c r="D534" s="23">
        <f>IF($B534="","",SUMIF(CalcPartyA,$B534,CalcQtyA))</f>
        <v/>
      </c>
      <c r="E534" s="23">
        <f>IF($B534="","",SUMIF(CalcPartyA,$B534,CalcAmtA))</f>
        <v/>
      </c>
      <c r="F534" s="23">
        <f>IF($B534="","",SUMIF(CalcPartyB,$B534,CalcWitB))</f>
        <v/>
      </c>
      <c r="G534" s="23">
        <f>IF($B534="","",SUMIF(CalcPartyB,$B534,CalcDepB))</f>
        <v/>
      </c>
      <c r="H534" s="24">
        <f>IF($B534="","",$E534-$F534+$G534)</f>
        <v/>
      </c>
      <c r="I534" s="22">
        <f>IF($B534="","",IF(ROUND($H534,0)&gt;0,"● بستانکار",IF(ROUND($H534,0)&lt;0,"● بدهکار","تسویه")))</f>
        <v/>
      </c>
    </row>
    <row r="535">
      <c r="A535" s="26">
        <f>IF($B535="","",526)</f>
        <v/>
      </c>
      <c r="B535" s="33">
        <f>IF(526&gt;NBskParty,"",INDEX(PkBskParty,526))</f>
        <v/>
      </c>
      <c r="C535" s="30">
        <f>IF($B535="","",IFERROR(IF(VLOOKUP($B535,AcctTbl,4,0)="","(بدون نام)",VLOOKUP($B535,AcctTbl,4,0)),"—"))</f>
        <v/>
      </c>
      <c r="D535" s="28">
        <f>IF($B535="","",SUMIF(CalcPartyA,$B535,CalcQtyA))</f>
        <v/>
      </c>
      <c r="E535" s="28">
        <f>IF($B535="","",SUMIF(CalcPartyA,$B535,CalcAmtA))</f>
        <v/>
      </c>
      <c r="F535" s="28">
        <f>IF($B535="","",SUMIF(CalcPartyB,$B535,CalcWitB))</f>
        <v/>
      </c>
      <c r="G535" s="28">
        <f>IF($B535="","",SUMIF(CalcPartyB,$B535,CalcDepB))</f>
        <v/>
      </c>
      <c r="H535" s="29">
        <f>IF($B535="","",$E535-$F535+$G535)</f>
        <v/>
      </c>
      <c r="I535" s="27">
        <f>IF($B535="","",IF(ROUND($H535,0)&gt;0,"● بستانکار",IF(ROUND($H535,0)&lt;0,"● بدهکار","تسویه")))</f>
        <v/>
      </c>
    </row>
    <row r="536">
      <c r="A536" s="21">
        <f>IF($B536="","",527)</f>
        <v/>
      </c>
      <c r="B536" s="32">
        <f>IF(527&gt;NBskParty,"",INDEX(PkBskParty,527))</f>
        <v/>
      </c>
      <c r="C536" s="25">
        <f>IF($B536="","",IFERROR(IF(VLOOKUP($B536,AcctTbl,4,0)="","(بدون نام)",VLOOKUP($B536,AcctTbl,4,0)),"—"))</f>
        <v/>
      </c>
      <c r="D536" s="23">
        <f>IF($B536="","",SUMIF(CalcPartyA,$B536,CalcQtyA))</f>
        <v/>
      </c>
      <c r="E536" s="23">
        <f>IF($B536="","",SUMIF(CalcPartyA,$B536,CalcAmtA))</f>
        <v/>
      </c>
      <c r="F536" s="23">
        <f>IF($B536="","",SUMIF(CalcPartyB,$B536,CalcWitB))</f>
        <v/>
      </c>
      <c r="G536" s="23">
        <f>IF($B536="","",SUMIF(CalcPartyB,$B536,CalcDepB))</f>
        <v/>
      </c>
      <c r="H536" s="24">
        <f>IF($B536="","",$E536-$F536+$G536)</f>
        <v/>
      </c>
      <c r="I536" s="22">
        <f>IF($B536="","",IF(ROUND($H536,0)&gt;0,"● بستانکار",IF(ROUND($H536,0)&lt;0,"● بدهکار","تسویه")))</f>
        <v/>
      </c>
    </row>
    <row r="537">
      <c r="A537" s="26">
        <f>IF($B537="","",528)</f>
        <v/>
      </c>
      <c r="B537" s="33">
        <f>IF(528&gt;NBskParty,"",INDEX(PkBskParty,528))</f>
        <v/>
      </c>
      <c r="C537" s="30">
        <f>IF($B537="","",IFERROR(IF(VLOOKUP($B537,AcctTbl,4,0)="","(بدون نام)",VLOOKUP($B537,AcctTbl,4,0)),"—"))</f>
        <v/>
      </c>
      <c r="D537" s="28">
        <f>IF($B537="","",SUMIF(CalcPartyA,$B537,CalcQtyA))</f>
        <v/>
      </c>
      <c r="E537" s="28">
        <f>IF($B537="","",SUMIF(CalcPartyA,$B537,CalcAmtA))</f>
        <v/>
      </c>
      <c r="F537" s="28">
        <f>IF($B537="","",SUMIF(CalcPartyB,$B537,CalcWitB))</f>
        <v/>
      </c>
      <c r="G537" s="28">
        <f>IF($B537="","",SUMIF(CalcPartyB,$B537,CalcDepB))</f>
        <v/>
      </c>
      <c r="H537" s="29">
        <f>IF($B537="","",$E537-$F537+$G537)</f>
        <v/>
      </c>
      <c r="I537" s="27">
        <f>IF($B537="","",IF(ROUND($H537,0)&gt;0,"● بستانکار",IF(ROUND($H537,0)&lt;0,"● بدهکار","تسویه")))</f>
        <v/>
      </c>
    </row>
    <row r="538">
      <c r="A538" s="21">
        <f>IF($B538="","",529)</f>
        <v/>
      </c>
      <c r="B538" s="32">
        <f>IF(529&gt;NBskParty,"",INDEX(PkBskParty,529))</f>
        <v/>
      </c>
      <c r="C538" s="25">
        <f>IF($B538="","",IFERROR(IF(VLOOKUP($B538,AcctTbl,4,0)="","(بدون نام)",VLOOKUP($B538,AcctTbl,4,0)),"—"))</f>
        <v/>
      </c>
      <c r="D538" s="23">
        <f>IF($B538="","",SUMIF(CalcPartyA,$B538,CalcQtyA))</f>
        <v/>
      </c>
      <c r="E538" s="23">
        <f>IF($B538="","",SUMIF(CalcPartyA,$B538,CalcAmtA))</f>
        <v/>
      </c>
      <c r="F538" s="23">
        <f>IF($B538="","",SUMIF(CalcPartyB,$B538,CalcWitB))</f>
        <v/>
      </c>
      <c r="G538" s="23">
        <f>IF($B538="","",SUMIF(CalcPartyB,$B538,CalcDepB))</f>
        <v/>
      </c>
      <c r="H538" s="24">
        <f>IF($B538="","",$E538-$F538+$G538)</f>
        <v/>
      </c>
      <c r="I538" s="22">
        <f>IF($B538="","",IF(ROUND($H538,0)&gt;0,"● بستانکار",IF(ROUND($H538,0)&lt;0,"● بدهکار","تسویه")))</f>
        <v/>
      </c>
    </row>
    <row r="539">
      <c r="A539" s="26">
        <f>IF($B539="","",530)</f>
        <v/>
      </c>
      <c r="B539" s="33">
        <f>IF(530&gt;NBskParty,"",INDEX(PkBskParty,530))</f>
        <v/>
      </c>
      <c r="C539" s="30">
        <f>IF($B539="","",IFERROR(IF(VLOOKUP($B539,AcctTbl,4,0)="","(بدون نام)",VLOOKUP($B539,AcctTbl,4,0)),"—"))</f>
        <v/>
      </c>
      <c r="D539" s="28">
        <f>IF($B539="","",SUMIF(CalcPartyA,$B539,CalcQtyA))</f>
        <v/>
      </c>
      <c r="E539" s="28">
        <f>IF($B539="","",SUMIF(CalcPartyA,$B539,CalcAmtA))</f>
        <v/>
      </c>
      <c r="F539" s="28">
        <f>IF($B539="","",SUMIF(CalcPartyB,$B539,CalcWitB))</f>
        <v/>
      </c>
      <c r="G539" s="28">
        <f>IF($B539="","",SUMIF(CalcPartyB,$B539,CalcDepB))</f>
        <v/>
      </c>
      <c r="H539" s="29">
        <f>IF($B539="","",$E539-$F539+$G539)</f>
        <v/>
      </c>
      <c r="I539" s="27">
        <f>IF($B539="","",IF(ROUND($H539,0)&gt;0,"● بستانکار",IF(ROUND($H539,0)&lt;0,"● بدهکار","تسویه")))</f>
        <v/>
      </c>
    </row>
    <row r="540">
      <c r="A540" s="21">
        <f>IF($B540="","",531)</f>
        <v/>
      </c>
      <c r="B540" s="32">
        <f>IF(531&gt;NBskParty,"",INDEX(PkBskParty,531))</f>
        <v/>
      </c>
      <c r="C540" s="25">
        <f>IF($B540="","",IFERROR(IF(VLOOKUP($B540,AcctTbl,4,0)="","(بدون نام)",VLOOKUP($B540,AcctTbl,4,0)),"—"))</f>
        <v/>
      </c>
      <c r="D540" s="23">
        <f>IF($B540="","",SUMIF(CalcPartyA,$B540,CalcQtyA))</f>
        <v/>
      </c>
      <c r="E540" s="23">
        <f>IF($B540="","",SUMIF(CalcPartyA,$B540,CalcAmtA))</f>
        <v/>
      </c>
      <c r="F540" s="23">
        <f>IF($B540="","",SUMIF(CalcPartyB,$B540,CalcWitB))</f>
        <v/>
      </c>
      <c r="G540" s="23">
        <f>IF($B540="","",SUMIF(CalcPartyB,$B540,CalcDepB))</f>
        <v/>
      </c>
      <c r="H540" s="24">
        <f>IF($B540="","",$E540-$F540+$G540)</f>
        <v/>
      </c>
      <c r="I540" s="22">
        <f>IF($B540="","",IF(ROUND($H540,0)&gt;0,"● بستانکار",IF(ROUND($H540,0)&lt;0,"● بدهکار","تسویه")))</f>
        <v/>
      </c>
    </row>
    <row r="541">
      <c r="A541" s="26">
        <f>IF($B541="","",532)</f>
        <v/>
      </c>
      <c r="B541" s="33">
        <f>IF(532&gt;NBskParty,"",INDEX(PkBskParty,532))</f>
        <v/>
      </c>
      <c r="C541" s="30">
        <f>IF($B541="","",IFERROR(IF(VLOOKUP($B541,AcctTbl,4,0)="","(بدون نام)",VLOOKUP($B541,AcctTbl,4,0)),"—"))</f>
        <v/>
      </c>
      <c r="D541" s="28">
        <f>IF($B541="","",SUMIF(CalcPartyA,$B541,CalcQtyA))</f>
        <v/>
      </c>
      <c r="E541" s="28">
        <f>IF($B541="","",SUMIF(CalcPartyA,$B541,CalcAmtA))</f>
        <v/>
      </c>
      <c r="F541" s="28">
        <f>IF($B541="","",SUMIF(CalcPartyB,$B541,CalcWitB))</f>
        <v/>
      </c>
      <c r="G541" s="28">
        <f>IF($B541="","",SUMIF(CalcPartyB,$B541,CalcDepB))</f>
        <v/>
      </c>
      <c r="H541" s="29">
        <f>IF($B541="","",$E541-$F541+$G541)</f>
        <v/>
      </c>
      <c r="I541" s="27">
        <f>IF($B541="","",IF(ROUND($H541,0)&gt;0,"● بستانکار",IF(ROUND($H541,0)&lt;0,"● بدهکار","تسویه")))</f>
        <v/>
      </c>
    </row>
    <row r="542">
      <c r="A542" s="21">
        <f>IF($B542="","",533)</f>
        <v/>
      </c>
      <c r="B542" s="32">
        <f>IF(533&gt;NBskParty,"",INDEX(PkBskParty,533))</f>
        <v/>
      </c>
      <c r="C542" s="25">
        <f>IF($B542="","",IFERROR(IF(VLOOKUP($B542,AcctTbl,4,0)="","(بدون نام)",VLOOKUP($B542,AcctTbl,4,0)),"—"))</f>
        <v/>
      </c>
      <c r="D542" s="23">
        <f>IF($B542="","",SUMIF(CalcPartyA,$B542,CalcQtyA))</f>
        <v/>
      </c>
      <c r="E542" s="23">
        <f>IF($B542="","",SUMIF(CalcPartyA,$B542,CalcAmtA))</f>
        <v/>
      </c>
      <c r="F542" s="23">
        <f>IF($B542="","",SUMIF(CalcPartyB,$B542,CalcWitB))</f>
        <v/>
      </c>
      <c r="G542" s="23">
        <f>IF($B542="","",SUMIF(CalcPartyB,$B542,CalcDepB))</f>
        <v/>
      </c>
      <c r="H542" s="24">
        <f>IF($B542="","",$E542-$F542+$G542)</f>
        <v/>
      </c>
      <c r="I542" s="22">
        <f>IF($B542="","",IF(ROUND($H542,0)&gt;0,"● بستانکار",IF(ROUND($H542,0)&lt;0,"● بدهکار","تسویه")))</f>
        <v/>
      </c>
    </row>
    <row r="543">
      <c r="A543" s="26">
        <f>IF($B543="","",534)</f>
        <v/>
      </c>
      <c r="B543" s="33">
        <f>IF(534&gt;NBskParty,"",INDEX(PkBskParty,534))</f>
        <v/>
      </c>
      <c r="C543" s="30">
        <f>IF($B543="","",IFERROR(IF(VLOOKUP($B543,AcctTbl,4,0)="","(بدون نام)",VLOOKUP($B543,AcctTbl,4,0)),"—"))</f>
        <v/>
      </c>
      <c r="D543" s="28">
        <f>IF($B543="","",SUMIF(CalcPartyA,$B543,CalcQtyA))</f>
        <v/>
      </c>
      <c r="E543" s="28">
        <f>IF($B543="","",SUMIF(CalcPartyA,$B543,CalcAmtA))</f>
        <v/>
      </c>
      <c r="F543" s="28">
        <f>IF($B543="","",SUMIF(CalcPartyB,$B543,CalcWitB))</f>
        <v/>
      </c>
      <c r="G543" s="28">
        <f>IF($B543="","",SUMIF(CalcPartyB,$B543,CalcDepB))</f>
        <v/>
      </c>
      <c r="H543" s="29">
        <f>IF($B543="","",$E543-$F543+$G543)</f>
        <v/>
      </c>
      <c r="I543" s="27">
        <f>IF($B543="","",IF(ROUND($H543,0)&gt;0,"● بستانکار",IF(ROUND($H543,0)&lt;0,"● بدهکار","تسویه")))</f>
        <v/>
      </c>
    </row>
    <row r="544">
      <c r="A544" s="21">
        <f>IF($B544="","",535)</f>
        <v/>
      </c>
      <c r="B544" s="32">
        <f>IF(535&gt;NBskParty,"",INDEX(PkBskParty,535))</f>
        <v/>
      </c>
      <c r="C544" s="25">
        <f>IF($B544="","",IFERROR(IF(VLOOKUP($B544,AcctTbl,4,0)="","(بدون نام)",VLOOKUP($B544,AcctTbl,4,0)),"—"))</f>
        <v/>
      </c>
      <c r="D544" s="23">
        <f>IF($B544="","",SUMIF(CalcPartyA,$B544,CalcQtyA))</f>
        <v/>
      </c>
      <c r="E544" s="23">
        <f>IF($B544="","",SUMIF(CalcPartyA,$B544,CalcAmtA))</f>
        <v/>
      </c>
      <c r="F544" s="23">
        <f>IF($B544="","",SUMIF(CalcPartyB,$B544,CalcWitB))</f>
        <v/>
      </c>
      <c r="G544" s="23">
        <f>IF($B544="","",SUMIF(CalcPartyB,$B544,CalcDepB))</f>
        <v/>
      </c>
      <c r="H544" s="24">
        <f>IF($B544="","",$E544-$F544+$G544)</f>
        <v/>
      </c>
      <c r="I544" s="22">
        <f>IF($B544="","",IF(ROUND($H544,0)&gt;0,"● بستانکار",IF(ROUND($H544,0)&lt;0,"● بدهکار","تسویه")))</f>
        <v/>
      </c>
    </row>
    <row r="545">
      <c r="A545" s="26">
        <f>IF($B545="","",536)</f>
        <v/>
      </c>
      <c r="B545" s="33">
        <f>IF(536&gt;NBskParty,"",INDEX(PkBskParty,536))</f>
        <v/>
      </c>
      <c r="C545" s="30">
        <f>IF($B545="","",IFERROR(IF(VLOOKUP($B545,AcctTbl,4,0)="","(بدون نام)",VLOOKUP($B545,AcctTbl,4,0)),"—"))</f>
        <v/>
      </c>
      <c r="D545" s="28">
        <f>IF($B545="","",SUMIF(CalcPartyA,$B545,CalcQtyA))</f>
        <v/>
      </c>
      <c r="E545" s="28">
        <f>IF($B545="","",SUMIF(CalcPartyA,$B545,CalcAmtA))</f>
        <v/>
      </c>
      <c r="F545" s="28">
        <f>IF($B545="","",SUMIF(CalcPartyB,$B545,CalcWitB))</f>
        <v/>
      </c>
      <c r="G545" s="28">
        <f>IF($B545="","",SUMIF(CalcPartyB,$B545,CalcDepB))</f>
        <v/>
      </c>
      <c r="H545" s="29">
        <f>IF($B545="","",$E545-$F545+$G545)</f>
        <v/>
      </c>
      <c r="I545" s="27">
        <f>IF($B545="","",IF(ROUND($H545,0)&gt;0,"● بستانکار",IF(ROUND($H545,0)&lt;0,"● بدهکار","تسویه")))</f>
        <v/>
      </c>
    </row>
    <row r="546">
      <c r="A546" s="21">
        <f>IF($B546="","",537)</f>
        <v/>
      </c>
      <c r="B546" s="32">
        <f>IF(537&gt;NBskParty,"",INDEX(PkBskParty,537))</f>
        <v/>
      </c>
      <c r="C546" s="25">
        <f>IF($B546="","",IFERROR(IF(VLOOKUP($B546,AcctTbl,4,0)="","(بدون نام)",VLOOKUP($B546,AcctTbl,4,0)),"—"))</f>
        <v/>
      </c>
      <c r="D546" s="23">
        <f>IF($B546="","",SUMIF(CalcPartyA,$B546,CalcQtyA))</f>
        <v/>
      </c>
      <c r="E546" s="23">
        <f>IF($B546="","",SUMIF(CalcPartyA,$B546,CalcAmtA))</f>
        <v/>
      </c>
      <c r="F546" s="23">
        <f>IF($B546="","",SUMIF(CalcPartyB,$B546,CalcWitB))</f>
        <v/>
      </c>
      <c r="G546" s="23">
        <f>IF($B546="","",SUMIF(CalcPartyB,$B546,CalcDepB))</f>
        <v/>
      </c>
      <c r="H546" s="24">
        <f>IF($B546="","",$E546-$F546+$G546)</f>
        <v/>
      </c>
      <c r="I546" s="22">
        <f>IF($B546="","",IF(ROUND($H546,0)&gt;0,"● بستانکار",IF(ROUND($H546,0)&lt;0,"● بدهکار","تسویه")))</f>
        <v/>
      </c>
    </row>
    <row r="547">
      <c r="A547" s="26">
        <f>IF($B547="","",538)</f>
        <v/>
      </c>
      <c r="B547" s="33">
        <f>IF(538&gt;NBskParty,"",INDEX(PkBskParty,538))</f>
        <v/>
      </c>
      <c r="C547" s="30">
        <f>IF($B547="","",IFERROR(IF(VLOOKUP($B547,AcctTbl,4,0)="","(بدون نام)",VLOOKUP($B547,AcctTbl,4,0)),"—"))</f>
        <v/>
      </c>
      <c r="D547" s="28">
        <f>IF($B547="","",SUMIF(CalcPartyA,$B547,CalcQtyA))</f>
        <v/>
      </c>
      <c r="E547" s="28">
        <f>IF($B547="","",SUMIF(CalcPartyA,$B547,CalcAmtA))</f>
        <v/>
      </c>
      <c r="F547" s="28">
        <f>IF($B547="","",SUMIF(CalcPartyB,$B547,CalcWitB))</f>
        <v/>
      </c>
      <c r="G547" s="28">
        <f>IF($B547="","",SUMIF(CalcPartyB,$B547,CalcDepB))</f>
        <v/>
      </c>
      <c r="H547" s="29">
        <f>IF($B547="","",$E547-$F547+$G547)</f>
        <v/>
      </c>
      <c r="I547" s="27">
        <f>IF($B547="","",IF(ROUND($H547,0)&gt;0,"● بستانکار",IF(ROUND($H547,0)&lt;0,"● بدهکار","تسویه")))</f>
        <v/>
      </c>
    </row>
    <row r="548">
      <c r="A548" s="21">
        <f>IF($B548="","",539)</f>
        <v/>
      </c>
      <c r="B548" s="32">
        <f>IF(539&gt;NBskParty,"",INDEX(PkBskParty,539))</f>
        <v/>
      </c>
      <c r="C548" s="25">
        <f>IF($B548="","",IFERROR(IF(VLOOKUP($B548,AcctTbl,4,0)="","(بدون نام)",VLOOKUP($B548,AcctTbl,4,0)),"—"))</f>
        <v/>
      </c>
      <c r="D548" s="23">
        <f>IF($B548="","",SUMIF(CalcPartyA,$B548,CalcQtyA))</f>
        <v/>
      </c>
      <c r="E548" s="23">
        <f>IF($B548="","",SUMIF(CalcPartyA,$B548,CalcAmtA))</f>
        <v/>
      </c>
      <c r="F548" s="23">
        <f>IF($B548="","",SUMIF(CalcPartyB,$B548,CalcWitB))</f>
        <v/>
      </c>
      <c r="G548" s="23">
        <f>IF($B548="","",SUMIF(CalcPartyB,$B548,CalcDepB))</f>
        <v/>
      </c>
      <c r="H548" s="24">
        <f>IF($B548="","",$E548-$F548+$G548)</f>
        <v/>
      </c>
      <c r="I548" s="22">
        <f>IF($B548="","",IF(ROUND($H548,0)&gt;0,"● بستانکار",IF(ROUND($H548,0)&lt;0,"● بدهکار","تسویه")))</f>
        <v/>
      </c>
    </row>
    <row r="549">
      <c r="A549" s="26">
        <f>IF($B549="","",540)</f>
        <v/>
      </c>
      <c r="B549" s="33">
        <f>IF(540&gt;NBskParty,"",INDEX(PkBskParty,540))</f>
        <v/>
      </c>
      <c r="C549" s="30">
        <f>IF($B549="","",IFERROR(IF(VLOOKUP($B549,AcctTbl,4,0)="","(بدون نام)",VLOOKUP($B549,AcctTbl,4,0)),"—"))</f>
        <v/>
      </c>
      <c r="D549" s="28">
        <f>IF($B549="","",SUMIF(CalcPartyA,$B549,CalcQtyA))</f>
        <v/>
      </c>
      <c r="E549" s="28">
        <f>IF($B549="","",SUMIF(CalcPartyA,$B549,CalcAmtA))</f>
        <v/>
      </c>
      <c r="F549" s="28">
        <f>IF($B549="","",SUMIF(CalcPartyB,$B549,CalcWitB))</f>
        <v/>
      </c>
      <c r="G549" s="28">
        <f>IF($B549="","",SUMIF(CalcPartyB,$B549,CalcDepB))</f>
        <v/>
      </c>
      <c r="H549" s="29">
        <f>IF($B549="","",$E549-$F549+$G549)</f>
        <v/>
      </c>
      <c r="I549" s="27">
        <f>IF($B549="","",IF(ROUND($H549,0)&gt;0,"● بستانکار",IF(ROUND($H549,0)&lt;0,"● بدهکار","تسویه")))</f>
        <v/>
      </c>
    </row>
    <row r="550">
      <c r="A550" s="21">
        <f>IF($B550="","",541)</f>
        <v/>
      </c>
      <c r="B550" s="32">
        <f>IF(541&gt;NBskParty,"",INDEX(PkBskParty,541))</f>
        <v/>
      </c>
      <c r="C550" s="25">
        <f>IF($B550="","",IFERROR(IF(VLOOKUP($B550,AcctTbl,4,0)="","(بدون نام)",VLOOKUP($B550,AcctTbl,4,0)),"—"))</f>
        <v/>
      </c>
      <c r="D550" s="23">
        <f>IF($B550="","",SUMIF(CalcPartyA,$B550,CalcQtyA))</f>
        <v/>
      </c>
      <c r="E550" s="23">
        <f>IF($B550="","",SUMIF(CalcPartyA,$B550,CalcAmtA))</f>
        <v/>
      </c>
      <c r="F550" s="23">
        <f>IF($B550="","",SUMIF(CalcPartyB,$B550,CalcWitB))</f>
        <v/>
      </c>
      <c r="G550" s="23">
        <f>IF($B550="","",SUMIF(CalcPartyB,$B550,CalcDepB))</f>
        <v/>
      </c>
      <c r="H550" s="24">
        <f>IF($B550="","",$E550-$F550+$G550)</f>
        <v/>
      </c>
      <c r="I550" s="22">
        <f>IF($B550="","",IF(ROUND($H550,0)&gt;0,"● بستانکار",IF(ROUND($H550,0)&lt;0,"● بدهکار","تسویه")))</f>
        <v/>
      </c>
    </row>
    <row r="551">
      <c r="A551" s="26">
        <f>IF($B551="","",542)</f>
        <v/>
      </c>
      <c r="B551" s="33">
        <f>IF(542&gt;NBskParty,"",INDEX(PkBskParty,542))</f>
        <v/>
      </c>
      <c r="C551" s="30">
        <f>IF($B551="","",IFERROR(IF(VLOOKUP($B551,AcctTbl,4,0)="","(بدون نام)",VLOOKUP($B551,AcctTbl,4,0)),"—"))</f>
        <v/>
      </c>
      <c r="D551" s="28">
        <f>IF($B551="","",SUMIF(CalcPartyA,$B551,CalcQtyA))</f>
        <v/>
      </c>
      <c r="E551" s="28">
        <f>IF($B551="","",SUMIF(CalcPartyA,$B551,CalcAmtA))</f>
        <v/>
      </c>
      <c r="F551" s="28">
        <f>IF($B551="","",SUMIF(CalcPartyB,$B551,CalcWitB))</f>
        <v/>
      </c>
      <c r="G551" s="28">
        <f>IF($B551="","",SUMIF(CalcPartyB,$B551,CalcDepB))</f>
        <v/>
      </c>
      <c r="H551" s="29">
        <f>IF($B551="","",$E551-$F551+$G551)</f>
        <v/>
      </c>
      <c r="I551" s="27">
        <f>IF($B551="","",IF(ROUND($H551,0)&gt;0,"● بستانکار",IF(ROUND($H551,0)&lt;0,"● بدهکار","تسویه")))</f>
        <v/>
      </c>
    </row>
    <row r="552">
      <c r="A552" s="21">
        <f>IF($B552="","",543)</f>
        <v/>
      </c>
      <c r="B552" s="32">
        <f>IF(543&gt;NBskParty,"",INDEX(PkBskParty,543))</f>
        <v/>
      </c>
      <c r="C552" s="25">
        <f>IF($B552="","",IFERROR(IF(VLOOKUP($B552,AcctTbl,4,0)="","(بدون نام)",VLOOKUP($B552,AcctTbl,4,0)),"—"))</f>
        <v/>
      </c>
      <c r="D552" s="23">
        <f>IF($B552="","",SUMIF(CalcPartyA,$B552,CalcQtyA))</f>
        <v/>
      </c>
      <c r="E552" s="23">
        <f>IF($B552="","",SUMIF(CalcPartyA,$B552,CalcAmtA))</f>
        <v/>
      </c>
      <c r="F552" s="23">
        <f>IF($B552="","",SUMIF(CalcPartyB,$B552,CalcWitB))</f>
        <v/>
      </c>
      <c r="G552" s="23">
        <f>IF($B552="","",SUMIF(CalcPartyB,$B552,CalcDepB))</f>
        <v/>
      </c>
      <c r="H552" s="24">
        <f>IF($B552="","",$E552-$F552+$G552)</f>
        <v/>
      </c>
      <c r="I552" s="22">
        <f>IF($B552="","",IF(ROUND($H552,0)&gt;0,"● بستانکار",IF(ROUND($H552,0)&lt;0,"● بدهکار","تسویه")))</f>
        <v/>
      </c>
    </row>
    <row r="553">
      <c r="A553" s="26">
        <f>IF($B553="","",544)</f>
        <v/>
      </c>
      <c r="B553" s="33">
        <f>IF(544&gt;NBskParty,"",INDEX(PkBskParty,544))</f>
        <v/>
      </c>
      <c r="C553" s="30">
        <f>IF($B553="","",IFERROR(IF(VLOOKUP($B553,AcctTbl,4,0)="","(بدون نام)",VLOOKUP($B553,AcctTbl,4,0)),"—"))</f>
        <v/>
      </c>
      <c r="D553" s="28">
        <f>IF($B553="","",SUMIF(CalcPartyA,$B553,CalcQtyA))</f>
        <v/>
      </c>
      <c r="E553" s="28">
        <f>IF($B553="","",SUMIF(CalcPartyA,$B553,CalcAmtA))</f>
        <v/>
      </c>
      <c r="F553" s="28">
        <f>IF($B553="","",SUMIF(CalcPartyB,$B553,CalcWitB))</f>
        <v/>
      </c>
      <c r="G553" s="28">
        <f>IF($B553="","",SUMIF(CalcPartyB,$B553,CalcDepB))</f>
        <v/>
      </c>
      <c r="H553" s="29">
        <f>IF($B553="","",$E553-$F553+$G553)</f>
        <v/>
      </c>
      <c r="I553" s="27">
        <f>IF($B553="","",IF(ROUND($H553,0)&gt;0,"● بستانکار",IF(ROUND($H553,0)&lt;0,"● بدهکار","تسویه")))</f>
        <v/>
      </c>
    </row>
    <row r="554">
      <c r="A554" s="21">
        <f>IF($B554="","",545)</f>
        <v/>
      </c>
      <c r="B554" s="32">
        <f>IF(545&gt;NBskParty,"",INDEX(PkBskParty,545))</f>
        <v/>
      </c>
      <c r="C554" s="25">
        <f>IF($B554="","",IFERROR(IF(VLOOKUP($B554,AcctTbl,4,0)="","(بدون نام)",VLOOKUP($B554,AcctTbl,4,0)),"—"))</f>
        <v/>
      </c>
      <c r="D554" s="23">
        <f>IF($B554="","",SUMIF(CalcPartyA,$B554,CalcQtyA))</f>
        <v/>
      </c>
      <c r="E554" s="23">
        <f>IF($B554="","",SUMIF(CalcPartyA,$B554,CalcAmtA))</f>
        <v/>
      </c>
      <c r="F554" s="23">
        <f>IF($B554="","",SUMIF(CalcPartyB,$B554,CalcWitB))</f>
        <v/>
      </c>
      <c r="G554" s="23">
        <f>IF($B554="","",SUMIF(CalcPartyB,$B554,CalcDepB))</f>
        <v/>
      </c>
      <c r="H554" s="24">
        <f>IF($B554="","",$E554-$F554+$G554)</f>
        <v/>
      </c>
      <c r="I554" s="22">
        <f>IF($B554="","",IF(ROUND($H554,0)&gt;0,"● بستانکار",IF(ROUND($H554,0)&lt;0,"● بدهکار","تسویه")))</f>
        <v/>
      </c>
    </row>
    <row r="555">
      <c r="A555" s="26">
        <f>IF($B555="","",546)</f>
        <v/>
      </c>
      <c r="B555" s="33">
        <f>IF(546&gt;NBskParty,"",INDEX(PkBskParty,546))</f>
        <v/>
      </c>
      <c r="C555" s="30">
        <f>IF($B555="","",IFERROR(IF(VLOOKUP($B555,AcctTbl,4,0)="","(بدون نام)",VLOOKUP($B555,AcctTbl,4,0)),"—"))</f>
        <v/>
      </c>
      <c r="D555" s="28">
        <f>IF($B555="","",SUMIF(CalcPartyA,$B555,CalcQtyA))</f>
        <v/>
      </c>
      <c r="E555" s="28">
        <f>IF($B555="","",SUMIF(CalcPartyA,$B555,CalcAmtA))</f>
        <v/>
      </c>
      <c r="F555" s="28">
        <f>IF($B555="","",SUMIF(CalcPartyB,$B555,CalcWitB))</f>
        <v/>
      </c>
      <c r="G555" s="28">
        <f>IF($B555="","",SUMIF(CalcPartyB,$B555,CalcDepB))</f>
        <v/>
      </c>
      <c r="H555" s="29">
        <f>IF($B555="","",$E555-$F555+$G555)</f>
        <v/>
      </c>
      <c r="I555" s="27">
        <f>IF($B555="","",IF(ROUND($H555,0)&gt;0,"● بستانکار",IF(ROUND($H555,0)&lt;0,"● بدهکار","تسویه")))</f>
        <v/>
      </c>
    </row>
    <row r="556">
      <c r="A556" s="21">
        <f>IF($B556="","",547)</f>
        <v/>
      </c>
      <c r="B556" s="32">
        <f>IF(547&gt;NBskParty,"",INDEX(PkBskParty,547))</f>
        <v/>
      </c>
      <c r="C556" s="25">
        <f>IF($B556="","",IFERROR(IF(VLOOKUP($B556,AcctTbl,4,0)="","(بدون نام)",VLOOKUP($B556,AcctTbl,4,0)),"—"))</f>
        <v/>
      </c>
      <c r="D556" s="23">
        <f>IF($B556="","",SUMIF(CalcPartyA,$B556,CalcQtyA))</f>
        <v/>
      </c>
      <c r="E556" s="23">
        <f>IF($B556="","",SUMIF(CalcPartyA,$B556,CalcAmtA))</f>
        <v/>
      </c>
      <c r="F556" s="23">
        <f>IF($B556="","",SUMIF(CalcPartyB,$B556,CalcWitB))</f>
        <v/>
      </c>
      <c r="G556" s="23">
        <f>IF($B556="","",SUMIF(CalcPartyB,$B556,CalcDepB))</f>
        <v/>
      </c>
      <c r="H556" s="24">
        <f>IF($B556="","",$E556-$F556+$G556)</f>
        <v/>
      </c>
      <c r="I556" s="22">
        <f>IF($B556="","",IF(ROUND($H556,0)&gt;0,"● بستانکار",IF(ROUND($H556,0)&lt;0,"● بدهکار","تسویه")))</f>
        <v/>
      </c>
    </row>
    <row r="557">
      <c r="A557" s="26">
        <f>IF($B557="","",548)</f>
        <v/>
      </c>
      <c r="B557" s="33">
        <f>IF(548&gt;NBskParty,"",INDEX(PkBskParty,548))</f>
        <v/>
      </c>
      <c r="C557" s="30">
        <f>IF($B557="","",IFERROR(IF(VLOOKUP($B557,AcctTbl,4,0)="","(بدون نام)",VLOOKUP($B557,AcctTbl,4,0)),"—"))</f>
        <v/>
      </c>
      <c r="D557" s="28">
        <f>IF($B557="","",SUMIF(CalcPartyA,$B557,CalcQtyA))</f>
        <v/>
      </c>
      <c r="E557" s="28">
        <f>IF($B557="","",SUMIF(CalcPartyA,$B557,CalcAmtA))</f>
        <v/>
      </c>
      <c r="F557" s="28">
        <f>IF($B557="","",SUMIF(CalcPartyB,$B557,CalcWitB))</f>
        <v/>
      </c>
      <c r="G557" s="28">
        <f>IF($B557="","",SUMIF(CalcPartyB,$B557,CalcDepB))</f>
        <v/>
      </c>
      <c r="H557" s="29">
        <f>IF($B557="","",$E557-$F557+$G557)</f>
        <v/>
      </c>
      <c r="I557" s="27">
        <f>IF($B557="","",IF(ROUND($H557,0)&gt;0,"● بستانکار",IF(ROUND($H557,0)&lt;0,"● بدهکار","تسویه")))</f>
        <v/>
      </c>
    </row>
    <row r="558">
      <c r="A558" s="21">
        <f>IF($B558="","",549)</f>
        <v/>
      </c>
      <c r="B558" s="32">
        <f>IF(549&gt;NBskParty,"",INDEX(PkBskParty,549))</f>
        <v/>
      </c>
      <c r="C558" s="25">
        <f>IF($B558="","",IFERROR(IF(VLOOKUP($B558,AcctTbl,4,0)="","(بدون نام)",VLOOKUP($B558,AcctTbl,4,0)),"—"))</f>
        <v/>
      </c>
      <c r="D558" s="23">
        <f>IF($B558="","",SUMIF(CalcPartyA,$B558,CalcQtyA))</f>
        <v/>
      </c>
      <c r="E558" s="23">
        <f>IF($B558="","",SUMIF(CalcPartyA,$B558,CalcAmtA))</f>
        <v/>
      </c>
      <c r="F558" s="23">
        <f>IF($B558="","",SUMIF(CalcPartyB,$B558,CalcWitB))</f>
        <v/>
      </c>
      <c r="G558" s="23">
        <f>IF($B558="","",SUMIF(CalcPartyB,$B558,CalcDepB))</f>
        <v/>
      </c>
      <c r="H558" s="24">
        <f>IF($B558="","",$E558-$F558+$G558)</f>
        <v/>
      </c>
      <c r="I558" s="22">
        <f>IF($B558="","",IF(ROUND($H558,0)&gt;0,"● بستانکار",IF(ROUND($H558,0)&lt;0,"● بدهکار","تسویه")))</f>
        <v/>
      </c>
    </row>
    <row r="559">
      <c r="A559" s="26">
        <f>IF($B559="","",550)</f>
        <v/>
      </c>
      <c r="B559" s="33">
        <f>IF(550&gt;NBskParty,"",INDEX(PkBskParty,550))</f>
        <v/>
      </c>
      <c r="C559" s="30">
        <f>IF($B559="","",IFERROR(IF(VLOOKUP($B559,AcctTbl,4,0)="","(بدون نام)",VLOOKUP($B559,AcctTbl,4,0)),"—"))</f>
        <v/>
      </c>
      <c r="D559" s="28">
        <f>IF($B559="","",SUMIF(CalcPartyA,$B559,CalcQtyA))</f>
        <v/>
      </c>
      <c r="E559" s="28">
        <f>IF($B559="","",SUMIF(CalcPartyA,$B559,CalcAmtA))</f>
        <v/>
      </c>
      <c r="F559" s="28">
        <f>IF($B559="","",SUMIF(CalcPartyB,$B559,CalcWitB))</f>
        <v/>
      </c>
      <c r="G559" s="28">
        <f>IF($B559="","",SUMIF(CalcPartyB,$B559,CalcDepB))</f>
        <v/>
      </c>
      <c r="H559" s="29">
        <f>IF($B559="","",$E559-$F559+$G559)</f>
        <v/>
      </c>
      <c r="I559" s="27">
        <f>IF($B559="","",IF(ROUND($H559,0)&gt;0,"● بستانکار",IF(ROUND($H559,0)&lt;0,"● بدهکار","تسویه")))</f>
        <v/>
      </c>
    </row>
    <row r="560">
      <c r="A560" s="21">
        <f>IF($B560="","",551)</f>
        <v/>
      </c>
      <c r="B560" s="32">
        <f>IF(551&gt;NBskParty,"",INDEX(PkBskParty,551))</f>
        <v/>
      </c>
      <c r="C560" s="25">
        <f>IF($B560="","",IFERROR(IF(VLOOKUP($B560,AcctTbl,4,0)="","(بدون نام)",VLOOKUP($B560,AcctTbl,4,0)),"—"))</f>
        <v/>
      </c>
      <c r="D560" s="23">
        <f>IF($B560="","",SUMIF(CalcPartyA,$B560,CalcQtyA))</f>
        <v/>
      </c>
      <c r="E560" s="23">
        <f>IF($B560="","",SUMIF(CalcPartyA,$B560,CalcAmtA))</f>
        <v/>
      </c>
      <c r="F560" s="23">
        <f>IF($B560="","",SUMIF(CalcPartyB,$B560,CalcWitB))</f>
        <v/>
      </c>
      <c r="G560" s="23">
        <f>IF($B560="","",SUMIF(CalcPartyB,$B560,CalcDepB))</f>
        <v/>
      </c>
      <c r="H560" s="24">
        <f>IF($B560="","",$E560-$F560+$G560)</f>
        <v/>
      </c>
      <c r="I560" s="22">
        <f>IF($B560="","",IF(ROUND($H560,0)&gt;0,"● بستانکار",IF(ROUND($H560,0)&lt;0,"● بدهکار","تسویه")))</f>
        <v/>
      </c>
    </row>
    <row r="561">
      <c r="A561" s="26">
        <f>IF($B561="","",552)</f>
        <v/>
      </c>
      <c r="B561" s="33">
        <f>IF(552&gt;NBskParty,"",INDEX(PkBskParty,552))</f>
        <v/>
      </c>
      <c r="C561" s="30">
        <f>IF($B561="","",IFERROR(IF(VLOOKUP($B561,AcctTbl,4,0)="","(بدون نام)",VLOOKUP($B561,AcctTbl,4,0)),"—"))</f>
        <v/>
      </c>
      <c r="D561" s="28">
        <f>IF($B561="","",SUMIF(CalcPartyA,$B561,CalcQtyA))</f>
        <v/>
      </c>
      <c r="E561" s="28">
        <f>IF($B561="","",SUMIF(CalcPartyA,$B561,CalcAmtA))</f>
        <v/>
      </c>
      <c r="F561" s="28">
        <f>IF($B561="","",SUMIF(CalcPartyB,$B561,CalcWitB))</f>
        <v/>
      </c>
      <c r="G561" s="28">
        <f>IF($B561="","",SUMIF(CalcPartyB,$B561,CalcDepB))</f>
        <v/>
      </c>
      <c r="H561" s="29">
        <f>IF($B561="","",$E561-$F561+$G561)</f>
        <v/>
      </c>
      <c r="I561" s="27">
        <f>IF($B561="","",IF(ROUND($H561,0)&gt;0,"● بستانکار",IF(ROUND($H561,0)&lt;0,"● بدهکار","تسویه")))</f>
        <v/>
      </c>
    </row>
    <row r="562">
      <c r="A562" s="21">
        <f>IF($B562="","",553)</f>
        <v/>
      </c>
      <c r="B562" s="32">
        <f>IF(553&gt;NBskParty,"",INDEX(PkBskParty,553))</f>
        <v/>
      </c>
      <c r="C562" s="25">
        <f>IF($B562="","",IFERROR(IF(VLOOKUP($B562,AcctTbl,4,0)="","(بدون نام)",VLOOKUP($B562,AcctTbl,4,0)),"—"))</f>
        <v/>
      </c>
      <c r="D562" s="23">
        <f>IF($B562="","",SUMIF(CalcPartyA,$B562,CalcQtyA))</f>
        <v/>
      </c>
      <c r="E562" s="23">
        <f>IF($B562="","",SUMIF(CalcPartyA,$B562,CalcAmtA))</f>
        <v/>
      </c>
      <c r="F562" s="23">
        <f>IF($B562="","",SUMIF(CalcPartyB,$B562,CalcWitB))</f>
        <v/>
      </c>
      <c r="G562" s="23">
        <f>IF($B562="","",SUMIF(CalcPartyB,$B562,CalcDepB))</f>
        <v/>
      </c>
      <c r="H562" s="24">
        <f>IF($B562="","",$E562-$F562+$G562)</f>
        <v/>
      </c>
      <c r="I562" s="22">
        <f>IF($B562="","",IF(ROUND($H562,0)&gt;0,"● بستانکار",IF(ROUND($H562,0)&lt;0,"● بدهکار","تسویه")))</f>
        <v/>
      </c>
    </row>
    <row r="563">
      <c r="A563" s="26">
        <f>IF($B563="","",554)</f>
        <v/>
      </c>
      <c r="B563" s="33">
        <f>IF(554&gt;NBskParty,"",INDEX(PkBskParty,554))</f>
        <v/>
      </c>
      <c r="C563" s="30">
        <f>IF($B563="","",IFERROR(IF(VLOOKUP($B563,AcctTbl,4,0)="","(بدون نام)",VLOOKUP($B563,AcctTbl,4,0)),"—"))</f>
        <v/>
      </c>
      <c r="D563" s="28">
        <f>IF($B563="","",SUMIF(CalcPartyA,$B563,CalcQtyA))</f>
        <v/>
      </c>
      <c r="E563" s="28">
        <f>IF($B563="","",SUMIF(CalcPartyA,$B563,CalcAmtA))</f>
        <v/>
      </c>
      <c r="F563" s="28">
        <f>IF($B563="","",SUMIF(CalcPartyB,$B563,CalcWitB))</f>
        <v/>
      </c>
      <c r="G563" s="28">
        <f>IF($B563="","",SUMIF(CalcPartyB,$B563,CalcDepB))</f>
        <v/>
      </c>
      <c r="H563" s="29">
        <f>IF($B563="","",$E563-$F563+$G563)</f>
        <v/>
      </c>
      <c r="I563" s="27">
        <f>IF($B563="","",IF(ROUND($H563,0)&gt;0,"● بستانکار",IF(ROUND($H563,0)&lt;0,"● بدهکار","تسویه")))</f>
        <v/>
      </c>
    </row>
    <row r="564">
      <c r="A564" s="21">
        <f>IF($B564="","",555)</f>
        <v/>
      </c>
      <c r="B564" s="32">
        <f>IF(555&gt;NBskParty,"",INDEX(PkBskParty,555))</f>
        <v/>
      </c>
      <c r="C564" s="25">
        <f>IF($B564="","",IFERROR(IF(VLOOKUP($B564,AcctTbl,4,0)="","(بدون نام)",VLOOKUP($B564,AcctTbl,4,0)),"—"))</f>
        <v/>
      </c>
      <c r="D564" s="23">
        <f>IF($B564="","",SUMIF(CalcPartyA,$B564,CalcQtyA))</f>
        <v/>
      </c>
      <c r="E564" s="23">
        <f>IF($B564="","",SUMIF(CalcPartyA,$B564,CalcAmtA))</f>
        <v/>
      </c>
      <c r="F564" s="23">
        <f>IF($B564="","",SUMIF(CalcPartyB,$B564,CalcWitB))</f>
        <v/>
      </c>
      <c r="G564" s="23">
        <f>IF($B564="","",SUMIF(CalcPartyB,$B564,CalcDepB))</f>
        <v/>
      </c>
      <c r="H564" s="24">
        <f>IF($B564="","",$E564-$F564+$G564)</f>
        <v/>
      </c>
      <c r="I564" s="22">
        <f>IF($B564="","",IF(ROUND($H564,0)&gt;0,"● بستانکار",IF(ROUND($H564,0)&lt;0,"● بدهکار","تسویه")))</f>
        <v/>
      </c>
    </row>
    <row r="565">
      <c r="A565" s="26">
        <f>IF($B565="","",556)</f>
        <v/>
      </c>
      <c r="B565" s="33">
        <f>IF(556&gt;NBskParty,"",INDEX(PkBskParty,556))</f>
        <v/>
      </c>
      <c r="C565" s="30">
        <f>IF($B565="","",IFERROR(IF(VLOOKUP($B565,AcctTbl,4,0)="","(بدون نام)",VLOOKUP($B565,AcctTbl,4,0)),"—"))</f>
        <v/>
      </c>
      <c r="D565" s="28">
        <f>IF($B565="","",SUMIF(CalcPartyA,$B565,CalcQtyA))</f>
        <v/>
      </c>
      <c r="E565" s="28">
        <f>IF($B565="","",SUMIF(CalcPartyA,$B565,CalcAmtA))</f>
        <v/>
      </c>
      <c r="F565" s="28">
        <f>IF($B565="","",SUMIF(CalcPartyB,$B565,CalcWitB))</f>
        <v/>
      </c>
      <c r="G565" s="28">
        <f>IF($B565="","",SUMIF(CalcPartyB,$B565,CalcDepB))</f>
        <v/>
      </c>
      <c r="H565" s="29">
        <f>IF($B565="","",$E565-$F565+$G565)</f>
        <v/>
      </c>
      <c r="I565" s="27">
        <f>IF($B565="","",IF(ROUND($H565,0)&gt;0,"● بستانکار",IF(ROUND($H565,0)&lt;0,"● بدهکار","تسویه")))</f>
        <v/>
      </c>
    </row>
    <row r="566">
      <c r="A566" s="21">
        <f>IF($B566="","",557)</f>
        <v/>
      </c>
      <c r="B566" s="32">
        <f>IF(557&gt;NBskParty,"",INDEX(PkBskParty,557))</f>
        <v/>
      </c>
      <c r="C566" s="25">
        <f>IF($B566="","",IFERROR(IF(VLOOKUP($B566,AcctTbl,4,0)="","(بدون نام)",VLOOKUP($B566,AcctTbl,4,0)),"—"))</f>
        <v/>
      </c>
      <c r="D566" s="23">
        <f>IF($B566="","",SUMIF(CalcPartyA,$B566,CalcQtyA))</f>
        <v/>
      </c>
      <c r="E566" s="23">
        <f>IF($B566="","",SUMIF(CalcPartyA,$B566,CalcAmtA))</f>
        <v/>
      </c>
      <c r="F566" s="23">
        <f>IF($B566="","",SUMIF(CalcPartyB,$B566,CalcWitB))</f>
        <v/>
      </c>
      <c r="G566" s="23">
        <f>IF($B566="","",SUMIF(CalcPartyB,$B566,CalcDepB))</f>
        <v/>
      </c>
      <c r="H566" s="24">
        <f>IF($B566="","",$E566-$F566+$G566)</f>
        <v/>
      </c>
      <c r="I566" s="22">
        <f>IF($B566="","",IF(ROUND($H566,0)&gt;0,"● بستانکار",IF(ROUND($H566,0)&lt;0,"● بدهکار","تسویه")))</f>
        <v/>
      </c>
    </row>
    <row r="567">
      <c r="A567" s="26">
        <f>IF($B567="","",558)</f>
        <v/>
      </c>
      <c r="B567" s="33">
        <f>IF(558&gt;NBskParty,"",INDEX(PkBskParty,558))</f>
        <v/>
      </c>
      <c r="C567" s="30">
        <f>IF($B567="","",IFERROR(IF(VLOOKUP($B567,AcctTbl,4,0)="","(بدون نام)",VLOOKUP($B567,AcctTbl,4,0)),"—"))</f>
        <v/>
      </c>
      <c r="D567" s="28">
        <f>IF($B567="","",SUMIF(CalcPartyA,$B567,CalcQtyA))</f>
        <v/>
      </c>
      <c r="E567" s="28">
        <f>IF($B567="","",SUMIF(CalcPartyA,$B567,CalcAmtA))</f>
        <v/>
      </c>
      <c r="F567" s="28">
        <f>IF($B567="","",SUMIF(CalcPartyB,$B567,CalcWitB))</f>
        <v/>
      </c>
      <c r="G567" s="28">
        <f>IF($B567="","",SUMIF(CalcPartyB,$B567,CalcDepB))</f>
        <v/>
      </c>
      <c r="H567" s="29">
        <f>IF($B567="","",$E567-$F567+$G567)</f>
        <v/>
      </c>
      <c r="I567" s="27">
        <f>IF($B567="","",IF(ROUND($H567,0)&gt;0,"● بستانکار",IF(ROUND($H567,0)&lt;0,"● بدهکار","تسویه")))</f>
        <v/>
      </c>
    </row>
    <row r="568">
      <c r="A568" s="21">
        <f>IF($B568="","",559)</f>
        <v/>
      </c>
      <c r="B568" s="32">
        <f>IF(559&gt;NBskParty,"",INDEX(PkBskParty,559))</f>
        <v/>
      </c>
      <c r="C568" s="25">
        <f>IF($B568="","",IFERROR(IF(VLOOKUP($B568,AcctTbl,4,0)="","(بدون نام)",VLOOKUP($B568,AcctTbl,4,0)),"—"))</f>
        <v/>
      </c>
      <c r="D568" s="23">
        <f>IF($B568="","",SUMIF(CalcPartyA,$B568,CalcQtyA))</f>
        <v/>
      </c>
      <c r="E568" s="23">
        <f>IF($B568="","",SUMIF(CalcPartyA,$B568,CalcAmtA))</f>
        <v/>
      </c>
      <c r="F568" s="23">
        <f>IF($B568="","",SUMIF(CalcPartyB,$B568,CalcWitB))</f>
        <v/>
      </c>
      <c r="G568" s="23">
        <f>IF($B568="","",SUMIF(CalcPartyB,$B568,CalcDepB))</f>
        <v/>
      </c>
      <c r="H568" s="24">
        <f>IF($B568="","",$E568-$F568+$G568)</f>
        <v/>
      </c>
      <c r="I568" s="22">
        <f>IF($B568="","",IF(ROUND($H568,0)&gt;0,"● بستانکار",IF(ROUND($H568,0)&lt;0,"● بدهکار","تسویه")))</f>
        <v/>
      </c>
    </row>
    <row r="569">
      <c r="A569" s="26">
        <f>IF($B569="","",560)</f>
        <v/>
      </c>
      <c r="B569" s="33">
        <f>IF(560&gt;NBskParty,"",INDEX(PkBskParty,560))</f>
        <v/>
      </c>
      <c r="C569" s="30">
        <f>IF($B569="","",IFERROR(IF(VLOOKUP($B569,AcctTbl,4,0)="","(بدون نام)",VLOOKUP($B569,AcctTbl,4,0)),"—"))</f>
        <v/>
      </c>
      <c r="D569" s="28">
        <f>IF($B569="","",SUMIF(CalcPartyA,$B569,CalcQtyA))</f>
        <v/>
      </c>
      <c r="E569" s="28">
        <f>IF($B569="","",SUMIF(CalcPartyA,$B569,CalcAmtA))</f>
        <v/>
      </c>
      <c r="F569" s="28">
        <f>IF($B569="","",SUMIF(CalcPartyB,$B569,CalcWitB))</f>
        <v/>
      </c>
      <c r="G569" s="28">
        <f>IF($B569="","",SUMIF(CalcPartyB,$B569,CalcDepB))</f>
        <v/>
      </c>
      <c r="H569" s="29">
        <f>IF($B569="","",$E569-$F569+$G569)</f>
        <v/>
      </c>
      <c r="I569" s="27">
        <f>IF($B569="","",IF(ROUND($H569,0)&gt;0,"● بستانکار",IF(ROUND($H569,0)&lt;0,"● بدهکار","تسویه")))</f>
        <v/>
      </c>
    </row>
    <row r="570">
      <c r="A570" s="21">
        <f>IF($B570="","",561)</f>
        <v/>
      </c>
      <c r="B570" s="32">
        <f>IF(561&gt;NBskParty,"",INDEX(PkBskParty,561))</f>
        <v/>
      </c>
      <c r="C570" s="25">
        <f>IF($B570="","",IFERROR(IF(VLOOKUP($B570,AcctTbl,4,0)="","(بدون نام)",VLOOKUP($B570,AcctTbl,4,0)),"—"))</f>
        <v/>
      </c>
      <c r="D570" s="23">
        <f>IF($B570="","",SUMIF(CalcPartyA,$B570,CalcQtyA))</f>
        <v/>
      </c>
      <c r="E570" s="23">
        <f>IF($B570="","",SUMIF(CalcPartyA,$B570,CalcAmtA))</f>
        <v/>
      </c>
      <c r="F570" s="23">
        <f>IF($B570="","",SUMIF(CalcPartyB,$B570,CalcWitB))</f>
        <v/>
      </c>
      <c r="G570" s="23">
        <f>IF($B570="","",SUMIF(CalcPartyB,$B570,CalcDepB))</f>
        <v/>
      </c>
      <c r="H570" s="24">
        <f>IF($B570="","",$E570-$F570+$G570)</f>
        <v/>
      </c>
      <c r="I570" s="22">
        <f>IF($B570="","",IF(ROUND($H570,0)&gt;0,"● بستانکار",IF(ROUND($H570,0)&lt;0,"● بدهکار","تسویه")))</f>
        <v/>
      </c>
    </row>
    <row r="571">
      <c r="A571" s="26">
        <f>IF($B571="","",562)</f>
        <v/>
      </c>
      <c r="B571" s="33">
        <f>IF(562&gt;NBskParty,"",INDEX(PkBskParty,562))</f>
        <v/>
      </c>
      <c r="C571" s="30">
        <f>IF($B571="","",IFERROR(IF(VLOOKUP($B571,AcctTbl,4,0)="","(بدون نام)",VLOOKUP($B571,AcctTbl,4,0)),"—"))</f>
        <v/>
      </c>
      <c r="D571" s="28">
        <f>IF($B571="","",SUMIF(CalcPartyA,$B571,CalcQtyA))</f>
        <v/>
      </c>
      <c r="E571" s="28">
        <f>IF($B571="","",SUMIF(CalcPartyA,$B571,CalcAmtA))</f>
        <v/>
      </c>
      <c r="F571" s="28">
        <f>IF($B571="","",SUMIF(CalcPartyB,$B571,CalcWitB))</f>
        <v/>
      </c>
      <c r="G571" s="28">
        <f>IF($B571="","",SUMIF(CalcPartyB,$B571,CalcDepB))</f>
        <v/>
      </c>
      <c r="H571" s="29">
        <f>IF($B571="","",$E571-$F571+$G571)</f>
        <v/>
      </c>
      <c r="I571" s="27">
        <f>IF($B571="","",IF(ROUND($H571,0)&gt;0,"● بستانکار",IF(ROUND($H571,0)&lt;0,"● بدهکار","تسویه")))</f>
        <v/>
      </c>
    </row>
    <row r="572">
      <c r="A572" s="21">
        <f>IF($B572="","",563)</f>
        <v/>
      </c>
      <c r="B572" s="32">
        <f>IF(563&gt;NBskParty,"",INDEX(PkBskParty,563))</f>
        <v/>
      </c>
      <c r="C572" s="25">
        <f>IF($B572="","",IFERROR(IF(VLOOKUP($B572,AcctTbl,4,0)="","(بدون نام)",VLOOKUP($B572,AcctTbl,4,0)),"—"))</f>
        <v/>
      </c>
      <c r="D572" s="23">
        <f>IF($B572="","",SUMIF(CalcPartyA,$B572,CalcQtyA))</f>
        <v/>
      </c>
      <c r="E572" s="23">
        <f>IF($B572="","",SUMIF(CalcPartyA,$B572,CalcAmtA))</f>
        <v/>
      </c>
      <c r="F572" s="23">
        <f>IF($B572="","",SUMIF(CalcPartyB,$B572,CalcWitB))</f>
        <v/>
      </c>
      <c r="G572" s="23">
        <f>IF($B572="","",SUMIF(CalcPartyB,$B572,CalcDepB))</f>
        <v/>
      </c>
      <c r="H572" s="24">
        <f>IF($B572="","",$E572-$F572+$G572)</f>
        <v/>
      </c>
      <c r="I572" s="22">
        <f>IF($B572="","",IF(ROUND($H572,0)&gt;0,"● بستانکار",IF(ROUND($H572,0)&lt;0,"● بدهکار","تسویه")))</f>
        <v/>
      </c>
    </row>
    <row r="573">
      <c r="A573" s="26">
        <f>IF($B573="","",564)</f>
        <v/>
      </c>
      <c r="B573" s="33">
        <f>IF(564&gt;NBskParty,"",INDEX(PkBskParty,564))</f>
        <v/>
      </c>
      <c r="C573" s="30">
        <f>IF($B573="","",IFERROR(IF(VLOOKUP($B573,AcctTbl,4,0)="","(بدون نام)",VLOOKUP($B573,AcctTbl,4,0)),"—"))</f>
        <v/>
      </c>
      <c r="D573" s="28">
        <f>IF($B573="","",SUMIF(CalcPartyA,$B573,CalcQtyA))</f>
        <v/>
      </c>
      <c r="E573" s="28">
        <f>IF($B573="","",SUMIF(CalcPartyA,$B573,CalcAmtA))</f>
        <v/>
      </c>
      <c r="F573" s="28">
        <f>IF($B573="","",SUMIF(CalcPartyB,$B573,CalcWitB))</f>
        <v/>
      </c>
      <c r="G573" s="28">
        <f>IF($B573="","",SUMIF(CalcPartyB,$B573,CalcDepB))</f>
        <v/>
      </c>
      <c r="H573" s="29">
        <f>IF($B573="","",$E573-$F573+$G573)</f>
        <v/>
      </c>
      <c r="I573" s="27">
        <f>IF($B573="","",IF(ROUND($H573,0)&gt;0,"● بستانکار",IF(ROUND($H573,0)&lt;0,"● بدهکار","تسویه")))</f>
        <v/>
      </c>
    </row>
    <row r="574">
      <c r="A574" s="21">
        <f>IF($B574="","",565)</f>
        <v/>
      </c>
      <c r="B574" s="32">
        <f>IF(565&gt;NBskParty,"",INDEX(PkBskParty,565))</f>
        <v/>
      </c>
      <c r="C574" s="25">
        <f>IF($B574="","",IFERROR(IF(VLOOKUP($B574,AcctTbl,4,0)="","(بدون نام)",VLOOKUP($B574,AcctTbl,4,0)),"—"))</f>
        <v/>
      </c>
      <c r="D574" s="23">
        <f>IF($B574="","",SUMIF(CalcPartyA,$B574,CalcQtyA))</f>
        <v/>
      </c>
      <c r="E574" s="23">
        <f>IF($B574="","",SUMIF(CalcPartyA,$B574,CalcAmtA))</f>
        <v/>
      </c>
      <c r="F574" s="23">
        <f>IF($B574="","",SUMIF(CalcPartyB,$B574,CalcWitB))</f>
        <v/>
      </c>
      <c r="G574" s="23">
        <f>IF($B574="","",SUMIF(CalcPartyB,$B574,CalcDepB))</f>
        <v/>
      </c>
      <c r="H574" s="24">
        <f>IF($B574="","",$E574-$F574+$G574)</f>
        <v/>
      </c>
      <c r="I574" s="22">
        <f>IF($B574="","",IF(ROUND($H574,0)&gt;0,"● بستانکار",IF(ROUND($H574,0)&lt;0,"● بدهکار","تسویه")))</f>
        <v/>
      </c>
    </row>
    <row r="575">
      <c r="A575" s="26">
        <f>IF($B575="","",566)</f>
        <v/>
      </c>
      <c r="B575" s="33">
        <f>IF(566&gt;NBskParty,"",INDEX(PkBskParty,566))</f>
        <v/>
      </c>
      <c r="C575" s="30">
        <f>IF($B575="","",IFERROR(IF(VLOOKUP($B575,AcctTbl,4,0)="","(بدون نام)",VLOOKUP($B575,AcctTbl,4,0)),"—"))</f>
        <v/>
      </c>
      <c r="D575" s="28">
        <f>IF($B575="","",SUMIF(CalcPartyA,$B575,CalcQtyA))</f>
        <v/>
      </c>
      <c r="E575" s="28">
        <f>IF($B575="","",SUMIF(CalcPartyA,$B575,CalcAmtA))</f>
        <v/>
      </c>
      <c r="F575" s="28">
        <f>IF($B575="","",SUMIF(CalcPartyB,$B575,CalcWitB))</f>
        <v/>
      </c>
      <c r="G575" s="28">
        <f>IF($B575="","",SUMIF(CalcPartyB,$B575,CalcDepB))</f>
        <v/>
      </c>
      <c r="H575" s="29">
        <f>IF($B575="","",$E575-$F575+$G575)</f>
        <v/>
      </c>
      <c r="I575" s="27">
        <f>IF($B575="","",IF(ROUND($H575,0)&gt;0,"● بستانکار",IF(ROUND($H575,0)&lt;0,"● بدهکار","تسویه")))</f>
        <v/>
      </c>
    </row>
    <row r="576">
      <c r="A576" s="21">
        <f>IF($B576="","",567)</f>
        <v/>
      </c>
      <c r="B576" s="32">
        <f>IF(567&gt;NBskParty,"",INDEX(PkBskParty,567))</f>
        <v/>
      </c>
      <c r="C576" s="25">
        <f>IF($B576="","",IFERROR(IF(VLOOKUP($B576,AcctTbl,4,0)="","(بدون نام)",VLOOKUP($B576,AcctTbl,4,0)),"—"))</f>
        <v/>
      </c>
      <c r="D576" s="23">
        <f>IF($B576="","",SUMIF(CalcPartyA,$B576,CalcQtyA))</f>
        <v/>
      </c>
      <c r="E576" s="23">
        <f>IF($B576="","",SUMIF(CalcPartyA,$B576,CalcAmtA))</f>
        <v/>
      </c>
      <c r="F576" s="23">
        <f>IF($B576="","",SUMIF(CalcPartyB,$B576,CalcWitB))</f>
        <v/>
      </c>
      <c r="G576" s="23">
        <f>IF($B576="","",SUMIF(CalcPartyB,$B576,CalcDepB))</f>
        <v/>
      </c>
      <c r="H576" s="24">
        <f>IF($B576="","",$E576-$F576+$G576)</f>
        <v/>
      </c>
      <c r="I576" s="22">
        <f>IF($B576="","",IF(ROUND($H576,0)&gt;0,"● بستانکار",IF(ROUND($H576,0)&lt;0,"● بدهکار","تسویه")))</f>
        <v/>
      </c>
    </row>
    <row r="577">
      <c r="A577" s="26">
        <f>IF($B577="","",568)</f>
        <v/>
      </c>
      <c r="B577" s="33">
        <f>IF(568&gt;NBskParty,"",INDEX(PkBskParty,568))</f>
        <v/>
      </c>
      <c r="C577" s="30">
        <f>IF($B577="","",IFERROR(IF(VLOOKUP($B577,AcctTbl,4,0)="","(بدون نام)",VLOOKUP($B577,AcctTbl,4,0)),"—"))</f>
        <v/>
      </c>
      <c r="D577" s="28">
        <f>IF($B577="","",SUMIF(CalcPartyA,$B577,CalcQtyA))</f>
        <v/>
      </c>
      <c r="E577" s="28">
        <f>IF($B577="","",SUMIF(CalcPartyA,$B577,CalcAmtA))</f>
        <v/>
      </c>
      <c r="F577" s="28">
        <f>IF($B577="","",SUMIF(CalcPartyB,$B577,CalcWitB))</f>
        <v/>
      </c>
      <c r="G577" s="28">
        <f>IF($B577="","",SUMIF(CalcPartyB,$B577,CalcDepB))</f>
        <v/>
      </c>
      <c r="H577" s="29">
        <f>IF($B577="","",$E577-$F577+$G577)</f>
        <v/>
      </c>
      <c r="I577" s="27">
        <f>IF($B577="","",IF(ROUND($H577,0)&gt;0,"● بستانکار",IF(ROUND($H577,0)&lt;0,"● بدهکار","تسویه")))</f>
        <v/>
      </c>
    </row>
    <row r="578">
      <c r="A578" s="21">
        <f>IF($B578="","",569)</f>
        <v/>
      </c>
      <c r="B578" s="32">
        <f>IF(569&gt;NBskParty,"",INDEX(PkBskParty,569))</f>
        <v/>
      </c>
      <c r="C578" s="25">
        <f>IF($B578="","",IFERROR(IF(VLOOKUP($B578,AcctTbl,4,0)="","(بدون نام)",VLOOKUP($B578,AcctTbl,4,0)),"—"))</f>
        <v/>
      </c>
      <c r="D578" s="23">
        <f>IF($B578="","",SUMIF(CalcPartyA,$B578,CalcQtyA))</f>
        <v/>
      </c>
      <c r="E578" s="23">
        <f>IF($B578="","",SUMIF(CalcPartyA,$B578,CalcAmtA))</f>
        <v/>
      </c>
      <c r="F578" s="23">
        <f>IF($B578="","",SUMIF(CalcPartyB,$B578,CalcWitB))</f>
        <v/>
      </c>
      <c r="G578" s="23">
        <f>IF($B578="","",SUMIF(CalcPartyB,$B578,CalcDepB))</f>
        <v/>
      </c>
      <c r="H578" s="24">
        <f>IF($B578="","",$E578-$F578+$G578)</f>
        <v/>
      </c>
      <c r="I578" s="22">
        <f>IF($B578="","",IF(ROUND($H578,0)&gt;0,"● بستانکار",IF(ROUND($H578,0)&lt;0,"● بدهکار","تسویه")))</f>
        <v/>
      </c>
    </row>
    <row r="579">
      <c r="A579" s="26">
        <f>IF($B579="","",570)</f>
        <v/>
      </c>
      <c r="B579" s="33">
        <f>IF(570&gt;NBskParty,"",INDEX(PkBskParty,570))</f>
        <v/>
      </c>
      <c r="C579" s="30">
        <f>IF($B579="","",IFERROR(IF(VLOOKUP($B579,AcctTbl,4,0)="","(بدون نام)",VLOOKUP($B579,AcctTbl,4,0)),"—"))</f>
        <v/>
      </c>
      <c r="D579" s="28">
        <f>IF($B579="","",SUMIF(CalcPartyA,$B579,CalcQtyA))</f>
        <v/>
      </c>
      <c r="E579" s="28">
        <f>IF($B579="","",SUMIF(CalcPartyA,$B579,CalcAmtA))</f>
        <v/>
      </c>
      <c r="F579" s="28">
        <f>IF($B579="","",SUMIF(CalcPartyB,$B579,CalcWitB))</f>
        <v/>
      </c>
      <c r="G579" s="28">
        <f>IF($B579="","",SUMIF(CalcPartyB,$B579,CalcDepB))</f>
        <v/>
      </c>
      <c r="H579" s="29">
        <f>IF($B579="","",$E579-$F579+$G579)</f>
        <v/>
      </c>
      <c r="I579" s="27">
        <f>IF($B579="","",IF(ROUND($H579,0)&gt;0,"● بستانکار",IF(ROUND($H579,0)&lt;0,"● بدهکار","تسویه")))</f>
        <v/>
      </c>
    </row>
    <row r="580">
      <c r="A580" s="21">
        <f>IF($B580="","",571)</f>
        <v/>
      </c>
      <c r="B580" s="32">
        <f>IF(571&gt;NBskParty,"",INDEX(PkBskParty,571))</f>
        <v/>
      </c>
      <c r="C580" s="25">
        <f>IF($B580="","",IFERROR(IF(VLOOKUP($B580,AcctTbl,4,0)="","(بدون نام)",VLOOKUP($B580,AcctTbl,4,0)),"—"))</f>
        <v/>
      </c>
      <c r="D580" s="23">
        <f>IF($B580="","",SUMIF(CalcPartyA,$B580,CalcQtyA))</f>
        <v/>
      </c>
      <c r="E580" s="23">
        <f>IF($B580="","",SUMIF(CalcPartyA,$B580,CalcAmtA))</f>
        <v/>
      </c>
      <c r="F580" s="23">
        <f>IF($B580="","",SUMIF(CalcPartyB,$B580,CalcWitB))</f>
        <v/>
      </c>
      <c r="G580" s="23">
        <f>IF($B580="","",SUMIF(CalcPartyB,$B580,CalcDepB))</f>
        <v/>
      </c>
      <c r="H580" s="24">
        <f>IF($B580="","",$E580-$F580+$G580)</f>
        <v/>
      </c>
      <c r="I580" s="22">
        <f>IF($B580="","",IF(ROUND($H580,0)&gt;0,"● بستانکار",IF(ROUND($H580,0)&lt;0,"● بدهکار","تسویه")))</f>
        <v/>
      </c>
    </row>
    <row r="581">
      <c r="A581" s="26">
        <f>IF($B581="","",572)</f>
        <v/>
      </c>
      <c r="B581" s="33">
        <f>IF(572&gt;NBskParty,"",INDEX(PkBskParty,572))</f>
        <v/>
      </c>
      <c r="C581" s="30">
        <f>IF($B581="","",IFERROR(IF(VLOOKUP($B581,AcctTbl,4,0)="","(بدون نام)",VLOOKUP($B581,AcctTbl,4,0)),"—"))</f>
        <v/>
      </c>
      <c r="D581" s="28">
        <f>IF($B581="","",SUMIF(CalcPartyA,$B581,CalcQtyA))</f>
        <v/>
      </c>
      <c r="E581" s="28">
        <f>IF($B581="","",SUMIF(CalcPartyA,$B581,CalcAmtA))</f>
        <v/>
      </c>
      <c r="F581" s="28">
        <f>IF($B581="","",SUMIF(CalcPartyB,$B581,CalcWitB))</f>
        <v/>
      </c>
      <c r="G581" s="28">
        <f>IF($B581="","",SUMIF(CalcPartyB,$B581,CalcDepB))</f>
        <v/>
      </c>
      <c r="H581" s="29">
        <f>IF($B581="","",$E581-$F581+$G581)</f>
        <v/>
      </c>
      <c r="I581" s="27">
        <f>IF($B581="","",IF(ROUND($H581,0)&gt;0,"● بستانکار",IF(ROUND($H581,0)&lt;0,"● بدهکار","تسویه")))</f>
        <v/>
      </c>
    </row>
    <row r="582">
      <c r="A582" s="21">
        <f>IF($B582="","",573)</f>
        <v/>
      </c>
      <c r="B582" s="32">
        <f>IF(573&gt;NBskParty,"",INDEX(PkBskParty,573))</f>
        <v/>
      </c>
      <c r="C582" s="25">
        <f>IF($B582="","",IFERROR(IF(VLOOKUP($B582,AcctTbl,4,0)="","(بدون نام)",VLOOKUP($B582,AcctTbl,4,0)),"—"))</f>
        <v/>
      </c>
      <c r="D582" s="23">
        <f>IF($B582="","",SUMIF(CalcPartyA,$B582,CalcQtyA))</f>
        <v/>
      </c>
      <c r="E582" s="23">
        <f>IF($B582="","",SUMIF(CalcPartyA,$B582,CalcAmtA))</f>
        <v/>
      </c>
      <c r="F582" s="23">
        <f>IF($B582="","",SUMIF(CalcPartyB,$B582,CalcWitB))</f>
        <v/>
      </c>
      <c r="G582" s="23">
        <f>IF($B582="","",SUMIF(CalcPartyB,$B582,CalcDepB))</f>
        <v/>
      </c>
      <c r="H582" s="24">
        <f>IF($B582="","",$E582-$F582+$G582)</f>
        <v/>
      </c>
      <c r="I582" s="22">
        <f>IF($B582="","",IF(ROUND($H582,0)&gt;0,"● بستانکار",IF(ROUND($H582,0)&lt;0,"● بدهکار","تسویه")))</f>
        <v/>
      </c>
    </row>
    <row r="583">
      <c r="A583" s="26">
        <f>IF($B583="","",574)</f>
        <v/>
      </c>
      <c r="B583" s="33">
        <f>IF(574&gt;NBskParty,"",INDEX(PkBskParty,574))</f>
        <v/>
      </c>
      <c r="C583" s="30">
        <f>IF($B583="","",IFERROR(IF(VLOOKUP($B583,AcctTbl,4,0)="","(بدون نام)",VLOOKUP($B583,AcctTbl,4,0)),"—"))</f>
        <v/>
      </c>
      <c r="D583" s="28">
        <f>IF($B583="","",SUMIF(CalcPartyA,$B583,CalcQtyA))</f>
        <v/>
      </c>
      <c r="E583" s="28">
        <f>IF($B583="","",SUMIF(CalcPartyA,$B583,CalcAmtA))</f>
        <v/>
      </c>
      <c r="F583" s="28">
        <f>IF($B583="","",SUMIF(CalcPartyB,$B583,CalcWitB))</f>
        <v/>
      </c>
      <c r="G583" s="28">
        <f>IF($B583="","",SUMIF(CalcPartyB,$B583,CalcDepB))</f>
        <v/>
      </c>
      <c r="H583" s="29">
        <f>IF($B583="","",$E583-$F583+$G583)</f>
        <v/>
      </c>
      <c r="I583" s="27">
        <f>IF($B583="","",IF(ROUND($H583,0)&gt;0,"● بستانکار",IF(ROUND($H583,0)&lt;0,"● بدهکار","تسویه")))</f>
        <v/>
      </c>
    </row>
    <row r="584">
      <c r="A584" s="21">
        <f>IF($B584="","",575)</f>
        <v/>
      </c>
      <c r="B584" s="32">
        <f>IF(575&gt;NBskParty,"",INDEX(PkBskParty,575))</f>
        <v/>
      </c>
      <c r="C584" s="25">
        <f>IF($B584="","",IFERROR(IF(VLOOKUP($B584,AcctTbl,4,0)="","(بدون نام)",VLOOKUP($B584,AcctTbl,4,0)),"—"))</f>
        <v/>
      </c>
      <c r="D584" s="23">
        <f>IF($B584="","",SUMIF(CalcPartyA,$B584,CalcQtyA))</f>
        <v/>
      </c>
      <c r="E584" s="23">
        <f>IF($B584="","",SUMIF(CalcPartyA,$B584,CalcAmtA))</f>
        <v/>
      </c>
      <c r="F584" s="23">
        <f>IF($B584="","",SUMIF(CalcPartyB,$B584,CalcWitB))</f>
        <v/>
      </c>
      <c r="G584" s="23">
        <f>IF($B584="","",SUMIF(CalcPartyB,$B584,CalcDepB))</f>
        <v/>
      </c>
      <c r="H584" s="24">
        <f>IF($B584="","",$E584-$F584+$G584)</f>
        <v/>
      </c>
      <c r="I584" s="22">
        <f>IF($B584="","",IF(ROUND($H584,0)&gt;0,"● بستانکار",IF(ROUND($H584,0)&lt;0,"● بدهکار","تسویه")))</f>
        <v/>
      </c>
    </row>
    <row r="585">
      <c r="A585" s="26">
        <f>IF($B585="","",576)</f>
        <v/>
      </c>
      <c r="B585" s="33">
        <f>IF(576&gt;NBskParty,"",INDEX(PkBskParty,576))</f>
        <v/>
      </c>
      <c r="C585" s="30">
        <f>IF($B585="","",IFERROR(IF(VLOOKUP($B585,AcctTbl,4,0)="","(بدون نام)",VLOOKUP($B585,AcctTbl,4,0)),"—"))</f>
        <v/>
      </c>
      <c r="D585" s="28">
        <f>IF($B585="","",SUMIF(CalcPartyA,$B585,CalcQtyA))</f>
        <v/>
      </c>
      <c r="E585" s="28">
        <f>IF($B585="","",SUMIF(CalcPartyA,$B585,CalcAmtA))</f>
        <v/>
      </c>
      <c r="F585" s="28">
        <f>IF($B585="","",SUMIF(CalcPartyB,$B585,CalcWitB))</f>
        <v/>
      </c>
      <c r="G585" s="28">
        <f>IF($B585="","",SUMIF(CalcPartyB,$B585,CalcDepB))</f>
        <v/>
      </c>
      <c r="H585" s="29">
        <f>IF($B585="","",$E585-$F585+$G585)</f>
        <v/>
      </c>
      <c r="I585" s="27">
        <f>IF($B585="","",IF(ROUND($H585,0)&gt;0,"● بستانکار",IF(ROUND($H585,0)&lt;0,"● بدهکار","تسویه")))</f>
        <v/>
      </c>
    </row>
    <row r="586">
      <c r="A586" s="21">
        <f>IF($B586="","",577)</f>
        <v/>
      </c>
      <c r="B586" s="32">
        <f>IF(577&gt;NBskParty,"",INDEX(PkBskParty,577))</f>
        <v/>
      </c>
      <c r="C586" s="25">
        <f>IF($B586="","",IFERROR(IF(VLOOKUP($B586,AcctTbl,4,0)="","(بدون نام)",VLOOKUP($B586,AcctTbl,4,0)),"—"))</f>
        <v/>
      </c>
      <c r="D586" s="23">
        <f>IF($B586="","",SUMIF(CalcPartyA,$B586,CalcQtyA))</f>
        <v/>
      </c>
      <c r="E586" s="23">
        <f>IF($B586="","",SUMIF(CalcPartyA,$B586,CalcAmtA))</f>
        <v/>
      </c>
      <c r="F586" s="23">
        <f>IF($B586="","",SUMIF(CalcPartyB,$B586,CalcWitB))</f>
        <v/>
      </c>
      <c r="G586" s="23">
        <f>IF($B586="","",SUMIF(CalcPartyB,$B586,CalcDepB))</f>
        <v/>
      </c>
      <c r="H586" s="24">
        <f>IF($B586="","",$E586-$F586+$G586)</f>
        <v/>
      </c>
      <c r="I586" s="22">
        <f>IF($B586="","",IF(ROUND($H586,0)&gt;0,"● بستانکار",IF(ROUND($H586,0)&lt;0,"● بدهکار","تسویه")))</f>
        <v/>
      </c>
    </row>
    <row r="587">
      <c r="A587" s="26">
        <f>IF($B587="","",578)</f>
        <v/>
      </c>
      <c r="B587" s="33">
        <f>IF(578&gt;NBskParty,"",INDEX(PkBskParty,578))</f>
        <v/>
      </c>
      <c r="C587" s="30">
        <f>IF($B587="","",IFERROR(IF(VLOOKUP($B587,AcctTbl,4,0)="","(بدون نام)",VLOOKUP($B587,AcctTbl,4,0)),"—"))</f>
        <v/>
      </c>
      <c r="D587" s="28">
        <f>IF($B587="","",SUMIF(CalcPartyA,$B587,CalcQtyA))</f>
        <v/>
      </c>
      <c r="E587" s="28">
        <f>IF($B587="","",SUMIF(CalcPartyA,$B587,CalcAmtA))</f>
        <v/>
      </c>
      <c r="F587" s="28">
        <f>IF($B587="","",SUMIF(CalcPartyB,$B587,CalcWitB))</f>
        <v/>
      </c>
      <c r="G587" s="28">
        <f>IF($B587="","",SUMIF(CalcPartyB,$B587,CalcDepB))</f>
        <v/>
      </c>
      <c r="H587" s="29">
        <f>IF($B587="","",$E587-$F587+$G587)</f>
        <v/>
      </c>
      <c r="I587" s="27">
        <f>IF($B587="","",IF(ROUND($H587,0)&gt;0,"● بستانکار",IF(ROUND($H587,0)&lt;0,"● بدهکار","تسویه")))</f>
        <v/>
      </c>
    </row>
    <row r="588">
      <c r="A588" s="21">
        <f>IF($B588="","",579)</f>
        <v/>
      </c>
      <c r="B588" s="32">
        <f>IF(579&gt;NBskParty,"",INDEX(PkBskParty,579))</f>
        <v/>
      </c>
      <c r="C588" s="25">
        <f>IF($B588="","",IFERROR(IF(VLOOKUP($B588,AcctTbl,4,0)="","(بدون نام)",VLOOKUP($B588,AcctTbl,4,0)),"—"))</f>
        <v/>
      </c>
      <c r="D588" s="23">
        <f>IF($B588="","",SUMIF(CalcPartyA,$B588,CalcQtyA))</f>
        <v/>
      </c>
      <c r="E588" s="23">
        <f>IF($B588="","",SUMIF(CalcPartyA,$B588,CalcAmtA))</f>
        <v/>
      </c>
      <c r="F588" s="23">
        <f>IF($B588="","",SUMIF(CalcPartyB,$B588,CalcWitB))</f>
        <v/>
      </c>
      <c r="G588" s="23">
        <f>IF($B588="","",SUMIF(CalcPartyB,$B588,CalcDepB))</f>
        <v/>
      </c>
      <c r="H588" s="24">
        <f>IF($B588="","",$E588-$F588+$G588)</f>
        <v/>
      </c>
      <c r="I588" s="22">
        <f>IF($B588="","",IF(ROUND($H588,0)&gt;0,"● بستانکار",IF(ROUND($H588,0)&lt;0,"● بدهکار","تسویه")))</f>
        <v/>
      </c>
    </row>
    <row r="589">
      <c r="A589" s="26">
        <f>IF($B589="","",580)</f>
        <v/>
      </c>
      <c r="B589" s="33">
        <f>IF(580&gt;NBskParty,"",INDEX(PkBskParty,580))</f>
        <v/>
      </c>
      <c r="C589" s="30">
        <f>IF($B589="","",IFERROR(IF(VLOOKUP($B589,AcctTbl,4,0)="","(بدون نام)",VLOOKUP($B589,AcctTbl,4,0)),"—"))</f>
        <v/>
      </c>
      <c r="D589" s="28">
        <f>IF($B589="","",SUMIF(CalcPartyA,$B589,CalcQtyA))</f>
        <v/>
      </c>
      <c r="E589" s="28">
        <f>IF($B589="","",SUMIF(CalcPartyA,$B589,CalcAmtA))</f>
        <v/>
      </c>
      <c r="F589" s="28">
        <f>IF($B589="","",SUMIF(CalcPartyB,$B589,CalcWitB))</f>
        <v/>
      </c>
      <c r="G589" s="28">
        <f>IF($B589="","",SUMIF(CalcPartyB,$B589,CalcDepB))</f>
        <v/>
      </c>
      <c r="H589" s="29">
        <f>IF($B589="","",$E589-$F589+$G589)</f>
        <v/>
      </c>
      <c r="I589" s="27">
        <f>IF($B589="","",IF(ROUND($H589,0)&gt;0,"● بستانکار",IF(ROUND($H589,0)&lt;0,"● بدهکار","تسویه")))</f>
        <v/>
      </c>
    </row>
    <row r="590">
      <c r="A590" s="21">
        <f>IF($B590="","",581)</f>
        <v/>
      </c>
      <c r="B590" s="32">
        <f>IF(581&gt;NBskParty,"",INDEX(PkBskParty,581))</f>
        <v/>
      </c>
      <c r="C590" s="25">
        <f>IF($B590="","",IFERROR(IF(VLOOKUP($B590,AcctTbl,4,0)="","(بدون نام)",VLOOKUP($B590,AcctTbl,4,0)),"—"))</f>
        <v/>
      </c>
      <c r="D590" s="23">
        <f>IF($B590="","",SUMIF(CalcPartyA,$B590,CalcQtyA))</f>
        <v/>
      </c>
      <c r="E590" s="23">
        <f>IF($B590="","",SUMIF(CalcPartyA,$B590,CalcAmtA))</f>
        <v/>
      </c>
      <c r="F590" s="23">
        <f>IF($B590="","",SUMIF(CalcPartyB,$B590,CalcWitB))</f>
        <v/>
      </c>
      <c r="G590" s="23">
        <f>IF($B590="","",SUMIF(CalcPartyB,$B590,CalcDepB))</f>
        <v/>
      </c>
      <c r="H590" s="24">
        <f>IF($B590="","",$E590-$F590+$G590)</f>
        <v/>
      </c>
      <c r="I590" s="22">
        <f>IF($B590="","",IF(ROUND($H590,0)&gt;0,"● بستانکار",IF(ROUND($H590,0)&lt;0,"● بدهکار","تسویه")))</f>
        <v/>
      </c>
    </row>
    <row r="591">
      <c r="A591" s="26">
        <f>IF($B591="","",582)</f>
        <v/>
      </c>
      <c r="B591" s="33">
        <f>IF(582&gt;NBskParty,"",INDEX(PkBskParty,582))</f>
        <v/>
      </c>
      <c r="C591" s="30">
        <f>IF($B591="","",IFERROR(IF(VLOOKUP($B591,AcctTbl,4,0)="","(بدون نام)",VLOOKUP($B591,AcctTbl,4,0)),"—"))</f>
        <v/>
      </c>
      <c r="D591" s="28">
        <f>IF($B591="","",SUMIF(CalcPartyA,$B591,CalcQtyA))</f>
        <v/>
      </c>
      <c r="E591" s="28">
        <f>IF($B591="","",SUMIF(CalcPartyA,$B591,CalcAmtA))</f>
        <v/>
      </c>
      <c r="F591" s="28">
        <f>IF($B591="","",SUMIF(CalcPartyB,$B591,CalcWitB))</f>
        <v/>
      </c>
      <c r="G591" s="28">
        <f>IF($B591="","",SUMIF(CalcPartyB,$B591,CalcDepB))</f>
        <v/>
      </c>
      <c r="H591" s="29">
        <f>IF($B591="","",$E591-$F591+$G591)</f>
        <v/>
      </c>
      <c r="I591" s="27">
        <f>IF($B591="","",IF(ROUND($H591,0)&gt;0,"● بستانکار",IF(ROUND($H591,0)&lt;0,"● بدهکار","تسویه")))</f>
        <v/>
      </c>
    </row>
    <row r="592">
      <c r="A592" s="21">
        <f>IF($B592="","",583)</f>
        <v/>
      </c>
      <c r="B592" s="32">
        <f>IF(583&gt;NBskParty,"",INDEX(PkBskParty,583))</f>
        <v/>
      </c>
      <c r="C592" s="25">
        <f>IF($B592="","",IFERROR(IF(VLOOKUP($B592,AcctTbl,4,0)="","(بدون نام)",VLOOKUP($B592,AcctTbl,4,0)),"—"))</f>
        <v/>
      </c>
      <c r="D592" s="23">
        <f>IF($B592="","",SUMIF(CalcPartyA,$B592,CalcQtyA))</f>
        <v/>
      </c>
      <c r="E592" s="23">
        <f>IF($B592="","",SUMIF(CalcPartyA,$B592,CalcAmtA))</f>
        <v/>
      </c>
      <c r="F592" s="23">
        <f>IF($B592="","",SUMIF(CalcPartyB,$B592,CalcWitB))</f>
        <v/>
      </c>
      <c r="G592" s="23">
        <f>IF($B592="","",SUMIF(CalcPartyB,$B592,CalcDepB))</f>
        <v/>
      </c>
      <c r="H592" s="24">
        <f>IF($B592="","",$E592-$F592+$G592)</f>
        <v/>
      </c>
      <c r="I592" s="22">
        <f>IF($B592="","",IF(ROUND($H592,0)&gt;0,"● بستانکار",IF(ROUND($H592,0)&lt;0,"● بدهکار","تسویه")))</f>
        <v/>
      </c>
    </row>
    <row r="593">
      <c r="A593" s="26">
        <f>IF($B593="","",584)</f>
        <v/>
      </c>
      <c r="B593" s="33">
        <f>IF(584&gt;NBskParty,"",INDEX(PkBskParty,584))</f>
        <v/>
      </c>
      <c r="C593" s="30">
        <f>IF($B593="","",IFERROR(IF(VLOOKUP($B593,AcctTbl,4,0)="","(بدون نام)",VLOOKUP($B593,AcctTbl,4,0)),"—"))</f>
        <v/>
      </c>
      <c r="D593" s="28">
        <f>IF($B593="","",SUMIF(CalcPartyA,$B593,CalcQtyA))</f>
        <v/>
      </c>
      <c r="E593" s="28">
        <f>IF($B593="","",SUMIF(CalcPartyA,$B593,CalcAmtA))</f>
        <v/>
      </c>
      <c r="F593" s="28">
        <f>IF($B593="","",SUMIF(CalcPartyB,$B593,CalcWitB))</f>
        <v/>
      </c>
      <c r="G593" s="28">
        <f>IF($B593="","",SUMIF(CalcPartyB,$B593,CalcDepB))</f>
        <v/>
      </c>
      <c r="H593" s="29">
        <f>IF($B593="","",$E593-$F593+$G593)</f>
        <v/>
      </c>
      <c r="I593" s="27">
        <f>IF($B593="","",IF(ROUND($H593,0)&gt;0,"● بستانکار",IF(ROUND($H593,0)&lt;0,"● بدهکار","تسویه")))</f>
        <v/>
      </c>
    </row>
    <row r="594">
      <c r="A594" s="21">
        <f>IF($B594="","",585)</f>
        <v/>
      </c>
      <c r="B594" s="32">
        <f>IF(585&gt;NBskParty,"",INDEX(PkBskParty,585))</f>
        <v/>
      </c>
      <c r="C594" s="25">
        <f>IF($B594="","",IFERROR(IF(VLOOKUP($B594,AcctTbl,4,0)="","(بدون نام)",VLOOKUP($B594,AcctTbl,4,0)),"—"))</f>
        <v/>
      </c>
      <c r="D594" s="23">
        <f>IF($B594="","",SUMIF(CalcPartyA,$B594,CalcQtyA))</f>
        <v/>
      </c>
      <c r="E594" s="23">
        <f>IF($B594="","",SUMIF(CalcPartyA,$B594,CalcAmtA))</f>
        <v/>
      </c>
      <c r="F594" s="23">
        <f>IF($B594="","",SUMIF(CalcPartyB,$B594,CalcWitB))</f>
        <v/>
      </c>
      <c r="G594" s="23">
        <f>IF($B594="","",SUMIF(CalcPartyB,$B594,CalcDepB))</f>
        <v/>
      </c>
      <c r="H594" s="24">
        <f>IF($B594="","",$E594-$F594+$G594)</f>
        <v/>
      </c>
      <c r="I594" s="22">
        <f>IF($B594="","",IF(ROUND($H594,0)&gt;0,"● بستانکار",IF(ROUND($H594,0)&lt;0,"● بدهکار","تسویه")))</f>
        <v/>
      </c>
    </row>
    <row r="595">
      <c r="A595" s="26">
        <f>IF($B595="","",586)</f>
        <v/>
      </c>
      <c r="B595" s="33">
        <f>IF(586&gt;NBskParty,"",INDEX(PkBskParty,586))</f>
        <v/>
      </c>
      <c r="C595" s="30">
        <f>IF($B595="","",IFERROR(IF(VLOOKUP($B595,AcctTbl,4,0)="","(بدون نام)",VLOOKUP($B595,AcctTbl,4,0)),"—"))</f>
        <v/>
      </c>
      <c r="D595" s="28">
        <f>IF($B595="","",SUMIF(CalcPartyA,$B595,CalcQtyA))</f>
        <v/>
      </c>
      <c r="E595" s="28">
        <f>IF($B595="","",SUMIF(CalcPartyA,$B595,CalcAmtA))</f>
        <v/>
      </c>
      <c r="F595" s="28">
        <f>IF($B595="","",SUMIF(CalcPartyB,$B595,CalcWitB))</f>
        <v/>
      </c>
      <c r="G595" s="28">
        <f>IF($B595="","",SUMIF(CalcPartyB,$B595,CalcDepB))</f>
        <v/>
      </c>
      <c r="H595" s="29">
        <f>IF($B595="","",$E595-$F595+$G595)</f>
        <v/>
      </c>
      <c r="I595" s="27">
        <f>IF($B595="","",IF(ROUND($H595,0)&gt;0,"● بستانکار",IF(ROUND($H595,0)&lt;0,"● بدهکار","تسویه")))</f>
        <v/>
      </c>
    </row>
    <row r="596">
      <c r="A596" s="21">
        <f>IF($B596="","",587)</f>
        <v/>
      </c>
      <c r="B596" s="32">
        <f>IF(587&gt;NBskParty,"",INDEX(PkBskParty,587))</f>
        <v/>
      </c>
      <c r="C596" s="25">
        <f>IF($B596="","",IFERROR(IF(VLOOKUP($B596,AcctTbl,4,0)="","(بدون نام)",VLOOKUP($B596,AcctTbl,4,0)),"—"))</f>
        <v/>
      </c>
      <c r="D596" s="23">
        <f>IF($B596="","",SUMIF(CalcPartyA,$B596,CalcQtyA))</f>
        <v/>
      </c>
      <c r="E596" s="23">
        <f>IF($B596="","",SUMIF(CalcPartyA,$B596,CalcAmtA))</f>
        <v/>
      </c>
      <c r="F596" s="23">
        <f>IF($B596="","",SUMIF(CalcPartyB,$B596,CalcWitB))</f>
        <v/>
      </c>
      <c r="G596" s="23">
        <f>IF($B596="","",SUMIF(CalcPartyB,$B596,CalcDepB))</f>
        <v/>
      </c>
      <c r="H596" s="24">
        <f>IF($B596="","",$E596-$F596+$G596)</f>
        <v/>
      </c>
      <c r="I596" s="22">
        <f>IF($B596="","",IF(ROUND($H596,0)&gt;0,"● بستانکار",IF(ROUND($H596,0)&lt;0,"● بدهکار","تسویه")))</f>
        <v/>
      </c>
    </row>
    <row r="597">
      <c r="A597" s="26">
        <f>IF($B597="","",588)</f>
        <v/>
      </c>
      <c r="B597" s="33">
        <f>IF(588&gt;NBskParty,"",INDEX(PkBskParty,588))</f>
        <v/>
      </c>
      <c r="C597" s="30">
        <f>IF($B597="","",IFERROR(IF(VLOOKUP($B597,AcctTbl,4,0)="","(بدون نام)",VLOOKUP($B597,AcctTbl,4,0)),"—"))</f>
        <v/>
      </c>
      <c r="D597" s="28">
        <f>IF($B597="","",SUMIF(CalcPartyA,$B597,CalcQtyA))</f>
        <v/>
      </c>
      <c r="E597" s="28">
        <f>IF($B597="","",SUMIF(CalcPartyA,$B597,CalcAmtA))</f>
        <v/>
      </c>
      <c r="F597" s="28">
        <f>IF($B597="","",SUMIF(CalcPartyB,$B597,CalcWitB))</f>
        <v/>
      </c>
      <c r="G597" s="28">
        <f>IF($B597="","",SUMIF(CalcPartyB,$B597,CalcDepB))</f>
        <v/>
      </c>
      <c r="H597" s="29">
        <f>IF($B597="","",$E597-$F597+$G597)</f>
        <v/>
      </c>
      <c r="I597" s="27">
        <f>IF($B597="","",IF(ROUND($H597,0)&gt;0,"● بستانکار",IF(ROUND($H597,0)&lt;0,"● بدهکار","تسویه")))</f>
        <v/>
      </c>
    </row>
    <row r="598">
      <c r="A598" s="21">
        <f>IF($B598="","",589)</f>
        <v/>
      </c>
      <c r="B598" s="32">
        <f>IF(589&gt;NBskParty,"",INDEX(PkBskParty,589))</f>
        <v/>
      </c>
      <c r="C598" s="25">
        <f>IF($B598="","",IFERROR(IF(VLOOKUP($B598,AcctTbl,4,0)="","(بدون نام)",VLOOKUP($B598,AcctTbl,4,0)),"—"))</f>
        <v/>
      </c>
      <c r="D598" s="23">
        <f>IF($B598="","",SUMIF(CalcPartyA,$B598,CalcQtyA))</f>
        <v/>
      </c>
      <c r="E598" s="23">
        <f>IF($B598="","",SUMIF(CalcPartyA,$B598,CalcAmtA))</f>
        <v/>
      </c>
      <c r="F598" s="23">
        <f>IF($B598="","",SUMIF(CalcPartyB,$B598,CalcWitB))</f>
        <v/>
      </c>
      <c r="G598" s="23">
        <f>IF($B598="","",SUMIF(CalcPartyB,$B598,CalcDepB))</f>
        <v/>
      </c>
      <c r="H598" s="24">
        <f>IF($B598="","",$E598-$F598+$G598)</f>
        <v/>
      </c>
      <c r="I598" s="22">
        <f>IF($B598="","",IF(ROUND($H598,0)&gt;0,"● بستانکار",IF(ROUND($H598,0)&lt;0,"● بدهکار","تسویه")))</f>
        <v/>
      </c>
    </row>
    <row r="599">
      <c r="A599" s="26">
        <f>IF($B599="","",590)</f>
        <v/>
      </c>
      <c r="B599" s="33">
        <f>IF(590&gt;NBskParty,"",INDEX(PkBskParty,590))</f>
        <v/>
      </c>
      <c r="C599" s="30">
        <f>IF($B599="","",IFERROR(IF(VLOOKUP($B599,AcctTbl,4,0)="","(بدون نام)",VLOOKUP($B599,AcctTbl,4,0)),"—"))</f>
        <v/>
      </c>
      <c r="D599" s="28">
        <f>IF($B599="","",SUMIF(CalcPartyA,$B599,CalcQtyA))</f>
        <v/>
      </c>
      <c r="E599" s="28">
        <f>IF($B599="","",SUMIF(CalcPartyA,$B599,CalcAmtA))</f>
        <v/>
      </c>
      <c r="F599" s="28">
        <f>IF($B599="","",SUMIF(CalcPartyB,$B599,CalcWitB))</f>
        <v/>
      </c>
      <c r="G599" s="28">
        <f>IF($B599="","",SUMIF(CalcPartyB,$B599,CalcDepB))</f>
        <v/>
      </c>
      <c r="H599" s="29">
        <f>IF($B599="","",$E599-$F599+$G599)</f>
        <v/>
      </c>
      <c r="I599" s="27">
        <f>IF($B599="","",IF(ROUND($H599,0)&gt;0,"● بستانکار",IF(ROUND($H599,0)&lt;0,"● بدهکار","تسویه")))</f>
        <v/>
      </c>
    </row>
    <row r="600">
      <c r="A600" s="21">
        <f>IF($B600="","",591)</f>
        <v/>
      </c>
      <c r="B600" s="32">
        <f>IF(591&gt;NBskParty,"",INDEX(PkBskParty,591))</f>
        <v/>
      </c>
      <c r="C600" s="25">
        <f>IF($B600="","",IFERROR(IF(VLOOKUP($B600,AcctTbl,4,0)="","(بدون نام)",VLOOKUP($B600,AcctTbl,4,0)),"—"))</f>
        <v/>
      </c>
      <c r="D600" s="23">
        <f>IF($B600="","",SUMIF(CalcPartyA,$B600,CalcQtyA))</f>
        <v/>
      </c>
      <c r="E600" s="23">
        <f>IF($B600="","",SUMIF(CalcPartyA,$B600,CalcAmtA))</f>
        <v/>
      </c>
      <c r="F600" s="23">
        <f>IF($B600="","",SUMIF(CalcPartyB,$B600,CalcWitB))</f>
        <v/>
      </c>
      <c r="G600" s="23">
        <f>IF($B600="","",SUMIF(CalcPartyB,$B600,CalcDepB))</f>
        <v/>
      </c>
      <c r="H600" s="24">
        <f>IF($B600="","",$E600-$F600+$G600)</f>
        <v/>
      </c>
      <c r="I600" s="22">
        <f>IF($B600="","",IF(ROUND($H600,0)&gt;0,"● بستانکار",IF(ROUND($H600,0)&lt;0,"● بدهکار","تسویه")))</f>
        <v/>
      </c>
    </row>
    <row r="601">
      <c r="A601" s="26">
        <f>IF($B601="","",592)</f>
        <v/>
      </c>
      <c r="B601" s="33">
        <f>IF(592&gt;NBskParty,"",INDEX(PkBskParty,592))</f>
        <v/>
      </c>
      <c r="C601" s="30">
        <f>IF($B601="","",IFERROR(IF(VLOOKUP($B601,AcctTbl,4,0)="","(بدون نام)",VLOOKUP($B601,AcctTbl,4,0)),"—"))</f>
        <v/>
      </c>
      <c r="D601" s="28">
        <f>IF($B601="","",SUMIF(CalcPartyA,$B601,CalcQtyA))</f>
        <v/>
      </c>
      <c r="E601" s="28">
        <f>IF($B601="","",SUMIF(CalcPartyA,$B601,CalcAmtA))</f>
        <v/>
      </c>
      <c r="F601" s="28">
        <f>IF($B601="","",SUMIF(CalcPartyB,$B601,CalcWitB))</f>
        <v/>
      </c>
      <c r="G601" s="28">
        <f>IF($B601="","",SUMIF(CalcPartyB,$B601,CalcDepB))</f>
        <v/>
      </c>
      <c r="H601" s="29">
        <f>IF($B601="","",$E601-$F601+$G601)</f>
        <v/>
      </c>
      <c r="I601" s="27">
        <f>IF($B601="","",IF(ROUND($H601,0)&gt;0,"● بستانکار",IF(ROUND($H601,0)&lt;0,"● بدهکار","تسویه")))</f>
        <v/>
      </c>
    </row>
    <row r="602">
      <c r="A602" s="21">
        <f>IF($B602="","",593)</f>
        <v/>
      </c>
      <c r="B602" s="32">
        <f>IF(593&gt;NBskParty,"",INDEX(PkBskParty,593))</f>
        <v/>
      </c>
      <c r="C602" s="25">
        <f>IF($B602="","",IFERROR(IF(VLOOKUP($B602,AcctTbl,4,0)="","(بدون نام)",VLOOKUP($B602,AcctTbl,4,0)),"—"))</f>
        <v/>
      </c>
      <c r="D602" s="23">
        <f>IF($B602="","",SUMIF(CalcPartyA,$B602,CalcQtyA))</f>
        <v/>
      </c>
      <c r="E602" s="23">
        <f>IF($B602="","",SUMIF(CalcPartyA,$B602,CalcAmtA))</f>
        <v/>
      </c>
      <c r="F602" s="23">
        <f>IF($B602="","",SUMIF(CalcPartyB,$B602,CalcWitB))</f>
        <v/>
      </c>
      <c r="G602" s="23">
        <f>IF($B602="","",SUMIF(CalcPartyB,$B602,CalcDepB))</f>
        <v/>
      </c>
      <c r="H602" s="24">
        <f>IF($B602="","",$E602-$F602+$G602)</f>
        <v/>
      </c>
      <c r="I602" s="22">
        <f>IF($B602="","",IF(ROUND($H602,0)&gt;0,"● بستانکار",IF(ROUND($H602,0)&lt;0,"● بدهکار","تسویه")))</f>
        <v/>
      </c>
    </row>
    <row r="603">
      <c r="A603" s="26">
        <f>IF($B603="","",594)</f>
        <v/>
      </c>
      <c r="B603" s="33">
        <f>IF(594&gt;NBskParty,"",INDEX(PkBskParty,594))</f>
        <v/>
      </c>
      <c r="C603" s="30">
        <f>IF($B603="","",IFERROR(IF(VLOOKUP($B603,AcctTbl,4,0)="","(بدون نام)",VLOOKUP($B603,AcctTbl,4,0)),"—"))</f>
        <v/>
      </c>
      <c r="D603" s="28">
        <f>IF($B603="","",SUMIF(CalcPartyA,$B603,CalcQtyA))</f>
        <v/>
      </c>
      <c r="E603" s="28">
        <f>IF($B603="","",SUMIF(CalcPartyA,$B603,CalcAmtA))</f>
        <v/>
      </c>
      <c r="F603" s="28">
        <f>IF($B603="","",SUMIF(CalcPartyB,$B603,CalcWitB))</f>
        <v/>
      </c>
      <c r="G603" s="28">
        <f>IF($B603="","",SUMIF(CalcPartyB,$B603,CalcDepB))</f>
        <v/>
      </c>
      <c r="H603" s="29">
        <f>IF($B603="","",$E603-$F603+$G603)</f>
        <v/>
      </c>
      <c r="I603" s="27">
        <f>IF($B603="","",IF(ROUND($H603,0)&gt;0,"● بستانکار",IF(ROUND($H603,0)&lt;0,"● بدهکار","تسویه")))</f>
        <v/>
      </c>
    </row>
    <row r="604">
      <c r="A604" s="21">
        <f>IF($B604="","",595)</f>
        <v/>
      </c>
      <c r="B604" s="32">
        <f>IF(595&gt;NBskParty,"",INDEX(PkBskParty,595))</f>
        <v/>
      </c>
      <c r="C604" s="25">
        <f>IF($B604="","",IFERROR(IF(VLOOKUP($B604,AcctTbl,4,0)="","(بدون نام)",VLOOKUP($B604,AcctTbl,4,0)),"—"))</f>
        <v/>
      </c>
      <c r="D604" s="23">
        <f>IF($B604="","",SUMIF(CalcPartyA,$B604,CalcQtyA))</f>
        <v/>
      </c>
      <c r="E604" s="23">
        <f>IF($B604="","",SUMIF(CalcPartyA,$B604,CalcAmtA))</f>
        <v/>
      </c>
      <c r="F604" s="23">
        <f>IF($B604="","",SUMIF(CalcPartyB,$B604,CalcWitB))</f>
        <v/>
      </c>
      <c r="G604" s="23">
        <f>IF($B604="","",SUMIF(CalcPartyB,$B604,CalcDepB))</f>
        <v/>
      </c>
      <c r="H604" s="24">
        <f>IF($B604="","",$E604-$F604+$G604)</f>
        <v/>
      </c>
      <c r="I604" s="22">
        <f>IF($B604="","",IF(ROUND($H604,0)&gt;0,"● بستانکار",IF(ROUND($H604,0)&lt;0,"● بدهکار","تسویه")))</f>
        <v/>
      </c>
    </row>
    <row r="605">
      <c r="A605" s="26">
        <f>IF($B605="","",596)</f>
        <v/>
      </c>
      <c r="B605" s="33">
        <f>IF(596&gt;NBskParty,"",INDEX(PkBskParty,596))</f>
        <v/>
      </c>
      <c r="C605" s="30">
        <f>IF($B605="","",IFERROR(IF(VLOOKUP($B605,AcctTbl,4,0)="","(بدون نام)",VLOOKUP($B605,AcctTbl,4,0)),"—"))</f>
        <v/>
      </c>
      <c r="D605" s="28">
        <f>IF($B605="","",SUMIF(CalcPartyA,$B605,CalcQtyA))</f>
        <v/>
      </c>
      <c r="E605" s="28">
        <f>IF($B605="","",SUMIF(CalcPartyA,$B605,CalcAmtA))</f>
        <v/>
      </c>
      <c r="F605" s="28">
        <f>IF($B605="","",SUMIF(CalcPartyB,$B605,CalcWitB))</f>
        <v/>
      </c>
      <c r="G605" s="28">
        <f>IF($B605="","",SUMIF(CalcPartyB,$B605,CalcDepB))</f>
        <v/>
      </c>
      <c r="H605" s="29">
        <f>IF($B605="","",$E605-$F605+$G605)</f>
        <v/>
      </c>
      <c r="I605" s="27">
        <f>IF($B605="","",IF(ROUND($H605,0)&gt;0,"● بستانکار",IF(ROUND($H605,0)&lt;0,"● بدهکار","تسویه")))</f>
        <v/>
      </c>
    </row>
    <row r="606">
      <c r="A606" s="21">
        <f>IF($B606="","",597)</f>
        <v/>
      </c>
      <c r="B606" s="32">
        <f>IF(597&gt;NBskParty,"",INDEX(PkBskParty,597))</f>
        <v/>
      </c>
      <c r="C606" s="25">
        <f>IF($B606="","",IFERROR(IF(VLOOKUP($B606,AcctTbl,4,0)="","(بدون نام)",VLOOKUP($B606,AcctTbl,4,0)),"—"))</f>
        <v/>
      </c>
      <c r="D606" s="23">
        <f>IF($B606="","",SUMIF(CalcPartyA,$B606,CalcQtyA))</f>
        <v/>
      </c>
      <c r="E606" s="23">
        <f>IF($B606="","",SUMIF(CalcPartyA,$B606,CalcAmtA))</f>
        <v/>
      </c>
      <c r="F606" s="23">
        <f>IF($B606="","",SUMIF(CalcPartyB,$B606,CalcWitB))</f>
        <v/>
      </c>
      <c r="G606" s="23">
        <f>IF($B606="","",SUMIF(CalcPartyB,$B606,CalcDepB))</f>
        <v/>
      </c>
      <c r="H606" s="24">
        <f>IF($B606="","",$E606-$F606+$G606)</f>
        <v/>
      </c>
      <c r="I606" s="22">
        <f>IF($B606="","",IF(ROUND($H606,0)&gt;0,"● بستانکار",IF(ROUND($H606,0)&lt;0,"● بدهکار","تسویه")))</f>
        <v/>
      </c>
    </row>
    <row r="607">
      <c r="A607" s="26">
        <f>IF($B607="","",598)</f>
        <v/>
      </c>
      <c r="B607" s="33">
        <f>IF(598&gt;NBskParty,"",INDEX(PkBskParty,598))</f>
        <v/>
      </c>
      <c r="C607" s="30">
        <f>IF($B607="","",IFERROR(IF(VLOOKUP($B607,AcctTbl,4,0)="","(بدون نام)",VLOOKUP($B607,AcctTbl,4,0)),"—"))</f>
        <v/>
      </c>
      <c r="D607" s="28">
        <f>IF($B607="","",SUMIF(CalcPartyA,$B607,CalcQtyA))</f>
        <v/>
      </c>
      <c r="E607" s="28">
        <f>IF($B607="","",SUMIF(CalcPartyA,$B607,CalcAmtA))</f>
        <v/>
      </c>
      <c r="F607" s="28">
        <f>IF($B607="","",SUMIF(CalcPartyB,$B607,CalcWitB))</f>
        <v/>
      </c>
      <c r="G607" s="28">
        <f>IF($B607="","",SUMIF(CalcPartyB,$B607,CalcDepB))</f>
        <v/>
      </c>
      <c r="H607" s="29">
        <f>IF($B607="","",$E607-$F607+$G607)</f>
        <v/>
      </c>
      <c r="I607" s="27">
        <f>IF($B607="","",IF(ROUND($H607,0)&gt;0,"● بستانکار",IF(ROUND($H607,0)&lt;0,"● بدهکار","تسویه")))</f>
        <v/>
      </c>
    </row>
    <row r="608">
      <c r="A608" s="21">
        <f>IF($B608="","",599)</f>
        <v/>
      </c>
      <c r="B608" s="32">
        <f>IF(599&gt;NBskParty,"",INDEX(PkBskParty,599))</f>
        <v/>
      </c>
      <c r="C608" s="25">
        <f>IF($B608="","",IFERROR(IF(VLOOKUP($B608,AcctTbl,4,0)="","(بدون نام)",VLOOKUP($B608,AcctTbl,4,0)),"—"))</f>
        <v/>
      </c>
      <c r="D608" s="23">
        <f>IF($B608="","",SUMIF(CalcPartyA,$B608,CalcQtyA))</f>
        <v/>
      </c>
      <c r="E608" s="23">
        <f>IF($B608="","",SUMIF(CalcPartyA,$B608,CalcAmtA))</f>
        <v/>
      </c>
      <c r="F608" s="23">
        <f>IF($B608="","",SUMIF(CalcPartyB,$B608,CalcWitB))</f>
        <v/>
      </c>
      <c r="G608" s="23">
        <f>IF($B608="","",SUMIF(CalcPartyB,$B608,CalcDepB))</f>
        <v/>
      </c>
      <c r="H608" s="24">
        <f>IF($B608="","",$E608-$F608+$G608)</f>
        <v/>
      </c>
      <c r="I608" s="22">
        <f>IF($B608="","",IF(ROUND($H608,0)&gt;0,"● بستانکار",IF(ROUND($H608,0)&lt;0,"● بدهکار","تسویه")))</f>
        <v/>
      </c>
    </row>
    <row r="609">
      <c r="A609" s="26">
        <f>IF($B609="","",600)</f>
        <v/>
      </c>
      <c r="B609" s="33">
        <f>IF(600&gt;NBskParty,"",INDEX(PkBskParty,600))</f>
        <v/>
      </c>
      <c r="C609" s="30">
        <f>IF($B609="","",IFERROR(IF(VLOOKUP($B609,AcctTbl,4,0)="","(بدون نام)",VLOOKUP($B609,AcctTbl,4,0)),"—"))</f>
        <v/>
      </c>
      <c r="D609" s="28">
        <f>IF($B609="","",SUMIF(CalcPartyA,$B609,CalcQtyA))</f>
        <v/>
      </c>
      <c r="E609" s="28">
        <f>IF($B609="","",SUMIF(CalcPartyA,$B609,CalcAmtA))</f>
        <v/>
      </c>
      <c r="F609" s="28">
        <f>IF($B609="","",SUMIF(CalcPartyB,$B609,CalcWitB))</f>
        <v/>
      </c>
      <c r="G609" s="28">
        <f>IF($B609="","",SUMIF(CalcPartyB,$B609,CalcDepB))</f>
        <v/>
      </c>
      <c r="H609" s="29">
        <f>IF($B609="","",$E609-$F609+$G609)</f>
        <v/>
      </c>
      <c r="I609" s="27">
        <f>IF($B609="","",IF(ROUND($H609,0)&gt;0,"● بستانکار",IF(ROUND($H609,0)&lt;0,"● بدهکار","تسویه")))</f>
        <v/>
      </c>
    </row>
    <row r="610">
      <c r="A610" s="21">
        <f>IF($B610="","",601)</f>
        <v/>
      </c>
      <c r="B610" s="32">
        <f>IF(601&gt;NBskParty,"",INDEX(PkBskParty,601))</f>
        <v/>
      </c>
      <c r="C610" s="25">
        <f>IF($B610="","",IFERROR(IF(VLOOKUP($B610,AcctTbl,4,0)="","(بدون نام)",VLOOKUP($B610,AcctTbl,4,0)),"—"))</f>
        <v/>
      </c>
      <c r="D610" s="23">
        <f>IF($B610="","",SUMIF(CalcPartyA,$B610,CalcQtyA))</f>
        <v/>
      </c>
      <c r="E610" s="23">
        <f>IF($B610="","",SUMIF(CalcPartyA,$B610,CalcAmtA))</f>
        <v/>
      </c>
      <c r="F610" s="23">
        <f>IF($B610="","",SUMIF(CalcPartyB,$B610,CalcWitB))</f>
        <v/>
      </c>
      <c r="G610" s="23">
        <f>IF($B610="","",SUMIF(CalcPartyB,$B610,CalcDepB))</f>
        <v/>
      </c>
      <c r="H610" s="24">
        <f>IF($B610="","",$E610-$F610+$G610)</f>
        <v/>
      </c>
      <c r="I610" s="22">
        <f>IF($B610="","",IF(ROUND($H610,0)&gt;0,"● بستانکار",IF(ROUND($H610,0)&lt;0,"● بدهکار","تسویه")))</f>
        <v/>
      </c>
    </row>
    <row r="611">
      <c r="A611" s="26">
        <f>IF($B611="","",602)</f>
        <v/>
      </c>
      <c r="B611" s="33">
        <f>IF(602&gt;NBskParty,"",INDEX(PkBskParty,602))</f>
        <v/>
      </c>
      <c r="C611" s="30">
        <f>IF($B611="","",IFERROR(IF(VLOOKUP($B611,AcctTbl,4,0)="","(بدون نام)",VLOOKUP($B611,AcctTbl,4,0)),"—"))</f>
        <v/>
      </c>
      <c r="D611" s="28">
        <f>IF($B611="","",SUMIF(CalcPartyA,$B611,CalcQtyA))</f>
        <v/>
      </c>
      <c r="E611" s="28">
        <f>IF($B611="","",SUMIF(CalcPartyA,$B611,CalcAmtA))</f>
        <v/>
      </c>
      <c r="F611" s="28">
        <f>IF($B611="","",SUMIF(CalcPartyB,$B611,CalcWitB))</f>
        <v/>
      </c>
      <c r="G611" s="28">
        <f>IF($B611="","",SUMIF(CalcPartyB,$B611,CalcDepB))</f>
        <v/>
      </c>
      <c r="H611" s="29">
        <f>IF($B611="","",$E611-$F611+$G611)</f>
        <v/>
      </c>
      <c r="I611" s="27">
        <f>IF($B611="","",IF(ROUND($H611,0)&gt;0,"● بستانکار",IF(ROUND($H611,0)&lt;0,"● بدهکار","تسویه")))</f>
        <v/>
      </c>
    </row>
    <row r="612">
      <c r="A612" s="21">
        <f>IF($B612="","",603)</f>
        <v/>
      </c>
      <c r="B612" s="32">
        <f>IF(603&gt;NBskParty,"",INDEX(PkBskParty,603))</f>
        <v/>
      </c>
      <c r="C612" s="25">
        <f>IF($B612="","",IFERROR(IF(VLOOKUP($B612,AcctTbl,4,0)="","(بدون نام)",VLOOKUP($B612,AcctTbl,4,0)),"—"))</f>
        <v/>
      </c>
      <c r="D612" s="23">
        <f>IF($B612="","",SUMIF(CalcPartyA,$B612,CalcQtyA))</f>
        <v/>
      </c>
      <c r="E612" s="23">
        <f>IF($B612="","",SUMIF(CalcPartyA,$B612,CalcAmtA))</f>
        <v/>
      </c>
      <c r="F612" s="23">
        <f>IF($B612="","",SUMIF(CalcPartyB,$B612,CalcWitB))</f>
        <v/>
      </c>
      <c r="G612" s="23">
        <f>IF($B612="","",SUMIF(CalcPartyB,$B612,CalcDepB))</f>
        <v/>
      </c>
      <c r="H612" s="24">
        <f>IF($B612="","",$E612-$F612+$G612)</f>
        <v/>
      </c>
      <c r="I612" s="22">
        <f>IF($B612="","",IF(ROUND($H612,0)&gt;0,"● بستانکار",IF(ROUND($H612,0)&lt;0,"● بدهکار","تسویه")))</f>
        <v/>
      </c>
    </row>
    <row r="613">
      <c r="A613" s="26">
        <f>IF($B613="","",604)</f>
        <v/>
      </c>
      <c r="B613" s="33">
        <f>IF(604&gt;NBskParty,"",INDEX(PkBskParty,604))</f>
        <v/>
      </c>
      <c r="C613" s="30">
        <f>IF($B613="","",IFERROR(IF(VLOOKUP($B613,AcctTbl,4,0)="","(بدون نام)",VLOOKUP($B613,AcctTbl,4,0)),"—"))</f>
        <v/>
      </c>
      <c r="D613" s="28">
        <f>IF($B613="","",SUMIF(CalcPartyA,$B613,CalcQtyA))</f>
        <v/>
      </c>
      <c r="E613" s="28">
        <f>IF($B613="","",SUMIF(CalcPartyA,$B613,CalcAmtA))</f>
        <v/>
      </c>
      <c r="F613" s="28">
        <f>IF($B613="","",SUMIF(CalcPartyB,$B613,CalcWitB))</f>
        <v/>
      </c>
      <c r="G613" s="28">
        <f>IF($B613="","",SUMIF(CalcPartyB,$B613,CalcDepB))</f>
        <v/>
      </c>
      <c r="H613" s="29">
        <f>IF($B613="","",$E613-$F613+$G613)</f>
        <v/>
      </c>
      <c r="I613" s="27">
        <f>IF($B613="","",IF(ROUND($H613,0)&gt;0,"● بستانکار",IF(ROUND($H613,0)&lt;0,"● بدهکار","تسویه")))</f>
        <v/>
      </c>
    </row>
    <row r="614">
      <c r="A614" s="21">
        <f>IF($B614="","",605)</f>
        <v/>
      </c>
      <c r="B614" s="32">
        <f>IF(605&gt;NBskParty,"",INDEX(PkBskParty,605))</f>
        <v/>
      </c>
      <c r="C614" s="25">
        <f>IF($B614="","",IFERROR(IF(VLOOKUP($B614,AcctTbl,4,0)="","(بدون نام)",VLOOKUP($B614,AcctTbl,4,0)),"—"))</f>
        <v/>
      </c>
      <c r="D614" s="23">
        <f>IF($B614="","",SUMIF(CalcPartyA,$B614,CalcQtyA))</f>
        <v/>
      </c>
      <c r="E614" s="23">
        <f>IF($B614="","",SUMIF(CalcPartyA,$B614,CalcAmtA))</f>
        <v/>
      </c>
      <c r="F614" s="23">
        <f>IF($B614="","",SUMIF(CalcPartyB,$B614,CalcWitB))</f>
        <v/>
      </c>
      <c r="G614" s="23">
        <f>IF($B614="","",SUMIF(CalcPartyB,$B614,CalcDepB))</f>
        <v/>
      </c>
      <c r="H614" s="24">
        <f>IF($B614="","",$E614-$F614+$G614)</f>
        <v/>
      </c>
      <c r="I614" s="22">
        <f>IF($B614="","",IF(ROUND($H614,0)&gt;0,"● بستانکار",IF(ROUND($H614,0)&lt;0,"● بدهکار","تسویه")))</f>
        <v/>
      </c>
    </row>
    <row r="615">
      <c r="A615" s="26">
        <f>IF($B615="","",606)</f>
        <v/>
      </c>
      <c r="B615" s="33">
        <f>IF(606&gt;NBskParty,"",INDEX(PkBskParty,606))</f>
        <v/>
      </c>
      <c r="C615" s="30">
        <f>IF($B615="","",IFERROR(IF(VLOOKUP($B615,AcctTbl,4,0)="","(بدون نام)",VLOOKUP($B615,AcctTbl,4,0)),"—"))</f>
        <v/>
      </c>
      <c r="D615" s="28">
        <f>IF($B615="","",SUMIF(CalcPartyA,$B615,CalcQtyA))</f>
        <v/>
      </c>
      <c r="E615" s="28">
        <f>IF($B615="","",SUMIF(CalcPartyA,$B615,CalcAmtA))</f>
        <v/>
      </c>
      <c r="F615" s="28">
        <f>IF($B615="","",SUMIF(CalcPartyB,$B615,CalcWitB))</f>
        <v/>
      </c>
      <c r="G615" s="28">
        <f>IF($B615="","",SUMIF(CalcPartyB,$B615,CalcDepB))</f>
        <v/>
      </c>
      <c r="H615" s="29">
        <f>IF($B615="","",$E615-$F615+$G615)</f>
        <v/>
      </c>
      <c r="I615" s="27">
        <f>IF($B615="","",IF(ROUND($H615,0)&gt;0,"● بستانکار",IF(ROUND($H615,0)&lt;0,"● بدهکار","تسویه")))</f>
        <v/>
      </c>
    </row>
    <row r="616">
      <c r="A616" s="21">
        <f>IF($B616="","",607)</f>
        <v/>
      </c>
      <c r="B616" s="32">
        <f>IF(607&gt;NBskParty,"",INDEX(PkBskParty,607))</f>
        <v/>
      </c>
      <c r="C616" s="25">
        <f>IF($B616="","",IFERROR(IF(VLOOKUP($B616,AcctTbl,4,0)="","(بدون نام)",VLOOKUP($B616,AcctTbl,4,0)),"—"))</f>
        <v/>
      </c>
      <c r="D616" s="23">
        <f>IF($B616="","",SUMIF(CalcPartyA,$B616,CalcQtyA))</f>
        <v/>
      </c>
      <c r="E616" s="23">
        <f>IF($B616="","",SUMIF(CalcPartyA,$B616,CalcAmtA))</f>
        <v/>
      </c>
      <c r="F616" s="23">
        <f>IF($B616="","",SUMIF(CalcPartyB,$B616,CalcWitB))</f>
        <v/>
      </c>
      <c r="G616" s="23">
        <f>IF($B616="","",SUMIF(CalcPartyB,$B616,CalcDepB))</f>
        <v/>
      </c>
      <c r="H616" s="24">
        <f>IF($B616="","",$E616-$F616+$G616)</f>
        <v/>
      </c>
      <c r="I616" s="22">
        <f>IF($B616="","",IF(ROUND($H616,0)&gt;0,"● بستانکار",IF(ROUND($H616,0)&lt;0,"● بدهکار","تسویه")))</f>
        <v/>
      </c>
    </row>
    <row r="617">
      <c r="A617" s="26">
        <f>IF($B617="","",608)</f>
        <v/>
      </c>
      <c r="B617" s="33">
        <f>IF(608&gt;NBskParty,"",INDEX(PkBskParty,608))</f>
        <v/>
      </c>
      <c r="C617" s="30">
        <f>IF($B617="","",IFERROR(IF(VLOOKUP($B617,AcctTbl,4,0)="","(بدون نام)",VLOOKUP($B617,AcctTbl,4,0)),"—"))</f>
        <v/>
      </c>
      <c r="D617" s="28">
        <f>IF($B617="","",SUMIF(CalcPartyA,$B617,CalcQtyA))</f>
        <v/>
      </c>
      <c r="E617" s="28">
        <f>IF($B617="","",SUMIF(CalcPartyA,$B617,CalcAmtA))</f>
        <v/>
      </c>
      <c r="F617" s="28">
        <f>IF($B617="","",SUMIF(CalcPartyB,$B617,CalcWitB))</f>
        <v/>
      </c>
      <c r="G617" s="28">
        <f>IF($B617="","",SUMIF(CalcPartyB,$B617,CalcDepB))</f>
        <v/>
      </c>
      <c r="H617" s="29">
        <f>IF($B617="","",$E617-$F617+$G617)</f>
        <v/>
      </c>
      <c r="I617" s="27">
        <f>IF($B617="","",IF(ROUND($H617,0)&gt;0,"● بستانکار",IF(ROUND($H617,0)&lt;0,"● بدهکار","تسویه")))</f>
        <v/>
      </c>
    </row>
    <row r="618">
      <c r="A618" s="21">
        <f>IF($B618="","",609)</f>
        <v/>
      </c>
      <c r="B618" s="32">
        <f>IF(609&gt;NBskParty,"",INDEX(PkBskParty,609))</f>
        <v/>
      </c>
      <c r="C618" s="25">
        <f>IF($B618="","",IFERROR(IF(VLOOKUP($B618,AcctTbl,4,0)="","(بدون نام)",VLOOKUP($B618,AcctTbl,4,0)),"—"))</f>
        <v/>
      </c>
      <c r="D618" s="23">
        <f>IF($B618="","",SUMIF(CalcPartyA,$B618,CalcQtyA))</f>
        <v/>
      </c>
      <c r="E618" s="23">
        <f>IF($B618="","",SUMIF(CalcPartyA,$B618,CalcAmtA))</f>
        <v/>
      </c>
      <c r="F618" s="23">
        <f>IF($B618="","",SUMIF(CalcPartyB,$B618,CalcWitB))</f>
        <v/>
      </c>
      <c r="G618" s="23">
        <f>IF($B618="","",SUMIF(CalcPartyB,$B618,CalcDepB))</f>
        <v/>
      </c>
      <c r="H618" s="24">
        <f>IF($B618="","",$E618-$F618+$G618)</f>
        <v/>
      </c>
      <c r="I618" s="22">
        <f>IF($B618="","",IF(ROUND($H618,0)&gt;0,"● بستانکار",IF(ROUND($H618,0)&lt;0,"● بدهکار","تسویه")))</f>
        <v/>
      </c>
    </row>
    <row r="619">
      <c r="A619" s="26">
        <f>IF($B619="","",610)</f>
        <v/>
      </c>
      <c r="B619" s="33">
        <f>IF(610&gt;NBskParty,"",INDEX(PkBskParty,610))</f>
        <v/>
      </c>
      <c r="C619" s="30">
        <f>IF($B619="","",IFERROR(IF(VLOOKUP($B619,AcctTbl,4,0)="","(بدون نام)",VLOOKUP($B619,AcctTbl,4,0)),"—"))</f>
        <v/>
      </c>
      <c r="D619" s="28">
        <f>IF($B619="","",SUMIF(CalcPartyA,$B619,CalcQtyA))</f>
        <v/>
      </c>
      <c r="E619" s="28">
        <f>IF($B619="","",SUMIF(CalcPartyA,$B619,CalcAmtA))</f>
        <v/>
      </c>
      <c r="F619" s="28">
        <f>IF($B619="","",SUMIF(CalcPartyB,$B619,CalcWitB))</f>
        <v/>
      </c>
      <c r="G619" s="28">
        <f>IF($B619="","",SUMIF(CalcPartyB,$B619,CalcDepB))</f>
        <v/>
      </c>
      <c r="H619" s="29">
        <f>IF($B619="","",$E619-$F619+$G619)</f>
        <v/>
      </c>
      <c r="I619" s="27">
        <f>IF($B619="","",IF(ROUND($H619,0)&gt;0,"● بستانکار",IF(ROUND($H619,0)&lt;0,"● بدهکار","تسویه")))</f>
        <v/>
      </c>
    </row>
    <row r="620">
      <c r="A620" s="21">
        <f>IF($B620="","",611)</f>
        <v/>
      </c>
      <c r="B620" s="32">
        <f>IF(611&gt;NBskParty,"",INDEX(PkBskParty,611))</f>
        <v/>
      </c>
      <c r="C620" s="25">
        <f>IF($B620="","",IFERROR(IF(VLOOKUP($B620,AcctTbl,4,0)="","(بدون نام)",VLOOKUP($B620,AcctTbl,4,0)),"—"))</f>
        <v/>
      </c>
      <c r="D620" s="23">
        <f>IF($B620="","",SUMIF(CalcPartyA,$B620,CalcQtyA))</f>
        <v/>
      </c>
      <c r="E620" s="23">
        <f>IF($B620="","",SUMIF(CalcPartyA,$B620,CalcAmtA))</f>
        <v/>
      </c>
      <c r="F620" s="23">
        <f>IF($B620="","",SUMIF(CalcPartyB,$B620,CalcWitB))</f>
        <v/>
      </c>
      <c r="G620" s="23">
        <f>IF($B620="","",SUMIF(CalcPartyB,$B620,CalcDepB))</f>
        <v/>
      </c>
      <c r="H620" s="24">
        <f>IF($B620="","",$E620-$F620+$G620)</f>
        <v/>
      </c>
      <c r="I620" s="22">
        <f>IF($B620="","",IF(ROUND($H620,0)&gt;0,"● بستانکار",IF(ROUND($H620,0)&lt;0,"● بدهکار","تسویه")))</f>
        <v/>
      </c>
    </row>
    <row r="621">
      <c r="A621" s="26">
        <f>IF($B621="","",612)</f>
        <v/>
      </c>
      <c r="B621" s="33">
        <f>IF(612&gt;NBskParty,"",INDEX(PkBskParty,612))</f>
        <v/>
      </c>
      <c r="C621" s="30">
        <f>IF($B621="","",IFERROR(IF(VLOOKUP($B621,AcctTbl,4,0)="","(بدون نام)",VLOOKUP($B621,AcctTbl,4,0)),"—"))</f>
        <v/>
      </c>
      <c r="D621" s="28">
        <f>IF($B621="","",SUMIF(CalcPartyA,$B621,CalcQtyA))</f>
        <v/>
      </c>
      <c r="E621" s="28">
        <f>IF($B621="","",SUMIF(CalcPartyA,$B621,CalcAmtA))</f>
        <v/>
      </c>
      <c r="F621" s="28">
        <f>IF($B621="","",SUMIF(CalcPartyB,$B621,CalcWitB))</f>
        <v/>
      </c>
      <c r="G621" s="28">
        <f>IF($B621="","",SUMIF(CalcPartyB,$B621,CalcDepB))</f>
        <v/>
      </c>
      <c r="H621" s="29">
        <f>IF($B621="","",$E621-$F621+$G621)</f>
        <v/>
      </c>
      <c r="I621" s="27">
        <f>IF($B621="","",IF(ROUND($H621,0)&gt;0,"● بستانکار",IF(ROUND($H621,0)&lt;0,"● بدهکار","تسویه")))</f>
        <v/>
      </c>
    </row>
    <row r="622">
      <c r="A622" s="21">
        <f>IF($B622="","",613)</f>
        <v/>
      </c>
      <c r="B622" s="32">
        <f>IF(613&gt;NBskParty,"",INDEX(PkBskParty,613))</f>
        <v/>
      </c>
      <c r="C622" s="25">
        <f>IF($B622="","",IFERROR(IF(VLOOKUP($B622,AcctTbl,4,0)="","(بدون نام)",VLOOKUP($B622,AcctTbl,4,0)),"—"))</f>
        <v/>
      </c>
      <c r="D622" s="23">
        <f>IF($B622="","",SUMIF(CalcPartyA,$B622,CalcQtyA))</f>
        <v/>
      </c>
      <c r="E622" s="23">
        <f>IF($B622="","",SUMIF(CalcPartyA,$B622,CalcAmtA))</f>
        <v/>
      </c>
      <c r="F622" s="23">
        <f>IF($B622="","",SUMIF(CalcPartyB,$B622,CalcWitB))</f>
        <v/>
      </c>
      <c r="G622" s="23">
        <f>IF($B622="","",SUMIF(CalcPartyB,$B622,CalcDepB))</f>
        <v/>
      </c>
      <c r="H622" s="24">
        <f>IF($B622="","",$E622-$F622+$G622)</f>
        <v/>
      </c>
      <c r="I622" s="22">
        <f>IF($B622="","",IF(ROUND($H622,0)&gt;0,"● بستانکار",IF(ROUND($H622,0)&lt;0,"● بدهکار","تسویه")))</f>
        <v/>
      </c>
    </row>
    <row r="623">
      <c r="A623" s="26">
        <f>IF($B623="","",614)</f>
        <v/>
      </c>
      <c r="B623" s="33">
        <f>IF(614&gt;NBskParty,"",INDEX(PkBskParty,614))</f>
        <v/>
      </c>
      <c r="C623" s="30">
        <f>IF($B623="","",IFERROR(IF(VLOOKUP($B623,AcctTbl,4,0)="","(بدون نام)",VLOOKUP($B623,AcctTbl,4,0)),"—"))</f>
        <v/>
      </c>
      <c r="D623" s="28">
        <f>IF($B623="","",SUMIF(CalcPartyA,$B623,CalcQtyA))</f>
        <v/>
      </c>
      <c r="E623" s="28">
        <f>IF($B623="","",SUMIF(CalcPartyA,$B623,CalcAmtA))</f>
        <v/>
      </c>
      <c r="F623" s="28">
        <f>IF($B623="","",SUMIF(CalcPartyB,$B623,CalcWitB))</f>
        <v/>
      </c>
      <c r="G623" s="28">
        <f>IF($B623="","",SUMIF(CalcPartyB,$B623,CalcDepB))</f>
        <v/>
      </c>
      <c r="H623" s="29">
        <f>IF($B623="","",$E623-$F623+$G623)</f>
        <v/>
      </c>
      <c r="I623" s="27">
        <f>IF($B623="","",IF(ROUND($H623,0)&gt;0,"● بستانکار",IF(ROUND($H623,0)&lt;0,"● بدهکار","تسویه")))</f>
        <v/>
      </c>
    </row>
    <row r="624">
      <c r="A624" s="21">
        <f>IF($B624="","",615)</f>
        <v/>
      </c>
      <c r="B624" s="32">
        <f>IF(615&gt;NBskParty,"",INDEX(PkBskParty,615))</f>
        <v/>
      </c>
      <c r="C624" s="25">
        <f>IF($B624="","",IFERROR(IF(VLOOKUP($B624,AcctTbl,4,0)="","(بدون نام)",VLOOKUP($B624,AcctTbl,4,0)),"—"))</f>
        <v/>
      </c>
      <c r="D624" s="23">
        <f>IF($B624="","",SUMIF(CalcPartyA,$B624,CalcQtyA))</f>
        <v/>
      </c>
      <c r="E624" s="23">
        <f>IF($B624="","",SUMIF(CalcPartyA,$B624,CalcAmtA))</f>
        <v/>
      </c>
      <c r="F624" s="23">
        <f>IF($B624="","",SUMIF(CalcPartyB,$B624,CalcWitB))</f>
        <v/>
      </c>
      <c r="G624" s="23">
        <f>IF($B624="","",SUMIF(CalcPartyB,$B624,CalcDepB))</f>
        <v/>
      </c>
      <c r="H624" s="24">
        <f>IF($B624="","",$E624-$F624+$G624)</f>
        <v/>
      </c>
      <c r="I624" s="22">
        <f>IF($B624="","",IF(ROUND($H624,0)&gt;0,"● بستانکار",IF(ROUND($H624,0)&lt;0,"● بدهکار","تسویه")))</f>
        <v/>
      </c>
    </row>
    <row r="625">
      <c r="A625" s="26">
        <f>IF($B625="","",616)</f>
        <v/>
      </c>
      <c r="B625" s="33">
        <f>IF(616&gt;NBskParty,"",INDEX(PkBskParty,616))</f>
        <v/>
      </c>
      <c r="C625" s="30">
        <f>IF($B625="","",IFERROR(IF(VLOOKUP($B625,AcctTbl,4,0)="","(بدون نام)",VLOOKUP($B625,AcctTbl,4,0)),"—"))</f>
        <v/>
      </c>
      <c r="D625" s="28">
        <f>IF($B625="","",SUMIF(CalcPartyA,$B625,CalcQtyA))</f>
        <v/>
      </c>
      <c r="E625" s="28">
        <f>IF($B625="","",SUMIF(CalcPartyA,$B625,CalcAmtA))</f>
        <v/>
      </c>
      <c r="F625" s="28">
        <f>IF($B625="","",SUMIF(CalcPartyB,$B625,CalcWitB))</f>
        <v/>
      </c>
      <c r="G625" s="28">
        <f>IF($B625="","",SUMIF(CalcPartyB,$B625,CalcDepB))</f>
        <v/>
      </c>
      <c r="H625" s="29">
        <f>IF($B625="","",$E625-$F625+$G625)</f>
        <v/>
      </c>
      <c r="I625" s="27">
        <f>IF($B625="","",IF(ROUND($H625,0)&gt;0,"● بستانکار",IF(ROUND($H625,0)&lt;0,"● بدهکار","تسویه")))</f>
        <v/>
      </c>
    </row>
    <row r="626">
      <c r="A626" s="21">
        <f>IF($B626="","",617)</f>
        <v/>
      </c>
      <c r="B626" s="32">
        <f>IF(617&gt;NBskParty,"",INDEX(PkBskParty,617))</f>
        <v/>
      </c>
      <c r="C626" s="25">
        <f>IF($B626="","",IFERROR(IF(VLOOKUP($B626,AcctTbl,4,0)="","(بدون نام)",VLOOKUP($B626,AcctTbl,4,0)),"—"))</f>
        <v/>
      </c>
      <c r="D626" s="23">
        <f>IF($B626="","",SUMIF(CalcPartyA,$B626,CalcQtyA))</f>
        <v/>
      </c>
      <c r="E626" s="23">
        <f>IF($B626="","",SUMIF(CalcPartyA,$B626,CalcAmtA))</f>
        <v/>
      </c>
      <c r="F626" s="23">
        <f>IF($B626="","",SUMIF(CalcPartyB,$B626,CalcWitB))</f>
        <v/>
      </c>
      <c r="G626" s="23">
        <f>IF($B626="","",SUMIF(CalcPartyB,$B626,CalcDepB))</f>
        <v/>
      </c>
      <c r="H626" s="24">
        <f>IF($B626="","",$E626-$F626+$G626)</f>
        <v/>
      </c>
      <c r="I626" s="22">
        <f>IF($B626="","",IF(ROUND($H626,0)&gt;0,"● بستانکار",IF(ROUND($H626,0)&lt;0,"● بدهکار","تسویه")))</f>
        <v/>
      </c>
    </row>
    <row r="627">
      <c r="A627" s="26">
        <f>IF($B627="","",618)</f>
        <v/>
      </c>
      <c r="B627" s="33">
        <f>IF(618&gt;NBskParty,"",INDEX(PkBskParty,618))</f>
        <v/>
      </c>
      <c r="C627" s="30">
        <f>IF($B627="","",IFERROR(IF(VLOOKUP($B627,AcctTbl,4,0)="","(بدون نام)",VLOOKUP($B627,AcctTbl,4,0)),"—"))</f>
        <v/>
      </c>
      <c r="D627" s="28">
        <f>IF($B627="","",SUMIF(CalcPartyA,$B627,CalcQtyA))</f>
        <v/>
      </c>
      <c r="E627" s="28">
        <f>IF($B627="","",SUMIF(CalcPartyA,$B627,CalcAmtA))</f>
        <v/>
      </c>
      <c r="F627" s="28">
        <f>IF($B627="","",SUMIF(CalcPartyB,$B627,CalcWitB))</f>
        <v/>
      </c>
      <c r="G627" s="28">
        <f>IF($B627="","",SUMIF(CalcPartyB,$B627,CalcDepB))</f>
        <v/>
      </c>
      <c r="H627" s="29">
        <f>IF($B627="","",$E627-$F627+$G627)</f>
        <v/>
      </c>
      <c r="I627" s="27">
        <f>IF($B627="","",IF(ROUND($H627,0)&gt;0,"● بستانکار",IF(ROUND($H627,0)&lt;0,"● بدهکار","تسویه")))</f>
        <v/>
      </c>
    </row>
    <row r="628">
      <c r="A628" s="21">
        <f>IF($B628="","",619)</f>
        <v/>
      </c>
      <c r="B628" s="32">
        <f>IF(619&gt;NBskParty,"",INDEX(PkBskParty,619))</f>
        <v/>
      </c>
      <c r="C628" s="25">
        <f>IF($B628="","",IFERROR(IF(VLOOKUP($B628,AcctTbl,4,0)="","(بدون نام)",VLOOKUP($B628,AcctTbl,4,0)),"—"))</f>
        <v/>
      </c>
      <c r="D628" s="23">
        <f>IF($B628="","",SUMIF(CalcPartyA,$B628,CalcQtyA))</f>
        <v/>
      </c>
      <c r="E628" s="23">
        <f>IF($B628="","",SUMIF(CalcPartyA,$B628,CalcAmtA))</f>
        <v/>
      </c>
      <c r="F628" s="23">
        <f>IF($B628="","",SUMIF(CalcPartyB,$B628,CalcWitB))</f>
        <v/>
      </c>
      <c r="G628" s="23">
        <f>IF($B628="","",SUMIF(CalcPartyB,$B628,CalcDepB))</f>
        <v/>
      </c>
      <c r="H628" s="24">
        <f>IF($B628="","",$E628-$F628+$G628)</f>
        <v/>
      </c>
      <c r="I628" s="22">
        <f>IF($B628="","",IF(ROUND($H628,0)&gt;0,"● بستانکار",IF(ROUND($H628,0)&lt;0,"● بدهکار","تسویه")))</f>
        <v/>
      </c>
    </row>
    <row r="629">
      <c r="A629" s="26">
        <f>IF($B629="","",620)</f>
        <v/>
      </c>
      <c r="B629" s="33">
        <f>IF(620&gt;NBskParty,"",INDEX(PkBskParty,620))</f>
        <v/>
      </c>
      <c r="C629" s="30">
        <f>IF($B629="","",IFERROR(IF(VLOOKUP($B629,AcctTbl,4,0)="","(بدون نام)",VLOOKUP($B629,AcctTbl,4,0)),"—"))</f>
        <v/>
      </c>
      <c r="D629" s="28">
        <f>IF($B629="","",SUMIF(CalcPartyA,$B629,CalcQtyA))</f>
        <v/>
      </c>
      <c r="E629" s="28">
        <f>IF($B629="","",SUMIF(CalcPartyA,$B629,CalcAmtA))</f>
        <v/>
      </c>
      <c r="F629" s="28">
        <f>IF($B629="","",SUMIF(CalcPartyB,$B629,CalcWitB))</f>
        <v/>
      </c>
      <c r="G629" s="28">
        <f>IF($B629="","",SUMIF(CalcPartyB,$B629,CalcDepB))</f>
        <v/>
      </c>
      <c r="H629" s="29">
        <f>IF($B629="","",$E629-$F629+$G629)</f>
        <v/>
      </c>
      <c r="I629" s="27">
        <f>IF($B629="","",IF(ROUND($H629,0)&gt;0,"● بستانکار",IF(ROUND($H629,0)&lt;0,"● بدهکار","تسویه")))</f>
        <v/>
      </c>
    </row>
    <row r="630">
      <c r="A630" s="21">
        <f>IF($B630="","",621)</f>
        <v/>
      </c>
      <c r="B630" s="32">
        <f>IF(621&gt;NBskParty,"",INDEX(PkBskParty,621))</f>
        <v/>
      </c>
      <c r="C630" s="25">
        <f>IF($B630="","",IFERROR(IF(VLOOKUP($B630,AcctTbl,4,0)="","(بدون نام)",VLOOKUP($B630,AcctTbl,4,0)),"—"))</f>
        <v/>
      </c>
      <c r="D630" s="23">
        <f>IF($B630="","",SUMIF(CalcPartyA,$B630,CalcQtyA))</f>
        <v/>
      </c>
      <c r="E630" s="23">
        <f>IF($B630="","",SUMIF(CalcPartyA,$B630,CalcAmtA))</f>
        <v/>
      </c>
      <c r="F630" s="23">
        <f>IF($B630="","",SUMIF(CalcPartyB,$B630,CalcWitB))</f>
        <v/>
      </c>
      <c r="G630" s="23">
        <f>IF($B630="","",SUMIF(CalcPartyB,$B630,CalcDepB))</f>
        <v/>
      </c>
      <c r="H630" s="24">
        <f>IF($B630="","",$E630-$F630+$G630)</f>
        <v/>
      </c>
      <c r="I630" s="22">
        <f>IF($B630="","",IF(ROUND($H630,0)&gt;0,"● بستانکار",IF(ROUND($H630,0)&lt;0,"● بدهکار","تسویه")))</f>
        <v/>
      </c>
    </row>
    <row r="631">
      <c r="A631" s="26">
        <f>IF($B631="","",622)</f>
        <v/>
      </c>
      <c r="B631" s="33">
        <f>IF(622&gt;NBskParty,"",INDEX(PkBskParty,622))</f>
        <v/>
      </c>
      <c r="C631" s="30">
        <f>IF($B631="","",IFERROR(IF(VLOOKUP($B631,AcctTbl,4,0)="","(بدون نام)",VLOOKUP($B631,AcctTbl,4,0)),"—"))</f>
        <v/>
      </c>
      <c r="D631" s="28">
        <f>IF($B631="","",SUMIF(CalcPartyA,$B631,CalcQtyA))</f>
        <v/>
      </c>
      <c r="E631" s="28">
        <f>IF($B631="","",SUMIF(CalcPartyA,$B631,CalcAmtA))</f>
        <v/>
      </c>
      <c r="F631" s="28">
        <f>IF($B631="","",SUMIF(CalcPartyB,$B631,CalcWitB))</f>
        <v/>
      </c>
      <c r="G631" s="28">
        <f>IF($B631="","",SUMIF(CalcPartyB,$B631,CalcDepB))</f>
        <v/>
      </c>
      <c r="H631" s="29">
        <f>IF($B631="","",$E631-$F631+$G631)</f>
        <v/>
      </c>
      <c r="I631" s="27">
        <f>IF($B631="","",IF(ROUND($H631,0)&gt;0,"● بستانکار",IF(ROUND($H631,0)&lt;0,"● بدهکار","تسویه")))</f>
        <v/>
      </c>
    </row>
    <row r="632">
      <c r="A632" s="21">
        <f>IF($B632="","",623)</f>
        <v/>
      </c>
      <c r="B632" s="32">
        <f>IF(623&gt;NBskParty,"",INDEX(PkBskParty,623))</f>
        <v/>
      </c>
      <c r="C632" s="25">
        <f>IF($B632="","",IFERROR(IF(VLOOKUP($B632,AcctTbl,4,0)="","(بدون نام)",VLOOKUP($B632,AcctTbl,4,0)),"—"))</f>
        <v/>
      </c>
      <c r="D632" s="23">
        <f>IF($B632="","",SUMIF(CalcPartyA,$B632,CalcQtyA))</f>
        <v/>
      </c>
      <c r="E632" s="23">
        <f>IF($B632="","",SUMIF(CalcPartyA,$B632,CalcAmtA))</f>
        <v/>
      </c>
      <c r="F632" s="23">
        <f>IF($B632="","",SUMIF(CalcPartyB,$B632,CalcWitB))</f>
        <v/>
      </c>
      <c r="G632" s="23">
        <f>IF($B632="","",SUMIF(CalcPartyB,$B632,CalcDepB))</f>
        <v/>
      </c>
      <c r="H632" s="24">
        <f>IF($B632="","",$E632-$F632+$G632)</f>
        <v/>
      </c>
      <c r="I632" s="22">
        <f>IF($B632="","",IF(ROUND($H632,0)&gt;0,"● بستانکار",IF(ROUND($H632,0)&lt;0,"● بدهکار","تسویه")))</f>
        <v/>
      </c>
    </row>
    <row r="633">
      <c r="A633" s="26">
        <f>IF($B633="","",624)</f>
        <v/>
      </c>
      <c r="B633" s="33">
        <f>IF(624&gt;NBskParty,"",INDEX(PkBskParty,624))</f>
        <v/>
      </c>
      <c r="C633" s="30">
        <f>IF($B633="","",IFERROR(IF(VLOOKUP($B633,AcctTbl,4,0)="","(بدون نام)",VLOOKUP($B633,AcctTbl,4,0)),"—"))</f>
        <v/>
      </c>
      <c r="D633" s="28">
        <f>IF($B633="","",SUMIF(CalcPartyA,$B633,CalcQtyA))</f>
        <v/>
      </c>
      <c r="E633" s="28">
        <f>IF($B633="","",SUMIF(CalcPartyA,$B633,CalcAmtA))</f>
        <v/>
      </c>
      <c r="F633" s="28">
        <f>IF($B633="","",SUMIF(CalcPartyB,$B633,CalcWitB))</f>
        <v/>
      </c>
      <c r="G633" s="28">
        <f>IF($B633="","",SUMIF(CalcPartyB,$B633,CalcDepB))</f>
        <v/>
      </c>
      <c r="H633" s="29">
        <f>IF($B633="","",$E633-$F633+$G633)</f>
        <v/>
      </c>
      <c r="I633" s="27">
        <f>IF($B633="","",IF(ROUND($H633,0)&gt;0,"● بستانکار",IF(ROUND($H633,0)&lt;0,"● بدهکار","تسویه")))</f>
        <v/>
      </c>
    </row>
    <row r="634">
      <c r="A634" s="21">
        <f>IF($B634="","",625)</f>
        <v/>
      </c>
      <c r="B634" s="32">
        <f>IF(625&gt;NBskParty,"",INDEX(PkBskParty,625))</f>
        <v/>
      </c>
      <c r="C634" s="25">
        <f>IF($B634="","",IFERROR(IF(VLOOKUP($B634,AcctTbl,4,0)="","(بدون نام)",VLOOKUP($B634,AcctTbl,4,0)),"—"))</f>
        <v/>
      </c>
      <c r="D634" s="23">
        <f>IF($B634="","",SUMIF(CalcPartyA,$B634,CalcQtyA))</f>
        <v/>
      </c>
      <c r="E634" s="23">
        <f>IF($B634="","",SUMIF(CalcPartyA,$B634,CalcAmtA))</f>
        <v/>
      </c>
      <c r="F634" s="23">
        <f>IF($B634="","",SUMIF(CalcPartyB,$B634,CalcWitB))</f>
        <v/>
      </c>
      <c r="G634" s="23">
        <f>IF($B634="","",SUMIF(CalcPartyB,$B634,CalcDepB))</f>
        <v/>
      </c>
      <c r="H634" s="24">
        <f>IF($B634="","",$E634-$F634+$G634)</f>
        <v/>
      </c>
      <c r="I634" s="22">
        <f>IF($B634="","",IF(ROUND($H634,0)&gt;0,"● بستانکار",IF(ROUND($H634,0)&lt;0,"● بدهکار","تسویه")))</f>
        <v/>
      </c>
    </row>
    <row r="635">
      <c r="A635" s="26">
        <f>IF($B635="","",626)</f>
        <v/>
      </c>
      <c r="B635" s="33">
        <f>IF(626&gt;NBskParty,"",INDEX(PkBskParty,626))</f>
        <v/>
      </c>
      <c r="C635" s="30">
        <f>IF($B635="","",IFERROR(IF(VLOOKUP($B635,AcctTbl,4,0)="","(بدون نام)",VLOOKUP($B635,AcctTbl,4,0)),"—"))</f>
        <v/>
      </c>
      <c r="D635" s="28">
        <f>IF($B635="","",SUMIF(CalcPartyA,$B635,CalcQtyA))</f>
        <v/>
      </c>
      <c r="E635" s="28">
        <f>IF($B635="","",SUMIF(CalcPartyA,$B635,CalcAmtA))</f>
        <v/>
      </c>
      <c r="F635" s="28">
        <f>IF($B635="","",SUMIF(CalcPartyB,$B635,CalcWitB))</f>
        <v/>
      </c>
      <c r="G635" s="28">
        <f>IF($B635="","",SUMIF(CalcPartyB,$B635,CalcDepB))</f>
        <v/>
      </c>
      <c r="H635" s="29">
        <f>IF($B635="","",$E635-$F635+$G635)</f>
        <v/>
      </c>
      <c r="I635" s="27">
        <f>IF($B635="","",IF(ROUND($H635,0)&gt;0,"● بستانکار",IF(ROUND($H635,0)&lt;0,"● بدهکار","تسویه")))</f>
        <v/>
      </c>
    </row>
    <row r="636">
      <c r="A636" s="21">
        <f>IF($B636="","",627)</f>
        <v/>
      </c>
      <c r="B636" s="32">
        <f>IF(627&gt;NBskParty,"",INDEX(PkBskParty,627))</f>
        <v/>
      </c>
      <c r="C636" s="25">
        <f>IF($B636="","",IFERROR(IF(VLOOKUP($B636,AcctTbl,4,0)="","(بدون نام)",VLOOKUP($B636,AcctTbl,4,0)),"—"))</f>
        <v/>
      </c>
      <c r="D636" s="23">
        <f>IF($B636="","",SUMIF(CalcPartyA,$B636,CalcQtyA))</f>
        <v/>
      </c>
      <c r="E636" s="23">
        <f>IF($B636="","",SUMIF(CalcPartyA,$B636,CalcAmtA))</f>
        <v/>
      </c>
      <c r="F636" s="23">
        <f>IF($B636="","",SUMIF(CalcPartyB,$B636,CalcWitB))</f>
        <v/>
      </c>
      <c r="G636" s="23">
        <f>IF($B636="","",SUMIF(CalcPartyB,$B636,CalcDepB))</f>
        <v/>
      </c>
      <c r="H636" s="24">
        <f>IF($B636="","",$E636-$F636+$G636)</f>
        <v/>
      </c>
      <c r="I636" s="22">
        <f>IF($B636="","",IF(ROUND($H636,0)&gt;0,"● بستانکار",IF(ROUND($H636,0)&lt;0,"● بدهکار","تسویه")))</f>
        <v/>
      </c>
    </row>
    <row r="637">
      <c r="A637" s="26">
        <f>IF($B637="","",628)</f>
        <v/>
      </c>
      <c r="B637" s="33">
        <f>IF(628&gt;NBskParty,"",INDEX(PkBskParty,628))</f>
        <v/>
      </c>
      <c r="C637" s="30">
        <f>IF($B637="","",IFERROR(IF(VLOOKUP($B637,AcctTbl,4,0)="","(بدون نام)",VLOOKUP($B637,AcctTbl,4,0)),"—"))</f>
        <v/>
      </c>
      <c r="D637" s="28">
        <f>IF($B637="","",SUMIF(CalcPartyA,$B637,CalcQtyA))</f>
        <v/>
      </c>
      <c r="E637" s="28">
        <f>IF($B637="","",SUMIF(CalcPartyA,$B637,CalcAmtA))</f>
        <v/>
      </c>
      <c r="F637" s="28">
        <f>IF($B637="","",SUMIF(CalcPartyB,$B637,CalcWitB))</f>
        <v/>
      </c>
      <c r="G637" s="28">
        <f>IF($B637="","",SUMIF(CalcPartyB,$B637,CalcDepB))</f>
        <v/>
      </c>
      <c r="H637" s="29">
        <f>IF($B637="","",$E637-$F637+$G637)</f>
        <v/>
      </c>
      <c r="I637" s="27">
        <f>IF($B637="","",IF(ROUND($H637,0)&gt;0,"● بستانکار",IF(ROUND($H637,0)&lt;0,"● بدهکار","تسویه")))</f>
        <v/>
      </c>
    </row>
    <row r="638">
      <c r="A638" s="21">
        <f>IF($B638="","",629)</f>
        <v/>
      </c>
      <c r="B638" s="32">
        <f>IF(629&gt;NBskParty,"",INDEX(PkBskParty,629))</f>
        <v/>
      </c>
      <c r="C638" s="25">
        <f>IF($B638="","",IFERROR(IF(VLOOKUP($B638,AcctTbl,4,0)="","(بدون نام)",VLOOKUP($B638,AcctTbl,4,0)),"—"))</f>
        <v/>
      </c>
      <c r="D638" s="23">
        <f>IF($B638="","",SUMIF(CalcPartyA,$B638,CalcQtyA))</f>
        <v/>
      </c>
      <c r="E638" s="23">
        <f>IF($B638="","",SUMIF(CalcPartyA,$B638,CalcAmtA))</f>
        <v/>
      </c>
      <c r="F638" s="23">
        <f>IF($B638="","",SUMIF(CalcPartyB,$B638,CalcWitB))</f>
        <v/>
      </c>
      <c r="G638" s="23">
        <f>IF($B638="","",SUMIF(CalcPartyB,$B638,CalcDepB))</f>
        <v/>
      </c>
      <c r="H638" s="24">
        <f>IF($B638="","",$E638-$F638+$G638)</f>
        <v/>
      </c>
      <c r="I638" s="22">
        <f>IF($B638="","",IF(ROUND($H638,0)&gt;0,"● بستانکار",IF(ROUND($H638,0)&lt;0,"● بدهکار","تسویه")))</f>
        <v/>
      </c>
    </row>
    <row r="639">
      <c r="A639" s="26">
        <f>IF($B639="","",630)</f>
        <v/>
      </c>
      <c r="B639" s="33">
        <f>IF(630&gt;NBskParty,"",INDEX(PkBskParty,630))</f>
        <v/>
      </c>
      <c r="C639" s="30">
        <f>IF($B639="","",IFERROR(IF(VLOOKUP($B639,AcctTbl,4,0)="","(بدون نام)",VLOOKUP($B639,AcctTbl,4,0)),"—"))</f>
        <v/>
      </c>
      <c r="D639" s="28">
        <f>IF($B639="","",SUMIF(CalcPartyA,$B639,CalcQtyA))</f>
        <v/>
      </c>
      <c r="E639" s="28">
        <f>IF($B639="","",SUMIF(CalcPartyA,$B639,CalcAmtA))</f>
        <v/>
      </c>
      <c r="F639" s="28">
        <f>IF($B639="","",SUMIF(CalcPartyB,$B639,CalcWitB))</f>
        <v/>
      </c>
      <c r="G639" s="28">
        <f>IF($B639="","",SUMIF(CalcPartyB,$B639,CalcDepB))</f>
        <v/>
      </c>
      <c r="H639" s="29">
        <f>IF($B639="","",$E639-$F639+$G639)</f>
        <v/>
      </c>
      <c r="I639" s="27">
        <f>IF($B639="","",IF(ROUND($H639,0)&gt;0,"● بستانکار",IF(ROUND($H639,0)&lt;0,"● بدهکار","تسویه")))</f>
        <v/>
      </c>
    </row>
    <row r="640">
      <c r="A640" s="21">
        <f>IF($B640="","",631)</f>
        <v/>
      </c>
      <c r="B640" s="32">
        <f>IF(631&gt;NBskParty,"",INDEX(PkBskParty,631))</f>
        <v/>
      </c>
      <c r="C640" s="25">
        <f>IF($B640="","",IFERROR(IF(VLOOKUP($B640,AcctTbl,4,0)="","(بدون نام)",VLOOKUP($B640,AcctTbl,4,0)),"—"))</f>
        <v/>
      </c>
      <c r="D640" s="23">
        <f>IF($B640="","",SUMIF(CalcPartyA,$B640,CalcQtyA))</f>
        <v/>
      </c>
      <c r="E640" s="23">
        <f>IF($B640="","",SUMIF(CalcPartyA,$B640,CalcAmtA))</f>
        <v/>
      </c>
      <c r="F640" s="23">
        <f>IF($B640="","",SUMIF(CalcPartyB,$B640,CalcWitB))</f>
        <v/>
      </c>
      <c r="G640" s="23">
        <f>IF($B640="","",SUMIF(CalcPartyB,$B640,CalcDepB))</f>
        <v/>
      </c>
      <c r="H640" s="24">
        <f>IF($B640="","",$E640-$F640+$G640)</f>
        <v/>
      </c>
      <c r="I640" s="22">
        <f>IF($B640="","",IF(ROUND($H640,0)&gt;0,"● بستانکار",IF(ROUND($H640,0)&lt;0,"● بدهکار","تسویه")))</f>
        <v/>
      </c>
    </row>
    <row r="641">
      <c r="A641" s="26">
        <f>IF($B641="","",632)</f>
        <v/>
      </c>
      <c r="B641" s="33">
        <f>IF(632&gt;NBskParty,"",INDEX(PkBskParty,632))</f>
        <v/>
      </c>
      <c r="C641" s="30">
        <f>IF($B641="","",IFERROR(IF(VLOOKUP($B641,AcctTbl,4,0)="","(بدون نام)",VLOOKUP($B641,AcctTbl,4,0)),"—"))</f>
        <v/>
      </c>
      <c r="D641" s="28">
        <f>IF($B641="","",SUMIF(CalcPartyA,$B641,CalcQtyA))</f>
        <v/>
      </c>
      <c r="E641" s="28">
        <f>IF($B641="","",SUMIF(CalcPartyA,$B641,CalcAmtA))</f>
        <v/>
      </c>
      <c r="F641" s="28">
        <f>IF($B641="","",SUMIF(CalcPartyB,$B641,CalcWitB))</f>
        <v/>
      </c>
      <c r="G641" s="28">
        <f>IF($B641="","",SUMIF(CalcPartyB,$B641,CalcDepB))</f>
        <v/>
      </c>
      <c r="H641" s="29">
        <f>IF($B641="","",$E641-$F641+$G641)</f>
        <v/>
      </c>
      <c r="I641" s="27">
        <f>IF($B641="","",IF(ROUND($H641,0)&gt;0,"● بستانکار",IF(ROUND($H641,0)&lt;0,"● بدهکار","تسویه")))</f>
        <v/>
      </c>
    </row>
    <row r="642">
      <c r="A642" s="21">
        <f>IF($B642="","",633)</f>
        <v/>
      </c>
      <c r="B642" s="32">
        <f>IF(633&gt;NBskParty,"",INDEX(PkBskParty,633))</f>
        <v/>
      </c>
      <c r="C642" s="25">
        <f>IF($B642="","",IFERROR(IF(VLOOKUP($B642,AcctTbl,4,0)="","(بدون نام)",VLOOKUP($B642,AcctTbl,4,0)),"—"))</f>
        <v/>
      </c>
      <c r="D642" s="23">
        <f>IF($B642="","",SUMIF(CalcPartyA,$B642,CalcQtyA))</f>
        <v/>
      </c>
      <c r="E642" s="23">
        <f>IF($B642="","",SUMIF(CalcPartyA,$B642,CalcAmtA))</f>
        <v/>
      </c>
      <c r="F642" s="23">
        <f>IF($B642="","",SUMIF(CalcPartyB,$B642,CalcWitB))</f>
        <v/>
      </c>
      <c r="G642" s="23">
        <f>IF($B642="","",SUMIF(CalcPartyB,$B642,CalcDepB))</f>
        <v/>
      </c>
      <c r="H642" s="24">
        <f>IF($B642="","",$E642-$F642+$G642)</f>
        <v/>
      </c>
      <c r="I642" s="22">
        <f>IF($B642="","",IF(ROUND($H642,0)&gt;0,"● بستانکار",IF(ROUND($H642,0)&lt;0,"● بدهکار","تسویه")))</f>
        <v/>
      </c>
    </row>
    <row r="643">
      <c r="A643" s="26">
        <f>IF($B643="","",634)</f>
        <v/>
      </c>
      <c r="B643" s="33">
        <f>IF(634&gt;NBskParty,"",INDEX(PkBskParty,634))</f>
        <v/>
      </c>
      <c r="C643" s="30">
        <f>IF($B643="","",IFERROR(IF(VLOOKUP($B643,AcctTbl,4,0)="","(بدون نام)",VLOOKUP($B643,AcctTbl,4,0)),"—"))</f>
        <v/>
      </c>
      <c r="D643" s="28">
        <f>IF($B643="","",SUMIF(CalcPartyA,$B643,CalcQtyA))</f>
        <v/>
      </c>
      <c r="E643" s="28">
        <f>IF($B643="","",SUMIF(CalcPartyA,$B643,CalcAmtA))</f>
        <v/>
      </c>
      <c r="F643" s="28">
        <f>IF($B643="","",SUMIF(CalcPartyB,$B643,CalcWitB))</f>
        <v/>
      </c>
      <c r="G643" s="28">
        <f>IF($B643="","",SUMIF(CalcPartyB,$B643,CalcDepB))</f>
        <v/>
      </c>
      <c r="H643" s="29">
        <f>IF($B643="","",$E643-$F643+$G643)</f>
        <v/>
      </c>
      <c r="I643" s="27">
        <f>IF($B643="","",IF(ROUND($H643,0)&gt;0,"● بستانکار",IF(ROUND($H643,0)&lt;0,"● بدهکار","تسویه")))</f>
        <v/>
      </c>
    </row>
    <row r="644">
      <c r="A644" s="21">
        <f>IF($B644="","",635)</f>
        <v/>
      </c>
      <c r="B644" s="32">
        <f>IF(635&gt;NBskParty,"",INDEX(PkBskParty,635))</f>
        <v/>
      </c>
      <c r="C644" s="25">
        <f>IF($B644="","",IFERROR(IF(VLOOKUP($B644,AcctTbl,4,0)="","(بدون نام)",VLOOKUP($B644,AcctTbl,4,0)),"—"))</f>
        <v/>
      </c>
      <c r="D644" s="23">
        <f>IF($B644="","",SUMIF(CalcPartyA,$B644,CalcQtyA))</f>
        <v/>
      </c>
      <c r="E644" s="23">
        <f>IF($B644="","",SUMIF(CalcPartyA,$B644,CalcAmtA))</f>
        <v/>
      </c>
      <c r="F644" s="23">
        <f>IF($B644="","",SUMIF(CalcPartyB,$B644,CalcWitB))</f>
        <v/>
      </c>
      <c r="G644" s="23">
        <f>IF($B644="","",SUMIF(CalcPartyB,$B644,CalcDepB))</f>
        <v/>
      </c>
      <c r="H644" s="24">
        <f>IF($B644="","",$E644-$F644+$G644)</f>
        <v/>
      </c>
      <c r="I644" s="22">
        <f>IF($B644="","",IF(ROUND($H644,0)&gt;0,"● بستانکار",IF(ROUND($H644,0)&lt;0,"● بدهکار","تسویه")))</f>
        <v/>
      </c>
    </row>
    <row r="645">
      <c r="A645" s="26">
        <f>IF($B645="","",636)</f>
        <v/>
      </c>
      <c r="B645" s="33">
        <f>IF(636&gt;NBskParty,"",INDEX(PkBskParty,636))</f>
        <v/>
      </c>
      <c r="C645" s="30">
        <f>IF($B645="","",IFERROR(IF(VLOOKUP($B645,AcctTbl,4,0)="","(بدون نام)",VLOOKUP($B645,AcctTbl,4,0)),"—"))</f>
        <v/>
      </c>
      <c r="D645" s="28">
        <f>IF($B645="","",SUMIF(CalcPartyA,$B645,CalcQtyA))</f>
        <v/>
      </c>
      <c r="E645" s="28">
        <f>IF($B645="","",SUMIF(CalcPartyA,$B645,CalcAmtA))</f>
        <v/>
      </c>
      <c r="F645" s="28">
        <f>IF($B645="","",SUMIF(CalcPartyB,$B645,CalcWitB))</f>
        <v/>
      </c>
      <c r="G645" s="28">
        <f>IF($B645="","",SUMIF(CalcPartyB,$B645,CalcDepB))</f>
        <v/>
      </c>
      <c r="H645" s="29">
        <f>IF($B645="","",$E645-$F645+$G645)</f>
        <v/>
      </c>
      <c r="I645" s="27">
        <f>IF($B645="","",IF(ROUND($H645,0)&gt;0,"● بستانکار",IF(ROUND($H645,0)&lt;0,"● بدهکار","تسویه")))</f>
        <v/>
      </c>
    </row>
    <row r="646">
      <c r="A646" s="21">
        <f>IF($B646="","",637)</f>
        <v/>
      </c>
      <c r="B646" s="32">
        <f>IF(637&gt;NBskParty,"",INDEX(PkBskParty,637))</f>
        <v/>
      </c>
      <c r="C646" s="25">
        <f>IF($B646="","",IFERROR(IF(VLOOKUP($B646,AcctTbl,4,0)="","(بدون نام)",VLOOKUP($B646,AcctTbl,4,0)),"—"))</f>
        <v/>
      </c>
      <c r="D646" s="23">
        <f>IF($B646="","",SUMIF(CalcPartyA,$B646,CalcQtyA))</f>
        <v/>
      </c>
      <c r="E646" s="23">
        <f>IF($B646="","",SUMIF(CalcPartyA,$B646,CalcAmtA))</f>
        <v/>
      </c>
      <c r="F646" s="23">
        <f>IF($B646="","",SUMIF(CalcPartyB,$B646,CalcWitB))</f>
        <v/>
      </c>
      <c r="G646" s="23">
        <f>IF($B646="","",SUMIF(CalcPartyB,$B646,CalcDepB))</f>
        <v/>
      </c>
      <c r="H646" s="24">
        <f>IF($B646="","",$E646-$F646+$G646)</f>
        <v/>
      </c>
      <c r="I646" s="22">
        <f>IF($B646="","",IF(ROUND($H646,0)&gt;0,"● بستانکار",IF(ROUND($H646,0)&lt;0,"● بدهکار","تسویه")))</f>
        <v/>
      </c>
    </row>
    <row r="647">
      <c r="A647" s="26">
        <f>IF($B647="","",638)</f>
        <v/>
      </c>
      <c r="B647" s="33">
        <f>IF(638&gt;NBskParty,"",INDEX(PkBskParty,638))</f>
        <v/>
      </c>
      <c r="C647" s="30">
        <f>IF($B647="","",IFERROR(IF(VLOOKUP($B647,AcctTbl,4,0)="","(بدون نام)",VLOOKUP($B647,AcctTbl,4,0)),"—"))</f>
        <v/>
      </c>
      <c r="D647" s="28">
        <f>IF($B647="","",SUMIF(CalcPartyA,$B647,CalcQtyA))</f>
        <v/>
      </c>
      <c r="E647" s="28">
        <f>IF($B647="","",SUMIF(CalcPartyA,$B647,CalcAmtA))</f>
        <v/>
      </c>
      <c r="F647" s="28">
        <f>IF($B647="","",SUMIF(CalcPartyB,$B647,CalcWitB))</f>
        <v/>
      </c>
      <c r="G647" s="28">
        <f>IF($B647="","",SUMIF(CalcPartyB,$B647,CalcDepB))</f>
        <v/>
      </c>
      <c r="H647" s="29">
        <f>IF($B647="","",$E647-$F647+$G647)</f>
        <v/>
      </c>
      <c r="I647" s="27">
        <f>IF($B647="","",IF(ROUND($H647,0)&gt;0,"● بستانکار",IF(ROUND($H647,0)&lt;0,"● بدهکار","تسویه")))</f>
        <v/>
      </c>
    </row>
    <row r="648">
      <c r="A648" s="21">
        <f>IF($B648="","",639)</f>
        <v/>
      </c>
      <c r="B648" s="32">
        <f>IF(639&gt;NBskParty,"",INDEX(PkBskParty,639))</f>
        <v/>
      </c>
      <c r="C648" s="25">
        <f>IF($B648="","",IFERROR(IF(VLOOKUP($B648,AcctTbl,4,0)="","(بدون نام)",VLOOKUP($B648,AcctTbl,4,0)),"—"))</f>
        <v/>
      </c>
      <c r="D648" s="23">
        <f>IF($B648="","",SUMIF(CalcPartyA,$B648,CalcQtyA))</f>
        <v/>
      </c>
      <c r="E648" s="23">
        <f>IF($B648="","",SUMIF(CalcPartyA,$B648,CalcAmtA))</f>
        <v/>
      </c>
      <c r="F648" s="23">
        <f>IF($B648="","",SUMIF(CalcPartyB,$B648,CalcWitB))</f>
        <v/>
      </c>
      <c r="G648" s="23">
        <f>IF($B648="","",SUMIF(CalcPartyB,$B648,CalcDepB))</f>
        <v/>
      </c>
      <c r="H648" s="24">
        <f>IF($B648="","",$E648-$F648+$G648)</f>
        <v/>
      </c>
      <c r="I648" s="22">
        <f>IF($B648="","",IF(ROUND($H648,0)&gt;0,"● بستانکار",IF(ROUND($H648,0)&lt;0,"● بدهکار","تسویه")))</f>
        <v/>
      </c>
    </row>
    <row r="649">
      <c r="A649" s="26">
        <f>IF($B649="","",640)</f>
        <v/>
      </c>
      <c r="B649" s="33">
        <f>IF(640&gt;NBskParty,"",INDEX(PkBskParty,640))</f>
        <v/>
      </c>
      <c r="C649" s="30">
        <f>IF($B649="","",IFERROR(IF(VLOOKUP($B649,AcctTbl,4,0)="","(بدون نام)",VLOOKUP($B649,AcctTbl,4,0)),"—"))</f>
        <v/>
      </c>
      <c r="D649" s="28">
        <f>IF($B649="","",SUMIF(CalcPartyA,$B649,CalcQtyA))</f>
        <v/>
      </c>
      <c r="E649" s="28">
        <f>IF($B649="","",SUMIF(CalcPartyA,$B649,CalcAmtA))</f>
        <v/>
      </c>
      <c r="F649" s="28">
        <f>IF($B649="","",SUMIF(CalcPartyB,$B649,CalcWitB))</f>
        <v/>
      </c>
      <c r="G649" s="28">
        <f>IF($B649="","",SUMIF(CalcPartyB,$B649,CalcDepB))</f>
        <v/>
      </c>
      <c r="H649" s="29">
        <f>IF($B649="","",$E649-$F649+$G649)</f>
        <v/>
      </c>
      <c r="I649" s="27">
        <f>IF($B649="","",IF(ROUND($H649,0)&gt;0,"● بستانکار",IF(ROUND($H649,0)&lt;0,"● بدهکار","تسویه")))</f>
        <v/>
      </c>
    </row>
    <row r="650">
      <c r="A650" s="21">
        <f>IF($B650="","",641)</f>
        <v/>
      </c>
      <c r="B650" s="32">
        <f>IF(641&gt;NBskParty,"",INDEX(PkBskParty,641))</f>
        <v/>
      </c>
      <c r="C650" s="25">
        <f>IF($B650="","",IFERROR(IF(VLOOKUP($B650,AcctTbl,4,0)="","(بدون نام)",VLOOKUP($B650,AcctTbl,4,0)),"—"))</f>
        <v/>
      </c>
      <c r="D650" s="23">
        <f>IF($B650="","",SUMIF(CalcPartyA,$B650,CalcQtyA))</f>
        <v/>
      </c>
      <c r="E650" s="23">
        <f>IF($B650="","",SUMIF(CalcPartyA,$B650,CalcAmtA))</f>
        <v/>
      </c>
      <c r="F650" s="23">
        <f>IF($B650="","",SUMIF(CalcPartyB,$B650,CalcWitB))</f>
        <v/>
      </c>
      <c r="G650" s="23">
        <f>IF($B650="","",SUMIF(CalcPartyB,$B650,CalcDepB))</f>
        <v/>
      </c>
      <c r="H650" s="24">
        <f>IF($B650="","",$E650-$F650+$G650)</f>
        <v/>
      </c>
      <c r="I650" s="22">
        <f>IF($B650="","",IF(ROUND($H650,0)&gt;0,"● بستانکار",IF(ROUND($H650,0)&lt;0,"● بدهکار","تسویه")))</f>
        <v/>
      </c>
    </row>
    <row r="651">
      <c r="A651" s="26">
        <f>IF($B651="","",642)</f>
        <v/>
      </c>
      <c r="B651" s="33">
        <f>IF(642&gt;NBskParty,"",INDEX(PkBskParty,642))</f>
        <v/>
      </c>
      <c r="C651" s="30">
        <f>IF($B651="","",IFERROR(IF(VLOOKUP($B651,AcctTbl,4,0)="","(بدون نام)",VLOOKUP($B651,AcctTbl,4,0)),"—"))</f>
        <v/>
      </c>
      <c r="D651" s="28">
        <f>IF($B651="","",SUMIF(CalcPartyA,$B651,CalcQtyA))</f>
        <v/>
      </c>
      <c r="E651" s="28">
        <f>IF($B651="","",SUMIF(CalcPartyA,$B651,CalcAmtA))</f>
        <v/>
      </c>
      <c r="F651" s="28">
        <f>IF($B651="","",SUMIF(CalcPartyB,$B651,CalcWitB))</f>
        <v/>
      </c>
      <c r="G651" s="28">
        <f>IF($B651="","",SUMIF(CalcPartyB,$B651,CalcDepB))</f>
        <v/>
      </c>
      <c r="H651" s="29">
        <f>IF($B651="","",$E651-$F651+$G651)</f>
        <v/>
      </c>
      <c r="I651" s="27">
        <f>IF($B651="","",IF(ROUND($H651,0)&gt;0,"● بستانکار",IF(ROUND($H651,0)&lt;0,"● بدهکار","تسویه")))</f>
        <v/>
      </c>
    </row>
    <row r="652">
      <c r="A652" s="21">
        <f>IF($B652="","",643)</f>
        <v/>
      </c>
      <c r="B652" s="32">
        <f>IF(643&gt;NBskParty,"",INDEX(PkBskParty,643))</f>
        <v/>
      </c>
      <c r="C652" s="25">
        <f>IF($B652="","",IFERROR(IF(VLOOKUP($B652,AcctTbl,4,0)="","(بدون نام)",VLOOKUP($B652,AcctTbl,4,0)),"—"))</f>
        <v/>
      </c>
      <c r="D652" s="23">
        <f>IF($B652="","",SUMIF(CalcPartyA,$B652,CalcQtyA))</f>
        <v/>
      </c>
      <c r="E652" s="23">
        <f>IF($B652="","",SUMIF(CalcPartyA,$B652,CalcAmtA))</f>
        <v/>
      </c>
      <c r="F652" s="23">
        <f>IF($B652="","",SUMIF(CalcPartyB,$B652,CalcWitB))</f>
        <v/>
      </c>
      <c r="G652" s="23">
        <f>IF($B652="","",SUMIF(CalcPartyB,$B652,CalcDepB))</f>
        <v/>
      </c>
      <c r="H652" s="24">
        <f>IF($B652="","",$E652-$F652+$G652)</f>
        <v/>
      </c>
      <c r="I652" s="22">
        <f>IF($B652="","",IF(ROUND($H652,0)&gt;0,"● بستانکار",IF(ROUND($H652,0)&lt;0,"● بدهکار","تسویه")))</f>
        <v/>
      </c>
    </row>
    <row r="653">
      <c r="A653" s="26">
        <f>IF($B653="","",644)</f>
        <v/>
      </c>
      <c r="B653" s="33">
        <f>IF(644&gt;NBskParty,"",INDEX(PkBskParty,644))</f>
        <v/>
      </c>
      <c r="C653" s="30">
        <f>IF($B653="","",IFERROR(IF(VLOOKUP($B653,AcctTbl,4,0)="","(بدون نام)",VLOOKUP($B653,AcctTbl,4,0)),"—"))</f>
        <v/>
      </c>
      <c r="D653" s="28">
        <f>IF($B653="","",SUMIF(CalcPartyA,$B653,CalcQtyA))</f>
        <v/>
      </c>
      <c r="E653" s="28">
        <f>IF($B653="","",SUMIF(CalcPartyA,$B653,CalcAmtA))</f>
        <v/>
      </c>
      <c r="F653" s="28">
        <f>IF($B653="","",SUMIF(CalcPartyB,$B653,CalcWitB))</f>
        <v/>
      </c>
      <c r="G653" s="28">
        <f>IF($B653="","",SUMIF(CalcPartyB,$B653,CalcDepB))</f>
        <v/>
      </c>
      <c r="H653" s="29">
        <f>IF($B653="","",$E653-$F653+$G653)</f>
        <v/>
      </c>
      <c r="I653" s="27">
        <f>IF($B653="","",IF(ROUND($H653,0)&gt;0,"● بستانکار",IF(ROUND($H653,0)&lt;0,"● بدهکار","تسویه")))</f>
        <v/>
      </c>
    </row>
    <row r="654">
      <c r="A654" s="21">
        <f>IF($B654="","",645)</f>
        <v/>
      </c>
      <c r="B654" s="32">
        <f>IF(645&gt;NBskParty,"",INDEX(PkBskParty,645))</f>
        <v/>
      </c>
      <c r="C654" s="25">
        <f>IF($B654="","",IFERROR(IF(VLOOKUP($B654,AcctTbl,4,0)="","(بدون نام)",VLOOKUP($B654,AcctTbl,4,0)),"—"))</f>
        <v/>
      </c>
      <c r="D654" s="23">
        <f>IF($B654="","",SUMIF(CalcPartyA,$B654,CalcQtyA))</f>
        <v/>
      </c>
      <c r="E654" s="23">
        <f>IF($B654="","",SUMIF(CalcPartyA,$B654,CalcAmtA))</f>
        <v/>
      </c>
      <c r="F654" s="23">
        <f>IF($B654="","",SUMIF(CalcPartyB,$B654,CalcWitB))</f>
        <v/>
      </c>
      <c r="G654" s="23">
        <f>IF($B654="","",SUMIF(CalcPartyB,$B654,CalcDepB))</f>
        <v/>
      </c>
      <c r="H654" s="24">
        <f>IF($B654="","",$E654-$F654+$G654)</f>
        <v/>
      </c>
      <c r="I654" s="22">
        <f>IF($B654="","",IF(ROUND($H654,0)&gt;0,"● بستانکار",IF(ROUND($H654,0)&lt;0,"● بدهکار","تسویه")))</f>
        <v/>
      </c>
    </row>
    <row r="655">
      <c r="A655" s="26">
        <f>IF($B655="","",646)</f>
        <v/>
      </c>
      <c r="B655" s="33">
        <f>IF(646&gt;NBskParty,"",INDEX(PkBskParty,646))</f>
        <v/>
      </c>
      <c r="C655" s="30">
        <f>IF($B655="","",IFERROR(IF(VLOOKUP($B655,AcctTbl,4,0)="","(بدون نام)",VLOOKUP($B655,AcctTbl,4,0)),"—"))</f>
        <v/>
      </c>
      <c r="D655" s="28">
        <f>IF($B655="","",SUMIF(CalcPartyA,$B655,CalcQtyA))</f>
        <v/>
      </c>
      <c r="E655" s="28">
        <f>IF($B655="","",SUMIF(CalcPartyA,$B655,CalcAmtA))</f>
        <v/>
      </c>
      <c r="F655" s="28">
        <f>IF($B655="","",SUMIF(CalcPartyB,$B655,CalcWitB))</f>
        <v/>
      </c>
      <c r="G655" s="28">
        <f>IF($B655="","",SUMIF(CalcPartyB,$B655,CalcDepB))</f>
        <v/>
      </c>
      <c r="H655" s="29">
        <f>IF($B655="","",$E655-$F655+$G655)</f>
        <v/>
      </c>
      <c r="I655" s="27">
        <f>IF($B655="","",IF(ROUND($H655,0)&gt;0,"● بستانکار",IF(ROUND($H655,0)&lt;0,"● بدهکار","تسویه")))</f>
        <v/>
      </c>
    </row>
    <row r="656">
      <c r="A656" s="21">
        <f>IF($B656="","",647)</f>
        <v/>
      </c>
      <c r="B656" s="32">
        <f>IF(647&gt;NBskParty,"",INDEX(PkBskParty,647))</f>
        <v/>
      </c>
      <c r="C656" s="25">
        <f>IF($B656="","",IFERROR(IF(VLOOKUP($B656,AcctTbl,4,0)="","(بدون نام)",VLOOKUP($B656,AcctTbl,4,0)),"—"))</f>
        <v/>
      </c>
      <c r="D656" s="23">
        <f>IF($B656="","",SUMIF(CalcPartyA,$B656,CalcQtyA))</f>
        <v/>
      </c>
      <c r="E656" s="23">
        <f>IF($B656="","",SUMIF(CalcPartyA,$B656,CalcAmtA))</f>
        <v/>
      </c>
      <c r="F656" s="23">
        <f>IF($B656="","",SUMIF(CalcPartyB,$B656,CalcWitB))</f>
        <v/>
      </c>
      <c r="G656" s="23">
        <f>IF($B656="","",SUMIF(CalcPartyB,$B656,CalcDepB))</f>
        <v/>
      </c>
      <c r="H656" s="24">
        <f>IF($B656="","",$E656-$F656+$G656)</f>
        <v/>
      </c>
      <c r="I656" s="22">
        <f>IF($B656="","",IF(ROUND($H656,0)&gt;0,"● بستانکار",IF(ROUND($H656,0)&lt;0,"● بدهکار","تسویه")))</f>
        <v/>
      </c>
    </row>
    <row r="657">
      <c r="A657" s="26">
        <f>IF($B657="","",648)</f>
        <v/>
      </c>
      <c r="B657" s="33">
        <f>IF(648&gt;NBskParty,"",INDEX(PkBskParty,648))</f>
        <v/>
      </c>
      <c r="C657" s="30">
        <f>IF($B657="","",IFERROR(IF(VLOOKUP($B657,AcctTbl,4,0)="","(بدون نام)",VLOOKUP($B657,AcctTbl,4,0)),"—"))</f>
        <v/>
      </c>
      <c r="D657" s="28">
        <f>IF($B657="","",SUMIF(CalcPartyA,$B657,CalcQtyA))</f>
        <v/>
      </c>
      <c r="E657" s="28">
        <f>IF($B657="","",SUMIF(CalcPartyA,$B657,CalcAmtA))</f>
        <v/>
      </c>
      <c r="F657" s="28">
        <f>IF($B657="","",SUMIF(CalcPartyB,$B657,CalcWitB))</f>
        <v/>
      </c>
      <c r="G657" s="28">
        <f>IF($B657="","",SUMIF(CalcPartyB,$B657,CalcDepB))</f>
        <v/>
      </c>
      <c r="H657" s="29">
        <f>IF($B657="","",$E657-$F657+$G657)</f>
        <v/>
      </c>
      <c r="I657" s="27">
        <f>IF($B657="","",IF(ROUND($H657,0)&gt;0,"● بستانکار",IF(ROUND($H657,0)&lt;0,"● بدهکار","تسویه")))</f>
        <v/>
      </c>
    </row>
    <row r="658">
      <c r="A658" s="21">
        <f>IF($B658="","",649)</f>
        <v/>
      </c>
      <c r="B658" s="32">
        <f>IF(649&gt;NBskParty,"",INDEX(PkBskParty,649))</f>
        <v/>
      </c>
      <c r="C658" s="25">
        <f>IF($B658="","",IFERROR(IF(VLOOKUP($B658,AcctTbl,4,0)="","(بدون نام)",VLOOKUP($B658,AcctTbl,4,0)),"—"))</f>
        <v/>
      </c>
      <c r="D658" s="23">
        <f>IF($B658="","",SUMIF(CalcPartyA,$B658,CalcQtyA))</f>
        <v/>
      </c>
      <c r="E658" s="23">
        <f>IF($B658="","",SUMIF(CalcPartyA,$B658,CalcAmtA))</f>
        <v/>
      </c>
      <c r="F658" s="23">
        <f>IF($B658="","",SUMIF(CalcPartyB,$B658,CalcWitB))</f>
        <v/>
      </c>
      <c r="G658" s="23">
        <f>IF($B658="","",SUMIF(CalcPartyB,$B658,CalcDepB))</f>
        <v/>
      </c>
      <c r="H658" s="24">
        <f>IF($B658="","",$E658-$F658+$G658)</f>
        <v/>
      </c>
      <c r="I658" s="22">
        <f>IF($B658="","",IF(ROUND($H658,0)&gt;0,"● بستانکار",IF(ROUND($H658,0)&lt;0,"● بدهکار","تسویه")))</f>
        <v/>
      </c>
    </row>
    <row r="659">
      <c r="A659" s="26">
        <f>IF($B659="","",650)</f>
        <v/>
      </c>
      <c r="B659" s="33">
        <f>IF(650&gt;NBskParty,"",INDEX(PkBskParty,650))</f>
        <v/>
      </c>
      <c r="C659" s="30">
        <f>IF($B659="","",IFERROR(IF(VLOOKUP($B659,AcctTbl,4,0)="","(بدون نام)",VLOOKUP($B659,AcctTbl,4,0)),"—"))</f>
        <v/>
      </c>
      <c r="D659" s="28">
        <f>IF($B659="","",SUMIF(CalcPartyA,$B659,CalcQtyA))</f>
        <v/>
      </c>
      <c r="E659" s="28">
        <f>IF($B659="","",SUMIF(CalcPartyA,$B659,CalcAmtA))</f>
        <v/>
      </c>
      <c r="F659" s="28">
        <f>IF($B659="","",SUMIF(CalcPartyB,$B659,CalcWitB))</f>
        <v/>
      </c>
      <c r="G659" s="28">
        <f>IF($B659="","",SUMIF(CalcPartyB,$B659,CalcDepB))</f>
        <v/>
      </c>
      <c r="H659" s="29">
        <f>IF($B659="","",$E659-$F659+$G659)</f>
        <v/>
      </c>
      <c r="I659" s="27">
        <f>IF($B659="","",IF(ROUND($H659,0)&gt;0,"● بستانکار",IF(ROUND($H659,0)&lt;0,"● بدهکار","تسویه")))</f>
        <v/>
      </c>
    </row>
    <row r="660">
      <c r="A660" s="21">
        <f>IF($B660="","",651)</f>
        <v/>
      </c>
      <c r="B660" s="32">
        <f>IF(651&gt;NBskParty,"",INDEX(PkBskParty,651))</f>
        <v/>
      </c>
      <c r="C660" s="25">
        <f>IF($B660="","",IFERROR(IF(VLOOKUP($B660,AcctTbl,4,0)="","(بدون نام)",VLOOKUP($B660,AcctTbl,4,0)),"—"))</f>
        <v/>
      </c>
      <c r="D660" s="23">
        <f>IF($B660="","",SUMIF(CalcPartyA,$B660,CalcQtyA))</f>
        <v/>
      </c>
      <c r="E660" s="23">
        <f>IF($B660="","",SUMIF(CalcPartyA,$B660,CalcAmtA))</f>
        <v/>
      </c>
      <c r="F660" s="23">
        <f>IF($B660="","",SUMIF(CalcPartyB,$B660,CalcWitB))</f>
        <v/>
      </c>
      <c r="G660" s="23">
        <f>IF($B660="","",SUMIF(CalcPartyB,$B660,CalcDepB))</f>
        <v/>
      </c>
      <c r="H660" s="24">
        <f>IF($B660="","",$E660-$F660+$G660)</f>
        <v/>
      </c>
      <c r="I660" s="22">
        <f>IF($B660="","",IF(ROUND($H660,0)&gt;0,"● بستانکار",IF(ROUND($H660,0)&lt;0,"● بدهکار","تسویه")))</f>
        <v/>
      </c>
    </row>
    <row r="661">
      <c r="A661" s="26">
        <f>IF($B661="","",652)</f>
        <v/>
      </c>
      <c r="B661" s="33">
        <f>IF(652&gt;NBskParty,"",INDEX(PkBskParty,652))</f>
        <v/>
      </c>
      <c r="C661" s="30">
        <f>IF($B661="","",IFERROR(IF(VLOOKUP($B661,AcctTbl,4,0)="","(بدون نام)",VLOOKUP($B661,AcctTbl,4,0)),"—"))</f>
        <v/>
      </c>
      <c r="D661" s="28">
        <f>IF($B661="","",SUMIF(CalcPartyA,$B661,CalcQtyA))</f>
        <v/>
      </c>
      <c r="E661" s="28">
        <f>IF($B661="","",SUMIF(CalcPartyA,$B661,CalcAmtA))</f>
        <v/>
      </c>
      <c r="F661" s="28">
        <f>IF($B661="","",SUMIF(CalcPartyB,$B661,CalcWitB))</f>
        <v/>
      </c>
      <c r="G661" s="28">
        <f>IF($B661="","",SUMIF(CalcPartyB,$B661,CalcDepB))</f>
        <v/>
      </c>
      <c r="H661" s="29">
        <f>IF($B661="","",$E661-$F661+$G661)</f>
        <v/>
      </c>
      <c r="I661" s="27">
        <f>IF($B661="","",IF(ROUND($H661,0)&gt;0,"● بستانکار",IF(ROUND($H661,0)&lt;0,"● بدهکار","تسویه")))</f>
        <v/>
      </c>
    </row>
    <row r="662">
      <c r="A662" s="21">
        <f>IF($B662="","",653)</f>
        <v/>
      </c>
      <c r="B662" s="32">
        <f>IF(653&gt;NBskParty,"",INDEX(PkBskParty,653))</f>
        <v/>
      </c>
      <c r="C662" s="25">
        <f>IF($B662="","",IFERROR(IF(VLOOKUP($B662,AcctTbl,4,0)="","(بدون نام)",VLOOKUP($B662,AcctTbl,4,0)),"—"))</f>
        <v/>
      </c>
      <c r="D662" s="23">
        <f>IF($B662="","",SUMIF(CalcPartyA,$B662,CalcQtyA))</f>
        <v/>
      </c>
      <c r="E662" s="23">
        <f>IF($B662="","",SUMIF(CalcPartyA,$B662,CalcAmtA))</f>
        <v/>
      </c>
      <c r="F662" s="23">
        <f>IF($B662="","",SUMIF(CalcPartyB,$B662,CalcWitB))</f>
        <v/>
      </c>
      <c r="G662" s="23">
        <f>IF($B662="","",SUMIF(CalcPartyB,$B662,CalcDepB))</f>
        <v/>
      </c>
      <c r="H662" s="24">
        <f>IF($B662="","",$E662-$F662+$G662)</f>
        <v/>
      </c>
      <c r="I662" s="22">
        <f>IF($B662="","",IF(ROUND($H662,0)&gt;0,"● بستانکار",IF(ROUND($H662,0)&lt;0,"● بدهکار","تسویه")))</f>
        <v/>
      </c>
    </row>
    <row r="663">
      <c r="A663" s="26">
        <f>IF($B663="","",654)</f>
        <v/>
      </c>
      <c r="B663" s="33">
        <f>IF(654&gt;NBskParty,"",INDEX(PkBskParty,654))</f>
        <v/>
      </c>
      <c r="C663" s="30">
        <f>IF($B663="","",IFERROR(IF(VLOOKUP($B663,AcctTbl,4,0)="","(بدون نام)",VLOOKUP($B663,AcctTbl,4,0)),"—"))</f>
        <v/>
      </c>
      <c r="D663" s="28">
        <f>IF($B663="","",SUMIF(CalcPartyA,$B663,CalcQtyA))</f>
        <v/>
      </c>
      <c r="E663" s="28">
        <f>IF($B663="","",SUMIF(CalcPartyA,$B663,CalcAmtA))</f>
        <v/>
      </c>
      <c r="F663" s="28">
        <f>IF($B663="","",SUMIF(CalcPartyB,$B663,CalcWitB))</f>
        <v/>
      </c>
      <c r="G663" s="28">
        <f>IF($B663="","",SUMIF(CalcPartyB,$B663,CalcDepB))</f>
        <v/>
      </c>
      <c r="H663" s="29">
        <f>IF($B663="","",$E663-$F663+$G663)</f>
        <v/>
      </c>
      <c r="I663" s="27">
        <f>IF($B663="","",IF(ROUND($H663,0)&gt;0,"● بستانکار",IF(ROUND($H663,0)&lt;0,"● بدهکار","تسویه")))</f>
        <v/>
      </c>
    </row>
    <row r="664">
      <c r="A664" s="21">
        <f>IF($B664="","",655)</f>
        <v/>
      </c>
      <c r="B664" s="32">
        <f>IF(655&gt;NBskParty,"",INDEX(PkBskParty,655))</f>
        <v/>
      </c>
      <c r="C664" s="25">
        <f>IF($B664="","",IFERROR(IF(VLOOKUP($B664,AcctTbl,4,0)="","(بدون نام)",VLOOKUP($B664,AcctTbl,4,0)),"—"))</f>
        <v/>
      </c>
      <c r="D664" s="23">
        <f>IF($B664="","",SUMIF(CalcPartyA,$B664,CalcQtyA))</f>
        <v/>
      </c>
      <c r="E664" s="23">
        <f>IF($B664="","",SUMIF(CalcPartyA,$B664,CalcAmtA))</f>
        <v/>
      </c>
      <c r="F664" s="23">
        <f>IF($B664="","",SUMIF(CalcPartyB,$B664,CalcWitB))</f>
        <v/>
      </c>
      <c r="G664" s="23">
        <f>IF($B664="","",SUMIF(CalcPartyB,$B664,CalcDepB))</f>
        <v/>
      </c>
      <c r="H664" s="24">
        <f>IF($B664="","",$E664-$F664+$G664)</f>
        <v/>
      </c>
      <c r="I664" s="22">
        <f>IF($B664="","",IF(ROUND($H664,0)&gt;0,"● بستانکار",IF(ROUND($H664,0)&lt;0,"● بدهکار","تسویه")))</f>
        <v/>
      </c>
    </row>
    <row r="665">
      <c r="A665" s="26">
        <f>IF($B665="","",656)</f>
        <v/>
      </c>
      <c r="B665" s="33">
        <f>IF(656&gt;NBskParty,"",INDEX(PkBskParty,656))</f>
        <v/>
      </c>
      <c r="C665" s="30">
        <f>IF($B665="","",IFERROR(IF(VLOOKUP($B665,AcctTbl,4,0)="","(بدون نام)",VLOOKUP($B665,AcctTbl,4,0)),"—"))</f>
        <v/>
      </c>
      <c r="D665" s="28">
        <f>IF($B665="","",SUMIF(CalcPartyA,$B665,CalcQtyA))</f>
        <v/>
      </c>
      <c r="E665" s="28">
        <f>IF($B665="","",SUMIF(CalcPartyA,$B665,CalcAmtA))</f>
        <v/>
      </c>
      <c r="F665" s="28">
        <f>IF($B665="","",SUMIF(CalcPartyB,$B665,CalcWitB))</f>
        <v/>
      </c>
      <c r="G665" s="28">
        <f>IF($B665="","",SUMIF(CalcPartyB,$B665,CalcDepB))</f>
        <v/>
      </c>
      <c r="H665" s="29">
        <f>IF($B665="","",$E665-$F665+$G665)</f>
        <v/>
      </c>
      <c r="I665" s="27">
        <f>IF($B665="","",IF(ROUND($H665,0)&gt;0,"● بستانکار",IF(ROUND($H665,0)&lt;0,"● بدهکار","تسویه")))</f>
        <v/>
      </c>
    </row>
    <row r="666">
      <c r="A666" s="21">
        <f>IF($B666="","",657)</f>
        <v/>
      </c>
      <c r="B666" s="32">
        <f>IF(657&gt;NBskParty,"",INDEX(PkBskParty,657))</f>
        <v/>
      </c>
      <c r="C666" s="25">
        <f>IF($B666="","",IFERROR(IF(VLOOKUP($B666,AcctTbl,4,0)="","(بدون نام)",VLOOKUP($B666,AcctTbl,4,0)),"—"))</f>
        <v/>
      </c>
      <c r="D666" s="23">
        <f>IF($B666="","",SUMIF(CalcPartyA,$B666,CalcQtyA))</f>
        <v/>
      </c>
      <c r="E666" s="23">
        <f>IF($B666="","",SUMIF(CalcPartyA,$B666,CalcAmtA))</f>
        <v/>
      </c>
      <c r="F666" s="23">
        <f>IF($B666="","",SUMIF(CalcPartyB,$B666,CalcWitB))</f>
        <v/>
      </c>
      <c r="G666" s="23">
        <f>IF($B666="","",SUMIF(CalcPartyB,$B666,CalcDepB))</f>
        <v/>
      </c>
      <c r="H666" s="24">
        <f>IF($B666="","",$E666-$F666+$G666)</f>
        <v/>
      </c>
      <c r="I666" s="22">
        <f>IF($B666="","",IF(ROUND($H666,0)&gt;0,"● بستانکار",IF(ROUND($H666,0)&lt;0,"● بدهکار","تسویه")))</f>
        <v/>
      </c>
    </row>
    <row r="667">
      <c r="A667" s="26">
        <f>IF($B667="","",658)</f>
        <v/>
      </c>
      <c r="B667" s="33">
        <f>IF(658&gt;NBskParty,"",INDEX(PkBskParty,658))</f>
        <v/>
      </c>
      <c r="C667" s="30">
        <f>IF($B667="","",IFERROR(IF(VLOOKUP($B667,AcctTbl,4,0)="","(بدون نام)",VLOOKUP($B667,AcctTbl,4,0)),"—"))</f>
        <v/>
      </c>
      <c r="D667" s="28">
        <f>IF($B667="","",SUMIF(CalcPartyA,$B667,CalcQtyA))</f>
        <v/>
      </c>
      <c r="E667" s="28">
        <f>IF($B667="","",SUMIF(CalcPartyA,$B667,CalcAmtA))</f>
        <v/>
      </c>
      <c r="F667" s="28">
        <f>IF($B667="","",SUMIF(CalcPartyB,$B667,CalcWitB))</f>
        <v/>
      </c>
      <c r="G667" s="28">
        <f>IF($B667="","",SUMIF(CalcPartyB,$B667,CalcDepB))</f>
        <v/>
      </c>
      <c r="H667" s="29">
        <f>IF($B667="","",$E667-$F667+$G667)</f>
        <v/>
      </c>
      <c r="I667" s="27">
        <f>IF($B667="","",IF(ROUND($H667,0)&gt;0,"● بستانکار",IF(ROUND($H667,0)&lt;0,"● بدهکار","تسویه")))</f>
        <v/>
      </c>
    </row>
    <row r="668">
      <c r="A668" s="21">
        <f>IF($B668="","",659)</f>
        <v/>
      </c>
      <c r="B668" s="32">
        <f>IF(659&gt;NBskParty,"",INDEX(PkBskParty,659))</f>
        <v/>
      </c>
      <c r="C668" s="25">
        <f>IF($B668="","",IFERROR(IF(VLOOKUP($B668,AcctTbl,4,0)="","(بدون نام)",VLOOKUP($B668,AcctTbl,4,0)),"—"))</f>
        <v/>
      </c>
      <c r="D668" s="23">
        <f>IF($B668="","",SUMIF(CalcPartyA,$B668,CalcQtyA))</f>
        <v/>
      </c>
      <c r="E668" s="23">
        <f>IF($B668="","",SUMIF(CalcPartyA,$B668,CalcAmtA))</f>
        <v/>
      </c>
      <c r="F668" s="23">
        <f>IF($B668="","",SUMIF(CalcPartyB,$B668,CalcWitB))</f>
        <v/>
      </c>
      <c r="G668" s="23">
        <f>IF($B668="","",SUMIF(CalcPartyB,$B668,CalcDepB))</f>
        <v/>
      </c>
      <c r="H668" s="24">
        <f>IF($B668="","",$E668-$F668+$G668)</f>
        <v/>
      </c>
      <c r="I668" s="22">
        <f>IF($B668="","",IF(ROUND($H668,0)&gt;0,"● بستانکار",IF(ROUND($H668,0)&lt;0,"● بدهکار","تسویه")))</f>
        <v/>
      </c>
    </row>
    <row r="669">
      <c r="A669" s="26">
        <f>IF($B669="","",660)</f>
        <v/>
      </c>
      <c r="B669" s="33">
        <f>IF(660&gt;NBskParty,"",INDEX(PkBskParty,660))</f>
        <v/>
      </c>
      <c r="C669" s="30">
        <f>IF($B669="","",IFERROR(IF(VLOOKUP($B669,AcctTbl,4,0)="","(بدون نام)",VLOOKUP($B669,AcctTbl,4,0)),"—"))</f>
        <v/>
      </c>
      <c r="D669" s="28">
        <f>IF($B669="","",SUMIF(CalcPartyA,$B669,CalcQtyA))</f>
        <v/>
      </c>
      <c r="E669" s="28">
        <f>IF($B669="","",SUMIF(CalcPartyA,$B669,CalcAmtA))</f>
        <v/>
      </c>
      <c r="F669" s="28">
        <f>IF($B669="","",SUMIF(CalcPartyB,$B669,CalcWitB))</f>
        <v/>
      </c>
      <c r="G669" s="28">
        <f>IF($B669="","",SUMIF(CalcPartyB,$B669,CalcDepB))</f>
        <v/>
      </c>
      <c r="H669" s="29">
        <f>IF($B669="","",$E669-$F669+$G669)</f>
        <v/>
      </c>
      <c r="I669" s="27">
        <f>IF($B669="","",IF(ROUND($H669,0)&gt;0,"● بستانکار",IF(ROUND($H669,0)&lt;0,"● بدهکار","تسویه")))</f>
        <v/>
      </c>
    </row>
    <row r="670">
      <c r="A670" s="21">
        <f>IF($B670="","",661)</f>
        <v/>
      </c>
      <c r="B670" s="32">
        <f>IF(661&gt;NBskParty,"",INDEX(PkBskParty,661))</f>
        <v/>
      </c>
      <c r="C670" s="25">
        <f>IF($B670="","",IFERROR(IF(VLOOKUP($B670,AcctTbl,4,0)="","(بدون نام)",VLOOKUP($B670,AcctTbl,4,0)),"—"))</f>
        <v/>
      </c>
      <c r="D670" s="23">
        <f>IF($B670="","",SUMIF(CalcPartyA,$B670,CalcQtyA))</f>
        <v/>
      </c>
      <c r="E670" s="23">
        <f>IF($B670="","",SUMIF(CalcPartyA,$B670,CalcAmtA))</f>
        <v/>
      </c>
      <c r="F670" s="23">
        <f>IF($B670="","",SUMIF(CalcPartyB,$B670,CalcWitB))</f>
        <v/>
      </c>
      <c r="G670" s="23">
        <f>IF($B670="","",SUMIF(CalcPartyB,$B670,CalcDepB))</f>
        <v/>
      </c>
      <c r="H670" s="24">
        <f>IF($B670="","",$E670-$F670+$G670)</f>
        <v/>
      </c>
      <c r="I670" s="22">
        <f>IF($B670="","",IF(ROUND($H670,0)&gt;0,"● بستانکار",IF(ROUND($H670,0)&lt;0,"● بدهکار","تسویه")))</f>
        <v/>
      </c>
    </row>
    <row r="671">
      <c r="A671" s="26">
        <f>IF($B671="","",662)</f>
        <v/>
      </c>
      <c r="B671" s="33">
        <f>IF(662&gt;NBskParty,"",INDEX(PkBskParty,662))</f>
        <v/>
      </c>
      <c r="C671" s="30">
        <f>IF($B671="","",IFERROR(IF(VLOOKUP($B671,AcctTbl,4,0)="","(بدون نام)",VLOOKUP($B671,AcctTbl,4,0)),"—"))</f>
        <v/>
      </c>
      <c r="D671" s="28">
        <f>IF($B671="","",SUMIF(CalcPartyA,$B671,CalcQtyA))</f>
        <v/>
      </c>
      <c r="E671" s="28">
        <f>IF($B671="","",SUMIF(CalcPartyA,$B671,CalcAmtA))</f>
        <v/>
      </c>
      <c r="F671" s="28">
        <f>IF($B671="","",SUMIF(CalcPartyB,$B671,CalcWitB))</f>
        <v/>
      </c>
      <c r="G671" s="28">
        <f>IF($B671="","",SUMIF(CalcPartyB,$B671,CalcDepB))</f>
        <v/>
      </c>
      <c r="H671" s="29">
        <f>IF($B671="","",$E671-$F671+$G671)</f>
        <v/>
      </c>
      <c r="I671" s="27">
        <f>IF($B671="","",IF(ROUND($H671,0)&gt;0,"● بستانکار",IF(ROUND($H671,0)&lt;0,"● بدهکار","تسویه")))</f>
        <v/>
      </c>
    </row>
    <row r="672">
      <c r="A672" s="21">
        <f>IF($B672="","",663)</f>
        <v/>
      </c>
      <c r="B672" s="32">
        <f>IF(663&gt;NBskParty,"",INDEX(PkBskParty,663))</f>
        <v/>
      </c>
      <c r="C672" s="25">
        <f>IF($B672="","",IFERROR(IF(VLOOKUP($B672,AcctTbl,4,0)="","(بدون نام)",VLOOKUP($B672,AcctTbl,4,0)),"—"))</f>
        <v/>
      </c>
      <c r="D672" s="23">
        <f>IF($B672="","",SUMIF(CalcPartyA,$B672,CalcQtyA))</f>
        <v/>
      </c>
      <c r="E672" s="23">
        <f>IF($B672="","",SUMIF(CalcPartyA,$B672,CalcAmtA))</f>
        <v/>
      </c>
      <c r="F672" s="23">
        <f>IF($B672="","",SUMIF(CalcPartyB,$B672,CalcWitB))</f>
        <v/>
      </c>
      <c r="G672" s="23">
        <f>IF($B672="","",SUMIF(CalcPartyB,$B672,CalcDepB))</f>
        <v/>
      </c>
      <c r="H672" s="24">
        <f>IF($B672="","",$E672-$F672+$G672)</f>
        <v/>
      </c>
      <c r="I672" s="22">
        <f>IF($B672="","",IF(ROUND($H672,0)&gt;0,"● بستانکار",IF(ROUND($H672,0)&lt;0,"● بدهکار","تسویه")))</f>
        <v/>
      </c>
    </row>
    <row r="673">
      <c r="A673" s="26">
        <f>IF($B673="","",664)</f>
        <v/>
      </c>
      <c r="B673" s="33">
        <f>IF(664&gt;NBskParty,"",INDEX(PkBskParty,664))</f>
        <v/>
      </c>
      <c r="C673" s="30">
        <f>IF($B673="","",IFERROR(IF(VLOOKUP($B673,AcctTbl,4,0)="","(بدون نام)",VLOOKUP($B673,AcctTbl,4,0)),"—"))</f>
        <v/>
      </c>
      <c r="D673" s="28">
        <f>IF($B673="","",SUMIF(CalcPartyA,$B673,CalcQtyA))</f>
        <v/>
      </c>
      <c r="E673" s="28">
        <f>IF($B673="","",SUMIF(CalcPartyA,$B673,CalcAmtA))</f>
        <v/>
      </c>
      <c r="F673" s="28">
        <f>IF($B673="","",SUMIF(CalcPartyB,$B673,CalcWitB))</f>
        <v/>
      </c>
      <c r="G673" s="28">
        <f>IF($B673="","",SUMIF(CalcPartyB,$B673,CalcDepB))</f>
        <v/>
      </c>
      <c r="H673" s="29">
        <f>IF($B673="","",$E673-$F673+$G673)</f>
        <v/>
      </c>
      <c r="I673" s="27">
        <f>IF($B673="","",IF(ROUND($H673,0)&gt;0,"● بستانکار",IF(ROUND($H673,0)&lt;0,"● بدهکار","تسویه")))</f>
        <v/>
      </c>
    </row>
    <row r="674">
      <c r="A674" s="21">
        <f>IF($B674="","",665)</f>
        <v/>
      </c>
      <c r="B674" s="32">
        <f>IF(665&gt;NBskParty,"",INDEX(PkBskParty,665))</f>
        <v/>
      </c>
      <c r="C674" s="25">
        <f>IF($B674="","",IFERROR(IF(VLOOKUP($B674,AcctTbl,4,0)="","(بدون نام)",VLOOKUP($B674,AcctTbl,4,0)),"—"))</f>
        <v/>
      </c>
      <c r="D674" s="23">
        <f>IF($B674="","",SUMIF(CalcPartyA,$B674,CalcQtyA))</f>
        <v/>
      </c>
      <c r="E674" s="23">
        <f>IF($B674="","",SUMIF(CalcPartyA,$B674,CalcAmtA))</f>
        <v/>
      </c>
      <c r="F674" s="23">
        <f>IF($B674="","",SUMIF(CalcPartyB,$B674,CalcWitB))</f>
        <v/>
      </c>
      <c r="G674" s="23">
        <f>IF($B674="","",SUMIF(CalcPartyB,$B674,CalcDepB))</f>
        <v/>
      </c>
      <c r="H674" s="24">
        <f>IF($B674="","",$E674-$F674+$G674)</f>
        <v/>
      </c>
      <c r="I674" s="22">
        <f>IF($B674="","",IF(ROUND($H674,0)&gt;0,"● بستانکار",IF(ROUND($H674,0)&lt;0,"● بدهکار","تسویه")))</f>
        <v/>
      </c>
    </row>
    <row r="675">
      <c r="A675" s="26">
        <f>IF($B675="","",666)</f>
        <v/>
      </c>
      <c r="B675" s="33">
        <f>IF(666&gt;NBskParty,"",INDEX(PkBskParty,666))</f>
        <v/>
      </c>
      <c r="C675" s="30">
        <f>IF($B675="","",IFERROR(IF(VLOOKUP($B675,AcctTbl,4,0)="","(بدون نام)",VLOOKUP($B675,AcctTbl,4,0)),"—"))</f>
        <v/>
      </c>
      <c r="D675" s="28">
        <f>IF($B675="","",SUMIF(CalcPartyA,$B675,CalcQtyA))</f>
        <v/>
      </c>
      <c r="E675" s="28">
        <f>IF($B675="","",SUMIF(CalcPartyA,$B675,CalcAmtA))</f>
        <v/>
      </c>
      <c r="F675" s="28">
        <f>IF($B675="","",SUMIF(CalcPartyB,$B675,CalcWitB))</f>
        <v/>
      </c>
      <c r="G675" s="28">
        <f>IF($B675="","",SUMIF(CalcPartyB,$B675,CalcDepB))</f>
        <v/>
      </c>
      <c r="H675" s="29">
        <f>IF($B675="","",$E675-$F675+$G675)</f>
        <v/>
      </c>
      <c r="I675" s="27">
        <f>IF($B675="","",IF(ROUND($H675,0)&gt;0,"● بستانکار",IF(ROUND($H675,0)&lt;0,"● بدهکار","تسویه")))</f>
        <v/>
      </c>
    </row>
    <row r="676">
      <c r="A676" s="21">
        <f>IF($B676="","",667)</f>
        <v/>
      </c>
      <c r="B676" s="32">
        <f>IF(667&gt;NBskParty,"",INDEX(PkBskParty,667))</f>
        <v/>
      </c>
      <c r="C676" s="25">
        <f>IF($B676="","",IFERROR(IF(VLOOKUP($B676,AcctTbl,4,0)="","(بدون نام)",VLOOKUP($B676,AcctTbl,4,0)),"—"))</f>
        <v/>
      </c>
      <c r="D676" s="23">
        <f>IF($B676="","",SUMIF(CalcPartyA,$B676,CalcQtyA))</f>
        <v/>
      </c>
      <c r="E676" s="23">
        <f>IF($B676="","",SUMIF(CalcPartyA,$B676,CalcAmtA))</f>
        <v/>
      </c>
      <c r="F676" s="23">
        <f>IF($B676="","",SUMIF(CalcPartyB,$B676,CalcWitB))</f>
        <v/>
      </c>
      <c r="G676" s="23">
        <f>IF($B676="","",SUMIF(CalcPartyB,$B676,CalcDepB))</f>
        <v/>
      </c>
      <c r="H676" s="24">
        <f>IF($B676="","",$E676-$F676+$G676)</f>
        <v/>
      </c>
      <c r="I676" s="22">
        <f>IF($B676="","",IF(ROUND($H676,0)&gt;0,"● بستانکار",IF(ROUND($H676,0)&lt;0,"● بدهکار","تسویه")))</f>
        <v/>
      </c>
    </row>
    <row r="677">
      <c r="A677" s="26">
        <f>IF($B677="","",668)</f>
        <v/>
      </c>
      <c r="B677" s="33">
        <f>IF(668&gt;NBskParty,"",INDEX(PkBskParty,668))</f>
        <v/>
      </c>
      <c r="C677" s="30">
        <f>IF($B677="","",IFERROR(IF(VLOOKUP($B677,AcctTbl,4,0)="","(بدون نام)",VLOOKUP($B677,AcctTbl,4,0)),"—"))</f>
        <v/>
      </c>
      <c r="D677" s="28">
        <f>IF($B677="","",SUMIF(CalcPartyA,$B677,CalcQtyA))</f>
        <v/>
      </c>
      <c r="E677" s="28">
        <f>IF($B677="","",SUMIF(CalcPartyA,$B677,CalcAmtA))</f>
        <v/>
      </c>
      <c r="F677" s="28">
        <f>IF($B677="","",SUMIF(CalcPartyB,$B677,CalcWitB))</f>
        <v/>
      </c>
      <c r="G677" s="28">
        <f>IF($B677="","",SUMIF(CalcPartyB,$B677,CalcDepB))</f>
        <v/>
      </c>
      <c r="H677" s="29">
        <f>IF($B677="","",$E677-$F677+$G677)</f>
        <v/>
      </c>
      <c r="I677" s="27">
        <f>IF($B677="","",IF(ROUND($H677,0)&gt;0,"● بستانکار",IF(ROUND($H677,0)&lt;0,"● بدهکار","تسویه")))</f>
        <v/>
      </c>
    </row>
    <row r="678">
      <c r="A678" s="21">
        <f>IF($B678="","",669)</f>
        <v/>
      </c>
      <c r="B678" s="32">
        <f>IF(669&gt;NBskParty,"",INDEX(PkBskParty,669))</f>
        <v/>
      </c>
      <c r="C678" s="25">
        <f>IF($B678="","",IFERROR(IF(VLOOKUP($B678,AcctTbl,4,0)="","(بدون نام)",VLOOKUP($B678,AcctTbl,4,0)),"—"))</f>
        <v/>
      </c>
      <c r="D678" s="23">
        <f>IF($B678="","",SUMIF(CalcPartyA,$B678,CalcQtyA))</f>
        <v/>
      </c>
      <c r="E678" s="23">
        <f>IF($B678="","",SUMIF(CalcPartyA,$B678,CalcAmtA))</f>
        <v/>
      </c>
      <c r="F678" s="23">
        <f>IF($B678="","",SUMIF(CalcPartyB,$B678,CalcWitB))</f>
        <v/>
      </c>
      <c r="G678" s="23">
        <f>IF($B678="","",SUMIF(CalcPartyB,$B678,CalcDepB))</f>
        <v/>
      </c>
      <c r="H678" s="24">
        <f>IF($B678="","",$E678-$F678+$G678)</f>
        <v/>
      </c>
      <c r="I678" s="22">
        <f>IF($B678="","",IF(ROUND($H678,0)&gt;0,"● بستانکار",IF(ROUND($H678,0)&lt;0,"● بدهکار","تسویه")))</f>
        <v/>
      </c>
    </row>
    <row r="679">
      <c r="A679" s="26">
        <f>IF($B679="","",670)</f>
        <v/>
      </c>
      <c r="B679" s="33">
        <f>IF(670&gt;NBskParty,"",INDEX(PkBskParty,670))</f>
        <v/>
      </c>
      <c r="C679" s="30">
        <f>IF($B679="","",IFERROR(IF(VLOOKUP($B679,AcctTbl,4,0)="","(بدون نام)",VLOOKUP($B679,AcctTbl,4,0)),"—"))</f>
        <v/>
      </c>
      <c r="D679" s="28">
        <f>IF($B679="","",SUMIF(CalcPartyA,$B679,CalcQtyA))</f>
        <v/>
      </c>
      <c r="E679" s="28">
        <f>IF($B679="","",SUMIF(CalcPartyA,$B679,CalcAmtA))</f>
        <v/>
      </c>
      <c r="F679" s="28">
        <f>IF($B679="","",SUMIF(CalcPartyB,$B679,CalcWitB))</f>
        <v/>
      </c>
      <c r="G679" s="28">
        <f>IF($B679="","",SUMIF(CalcPartyB,$B679,CalcDepB))</f>
        <v/>
      </c>
      <c r="H679" s="29">
        <f>IF($B679="","",$E679-$F679+$G679)</f>
        <v/>
      </c>
      <c r="I679" s="27">
        <f>IF($B679="","",IF(ROUND($H679,0)&gt;0,"● بستانکار",IF(ROUND($H679,0)&lt;0,"● بدهکار","تسویه")))</f>
        <v/>
      </c>
    </row>
    <row r="680">
      <c r="A680" s="21">
        <f>IF($B680="","",671)</f>
        <v/>
      </c>
      <c r="B680" s="32">
        <f>IF(671&gt;NBskParty,"",INDEX(PkBskParty,671))</f>
        <v/>
      </c>
      <c r="C680" s="25">
        <f>IF($B680="","",IFERROR(IF(VLOOKUP($B680,AcctTbl,4,0)="","(بدون نام)",VLOOKUP($B680,AcctTbl,4,0)),"—"))</f>
        <v/>
      </c>
      <c r="D680" s="23">
        <f>IF($B680="","",SUMIF(CalcPartyA,$B680,CalcQtyA))</f>
        <v/>
      </c>
      <c r="E680" s="23">
        <f>IF($B680="","",SUMIF(CalcPartyA,$B680,CalcAmtA))</f>
        <v/>
      </c>
      <c r="F680" s="23">
        <f>IF($B680="","",SUMIF(CalcPartyB,$B680,CalcWitB))</f>
        <v/>
      </c>
      <c r="G680" s="23">
        <f>IF($B680="","",SUMIF(CalcPartyB,$B680,CalcDepB))</f>
        <v/>
      </c>
      <c r="H680" s="24">
        <f>IF($B680="","",$E680-$F680+$G680)</f>
        <v/>
      </c>
      <c r="I680" s="22">
        <f>IF($B680="","",IF(ROUND($H680,0)&gt;0,"● بستانکار",IF(ROUND($H680,0)&lt;0,"● بدهکار","تسویه")))</f>
        <v/>
      </c>
    </row>
    <row r="681">
      <c r="A681" s="26">
        <f>IF($B681="","",672)</f>
        <v/>
      </c>
      <c r="B681" s="33">
        <f>IF(672&gt;NBskParty,"",INDEX(PkBskParty,672))</f>
        <v/>
      </c>
      <c r="C681" s="30">
        <f>IF($B681="","",IFERROR(IF(VLOOKUP($B681,AcctTbl,4,0)="","(بدون نام)",VLOOKUP($B681,AcctTbl,4,0)),"—"))</f>
        <v/>
      </c>
      <c r="D681" s="28">
        <f>IF($B681="","",SUMIF(CalcPartyA,$B681,CalcQtyA))</f>
        <v/>
      </c>
      <c r="E681" s="28">
        <f>IF($B681="","",SUMIF(CalcPartyA,$B681,CalcAmtA))</f>
        <v/>
      </c>
      <c r="F681" s="28">
        <f>IF($B681="","",SUMIF(CalcPartyB,$B681,CalcWitB))</f>
        <v/>
      </c>
      <c r="G681" s="28">
        <f>IF($B681="","",SUMIF(CalcPartyB,$B681,CalcDepB))</f>
        <v/>
      </c>
      <c r="H681" s="29">
        <f>IF($B681="","",$E681-$F681+$G681)</f>
        <v/>
      </c>
      <c r="I681" s="27">
        <f>IF($B681="","",IF(ROUND($H681,0)&gt;0,"● بستانکار",IF(ROUND($H681,0)&lt;0,"● بدهکار","تسویه")))</f>
        <v/>
      </c>
    </row>
    <row r="682">
      <c r="A682" s="21">
        <f>IF($B682="","",673)</f>
        <v/>
      </c>
      <c r="B682" s="32">
        <f>IF(673&gt;NBskParty,"",INDEX(PkBskParty,673))</f>
        <v/>
      </c>
      <c r="C682" s="25">
        <f>IF($B682="","",IFERROR(IF(VLOOKUP($B682,AcctTbl,4,0)="","(بدون نام)",VLOOKUP($B682,AcctTbl,4,0)),"—"))</f>
        <v/>
      </c>
      <c r="D682" s="23">
        <f>IF($B682="","",SUMIF(CalcPartyA,$B682,CalcQtyA))</f>
        <v/>
      </c>
      <c r="E682" s="23">
        <f>IF($B682="","",SUMIF(CalcPartyA,$B682,CalcAmtA))</f>
        <v/>
      </c>
      <c r="F682" s="23">
        <f>IF($B682="","",SUMIF(CalcPartyB,$B682,CalcWitB))</f>
        <v/>
      </c>
      <c r="G682" s="23">
        <f>IF($B682="","",SUMIF(CalcPartyB,$B682,CalcDepB))</f>
        <v/>
      </c>
      <c r="H682" s="24">
        <f>IF($B682="","",$E682-$F682+$G682)</f>
        <v/>
      </c>
      <c r="I682" s="22">
        <f>IF($B682="","",IF(ROUND($H682,0)&gt;0,"● بستانکار",IF(ROUND($H682,0)&lt;0,"● بدهکار","تسویه")))</f>
        <v/>
      </c>
    </row>
    <row r="683">
      <c r="A683" s="26">
        <f>IF($B683="","",674)</f>
        <v/>
      </c>
      <c r="B683" s="33">
        <f>IF(674&gt;NBskParty,"",INDEX(PkBskParty,674))</f>
        <v/>
      </c>
      <c r="C683" s="30">
        <f>IF($B683="","",IFERROR(IF(VLOOKUP($B683,AcctTbl,4,0)="","(بدون نام)",VLOOKUP($B683,AcctTbl,4,0)),"—"))</f>
        <v/>
      </c>
      <c r="D683" s="28">
        <f>IF($B683="","",SUMIF(CalcPartyA,$B683,CalcQtyA))</f>
        <v/>
      </c>
      <c r="E683" s="28">
        <f>IF($B683="","",SUMIF(CalcPartyA,$B683,CalcAmtA))</f>
        <v/>
      </c>
      <c r="F683" s="28">
        <f>IF($B683="","",SUMIF(CalcPartyB,$B683,CalcWitB))</f>
        <v/>
      </c>
      <c r="G683" s="28">
        <f>IF($B683="","",SUMIF(CalcPartyB,$B683,CalcDepB))</f>
        <v/>
      </c>
      <c r="H683" s="29">
        <f>IF($B683="","",$E683-$F683+$G683)</f>
        <v/>
      </c>
      <c r="I683" s="27">
        <f>IF($B683="","",IF(ROUND($H683,0)&gt;0,"● بستانکار",IF(ROUND($H683,0)&lt;0,"● بدهکار","تسویه")))</f>
        <v/>
      </c>
    </row>
    <row r="684">
      <c r="A684" s="21">
        <f>IF($B684="","",675)</f>
        <v/>
      </c>
      <c r="B684" s="32">
        <f>IF(675&gt;NBskParty,"",INDEX(PkBskParty,675))</f>
        <v/>
      </c>
      <c r="C684" s="25">
        <f>IF($B684="","",IFERROR(IF(VLOOKUP($B684,AcctTbl,4,0)="","(بدون نام)",VLOOKUP($B684,AcctTbl,4,0)),"—"))</f>
        <v/>
      </c>
      <c r="D684" s="23">
        <f>IF($B684="","",SUMIF(CalcPartyA,$B684,CalcQtyA))</f>
        <v/>
      </c>
      <c r="E684" s="23">
        <f>IF($B684="","",SUMIF(CalcPartyA,$B684,CalcAmtA))</f>
        <v/>
      </c>
      <c r="F684" s="23">
        <f>IF($B684="","",SUMIF(CalcPartyB,$B684,CalcWitB))</f>
        <v/>
      </c>
      <c r="G684" s="23">
        <f>IF($B684="","",SUMIF(CalcPartyB,$B684,CalcDepB))</f>
        <v/>
      </c>
      <c r="H684" s="24">
        <f>IF($B684="","",$E684-$F684+$G684)</f>
        <v/>
      </c>
      <c r="I684" s="22">
        <f>IF($B684="","",IF(ROUND($H684,0)&gt;0,"● بستانکار",IF(ROUND($H684,0)&lt;0,"● بدهکار","تسویه")))</f>
        <v/>
      </c>
    </row>
    <row r="685">
      <c r="A685" s="26">
        <f>IF($B685="","",676)</f>
        <v/>
      </c>
      <c r="B685" s="33">
        <f>IF(676&gt;NBskParty,"",INDEX(PkBskParty,676))</f>
        <v/>
      </c>
      <c r="C685" s="30">
        <f>IF($B685="","",IFERROR(IF(VLOOKUP($B685,AcctTbl,4,0)="","(بدون نام)",VLOOKUP($B685,AcctTbl,4,0)),"—"))</f>
        <v/>
      </c>
      <c r="D685" s="28">
        <f>IF($B685="","",SUMIF(CalcPartyA,$B685,CalcQtyA))</f>
        <v/>
      </c>
      <c r="E685" s="28">
        <f>IF($B685="","",SUMIF(CalcPartyA,$B685,CalcAmtA))</f>
        <v/>
      </c>
      <c r="F685" s="28">
        <f>IF($B685="","",SUMIF(CalcPartyB,$B685,CalcWitB))</f>
        <v/>
      </c>
      <c r="G685" s="28">
        <f>IF($B685="","",SUMIF(CalcPartyB,$B685,CalcDepB))</f>
        <v/>
      </c>
      <c r="H685" s="29">
        <f>IF($B685="","",$E685-$F685+$G685)</f>
        <v/>
      </c>
      <c r="I685" s="27">
        <f>IF($B685="","",IF(ROUND($H685,0)&gt;0,"● بستانکار",IF(ROUND($H685,0)&lt;0,"● بدهکار","تسویه")))</f>
        <v/>
      </c>
    </row>
    <row r="686">
      <c r="A686" s="21">
        <f>IF($B686="","",677)</f>
        <v/>
      </c>
      <c r="B686" s="32">
        <f>IF(677&gt;NBskParty,"",INDEX(PkBskParty,677))</f>
        <v/>
      </c>
      <c r="C686" s="25">
        <f>IF($B686="","",IFERROR(IF(VLOOKUP($B686,AcctTbl,4,0)="","(بدون نام)",VLOOKUP($B686,AcctTbl,4,0)),"—"))</f>
        <v/>
      </c>
      <c r="D686" s="23">
        <f>IF($B686="","",SUMIF(CalcPartyA,$B686,CalcQtyA))</f>
        <v/>
      </c>
      <c r="E686" s="23">
        <f>IF($B686="","",SUMIF(CalcPartyA,$B686,CalcAmtA))</f>
        <v/>
      </c>
      <c r="F686" s="23">
        <f>IF($B686="","",SUMIF(CalcPartyB,$B686,CalcWitB))</f>
        <v/>
      </c>
      <c r="G686" s="23">
        <f>IF($B686="","",SUMIF(CalcPartyB,$B686,CalcDepB))</f>
        <v/>
      </c>
      <c r="H686" s="24">
        <f>IF($B686="","",$E686-$F686+$G686)</f>
        <v/>
      </c>
      <c r="I686" s="22">
        <f>IF($B686="","",IF(ROUND($H686,0)&gt;0,"● بستانکار",IF(ROUND($H686,0)&lt;0,"● بدهکار","تسویه")))</f>
        <v/>
      </c>
    </row>
    <row r="687">
      <c r="A687" s="26">
        <f>IF($B687="","",678)</f>
        <v/>
      </c>
      <c r="B687" s="33">
        <f>IF(678&gt;NBskParty,"",INDEX(PkBskParty,678))</f>
        <v/>
      </c>
      <c r="C687" s="30">
        <f>IF($B687="","",IFERROR(IF(VLOOKUP($B687,AcctTbl,4,0)="","(بدون نام)",VLOOKUP($B687,AcctTbl,4,0)),"—"))</f>
        <v/>
      </c>
      <c r="D687" s="28">
        <f>IF($B687="","",SUMIF(CalcPartyA,$B687,CalcQtyA))</f>
        <v/>
      </c>
      <c r="E687" s="28">
        <f>IF($B687="","",SUMIF(CalcPartyA,$B687,CalcAmtA))</f>
        <v/>
      </c>
      <c r="F687" s="28">
        <f>IF($B687="","",SUMIF(CalcPartyB,$B687,CalcWitB))</f>
        <v/>
      </c>
      <c r="G687" s="28">
        <f>IF($B687="","",SUMIF(CalcPartyB,$B687,CalcDepB))</f>
        <v/>
      </c>
      <c r="H687" s="29">
        <f>IF($B687="","",$E687-$F687+$G687)</f>
        <v/>
      </c>
      <c r="I687" s="27">
        <f>IF($B687="","",IF(ROUND($H687,0)&gt;0,"● بستانکار",IF(ROUND($H687,0)&lt;0,"● بدهکار","تسویه")))</f>
        <v/>
      </c>
    </row>
    <row r="688">
      <c r="A688" s="21">
        <f>IF($B688="","",679)</f>
        <v/>
      </c>
      <c r="B688" s="32">
        <f>IF(679&gt;NBskParty,"",INDEX(PkBskParty,679))</f>
        <v/>
      </c>
      <c r="C688" s="25">
        <f>IF($B688="","",IFERROR(IF(VLOOKUP($B688,AcctTbl,4,0)="","(بدون نام)",VLOOKUP($B688,AcctTbl,4,0)),"—"))</f>
        <v/>
      </c>
      <c r="D688" s="23">
        <f>IF($B688="","",SUMIF(CalcPartyA,$B688,CalcQtyA))</f>
        <v/>
      </c>
      <c r="E688" s="23">
        <f>IF($B688="","",SUMIF(CalcPartyA,$B688,CalcAmtA))</f>
        <v/>
      </c>
      <c r="F688" s="23">
        <f>IF($B688="","",SUMIF(CalcPartyB,$B688,CalcWitB))</f>
        <v/>
      </c>
      <c r="G688" s="23">
        <f>IF($B688="","",SUMIF(CalcPartyB,$B688,CalcDepB))</f>
        <v/>
      </c>
      <c r="H688" s="24">
        <f>IF($B688="","",$E688-$F688+$G688)</f>
        <v/>
      </c>
      <c r="I688" s="22">
        <f>IF($B688="","",IF(ROUND($H688,0)&gt;0,"● بستانکار",IF(ROUND($H688,0)&lt;0,"● بدهکار","تسویه")))</f>
        <v/>
      </c>
    </row>
    <row r="689">
      <c r="A689" s="26">
        <f>IF($B689="","",680)</f>
        <v/>
      </c>
      <c r="B689" s="33">
        <f>IF(680&gt;NBskParty,"",INDEX(PkBskParty,680))</f>
        <v/>
      </c>
      <c r="C689" s="30">
        <f>IF($B689="","",IFERROR(IF(VLOOKUP($B689,AcctTbl,4,0)="","(بدون نام)",VLOOKUP($B689,AcctTbl,4,0)),"—"))</f>
        <v/>
      </c>
      <c r="D689" s="28">
        <f>IF($B689="","",SUMIF(CalcPartyA,$B689,CalcQtyA))</f>
        <v/>
      </c>
      <c r="E689" s="28">
        <f>IF($B689="","",SUMIF(CalcPartyA,$B689,CalcAmtA))</f>
        <v/>
      </c>
      <c r="F689" s="28">
        <f>IF($B689="","",SUMIF(CalcPartyB,$B689,CalcWitB))</f>
        <v/>
      </c>
      <c r="G689" s="28">
        <f>IF($B689="","",SUMIF(CalcPartyB,$B689,CalcDepB))</f>
        <v/>
      </c>
      <c r="H689" s="29">
        <f>IF($B689="","",$E689-$F689+$G689)</f>
        <v/>
      </c>
      <c r="I689" s="27">
        <f>IF($B689="","",IF(ROUND($H689,0)&gt;0,"● بستانکار",IF(ROUND($H689,0)&lt;0,"● بدهکار","تسویه")))</f>
        <v/>
      </c>
    </row>
    <row r="690">
      <c r="A690" s="21">
        <f>IF($B690="","",681)</f>
        <v/>
      </c>
      <c r="B690" s="32">
        <f>IF(681&gt;NBskParty,"",INDEX(PkBskParty,681))</f>
        <v/>
      </c>
      <c r="C690" s="25">
        <f>IF($B690="","",IFERROR(IF(VLOOKUP($B690,AcctTbl,4,0)="","(بدون نام)",VLOOKUP($B690,AcctTbl,4,0)),"—"))</f>
        <v/>
      </c>
      <c r="D690" s="23">
        <f>IF($B690="","",SUMIF(CalcPartyA,$B690,CalcQtyA))</f>
        <v/>
      </c>
      <c r="E690" s="23">
        <f>IF($B690="","",SUMIF(CalcPartyA,$B690,CalcAmtA))</f>
        <v/>
      </c>
      <c r="F690" s="23">
        <f>IF($B690="","",SUMIF(CalcPartyB,$B690,CalcWitB))</f>
        <v/>
      </c>
      <c r="G690" s="23">
        <f>IF($B690="","",SUMIF(CalcPartyB,$B690,CalcDepB))</f>
        <v/>
      </c>
      <c r="H690" s="24">
        <f>IF($B690="","",$E690-$F690+$G690)</f>
        <v/>
      </c>
      <c r="I690" s="22">
        <f>IF($B690="","",IF(ROUND($H690,0)&gt;0,"● بستانکار",IF(ROUND($H690,0)&lt;0,"● بدهکار","تسویه")))</f>
        <v/>
      </c>
    </row>
    <row r="691">
      <c r="A691" s="26">
        <f>IF($B691="","",682)</f>
        <v/>
      </c>
      <c r="B691" s="33">
        <f>IF(682&gt;NBskParty,"",INDEX(PkBskParty,682))</f>
        <v/>
      </c>
      <c r="C691" s="30">
        <f>IF($B691="","",IFERROR(IF(VLOOKUP($B691,AcctTbl,4,0)="","(بدون نام)",VLOOKUP($B691,AcctTbl,4,0)),"—"))</f>
        <v/>
      </c>
      <c r="D691" s="28">
        <f>IF($B691="","",SUMIF(CalcPartyA,$B691,CalcQtyA))</f>
        <v/>
      </c>
      <c r="E691" s="28">
        <f>IF($B691="","",SUMIF(CalcPartyA,$B691,CalcAmtA))</f>
        <v/>
      </c>
      <c r="F691" s="28">
        <f>IF($B691="","",SUMIF(CalcPartyB,$B691,CalcWitB))</f>
        <v/>
      </c>
      <c r="G691" s="28">
        <f>IF($B691="","",SUMIF(CalcPartyB,$B691,CalcDepB))</f>
        <v/>
      </c>
      <c r="H691" s="29">
        <f>IF($B691="","",$E691-$F691+$G691)</f>
        <v/>
      </c>
      <c r="I691" s="27">
        <f>IF($B691="","",IF(ROUND($H691,0)&gt;0,"● بستانکار",IF(ROUND($H691,0)&lt;0,"● بدهکار","تسویه")))</f>
        <v/>
      </c>
    </row>
    <row r="692">
      <c r="A692" s="21">
        <f>IF($B692="","",683)</f>
        <v/>
      </c>
      <c r="B692" s="32">
        <f>IF(683&gt;NBskParty,"",INDEX(PkBskParty,683))</f>
        <v/>
      </c>
      <c r="C692" s="25">
        <f>IF($B692="","",IFERROR(IF(VLOOKUP($B692,AcctTbl,4,0)="","(بدون نام)",VLOOKUP($B692,AcctTbl,4,0)),"—"))</f>
        <v/>
      </c>
      <c r="D692" s="23">
        <f>IF($B692="","",SUMIF(CalcPartyA,$B692,CalcQtyA))</f>
        <v/>
      </c>
      <c r="E692" s="23">
        <f>IF($B692="","",SUMIF(CalcPartyA,$B692,CalcAmtA))</f>
        <v/>
      </c>
      <c r="F692" s="23">
        <f>IF($B692="","",SUMIF(CalcPartyB,$B692,CalcWitB))</f>
        <v/>
      </c>
      <c r="G692" s="23">
        <f>IF($B692="","",SUMIF(CalcPartyB,$B692,CalcDepB))</f>
        <v/>
      </c>
      <c r="H692" s="24">
        <f>IF($B692="","",$E692-$F692+$G692)</f>
        <v/>
      </c>
      <c r="I692" s="22">
        <f>IF($B692="","",IF(ROUND($H692,0)&gt;0,"● بستانکار",IF(ROUND($H692,0)&lt;0,"● بدهکار","تسویه")))</f>
        <v/>
      </c>
    </row>
    <row r="693">
      <c r="A693" s="26">
        <f>IF($B693="","",684)</f>
        <v/>
      </c>
      <c r="B693" s="33">
        <f>IF(684&gt;NBskParty,"",INDEX(PkBskParty,684))</f>
        <v/>
      </c>
      <c r="C693" s="30">
        <f>IF($B693="","",IFERROR(IF(VLOOKUP($B693,AcctTbl,4,0)="","(بدون نام)",VLOOKUP($B693,AcctTbl,4,0)),"—"))</f>
        <v/>
      </c>
      <c r="D693" s="28">
        <f>IF($B693="","",SUMIF(CalcPartyA,$B693,CalcQtyA))</f>
        <v/>
      </c>
      <c r="E693" s="28">
        <f>IF($B693="","",SUMIF(CalcPartyA,$B693,CalcAmtA))</f>
        <v/>
      </c>
      <c r="F693" s="28">
        <f>IF($B693="","",SUMIF(CalcPartyB,$B693,CalcWitB))</f>
        <v/>
      </c>
      <c r="G693" s="28">
        <f>IF($B693="","",SUMIF(CalcPartyB,$B693,CalcDepB))</f>
        <v/>
      </c>
      <c r="H693" s="29">
        <f>IF($B693="","",$E693-$F693+$G693)</f>
        <v/>
      </c>
      <c r="I693" s="27">
        <f>IF($B693="","",IF(ROUND($H693,0)&gt;0,"● بستانکار",IF(ROUND($H693,0)&lt;0,"● بدهکار","تسویه")))</f>
        <v/>
      </c>
    </row>
    <row r="694">
      <c r="A694" s="21">
        <f>IF($B694="","",685)</f>
        <v/>
      </c>
      <c r="B694" s="32">
        <f>IF(685&gt;NBskParty,"",INDEX(PkBskParty,685))</f>
        <v/>
      </c>
      <c r="C694" s="25">
        <f>IF($B694="","",IFERROR(IF(VLOOKUP($B694,AcctTbl,4,0)="","(بدون نام)",VLOOKUP($B694,AcctTbl,4,0)),"—"))</f>
        <v/>
      </c>
      <c r="D694" s="23">
        <f>IF($B694="","",SUMIF(CalcPartyA,$B694,CalcQtyA))</f>
        <v/>
      </c>
      <c r="E694" s="23">
        <f>IF($B694="","",SUMIF(CalcPartyA,$B694,CalcAmtA))</f>
        <v/>
      </c>
      <c r="F694" s="23">
        <f>IF($B694="","",SUMIF(CalcPartyB,$B694,CalcWitB))</f>
        <v/>
      </c>
      <c r="G694" s="23">
        <f>IF($B694="","",SUMIF(CalcPartyB,$B694,CalcDepB))</f>
        <v/>
      </c>
      <c r="H694" s="24">
        <f>IF($B694="","",$E694-$F694+$G694)</f>
        <v/>
      </c>
      <c r="I694" s="22">
        <f>IF($B694="","",IF(ROUND($H694,0)&gt;0,"● بستانکار",IF(ROUND($H694,0)&lt;0,"● بدهکار","تسویه")))</f>
        <v/>
      </c>
    </row>
    <row r="695">
      <c r="A695" s="26">
        <f>IF($B695="","",686)</f>
        <v/>
      </c>
      <c r="B695" s="33">
        <f>IF(686&gt;NBskParty,"",INDEX(PkBskParty,686))</f>
        <v/>
      </c>
      <c r="C695" s="30">
        <f>IF($B695="","",IFERROR(IF(VLOOKUP($B695,AcctTbl,4,0)="","(بدون نام)",VLOOKUP($B695,AcctTbl,4,0)),"—"))</f>
        <v/>
      </c>
      <c r="D695" s="28">
        <f>IF($B695="","",SUMIF(CalcPartyA,$B695,CalcQtyA))</f>
        <v/>
      </c>
      <c r="E695" s="28">
        <f>IF($B695="","",SUMIF(CalcPartyA,$B695,CalcAmtA))</f>
        <v/>
      </c>
      <c r="F695" s="28">
        <f>IF($B695="","",SUMIF(CalcPartyB,$B695,CalcWitB))</f>
        <v/>
      </c>
      <c r="G695" s="28">
        <f>IF($B695="","",SUMIF(CalcPartyB,$B695,CalcDepB))</f>
        <v/>
      </c>
      <c r="H695" s="29">
        <f>IF($B695="","",$E695-$F695+$G695)</f>
        <v/>
      </c>
      <c r="I695" s="27">
        <f>IF($B695="","",IF(ROUND($H695,0)&gt;0,"● بستانکار",IF(ROUND($H695,0)&lt;0,"● بدهکار","تسویه")))</f>
        <v/>
      </c>
    </row>
    <row r="696">
      <c r="A696" s="21">
        <f>IF($B696="","",687)</f>
        <v/>
      </c>
      <c r="B696" s="32">
        <f>IF(687&gt;NBskParty,"",INDEX(PkBskParty,687))</f>
        <v/>
      </c>
      <c r="C696" s="25">
        <f>IF($B696="","",IFERROR(IF(VLOOKUP($B696,AcctTbl,4,0)="","(بدون نام)",VLOOKUP($B696,AcctTbl,4,0)),"—"))</f>
        <v/>
      </c>
      <c r="D696" s="23">
        <f>IF($B696="","",SUMIF(CalcPartyA,$B696,CalcQtyA))</f>
        <v/>
      </c>
      <c r="E696" s="23">
        <f>IF($B696="","",SUMIF(CalcPartyA,$B696,CalcAmtA))</f>
        <v/>
      </c>
      <c r="F696" s="23">
        <f>IF($B696="","",SUMIF(CalcPartyB,$B696,CalcWitB))</f>
        <v/>
      </c>
      <c r="G696" s="23">
        <f>IF($B696="","",SUMIF(CalcPartyB,$B696,CalcDepB))</f>
        <v/>
      </c>
      <c r="H696" s="24">
        <f>IF($B696="","",$E696-$F696+$G696)</f>
        <v/>
      </c>
      <c r="I696" s="22">
        <f>IF($B696="","",IF(ROUND($H696,0)&gt;0,"● بستانکار",IF(ROUND($H696,0)&lt;0,"● بدهکار","تسویه")))</f>
        <v/>
      </c>
    </row>
    <row r="697">
      <c r="A697" s="26">
        <f>IF($B697="","",688)</f>
        <v/>
      </c>
      <c r="B697" s="33">
        <f>IF(688&gt;NBskParty,"",INDEX(PkBskParty,688))</f>
        <v/>
      </c>
      <c r="C697" s="30">
        <f>IF($B697="","",IFERROR(IF(VLOOKUP($B697,AcctTbl,4,0)="","(بدون نام)",VLOOKUP($B697,AcctTbl,4,0)),"—"))</f>
        <v/>
      </c>
      <c r="D697" s="28">
        <f>IF($B697="","",SUMIF(CalcPartyA,$B697,CalcQtyA))</f>
        <v/>
      </c>
      <c r="E697" s="28">
        <f>IF($B697="","",SUMIF(CalcPartyA,$B697,CalcAmtA))</f>
        <v/>
      </c>
      <c r="F697" s="28">
        <f>IF($B697="","",SUMIF(CalcPartyB,$B697,CalcWitB))</f>
        <v/>
      </c>
      <c r="G697" s="28">
        <f>IF($B697="","",SUMIF(CalcPartyB,$B697,CalcDepB))</f>
        <v/>
      </c>
      <c r="H697" s="29">
        <f>IF($B697="","",$E697-$F697+$G697)</f>
        <v/>
      </c>
      <c r="I697" s="27">
        <f>IF($B697="","",IF(ROUND($H697,0)&gt;0,"● بستانکار",IF(ROUND($H697,0)&lt;0,"● بدهکار","تسویه")))</f>
        <v/>
      </c>
    </row>
    <row r="698">
      <c r="A698" s="21">
        <f>IF($B698="","",689)</f>
        <v/>
      </c>
      <c r="B698" s="32">
        <f>IF(689&gt;NBskParty,"",INDEX(PkBskParty,689))</f>
        <v/>
      </c>
      <c r="C698" s="25">
        <f>IF($B698="","",IFERROR(IF(VLOOKUP($B698,AcctTbl,4,0)="","(بدون نام)",VLOOKUP($B698,AcctTbl,4,0)),"—"))</f>
        <v/>
      </c>
      <c r="D698" s="23">
        <f>IF($B698="","",SUMIF(CalcPartyA,$B698,CalcQtyA))</f>
        <v/>
      </c>
      <c r="E698" s="23">
        <f>IF($B698="","",SUMIF(CalcPartyA,$B698,CalcAmtA))</f>
        <v/>
      </c>
      <c r="F698" s="23">
        <f>IF($B698="","",SUMIF(CalcPartyB,$B698,CalcWitB))</f>
        <v/>
      </c>
      <c r="G698" s="23">
        <f>IF($B698="","",SUMIF(CalcPartyB,$B698,CalcDepB))</f>
        <v/>
      </c>
      <c r="H698" s="24">
        <f>IF($B698="","",$E698-$F698+$G698)</f>
        <v/>
      </c>
      <c r="I698" s="22">
        <f>IF($B698="","",IF(ROUND($H698,0)&gt;0,"● بستانکار",IF(ROUND($H698,0)&lt;0,"● بدهکار","تسویه")))</f>
        <v/>
      </c>
    </row>
    <row r="699">
      <c r="A699" s="26">
        <f>IF($B699="","",690)</f>
        <v/>
      </c>
      <c r="B699" s="33">
        <f>IF(690&gt;NBskParty,"",INDEX(PkBskParty,690))</f>
        <v/>
      </c>
      <c r="C699" s="30">
        <f>IF($B699="","",IFERROR(IF(VLOOKUP($B699,AcctTbl,4,0)="","(بدون نام)",VLOOKUP($B699,AcctTbl,4,0)),"—"))</f>
        <v/>
      </c>
      <c r="D699" s="28">
        <f>IF($B699="","",SUMIF(CalcPartyA,$B699,CalcQtyA))</f>
        <v/>
      </c>
      <c r="E699" s="28">
        <f>IF($B699="","",SUMIF(CalcPartyA,$B699,CalcAmtA))</f>
        <v/>
      </c>
      <c r="F699" s="28">
        <f>IF($B699="","",SUMIF(CalcPartyB,$B699,CalcWitB))</f>
        <v/>
      </c>
      <c r="G699" s="28">
        <f>IF($B699="","",SUMIF(CalcPartyB,$B699,CalcDepB))</f>
        <v/>
      </c>
      <c r="H699" s="29">
        <f>IF($B699="","",$E699-$F699+$G699)</f>
        <v/>
      </c>
      <c r="I699" s="27">
        <f>IF($B699="","",IF(ROUND($H699,0)&gt;0,"● بستانکار",IF(ROUND($H699,0)&lt;0,"● بدهکار","تسویه")))</f>
        <v/>
      </c>
    </row>
    <row r="700">
      <c r="A700" s="21">
        <f>IF($B700="","",691)</f>
        <v/>
      </c>
      <c r="B700" s="32">
        <f>IF(691&gt;NBskParty,"",INDEX(PkBskParty,691))</f>
        <v/>
      </c>
      <c r="C700" s="25">
        <f>IF($B700="","",IFERROR(IF(VLOOKUP($B700,AcctTbl,4,0)="","(بدون نام)",VLOOKUP($B700,AcctTbl,4,0)),"—"))</f>
        <v/>
      </c>
      <c r="D700" s="23">
        <f>IF($B700="","",SUMIF(CalcPartyA,$B700,CalcQtyA))</f>
        <v/>
      </c>
      <c r="E700" s="23">
        <f>IF($B700="","",SUMIF(CalcPartyA,$B700,CalcAmtA))</f>
        <v/>
      </c>
      <c r="F700" s="23">
        <f>IF($B700="","",SUMIF(CalcPartyB,$B700,CalcWitB))</f>
        <v/>
      </c>
      <c r="G700" s="23">
        <f>IF($B700="","",SUMIF(CalcPartyB,$B700,CalcDepB))</f>
        <v/>
      </c>
      <c r="H700" s="24">
        <f>IF($B700="","",$E700-$F700+$G700)</f>
        <v/>
      </c>
      <c r="I700" s="22">
        <f>IF($B700="","",IF(ROUND($H700,0)&gt;0,"● بستانکار",IF(ROUND($H700,0)&lt;0,"● بدهکار","تسویه")))</f>
        <v/>
      </c>
    </row>
    <row r="701">
      <c r="A701" s="26">
        <f>IF($B701="","",692)</f>
        <v/>
      </c>
      <c r="B701" s="33">
        <f>IF(692&gt;NBskParty,"",INDEX(PkBskParty,692))</f>
        <v/>
      </c>
      <c r="C701" s="30">
        <f>IF($B701="","",IFERROR(IF(VLOOKUP($B701,AcctTbl,4,0)="","(بدون نام)",VLOOKUP($B701,AcctTbl,4,0)),"—"))</f>
        <v/>
      </c>
      <c r="D701" s="28">
        <f>IF($B701="","",SUMIF(CalcPartyA,$B701,CalcQtyA))</f>
        <v/>
      </c>
      <c r="E701" s="28">
        <f>IF($B701="","",SUMIF(CalcPartyA,$B701,CalcAmtA))</f>
        <v/>
      </c>
      <c r="F701" s="28">
        <f>IF($B701="","",SUMIF(CalcPartyB,$B701,CalcWitB))</f>
        <v/>
      </c>
      <c r="G701" s="28">
        <f>IF($B701="","",SUMIF(CalcPartyB,$B701,CalcDepB))</f>
        <v/>
      </c>
      <c r="H701" s="29">
        <f>IF($B701="","",$E701-$F701+$G701)</f>
        <v/>
      </c>
      <c r="I701" s="27">
        <f>IF($B701="","",IF(ROUND($H701,0)&gt;0,"● بستانکار",IF(ROUND($H701,0)&lt;0,"● بدهکار","تسویه")))</f>
        <v/>
      </c>
    </row>
    <row r="702">
      <c r="A702" s="21">
        <f>IF($B702="","",693)</f>
        <v/>
      </c>
      <c r="B702" s="32">
        <f>IF(693&gt;NBskParty,"",INDEX(PkBskParty,693))</f>
        <v/>
      </c>
      <c r="C702" s="25">
        <f>IF($B702="","",IFERROR(IF(VLOOKUP($B702,AcctTbl,4,0)="","(بدون نام)",VLOOKUP($B702,AcctTbl,4,0)),"—"))</f>
        <v/>
      </c>
      <c r="D702" s="23">
        <f>IF($B702="","",SUMIF(CalcPartyA,$B702,CalcQtyA))</f>
        <v/>
      </c>
      <c r="E702" s="23">
        <f>IF($B702="","",SUMIF(CalcPartyA,$B702,CalcAmtA))</f>
        <v/>
      </c>
      <c r="F702" s="23">
        <f>IF($B702="","",SUMIF(CalcPartyB,$B702,CalcWitB))</f>
        <v/>
      </c>
      <c r="G702" s="23">
        <f>IF($B702="","",SUMIF(CalcPartyB,$B702,CalcDepB))</f>
        <v/>
      </c>
      <c r="H702" s="24">
        <f>IF($B702="","",$E702-$F702+$G702)</f>
        <v/>
      </c>
      <c r="I702" s="22">
        <f>IF($B702="","",IF(ROUND($H702,0)&gt;0,"● بستانکار",IF(ROUND($H702,0)&lt;0,"● بدهکار","تسویه")))</f>
        <v/>
      </c>
    </row>
    <row r="703">
      <c r="A703" s="26">
        <f>IF($B703="","",694)</f>
        <v/>
      </c>
      <c r="B703" s="33">
        <f>IF(694&gt;NBskParty,"",INDEX(PkBskParty,694))</f>
        <v/>
      </c>
      <c r="C703" s="30">
        <f>IF($B703="","",IFERROR(IF(VLOOKUP($B703,AcctTbl,4,0)="","(بدون نام)",VLOOKUP($B703,AcctTbl,4,0)),"—"))</f>
        <v/>
      </c>
      <c r="D703" s="28">
        <f>IF($B703="","",SUMIF(CalcPartyA,$B703,CalcQtyA))</f>
        <v/>
      </c>
      <c r="E703" s="28">
        <f>IF($B703="","",SUMIF(CalcPartyA,$B703,CalcAmtA))</f>
        <v/>
      </c>
      <c r="F703" s="28">
        <f>IF($B703="","",SUMIF(CalcPartyB,$B703,CalcWitB))</f>
        <v/>
      </c>
      <c r="G703" s="28">
        <f>IF($B703="","",SUMIF(CalcPartyB,$B703,CalcDepB))</f>
        <v/>
      </c>
      <c r="H703" s="29">
        <f>IF($B703="","",$E703-$F703+$G703)</f>
        <v/>
      </c>
      <c r="I703" s="27">
        <f>IF($B703="","",IF(ROUND($H703,0)&gt;0,"● بستانکار",IF(ROUND($H703,0)&lt;0,"● بدهکار","تسویه")))</f>
        <v/>
      </c>
    </row>
    <row r="704">
      <c r="A704" s="21">
        <f>IF($B704="","",695)</f>
        <v/>
      </c>
      <c r="B704" s="32">
        <f>IF(695&gt;NBskParty,"",INDEX(PkBskParty,695))</f>
        <v/>
      </c>
      <c r="C704" s="25">
        <f>IF($B704="","",IFERROR(IF(VLOOKUP($B704,AcctTbl,4,0)="","(بدون نام)",VLOOKUP($B704,AcctTbl,4,0)),"—"))</f>
        <v/>
      </c>
      <c r="D704" s="23">
        <f>IF($B704="","",SUMIF(CalcPartyA,$B704,CalcQtyA))</f>
        <v/>
      </c>
      <c r="E704" s="23">
        <f>IF($B704="","",SUMIF(CalcPartyA,$B704,CalcAmtA))</f>
        <v/>
      </c>
      <c r="F704" s="23">
        <f>IF($B704="","",SUMIF(CalcPartyB,$B704,CalcWitB))</f>
        <v/>
      </c>
      <c r="G704" s="23">
        <f>IF($B704="","",SUMIF(CalcPartyB,$B704,CalcDepB))</f>
        <v/>
      </c>
      <c r="H704" s="24">
        <f>IF($B704="","",$E704-$F704+$G704)</f>
        <v/>
      </c>
      <c r="I704" s="22">
        <f>IF($B704="","",IF(ROUND($H704,0)&gt;0,"● بستانکار",IF(ROUND($H704,0)&lt;0,"● بدهکار","تسویه")))</f>
        <v/>
      </c>
    </row>
    <row r="705">
      <c r="A705" s="26">
        <f>IF($B705="","",696)</f>
        <v/>
      </c>
      <c r="B705" s="33">
        <f>IF(696&gt;NBskParty,"",INDEX(PkBskParty,696))</f>
        <v/>
      </c>
      <c r="C705" s="30">
        <f>IF($B705="","",IFERROR(IF(VLOOKUP($B705,AcctTbl,4,0)="","(بدون نام)",VLOOKUP($B705,AcctTbl,4,0)),"—"))</f>
        <v/>
      </c>
      <c r="D705" s="28">
        <f>IF($B705="","",SUMIF(CalcPartyA,$B705,CalcQtyA))</f>
        <v/>
      </c>
      <c r="E705" s="28">
        <f>IF($B705="","",SUMIF(CalcPartyA,$B705,CalcAmtA))</f>
        <v/>
      </c>
      <c r="F705" s="28">
        <f>IF($B705="","",SUMIF(CalcPartyB,$B705,CalcWitB))</f>
        <v/>
      </c>
      <c r="G705" s="28">
        <f>IF($B705="","",SUMIF(CalcPartyB,$B705,CalcDepB))</f>
        <v/>
      </c>
      <c r="H705" s="29">
        <f>IF($B705="","",$E705-$F705+$G705)</f>
        <v/>
      </c>
      <c r="I705" s="27">
        <f>IF($B705="","",IF(ROUND($H705,0)&gt;0,"● بستانکار",IF(ROUND($H705,0)&lt;0,"● بدهکار","تسویه")))</f>
        <v/>
      </c>
    </row>
    <row r="706">
      <c r="A706" s="21">
        <f>IF($B706="","",697)</f>
        <v/>
      </c>
      <c r="B706" s="32">
        <f>IF(697&gt;NBskParty,"",INDEX(PkBskParty,697))</f>
        <v/>
      </c>
      <c r="C706" s="25">
        <f>IF($B706="","",IFERROR(IF(VLOOKUP($B706,AcctTbl,4,0)="","(بدون نام)",VLOOKUP($B706,AcctTbl,4,0)),"—"))</f>
        <v/>
      </c>
      <c r="D706" s="23">
        <f>IF($B706="","",SUMIF(CalcPartyA,$B706,CalcQtyA))</f>
        <v/>
      </c>
      <c r="E706" s="23">
        <f>IF($B706="","",SUMIF(CalcPartyA,$B706,CalcAmtA))</f>
        <v/>
      </c>
      <c r="F706" s="23">
        <f>IF($B706="","",SUMIF(CalcPartyB,$B706,CalcWitB))</f>
        <v/>
      </c>
      <c r="G706" s="23">
        <f>IF($B706="","",SUMIF(CalcPartyB,$B706,CalcDepB))</f>
        <v/>
      </c>
      <c r="H706" s="24">
        <f>IF($B706="","",$E706-$F706+$G706)</f>
        <v/>
      </c>
      <c r="I706" s="22">
        <f>IF($B706="","",IF(ROUND($H706,0)&gt;0,"● بستانکار",IF(ROUND($H706,0)&lt;0,"● بدهکار","تسویه")))</f>
        <v/>
      </c>
    </row>
    <row r="707">
      <c r="A707" s="26">
        <f>IF($B707="","",698)</f>
        <v/>
      </c>
      <c r="B707" s="33">
        <f>IF(698&gt;NBskParty,"",INDEX(PkBskParty,698))</f>
        <v/>
      </c>
      <c r="C707" s="30">
        <f>IF($B707="","",IFERROR(IF(VLOOKUP($B707,AcctTbl,4,0)="","(بدون نام)",VLOOKUP($B707,AcctTbl,4,0)),"—"))</f>
        <v/>
      </c>
      <c r="D707" s="28">
        <f>IF($B707="","",SUMIF(CalcPartyA,$B707,CalcQtyA))</f>
        <v/>
      </c>
      <c r="E707" s="28">
        <f>IF($B707="","",SUMIF(CalcPartyA,$B707,CalcAmtA))</f>
        <v/>
      </c>
      <c r="F707" s="28">
        <f>IF($B707="","",SUMIF(CalcPartyB,$B707,CalcWitB))</f>
        <v/>
      </c>
      <c r="G707" s="28">
        <f>IF($B707="","",SUMIF(CalcPartyB,$B707,CalcDepB))</f>
        <v/>
      </c>
      <c r="H707" s="29">
        <f>IF($B707="","",$E707-$F707+$G707)</f>
        <v/>
      </c>
      <c r="I707" s="27">
        <f>IF($B707="","",IF(ROUND($H707,0)&gt;0,"● بستانکار",IF(ROUND($H707,0)&lt;0,"● بدهکار","تسویه")))</f>
        <v/>
      </c>
    </row>
    <row r="708">
      <c r="A708" s="21">
        <f>IF($B708="","",699)</f>
        <v/>
      </c>
      <c r="B708" s="32">
        <f>IF(699&gt;NBskParty,"",INDEX(PkBskParty,699))</f>
        <v/>
      </c>
      <c r="C708" s="25">
        <f>IF($B708="","",IFERROR(IF(VLOOKUP($B708,AcctTbl,4,0)="","(بدون نام)",VLOOKUP($B708,AcctTbl,4,0)),"—"))</f>
        <v/>
      </c>
      <c r="D708" s="23">
        <f>IF($B708="","",SUMIF(CalcPartyA,$B708,CalcQtyA))</f>
        <v/>
      </c>
      <c r="E708" s="23">
        <f>IF($B708="","",SUMIF(CalcPartyA,$B708,CalcAmtA))</f>
        <v/>
      </c>
      <c r="F708" s="23">
        <f>IF($B708="","",SUMIF(CalcPartyB,$B708,CalcWitB))</f>
        <v/>
      </c>
      <c r="G708" s="23">
        <f>IF($B708="","",SUMIF(CalcPartyB,$B708,CalcDepB))</f>
        <v/>
      </c>
      <c r="H708" s="24">
        <f>IF($B708="","",$E708-$F708+$G708)</f>
        <v/>
      </c>
      <c r="I708" s="22">
        <f>IF($B708="","",IF(ROUND($H708,0)&gt;0,"● بستانکار",IF(ROUND($H708,0)&lt;0,"● بدهکار","تسویه")))</f>
        <v/>
      </c>
    </row>
    <row r="709">
      <c r="A709" s="26">
        <f>IF($B709="","",700)</f>
        <v/>
      </c>
      <c r="B709" s="33">
        <f>IF(700&gt;NBskParty,"",INDEX(PkBskParty,700))</f>
        <v/>
      </c>
      <c r="C709" s="30">
        <f>IF($B709="","",IFERROR(IF(VLOOKUP($B709,AcctTbl,4,0)="","(بدون نام)",VLOOKUP($B709,AcctTbl,4,0)),"—"))</f>
        <v/>
      </c>
      <c r="D709" s="28">
        <f>IF($B709="","",SUMIF(CalcPartyA,$B709,CalcQtyA))</f>
        <v/>
      </c>
      <c r="E709" s="28">
        <f>IF($B709="","",SUMIF(CalcPartyA,$B709,CalcAmtA))</f>
        <v/>
      </c>
      <c r="F709" s="28">
        <f>IF($B709="","",SUMIF(CalcPartyB,$B709,CalcWitB))</f>
        <v/>
      </c>
      <c r="G709" s="28">
        <f>IF($B709="","",SUMIF(CalcPartyB,$B709,CalcDepB))</f>
        <v/>
      </c>
      <c r="H709" s="29">
        <f>IF($B709="","",$E709-$F709+$G709)</f>
        <v/>
      </c>
      <c r="I709" s="27">
        <f>IF($B709="","",IF(ROUND($H709,0)&gt;0,"● بستانکار",IF(ROUND($H709,0)&lt;0,"● بدهکار","تسویه")))</f>
        <v/>
      </c>
    </row>
    <row r="710">
      <c r="A710" s="21">
        <f>IF($B710="","",701)</f>
        <v/>
      </c>
      <c r="B710" s="32">
        <f>IF(701&gt;NBskParty,"",INDEX(PkBskParty,701))</f>
        <v/>
      </c>
      <c r="C710" s="25">
        <f>IF($B710="","",IFERROR(IF(VLOOKUP($B710,AcctTbl,4,0)="","(بدون نام)",VLOOKUP($B710,AcctTbl,4,0)),"—"))</f>
        <v/>
      </c>
      <c r="D710" s="23">
        <f>IF($B710="","",SUMIF(CalcPartyA,$B710,CalcQtyA))</f>
        <v/>
      </c>
      <c r="E710" s="23">
        <f>IF($B710="","",SUMIF(CalcPartyA,$B710,CalcAmtA))</f>
        <v/>
      </c>
      <c r="F710" s="23">
        <f>IF($B710="","",SUMIF(CalcPartyB,$B710,CalcWitB))</f>
        <v/>
      </c>
      <c r="G710" s="23">
        <f>IF($B710="","",SUMIF(CalcPartyB,$B710,CalcDepB))</f>
        <v/>
      </c>
      <c r="H710" s="24">
        <f>IF($B710="","",$E710-$F710+$G710)</f>
        <v/>
      </c>
      <c r="I710" s="22">
        <f>IF($B710="","",IF(ROUND($H710,0)&gt;0,"● بستانکار",IF(ROUND($H710,0)&lt;0,"● بدهکار","تسویه")))</f>
        <v/>
      </c>
    </row>
    <row r="711">
      <c r="A711" s="26">
        <f>IF($B711="","",702)</f>
        <v/>
      </c>
      <c r="B711" s="33">
        <f>IF(702&gt;NBskParty,"",INDEX(PkBskParty,702))</f>
        <v/>
      </c>
      <c r="C711" s="30">
        <f>IF($B711="","",IFERROR(IF(VLOOKUP($B711,AcctTbl,4,0)="","(بدون نام)",VLOOKUP($B711,AcctTbl,4,0)),"—"))</f>
        <v/>
      </c>
      <c r="D711" s="28">
        <f>IF($B711="","",SUMIF(CalcPartyA,$B711,CalcQtyA))</f>
        <v/>
      </c>
      <c r="E711" s="28">
        <f>IF($B711="","",SUMIF(CalcPartyA,$B711,CalcAmtA))</f>
        <v/>
      </c>
      <c r="F711" s="28">
        <f>IF($B711="","",SUMIF(CalcPartyB,$B711,CalcWitB))</f>
        <v/>
      </c>
      <c r="G711" s="28">
        <f>IF($B711="","",SUMIF(CalcPartyB,$B711,CalcDepB))</f>
        <v/>
      </c>
      <c r="H711" s="29">
        <f>IF($B711="","",$E711-$F711+$G711)</f>
        <v/>
      </c>
      <c r="I711" s="27">
        <f>IF($B711="","",IF(ROUND($H711,0)&gt;0,"● بستانکار",IF(ROUND($H711,0)&lt;0,"● بدهکار","تسویه")))</f>
        <v/>
      </c>
    </row>
    <row r="712">
      <c r="A712" s="21">
        <f>IF($B712="","",703)</f>
        <v/>
      </c>
      <c r="B712" s="32">
        <f>IF(703&gt;NBskParty,"",INDEX(PkBskParty,703))</f>
        <v/>
      </c>
      <c r="C712" s="25">
        <f>IF($B712="","",IFERROR(IF(VLOOKUP($B712,AcctTbl,4,0)="","(بدون نام)",VLOOKUP($B712,AcctTbl,4,0)),"—"))</f>
        <v/>
      </c>
      <c r="D712" s="23">
        <f>IF($B712="","",SUMIF(CalcPartyA,$B712,CalcQtyA))</f>
        <v/>
      </c>
      <c r="E712" s="23">
        <f>IF($B712="","",SUMIF(CalcPartyA,$B712,CalcAmtA))</f>
        <v/>
      </c>
      <c r="F712" s="23">
        <f>IF($B712="","",SUMIF(CalcPartyB,$B712,CalcWitB))</f>
        <v/>
      </c>
      <c r="G712" s="23">
        <f>IF($B712="","",SUMIF(CalcPartyB,$B712,CalcDepB))</f>
        <v/>
      </c>
      <c r="H712" s="24">
        <f>IF($B712="","",$E712-$F712+$G712)</f>
        <v/>
      </c>
      <c r="I712" s="22">
        <f>IF($B712="","",IF(ROUND($H712,0)&gt;0,"● بستانکار",IF(ROUND($H712,0)&lt;0,"● بدهکار","تسویه")))</f>
        <v/>
      </c>
    </row>
    <row r="713">
      <c r="A713" s="26">
        <f>IF($B713="","",704)</f>
        <v/>
      </c>
      <c r="B713" s="33">
        <f>IF(704&gt;NBskParty,"",INDEX(PkBskParty,704))</f>
        <v/>
      </c>
      <c r="C713" s="30">
        <f>IF($B713="","",IFERROR(IF(VLOOKUP($B713,AcctTbl,4,0)="","(بدون نام)",VLOOKUP($B713,AcctTbl,4,0)),"—"))</f>
        <v/>
      </c>
      <c r="D713" s="28">
        <f>IF($B713="","",SUMIF(CalcPartyA,$B713,CalcQtyA))</f>
        <v/>
      </c>
      <c r="E713" s="28">
        <f>IF($B713="","",SUMIF(CalcPartyA,$B713,CalcAmtA))</f>
        <v/>
      </c>
      <c r="F713" s="28">
        <f>IF($B713="","",SUMIF(CalcPartyB,$B713,CalcWitB))</f>
        <v/>
      </c>
      <c r="G713" s="28">
        <f>IF($B713="","",SUMIF(CalcPartyB,$B713,CalcDepB))</f>
        <v/>
      </c>
      <c r="H713" s="29">
        <f>IF($B713="","",$E713-$F713+$G713)</f>
        <v/>
      </c>
      <c r="I713" s="27">
        <f>IF($B713="","",IF(ROUND($H713,0)&gt;0,"● بستانکار",IF(ROUND($H713,0)&lt;0,"● بدهکار","تسویه")))</f>
        <v/>
      </c>
    </row>
    <row r="714">
      <c r="A714" s="21">
        <f>IF($B714="","",705)</f>
        <v/>
      </c>
      <c r="B714" s="32">
        <f>IF(705&gt;NBskParty,"",INDEX(PkBskParty,705))</f>
        <v/>
      </c>
      <c r="C714" s="25">
        <f>IF($B714="","",IFERROR(IF(VLOOKUP($B714,AcctTbl,4,0)="","(بدون نام)",VLOOKUP($B714,AcctTbl,4,0)),"—"))</f>
        <v/>
      </c>
      <c r="D714" s="23">
        <f>IF($B714="","",SUMIF(CalcPartyA,$B714,CalcQtyA))</f>
        <v/>
      </c>
      <c r="E714" s="23">
        <f>IF($B714="","",SUMIF(CalcPartyA,$B714,CalcAmtA))</f>
        <v/>
      </c>
      <c r="F714" s="23">
        <f>IF($B714="","",SUMIF(CalcPartyB,$B714,CalcWitB))</f>
        <v/>
      </c>
      <c r="G714" s="23">
        <f>IF($B714="","",SUMIF(CalcPartyB,$B714,CalcDepB))</f>
        <v/>
      </c>
      <c r="H714" s="24">
        <f>IF($B714="","",$E714-$F714+$G714)</f>
        <v/>
      </c>
      <c r="I714" s="22">
        <f>IF($B714="","",IF(ROUND($H714,0)&gt;0,"● بستانکار",IF(ROUND($H714,0)&lt;0,"● بدهکار","تسویه")))</f>
        <v/>
      </c>
    </row>
    <row r="715">
      <c r="A715" s="26">
        <f>IF($B715="","",706)</f>
        <v/>
      </c>
      <c r="B715" s="33">
        <f>IF(706&gt;NBskParty,"",INDEX(PkBskParty,706))</f>
        <v/>
      </c>
      <c r="C715" s="30">
        <f>IF($B715="","",IFERROR(IF(VLOOKUP($B715,AcctTbl,4,0)="","(بدون نام)",VLOOKUP($B715,AcctTbl,4,0)),"—"))</f>
        <v/>
      </c>
      <c r="D715" s="28">
        <f>IF($B715="","",SUMIF(CalcPartyA,$B715,CalcQtyA))</f>
        <v/>
      </c>
      <c r="E715" s="28">
        <f>IF($B715="","",SUMIF(CalcPartyA,$B715,CalcAmtA))</f>
        <v/>
      </c>
      <c r="F715" s="28">
        <f>IF($B715="","",SUMIF(CalcPartyB,$B715,CalcWitB))</f>
        <v/>
      </c>
      <c r="G715" s="28">
        <f>IF($B715="","",SUMIF(CalcPartyB,$B715,CalcDepB))</f>
        <v/>
      </c>
      <c r="H715" s="29">
        <f>IF($B715="","",$E715-$F715+$G715)</f>
        <v/>
      </c>
      <c r="I715" s="27">
        <f>IF($B715="","",IF(ROUND($H715,0)&gt;0,"● بستانکار",IF(ROUND($H715,0)&lt;0,"● بدهکار","تسویه")))</f>
        <v/>
      </c>
    </row>
    <row r="716">
      <c r="A716" s="21">
        <f>IF($B716="","",707)</f>
        <v/>
      </c>
      <c r="B716" s="32">
        <f>IF(707&gt;NBskParty,"",INDEX(PkBskParty,707))</f>
        <v/>
      </c>
      <c r="C716" s="25">
        <f>IF($B716="","",IFERROR(IF(VLOOKUP($B716,AcctTbl,4,0)="","(بدون نام)",VLOOKUP($B716,AcctTbl,4,0)),"—"))</f>
        <v/>
      </c>
      <c r="D716" s="23">
        <f>IF($B716="","",SUMIF(CalcPartyA,$B716,CalcQtyA))</f>
        <v/>
      </c>
      <c r="E716" s="23">
        <f>IF($B716="","",SUMIF(CalcPartyA,$B716,CalcAmtA))</f>
        <v/>
      </c>
      <c r="F716" s="23">
        <f>IF($B716="","",SUMIF(CalcPartyB,$B716,CalcWitB))</f>
        <v/>
      </c>
      <c r="G716" s="23">
        <f>IF($B716="","",SUMIF(CalcPartyB,$B716,CalcDepB))</f>
        <v/>
      </c>
      <c r="H716" s="24">
        <f>IF($B716="","",$E716-$F716+$G716)</f>
        <v/>
      </c>
      <c r="I716" s="22">
        <f>IF($B716="","",IF(ROUND($H716,0)&gt;0,"● بستانکار",IF(ROUND($H716,0)&lt;0,"● بدهکار","تسویه")))</f>
        <v/>
      </c>
    </row>
    <row r="717">
      <c r="A717" s="26">
        <f>IF($B717="","",708)</f>
        <v/>
      </c>
      <c r="B717" s="33">
        <f>IF(708&gt;NBskParty,"",INDEX(PkBskParty,708))</f>
        <v/>
      </c>
      <c r="C717" s="30">
        <f>IF($B717="","",IFERROR(IF(VLOOKUP($B717,AcctTbl,4,0)="","(بدون نام)",VLOOKUP($B717,AcctTbl,4,0)),"—"))</f>
        <v/>
      </c>
      <c r="D717" s="28">
        <f>IF($B717="","",SUMIF(CalcPartyA,$B717,CalcQtyA))</f>
        <v/>
      </c>
      <c r="E717" s="28">
        <f>IF($B717="","",SUMIF(CalcPartyA,$B717,CalcAmtA))</f>
        <v/>
      </c>
      <c r="F717" s="28">
        <f>IF($B717="","",SUMIF(CalcPartyB,$B717,CalcWitB))</f>
        <v/>
      </c>
      <c r="G717" s="28">
        <f>IF($B717="","",SUMIF(CalcPartyB,$B717,CalcDepB))</f>
        <v/>
      </c>
      <c r="H717" s="29">
        <f>IF($B717="","",$E717-$F717+$G717)</f>
        <v/>
      </c>
      <c r="I717" s="27">
        <f>IF($B717="","",IF(ROUND($H717,0)&gt;0,"● بستانکار",IF(ROUND($H717,0)&lt;0,"● بدهکار","تسویه")))</f>
        <v/>
      </c>
    </row>
    <row r="718">
      <c r="A718" s="21">
        <f>IF($B718="","",709)</f>
        <v/>
      </c>
      <c r="B718" s="32">
        <f>IF(709&gt;NBskParty,"",INDEX(PkBskParty,709))</f>
        <v/>
      </c>
      <c r="C718" s="25">
        <f>IF($B718="","",IFERROR(IF(VLOOKUP($B718,AcctTbl,4,0)="","(بدون نام)",VLOOKUP($B718,AcctTbl,4,0)),"—"))</f>
        <v/>
      </c>
      <c r="D718" s="23">
        <f>IF($B718="","",SUMIF(CalcPartyA,$B718,CalcQtyA))</f>
        <v/>
      </c>
      <c r="E718" s="23">
        <f>IF($B718="","",SUMIF(CalcPartyA,$B718,CalcAmtA))</f>
        <v/>
      </c>
      <c r="F718" s="23">
        <f>IF($B718="","",SUMIF(CalcPartyB,$B718,CalcWitB))</f>
        <v/>
      </c>
      <c r="G718" s="23">
        <f>IF($B718="","",SUMIF(CalcPartyB,$B718,CalcDepB))</f>
        <v/>
      </c>
      <c r="H718" s="24">
        <f>IF($B718="","",$E718-$F718+$G718)</f>
        <v/>
      </c>
      <c r="I718" s="22">
        <f>IF($B718="","",IF(ROUND($H718,0)&gt;0,"● بستانکار",IF(ROUND($H718,0)&lt;0,"● بدهکار","تسویه")))</f>
        <v/>
      </c>
    </row>
    <row r="719">
      <c r="A719" s="26">
        <f>IF($B719="","",710)</f>
        <v/>
      </c>
      <c r="B719" s="33">
        <f>IF(710&gt;NBskParty,"",INDEX(PkBskParty,710))</f>
        <v/>
      </c>
      <c r="C719" s="30">
        <f>IF($B719="","",IFERROR(IF(VLOOKUP($B719,AcctTbl,4,0)="","(بدون نام)",VLOOKUP($B719,AcctTbl,4,0)),"—"))</f>
        <v/>
      </c>
      <c r="D719" s="28">
        <f>IF($B719="","",SUMIF(CalcPartyA,$B719,CalcQtyA))</f>
        <v/>
      </c>
      <c r="E719" s="28">
        <f>IF($B719="","",SUMIF(CalcPartyA,$B719,CalcAmtA))</f>
        <v/>
      </c>
      <c r="F719" s="28">
        <f>IF($B719="","",SUMIF(CalcPartyB,$B719,CalcWitB))</f>
        <v/>
      </c>
      <c r="G719" s="28">
        <f>IF($B719="","",SUMIF(CalcPartyB,$B719,CalcDepB))</f>
        <v/>
      </c>
      <c r="H719" s="29">
        <f>IF($B719="","",$E719-$F719+$G719)</f>
        <v/>
      </c>
      <c r="I719" s="27">
        <f>IF($B719="","",IF(ROUND($H719,0)&gt;0,"● بستانکار",IF(ROUND($H719,0)&lt;0,"● بدهکار","تسویه")))</f>
        <v/>
      </c>
    </row>
    <row r="720">
      <c r="A720" s="21">
        <f>IF($B720="","",711)</f>
        <v/>
      </c>
      <c r="B720" s="32">
        <f>IF(711&gt;NBskParty,"",INDEX(PkBskParty,711))</f>
        <v/>
      </c>
      <c r="C720" s="25">
        <f>IF($B720="","",IFERROR(IF(VLOOKUP($B720,AcctTbl,4,0)="","(بدون نام)",VLOOKUP($B720,AcctTbl,4,0)),"—"))</f>
        <v/>
      </c>
      <c r="D720" s="23">
        <f>IF($B720="","",SUMIF(CalcPartyA,$B720,CalcQtyA))</f>
        <v/>
      </c>
      <c r="E720" s="23">
        <f>IF($B720="","",SUMIF(CalcPartyA,$B720,CalcAmtA))</f>
        <v/>
      </c>
      <c r="F720" s="23">
        <f>IF($B720="","",SUMIF(CalcPartyB,$B720,CalcWitB))</f>
        <v/>
      </c>
      <c r="G720" s="23">
        <f>IF($B720="","",SUMIF(CalcPartyB,$B720,CalcDepB))</f>
        <v/>
      </c>
      <c r="H720" s="24">
        <f>IF($B720="","",$E720-$F720+$G720)</f>
        <v/>
      </c>
      <c r="I720" s="22">
        <f>IF($B720="","",IF(ROUND($H720,0)&gt;0,"● بستانکار",IF(ROUND($H720,0)&lt;0,"● بدهکار","تسویه")))</f>
        <v/>
      </c>
    </row>
    <row r="721">
      <c r="A721" s="26">
        <f>IF($B721="","",712)</f>
        <v/>
      </c>
      <c r="B721" s="33">
        <f>IF(712&gt;NBskParty,"",INDEX(PkBskParty,712))</f>
        <v/>
      </c>
      <c r="C721" s="30">
        <f>IF($B721="","",IFERROR(IF(VLOOKUP($B721,AcctTbl,4,0)="","(بدون نام)",VLOOKUP($B721,AcctTbl,4,0)),"—"))</f>
        <v/>
      </c>
      <c r="D721" s="28">
        <f>IF($B721="","",SUMIF(CalcPartyA,$B721,CalcQtyA))</f>
        <v/>
      </c>
      <c r="E721" s="28">
        <f>IF($B721="","",SUMIF(CalcPartyA,$B721,CalcAmtA))</f>
        <v/>
      </c>
      <c r="F721" s="28">
        <f>IF($B721="","",SUMIF(CalcPartyB,$B721,CalcWitB))</f>
        <v/>
      </c>
      <c r="G721" s="28">
        <f>IF($B721="","",SUMIF(CalcPartyB,$B721,CalcDepB))</f>
        <v/>
      </c>
      <c r="H721" s="29">
        <f>IF($B721="","",$E721-$F721+$G721)</f>
        <v/>
      </c>
      <c r="I721" s="27">
        <f>IF($B721="","",IF(ROUND($H721,0)&gt;0,"● بستانکار",IF(ROUND($H721,0)&lt;0,"● بدهکار","تسویه")))</f>
        <v/>
      </c>
    </row>
    <row r="722">
      <c r="A722" s="21">
        <f>IF($B722="","",713)</f>
        <v/>
      </c>
      <c r="B722" s="32">
        <f>IF(713&gt;NBskParty,"",INDEX(PkBskParty,713))</f>
        <v/>
      </c>
      <c r="C722" s="25">
        <f>IF($B722="","",IFERROR(IF(VLOOKUP($B722,AcctTbl,4,0)="","(بدون نام)",VLOOKUP($B722,AcctTbl,4,0)),"—"))</f>
        <v/>
      </c>
      <c r="D722" s="23">
        <f>IF($B722="","",SUMIF(CalcPartyA,$B722,CalcQtyA))</f>
        <v/>
      </c>
      <c r="E722" s="23">
        <f>IF($B722="","",SUMIF(CalcPartyA,$B722,CalcAmtA))</f>
        <v/>
      </c>
      <c r="F722" s="23">
        <f>IF($B722="","",SUMIF(CalcPartyB,$B722,CalcWitB))</f>
        <v/>
      </c>
      <c r="G722" s="23">
        <f>IF($B722="","",SUMIF(CalcPartyB,$B722,CalcDepB))</f>
        <v/>
      </c>
      <c r="H722" s="24">
        <f>IF($B722="","",$E722-$F722+$G722)</f>
        <v/>
      </c>
      <c r="I722" s="22">
        <f>IF($B722="","",IF(ROUND($H722,0)&gt;0,"● بستانکار",IF(ROUND($H722,0)&lt;0,"● بدهکار","تسویه")))</f>
        <v/>
      </c>
    </row>
    <row r="723">
      <c r="A723" s="26">
        <f>IF($B723="","",714)</f>
        <v/>
      </c>
      <c r="B723" s="33">
        <f>IF(714&gt;NBskParty,"",INDEX(PkBskParty,714))</f>
        <v/>
      </c>
      <c r="C723" s="30">
        <f>IF($B723="","",IFERROR(IF(VLOOKUP($B723,AcctTbl,4,0)="","(بدون نام)",VLOOKUP($B723,AcctTbl,4,0)),"—"))</f>
        <v/>
      </c>
      <c r="D723" s="28">
        <f>IF($B723="","",SUMIF(CalcPartyA,$B723,CalcQtyA))</f>
        <v/>
      </c>
      <c r="E723" s="28">
        <f>IF($B723="","",SUMIF(CalcPartyA,$B723,CalcAmtA))</f>
        <v/>
      </c>
      <c r="F723" s="28">
        <f>IF($B723="","",SUMIF(CalcPartyB,$B723,CalcWitB))</f>
        <v/>
      </c>
      <c r="G723" s="28">
        <f>IF($B723="","",SUMIF(CalcPartyB,$B723,CalcDepB))</f>
        <v/>
      </c>
      <c r="H723" s="29">
        <f>IF($B723="","",$E723-$F723+$G723)</f>
        <v/>
      </c>
      <c r="I723" s="27">
        <f>IF($B723="","",IF(ROUND($H723,0)&gt;0,"● بستانکار",IF(ROUND($H723,0)&lt;0,"● بدهکار","تسویه")))</f>
        <v/>
      </c>
    </row>
    <row r="724">
      <c r="A724" s="21">
        <f>IF($B724="","",715)</f>
        <v/>
      </c>
      <c r="B724" s="32">
        <f>IF(715&gt;NBskParty,"",INDEX(PkBskParty,715))</f>
        <v/>
      </c>
      <c r="C724" s="25">
        <f>IF($B724="","",IFERROR(IF(VLOOKUP($B724,AcctTbl,4,0)="","(بدون نام)",VLOOKUP($B724,AcctTbl,4,0)),"—"))</f>
        <v/>
      </c>
      <c r="D724" s="23">
        <f>IF($B724="","",SUMIF(CalcPartyA,$B724,CalcQtyA))</f>
        <v/>
      </c>
      <c r="E724" s="23">
        <f>IF($B724="","",SUMIF(CalcPartyA,$B724,CalcAmtA))</f>
        <v/>
      </c>
      <c r="F724" s="23">
        <f>IF($B724="","",SUMIF(CalcPartyB,$B724,CalcWitB))</f>
        <v/>
      </c>
      <c r="G724" s="23">
        <f>IF($B724="","",SUMIF(CalcPartyB,$B724,CalcDepB))</f>
        <v/>
      </c>
      <c r="H724" s="24">
        <f>IF($B724="","",$E724-$F724+$G724)</f>
        <v/>
      </c>
      <c r="I724" s="22">
        <f>IF($B724="","",IF(ROUND($H724,0)&gt;0,"● بستانکار",IF(ROUND($H724,0)&lt;0,"● بدهکار","تسویه")))</f>
        <v/>
      </c>
    </row>
    <row r="725">
      <c r="A725" s="26">
        <f>IF($B725="","",716)</f>
        <v/>
      </c>
      <c r="B725" s="33">
        <f>IF(716&gt;NBskParty,"",INDEX(PkBskParty,716))</f>
        <v/>
      </c>
      <c r="C725" s="30">
        <f>IF($B725="","",IFERROR(IF(VLOOKUP($B725,AcctTbl,4,0)="","(بدون نام)",VLOOKUP($B725,AcctTbl,4,0)),"—"))</f>
        <v/>
      </c>
      <c r="D725" s="28">
        <f>IF($B725="","",SUMIF(CalcPartyA,$B725,CalcQtyA))</f>
        <v/>
      </c>
      <c r="E725" s="28">
        <f>IF($B725="","",SUMIF(CalcPartyA,$B725,CalcAmtA))</f>
        <v/>
      </c>
      <c r="F725" s="28">
        <f>IF($B725="","",SUMIF(CalcPartyB,$B725,CalcWitB))</f>
        <v/>
      </c>
      <c r="G725" s="28">
        <f>IF($B725="","",SUMIF(CalcPartyB,$B725,CalcDepB))</f>
        <v/>
      </c>
      <c r="H725" s="29">
        <f>IF($B725="","",$E725-$F725+$G725)</f>
        <v/>
      </c>
      <c r="I725" s="27">
        <f>IF($B725="","",IF(ROUND($H725,0)&gt;0,"● بستانکار",IF(ROUND($H725,0)&lt;0,"● بدهکار","تسویه")))</f>
        <v/>
      </c>
    </row>
    <row r="726">
      <c r="A726" s="21">
        <f>IF($B726="","",717)</f>
        <v/>
      </c>
      <c r="B726" s="32">
        <f>IF(717&gt;NBskParty,"",INDEX(PkBskParty,717))</f>
        <v/>
      </c>
      <c r="C726" s="25">
        <f>IF($B726="","",IFERROR(IF(VLOOKUP($B726,AcctTbl,4,0)="","(بدون نام)",VLOOKUP($B726,AcctTbl,4,0)),"—"))</f>
        <v/>
      </c>
      <c r="D726" s="23">
        <f>IF($B726="","",SUMIF(CalcPartyA,$B726,CalcQtyA))</f>
        <v/>
      </c>
      <c r="E726" s="23">
        <f>IF($B726="","",SUMIF(CalcPartyA,$B726,CalcAmtA))</f>
        <v/>
      </c>
      <c r="F726" s="23">
        <f>IF($B726="","",SUMIF(CalcPartyB,$B726,CalcWitB))</f>
        <v/>
      </c>
      <c r="G726" s="23">
        <f>IF($B726="","",SUMIF(CalcPartyB,$B726,CalcDepB))</f>
        <v/>
      </c>
      <c r="H726" s="24">
        <f>IF($B726="","",$E726-$F726+$G726)</f>
        <v/>
      </c>
      <c r="I726" s="22">
        <f>IF($B726="","",IF(ROUND($H726,0)&gt;0,"● بستانکار",IF(ROUND($H726,0)&lt;0,"● بدهکار","تسویه")))</f>
        <v/>
      </c>
    </row>
    <row r="727">
      <c r="A727" s="26">
        <f>IF($B727="","",718)</f>
        <v/>
      </c>
      <c r="B727" s="33">
        <f>IF(718&gt;NBskParty,"",INDEX(PkBskParty,718))</f>
        <v/>
      </c>
      <c r="C727" s="30">
        <f>IF($B727="","",IFERROR(IF(VLOOKUP($B727,AcctTbl,4,0)="","(بدون نام)",VLOOKUP($B727,AcctTbl,4,0)),"—"))</f>
        <v/>
      </c>
      <c r="D727" s="28">
        <f>IF($B727="","",SUMIF(CalcPartyA,$B727,CalcQtyA))</f>
        <v/>
      </c>
      <c r="E727" s="28">
        <f>IF($B727="","",SUMIF(CalcPartyA,$B727,CalcAmtA))</f>
        <v/>
      </c>
      <c r="F727" s="28">
        <f>IF($B727="","",SUMIF(CalcPartyB,$B727,CalcWitB))</f>
        <v/>
      </c>
      <c r="G727" s="28">
        <f>IF($B727="","",SUMIF(CalcPartyB,$B727,CalcDepB))</f>
        <v/>
      </c>
      <c r="H727" s="29">
        <f>IF($B727="","",$E727-$F727+$G727)</f>
        <v/>
      </c>
      <c r="I727" s="27">
        <f>IF($B727="","",IF(ROUND($H727,0)&gt;0,"● بستانکار",IF(ROUND($H727,0)&lt;0,"● بدهکار","تسویه")))</f>
        <v/>
      </c>
    </row>
    <row r="728">
      <c r="A728" s="21">
        <f>IF($B728="","",719)</f>
        <v/>
      </c>
      <c r="B728" s="32">
        <f>IF(719&gt;NBskParty,"",INDEX(PkBskParty,719))</f>
        <v/>
      </c>
      <c r="C728" s="25">
        <f>IF($B728="","",IFERROR(IF(VLOOKUP($B728,AcctTbl,4,0)="","(بدون نام)",VLOOKUP($B728,AcctTbl,4,0)),"—"))</f>
        <v/>
      </c>
      <c r="D728" s="23">
        <f>IF($B728="","",SUMIF(CalcPartyA,$B728,CalcQtyA))</f>
        <v/>
      </c>
      <c r="E728" s="23">
        <f>IF($B728="","",SUMIF(CalcPartyA,$B728,CalcAmtA))</f>
        <v/>
      </c>
      <c r="F728" s="23">
        <f>IF($B728="","",SUMIF(CalcPartyB,$B728,CalcWitB))</f>
        <v/>
      </c>
      <c r="G728" s="23">
        <f>IF($B728="","",SUMIF(CalcPartyB,$B728,CalcDepB))</f>
        <v/>
      </c>
      <c r="H728" s="24">
        <f>IF($B728="","",$E728-$F728+$G728)</f>
        <v/>
      </c>
      <c r="I728" s="22">
        <f>IF($B728="","",IF(ROUND($H728,0)&gt;0,"● بستانکار",IF(ROUND($H728,0)&lt;0,"● بدهکار","تسویه")))</f>
        <v/>
      </c>
    </row>
    <row r="729">
      <c r="A729" s="26">
        <f>IF($B729="","",720)</f>
        <v/>
      </c>
      <c r="B729" s="33">
        <f>IF(720&gt;NBskParty,"",INDEX(PkBskParty,720))</f>
        <v/>
      </c>
      <c r="C729" s="30">
        <f>IF($B729="","",IFERROR(IF(VLOOKUP($B729,AcctTbl,4,0)="","(بدون نام)",VLOOKUP($B729,AcctTbl,4,0)),"—"))</f>
        <v/>
      </c>
      <c r="D729" s="28">
        <f>IF($B729="","",SUMIF(CalcPartyA,$B729,CalcQtyA))</f>
        <v/>
      </c>
      <c r="E729" s="28">
        <f>IF($B729="","",SUMIF(CalcPartyA,$B729,CalcAmtA))</f>
        <v/>
      </c>
      <c r="F729" s="28">
        <f>IF($B729="","",SUMIF(CalcPartyB,$B729,CalcWitB))</f>
        <v/>
      </c>
      <c r="G729" s="28">
        <f>IF($B729="","",SUMIF(CalcPartyB,$B729,CalcDepB))</f>
        <v/>
      </c>
      <c r="H729" s="29">
        <f>IF($B729="","",$E729-$F729+$G729)</f>
        <v/>
      </c>
      <c r="I729" s="27">
        <f>IF($B729="","",IF(ROUND($H729,0)&gt;0,"● بستانکار",IF(ROUND($H729,0)&lt;0,"● بدهکار","تسویه")))</f>
        <v/>
      </c>
    </row>
    <row r="730">
      <c r="A730" s="21">
        <f>IF($B730="","",721)</f>
        <v/>
      </c>
      <c r="B730" s="32">
        <f>IF(721&gt;NBskParty,"",INDEX(PkBskParty,721))</f>
        <v/>
      </c>
      <c r="C730" s="25">
        <f>IF($B730="","",IFERROR(IF(VLOOKUP($B730,AcctTbl,4,0)="","(بدون نام)",VLOOKUP($B730,AcctTbl,4,0)),"—"))</f>
        <v/>
      </c>
      <c r="D730" s="23">
        <f>IF($B730="","",SUMIF(CalcPartyA,$B730,CalcQtyA))</f>
        <v/>
      </c>
      <c r="E730" s="23">
        <f>IF($B730="","",SUMIF(CalcPartyA,$B730,CalcAmtA))</f>
        <v/>
      </c>
      <c r="F730" s="23">
        <f>IF($B730="","",SUMIF(CalcPartyB,$B730,CalcWitB))</f>
        <v/>
      </c>
      <c r="G730" s="23">
        <f>IF($B730="","",SUMIF(CalcPartyB,$B730,CalcDepB))</f>
        <v/>
      </c>
      <c r="H730" s="24">
        <f>IF($B730="","",$E730-$F730+$G730)</f>
        <v/>
      </c>
      <c r="I730" s="22">
        <f>IF($B730="","",IF(ROUND($H730,0)&gt;0,"● بستانکار",IF(ROUND($H730,0)&lt;0,"● بدهکار","تسویه")))</f>
        <v/>
      </c>
    </row>
    <row r="731">
      <c r="A731" s="26">
        <f>IF($B731="","",722)</f>
        <v/>
      </c>
      <c r="B731" s="33">
        <f>IF(722&gt;NBskParty,"",INDEX(PkBskParty,722))</f>
        <v/>
      </c>
      <c r="C731" s="30">
        <f>IF($B731="","",IFERROR(IF(VLOOKUP($B731,AcctTbl,4,0)="","(بدون نام)",VLOOKUP($B731,AcctTbl,4,0)),"—"))</f>
        <v/>
      </c>
      <c r="D731" s="28">
        <f>IF($B731="","",SUMIF(CalcPartyA,$B731,CalcQtyA))</f>
        <v/>
      </c>
      <c r="E731" s="28">
        <f>IF($B731="","",SUMIF(CalcPartyA,$B731,CalcAmtA))</f>
        <v/>
      </c>
      <c r="F731" s="28">
        <f>IF($B731="","",SUMIF(CalcPartyB,$B731,CalcWitB))</f>
        <v/>
      </c>
      <c r="G731" s="28">
        <f>IF($B731="","",SUMIF(CalcPartyB,$B731,CalcDepB))</f>
        <v/>
      </c>
      <c r="H731" s="29">
        <f>IF($B731="","",$E731-$F731+$G731)</f>
        <v/>
      </c>
      <c r="I731" s="27">
        <f>IF($B731="","",IF(ROUND($H731,0)&gt;0,"● بستانکار",IF(ROUND($H731,0)&lt;0,"● بدهکار","تسویه")))</f>
        <v/>
      </c>
    </row>
    <row r="732">
      <c r="A732" s="21">
        <f>IF($B732="","",723)</f>
        <v/>
      </c>
      <c r="B732" s="32">
        <f>IF(723&gt;NBskParty,"",INDEX(PkBskParty,723))</f>
        <v/>
      </c>
      <c r="C732" s="25">
        <f>IF($B732="","",IFERROR(IF(VLOOKUP($B732,AcctTbl,4,0)="","(بدون نام)",VLOOKUP($B732,AcctTbl,4,0)),"—"))</f>
        <v/>
      </c>
      <c r="D732" s="23">
        <f>IF($B732="","",SUMIF(CalcPartyA,$B732,CalcQtyA))</f>
        <v/>
      </c>
      <c r="E732" s="23">
        <f>IF($B732="","",SUMIF(CalcPartyA,$B732,CalcAmtA))</f>
        <v/>
      </c>
      <c r="F732" s="23">
        <f>IF($B732="","",SUMIF(CalcPartyB,$B732,CalcWitB))</f>
        <v/>
      </c>
      <c r="G732" s="23">
        <f>IF($B732="","",SUMIF(CalcPartyB,$B732,CalcDepB))</f>
        <v/>
      </c>
      <c r="H732" s="24">
        <f>IF($B732="","",$E732-$F732+$G732)</f>
        <v/>
      </c>
      <c r="I732" s="22">
        <f>IF($B732="","",IF(ROUND($H732,0)&gt;0,"● بستانکار",IF(ROUND($H732,0)&lt;0,"● بدهکار","تسویه")))</f>
        <v/>
      </c>
    </row>
    <row r="733">
      <c r="A733" s="26">
        <f>IF($B733="","",724)</f>
        <v/>
      </c>
      <c r="B733" s="33">
        <f>IF(724&gt;NBskParty,"",INDEX(PkBskParty,724))</f>
        <v/>
      </c>
      <c r="C733" s="30">
        <f>IF($B733="","",IFERROR(IF(VLOOKUP($B733,AcctTbl,4,0)="","(بدون نام)",VLOOKUP($B733,AcctTbl,4,0)),"—"))</f>
        <v/>
      </c>
      <c r="D733" s="28">
        <f>IF($B733="","",SUMIF(CalcPartyA,$B733,CalcQtyA))</f>
        <v/>
      </c>
      <c r="E733" s="28">
        <f>IF($B733="","",SUMIF(CalcPartyA,$B733,CalcAmtA))</f>
        <v/>
      </c>
      <c r="F733" s="28">
        <f>IF($B733="","",SUMIF(CalcPartyB,$B733,CalcWitB))</f>
        <v/>
      </c>
      <c r="G733" s="28">
        <f>IF($B733="","",SUMIF(CalcPartyB,$B733,CalcDepB))</f>
        <v/>
      </c>
      <c r="H733" s="29">
        <f>IF($B733="","",$E733-$F733+$G733)</f>
        <v/>
      </c>
      <c r="I733" s="27">
        <f>IF($B733="","",IF(ROUND($H733,0)&gt;0,"● بستانکار",IF(ROUND($H733,0)&lt;0,"● بدهکار","تسویه")))</f>
        <v/>
      </c>
    </row>
    <row r="734">
      <c r="A734" s="21">
        <f>IF($B734="","",725)</f>
        <v/>
      </c>
      <c r="B734" s="32">
        <f>IF(725&gt;NBskParty,"",INDEX(PkBskParty,725))</f>
        <v/>
      </c>
      <c r="C734" s="25">
        <f>IF($B734="","",IFERROR(IF(VLOOKUP($B734,AcctTbl,4,0)="","(بدون نام)",VLOOKUP($B734,AcctTbl,4,0)),"—"))</f>
        <v/>
      </c>
      <c r="D734" s="23">
        <f>IF($B734="","",SUMIF(CalcPartyA,$B734,CalcQtyA))</f>
        <v/>
      </c>
      <c r="E734" s="23">
        <f>IF($B734="","",SUMIF(CalcPartyA,$B734,CalcAmtA))</f>
        <v/>
      </c>
      <c r="F734" s="23">
        <f>IF($B734="","",SUMIF(CalcPartyB,$B734,CalcWitB))</f>
        <v/>
      </c>
      <c r="G734" s="23">
        <f>IF($B734="","",SUMIF(CalcPartyB,$B734,CalcDepB))</f>
        <v/>
      </c>
      <c r="H734" s="24">
        <f>IF($B734="","",$E734-$F734+$G734)</f>
        <v/>
      </c>
      <c r="I734" s="22">
        <f>IF($B734="","",IF(ROUND($H734,0)&gt;0,"● بستانکار",IF(ROUND($H734,0)&lt;0,"● بدهکار","تسویه")))</f>
        <v/>
      </c>
    </row>
    <row r="735">
      <c r="A735" s="26">
        <f>IF($B735="","",726)</f>
        <v/>
      </c>
      <c r="B735" s="33">
        <f>IF(726&gt;NBskParty,"",INDEX(PkBskParty,726))</f>
        <v/>
      </c>
      <c r="C735" s="30">
        <f>IF($B735="","",IFERROR(IF(VLOOKUP($B735,AcctTbl,4,0)="","(بدون نام)",VLOOKUP($B735,AcctTbl,4,0)),"—"))</f>
        <v/>
      </c>
      <c r="D735" s="28">
        <f>IF($B735="","",SUMIF(CalcPartyA,$B735,CalcQtyA))</f>
        <v/>
      </c>
      <c r="E735" s="28">
        <f>IF($B735="","",SUMIF(CalcPartyA,$B735,CalcAmtA))</f>
        <v/>
      </c>
      <c r="F735" s="28">
        <f>IF($B735="","",SUMIF(CalcPartyB,$B735,CalcWitB))</f>
        <v/>
      </c>
      <c r="G735" s="28">
        <f>IF($B735="","",SUMIF(CalcPartyB,$B735,CalcDepB))</f>
        <v/>
      </c>
      <c r="H735" s="29">
        <f>IF($B735="","",$E735-$F735+$G735)</f>
        <v/>
      </c>
      <c r="I735" s="27">
        <f>IF($B735="","",IF(ROUND($H735,0)&gt;0,"● بستانکار",IF(ROUND($H735,0)&lt;0,"● بدهکار","تسویه")))</f>
        <v/>
      </c>
    </row>
    <row r="736">
      <c r="A736" s="21">
        <f>IF($B736="","",727)</f>
        <v/>
      </c>
      <c r="B736" s="32">
        <f>IF(727&gt;NBskParty,"",INDEX(PkBskParty,727))</f>
        <v/>
      </c>
      <c r="C736" s="25">
        <f>IF($B736="","",IFERROR(IF(VLOOKUP($B736,AcctTbl,4,0)="","(بدون نام)",VLOOKUP($B736,AcctTbl,4,0)),"—"))</f>
        <v/>
      </c>
      <c r="D736" s="23">
        <f>IF($B736="","",SUMIF(CalcPartyA,$B736,CalcQtyA))</f>
        <v/>
      </c>
      <c r="E736" s="23">
        <f>IF($B736="","",SUMIF(CalcPartyA,$B736,CalcAmtA))</f>
        <v/>
      </c>
      <c r="F736" s="23">
        <f>IF($B736="","",SUMIF(CalcPartyB,$B736,CalcWitB))</f>
        <v/>
      </c>
      <c r="G736" s="23">
        <f>IF($B736="","",SUMIF(CalcPartyB,$B736,CalcDepB))</f>
        <v/>
      </c>
      <c r="H736" s="24">
        <f>IF($B736="","",$E736-$F736+$G736)</f>
        <v/>
      </c>
      <c r="I736" s="22">
        <f>IF($B736="","",IF(ROUND($H736,0)&gt;0,"● بستانکار",IF(ROUND($H736,0)&lt;0,"● بدهکار","تسویه")))</f>
        <v/>
      </c>
    </row>
    <row r="737">
      <c r="A737" s="26">
        <f>IF($B737="","",728)</f>
        <v/>
      </c>
      <c r="B737" s="33">
        <f>IF(728&gt;NBskParty,"",INDEX(PkBskParty,728))</f>
        <v/>
      </c>
      <c r="C737" s="30">
        <f>IF($B737="","",IFERROR(IF(VLOOKUP($B737,AcctTbl,4,0)="","(بدون نام)",VLOOKUP($B737,AcctTbl,4,0)),"—"))</f>
        <v/>
      </c>
      <c r="D737" s="28">
        <f>IF($B737="","",SUMIF(CalcPartyA,$B737,CalcQtyA))</f>
        <v/>
      </c>
      <c r="E737" s="28">
        <f>IF($B737="","",SUMIF(CalcPartyA,$B737,CalcAmtA))</f>
        <v/>
      </c>
      <c r="F737" s="28">
        <f>IF($B737="","",SUMIF(CalcPartyB,$B737,CalcWitB))</f>
        <v/>
      </c>
      <c r="G737" s="28">
        <f>IF($B737="","",SUMIF(CalcPartyB,$B737,CalcDepB))</f>
        <v/>
      </c>
      <c r="H737" s="29">
        <f>IF($B737="","",$E737-$F737+$G737)</f>
        <v/>
      </c>
      <c r="I737" s="27">
        <f>IF($B737="","",IF(ROUND($H737,0)&gt;0,"● بستانکار",IF(ROUND($H737,0)&lt;0,"● بدهکار","تسویه")))</f>
        <v/>
      </c>
    </row>
    <row r="738">
      <c r="A738" s="21">
        <f>IF($B738="","",729)</f>
        <v/>
      </c>
      <c r="B738" s="32">
        <f>IF(729&gt;NBskParty,"",INDEX(PkBskParty,729))</f>
        <v/>
      </c>
      <c r="C738" s="25">
        <f>IF($B738="","",IFERROR(IF(VLOOKUP($B738,AcctTbl,4,0)="","(بدون نام)",VLOOKUP($B738,AcctTbl,4,0)),"—"))</f>
        <v/>
      </c>
      <c r="D738" s="23">
        <f>IF($B738="","",SUMIF(CalcPartyA,$B738,CalcQtyA))</f>
        <v/>
      </c>
      <c r="E738" s="23">
        <f>IF($B738="","",SUMIF(CalcPartyA,$B738,CalcAmtA))</f>
        <v/>
      </c>
      <c r="F738" s="23">
        <f>IF($B738="","",SUMIF(CalcPartyB,$B738,CalcWitB))</f>
        <v/>
      </c>
      <c r="G738" s="23">
        <f>IF($B738="","",SUMIF(CalcPartyB,$B738,CalcDepB))</f>
        <v/>
      </c>
      <c r="H738" s="24">
        <f>IF($B738="","",$E738-$F738+$G738)</f>
        <v/>
      </c>
      <c r="I738" s="22">
        <f>IF($B738="","",IF(ROUND($H738,0)&gt;0,"● بستانکار",IF(ROUND($H738,0)&lt;0,"● بدهکار","تسویه")))</f>
        <v/>
      </c>
    </row>
    <row r="739">
      <c r="A739" s="26">
        <f>IF($B739="","",730)</f>
        <v/>
      </c>
      <c r="B739" s="33">
        <f>IF(730&gt;NBskParty,"",INDEX(PkBskParty,730))</f>
        <v/>
      </c>
      <c r="C739" s="30">
        <f>IF($B739="","",IFERROR(IF(VLOOKUP($B739,AcctTbl,4,0)="","(بدون نام)",VLOOKUP($B739,AcctTbl,4,0)),"—"))</f>
        <v/>
      </c>
      <c r="D739" s="28">
        <f>IF($B739="","",SUMIF(CalcPartyA,$B739,CalcQtyA))</f>
        <v/>
      </c>
      <c r="E739" s="28">
        <f>IF($B739="","",SUMIF(CalcPartyA,$B739,CalcAmtA))</f>
        <v/>
      </c>
      <c r="F739" s="28">
        <f>IF($B739="","",SUMIF(CalcPartyB,$B739,CalcWitB))</f>
        <v/>
      </c>
      <c r="G739" s="28">
        <f>IF($B739="","",SUMIF(CalcPartyB,$B739,CalcDepB))</f>
        <v/>
      </c>
      <c r="H739" s="29">
        <f>IF($B739="","",$E739-$F739+$G739)</f>
        <v/>
      </c>
      <c r="I739" s="27">
        <f>IF($B739="","",IF(ROUND($H739,0)&gt;0,"● بستانکار",IF(ROUND($H739,0)&lt;0,"● بدهکار","تسویه")))</f>
        <v/>
      </c>
    </row>
    <row r="740">
      <c r="A740" s="21">
        <f>IF($B740="","",731)</f>
        <v/>
      </c>
      <c r="B740" s="32">
        <f>IF(731&gt;NBskParty,"",INDEX(PkBskParty,731))</f>
        <v/>
      </c>
      <c r="C740" s="25">
        <f>IF($B740="","",IFERROR(IF(VLOOKUP($B740,AcctTbl,4,0)="","(بدون نام)",VLOOKUP($B740,AcctTbl,4,0)),"—"))</f>
        <v/>
      </c>
      <c r="D740" s="23">
        <f>IF($B740="","",SUMIF(CalcPartyA,$B740,CalcQtyA))</f>
        <v/>
      </c>
      <c r="E740" s="23">
        <f>IF($B740="","",SUMIF(CalcPartyA,$B740,CalcAmtA))</f>
        <v/>
      </c>
      <c r="F740" s="23">
        <f>IF($B740="","",SUMIF(CalcPartyB,$B740,CalcWitB))</f>
        <v/>
      </c>
      <c r="G740" s="23">
        <f>IF($B740="","",SUMIF(CalcPartyB,$B740,CalcDepB))</f>
        <v/>
      </c>
      <c r="H740" s="24">
        <f>IF($B740="","",$E740-$F740+$G740)</f>
        <v/>
      </c>
      <c r="I740" s="22">
        <f>IF($B740="","",IF(ROUND($H740,0)&gt;0,"● بستانکار",IF(ROUND($H740,0)&lt;0,"● بدهکار","تسویه")))</f>
        <v/>
      </c>
    </row>
    <row r="741">
      <c r="A741" s="26">
        <f>IF($B741="","",732)</f>
        <v/>
      </c>
      <c r="B741" s="33">
        <f>IF(732&gt;NBskParty,"",INDEX(PkBskParty,732))</f>
        <v/>
      </c>
      <c r="C741" s="30">
        <f>IF($B741="","",IFERROR(IF(VLOOKUP($B741,AcctTbl,4,0)="","(بدون نام)",VLOOKUP($B741,AcctTbl,4,0)),"—"))</f>
        <v/>
      </c>
      <c r="D741" s="28">
        <f>IF($B741="","",SUMIF(CalcPartyA,$B741,CalcQtyA))</f>
        <v/>
      </c>
      <c r="E741" s="28">
        <f>IF($B741="","",SUMIF(CalcPartyA,$B741,CalcAmtA))</f>
        <v/>
      </c>
      <c r="F741" s="28">
        <f>IF($B741="","",SUMIF(CalcPartyB,$B741,CalcWitB))</f>
        <v/>
      </c>
      <c r="G741" s="28">
        <f>IF($B741="","",SUMIF(CalcPartyB,$B741,CalcDepB))</f>
        <v/>
      </c>
      <c r="H741" s="29">
        <f>IF($B741="","",$E741-$F741+$G741)</f>
        <v/>
      </c>
      <c r="I741" s="27">
        <f>IF($B741="","",IF(ROUND($H741,0)&gt;0,"● بستانکار",IF(ROUND($H741,0)&lt;0,"● بدهکار","تسویه")))</f>
        <v/>
      </c>
    </row>
    <row r="742">
      <c r="A742" s="21">
        <f>IF($B742="","",733)</f>
        <v/>
      </c>
      <c r="B742" s="32">
        <f>IF(733&gt;NBskParty,"",INDEX(PkBskParty,733))</f>
        <v/>
      </c>
      <c r="C742" s="25">
        <f>IF($B742="","",IFERROR(IF(VLOOKUP($B742,AcctTbl,4,0)="","(بدون نام)",VLOOKUP($B742,AcctTbl,4,0)),"—"))</f>
        <v/>
      </c>
      <c r="D742" s="23">
        <f>IF($B742="","",SUMIF(CalcPartyA,$B742,CalcQtyA))</f>
        <v/>
      </c>
      <c r="E742" s="23">
        <f>IF($B742="","",SUMIF(CalcPartyA,$B742,CalcAmtA))</f>
        <v/>
      </c>
      <c r="F742" s="23">
        <f>IF($B742="","",SUMIF(CalcPartyB,$B742,CalcWitB))</f>
        <v/>
      </c>
      <c r="G742" s="23">
        <f>IF($B742="","",SUMIF(CalcPartyB,$B742,CalcDepB))</f>
        <v/>
      </c>
      <c r="H742" s="24">
        <f>IF($B742="","",$E742-$F742+$G742)</f>
        <v/>
      </c>
      <c r="I742" s="22">
        <f>IF($B742="","",IF(ROUND($H742,0)&gt;0,"● بستانکار",IF(ROUND($H742,0)&lt;0,"● بدهکار","تسویه")))</f>
        <v/>
      </c>
    </row>
    <row r="743">
      <c r="A743" s="26">
        <f>IF($B743="","",734)</f>
        <v/>
      </c>
      <c r="B743" s="33">
        <f>IF(734&gt;NBskParty,"",INDEX(PkBskParty,734))</f>
        <v/>
      </c>
      <c r="C743" s="30">
        <f>IF($B743="","",IFERROR(IF(VLOOKUP($B743,AcctTbl,4,0)="","(بدون نام)",VLOOKUP($B743,AcctTbl,4,0)),"—"))</f>
        <v/>
      </c>
      <c r="D743" s="28">
        <f>IF($B743="","",SUMIF(CalcPartyA,$B743,CalcQtyA))</f>
        <v/>
      </c>
      <c r="E743" s="28">
        <f>IF($B743="","",SUMIF(CalcPartyA,$B743,CalcAmtA))</f>
        <v/>
      </c>
      <c r="F743" s="28">
        <f>IF($B743="","",SUMIF(CalcPartyB,$B743,CalcWitB))</f>
        <v/>
      </c>
      <c r="G743" s="28">
        <f>IF($B743="","",SUMIF(CalcPartyB,$B743,CalcDepB))</f>
        <v/>
      </c>
      <c r="H743" s="29">
        <f>IF($B743="","",$E743-$F743+$G743)</f>
        <v/>
      </c>
      <c r="I743" s="27">
        <f>IF($B743="","",IF(ROUND($H743,0)&gt;0,"● بستانکار",IF(ROUND($H743,0)&lt;0,"● بدهکار","تسویه")))</f>
        <v/>
      </c>
    </row>
    <row r="744">
      <c r="A744" s="21">
        <f>IF($B744="","",735)</f>
        <v/>
      </c>
      <c r="B744" s="32">
        <f>IF(735&gt;NBskParty,"",INDEX(PkBskParty,735))</f>
        <v/>
      </c>
      <c r="C744" s="25">
        <f>IF($B744="","",IFERROR(IF(VLOOKUP($B744,AcctTbl,4,0)="","(بدون نام)",VLOOKUP($B744,AcctTbl,4,0)),"—"))</f>
        <v/>
      </c>
      <c r="D744" s="23">
        <f>IF($B744="","",SUMIF(CalcPartyA,$B744,CalcQtyA))</f>
        <v/>
      </c>
      <c r="E744" s="23">
        <f>IF($B744="","",SUMIF(CalcPartyA,$B744,CalcAmtA))</f>
        <v/>
      </c>
      <c r="F744" s="23">
        <f>IF($B744="","",SUMIF(CalcPartyB,$B744,CalcWitB))</f>
        <v/>
      </c>
      <c r="G744" s="23">
        <f>IF($B744="","",SUMIF(CalcPartyB,$B744,CalcDepB))</f>
        <v/>
      </c>
      <c r="H744" s="24">
        <f>IF($B744="","",$E744-$F744+$G744)</f>
        <v/>
      </c>
      <c r="I744" s="22">
        <f>IF($B744="","",IF(ROUND($H744,0)&gt;0,"● بستانکار",IF(ROUND($H744,0)&lt;0,"● بدهکار","تسویه")))</f>
        <v/>
      </c>
    </row>
    <row r="745">
      <c r="A745" s="26">
        <f>IF($B745="","",736)</f>
        <v/>
      </c>
      <c r="B745" s="33">
        <f>IF(736&gt;NBskParty,"",INDEX(PkBskParty,736))</f>
        <v/>
      </c>
      <c r="C745" s="30">
        <f>IF($B745="","",IFERROR(IF(VLOOKUP($B745,AcctTbl,4,0)="","(بدون نام)",VLOOKUP($B745,AcctTbl,4,0)),"—"))</f>
        <v/>
      </c>
      <c r="D745" s="28">
        <f>IF($B745="","",SUMIF(CalcPartyA,$B745,CalcQtyA))</f>
        <v/>
      </c>
      <c r="E745" s="28">
        <f>IF($B745="","",SUMIF(CalcPartyA,$B745,CalcAmtA))</f>
        <v/>
      </c>
      <c r="F745" s="28">
        <f>IF($B745="","",SUMIF(CalcPartyB,$B745,CalcWitB))</f>
        <v/>
      </c>
      <c r="G745" s="28">
        <f>IF($B745="","",SUMIF(CalcPartyB,$B745,CalcDepB))</f>
        <v/>
      </c>
      <c r="H745" s="29">
        <f>IF($B745="","",$E745-$F745+$G745)</f>
        <v/>
      </c>
      <c r="I745" s="27">
        <f>IF($B745="","",IF(ROUND($H745,0)&gt;0,"● بستانکار",IF(ROUND($H745,0)&lt;0,"● بدهکار","تسویه")))</f>
        <v/>
      </c>
    </row>
    <row r="746">
      <c r="A746" s="21">
        <f>IF($B746="","",737)</f>
        <v/>
      </c>
      <c r="B746" s="32">
        <f>IF(737&gt;NBskParty,"",INDEX(PkBskParty,737))</f>
        <v/>
      </c>
      <c r="C746" s="25">
        <f>IF($B746="","",IFERROR(IF(VLOOKUP($B746,AcctTbl,4,0)="","(بدون نام)",VLOOKUP($B746,AcctTbl,4,0)),"—"))</f>
        <v/>
      </c>
      <c r="D746" s="23">
        <f>IF($B746="","",SUMIF(CalcPartyA,$B746,CalcQtyA))</f>
        <v/>
      </c>
      <c r="E746" s="23">
        <f>IF($B746="","",SUMIF(CalcPartyA,$B746,CalcAmtA))</f>
        <v/>
      </c>
      <c r="F746" s="23">
        <f>IF($B746="","",SUMIF(CalcPartyB,$B746,CalcWitB))</f>
        <v/>
      </c>
      <c r="G746" s="23">
        <f>IF($B746="","",SUMIF(CalcPartyB,$B746,CalcDepB))</f>
        <v/>
      </c>
      <c r="H746" s="24">
        <f>IF($B746="","",$E746-$F746+$G746)</f>
        <v/>
      </c>
      <c r="I746" s="22">
        <f>IF($B746="","",IF(ROUND($H746,0)&gt;0,"● بستانکار",IF(ROUND($H746,0)&lt;0,"● بدهکار","تسویه")))</f>
        <v/>
      </c>
    </row>
    <row r="747">
      <c r="A747" s="26">
        <f>IF($B747="","",738)</f>
        <v/>
      </c>
      <c r="B747" s="33">
        <f>IF(738&gt;NBskParty,"",INDEX(PkBskParty,738))</f>
        <v/>
      </c>
      <c r="C747" s="30">
        <f>IF($B747="","",IFERROR(IF(VLOOKUP($B747,AcctTbl,4,0)="","(بدون نام)",VLOOKUP($B747,AcctTbl,4,0)),"—"))</f>
        <v/>
      </c>
      <c r="D747" s="28">
        <f>IF($B747="","",SUMIF(CalcPartyA,$B747,CalcQtyA))</f>
        <v/>
      </c>
      <c r="E747" s="28">
        <f>IF($B747="","",SUMIF(CalcPartyA,$B747,CalcAmtA))</f>
        <v/>
      </c>
      <c r="F747" s="28">
        <f>IF($B747="","",SUMIF(CalcPartyB,$B747,CalcWitB))</f>
        <v/>
      </c>
      <c r="G747" s="28">
        <f>IF($B747="","",SUMIF(CalcPartyB,$B747,CalcDepB))</f>
        <v/>
      </c>
      <c r="H747" s="29">
        <f>IF($B747="","",$E747-$F747+$G747)</f>
        <v/>
      </c>
      <c r="I747" s="27">
        <f>IF($B747="","",IF(ROUND($H747,0)&gt;0,"● بستانکار",IF(ROUND($H747,0)&lt;0,"● بدهکار","تسویه")))</f>
        <v/>
      </c>
    </row>
    <row r="748">
      <c r="A748" s="21">
        <f>IF($B748="","",739)</f>
        <v/>
      </c>
      <c r="B748" s="32">
        <f>IF(739&gt;NBskParty,"",INDEX(PkBskParty,739))</f>
        <v/>
      </c>
      <c r="C748" s="25">
        <f>IF($B748="","",IFERROR(IF(VLOOKUP($B748,AcctTbl,4,0)="","(بدون نام)",VLOOKUP($B748,AcctTbl,4,0)),"—"))</f>
        <v/>
      </c>
      <c r="D748" s="23">
        <f>IF($B748="","",SUMIF(CalcPartyA,$B748,CalcQtyA))</f>
        <v/>
      </c>
      <c r="E748" s="23">
        <f>IF($B748="","",SUMIF(CalcPartyA,$B748,CalcAmtA))</f>
        <v/>
      </c>
      <c r="F748" s="23">
        <f>IF($B748="","",SUMIF(CalcPartyB,$B748,CalcWitB))</f>
        <v/>
      </c>
      <c r="G748" s="23">
        <f>IF($B748="","",SUMIF(CalcPartyB,$B748,CalcDepB))</f>
        <v/>
      </c>
      <c r="H748" s="24">
        <f>IF($B748="","",$E748-$F748+$G748)</f>
        <v/>
      </c>
      <c r="I748" s="22">
        <f>IF($B748="","",IF(ROUND($H748,0)&gt;0,"● بستانکار",IF(ROUND($H748,0)&lt;0,"● بدهکار","تسویه")))</f>
        <v/>
      </c>
    </row>
    <row r="749">
      <c r="A749" s="26">
        <f>IF($B749="","",740)</f>
        <v/>
      </c>
      <c r="B749" s="33">
        <f>IF(740&gt;NBskParty,"",INDEX(PkBskParty,740))</f>
        <v/>
      </c>
      <c r="C749" s="30">
        <f>IF($B749="","",IFERROR(IF(VLOOKUP($B749,AcctTbl,4,0)="","(بدون نام)",VLOOKUP($B749,AcctTbl,4,0)),"—"))</f>
        <v/>
      </c>
      <c r="D749" s="28">
        <f>IF($B749="","",SUMIF(CalcPartyA,$B749,CalcQtyA))</f>
        <v/>
      </c>
      <c r="E749" s="28">
        <f>IF($B749="","",SUMIF(CalcPartyA,$B749,CalcAmtA))</f>
        <v/>
      </c>
      <c r="F749" s="28">
        <f>IF($B749="","",SUMIF(CalcPartyB,$B749,CalcWitB))</f>
        <v/>
      </c>
      <c r="G749" s="28">
        <f>IF($B749="","",SUMIF(CalcPartyB,$B749,CalcDepB))</f>
        <v/>
      </c>
      <c r="H749" s="29">
        <f>IF($B749="","",$E749-$F749+$G749)</f>
        <v/>
      </c>
      <c r="I749" s="27">
        <f>IF($B749="","",IF(ROUND($H749,0)&gt;0,"● بستانکار",IF(ROUND($H749,0)&lt;0,"● بدهکار","تسویه")))</f>
        <v/>
      </c>
    </row>
    <row r="750">
      <c r="A750" s="21">
        <f>IF($B750="","",741)</f>
        <v/>
      </c>
      <c r="B750" s="32">
        <f>IF(741&gt;NBskParty,"",INDEX(PkBskParty,741))</f>
        <v/>
      </c>
      <c r="C750" s="25">
        <f>IF($B750="","",IFERROR(IF(VLOOKUP($B750,AcctTbl,4,0)="","(بدون نام)",VLOOKUP($B750,AcctTbl,4,0)),"—"))</f>
        <v/>
      </c>
      <c r="D750" s="23">
        <f>IF($B750="","",SUMIF(CalcPartyA,$B750,CalcQtyA))</f>
        <v/>
      </c>
      <c r="E750" s="23">
        <f>IF($B750="","",SUMIF(CalcPartyA,$B750,CalcAmtA))</f>
        <v/>
      </c>
      <c r="F750" s="23">
        <f>IF($B750="","",SUMIF(CalcPartyB,$B750,CalcWitB))</f>
        <v/>
      </c>
      <c r="G750" s="23">
        <f>IF($B750="","",SUMIF(CalcPartyB,$B750,CalcDepB))</f>
        <v/>
      </c>
      <c r="H750" s="24">
        <f>IF($B750="","",$E750-$F750+$G750)</f>
        <v/>
      </c>
      <c r="I750" s="22">
        <f>IF($B750="","",IF(ROUND($H750,0)&gt;0,"● بستانکار",IF(ROUND($H750,0)&lt;0,"● بدهکار","تسویه")))</f>
        <v/>
      </c>
    </row>
    <row r="751">
      <c r="A751" s="26">
        <f>IF($B751="","",742)</f>
        <v/>
      </c>
      <c r="B751" s="33">
        <f>IF(742&gt;NBskParty,"",INDEX(PkBskParty,742))</f>
        <v/>
      </c>
      <c r="C751" s="30">
        <f>IF($B751="","",IFERROR(IF(VLOOKUP($B751,AcctTbl,4,0)="","(بدون نام)",VLOOKUP($B751,AcctTbl,4,0)),"—"))</f>
        <v/>
      </c>
      <c r="D751" s="28">
        <f>IF($B751="","",SUMIF(CalcPartyA,$B751,CalcQtyA))</f>
        <v/>
      </c>
      <c r="E751" s="28">
        <f>IF($B751="","",SUMIF(CalcPartyA,$B751,CalcAmtA))</f>
        <v/>
      </c>
      <c r="F751" s="28">
        <f>IF($B751="","",SUMIF(CalcPartyB,$B751,CalcWitB))</f>
        <v/>
      </c>
      <c r="G751" s="28">
        <f>IF($B751="","",SUMIF(CalcPartyB,$B751,CalcDepB))</f>
        <v/>
      </c>
      <c r="H751" s="29">
        <f>IF($B751="","",$E751-$F751+$G751)</f>
        <v/>
      </c>
      <c r="I751" s="27">
        <f>IF($B751="","",IF(ROUND($H751,0)&gt;0,"● بستانکار",IF(ROUND($H751,0)&lt;0,"● بدهکار","تسویه")))</f>
        <v/>
      </c>
    </row>
    <row r="752">
      <c r="A752" s="21">
        <f>IF($B752="","",743)</f>
        <v/>
      </c>
      <c r="B752" s="32">
        <f>IF(743&gt;NBskParty,"",INDEX(PkBskParty,743))</f>
        <v/>
      </c>
      <c r="C752" s="25">
        <f>IF($B752="","",IFERROR(IF(VLOOKUP($B752,AcctTbl,4,0)="","(بدون نام)",VLOOKUP($B752,AcctTbl,4,0)),"—"))</f>
        <v/>
      </c>
      <c r="D752" s="23">
        <f>IF($B752="","",SUMIF(CalcPartyA,$B752,CalcQtyA))</f>
        <v/>
      </c>
      <c r="E752" s="23">
        <f>IF($B752="","",SUMIF(CalcPartyA,$B752,CalcAmtA))</f>
        <v/>
      </c>
      <c r="F752" s="23">
        <f>IF($B752="","",SUMIF(CalcPartyB,$B752,CalcWitB))</f>
        <v/>
      </c>
      <c r="G752" s="23">
        <f>IF($B752="","",SUMIF(CalcPartyB,$B752,CalcDepB))</f>
        <v/>
      </c>
      <c r="H752" s="24">
        <f>IF($B752="","",$E752-$F752+$G752)</f>
        <v/>
      </c>
      <c r="I752" s="22">
        <f>IF($B752="","",IF(ROUND($H752,0)&gt;0,"● بستانکار",IF(ROUND($H752,0)&lt;0,"● بدهکار","تسویه")))</f>
        <v/>
      </c>
    </row>
    <row r="753">
      <c r="A753" s="26">
        <f>IF($B753="","",744)</f>
        <v/>
      </c>
      <c r="B753" s="33">
        <f>IF(744&gt;NBskParty,"",INDEX(PkBskParty,744))</f>
        <v/>
      </c>
      <c r="C753" s="30">
        <f>IF($B753="","",IFERROR(IF(VLOOKUP($B753,AcctTbl,4,0)="","(بدون نام)",VLOOKUP($B753,AcctTbl,4,0)),"—"))</f>
        <v/>
      </c>
      <c r="D753" s="28">
        <f>IF($B753="","",SUMIF(CalcPartyA,$B753,CalcQtyA))</f>
        <v/>
      </c>
      <c r="E753" s="28">
        <f>IF($B753="","",SUMIF(CalcPartyA,$B753,CalcAmtA))</f>
        <v/>
      </c>
      <c r="F753" s="28">
        <f>IF($B753="","",SUMIF(CalcPartyB,$B753,CalcWitB))</f>
        <v/>
      </c>
      <c r="G753" s="28">
        <f>IF($B753="","",SUMIF(CalcPartyB,$B753,CalcDepB))</f>
        <v/>
      </c>
      <c r="H753" s="29">
        <f>IF($B753="","",$E753-$F753+$G753)</f>
        <v/>
      </c>
      <c r="I753" s="27">
        <f>IF($B753="","",IF(ROUND($H753,0)&gt;0,"● بستانکار",IF(ROUND($H753,0)&lt;0,"● بدهکار","تسویه")))</f>
        <v/>
      </c>
    </row>
    <row r="754">
      <c r="A754" s="21">
        <f>IF($B754="","",745)</f>
        <v/>
      </c>
      <c r="B754" s="32">
        <f>IF(745&gt;NBskParty,"",INDEX(PkBskParty,745))</f>
        <v/>
      </c>
      <c r="C754" s="25">
        <f>IF($B754="","",IFERROR(IF(VLOOKUP($B754,AcctTbl,4,0)="","(بدون نام)",VLOOKUP($B754,AcctTbl,4,0)),"—"))</f>
        <v/>
      </c>
      <c r="D754" s="23">
        <f>IF($B754="","",SUMIF(CalcPartyA,$B754,CalcQtyA))</f>
        <v/>
      </c>
      <c r="E754" s="23">
        <f>IF($B754="","",SUMIF(CalcPartyA,$B754,CalcAmtA))</f>
        <v/>
      </c>
      <c r="F754" s="23">
        <f>IF($B754="","",SUMIF(CalcPartyB,$B754,CalcWitB))</f>
        <v/>
      </c>
      <c r="G754" s="23">
        <f>IF($B754="","",SUMIF(CalcPartyB,$B754,CalcDepB))</f>
        <v/>
      </c>
      <c r="H754" s="24">
        <f>IF($B754="","",$E754-$F754+$G754)</f>
        <v/>
      </c>
      <c r="I754" s="22">
        <f>IF($B754="","",IF(ROUND($H754,0)&gt;0,"● بستانکار",IF(ROUND($H754,0)&lt;0,"● بدهکار","تسویه")))</f>
        <v/>
      </c>
    </row>
    <row r="755">
      <c r="A755" s="26">
        <f>IF($B755="","",746)</f>
        <v/>
      </c>
      <c r="B755" s="33">
        <f>IF(746&gt;NBskParty,"",INDEX(PkBskParty,746))</f>
        <v/>
      </c>
      <c r="C755" s="30">
        <f>IF($B755="","",IFERROR(IF(VLOOKUP($B755,AcctTbl,4,0)="","(بدون نام)",VLOOKUP($B755,AcctTbl,4,0)),"—"))</f>
        <v/>
      </c>
      <c r="D755" s="28">
        <f>IF($B755="","",SUMIF(CalcPartyA,$B755,CalcQtyA))</f>
        <v/>
      </c>
      <c r="E755" s="28">
        <f>IF($B755="","",SUMIF(CalcPartyA,$B755,CalcAmtA))</f>
        <v/>
      </c>
      <c r="F755" s="28">
        <f>IF($B755="","",SUMIF(CalcPartyB,$B755,CalcWitB))</f>
        <v/>
      </c>
      <c r="G755" s="28">
        <f>IF($B755="","",SUMIF(CalcPartyB,$B755,CalcDepB))</f>
        <v/>
      </c>
      <c r="H755" s="29">
        <f>IF($B755="","",$E755-$F755+$G755)</f>
        <v/>
      </c>
      <c r="I755" s="27">
        <f>IF($B755="","",IF(ROUND($H755,0)&gt;0,"● بستانکار",IF(ROUND($H755,0)&lt;0,"● بدهکار","تسویه")))</f>
        <v/>
      </c>
    </row>
    <row r="756">
      <c r="A756" s="21">
        <f>IF($B756="","",747)</f>
        <v/>
      </c>
      <c r="B756" s="32">
        <f>IF(747&gt;NBskParty,"",INDEX(PkBskParty,747))</f>
        <v/>
      </c>
      <c r="C756" s="25">
        <f>IF($B756="","",IFERROR(IF(VLOOKUP($B756,AcctTbl,4,0)="","(بدون نام)",VLOOKUP($B756,AcctTbl,4,0)),"—"))</f>
        <v/>
      </c>
      <c r="D756" s="23">
        <f>IF($B756="","",SUMIF(CalcPartyA,$B756,CalcQtyA))</f>
        <v/>
      </c>
      <c r="E756" s="23">
        <f>IF($B756="","",SUMIF(CalcPartyA,$B756,CalcAmtA))</f>
        <v/>
      </c>
      <c r="F756" s="23">
        <f>IF($B756="","",SUMIF(CalcPartyB,$B756,CalcWitB))</f>
        <v/>
      </c>
      <c r="G756" s="23">
        <f>IF($B756="","",SUMIF(CalcPartyB,$B756,CalcDepB))</f>
        <v/>
      </c>
      <c r="H756" s="24">
        <f>IF($B756="","",$E756-$F756+$G756)</f>
        <v/>
      </c>
      <c r="I756" s="22">
        <f>IF($B756="","",IF(ROUND($H756,0)&gt;0,"● بستانکار",IF(ROUND($H756,0)&lt;0,"● بدهکار","تسویه")))</f>
        <v/>
      </c>
    </row>
    <row r="757">
      <c r="A757" s="26">
        <f>IF($B757="","",748)</f>
        <v/>
      </c>
      <c r="B757" s="33">
        <f>IF(748&gt;NBskParty,"",INDEX(PkBskParty,748))</f>
        <v/>
      </c>
      <c r="C757" s="30">
        <f>IF($B757="","",IFERROR(IF(VLOOKUP($B757,AcctTbl,4,0)="","(بدون نام)",VLOOKUP($B757,AcctTbl,4,0)),"—"))</f>
        <v/>
      </c>
      <c r="D757" s="28">
        <f>IF($B757="","",SUMIF(CalcPartyA,$B757,CalcQtyA))</f>
        <v/>
      </c>
      <c r="E757" s="28">
        <f>IF($B757="","",SUMIF(CalcPartyA,$B757,CalcAmtA))</f>
        <v/>
      </c>
      <c r="F757" s="28">
        <f>IF($B757="","",SUMIF(CalcPartyB,$B757,CalcWitB))</f>
        <v/>
      </c>
      <c r="G757" s="28">
        <f>IF($B757="","",SUMIF(CalcPartyB,$B757,CalcDepB))</f>
        <v/>
      </c>
      <c r="H757" s="29">
        <f>IF($B757="","",$E757-$F757+$G757)</f>
        <v/>
      </c>
      <c r="I757" s="27">
        <f>IF($B757="","",IF(ROUND($H757,0)&gt;0,"● بستانکار",IF(ROUND($H757,0)&lt;0,"● بدهکار","تسویه")))</f>
        <v/>
      </c>
    </row>
    <row r="758">
      <c r="A758" s="21">
        <f>IF($B758="","",749)</f>
        <v/>
      </c>
      <c r="B758" s="32">
        <f>IF(749&gt;NBskParty,"",INDEX(PkBskParty,749))</f>
        <v/>
      </c>
      <c r="C758" s="25">
        <f>IF($B758="","",IFERROR(IF(VLOOKUP($B758,AcctTbl,4,0)="","(بدون نام)",VLOOKUP($B758,AcctTbl,4,0)),"—"))</f>
        <v/>
      </c>
      <c r="D758" s="23">
        <f>IF($B758="","",SUMIF(CalcPartyA,$B758,CalcQtyA))</f>
        <v/>
      </c>
      <c r="E758" s="23">
        <f>IF($B758="","",SUMIF(CalcPartyA,$B758,CalcAmtA))</f>
        <v/>
      </c>
      <c r="F758" s="23">
        <f>IF($B758="","",SUMIF(CalcPartyB,$B758,CalcWitB))</f>
        <v/>
      </c>
      <c r="G758" s="23">
        <f>IF($B758="","",SUMIF(CalcPartyB,$B758,CalcDepB))</f>
        <v/>
      </c>
      <c r="H758" s="24">
        <f>IF($B758="","",$E758-$F758+$G758)</f>
        <v/>
      </c>
      <c r="I758" s="22">
        <f>IF($B758="","",IF(ROUND($H758,0)&gt;0,"● بستانکار",IF(ROUND($H758,0)&lt;0,"● بدهکار","تسویه")))</f>
        <v/>
      </c>
    </row>
    <row r="759">
      <c r="A759" s="26">
        <f>IF($B759="","",750)</f>
        <v/>
      </c>
      <c r="B759" s="33">
        <f>IF(750&gt;NBskParty,"",INDEX(PkBskParty,750))</f>
        <v/>
      </c>
      <c r="C759" s="30">
        <f>IF($B759="","",IFERROR(IF(VLOOKUP($B759,AcctTbl,4,0)="","(بدون نام)",VLOOKUP($B759,AcctTbl,4,0)),"—"))</f>
        <v/>
      </c>
      <c r="D759" s="28">
        <f>IF($B759="","",SUMIF(CalcPartyA,$B759,CalcQtyA))</f>
        <v/>
      </c>
      <c r="E759" s="28">
        <f>IF($B759="","",SUMIF(CalcPartyA,$B759,CalcAmtA))</f>
        <v/>
      </c>
      <c r="F759" s="28">
        <f>IF($B759="","",SUMIF(CalcPartyB,$B759,CalcWitB))</f>
        <v/>
      </c>
      <c r="G759" s="28">
        <f>IF($B759="","",SUMIF(CalcPartyB,$B759,CalcDepB))</f>
        <v/>
      </c>
      <c r="H759" s="29">
        <f>IF($B759="","",$E759-$F759+$G759)</f>
        <v/>
      </c>
      <c r="I759" s="27">
        <f>IF($B759="","",IF(ROUND($H759,0)&gt;0,"● بستانکار",IF(ROUND($H759,0)&lt;0,"● بدهکار","تسویه")))</f>
        <v/>
      </c>
    </row>
    <row r="760">
      <c r="A760" s="21">
        <f>IF($B760="","",751)</f>
        <v/>
      </c>
      <c r="B760" s="32">
        <f>IF(751&gt;NBskParty,"",INDEX(PkBskParty,751))</f>
        <v/>
      </c>
      <c r="C760" s="25">
        <f>IF($B760="","",IFERROR(IF(VLOOKUP($B760,AcctTbl,4,0)="","(بدون نام)",VLOOKUP($B760,AcctTbl,4,0)),"—"))</f>
        <v/>
      </c>
      <c r="D760" s="23">
        <f>IF($B760="","",SUMIF(CalcPartyA,$B760,CalcQtyA))</f>
        <v/>
      </c>
      <c r="E760" s="23">
        <f>IF($B760="","",SUMIF(CalcPartyA,$B760,CalcAmtA))</f>
        <v/>
      </c>
      <c r="F760" s="23">
        <f>IF($B760="","",SUMIF(CalcPartyB,$B760,CalcWitB))</f>
        <v/>
      </c>
      <c r="G760" s="23">
        <f>IF($B760="","",SUMIF(CalcPartyB,$B760,CalcDepB))</f>
        <v/>
      </c>
      <c r="H760" s="24">
        <f>IF($B760="","",$E760-$F760+$G760)</f>
        <v/>
      </c>
      <c r="I760" s="22">
        <f>IF($B760="","",IF(ROUND($H760,0)&gt;0,"● بستانکار",IF(ROUND($H760,0)&lt;0,"● بدهکار","تسویه")))</f>
        <v/>
      </c>
    </row>
    <row r="761">
      <c r="A761" s="26">
        <f>IF($B761="","",752)</f>
        <v/>
      </c>
      <c r="B761" s="33">
        <f>IF(752&gt;NBskParty,"",INDEX(PkBskParty,752))</f>
        <v/>
      </c>
      <c r="C761" s="30">
        <f>IF($B761="","",IFERROR(IF(VLOOKUP($B761,AcctTbl,4,0)="","(بدون نام)",VLOOKUP($B761,AcctTbl,4,0)),"—"))</f>
        <v/>
      </c>
      <c r="D761" s="28">
        <f>IF($B761="","",SUMIF(CalcPartyA,$B761,CalcQtyA))</f>
        <v/>
      </c>
      <c r="E761" s="28">
        <f>IF($B761="","",SUMIF(CalcPartyA,$B761,CalcAmtA))</f>
        <v/>
      </c>
      <c r="F761" s="28">
        <f>IF($B761="","",SUMIF(CalcPartyB,$B761,CalcWitB))</f>
        <v/>
      </c>
      <c r="G761" s="28">
        <f>IF($B761="","",SUMIF(CalcPartyB,$B761,CalcDepB))</f>
        <v/>
      </c>
      <c r="H761" s="29">
        <f>IF($B761="","",$E761-$F761+$G761)</f>
        <v/>
      </c>
      <c r="I761" s="27">
        <f>IF($B761="","",IF(ROUND($H761,0)&gt;0,"● بستانکار",IF(ROUND($H761,0)&lt;0,"● بدهکار","تسویه")))</f>
        <v/>
      </c>
    </row>
    <row r="762">
      <c r="A762" s="21">
        <f>IF($B762="","",753)</f>
        <v/>
      </c>
      <c r="B762" s="32">
        <f>IF(753&gt;NBskParty,"",INDEX(PkBskParty,753))</f>
        <v/>
      </c>
      <c r="C762" s="25">
        <f>IF($B762="","",IFERROR(IF(VLOOKUP($B762,AcctTbl,4,0)="","(بدون نام)",VLOOKUP($B762,AcctTbl,4,0)),"—"))</f>
        <v/>
      </c>
      <c r="D762" s="23">
        <f>IF($B762="","",SUMIF(CalcPartyA,$B762,CalcQtyA))</f>
        <v/>
      </c>
      <c r="E762" s="23">
        <f>IF($B762="","",SUMIF(CalcPartyA,$B762,CalcAmtA))</f>
        <v/>
      </c>
      <c r="F762" s="23">
        <f>IF($B762="","",SUMIF(CalcPartyB,$B762,CalcWitB))</f>
        <v/>
      </c>
      <c r="G762" s="23">
        <f>IF($B762="","",SUMIF(CalcPartyB,$B762,CalcDepB))</f>
        <v/>
      </c>
      <c r="H762" s="24">
        <f>IF($B762="","",$E762-$F762+$G762)</f>
        <v/>
      </c>
      <c r="I762" s="22">
        <f>IF($B762="","",IF(ROUND($H762,0)&gt;0,"● بستانکار",IF(ROUND($H762,0)&lt;0,"● بدهکار","تسویه")))</f>
        <v/>
      </c>
    </row>
    <row r="763">
      <c r="A763" s="26">
        <f>IF($B763="","",754)</f>
        <v/>
      </c>
      <c r="B763" s="33">
        <f>IF(754&gt;NBskParty,"",INDEX(PkBskParty,754))</f>
        <v/>
      </c>
      <c r="C763" s="30">
        <f>IF($B763="","",IFERROR(IF(VLOOKUP($B763,AcctTbl,4,0)="","(بدون نام)",VLOOKUP($B763,AcctTbl,4,0)),"—"))</f>
        <v/>
      </c>
      <c r="D763" s="28">
        <f>IF($B763="","",SUMIF(CalcPartyA,$B763,CalcQtyA))</f>
        <v/>
      </c>
      <c r="E763" s="28">
        <f>IF($B763="","",SUMIF(CalcPartyA,$B763,CalcAmtA))</f>
        <v/>
      </c>
      <c r="F763" s="28">
        <f>IF($B763="","",SUMIF(CalcPartyB,$B763,CalcWitB))</f>
        <v/>
      </c>
      <c r="G763" s="28">
        <f>IF($B763="","",SUMIF(CalcPartyB,$B763,CalcDepB))</f>
        <v/>
      </c>
      <c r="H763" s="29">
        <f>IF($B763="","",$E763-$F763+$G763)</f>
        <v/>
      </c>
      <c r="I763" s="27">
        <f>IF($B763="","",IF(ROUND($H763,0)&gt;0,"● بستانکار",IF(ROUND($H763,0)&lt;0,"● بدهکار","تسویه")))</f>
        <v/>
      </c>
    </row>
    <row r="764">
      <c r="A764" s="21">
        <f>IF($B764="","",755)</f>
        <v/>
      </c>
      <c r="B764" s="32">
        <f>IF(755&gt;NBskParty,"",INDEX(PkBskParty,755))</f>
        <v/>
      </c>
      <c r="C764" s="25">
        <f>IF($B764="","",IFERROR(IF(VLOOKUP($B764,AcctTbl,4,0)="","(بدون نام)",VLOOKUP($B764,AcctTbl,4,0)),"—"))</f>
        <v/>
      </c>
      <c r="D764" s="23">
        <f>IF($B764="","",SUMIF(CalcPartyA,$B764,CalcQtyA))</f>
        <v/>
      </c>
      <c r="E764" s="23">
        <f>IF($B764="","",SUMIF(CalcPartyA,$B764,CalcAmtA))</f>
        <v/>
      </c>
      <c r="F764" s="23">
        <f>IF($B764="","",SUMIF(CalcPartyB,$B764,CalcWitB))</f>
        <v/>
      </c>
      <c r="G764" s="23">
        <f>IF($B764="","",SUMIF(CalcPartyB,$B764,CalcDepB))</f>
        <v/>
      </c>
      <c r="H764" s="24">
        <f>IF($B764="","",$E764-$F764+$G764)</f>
        <v/>
      </c>
      <c r="I764" s="22">
        <f>IF($B764="","",IF(ROUND($H764,0)&gt;0,"● بستانکار",IF(ROUND($H764,0)&lt;0,"● بدهکار","تسویه")))</f>
        <v/>
      </c>
    </row>
    <row r="765">
      <c r="A765" s="26">
        <f>IF($B765="","",756)</f>
        <v/>
      </c>
      <c r="B765" s="33">
        <f>IF(756&gt;NBskParty,"",INDEX(PkBskParty,756))</f>
        <v/>
      </c>
      <c r="C765" s="30">
        <f>IF($B765="","",IFERROR(IF(VLOOKUP($B765,AcctTbl,4,0)="","(بدون نام)",VLOOKUP($B765,AcctTbl,4,0)),"—"))</f>
        <v/>
      </c>
      <c r="D765" s="28">
        <f>IF($B765="","",SUMIF(CalcPartyA,$B765,CalcQtyA))</f>
        <v/>
      </c>
      <c r="E765" s="28">
        <f>IF($B765="","",SUMIF(CalcPartyA,$B765,CalcAmtA))</f>
        <v/>
      </c>
      <c r="F765" s="28">
        <f>IF($B765="","",SUMIF(CalcPartyB,$B765,CalcWitB))</f>
        <v/>
      </c>
      <c r="G765" s="28">
        <f>IF($B765="","",SUMIF(CalcPartyB,$B765,CalcDepB))</f>
        <v/>
      </c>
      <c r="H765" s="29">
        <f>IF($B765="","",$E765-$F765+$G765)</f>
        <v/>
      </c>
      <c r="I765" s="27">
        <f>IF($B765="","",IF(ROUND($H765,0)&gt;0,"● بستانکار",IF(ROUND($H765,0)&lt;0,"● بدهکار","تسویه")))</f>
        <v/>
      </c>
    </row>
    <row r="766">
      <c r="A766" s="21">
        <f>IF($B766="","",757)</f>
        <v/>
      </c>
      <c r="B766" s="32">
        <f>IF(757&gt;NBskParty,"",INDEX(PkBskParty,757))</f>
        <v/>
      </c>
      <c r="C766" s="25">
        <f>IF($B766="","",IFERROR(IF(VLOOKUP($B766,AcctTbl,4,0)="","(بدون نام)",VLOOKUP($B766,AcctTbl,4,0)),"—"))</f>
        <v/>
      </c>
      <c r="D766" s="23">
        <f>IF($B766="","",SUMIF(CalcPartyA,$B766,CalcQtyA))</f>
        <v/>
      </c>
      <c r="E766" s="23">
        <f>IF($B766="","",SUMIF(CalcPartyA,$B766,CalcAmtA))</f>
        <v/>
      </c>
      <c r="F766" s="23">
        <f>IF($B766="","",SUMIF(CalcPartyB,$B766,CalcWitB))</f>
        <v/>
      </c>
      <c r="G766" s="23">
        <f>IF($B766="","",SUMIF(CalcPartyB,$B766,CalcDepB))</f>
        <v/>
      </c>
      <c r="H766" s="24">
        <f>IF($B766="","",$E766-$F766+$G766)</f>
        <v/>
      </c>
      <c r="I766" s="22">
        <f>IF($B766="","",IF(ROUND($H766,0)&gt;0,"● بستانکار",IF(ROUND($H766,0)&lt;0,"● بدهکار","تسویه")))</f>
        <v/>
      </c>
    </row>
    <row r="767">
      <c r="A767" s="26">
        <f>IF($B767="","",758)</f>
        <v/>
      </c>
      <c r="B767" s="33">
        <f>IF(758&gt;NBskParty,"",INDEX(PkBskParty,758))</f>
        <v/>
      </c>
      <c r="C767" s="30">
        <f>IF($B767="","",IFERROR(IF(VLOOKUP($B767,AcctTbl,4,0)="","(بدون نام)",VLOOKUP($B767,AcctTbl,4,0)),"—"))</f>
        <v/>
      </c>
      <c r="D767" s="28">
        <f>IF($B767="","",SUMIF(CalcPartyA,$B767,CalcQtyA))</f>
        <v/>
      </c>
      <c r="E767" s="28">
        <f>IF($B767="","",SUMIF(CalcPartyA,$B767,CalcAmtA))</f>
        <v/>
      </c>
      <c r="F767" s="28">
        <f>IF($B767="","",SUMIF(CalcPartyB,$B767,CalcWitB))</f>
        <v/>
      </c>
      <c r="G767" s="28">
        <f>IF($B767="","",SUMIF(CalcPartyB,$B767,CalcDepB))</f>
        <v/>
      </c>
      <c r="H767" s="29">
        <f>IF($B767="","",$E767-$F767+$G767)</f>
        <v/>
      </c>
      <c r="I767" s="27">
        <f>IF($B767="","",IF(ROUND($H767,0)&gt;0,"● بستانکار",IF(ROUND($H767,0)&lt;0,"● بدهکار","تسویه")))</f>
        <v/>
      </c>
    </row>
    <row r="768">
      <c r="A768" s="21">
        <f>IF($B768="","",759)</f>
        <v/>
      </c>
      <c r="B768" s="32">
        <f>IF(759&gt;NBskParty,"",INDEX(PkBskParty,759))</f>
        <v/>
      </c>
      <c r="C768" s="25">
        <f>IF($B768="","",IFERROR(IF(VLOOKUP($B768,AcctTbl,4,0)="","(بدون نام)",VLOOKUP($B768,AcctTbl,4,0)),"—"))</f>
        <v/>
      </c>
      <c r="D768" s="23">
        <f>IF($B768="","",SUMIF(CalcPartyA,$B768,CalcQtyA))</f>
        <v/>
      </c>
      <c r="E768" s="23">
        <f>IF($B768="","",SUMIF(CalcPartyA,$B768,CalcAmtA))</f>
        <v/>
      </c>
      <c r="F768" s="23">
        <f>IF($B768="","",SUMIF(CalcPartyB,$B768,CalcWitB))</f>
        <v/>
      </c>
      <c r="G768" s="23">
        <f>IF($B768="","",SUMIF(CalcPartyB,$B768,CalcDepB))</f>
        <v/>
      </c>
      <c r="H768" s="24">
        <f>IF($B768="","",$E768-$F768+$G768)</f>
        <v/>
      </c>
      <c r="I768" s="22">
        <f>IF($B768="","",IF(ROUND($H768,0)&gt;0,"● بستانکار",IF(ROUND($H768,0)&lt;0,"● بدهکار","تسویه")))</f>
        <v/>
      </c>
    </row>
    <row r="769">
      <c r="A769" s="26">
        <f>IF($B769="","",760)</f>
        <v/>
      </c>
      <c r="B769" s="33">
        <f>IF(760&gt;NBskParty,"",INDEX(PkBskParty,760))</f>
        <v/>
      </c>
      <c r="C769" s="30">
        <f>IF($B769="","",IFERROR(IF(VLOOKUP($B769,AcctTbl,4,0)="","(بدون نام)",VLOOKUP($B769,AcctTbl,4,0)),"—"))</f>
        <v/>
      </c>
      <c r="D769" s="28">
        <f>IF($B769="","",SUMIF(CalcPartyA,$B769,CalcQtyA))</f>
        <v/>
      </c>
      <c r="E769" s="28">
        <f>IF($B769="","",SUMIF(CalcPartyA,$B769,CalcAmtA))</f>
        <v/>
      </c>
      <c r="F769" s="28">
        <f>IF($B769="","",SUMIF(CalcPartyB,$B769,CalcWitB))</f>
        <v/>
      </c>
      <c r="G769" s="28">
        <f>IF($B769="","",SUMIF(CalcPartyB,$B769,CalcDepB))</f>
        <v/>
      </c>
      <c r="H769" s="29">
        <f>IF($B769="","",$E769-$F769+$G769)</f>
        <v/>
      </c>
      <c r="I769" s="27">
        <f>IF($B769="","",IF(ROUND($H769,0)&gt;0,"● بستانکار",IF(ROUND($H769,0)&lt;0,"● بدهکار","تسویه")))</f>
        <v/>
      </c>
    </row>
    <row r="770">
      <c r="A770" s="21">
        <f>IF($B770="","",761)</f>
        <v/>
      </c>
      <c r="B770" s="32">
        <f>IF(761&gt;NBskParty,"",INDEX(PkBskParty,761))</f>
        <v/>
      </c>
      <c r="C770" s="25">
        <f>IF($B770="","",IFERROR(IF(VLOOKUP($B770,AcctTbl,4,0)="","(بدون نام)",VLOOKUP($B770,AcctTbl,4,0)),"—"))</f>
        <v/>
      </c>
      <c r="D770" s="23">
        <f>IF($B770="","",SUMIF(CalcPartyA,$B770,CalcQtyA))</f>
        <v/>
      </c>
      <c r="E770" s="23">
        <f>IF($B770="","",SUMIF(CalcPartyA,$B770,CalcAmtA))</f>
        <v/>
      </c>
      <c r="F770" s="23">
        <f>IF($B770="","",SUMIF(CalcPartyB,$B770,CalcWitB))</f>
        <v/>
      </c>
      <c r="G770" s="23">
        <f>IF($B770="","",SUMIF(CalcPartyB,$B770,CalcDepB))</f>
        <v/>
      </c>
      <c r="H770" s="24">
        <f>IF($B770="","",$E770-$F770+$G770)</f>
        <v/>
      </c>
      <c r="I770" s="22">
        <f>IF($B770="","",IF(ROUND($H770,0)&gt;0,"● بستانکار",IF(ROUND($H770,0)&lt;0,"● بدهکار","تسویه")))</f>
        <v/>
      </c>
    </row>
    <row r="771">
      <c r="A771" s="26">
        <f>IF($B771="","",762)</f>
        <v/>
      </c>
      <c r="B771" s="33">
        <f>IF(762&gt;NBskParty,"",INDEX(PkBskParty,762))</f>
        <v/>
      </c>
      <c r="C771" s="30">
        <f>IF($B771="","",IFERROR(IF(VLOOKUP($B771,AcctTbl,4,0)="","(بدون نام)",VLOOKUP($B771,AcctTbl,4,0)),"—"))</f>
        <v/>
      </c>
      <c r="D771" s="28">
        <f>IF($B771="","",SUMIF(CalcPartyA,$B771,CalcQtyA))</f>
        <v/>
      </c>
      <c r="E771" s="28">
        <f>IF($B771="","",SUMIF(CalcPartyA,$B771,CalcAmtA))</f>
        <v/>
      </c>
      <c r="F771" s="28">
        <f>IF($B771="","",SUMIF(CalcPartyB,$B771,CalcWitB))</f>
        <v/>
      </c>
      <c r="G771" s="28">
        <f>IF($B771="","",SUMIF(CalcPartyB,$B771,CalcDepB))</f>
        <v/>
      </c>
      <c r="H771" s="29">
        <f>IF($B771="","",$E771-$F771+$G771)</f>
        <v/>
      </c>
      <c r="I771" s="27">
        <f>IF($B771="","",IF(ROUND($H771,0)&gt;0,"● بستانکار",IF(ROUND($H771,0)&lt;0,"● بدهکار","تسویه")))</f>
        <v/>
      </c>
    </row>
    <row r="772">
      <c r="A772" s="21">
        <f>IF($B772="","",763)</f>
        <v/>
      </c>
      <c r="B772" s="32">
        <f>IF(763&gt;NBskParty,"",INDEX(PkBskParty,763))</f>
        <v/>
      </c>
      <c r="C772" s="25">
        <f>IF($B772="","",IFERROR(IF(VLOOKUP($B772,AcctTbl,4,0)="","(بدون نام)",VLOOKUP($B772,AcctTbl,4,0)),"—"))</f>
        <v/>
      </c>
      <c r="D772" s="23">
        <f>IF($B772="","",SUMIF(CalcPartyA,$B772,CalcQtyA))</f>
        <v/>
      </c>
      <c r="E772" s="23">
        <f>IF($B772="","",SUMIF(CalcPartyA,$B772,CalcAmtA))</f>
        <v/>
      </c>
      <c r="F772" s="23">
        <f>IF($B772="","",SUMIF(CalcPartyB,$B772,CalcWitB))</f>
        <v/>
      </c>
      <c r="G772" s="23">
        <f>IF($B772="","",SUMIF(CalcPartyB,$B772,CalcDepB))</f>
        <v/>
      </c>
      <c r="H772" s="24">
        <f>IF($B772="","",$E772-$F772+$G772)</f>
        <v/>
      </c>
      <c r="I772" s="22">
        <f>IF($B772="","",IF(ROUND($H772,0)&gt;0,"● بستانکار",IF(ROUND($H772,0)&lt;0,"● بدهکار","تسویه")))</f>
        <v/>
      </c>
    </row>
    <row r="773">
      <c r="A773" s="26">
        <f>IF($B773="","",764)</f>
        <v/>
      </c>
      <c r="B773" s="33">
        <f>IF(764&gt;NBskParty,"",INDEX(PkBskParty,764))</f>
        <v/>
      </c>
      <c r="C773" s="30">
        <f>IF($B773="","",IFERROR(IF(VLOOKUP($B773,AcctTbl,4,0)="","(بدون نام)",VLOOKUP($B773,AcctTbl,4,0)),"—"))</f>
        <v/>
      </c>
      <c r="D773" s="28">
        <f>IF($B773="","",SUMIF(CalcPartyA,$B773,CalcQtyA))</f>
        <v/>
      </c>
      <c r="E773" s="28">
        <f>IF($B773="","",SUMIF(CalcPartyA,$B773,CalcAmtA))</f>
        <v/>
      </c>
      <c r="F773" s="28">
        <f>IF($B773="","",SUMIF(CalcPartyB,$B773,CalcWitB))</f>
        <v/>
      </c>
      <c r="G773" s="28">
        <f>IF($B773="","",SUMIF(CalcPartyB,$B773,CalcDepB))</f>
        <v/>
      </c>
      <c r="H773" s="29">
        <f>IF($B773="","",$E773-$F773+$G773)</f>
        <v/>
      </c>
      <c r="I773" s="27">
        <f>IF($B773="","",IF(ROUND($H773,0)&gt;0,"● بستانکار",IF(ROUND($H773,0)&lt;0,"● بدهکار","تسویه")))</f>
        <v/>
      </c>
    </row>
    <row r="774">
      <c r="A774" s="21">
        <f>IF($B774="","",765)</f>
        <v/>
      </c>
      <c r="B774" s="32">
        <f>IF(765&gt;NBskParty,"",INDEX(PkBskParty,765))</f>
        <v/>
      </c>
      <c r="C774" s="25">
        <f>IF($B774="","",IFERROR(IF(VLOOKUP($B774,AcctTbl,4,0)="","(بدون نام)",VLOOKUP($B774,AcctTbl,4,0)),"—"))</f>
        <v/>
      </c>
      <c r="D774" s="23">
        <f>IF($B774="","",SUMIF(CalcPartyA,$B774,CalcQtyA))</f>
        <v/>
      </c>
      <c r="E774" s="23">
        <f>IF($B774="","",SUMIF(CalcPartyA,$B774,CalcAmtA))</f>
        <v/>
      </c>
      <c r="F774" s="23">
        <f>IF($B774="","",SUMIF(CalcPartyB,$B774,CalcWitB))</f>
        <v/>
      </c>
      <c r="G774" s="23">
        <f>IF($B774="","",SUMIF(CalcPartyB,$B774,CalcDepB))</f>
        <v/>
      </c>
      <c r="H774" s="24">
        <f>IF($B774="","",$E774-$F774+$G774)</f>
        <v/>
      </c>
      <c r="I774" s="22">
        <f>IF($B774="","",IF(ROUND($H774,0)&gt;0,"● بستانکار",IF(ROUND($H774,0)&lt;0,"● بدهکار","تسویه")))</f>
        <v/>
      </c>
    </row>
    <row r="775">
      <c r="A775" s="26">
        <f>IF($B775="","",766)</f>
        <v/>
      </c>
      <c r="B775" s="33">
        <f>IF(766&gt;NBskParty,"",INDEX(PkBskParty,766))</f>
        <v/>
      </c>
      <c r="C775" s="30">
        <f>IF($B775="","",IFERROR(IF(VLOOKUP($B775,AcctTbl,4,0)="","(بدون نام)",VLOOKUP($B775,AcctTbl,4,0)),"—"))</f>
        <v/>
      </c>
      <c r="D775" s="28">
        <f>IF($B775="","",SUMIF(CalcPartyA,$B775,CalcQtyA))</f>
        <v/>
      </c>
      <c r="E775" s="28">
        <f>IF($B775="","",SUMIF(CalcPartyA,$B775,CalcAmtA))</f>
        <v/>
      </c>
      <c r="F775" s="28">
        <f>IF($B775="","",SUMIF(CalcPartyB,$B775,CalcWitB))</f>
        <v/>
      </c>
      <c r="G775" s="28">
        <f>IF($B775="","",SUMIF(CalcPartyB,$B775,CalcDepB))</f>
        <v/>
      </c>
      <c r="H775" s="29">
        <f>IF($B775="","",$E775-$F775+$G775)</f>
        <v/>
      </c>
      <c r="I775" s="27">
        <f>IF($B775="","",IF(ROUND($H775,0)&gt;0,"● بستانکار",IF(ROUND($H775,0)&lt;0,"● بدهکار","تسویه")))</f>
        <v/>
      </c>
    </row>
    <row r="776">
      <c r="A776" s="21">
        <f>IF($B776="","",767)</f>
        <v/>
      </c>
      <c r="B776" s="32">
        <f>IF(767&gt;NBskParty,"",INDEX(PkBskParty,767))</f>
        <v/>
      </c>
      <c r="C776" s="25">
        <f>IF($B776="","",IFERROR(IF(VLOOKUP($B776,AcctTbl,4,0)="","(بدون نام)",VLOOKUP($B776,AcctTbl,4,0)),"—"))</f>
        <v/>
      </c>
      <c r="D776" s="23">
        <f>IF($B776="","",SUMIF(CalcPartyA,$B776,CalcQtyA))</f>
        <v/>
      </c>
      <c r="E776" s="23">
        <f>IF($B776="","",SUMIF(CalcPartyA,$B776,CalcAmtA))</f>
        <v/>
      </c>
      <c r="F776" s="23">
        <f>IF($B776="","",SUMIF(CalcPartyB,$B776,CalcWitB))</f>
        <v/>
      </c>
      <c r="G776" s="23">
        <f>IF($B776="","",SUMIF(CalcPartyB,$B776,CalcDepB))</f>
        <v/>
      </c>
      <c r="H776" s="24">
        <f>IF($B776="","",$E776-$F776+$G776)</f>
        <v/>
      </c>
      <c r="I776" s="22">
        <f>IF($B776="","",IF(ROUND($H776,0)&gt;0,"● بستانکار",IF(ROUND($H776,0)&lt;0,"● بدهکار","تسویه")))</f>
        <v/>
      </c>
    </row>
    <row r="777">
      <c r="A777" s="26">
        <f>IF($B777="","",768)</f>
        <v/>
      </c>
      <c r="B777" s="33">
        <f>IF(768&gt;NBskParty,"",INDEX(PkBskParty,768))</f>
        <v/>
      </c>
      <c r="C777" s="30">
        <f>IF($B777="","",IFERROR(IF(VLOOKUP($B777,AcctTbl,4,0)="","(بدون نام)",VLOOKUP($B777,AcctTbl,4,0)),"—"))</f>
        <v/>
      </c>
      <c r="D777" s="28">
        <f>IF($B777="","",SUMIF(CalcPartyA,$B777,CalcQtyA))</f>
        <v/>
      </c>
      <c r="E777" s="28">
        <f>IF($B777="","",SUMIF(CalcPartyA,$B777,CalcAmtA))</f>
        <v/>
      </c>
      <c r="F777" s="28">
        <f>IF($B777="","",SUMIF(CalcPartyB,$B777,CalcWitB))</f>
        <v/>
      </c>
      <c r="G777" s="28">
        <f>IF($B777="","",SUMIF(CalcPartyB,$B777,CalcDepB))</f>
        <v/>
      </c>
      <c r="H777" s="29">
        <f>IF($B777="","",$E777-$F777+$G777)</f>
        <v/>
      </c>
      <c r="I777" s="27">
        <f>IF($B777="","",IF(ROUND($H777,0)&gt;0,"● بستانکار",IF(ROUND($H777,0)&lt;0,"● بدهکار","تسویه")))</f>
        <v/>
      </c>
    </row>
    <row r="778">
      <c r="A778" s="21">
        <f>IF($B778="","",769)</f>
        <v/>
      </c>
      <c r="B778" s="32">
        <f>IF(769&gt;NBskParty,"",INDEX(PkBskParty,769))</f>
        <v/>
      </c>
      <c r="C778" s="25">
        <f>IF($B778="","",IFERROR(IF(VLOOKUP($B778,AcctTbl,4,0)="","(بدون نام)",VLOOKUP($B778,AcctTbl,4,0)),"—"))</f>
        <v/>
      </c>
      <c r="D778" s="23">
        <f>IF($B778="","",SUMIF(CalcPartyA,$B778,CalcQtyA))</f>
        <v/>
      </c>
      <c r="E778" s="23">
        <f>IF($B778="","",SUMIF(CalcPartyA,$B778,CalcAmtA))</f>
        <v/>
      </c>
      <c r="F778" s="23">
        <f>IF($B778="","",SUMIF(CalcPartyB,$B778,CalcWitB))</f>
        <v/>
      </c>
      <c r="G778" s="23">
        <f>IF($B778="","",SUMIF(CalcPartyB,$B778,CalcDepB))</f>
        <v/>
      </c>
      <c r="H778" s="24">
        <f>IF($B778="","",$E778-$F778+$G778)</f>
        <v/>
      </c>
      <c r="I778" s="22">
        <f>IF($B778="","",IF(ROUND($H778,0)&gt;0,"● بستانکار",IF(ROUND($H778,0)&lt;0,"● بدهکار","تسویه")))</f>
        <v/>
      </c>
    </row>
    <row r="779">
      <c r="A779" s="26">
        <f>IF($B779="","",770)</f>
        <v/>
      </c>
      <c r="B779" s="33">
        <f>IF(770&gt;NBskParty,"",INDEX(PkBskParty,770))</f>
        <v/>
      </c>
      <c r="C779" s="30">
        <f>IF($B779="","",IFERROR(IF(VLOOKUP($B779,AcctTbl,4,0)="","(بدون نام)",VLOOKUP($B779,AcctTbl,4,0)),"—"))</f>
        <v/>
      </c>
      <c r="D779" s="28">
        <f>IF($B779="","",SUMIF(CalcPartyA,$B779,CalcQtyA))</f>
        <v/>
      </c>
      <c r="E779" s="28">
        <f>IF($B779="","",SUMIF(CalcPartyA,$B779,CalcAmtA))</f>
        <v/>
      </c>
      <c r="F779" s="28">
        <f>IF($B779="","",SUMIF(CalcPartyB,$B779,CalcWitB))</f>
        <v/>
      </c>
      <c r="G779" s="28">
        <f>IF($B779="","",SUMIF(CalcPartyB,$B779,CalcDepB))</f>
        <v/>
      </c>
      <c r="H779" s="29">
        <f>IF($B779="","",$E779-$F779+$G779)</f>
        <v/>
      </c>
      <c r="I779" s="27">
        <f>IF($B779="","",IF(ROUND($H779,0)&gt;0,"● بستانکار",IF(ROUND($H779,0)&lt;0,"● بدهکار","تسویه")))</f>
        <v/>
      </c>
    </row>
    <row r="780">
      <c r="A780" s="21">
        <f>IF($B780="","",771)</f>
        <v/>
      </c>
      <c r="B780" s="32">
        <f>IF(771&gt;NBskParty,"",INDEX(PkBskParty,771))</f>
        <v/>
      </c>
      <c r="C780" s="25">
        <f>IF($B780="","",IFERROR(IF(VLOOKUP($B780,AcctTbl,4,0)="","(بدون نام)",VLOOKUP($B780,AcctTbl,4,0)),"—"))</f>
        <v/>
      </c>
      <c r="D780" s="23">
        <f>IF($B780="","",SUMIF(CalcPartyA,$B780,CalcQtyA))</f>
        <v/>
      </c>
      <c r="E780" s="23">
        <f>IF($B780="","",SUMIF(CalcPartyA,$B780,CalcAmtA))</f>
        <v/>
      </c>
      <c r="F780" s="23">
        <f>IF($B780="","",SUMIF(CalcPartyB,$B780,CalcWitB))</f>
        <v/>
      </c>
      <c r="G780" s="23">
        <f>IF($B780="","",SUMIF(CalcPartyB,$B780,CalcDepB))</f>
        <v/>
      </c>
      <c r="H780" s="24">
        <f>IF($B780="","",$E780-$F780+$G780)</f>
        <v/>
      </c>
      <c r="I780" s="22">
        <f>IF($B780="","",IF(ROUND($H780,0)&gt;0,"● بستانکار",IF(ROUND($H780,0)&lt;0,"● بدهکار","تسویه")))</f>
        <v/>
      </c>
    </row>
    <row r="781">
      <c r="A781" s="26">
        <f>IF($B781="","",772)</f>
        <v/>
      </c>
      <c r="B781" s="33">
        <f>IF(772&gt;NBskParty,"",INDEX(PkBskParty,772))</f>
        <v/>
      </c>
      <c r="C781" s="30">
        <f>IF($B781="","",IFERROR(IF(VLOOKUP($B781,AcctTbl,4,0)="","(بدون نام)",VLOOKUP($B781,AcctTbl,4,0)),"—"))</f>
        <v/>
      </c>
      <c r="D781" s="28">
        <f>IF($B781="","",SUMIF(CalcPartyA,$B781,CalcQtyA))</f>
        <v/>
      </c>
      <c r="E781" s="28">
        <f>IF($B781="","",SUMIF(CalcPartyA,$B781,CalcAmtA))</f>
        <v/>
      </c>
      <c r="F781" s="28">
        <f>IF($B781="","",SUMIF(CalcPartyB,$B781,CalcWitB))</f>
        <v/>
      </c>
      <c r="G781" s="28">
        <f>IF($B781="","",SUMIF(CalcPartyB,$B781,CalcDepB))</f>
        <v/>
      </c>
      <c r="H781" s="29">
        <f>IF($B781="","",$E781-$F781+$G781)</f>
        <v/>
      </c>
      <c r="I781" s="27">
        <f>IF($B781="","",IF(ROUND($H781,0)&gt;0,"● بستانکار",IF(ROUND($H781,0)&lt;0,"● بدهکار","تسویه")))</f>
        <v/>
      </c>
    </row>
    <row r="782">
      <c r="A782" s="21">
        <f>IF($B782="","",773)</f>
        <v/>
      </c>
      <c r="B782" s="32">
        <f>IF(773&gt;NBskParty,"",INDEX(PkBskParty,773))</f>
        <v/>
      </c>
      <c r="C782" s="25">
        <f>IF($B782="","",IFERROR(IF(VLOOKUP($B782,AcctTbl,4,0)="","(بدون نام)",VLOOKUP($B782,AcctTbl,4,0)),"—"))</f>
        <v/>
      </c>
      <c r="D782" s="23">
        <f>IF($B782="","",SUMIF(CalcPartyA,$B782,CalcQtyA))</f>
        <v/>
      </c>
      <c r="E782" s="23">
        <f>IF($B782="","",SUMIF(CalcPartyA,$B782,CalcAmtA))</f>
        <v/>
      </c>
      <c r="F782" s="23">
        <f>IF($B782="","",SUMIF(CalcPartyB,$B782,CalcWitB))</f>
        <v/>
      </c>
      <c r="G782" s="23">
        <f>IF($B782="","",SUMIF(CalcPartyB,$B782,CalcDepB))</f>
        <v/>
      </c>
      <c r="H782" s="24">
        <f>IF($B782="","",$E782-$F782+$G782)</f>
        <v/>
      </c>
      <c r="I782" s="22">
        <f>IF($B782="","",IF(ROUND($H782,0)&gt;0,"● بستانکار",IF(ROUND($H782,0)&lt;0,"● بدهکار","تسویه")))</f>
        <v/>
      </c>
    </row>
    <row r="783">
      <c r="A783" s="26">
        <f>IF($B783="","",774)</f>
        <v/>
      </c>
      <c r="B783" s="33">
        <f>IF(774&gt;NBskParty,"",INDEX(PkBskParty,774))</f>
        <v/>
      </c>
      <c r="C783" s="30">
        <f>IF($B783="","",IFERROR(IF(VLOOKUP($B783,AcctTbl,4,0)="","(بدون نام)",VLOOKUP($B783,AcctTbl,4,0)),"—"))</f>
        <v/>
      </c>
      <c r="D783" s="28">
        <f>IF($B783="","",SUMIF(CalcPartyA,$B783,CalcQtyA))</f>
        <v/>
      </c>
      <c r="E783" s="28">
        <f>IF($B783="","",SUMIF(CalcPartyA,$B783,CalcAmtA))</f>
        <v/>
      </c>
      <c r="F783" s="28">
        <f>IF($B783="","",SUMIF(CalcPartyB,$B783,CalcWitB))</f>
        <v/>
      </c>
      <c r="G783" s="28">
        <f>IF($B783="","",SUMIF(CalcPartyB,$B783,CalcDepB))</f>
        <v/>
      </c>
      <c r="H783" s="29">
        <f>IF($B783="","",$E783-$F783+$G783)</f>
        <v/>
      </c>
      <c r="I783" s="27">
        <f>IF($B783="","",IF(ROUND($H783,0)&gt;0,"● بستانکار",IF(ROUND($H783,0)&lt;0,"● بدهکار","تسویه")))</f>
        <v/>
      </c>
    </row>
    <row r="784">
      <c r="A784" s="21">
        <f>IF($B784="","",775)</f>
        <v/>
      </c>
      <c r="B784" s="32">
        <f>IF(775&gt;NBskParty,"",INDEX(PkBskParty,775))</f>
        <v/>
      </c>
      <c r="C784" s="25">
        <f>IF($B784="","",IFERROR(IF(VLOOKUP($B784,AcctTbl,4,0)="","(بدون نام)",VLOOKUP($B784,AcctTbl,4,0)),"—"))</f>
        <v/>
      </c>
      <c r="D784" s="23">
        <f>IF($B784="","",SUMIF(CalcPartyA,$B784,CalcQtyA))</f>
        <v/>
      </c>
      <c r="E784" s="23">
        <f>IF($B784="","",SUMIF(CalcPartyA,$B784,CalcAmtA))</f>
        <v/>
      </c>
      <c r="F784" s="23">
        <f>IF($B784="","",SUMIF(CalcPartyB,$B784,CalcWitB))</f>
        <v/>
      </c>
      <c r="G784" s="23">
        <f>IF($B784="","",SUMIF(CalcPartyB,$B784,CalcDepB))</f>
        <v/>
      </c>
      <c r="H784" s="24">
        <f>IF($B784="","",$E784-$F784+$G784)</f>
        <v/>
      </c>
      <c r="I784" s="22">
        <f>IF($B784="","",IF(ROUND($H784,0)&gt;0,"● بستانکار",IF(ROUND($H784,0)&lt;0,"● بدهکار","تسویه")))</f>
        <v/>
      </c>
    </row>
    <row r="785">
      <c r="A785" s="26">
        <f>IF($B785="","",776)</f>
        <v/>
      </c>
      <c r="B785" s="33">
        <f>IF(776&gt;NBskParty,"",INDEX(PkBskParty,776))</f>
        <v/>
      </c>
      <c r="C785" s="30">
        <f>IF($B785="","",IFERROR(IF(VLOOKUP($B785,AcctTbl,4,0)="","(بدون نام)",VLOOKUP($B785,AcctTbl,4,0)),"—"))</f>
        <v/>
      </c>
      <c r="D785" s="28">
        <f>IF($B785="","",SUMIF(CalcPartyA,$B785,CalcQtyA))</f>
        <v/>
      </c>
      <c r="E785" s="28">
        <f>IF($B785="","",SUMIF(CalcPartyA,$B785,CalcAmtA))</f>
        <v/>
      </c>
      <c r="F785" s="28">
        <f>IF($B785="","",SUMIF(CalcPartyB,$B785,CalcWitB))</f>
        <v/>
      </c>
      <c r="G785" s="28">
        <f>IF($B785="","",SUMIF(CalcPartyB,$B785,CalcDepB))</f>
        <v/>
      </c>
      <c r="H785" s="29">
        <f>IF($B785="","",$E785-$F785+$G785)</f>
        <v/>
      </c>
      <c r="I785" s="27">
        <f>IF($B785="","",IF(ROUND($H785,0)&gt;0,"● بستانکار",IF(ROUND($H785,0)&lt;0,"● بدهکار","تسویه")))</f>
        <v/>
      </c>
    </row>
    <row r="786">
      <c r="A786" s="21">
        <f>IF($B786="","",777)</f>
        <v/>
      </c>
      <c r="B786" s="32">
        <f>IF(777&gt;NBskParty,"",INDEX(PkBskParty,777))</f>
        <v/>
      </c>
      <c r="C786" s="25">
        <f>IF($B786="","",IFERROR(IF(VLOOKUP($B786,AcctTbl,4,0)="","(بدون نام)",VLOOKUP($B786,AcctTbl,4,0)),"—"))</f>
        <v/>
      </c>
      <c r="D786" s="23">
        <f>IF($B786="","",SUMIF(CalcPartyA,$B786,CalcQtyA))</f>
        <v/>
      </c>
      <c r="E786" s="23">
        <f>IF($B786="","",SUMIF(CalcPartyA,$B786,CalcAmtA))</f>
        <v/>
      </c>
      <c r="F786" s="23">
        <f>IF($B786="","",SUMIF(CalcPartyB,$B786,CalcWitB))</f>
        <v/>
      </c>
      <c r="G786" s="23">
        <f>IF($B786="","",SUMIF(CalcPartyB,$B786,CalcDepB))</f>
        <v/>
      </c>
      <c r="H786" s="24">
        <f>IF($B786="","",$E786-$F786+$G786)</f>
        <v/>
      </c>
      <c r="I786" s="22">
        <f>IF($B786="","",IF(ROUND($H786,0)&gt;0,"● بستانکار",IF(ROUND($H786,0)&lt;0,"● بدهکار","تسویه")))</f>
        <v/>
      </c>
    </row>
    <row r="787">
      <c r="A787" s="26">
        <f>IF($B787="","",778)</f>
        <v/>
      </c>
      <c r="B787" s="33">
        <f>IF(778&gt;NBskParty,"",INDEX(PkBskParty,778))</f>
        <v/>
      </c>
      <c r="C787" s="30">
        <f>IF($B787="","",IFERROR(IF(VLOOKUP($B787,AcctTbl,4,0)="","(بدون نام)",VLOOKUP($B787,AcctTbl,4,0)),"—"))</f>
        <v/>
      </c>
      <c r="D787" s="28">
        <f>IF($B787="","",SUMIF(CalcPartyA,$B787,CalcQtyA))</f>
        <v/>
      </c>
      <c r="E787" s="28">
        <f>IF($B787="","",SUMIF(CalcPartyA,$B787,CalcAmtA))</f>
        <v/>
      </c>
      <c r="F787" s="28">
        <f>IF($B787="","",SUMIF(CalcPartyB,$B787,CalcWitB))</f>
        <v/>
      </c>
      <c r="G787" s="28">
        <f>IF($B787="","",SUMIF(CalcPartyB,$B787,CalcDepB))</f>
        <v/>
      </c>
      <c r="H787" s="29">
        <f>IF($B787="","",$E787-$F787+$G787)</f>
        <v/>
      </c>
      <c r="I787" s="27">
        <f>IF($B787="","",IF(ROUND($H787,0)&gt;0,"● بستانکار",IF(ROUND($H787,0)&lt;0,"● بدهکار","تسویه")))</f>
        <v/>
      </c>
    </row>
    <row r="788">
      <c r="A788" s="21">
        <f>IF($B788="","",779)</f>
        <v/>
      </c>
      <c r="B788" s="32">
        <f>IF(779&gt;NBskParty,"",INDEX(PkBskParty,779))</f>
        <v/>
      </c>
      <c r="C788" s="25">
        <f>IF($B788="","",IFERROR(IF(VLOOKUP($B788,AcctTbl,4,0)="","(بدون نام)",VLOOKUP($B788,AcctTbl,4,0)),"—"))</f>
        <v/>
      </c>
      <c r="D788" s="23">
        <f>IF($B788="","",SUMIF(CalcPartyA,$B788,CalcQtyA))</f>
        <v/>
      </c>
      <c r="E788" s="23">
        <f>IF($B788="","",SUMIF(CalcPartyA,$B788,CalcAmtA))</f>
        <v/>
      </c>
      <c r="F788" s="23">
        <f>IF($B788="","",SUMIF(CalcPartyB,$B788,CalcWitB))</f>
        <v/>
      </c>
      <c r="G788" s="23">
        <f>IF($B788="","",SUMIF(CalcPartyB,$B788,CalcDepB))</f>
        <v/>
      </c>
      <c r="H788" s="24">
        <f>IF($B788="","",$E788-$F788+$G788)</f>
        <v/>
      </c>
      <c r="I788" s="22">
        <f>IF($B788="","",IF(ROUND($H788,0)&gt;0,"● بستانکار",IF(ROUND($H788,0)&lt;0,"● بدهکار","تسویه")))</f>
        <v/>
      </c>
    </row>
    <row r="789">
      <c r="A789" s="26">
        <f>IF($B789="","",780)</f>
        <v/>
      </c>
      <c r="B789" s="33">
        <f>IF(780&gt;NBskParty,"",INDEX(PkBskParty,780))</f>
        <v/>
      </c>
      <c r="C789" s="30">
        <f>IF($B789="","",IFERROR(IF(VLOOKUP($B789,AcctTbl,4,0)="","(بدون نام)",VLOOKUP($B789,AcctTbl,4,0)),"—"))</f>
        <v/>
      </c>
      <c r="D789" s="28">
        <f>IF($B789="","",SUMIF(CalcPartyA,$B789,CalcQtyA))</f>
        <v/>
      </c>
      <c r="E789" s="28">
        <f>IF($B789="","",SUMIF(CalcPartyA,$B789,CalcAmtA))</f>
        <v/>
      </c>
      <c r="F789" s="28">
        <f>IF($B789="","",SUMIF(CalcPartyB,$B789,CalcWitB))</f>
        <v/>
      </c>
      <c r="G789" s="28">
        <f>IF($B789="","",SUMIF(CalcPartyB,$B789,CalcDepB))</f>
        <v/>
      </c>
      <c r="H789" s="29">
        <f>IF($B789="","",$E789-$F789+$G789)</f>
        <v/>
      </c>
      <c r="I789" s="27">
        <f>IF($B789="","",IF(ROUND($H789,0)&gt;0,"● بستانکار",IF(ROUND($H789,0)&lt;0,"● بدهکار","تسویه")))</f>
        <v/>
      </c>
    </row>
    <row r="790">
      <c r="A790" s="21">
        <f>IF($B790="","",781)</f>
        <v/>
      </c>
      <c r="B790" s="32">
        <f>IF(781&gt;NBskParty,"",INDEX(PkBskParty,781))</f>
        <v/>
      </c>
      <c r="C790" s="25">
        <f>IF($B790="","",IFERROR(IF(VLOOKUP($B790,AcctTbl,4,0)="","(بدون نام)",VLOOKUP($B790,AcctTbl,4,0)),"—"))</f>
        <v/>
      </c>
      <c r="D790" s="23">
        <f>IF($B790="","",SUMIF(CalcPartyA,$B790,CalcQtyA))</f>
        <v/>
      </c>
      <c r="E790" s="23">
        <f>IF($B790="","",SUMIF(CalcPartyA,$B790,CalcAmtA))</f>
        <v/>
      </c>
      <c r="F790" s="23">
        <f>IF($B790="","",SUMIF(CalcPartyB,$B790,CalcWitB))</f>
        <v/>
      </c>
      <c r="G790" s="23">
        <f>IF($B790="","",SUMIF(CalcPartyB,$B790,CalcDepB))</f>
        <v/>
      </c>
      <c r="H790" s="24">
        <f>IF($B790="","",$E790-$F790+$G790)</f>
        <v/>
      </c>
      <c r="I790" s="22">
        <f>IF($B790="","",IF(ROUND($H790,0)&gt;0,"● بستانکار",IF(ROUND($H790,0)&lt;0,"● بدهکار","تسویه")))</f>
        <v/>
      </c>
    </row>
    <row r="791">
      <c r="A791" s="26">
        <f>IF($B791="","",782)</f>
        <v/>
      </c>
      <c r="B791" s="33">
        <f>IF(782&gt;NBskParty,"",INDEX(PkBskParty,782))</f>
        <v/>
      </c>
      <c r="C791" s="30">
        <f>IF($B791="","",IFERROR(IF(VLOOKUP($B791,AcctTbl,4,0)="","(بدون نام)",VLOOKUP($B791,AcctTbl,4,0)),"—"))</f>
        <v/>
      </c>
      <c r="D791" s="28">
        <f>IF($B791="","",SUMIF(CalcPartyA,$B791,CalcQtyA))</f>
        <v/>
      </c>
      <c r="E791" s="28">
        <f>IF($B791="","",SUMIF(CalcPartyA,$B791,CalcAmtA))</f>
        <v/>
      </c>
      <c r="F791" s="28">
        <f>IF($B791="","",SUMIF(CalcPartyB,$B791,CalcWitB))</f>
        <v/>
      </c>
      <c r="G791" s="28">
        <f>IF($B791="","",SUMIF(CalcPartyB,$B791,CalcDepB))</f>
        <v/>
      </c>
      <c r="H791" s="29">
        <f>IF($B791="","",$E791-$F791+$G791)</f>
        <v/>
      </c>
      <c r="I791" s="27">
        <f>IF($B791="","",IF(ROUND($H791,0)&gt;0,"● بستانکار",IF(ROUND($H791,0)&lt;0,"● بدهکار","تسویه")))</f>
        <v/>
      </c>
    </row>
    <row r="792">
      <c r="A792" s="21">
        <f>IF($B792="","",783)</f>
        <v/>
      </c>
      <c r="B792" s="32">
        <f>IF(783&gt;NBskParty,"",INDEX(PkBskParty,783))</f>
        <v/>
      </c>
      <c r="C792" s="25">
        <f>IF($B792="","",IFERROR(IF(VLOOKUP($B792,AcctTbl,4,0)="","(بدون نام)",VLOOKUP($B792,AcctTbl,4,0)),"—"))</f>
        <v/>
      </c>
      <c r="D792" s="23">
        <f>IF($B792="","",SUMIF(CalcPartyA,$B792,CalcQtyA))</f>
        <v/>
      </c>
      <c r="E792" s="23">
        <f>IF($B792="","",SUMIF(CalcPartyA,$B792,CalcAmtA))</f>
        <v/>
      </c>
      <c r="F792" s="23">
        <f>IF($B792="","",SUMIF(CalcPartyB,$B792,CalcWitB))</f>
        <v/>
      </c>
      <c r="G792" s="23">
        <f>IF($B792="","",SUMIF(CalcPartyB,$B792,CalcDepB))</f>
        <v/>
      </c>
      <c r="H792" s="24">
        <f>IF($B792="","",$E792-$F792+$G792)</f>
        <v/>
      </c>
      <c r="I792" s="22">
        <f>IF($B792="","",IF(ROUND($H792,0)&gt;0,"● بستانکار",IF(ROUND($H792,0)&lt;0,"● بدهکار","تسویه")))</f>
        <v/>
      </c>
    </row>
    <row r="793">
      <c r="A793" s="26">
        <f>IF($B793="","",784)</f>
        <v/>
      </c>
      <c r="B793" s="33">
        <f>IF(784&gt;NBskParty,"",INDEX(PkBskParty,784))</f>
        <v/>
      </c>
      <c r="C793" s="30">
        <f>IF($B793="","",IFERROR(IF(VLOOKUP($B793,AcctTbl,4,0)="","(بدون نام)",VLOOKUP($B793,AcctTbl,4,0)),"—"))</f>
        <v/>
      </c>
      <c r="D793" s="28">
        <f>IF($B793="","",SUMIF(CalcPartyA,$B793,CalcQtyA))</f>
        <v/>
      </c>
      <c r="E793" s="28">
        <f>IF($B793="","",SUMIF(CalcPartyA,$B793,CalcAmtA))</f>
        <v/>
      </c>
      <c r="F793" s="28">
        <f>IF($B793="","",SUMIF(CalcPartyB,$B793,CalcWitB))</f>
        <v/>
      </c>
      <c r="G793" s="28">
        <f>IF($B793="","",SUMIF(CalcPartyB,$B793,CalcDepB))</f>
        <v/>
      </c>
      <c r="H793" s="29">
        <f>IF($B793="","",$E793-$F793+$G793)</f>
        <v/>
      </c>
      <c r="I793" s="27">
        <f>IF($B793="","",IF(ROUND($H793,0)&gt;0,"● بستانکار",IF(ROUND($H793,0)&lt;0,"● بدهکار","تسویه")))</f>
        <v/>
      </c>
    </row>
    <row r="794">
      <c r="A794" s="21">
        <f>IF($B794="","",785)</f>
        <v/>
      </c>
      <c r="B794" s="32">
        <f>IF(785&gt;NBskParty,"",INDEX(PkBskParty,785))</f>
        <v/>
      </c>
      <c r="C794" s="25">
        <f>IF($B794="","",IFERROR(IF(VLOOKUP($B794,AcctTbl,4,0)="","(بدون نام)",VLOOKUP($B794,AcctTbl,4,0)),"—"))</f>
        <v/>
      </c>
      <c r="D794" s="23">
        <f>IF($B794="","",SUMIF(CalcPartyA,$B794,CalcQtyA))</f>
        <v/>
      </c>
      <c r="E794" s="23">
        <f>IF($B794="","",SUMIF(CalcPartyA,$B794,CalcAmtA))</f>
        <v/>
      </c>
      <c r="F794" s="23">
        <f>IF($B794="","",SUMIF(CalcPartyB,$B794,CalcWitB))</f>
        <v/>
      </c>
      <c r="G794" s="23">
        <f>IF($B794="","",SUMIF(CalcPartyB,$B794,CalcDepB))</f>
        <v/>
      </c>
      <c r="H794" s="24">
        <f>IF($B794="","",$E794-$F794+$G794)</f>
        <v/>
      </c>
      <c r="I794" s="22">
        <f>IF($B794="","",IF(ROUND($H794,0)&gt;0,"● بستانکار",IF(ROUND($H794,0)&lt;0,"● بدهکار","تسویه")))</f>
        <v/>
      </c>
    </row>
    <row r="795">
      <c r="A795" s="26">
        <f>IF($B795="","",786)</f>
        <v/>
      </c>
      <c r="B795" s="33">
        <f>IF(786&gt;NBskParty,"",INDEX(PkBskParty,786))</f>
        <v/>
      </c>
      <c r="C795" s="30">
        <f>IF($B795="","",IFERROR(IF(VLOOKUP($B795,AcctTbl,4,0)="","(بدون نام)",VLOOKUP($B795,AcctTbl,4,0)),"—"))</f>
        <v/>
      </c>
      <c r="D795" s="28">
        <f>IF($B795="","",SUMIF(CalcPartyA,$B795,CalcQtyA))</f>
        <v/>
      </c>
      <c r="E795" s="28">
        <f>IF($B795="","",SUMIF(CalcPartyA,$B795,CalcAmtA))</f>
        <v/>
      </c>
      <c r="F795" s="28">
        <f>IF($B795="","",SUMIF(CalcPartyB,$B795,CalcWitB))</f>
        <v/>
      </c>
      <c r="G795" s="28">
        <f>IF($B795="","",SUMIF(CalcPartyB,$B795,CalcDepB))</f>
        <v/>
      </c>
      <c r="H795" s="29">
        <f>IF($B795="","",$E795-$F795+$G795)</f>
        <v/>
      </c>
      <c r="I795" s="27">
        <f>IF($B795="","",IF(ROUND($H795,0)&gt;0,"● بستانکار",IF(ROUND($H795,0)&lt;0,"● بدهکار","تسویه")))</f>
        <v/>
      </c>
    </row>
    <row r="796">
      <c r="A796" s="21">
        <f>IF($B796="","",787)</f>
        <v/>
      </c>
      <c r="B796" s="32">
        <f>IF(787&gt;NBskParty,"",INDEX(PkBskParty,787))</f>
        <v/>
      </c>
      <c r="C796" s="25">
        <f>IF($B796="","",IFERROR(IF(VLOOKUP($B796,AcctTbl,4,0)="","(بدون نام)",VLOOKUP($B796,AcctTbl,4,0)),"—"))</f>
        <v/>
      </c>
      <c r="D796" s="23">
        <f>IF($B796="","",SUMIF(CalcPartyA,$B796,CalcQtyA))</f>
        <v/>
      </c>
      <c r="E796" s="23">
        <f>IF($B796="","",SUMIF(CalcPartyA,$B796,CalcAmtA))</f>
        <v/>
      </c>
      <c r="F796" s="23">
        <f>IF($B796="","",SUMIF(CalcPartyB,$B796,CalcWitB))</f>
        <v/>
      </c>
      <c r="G796" s="23">
        <f>IF($B796="","",SUMIF(CalcPartyB,$B796,CalcDepB))</f>
        <v/>
      </c>
      <c r="H796" s="24">
        <f>IF($B796="","",$E796-$F796+$G796)</f>
        <v/>
      </c>
      <c r="I796" s="22">
        <f>IF($B796="","",IF(ROUND($H796,0)&gt;0,"● بستانکار",IF(ROUND($H796,0)&lt;0,"● بدهکار","تسویه")))</f>
        <v/>
      </c>
    </row>
    <row r="797">
      <c r="A797" s="26">
        <f>IF($B797="","",788)</f>
        <v/>
      </c>
      <c r="B797" s="33">
        <f>IF(788&gt;NBskParty,"",INDEX(PkBskParty,788))</f>
        <v/>
      </c>
      <c r="C797" s="30">
        <f>IF($B797="","",IFERROR(IF(VLOOKUP($B797,AcctTbl,4,0)="","(بدون نام)",VLOOKUP($B797,AcctTbl,4,0)),"—"))</f>
        <v/>
      </c>
      <c r="D797" s="28">
        <f>IF($B797="","",SUMIF(CalcPartyA,$B797,CalcQtyA))</f>
        <v/>
      </c>
      <c r="E797" s="28">
        <f>IF($B797="","",SUMIF(CalcPartyA,$B797,CalcAmtA))</f>
        <v/>
      </c>
      <c r="F797" s="28">
        <f>IF($B797="","",SUMIF(CalcPartyB,$B797,CalcWitB))</f>
        <v/>
      </c>
      <c r="G797" s="28">
        <f>IF($B797="","",SUMIF(CalcPartyB,$B797,CalcDepB))</f>
        <v/>
      </c>
      <c r="H797" s="29">
        <f>IF($B797="","",$E797-$F797+$G797)</f>
        <v/>
      </c>
      <c r="I797" s="27">
        <f>IF($B797="","",IF(ROUND($H797,0)&gt;0,"● بستانکار",IF(ROUND($H797,0)&lt;0,"● بدهکار","تسویه")))</f>
        <v/>
      </c>
    </row>
    <row r="798">
      <c r="A798" s="21">
        <f>IF($B798="","",789)</f>
        <v/>
      </c>
      <c r="B798" s="32">
        <f>IF(789&gt;NBskParty,"",INDEX(PkBskParty,789))</f>
        <v/>
      </c>
      <c r="C798" s="25">
        <f>IF($B798="","",IFERROR(IF(VLOOKUP($B798,AcctTbl,4,0)="","(بدون نام)",VLOOKUP($B798,AcctTbl,4,0)),"—"))</f>
        <v/>
      </c>
      <c r="D798" s="23">
        <f>IF($B798="","",SUMIF(CalcPartyA,$B798,CalcQtyA))</f>
        <v/>
      </c>
      <c r="E798" s="23">
        <f>IF($B798="","",SUMIF(CalcPartyA,$B798,CalcAmtA))</f>
        <v/>
      </c>
      <c r="F798" s="23">
        <f>IF($B798="","",SUMIF(CalcPartyB,$B798,CalcWitB))</f>
        <v/>
      </c>
      <c r="G798" s="23">
        <f>IF($B798="","",SUMIF(CalcPartyB,$B798,CalcDepB))</f>
        <v/>
      </c>
      <c r="H798" s="24">
        <f>IF($B798="","",$E798-$F798+$G798)</f>
        <v/>
      </c>
      <c r="I798" s="22">
        <f>IF($B798="","",IF(ROUND($H798,0)&gt;0,"● بستانکار",IF(ROUND($H798,0)&lt;0,"● بدهکار","تسویه")))</f>
        <v/>
      </c>
    </row>
    <row r="799">
      <c r="A799" s="26">
        <f>IF($B799="","",790)</f>
        <v/>
      </c>
      <c r="B799" s="33">
        <f>IF(790&gt;NBskParty,"",INDEX(PkBskParty,790))</f>
        <v/>
      </c>
      <c r="C799" s="30">
        <f>IF($B799="","",IFERROR(IF(VLOOKUP($B799,AcctTbl,4,0)="","(بدون نام)",VLOOKUP($B799,AcctTbl,4,0)),"—"))</f>
        <v/>
      </c>
      <c r="D799" s="28">
        <f>IF($B799="","",SUMIF(CalcPartyA,$B799,CalcQtyA))</f>
        <v/>
      </c>
      <c r="E799" s="28">
        <f>IF($B799="","",SUMIF(CalcPartyA,$B799,CalcAmtA))</f>
        <v/>
      </c>
      <c r="F799" s="28">
        <f>IF($B799="","",SUMIF(CalcPartyB,$B799,CalcWitB))</f>
        <v/>
      </c>
      <c r="G799" s="28">
        <f>IF($B799="","",SUMIF(CalcPartyB,$B799,CalcDepB))</f>
        <v/>
      </c>
      <c r="H799" s="29">
        <f>IF($B799="","",$E799-$F799+$G799)</f>
        <v/>
      </c>
      <c r="I799" s="27">
        <f>IF($B799="","",IF(ROUND($H799,0)&gt;0,"● بستانکار",IF(ROUND($H799,0)&lt;0,"● بدهکار","تسویه")))</f>
        <v/>
      </c>
    </row>
    <row r="800">
      <c r="A800" s="21">
        <f>IF($B800="","",791)</f>
        <v/>
      </c>
      <c r="B800" s="32">
        <f>IF(791&gt;NBskParty,"",INDEX(PkBskParty,791))</f>
        <v/>
      </c>
      <c r="C800" s="25">
        <f>IF($B800="","",IFERROR(IF(VLOOKUP($B800,AcctTbl,4,0)="","(بدون نام)",VLOOKUP($B800,AcctTbl,4,0)),"—"))</f>
        <v/>
      </c>
      <c r="D800" s="23">
        <f>IF($B800="","",SUMIF(CalcPartyA,$B800,CalcQtyA))</f>
        <v/>
      </c>
      <c r="E800" s="23">
        <f>IF($B800="","",SUMIF(CalcPartyA,$B800,CalcAmtA))</f>
        <v/>
      </c>
      <c r="F800" s="23">
        <f>IF($B800="","",SUMIF(CalcPartyB,$B800,CalcWitB))</f>
        <v/>
      </c>
      <c r="G800" s="23">
        <f>IF($B800="","",SUMIF(CalcPartyB,$B800,CalcDepB))</f>
        <v/>
      </c>
      <c r="H800" s="24">
        <f>IF($B800="","",$E800-$F800+$G800)</f>
        <v/>
      </c>
      <c r="I800" s="22">
        <f>IF($B800="","",IF(ROUND($H800,0)&gt;0,"● بستانکار",IF(ROUND($H800,0)&lt;0,"● بدهکار","تسویه")))</f>
        <v/>
      </c>
    </row>
    <row r="801">
      <c r="A801" s="26">
        <f>IF($B801="","",792)</f>
        <v/>
      </c>
      <c r="B801" s="33">
        <f>IF(792&gt;NBskParty,"",INDEX(PkBskParty,792))</f>
        <v/>
      </c>
      <c r="C801" s="30">
        <f>IF($B801="","",IFERROR(IF(VLOOKUP($B801,AcctTbl,4,0)="","(بدون نام)",VLOOKUP($B801,AcctTbl,4,0)),"—"))</f>
        <v/>
      </c>
      <c r="D801" s="28">
        <f>IF($B801="","",SUMIF(CalcPartyA,$B801,CalcQtyA))</f>
        <v/>
      </c>
      <c r="E801" s="28">
        <f>IF($B801="","",SUMIF(CalcPartyA,$B801,CalcAmtA))</f>
        <v/>
      </c>
      <c r="F801" s="28">
        <f>IF($B801="","",SUMIF(CalcPartyB,$B801,CalcWitB))</f>
        <v/>
      </c>
      <c r="G801" s="28">
        <f>IF($B801="","",SUMIF(CalcPartyB,$B801,CalcDepB))</f>
        <v/>
      </c>
      <c r="H801" s="29">
        <f>IF($B801="","",$E801-$F801+$G801)</f>
        <v/>
      </c>
      <c r="I801" s="27">
        <f>IF($B801="","",IF(ROUND($H801,0)&gt;0,"● بستانکار",IF(ROUND($H801,0)&lt;0,"● بدهکار","تسویه")))</f>
        <v/>
      </c>
    </row>
    <row r="802">
      <c r="A802" s="21">
        <f>IF($B802="","",793)</f>
        <v/>
      </c>
      <c r="B802" s="32">
        <f>IF(793&gt;NBskParty,"",INDEX(PkBskParty,793))</f>
        <v/>
      </c>
      <c r="C802" s="25">
        <f>IF($B802="","",IFERROR(IF(VLOOKUP($B802,AcctTbl,4,0)="","(بدون نام)",VLOOKUP($B802,AcctTbl,4,0)),"—"))</f>
        <v/>
      </c>
      <c r="D802" s="23">
        <f>IF($B802="","",SUMIF(CalcPartyA,$B802,CalcQtyA))</f>
        <v/>
      </c>
      <c r="E802" s="23">
        <f>IF($B802="","",SUMIF(CalcPartyA,$B802,CalcAmtA))</f>
        <v/>
      </c>
      <c r="F802" s="23">
        <f>IF($B802="","",SUMIF(CalcPartyB,$B802,CalcWitB))</f>
        <v/>
      </c>
      <c r="G802" s="23">
        <f>IF($B802="","",SUMIF(CalcPartyB,$B802,CalcDepB))</f>
        <v/>
      </c>
      <c r="H802" s="24">
        <f>IF($B802="","",$E802-$F802+$G802)</f>
        <v/>
      </c>
      <c r="I802" s="22">
        <f>IF($B802="","",IF(ROUND($H802,0)&gt;0,"● بستانکار",IF(ROUND($H802,0)&lt;0,"● بدهکار","تسویه")))</f>
        <v/>
      </c>
    </row>
    <row r="803">
      <c r="A803" s="26">
        <f>IF($B803="","",794)</f>
        <v/>
      </c>
      <c r="B803" s="33">
        <f>IF(794&gt;NBskParty,"",INDEX(PkBskParty,794))</f>
        <v/>
      </c>
      <c r="C803" s="30">
        <f>IF($B803="","",IFERROR(IF(VLOOKUP($B803,AcctTbl,4,0)="","(بدون نام)",VLOOKUP($B803,AcctTbl,4,0)),"—"))</f>
        <v/>
      </c>
      <c r="D803" s="28">
        <f>IF($B803="","",SUMIF(CalcPartyA,$B803,CalcQtyA))</f>
        <v/>
      </c>
      <c r="E803" s="28">
        <f>IF($B803="","",SUMIF(CalcPartyA,$B803,CalcAmtA))</f>
        <v/>
      </c>
      <c r="F803" s="28">
        <f>IF($B803="","",SUMIF(CalcPartyB,$B803,CalcWitB))</f>
        <v/>
      </c>
      <c r="G803" s="28">
        <f>IF($B803="","",SUMIF(CalcPartyB,$B803,CalcDepB))</f>
        <v/>
      </c>
      <c r="H803" s="29">
        <f>IF($B803="","",$E803-$F803+$G803)</f>
        <v/>
      </c>
      <c r="I803" s="27">
        <f>IF($B803="","",IF(ROUND($H803,0)&gt;0,"● بستانکار",IF(ROUND($H803,0)&lt;0,"● بدهکار","تسویه")))</f>
        <v/>
      </c>
    </row>
    <row r="804">
      <c r="A804" s="21">
        <f>IF($B804="","",795)</f>
        <v/>
      </c>
      <c r="B804" s="32">
        <f>IF(795&gt;NBskParty,"",INDEX(PkBskParty,795))</f>
        <v/>
      </c>
      <c r="C804" s="25">
        <f>IF($B804="","",IFERROR(IF(VLOOKUP($B804,AcctTbl,4,0)="","(بدون نام)",VLOOKUP($B804,AcctTbl,4,0)),"—"))</f>
        <v/>
      </c>
      <c r="D804" s="23">
        <f>IF($B804="","",SUMIF(CalcPartyA,$B804,CalcQtyA))</f>
        <v/>
      </c>
      <c r="E804" s="23">
        <f>IF($B804="","",SUMIF(CalcPartyA,$B804,CalcAmtA))</f>
        <v/>
      </c>
      <c r="F804" s="23">
        <f>IF($B804="","",SUMIF(CalcPartyB,$B804,CalcWitB))</f>
        <v/>
      </c>
      <c r="G804" s="23">
        <f>IF($B804="","",SUMIF(CalcPartyB,$B804,CalcDepB))</f>
        <v/>
      </c>
      <c r="H804" s="24">
        <f>IF($B804="","",$E804-$F804+$G804)</f>
        <v/>
      </c>
      <c r="I804" s="22">
        <f>IF($B804="","",IF(ROUND($H804,0)&gt;0,"● بستانکار",IF(ROUND($H804,0)&lt;0,"● بدهکار","تسویه")))</f>
        <v/>
      </c>
    </row>
    <row r="805">
      <c r="A805" s="26">
        <f>IF($B805="","",796)</f>
        <v/>
      </c>
      <c r="B805" s="33">
        <f>IF(796&gt;NBskParty,"",INDEX(PkBskParty,796))</f>
        <v/>
      </c>
      <c r="C805" s="30">
        <f>IF($B805="","",IFERROR(IF(VLOOKUP($B805,AcctTbl,4,0)="","(بدون نام)",VLOOKUP($B805,AcctTbl,4,0)),"—"))</f>
        <v/>
      </c>
      <c r="D805" s="28">
        <f>IF($B805="","",SUMIF(CalcPartyA,$B805,CalcQtyA))</f>
        <v/>
      </c>
      <c r="E805" s="28">
        <f>IF($B805="","",SUMIF(CalcPartyA,$B805,CalcAmtA))</f>
        <v/>
      </c>
      <c r="F805" s="28">
        <f>IF($B805="","",SUMIF(CalcPartyB,$B805,CalcWitB))</f>
        <v/>
      </c>
      <c r="G805" s="28">
        <f>IF($B805="","",SUMIF(CalcPartyB,$B805,CalcDepB))</f>
        <v/>
      </c>
      <c r="H805" s="29">
        <f>IF($B805="","",$E805-$F805+$G805)</f>
        <v/>
      </c>
      <c r="I805" s="27">
        <f>IF($B805="","",IF(ROUND($H805,0)&gt;0,"● بستانکار",IF(ROUND($H805,0)&lt;0,"● بدهکار","تسویه")))</f>
        <v/>
      </c>
    </row>
    <row r="806">
      <c r="A806" s="21">
        <f>IF($B806="","",797)</f>
        <v/>
      </c>
      <c r="B806" s="32">
        <f>IF(797&gt;NBskParty,"",INDEX(PkBskParty,797))</f>
        <v/>
      </c>
      <c r="C806" s="25">
        <f>IF($B806="","",IFERROR(IF(VLOOKUP($B806,AcctTbl,4,0)="","(بدون نام)",VLOOKUP($B806,AcctTbl,4,0)),"—"))</f>
        <v/>
      </c>
      <c r="D806" s="23">
        <f>IF($B806="","",SUMIF(CalcPartyA,$B806,CalcQtyA))</f>
        <v/>
      </c>
      <c r="E806" s="23">
        <f>IF($B806="","",SUMIF(CalcPartyA,$B806,CalcAmtA))</f>
        <v/>
      </c>
      <c r="F806" s="23">
        <f>IF($B806="","",SUMIF(CalcPartyB,$B806,CalcWitB))</f>
        <v/>
      </c>
      <c r="G806" s="23">
        <f>IF($B806="","",SUMIF(CalcPartyB,$B806,CalcDepB))</f>
        <v/>
      </c>
      <c r="H806" s="24">
        <f>IF($B806="","",$E806-$F806+$G806)</f>
        <v/>
      </c>
      <c r="I806" s="22">
        <f>IF($B806="","",IF(ROUND($H806,0)&gt;0,"● بستانکار",IF(ROUND($H806,0)&lt;0,"● بدهکار","تسویه")))</f>
        <v/>
      </c>
    </row>
    <row r="807">
      <c r="A807" s="26">
        <f>IF($B807="","",798)</f>
        <v/>
      </c>
      <c r="B807" s="33">
        <f>IF(798&gt;NBskParty,"",INDEX(PkBskParty,798))</f>
        <v/>
      </c>
      <c r="C807" s="30">
        <f>IF($B807="","",IFERROR(IF(VLOOKUP($B807,AcctTbl,4,0)="","(بدون نام)",VLOOKUP($B807,AcctTbl,4,0)),"—"))</f>
        <v/>
      </c>
      <c r="D807" s="28">
        <f>IF($B807="","",SUMIF(CalcPartyA,$B807,CalcQtyA))</f>
        <v/>
      </c>
      <c r="E807" s="28">
        <f>IF($B807="","",SUMIF(CalcPartyA,$B807,CalcAmtA))</f>
        <v/>
      </c>
      <c r="F807" s="28">
        <f>IF($B807="","",SUMIF(CalcPartyB,$B807,CalcWitB))</f>
        <v/>
      </c>
      <c r="G807" s="28">
        <f>IF($B807="","",SUMIF(CalcPartyB,$B807,CalcDepB))</f>
        <v/>
      </c>
      <c r="H807" s="29">
        <f>IF($B807="","",$E807-$F807+$G807)</f>
        <v/>
      </c>
      <c r="I807" s="27">
        <f>IF($B807="","",IF(ROUND($H807,0)&gt;0,"● بستانکار",IF(ROUND($H807,0)&lt;0,"● بدهکار","تسویه")))</f>
        <v/>
      </c>
    </row>
    <row r="808">
      <c r="A808" s="21">
        <f>IF($B808="","",799)</f>
        <v/>
      </c>
      <c r="B808" s="32">
        <f>IF(799&gt;NBskParty,"",INDEX(PkBskParty,799))</f>
        <v/>
      </c>
      <c r="C808" s="25">
        <f>IF($B808="","",IFERROR(IF(VLOOKUP($B808,AcctTbl,4,0)="","(بدون نام)",VLOOKUP($B808,AcctTbl,4,0)),"—"))</f>
        <v/>
      </c>
      <c r="D808" s="23">
        <f>IF($B808="","",SUMIF(CalcPartyA,$B808,CalcQtyA))</f>
        <v/>
      </c>
      <c r="E808" s="23">
        <f>IF($B808="","",SUMIF(CalcPartyA,$B808,CalcAmtA))</f>
        <v/>
      </c>
      <c r="F808" s="23">
        <f>IF($B808="","",SUMIF(CalcPartyB,$B808,CalcWitB))</f>
        <v/>
      </c>
      <c r="G808" s="23">
        <f>IF($B808="","",SUMIF(CalcPartyB,$B808,CalcDepB))</f>
        <v/>
      </c>
      <c r="H808" s="24">
        <f>IF($B808="","",$E808-$F808+$G808)</f>
        <v/>
      </c>
      <c r="I808" s="22">
        <f>IF($B808="","",IF(ROUND($H808,0)&gt;0,"● بستانکار",IF(ROUND($H808,0)&lt;0,"● بدهکار","تسویه")))</f>
        <v/>
      </c>
    </row>
    <row r="809">
      <c r="A809" s="26">
        <f>IF($B809="","",800)</f>
        <v/>
      </c>
      <c r="B809" s="33">
        <f>IF(800&gt;NBskParty,"",INDEX(PkBskParty,800))</f>
        <v/>
      </c>
      <c r="C809" s="30">
        <f>IF($B809="","",IFERROR(IF(VLOOKUP($B809,AcctTbl,4,0)="","(بدون نام)",VLOOKUP($B809,AcctTbl,4,0)),"—"))</f>
        <v/>
      </c>
      <c r="D809" s="28">
        <f>IF($B809="","",SUMIF(CalcPartyA,$B809,CalcQtyA))</f>
        <v/>
      </c>
      <c r="E809" s="28">
        <f>IF($B809="","",SUMIF(CalcPartyA,$B809,CalcAmtA))</f>
        <v/>
      </c>
      <c r="F809" s="28">
        <f>IF($B809="","",SUMIF(CalcPartyB,$B809,CalcWitB))</f>
        <v/>
      </c>
      <c r="G809" s="28">
        <f>IF($B809="","",SUMIF(CalcPartyB,$B809,CalcDepB))</f>
        <v/>
      </c>
      <c r="H809" s="29">
        <f>IF($B809="","",$E809-$F809+$G809)</f>
        <v/>
      </c>
      <c r="I809" s="27">
        <f>IF($B809="","",IF(ROUND($H809,0)&gt;0,"● بستانکار",IF(ROUND($H809,0)&lt;0,"● بدهکار","تسویه")))</f>
        <v/>
      </c>
    </row>
    <row r="810">
      <c r="A810" s="21">
        <f>IF($B810="","",801)</f>
        <v/>
      </c>
      <c r="B810" s="32">
        <f>IF(801&gt;NBskParty,"",INDEX(PkBskParty,801))</f>
        <v/>
      </c>
      <c r="C810" s="25">
        <f>IF($B810="","",IFERROR(IF(VLOOKUP($B810,AcctTbl,4,0)="","(بدون نام)",VLOOKUP($B810,AcctTbl,4,0)),"—"))</f>
        <v/>
      </c>
      <c r="D810" s="23">
        <f>IF($B810="","",SUMIF(CalcPartyA,$B810,CalcQtyA))</f>
        <v/>
      </c>
      <c r="E810" s="23">
        <f>IF($B810="","",SUMIF(CalcPartyA,$B810,CalcAmtA))</f>
        <v/>
      </c>
      <c r="F810" s="23">
        <f>IF($B810="","",SUMIF(CalcPartyB,$B810,CalcWitB))</f>
        <v/>
      </c>
      <c r="G810" s="23">
        <f>IF($B810="","",SUMIF(CalcPartyB,$B810,CalcDepB))</f>
        <v/>
      </c>
      <c r="H810" s="24">
        <f>IF($B810="","",$E810-$F810+$G810)</f>
        <v/>
      </c>
      <c r="I810" s="22">
        <f>IF($B810="","",IF(ROUND($H810,0)&gt;0,"● بستانکار",IF(ROUND($H810,0)&lt;0,"● بدهکار","تسویه")))</f>
        <v/>
      </c>
    </row>
    <row r="811">
      <c r="A811" s="26">
        <f>IF($B811="","",802)</f>
        <v/>
      </c>
      <c r="B811" s="33">
        <f>IF(802&gt;NBskParty,"",INDEX(PkBskParty,802))</f>
        <v/>
      </c>
      <c r="C811" s="30">
        <f>IF($B811="","",IFERROR(IF(VLOOKUP($B811,AcctTbl,4,0)="","(بدون نام)",VLOOKUP($B811,AcctTbl,4,0)),"—"))</f>
        <v/>
      </c>
      <c r="D811" s="28">
        <f>IF($B811="","",SUMIF(CalcPartyA,$B811,CalcQtyA))</f>
        <v/>
      </c>
      <c r="E811" s="28">
        <f>IF($B811="","",SUMIF(CalcPartyA,$B811,CalcAmtA))</f>
        <v/>
      </c>
      <c r="F811" s="28">
        <f>IF($B811="","",SUMIF(CalcPartyB,$B811,CalcWitB))</f>
        <v/>
      </c>
      <c r="G811" s="28">
        <f>IF($B811="","",SUMIF(CalcPartyB,$B811,CalcDepB))</f>
        <v/>
      </c>
      <c r="H811" s="29">
        <f>IF($B811="","",$E811-$F811+$G811)</f>
        <v/>
      </c>
      <c r="I811" s="27">
        <f>IF($B811="","",IF(ROUND($H811,0)&gt;0,"● بستانکار",IF(ROUND($H811,0)&lt;0,"● بدهکار","تسویه")))</f>
        <v/>
      </c>
    </row>
    <row r="812">
      <c r="A812" s="21">
        <f>IF($B812="","",803)</f>
        <v/>
      </c>
      <c r="B812" s="32">
        <f>IF(803&gt;NBskParty,"",INDEX(PkBskParty,803))</f>
        <v/>
      </c>
      <c r="C812" s="25">
        <f>IF($B812="","",IFERROR(IF(VLOOKUP($B812,AcctTbl,4,0)="","(بدون نام)",VLOOKUP($B812,AcctTbl,4,0)),"—"))</f>
        <v/>
      </c>
      <c r="D812" s="23">
        <f>IF($B812="","",SUMIF(CalcPartyA,$B812,CalcQtyA))</f>
        <v/>
      </c>
      <c r="E812" s="23">
        <f>IF($B812="","",SUMIF(CalcPartyA,$B812,CalcAmtA))</f>
        <v/>
      </c>
      <c r="F812" s="23">
        <f>IF($B812="","",SUMIF(CalcPartyB,$B812,CalcWitB))</f>
        <v/>
      </c>
      <c r="G812" s="23">
        <f>IF($B812="","",SUMIF(CalcPartyB,$B812,CalcDepB))</f>
        <v/>
      </c>
      <c r="H812" s="24">
        <f>IF($B812="","",$E812-$F812+$G812)</f>
        <v/>
      </c>
      <c r="I812" s="22">
        <f>IF($B812="","",IF(ROUND($H812,0)&gt;0,"● بستانکار",IF(ROUND($H812,0)&lt;0,"● بدهکار","تسویه")))</f>
        <v/>
      </c>
    </row>
    <row r="813">
      <c r="A813" s="26">
        <f>IF($B813="","",804)</f>
        <v/>
      </c>
      <c r="B813" s="33">
        <f>IF(804&gt;NBskParty,"",INDEX(PkBskParty,804))</f>
        <v/>
      </c>
      <c r="C813" s="30">
        <f>IF($B813="","",IFERROR(IF(VLOOKUP($B813,AcctTbl,4,0)="","(بدون نام)",VLOOKUP($B813,AcctTbl,4,0)),"—"))</f>
        <v/>
      </c>
      <c r="D813" s="28">
        <f>IF($B813="","",SUMIF(CalcPartyA,$B813,CalcQtyA))</f>
        <v/>
      </c>
      <c r="E813" s="28">
        <f>IF($B813="","",SUMIF(CalcPartyA,$B813,CalcAmtA))</f>
        <v/>
      </c>
      <c r="F813" s="28">
        <f>IF($B813="","",SUMIF(CalcPartyB,$B813,CalcWitB))</f>
        <v/>
      </c>
      <c r="G813" s="28">
        <f>IF($B813="","",SUMIF(CalcPartyB,$B813,CalcDepB))</f>
        <v/>
      </c>
      <c r="H813" s="29">
        <f>IF($B813="","",$E813-$F813+$G813)</f>
        <v/>
      </c>
      <c r="I813" s="27">
        <f>IF($B813="","",IF(ROUND($H813,0)&gt;0,"● بستانکار",IF(ROUND($H813,0)&lt;0,"● بدهکار","تسویه")))</f>
        <v/>
      </c>
    </row>
    <row r="814">
      <c r="A814" s="21">
        <f>IF($B814="","",805)</f>
        <v/>
      </c>
      <c r="B814" s="32">
        <f>IF(805&gt;NBskParty,"",INDEX(PkBskParty,805))</f>
        <v/>
      </c>
      <c r="C814" s="25">
        <f>IF($B814="","",IFERROR(IF(VLOOKUP($B814,AcctTbl,4,0)="","(بدون نام)",VLOOKUP($B814,AcctTbl,4,0)),"—"))</f>
        <v/>
      </c>
      <c r="D814" s="23">
        <f>IF($B814="","",SUMIF(CalcPartyA,$B814,CalcQtyA))</f>
        <v/>
      </c>
      <c r="E814" s="23">
        <f>IF($B814="","",SUMIF(CalcPartyA,$B814,CalcAmtA))</f>
        <v/>
      </c>
      <c r="F814" s="23">
        <f>IF($B814="","",SUMIF(CalcPartyB,$B814,CalcWitB))</f>
        <v/>
      </c>
      <c r="G814" s="23">
        <f>IF($B814="","",SUMIF(CalcPartyB,$B814,CalcDepB))</f>
        <v/>
      </c>
      <c r="H814" s="24">
        <f>IF($B814="","",$E814-$F814+$G814)</f>
        <v/>
      </c>
      <c r="I814" s="22">
        <f>IF($B814="","",IF(ROUND($H814,0)&gt;0,"● بستانکار",IF(ROUND($H814,0)&lt;0,"● بدهکار","تسویه")))</f>
        <v/>
      </c>
    </row>
    <row r="815">
      <c r="A815" s="26">
        <f>IF($B815="","",806)</f>
        <v/>
      </c>
      <c r="B815" s="33">
        <f>IF(806&gt;NBskParty,"",INDEX(PkBskParty,806))</f>
        <v/>
      </c>
      <c r="C815" s="30">
        <f>IF($B815="","",IFERROR(IF(VLOOKUP($B815,AcctTbl,4,0)="","(بدون نام)",VLOOKUP($B815,AcctTbl,4,0)),"—"))</f>
        <v/>
      </c>
      <c r="D815" s="28">
        <f>IF($B815="","",SUMIF(CalcPartyA,$B815,CalcQtyA))</f>
        <v/>
      </c>
      <c r="E815" s="28">
        <f>IF($B815="","",SUMIF(CalcPartyA,$B815,CalcAmtA))</f>
        <v/>
      </c>
      <c r="F815" s="28">
        <f>IF($B815="","",SUMIF(CalcPartyB,$B815,CalcWitB))</f>
        <v/>
      </c>
      <c r="G815" s="28">
        <f>IF($B815="","",SUMIF(CalcPartyB,$B815,CalcDepB))</f>
        <v/>
      </c>
      <c r="H815" s="29">
        <f>IF($B815="","",$E815-$F815+$G815)</f>
        <v/>
      </c>
      <c r="I815" s="27">
        <f>IF($B815="","",IF(ROUND($H815,0)&gt;0,"● بستانکار",IF(ROUND($H815,0)&lt;0,"● بدهکار","تسویه")))</f>
        <v/>
      </c>
    </row>
    <row r="816">
      <c r="A816" s="21">
        <f>IF($B816="","",807)</f>
        <v/>
      </c>
      <c r="B816" s="32">
        <f>IF(807&gt;NBskParty,"",INDEX(PkBskParty,807))</f>
        <v/>
      </c>
      <c r="C816" s="25">
        <f>IF($B816="","",IFERROR(IF(VLOOKUP($B816,AcctTbl,4,0)="","(بدون نام)",VLOOKUP($B816,AcctTbl,4,0)),"—"))</f>
        <v/>
      </c>
      <c r="D816" s="23">
        <f>IF($B816="","",SUMIF(CalcPartyA,$B816,CalcQtyA))</f>
        <v/>
      </c>
      <c r="E816" s="23">
        <f>IF($B816="","",SUMIF(CalcPartyA,$B816,CalcAmtA))</f>
        <v/>
      </c>
      <c r="F816" s="23">
        <f>IF($B816="","",SUMIF(CalcPartyB,$B816,CalcWitB))</f>
        <v/>
      </c>
      <c r="G816" s="23">
        <f>IF($B816="","",SUMIF(CalcPartyB,$B816,CalcDepB))</f>
        <v/>
      </c>
      <c r="H816" s="24">
        <f>IF($B816="","",$E816-$F816+$G816)</f>
        <v/>
      </c>
      <c r="I816" s="22">
        <f>IF($B816="","",IF(ROUND($H816,0)&gt;0,"● بستانکار",IF(ROUND($H816,0)&lt;0,"● بدهکار","تسویه")))</f>
        <v/>
      </c>
    </row>
    <row r="817">
      <c r="A817" s="26">
        <f>IF($B817="","",808)</f>
        <v/>
      </c>
      <c r="B817" s="33">
        <f>IF(808&gt;NBskParty,"",INDEX(PkBskParty,808))</f>
        <v/>
      </c>
      <c r="C817" s="30">
        <f>IF($B817="","",IFERROR(IF(VLOOKUP($B817,AcctTbl,4,0)="","(بدون نام)",VLOOKUP($B817,AcctTbl,4,0)),"—"))</f>
        <v/>
      </c>
      <c r="D817" s="28">
        <f>IF($B817="","",SUMIF(CalcPartyA,$B817,CalcQtyA))</f>
        <v/>
      </c>
      <c r="E817" s="28">
        <f>IF($B817="","",SUMIF(CalcPartyA,$B817,CalcAmtA))</f>
        <v/>
      </c>
      <c r="F817" s="28">
        <f>IF($B817="","",SUMIF(CalcPartyB,$B817,CalcWitB))</f>
        <v/>
      </c>
      <c r="G817" s="28">
        <f>IF($B817="","",SUMIF(CalcPartyB,$B817,CalcDepB))</f>
        <v/>
      </c>
      <c r="H817" s="29">
        <f>IF($B817="","",$E817-$F817+$G817)</f>
        <v/>
      </c>
      <c r="I817" s="27">
        <f>IF($B817="","",IF(ROUND($H817,0)&gt;0,"● بستانکار",IF(ROUND($H817,0)&lt;0,"● بدهکار","تسویه")))</f>
        <v/>
      </c>
    </row>
    <row r="818">
      <c r="A818" s="21">
        <f>IF($B818="","",809)</f>
        <v/>
      </c>
      <c r="B818" s="32">
        <f>IF(809&gt;NBskParty,"",INDEX(PkBskParty,809))</f>
        <v/>
      </c>
      <c r="C818" s="25">
        <f>IF($B818="","",IFERROR(IF(VLOOKUP($B818,AcctTbl,4,0)="","(بدون نام)",VLOOKUP($B818,AcctTbl,4,0)),"—"))</f>
        <v/>
      </c>
      <c r="D818" s="23">
        <f>IF($B818="","",SUMIF(CalcPartyA,$B818,CalcQtyA))</f>
        <v/>
      </c>
      <c r="E818" s="23">
        <f>IF($B818="","",SUMIF(CalcPartyA,$B818,CalcAmtA))</f>
        <v/>
      </c>
      <c r="F818" s="23">
        <f>IF($B818="","",SUMIF(CalcPartyB,$B818,CalcWitB))</f>
        <v/>
      </c>
      <c r="G818" s="23">
        <f>IF($B818="","",SUMIF(CalcPartyB,$B818,CalcDepB))</f>
        <v/>
      </c>
      <c r="H818" s="24">
        <f>IF($B818="","",$E818-$F818+$G818)</f>
        <v/>
      </c>
      <c r="I818" s="22">
        <f>IF($B818="","",IF(ROUND($H818,0)&gt;0,"● بستانکار",IF(ROUND($H818,0)&lt;0,"● بدهکار","تسویه")))</f>
        <v/>
      </c>
    </row>
    <row r="819">
      <c r="A819" s="26">
        <f>IF($B819="","",810)</f>
        <v/>
      </c>
      <c r="B819" s="33">
        <f>IF(810&gt;NBskParty,"",INDEX(PkBskParty,810))</f>
        <v/>
      </c>
      <c r="C819" s="30">
        <f>IF($B819="","",IFERROR(IF(VLOOKUP($B819,AcctTbl,4,0)="","(بدون نام)",VLOOKUP($B819,AcctTbl,4,0)),"—"))</f>
        <v/>
      </c>
      <c r="D819" s="28">
        <f>IF($B819="","",SUMIF(CalcPartyA,$B819,CalcQtyA))</f>
        <v/>
      </c>
      <c r="E819" s="28">
        <f>IF($B819="","",SUMIF(CalcPartyA,$B819,CalcAmtA))</f>
        <v/>
      </c>
      <c r="F819" s="28">
        <f>IF($B819="","",SUMIF(CalcPartyB,$B819,CalcWitB))</f>
        <v/>
      </c>
      <c r="G819" s="28">
        <f>IF($B819="","",SUMIF(CalcPartyB,$B819,CalcDepB))</f>
        <v/>
      </c>
      <c r="H819" s="29">
        <f>IF($B819="","",$E819-$F819+$G819)</f>
        <v/>
      </c>
      <c r="I819" s="27">
        <f>IF($B819="","",IF(ROUND($H819,0)&gt;0,"● بستانکار",IF(ROUND($H819,0)&lt;0,"● بدهکار","تسویه")))</f>
        <v/>
      </c>
    </row>
    <row r="820">
      <c r="A820" s="21">
        <f>IF($B820="","",811)</f>
        <v/>
      </c>
      <c r="B820" s="32">
        <f>IF(811&gt;NBskParty,"",INDEX(PkBskParty,811))</f>
        <v/>
      </c>
      <c r="C820" s="25">
        <f>IF($B820="","",IFERROR(IF(VLOOKUP($B820,AcctTbl,4,0)="","(بدون نام)",VLOOKUP($B820,AcctTbl,4,0)),"—"))</f>
        <v/>
      </c>
      <c r="D820" s="23">
        <f>IF($B820="","",SUMIF(CalcPartyA,$B820,CalcQtyA))</f>
        <v/>
      </c>
      <c r="E820" s="23">
        <f>IF($B820="","",SUMIF(CalcPartyA,$B820,CalcAmtA))</f>
        <v/>
      </c>
      <c r="F820" s="23">
        <f>IF($B820="","",SUMIF(CalcPartyB,$B820,CalcWitB))</f>
        <v/>
      </c>
      <c r="G820" s="23">
        <f>IF($B820="","",SUMIF(CalcPartyB,$B820,CalcDepB))</f>
        <v/>
      </c>
      <c r="H820" s="24">
        <f>IF($B820="","",$E820-$F820+$G820)</f>
        <v/>
      </c>
      <c r="I820" s="22">
        <f>IF($B820="","",IF(ROUND($H820,0)&gt;0,"● بستانکار",IF(ROUND($H820,0)&lt;0,"● بدهکار","تسویه")))</f>
        <v/>
      </c>
    </row>
    <row r="821">
      <c r="A821" s="26">
        <f>IF($B821="","",812)</f>
        <v/>
      </c>
      <c r="B821" s="33">
        <f>IF(812&gt;NBskParty,"",INDEX(PkBskParty,812))</f>
        <v/>
      </c>
      <c r="C821" s="30">
        <f>IF($B821="","",IFERROR(IF(VLOOKUP($B821,AcctTbl,4,0)="","(بدون نام)",VLOOKUP($B821,AcctTbl,4,0)),"—"))</f>
        <v/>
      </c>
      <c r="D821" s="28">
        <f>IF($B821="","",SUMIF(CalcPartyA,$B821,CalcQtyA))</f>
        <v/>
      </c>
      <c r="E821" s="28">
        <f>IF($B821="","",SUMIF(CalcPartyA,$B821,CalcAmtA))</f>
        <v/>
      </c>
      <c r="F821" s="28">
        <f>IF($B821="","",SUMIF(CalcPartyB,$B821,CalcWitB))</f>
        <v/>
      </c>
      <c r="G821" s="28">
        <f>IF($B821="","",SUMIF(CalcPartyB,$B821,CalcDepB))</f>
        <v/>
      </c>
      <c r="H821" s="29">
        <f>IF($B821="","",$E821-$F821+$G821)</f>
        <v/>
      </c>
      <c r="I821" s="27">
        <f>IF($B821="","",IF(ROUND($H821,0)&gt;0,"● بستانکار",IF(ROUND($H821,0)&lt;0,"● بدهکار","تسویه")))</f>
        <v/>
      </c>
    </row>
    <row r="822">
      <c r="A822" s="21">
        <f>IF($B822="","",813)</f>
        <v/>
      </c>
      <c r="B822" s="32">
        <f>IF(813&gt;NBskParty,"",INDEX(PkBskParty,813))</f>
        <v/>
      </c>
      <c r="C822" s="25">
        <f>IF($B822="","",IFERROR(IF(VLOOKUP($B822,AcctTbl,4,0)="","(بدون نام)",VLOOKUP($B822,AcctTbl,4,0)),"—"))</f>
        <v/>
      </c>
      <c r="D822" s="23">
        <f>IF($B822="","",SUMIF(CalcPartyA,$B822,CalcQtyA))</f>
        <v/>
      </c>
      <c r="E822" s="23">
        <f>IF($B822="","",SUMIF(CalcPartyA,$B822,CalcAmtA))</f>
        <v/>
      </c>
      <c r="F822" s="23">
        <f>IF($B822="","",SUMIF(CalcPartyB,$B822,CalcWitB))</f>
        <v/>
      </c>
      <c r="G822" s="23">
        <f>IF($B822="","",SUMIF(CalcPartyB,$B822,CalcDepB))</f>
        <v/>
      </c>
      <c r="H822" s="24">
        <f>IF($B822="","",$E822-$F822+$G822)</f>
        <v/>
      </c>
      <c r="I822" s="22">
        <f>IF($B822="","",IF(ROUND($H822,0)&gt;0,"● بستانکار",IF(ROUND($H822,0)&lt;0,"● بدهکار","تسویه")))</f>
        <v/>
      </c>
    </row>
    <row r="823">
      <c r="A823" s="26">
        <f>IF($B823="","",814)</f>
        <v/>
      </c>
      <c r="B823" s="33">
        <f>IF(814&gt;NBskParty,"",INDEX(PkBskParty,814))</f>
        <v/>
      </c>
      <c r="C823" s="30">
        <f>IF($B823="","",IFERROR(IF(VLOOKUP($B823,AcctTbl,4,0)="","(بدون نام)",VLOOKUP($B823,AcctTbl,4,0)),"—"))</f>
        <v/>
      </c>
      <c r="D823" s="28">
        <f>IF($B823="","",SUMIF(CalcPartyA,$B823,CalcQtyA))</f>
        <v/>
      </c>
      <c r="E823" s="28">
        <f>IF($B823="","",SUMIF(CalcPartyA,$B823,CalcAmtA))</f>
        <v/>
      </c>
      <c r="F823" s="28">
        <f>IF($B823="","",SUMIF(CalcPartyB,$B823,CalcWitB))</f>
        <v/>
      </c>
      <c r="G823" s="28">
        <f>IF($B823="","",SUMIF(CalcPartyB,$B823,CalcDepB))</f>
        <v/>
      </c>
      <c r="H823" s="29">
        <f>IF($B823="","",$E823-$F823+$G823)</f>
        <v/>
      </c>
      <c r="I823" s="27">
        <f>IF($B823="","",IF(ROUND($H823,0)&gt;0,"● بستانکار",IF(ROUND($H823,0)&lt;0,"● بدهکار","تسویه")))</f>
        <v/>
      </c>
    </row>
    <row r="824">
      <c r="A824" s="21">
        <f>IF($B824="","",815)</f>
        <v/>
      </c>
      <c r="B824" s="32">
        <f>IF(815&gt;NBskParty,"",INDEX(PkBskParty,815))</f>
        <v/>
      </c>
      <c r="C824" s="25">
        <f>IF($B824="","",IFERROR(IF(VLOOKUP($B824,AcctTbl,4,0)="","(بدون نام)",VLOOKUP($B824,AcctTbl,4,0)),"—"))</f>
        <v/>
      </c>
      <c r="D824" s="23">
        <f>IF($B824="","",SUMIF(CalcPartyA,$B824,CalcQtyA))</f>
        <v/>
      </c>
      <c r="E824" s="23">
        <f>IF($B824="","",SUMIF(CalcPartyA,$B824,CalcAmtA))</f>
        <v/>
      </c>
      <c r="F824" s="23">
        <f>IF($B824="","",SUMIF(CalcPartyB,$B824,CalcWitB))</f>
        <v/>
      </c>
      <c r="G824" s="23">
        <f>IF($B824="","",SUMIF(CalcPartyB,$B824,CalcDepB))</f>
        <v/>
      </c>
      <c r="H824" s="24">
        <f>IF($B824="","",$E824-$F824+$G824)</f>
        <v/>
      </c>
      <c r="I824" s="22">
        <f>IF($B824="","",IF(ROUND($H824,0)&gt;0,"● بستانکار",IF(ROUND($H824,0)&lt;0,"● بدهکار","تسویه")))</f>
        <v/>
      </c>
    </row>
    <row r="825">
      <c r="A825" s="26">
        <f>IF($B825="","",816)</f>
        <v/>
      </c>
      <c r="B825" s="33">
        <f>IF(816&gt;NBskParty,"",INDEX(PkBskParty,816))</f>
        <v/>
      </c>
      <c r="C825" s="30">
        <f>IF($B825="","",IFERROR(IF(VLOOKUP($B825,AcctTbl,4,0)="","(بدون نام)",VLOOKUP($B825,AcctTbl,4,0)),"—"))</f>
        <v/>
      </c>
      <c r="D825" s="28">
        <f>IF($B825="","",SUMIF(CalcPartyA,$B825,CalcQtyA))</f>
        <v/>
      </c>
      <c r="E825" s="28">
        <f>IF($B825="","",SUMIF(CalcPartyA,$B825,CalcAmtA))</f>
        <v/>
      </c>
      <c r="F825" s="28">
        <f>IF($B825="","",SUMIF(CalcPartyB,$B825,CalcWitB))</f>
        <v/>
      </c>
      <c r="G825" s="28">
        <f>IF($B825="","",SUMIF(CalcPartyB,$B825,CalcDepB))</f>
        <v/>
      </c>
      <c r="H825" s="29">
        <f>IF($B825="","",$E825-$F825+$G825)</f>
        <v/>
      </c>
      <c r="I825" s="27">
        <f>IF($B825="","",IF(ROUND($H825,0)&gt;0,"● بستانکار",IF(ROUND($H825,0)&lt;0,"● بدهکار","تسویه")))</f>
        <v/>
      </c>
    </row>
    <row r="826">
      <c r="A826" s="21">
        <f>IF($B826="","",817)</f>
        <v/>
      </c>
      <c r="B826" s="32">
        <f>IF(817&gt;NBskParty,"",INDEX(PkBskParty,817))</f>
        <v/>
      </c>
      <c r="C826" s="25">
        <f>IF($B826="","",IFERROR(IF(VLOOKUP($B826,AcctTbl,4,0)="","(بدون نام)",VLOOKUP($B826,AcctTbl,4,0)),"—"))</f>
        <v/>
      </c>
      <c r="D826" s="23">
        <f>IF($B826="","",SUMIF(CalcPartyA,$B826,CalcQtyA))</f>
        <v/>
      </c>
      <c r="E826" s="23">
        <f>IF($B826="","",SUMIF(CalcPartyA,$B826,CalcAmtA))</f>
        <v/>
      </c>
      <c r="F826" s="23">
        <f>IF($B826="","",SUMIF(CalcPartyB,$B826,CalcWitB))</f>
        <v/>
      </c>
      <c r="G826" s="23">
        <f>IF($B826="","",SUMIF(CalcPartyB,$B826,CalcDepB))</f>
        <v/>
      </c>
      <c r="H826" s="24">
        <f>IF($B826="","",$E826-$F826+$G826)</f>
        <v/>
      </c>
      <c r="I826" s="22">
        <f>IF($B826="","",IF(ROUND($H826,0)&gt;0,"● بستانکار",IF(ROUND($H826,0)&lt;0,"● بدهکار","تسویه")))</f>
        <v/>
      </c>
    </row>
    <row r="827">
      <c r="A827" s="26">
        <f>IF($B827="","",818)</f>
        <v/>
      </c>
      <c r="B827" s="33">
        <f>IF(818&gt;NBskParty,"",INDEX(PkBskParty,818))</f>
        <v/>
      </c>
      <c r="C827" s="30">
        <f>IF($B827="","",IFERROR(IF(VLOOKUP($B827,AcctTbl,4,0)="","(بدون نام)",VLOOKUP($B827,AcctTbl,4,0)),"—"))</f>
        <v/>
      </c>
      <c r="D827" s="28">
        <f>IF($B827="","",SUMIF(CalcPartyA,$B827,CalcQtyA))</f>
        <v/>
      </c>
      <c r="E827" s="28">
        <f>IF($B827="","",SUMIF(CalcPartyA,$B827,CalcAmtA))</f>
        <v/>
      </c>
      <c r="F827" s="28">
        <f>IF($B827="","",SUMIF(CalcPartyB,$B827,CalcWitB))</f>
        <v/>
      </c>
      <c r="G827" s="28">
        <f>IF($B827="","",SUMIF(CalcPartyB,$B827,CalcDepB))</f>
        <v/>
      </c>
      <c r="H827" s="29">
        <f>IF($B827="","",$E827-$F827+$G827)</f>
        <v/>
      </c>
      <c r="I827" s="27">
        <f>IF($B827="","",IF(ROUND($H827,0)&gt;0,"● بستانکار",IF(ROUND($H827,0)&lt;0,"● بدهکار","تسویه")))</f>
        <v/>
      </c>
    </row>
    <row r="828">
      <c r="A828" s="21">
        <f>IF($B828="","",819)</f>
        <v/>
      </c>
      <c r="B828" s="32">
        <f>IF(819&gt;NBskParty,"",INDEX(PkBskParty,819))</f>
        <v/>
      </c>
      <c r="C828" s="25">
        <f>IF($B828="","",IFERROR(IF(VLOOKUP($B828,AcctTbl,4,0)="","(بدون نام)",VLOOKUP($B828,AcctTbl,4,0)),"—"))</f>
        <v/>
      </c>
      <c r="D828" s="23">
        <f>IF($B828="","",SUMIF(CalcPartyA,$B828,CalcQtyA))</f>
        <v/>
      </c>
      <c r="E828" s="23">
        <f>IF($B828="","",SUMIF(CalcPartyA,$B828,CalcAmtA))</f>
        <v/>
      </c>
      <c r="F828" s="23">
        <f>IF($B828="","",SUMIF(CalcPartyB,$B828,CalcWitB))</f>
        <v/>
      </c>
      <c r="G828" s="23">
        <f>IF($B828="","",SUMIF(CalcPartyB,$B828,CalcDepB))</f>
        <v/>
      </c>
      <c r="H828" s="24">
        <f>IF($B828="","",$E828-$F828+$G828)</f>
        <v/>
      </c>
      <c r="I828" s="22">
        <f>IF($B828="","",IF(ROUND($H828,0)&gt;0,"● بستانکار",IF(ROUND($H828,0)&lt;0,"● بدهکار","تسویه")))</f>
        <v/>
      </c>
    </row>
    <row r="829">
      <c r="A829" s="26">
        <f>IF($B829="","",820)</f>
        <v/>
      </c>
      <c r="B829" s="33">
        <f>IF(820&gt;NBskParty,"",INDEX(PkBskParty,820))</f>
        <v/>
      </c>
      <c r="C829" s="30">
        <f>IF($B829="","",IFERROR(IF(VLOOKUP($B829,AcctTbl,4,0)="","(بدون نام)",VLOOKUP($B829,AcctTbl,4,0)),"—"))</f>
        <v/>
      </c>
      <c r="D829" s="28">
        <f>IF($B829="","",SUMIF(CalcPartyA,$B829,CalcQtyA))</f>
        <v/>
      </c>
      <c r="E829" s="28">
        <f>IF($B829="","",SUMIF(CalcPartyA,$B829,CalcAmtA))</f>
        <v/>
      </c>
      <c r="F829" s="28">
        <f>IF($B829="","",SUMIF(CalcPartyB,$B829,CalcWitB))</f>
        <v/>
      </c>
      <c r="G829" s="28">
        <f>IF($B829="","",SUMIF(CalcPartyB,$B829,CalcDepB))</f>
        <v/>
      </c>
      <c r="H829" s="29">
        <f>IF($B829="","",$E829-$F829+$G829)</f>
        <v/>
      </c>
      <c r="I829" s="27">
        <f>IF($B829="","",IF(ROUND($H829,0)&gt;0,"● بستانکار",IF(ROUND($H829,0)&lt;0,"● بدهکار","تسویه")))</f>
        <v/>
      </c>
    </row>
    <row r="830">
      <c r="A830" s="21">
        <f>IF($B830="","",821)</f>
        <v/>
      </c>
      <c r="B830" s="32">
        <f>IF(821&gt;NBskParty,"",INDEX(PkBskParty,821))</f>
        <v/>
      </c>
      <c r="C830" s="25">
        <f>IF($B830="","",IFERROR(IF(VLOOKUP($B830,AcctTbl,4,0)="","(بدون نام)",VLOOKUP($B830,AcctTbl,4,0)),"—"))</f>
        <v/>
      </c>
      <c r="D830" s="23">
        <f>IF($B830="","",SUMIF(CalcPartyA,$B830,CalcQtyA))</f>
        <v/>
      </c>
      <c r="E830" s="23">
        <f>IF($B830="","",SUMIF(CalcPartyA,$B830,CalcAmtA))</f>
        <v/>
      </c>
      <c r="F830" s="23">
        <f>IF($B830="","",SUMIF(CalcPartyB,$B830,CalcWitB))</f>
        <v/>
      </c>
      <c r="G830" s="23">
        <f>IF($B830="","",SUMIF(CalcPartyB,$B830,CalcDepB))</f>
        <v/>
      </c>
      <c r="H830" s="24">
        <f>IF($B830="","",$E830-$F830+$G830)</f>
        <v/>
      </c>
      <c r="I830" s="22">
        <f>IF($B830="","",IF(ROUND($H830,0)&gt;0,"● بستانکار",IF(ROUND($H830,0)&lt;0,"● بدهکار","تسویه")))</f>
        <v/>
      </c>
    </row>
    <row r="831">
      <c r="A831" s="26">
        <f>IF($B831="","",822)</f>
        <v/>
      </c>
      <c r="B831" s="33">
        <f>IF(822&gt;NBskParty,"",INDEX(PkBskParty,822))</f>
        <v/>
      </c>
      <c r="C831" s="30">
        <f>IF($B831="","",IFERROR(IF(VLOOKUP($B831,AcctTbl,4,0)="","(بدون نام)",VLOOKUP($B831,AcctTbl,4,0)),"—"))</f>
        <v/>
      </c>
      <c r="D831" s="28">
        <f>IF($B831="","",SUMIF(CalcPartyA,$B831,CalcQtyA))</f>
        <v/>
      </c>
      <c r="E831" s="28">
        <f>IF($B831="","",SUMIF(CalcPartyA,$B831,CalcAmtA))</f>
        <v/>
      </c>
      <c r="F831" s="28">
        <f>IF($B831="","",SUMIF(CalcPartyB,$B831,CalcWitB))</f>
        <v/>
      </c>
      <c r="G831" s="28">
        <f>IF($B831="","",SUMIF(CalcPartyB,$B831,CalcDepB))</f>
        <v/>
      </c>
      <c r="H831" s="29">
        <f>IF($B831="","",$E831-$F831+$G831)</f>
        <v/>
      </c>
      <c r="I831" s="27">
        <f>IF($B831="","",IF(ROUND($H831,0)&gt;0,"● بستانکار",IF(ROUND($H831,0)&lt;0,"● بدهکار","تسویه")))</f>
        <v/>
      </c>
    </row>
    <row r="832">
      <c r="A832" s="21">
        <f>IF($B832="","",823)</f>
        <v/>
      </c>
      <c r="B832" s="32">
        <f>IF(823&gt;NBskParty,"",INDEX(PkBskParty,823))</f>
        <v/>
      </c>
      <c r="C832" s="25">
        <f>IF($B832="","",IFERROR(IF(VLOOKUP($B832,AcctTbl,4,0)="","(بدون نام)",VLOOKUP($B832,AcctTbl,4,0)),"—"))</f>
        <v/>
      </c>
      <c r="D832" s="23">
        <f>IF($B832="","",SUMIF(CalcPartyA,$B832,CalcQtyA))</f>
        <v/>
      </c>
      <c r="E832" s="23">
        <f>IF($B832="","",SUMIF(CalcPartyA,$B832,CalcAmtA))</f>
        <v/>
      </c>
      <c r="F832" s="23">
        <f>IF($B832="","",SUMIF(CalcPartyB,$B832,CalcWitB))</f>
        <v/>
      </c>
      <c r="G832" s="23">
        <f>IF($B832="","",SUMIF(CalcPartyB,$B832,CalcDepB))</f>
        <v/>
      </c>
      <c r="H832" s="24">
        <f>IF($B832="","",$E832-$F832+$G832)</f>
        <v/>
      </c>
      <c r="I832" s="22">
        <f>IF($B832="","",IF(ROUND($H832,0)&gt;0,"● بستانکار",IF(ROUND($H832,0)&lt;0,"● بدهکار","تسویه")))</f>
        <v/>
      </c>
    </row>
    <row r="833">
      <c r="A833" s="26">
        <f>IF($B833="","",824)</f>
        <v/>
      </c>
      <c r="B833" s="33">
        <f>IF(824&gt;NBskParty,"",INDEX(PkBskParty,824))</f>
        <v/>
      </c>
      <c r="C833" s="30">
        <f>IF($B833="","",IFERROR(IF(VLOOKUP($B833,AcctTbl,4,0)="","(بدون نام)",VLOOKUP($B833,AcctTbl,4,0)),"—"))</f>
        <v/>
      </c>
      <c r="D833" s="28">
        <f>IF($B833="","",SUMIF(CalcPartyA,$B833,CalcQtyA))</f>
        <v/>
      </c>
      <c r="E833" s="28">
        <f>IF($B833="","",SUMIF(CalcPartyA,$B833,CalcAmtA))</f>
        <v/>
      </c>
      <c r="F833" s="28">
        <f>IF($B833="","",SUMIF(CalcPartyB,$B833,CalcWitB))</f>
        <v/>
      </c>
      <c r="G833" s="28">
        <f>IF($B833="","",SUMIF(CalcPartyB,$B833,CalcDepB))</f>
        <v/>
      </c>
      <c r="H833" s="29">
        <f>IF($B833="","",$E833-$F833+$G833)</f>
        <v/>
      </c>
      <c r="I833" s="27">
        <f>IF($B833="","",IF(ROUND($H833,0)&gt;0,"● بستانکار",IF(ROUND($H833,0)&lt;0,"● بدهکار","تسویه")))</f>
        <v/>
      </c>
    </row>
    <row r="834">
      <c r="A834" s="21">
        <f>IF($B834="","",825)</f>
        <v/>
      </c>
      <c r="B834" s="32">
        <f>IF(825&gt;NBskParty,"",INDEX(PkBskParty,825))</f>
        <v/>
      </c>
      <c r="C834" s="25">
        <f>IF($B834="","",IFERROR(IF(VLOOKUP($B834,AcctTbl,4,0)="","(بدون نام)",VLOOKUP($B834,AcctTbl,4,0)),"—"))</f>
        <v/>
      </c>
      <c r="D834" s="23">
        <f>IF($B834="","",SUMIF(CalcPartyA,$B834,CalcQtyA))</f>
        <v/>
      </c>
      <c r="E834" s="23">
        <f>IF($B834="","",SUMIF(CalcPartyA,$B834,CalcAmtA))</f>
        <v/>
      </c>
      <c r="F834" s="23">
        <f>IF($B834="","",SUMIF(CalcPartyB,$B834,CalcWitB))</f>
        <v/>
      </c>
      <c r="G834" s="23">
        <f>IF($B834="","",SUMIF(CalcPartyB,$B834,CalcDepB))</f>
        <v/>
      </c>
      <c r="H834" s="24">
        <f>IF($B834="","",$E834-$F834+$G834)</f>
        <v/>
      </c>
      <c r="I834" s="22">
        <f>IF($B834="","",IF(ROUND($H834,0)&gt;0,"● بستانکار",IF(ROUND($H834,0)&lt;0,"● بدهکار","تسویه")))</f>
        <v/>
      </c>
    </row>
    <row r="835">
      <c r="A835" s="26">
        <f>IF($B835="","",826)</f>
        <v/>
      </c>
      <c r="B835" s="33">
        <f>IF(826&gt;NBskParty,"",INDEX(PkBskParty,826))</f>
        <v/>
      </c>
      <c r="C835" s="30">
        <f>IF($B835="","",IFERROR(IF(VLOOKUP($B835,AcctTbl,4,0)="","(بدون نام)",VLOOKUP($B835,AcctTbl,4,0)),"—"))</f>
        <v/>
      </c>
      <c r="D835" s="28">
        <f>IF($B835="","",SUMIF(CalcPartyA,$B835,CalcQtyA))</f>
        <v/>
      </c>
      <c r="E835" s="28">
        <f>IF($B835="","",SUMIF(CalcPartyA,$B835,CalcAmtA))</f>
        <v/>
      </c>
      <c r="F835" s="28">
        <f>IF($B835="","",SUMIF(CalcPartyB,$B835,CalcWitB))</f>
        <v/>
      </c>
      <c r="G835" s="28">
        <f>IF($B835="","",SUMIF(CalcPartyB,$B835,CalcDepB))</f>
        <v/>
      </c>
      <c r="H835" s="29">
        <f>IF($B835="","",$E835-$F835+$G835)</f>
        <v/>
      </c>
      <c r="I835" s="27">
        <f>IF($B835="","",IF(ROUND($H835,0)&gt;0,"● بستانکار",IF(ROUND($H835,0)&lt;0,"● بدهکار","تسویه")))</f>
        <v/>
      </c>
    </row>
    <row r="836">
      <c r="A836" s="21">
        <f>IF($B836="","",827)</f>
        <v/>
      </c>
      <c r="B836" s="32">
        <f>IF(827&gt;NBskParty,"",INDEX(PkBskParty,827))</f>
        <v/>
      </c>
      <c r="C836" s="25">
        <f>IF($B836="","",IFERROR(IF(VLOOKUP($B836,AcctTbl,4,0)="","(بدون نام)",VLOOKUP($B836,AcctTbl,4,0)),"—"))</f>
        <v/>
      </c>
      <c r="D836" s="23">
        <f>IF($B836="","",SUMIF(CalcPartyA,$B836,CalcQtyA))</f>
        <v/>
      </c>
      <c r="E836" s="23">
        <f>IF($B836="","",SUMIF(CalcPartyA,$B836,CalcAmtA))</f>
        <v/>
      </c>
      <c r="F836" s="23">
        <f>IF($B836="","",SUMIF(CalcPartyB,$B836,CalcWitB))</f>
        <v/>
      </c>
      <c r="G836" s="23">
        <f>IF($B836="","",SUMIF(CalcPartyB,$B836,CalcDepB))</f>
        <v/>
      </c>
      <c r="H836" s="24">
        <f>IF($B836="","",$E836-$F836+$G836)</f>
        <v/>
      </c>
      <c r="I836" s="22">
        <f>IF($B836="","",IF(ROUND($H836,0)&gt;0,"● بستانکار",IF(ROUND($H836,0)&lt;0,"● بدهکار","تسویه")))</f>
        <v/>
      </c>
    </row>
    <row r="837">
      <c r="A837" s="26">
        <f>IF($B837="","",828)</f>
        <v/>
      </c>
      <c r="B837" s="33">
        <f>IF(828&gt;NBskParty,"",INDEX(PkBskParty,828))</f>
        <v/>
      </c>
      <c r="C837" s="30">
        <f>IF($B837="","",IFERROR(IF(VLOOKUP($B837,AcctTbl,4,0)="","(بدون نام)",VLOOKUP($B837,AcctTbl,4,0)),"—"))</f>
        <v/>
      </c>
      <c r="D837" s="28">
        <f>IF($B837="","",SUMIF(CalcPartyA,$B837,CalcQtyA))</f>
        <v/>
      </c>
      <c r="E837" s="28">
        <f>IF($B837="","",SUMIF(CalcPartyA,$B837,CalcAmtA))</f>
        <v/>
      </c>
      <c r="F837" s="28">
        <f>IF($B837="","",SUMIF(CalcPartyB,$B837,CalcWitB))</f>
        <v/>
      </c>
      <c r="G837" s="28">
        <f>IF($B837="","",SUMIF(CalcPartyB,$B837,CalcDepB))</f>
        <v/>
      </c>
      <c r="H837" s="29">
        <f>IF($B837="","",$E837-$F837+$G837)</f>
        <v/>
      </c>
      <c r="I837" s="27">
        <f>IF($B837="","",IF(ROUND($H837,0)&gt;0,"● بستانکار",IF(ROUND($H837,0)&lt;0,"● بدهکار","تسویه")))</f>
        <v/>
      </c>
    </row>
    <row r="838">
      <c r="A838" s="21">
        <f>IF($B838="","",829)</f>
        <v/>
      </c>
      <c r="B838" s="32">
        <f>IF(829&gt;NBskParty,"",INDEX(PkBskParty,829))</f>
        <v/>
      </c>
      <c r="C838" s="25">
        <f>IF($B838="","",IFERROR(IF(VLOOKUP($B838,AcctTbl,4,0)="","(بدون نام)",VLOOKUP($B838,AcctTbl,4,0)),"—"))</f>
        <v/>
      </c>
      <c r="D838" s="23">
        <f>IF($B838="","",SUMIF(CalcPartyA,$B838,CalcQtyA))</f>
        <v/>
      </c>
      <c r="E838" s="23">
        <f>IF($B838="","",SUMIF(CalcPartyA,$B838,CalcAmtA))</f>
        <v/>
      </c>
      <c r="F838" s="23">
        <f>IF($B838="","",SUMIF(CalcPartyB,$B838,CalcWitB))</f>
        <v/>
      </c>
      <c r="G838" s="23">
        <f>IF($B838="","",SUMIF(CalcPartyB,$B838,CalcDepB))</f>
        <v/>
      </c>
      <c r="H838" s="24">
        <f>IF($B838="","",$E838-$F838+$G838)</f>
        <v/>
      </c>
      <c r="I838" s="22">
        <f>IF($B838="","",IF(ROUND($H838,0)&gt;0,"● بستانکار",IF(ROUND($H838,0)&lt;0,"● بدهکار","تسویه")))</f>
        <v/>
      </c>
    </row>
    <row r="839">
      <c r="A839" s="26">
        <f>IF($B839="","",830)</f>
        <v/>
      </c>
      <c r="B839" s="33">
        <f>IF(830&gt;NBskParty,"",INDEX(PkBskParty,830))</f>
        <v/>
      </c>
      <c r="C839" s="30">
        <f>IF($B839="","",IFERROR(IF(VLOOKUP($B839,AcctTbl,4,0)="","(بدون نام)",VLOOKUP($B839,AcctTbl,4,0)),"—"))</f>
        <v/>
      </c>
      <c r="D839" s="28">
        <f>IF($B839="","",SUMIF(CalcPartyA,$B839,CalcQtyA))</f>
        <v/>
      </c>
      <c r="E839" s="28">
        <f>IF($B839="","",SUMIF(CalcPartyA,$B839,CalcAmtA))</f>
        <v/>
      </c>
      <c r="F839" s="28">
        <f>IF($B839="","",SUMIF(CalcPartyB,$B839,CalcWitB))</f>
        <v/>
      </c>
      <c r="G839" s="28">
        <f>IF($B839="","",SUMIF(CalcPartyB,$B839,CalcDepB))</f>
        <v/>
      </c>
      <c r="H839" s="29">
        <f>IF($B839="","",$E839-$F839+$G839)</f>
        <v/>
      </c>
      <c r="I839" s="27">
        <f>IF($B839="","",IF(ROUND($H839,0)&gt;0,"● بستانکار",IF(ROUND($H839,0)&lt;0,"● بدهکار","تسویه")))</f>
        <v/>
      </c>
    </row>
    <row r="840">
      <c r="A840" s="21">
        <f>IF($B840="","",831)</f>
        <v/>
      </c>
      <c r="B840" s="32">
        <f>IF(831&gt;NBskParty,"",INDEX(PkBskParty,831))</f>
        <v/>
      </c>
      <c r="C840" s="25">
        <f>IF($B840="","",IFERROR(IF(VLOOKUP($B840,AcctTbl,4,0)="","(بدون نام)",VLOOKUP($B840,AcctTbl,4,0)),"—"))</f>
        <v/>
      </c>
      <c r="D840" s="23">
        <f>IF($B840="","",SUMIF(CalcPartyA,$B840,CalcQtyA))</f>
        <v/>
      </c>
      <c r="E840" s="23">
        <f>IF($B840="","",SUMIF(CalcPartyA,$B840,CalcAmtA))</f>
        <v/>
      </c>
      <c r="F840" s="23">
        <f>IF($B840="","",SUMIF(CalcPartyB,$B840,CalcWitB))</f>
        <v/>
      </c>
      <c r="G840" s="23">
        <f>IF($B840="","",SUMIF(CalcPartyB,$B840,CalcDepB))</f>
        <v/>
      </c>
      <c r="H840" s="24">
        <f>IF($B840="","",$E840-$F840+$G840)</f>
        <v/>
      </c>
      <c r="I840" s="22">
        <f>IF($B840="","",IF(ROUND($H840,0)&gt;0,"● بستانکار",IF(ROUND($H840,0)&lt;0,"● بدهکار","تسویه")))</f>
        <v/>
      </c>
    </row>
    <row r="841">
      <c r="A841" s="26">
        <f>IF($B841="","",832)</f>
        <v/>
      </c>
      <c r="B841" s="33">
        <f>IF(832&gt;NBskParty,"",INDEX(PkBskParty,832))</f>
        <v/>
      </c>
      <c r="C841" s="30">
        <f>IF($B841="","",IFERROR(IF(VLOOKUP($B841,AcctTbl,4,0)="","(بدون نام)",VLOOKUP($B841,AcctTbl,4,0)),"—"))</f>
        <v/>
      </c>
      <c r="D841" s="28">
        <f>IF($B841="","",SUMIF(CalcPartyA,$B841,CalcQtyA))</f>
        <v/>
      </c>
      <c r="E841" s="28">
        <f>IF($B841="","",SUMIF(CalcPartyA,$B841,CalcAmtA))</f>
        <v/>
      </c>
      <c r="F841" s="28">
        <f>IF($B841="","",SUMIF(CalcPartyB,$B841,CalcWitB))</f>
        <v/>
      </c>
      <c r="G841" s="28">
        <f>IF($B841="","",SUMIF(CalcPartyB,$B841,CalcDepB))</f>
        <v/>
      </c>
      <c r="H841" s="29">
        <f>IF($B841="","",$E841-$F841+$G841)</f>
        <v/>
      </c>
      <c r="I841" s="27">
        <f>IF($B841="","",IF(ROUND($H841,0)&gt;0,"● بستانکار",IF(ROUND($H841,0)&lt;0,"● بدهکار","تسویه")))</f>
        <v/>
      </c>
    </row>
    <row r="842">
      <c r="A842" s="21">
        <f>IF($B842="","",833)</f>
        <v/>
      </c>
      <c r="B842" s="32">
        <f>IF(833&gt;NBskParty,"",INDEX(PkBskParty,833))</f>
        <v/>
      </c>
      <c r="C842" s="25">
        <f>IF($B842="","",IFERROR(IF(VLOOKUP($B842,AcctTbl,4,0)="","(بدون نام)",VLOOKUP($B842,AcctTbl,4,0)),"—"))</f>
        <v/>
      </c>
      <c r="D842" s="23">
        <f>IF($B842="","",SUMIF(CalcPartyA,$B842,CalcQtyA))</f>
        <v/>
      </c>
      <c r="E842" s="23">
        <f>IF($B842="","",SUMIF(CalcPartyA,$B842,CalcAmtA))</f>
        <v/>
      </c>
      <c r="F842" s="23">
        <f>IF($B842="","",SUMIF(CalcPartyB,$B842,CalcWitB))</f>
        <v/>
      </c>
      <c r="G842" s="23">
        <f>IF($B842="","",SUMIF(CalcPartyB,$B842,CalcDepB))</f>
        <v/>
      </c>
      <c r="H842" s="24">
        <f>IF($B842="","",$E842-$F842+$G842)</f>
        <v/>
      </c>
      <c r="I842" s="22">
        <f>IF($B842="","",IF(ROUND($H842,0)&gt;0,"● بستانکار",IF(ROUND($H842,0)&lt;0,"● بدهکار","تسویه")))</f>
        <v/>
      </c>
    </row>
    <row r="843">
      <c r="A843" s="26">
        <f>IF($B843="","",834)</f>
        <v/>
      </c>
      <c r="B843" s="33">
        <f>IF(834&gt;NBskParty,"",INDEX(PkBskParty,834))</f>
        <v/>
      </c>
      <c r="C843" s="30">
        <f>IF($B843="","",IFERROR(IF(VLOOKUP($B843,AcctTbl,4,0)="","(بدون نام)",VLOOKUP($B843,AcctTbl,4,0)),"—"))</f>
        <v/>
      </c>
      <c r="D843" s="28">
        <f>IF($B843="","",SUMIF(CalcPartyA,$B843,CalcQtyA))</f>
        <v/>
      </c>
      <c r="E843" s="28">
        <f>IF($B843="","",SUMIF(CalcPartyA,$B843,CalcAmtA))</f>
        <v/>
      </c>
      <c r="F843" s="28">
        <f>IF($B843="","",SUMIF(CalcPartyB,$B843,CalcWitB))</f>
        <v/>
      </c>
      <c r="G843" s="28">
        <f>IF($B843="","",SUMIF(CalcPartyB,$B843,CalcDepB))</f>
        <v/>
      </c>
      <c r="H843" s="29">
        <f>IF($B843="","",$E843-$F843+$G843)</f>
        <v/>
      </c>
      <c r="I843" s="27">
        <f>IF($B843="","",IF(ROUND($H843,0)&gt;0,"● بستانکار",IF(ROUND($H843,0)&lt;0,"● بدهکار","تسویه")))</f>
        <v/>
      </c>
    </row>
    <row r="844">
      <c r="A844" s="21">
        <f>IF($B844="","",835)</f>
        <v/>
      </c>
      <c r="B844" s="32">
        <f>IF(835&gt;NBskParty,"",INDEX(PkBskParty,835))</f>
        <v/>
      </c>
      <c r="C844" s="25">
        <f>IF($B844="","",IFERROR(IF(VLOOKUP($B844,AcctTbl,4,0)="","(بدون نام)",VLOOKUP($B844,AcctTbl,4,0)),"—"))</f>
        <v/>
      </c>
      <c r="D844" s="23">
        <f>IF($B844="","",SUMIF(CalcPartyA,$B844,CalcQtyA))</f>
        <v/>
      </c>
      <c r="E844" s="23">
        <f>IF($B844="","",SUMIF(CalcPartyA,$B844,CalcAmtA))</f>
        <v/>
      </c>
      <c r="F844" s="23">
        <f>IF($B844="","",SUMIF(CalcPartyB,$B844,CalcWitB))</f>
        <v/>
      </c>
      <c r="G844" s="23">
        <f>IF($B844="","",SUMIF(CalcPartyB,$B844,CalcDepB))</f>
        <v/>
      </c>
      <c r="H844" s="24">
        <f>IF($B844="","",$E844-$F844+$G844)</f>
        <v/>
      </c>
      <c r="I844" s="22">
        <f>IF($B844="","",IF(ROUND($H844,0)&gt;0,"● بستانکار",IF(ROUND($H844,0)&lt;0,"● بدهکار","تسویه")))</f>
        <v/>
      </c>
    </row>
    <row r="845">
      <c r="A845" s="26">
        <f>IF($B845="","",836)</f>
        <v/>
      </c>
      <c r="B845" s="33">
        <f>IF(836&gt;NBskParty,"",INDEX(PkBskParty,836))</f>
        <v/>
      </c>
      <c r="C845" s="30">
        <f>IF($B845="","",IFERROR(IF(VLOOKUP($B845,AcctTbl,4,0)="","(بدون نام)",VLOOKUP($B845,AcctTbl,4,0)),"—"))</f>
        <v/>
      </c>
      <c r="D845" s="28">
        <f>IF($B845="","",SUMIF(CalcPartyA,$B845,CalcQtyA))</f>
        <v/>
      </c>
      <c r="E845" s="28">
        <f>IF($B845="","",SUMIF(CalcPartyA,$B845,CalcAmtA))</f>
        <v/>
      </c>
      <c r="F845" s="28">
        <f>IF($B845="","",SUMIF(CalcPartyB,$B845,CalcWitB))</f>
        <v/>
      </c>
      <c r="G845" s="28">
        <f>IF($B845="","",SUMIF(CalcPartyB,$B845,CalcDepB))</f>
        <v/>
      </c>
      <c r="H845" s="29">
        <f>IF($B845="","",$E845-$F845+$G845)</f>
        <v/>
      </c>
      <c r="I845" s="27">
        <f>IF($B845="","",IF(ROUND($H845,0)&gt;0,"● بستانکار",IF(ROUND($H845,0)&lt;0,"● بدهکار","تسویه")))</f>
        <v/>
      </c>
    </row>
    <row r="846">
      <c r="A846" s="21">
        <f>IF($B846="","",837)</f>
        <v/>
      </c>
      <c r="B846" s="32">
        <f>IF(837&gt;NBskParty,"",INDEX(PkBskParty,837))</f>
        <v/>
      </c>
      <c r="C846" s="25">
        <f>IF($B846="","",IFERROR(IF(VLOOKUP($B846,AcctTbl,4,0)="","(بدون نام)",VLOOKUP($B846,AcctTbl,4,0)),"—"))</f>
        <v/>
      </c>
      <c r="D846" s="23">
        <f>IF($B846="","",SUMIF(CalcPartyA,$B846,CalcQtyA))</f>
        <v/>
      </c>
      <c r="E846" s="23">
        <f>IF($B846="","",SUMIF(CalcPartyA,$B846,CalcAmtA))</f>
        <v/>
      </c>
      <c r="F846" s="23">
        <f>IF($B846="","",SUMIF(CalcPartyB,$B846,CalcWitB))</f>
        <v/>
      </c>
      <c r="G846" s="23">
        <f>IF($B846="","",SUMIF(CalcPartyB,$B846,CalcDepB))</f>
        <v/>
      </c>
      <c r="H846" s="24">
        <f>IF($B846="","",$E846-$F846+$G846)</f>
        <v/>
      </c>
      <c r="I846" s="22">
        <f>IF($B846="","",IF(ROUND($H846,0)&gt;0,"● بستانکار",IF(ROUND($H846,0)&lt;0,"● بدهکار","تسویه")))</f>
        <v/>
      </c>
    </row>
    <row r="847">
      <c r="A847" s="26">
        <f>IF($B847="","",838)</f>
        <v/>
      </c>
      <c r="B847" s="33">
        <f>IF(838&gt;NBskParty,"",INDEX(PkBskParty,838))</f>
        <v/>
      </c>
      <c r="C847" s="30">
        <f>IF($B847="","",IFERROR(IF(VLOOKUP($B847,AcctTbl,4,0)="","(بدون نام)",VLOOKUP($B847,AcctTbl,4,0)),"—"))</f>
        <v/>
      </c>
      <c r="D847" s="28">
        <f>IF($B847="","",SUMIF(CalcPartyA,$B847,CalcQtyA))</f>
        <v/>
      </c>
      <c r="E847" s="28">
        <f>IF($B847="","",SUMIF(CalcPartyA,$B847,CalcAmtA))</f>
        <v/>
      </c>
      <c r="F847" s="28">
        <f>IF($B847="","",SUMIF(CalcPartyB,$B847,CalcWitB))</f>
        <v/>
      </c>
      <c r="G847" s="28">
        <f>IF($B847="","",SUMIF(CalcPartyB,$B847,CalcDepB))</f>
        <v/>
      </c>
      <c r="H847" s="29">
        <f>IF($B847="","",$E847-$F847+$G847)</f>
        <v/>
      </c>
      <c r="I847" s="27">
        <f>IF($B847="","",IF(ROUND($H847,0)&gt;0,"● بستانکار",IF(ROUND($H847,0)&lt;0,"● بدهکار","تسویه")))</f>
        <v/>
      </c>
    </row>
    <row r="848">
      <c r="A848" s="21">
        <f>IF($B848="","",839)</f>
        <v/>
      </c>
      <c r="B848" s="32">
        <f>IF(839&gt;NBskParty,"",INDEX(PkBskParty,839))</f>
        <v/>
      </c>
      <c r="C848" s="25">
        <f>IF($B848="","",IFERROR(IF(VLOOKUP($B848,AcctTbl,4,0)="","(بدون نام)",VLOOKUP($B848,AcctTbl,4,0)),"—"))</f>
        <v/>
      </c>
      <c r="D848" s="23">
        <f>IF($B848="","",SUMIF(CalcPartyA,$B848,CalcQtyA))</f>
        <v/>
      </c>
      <c r="E848" s="23">
        <f>IF($B848="","",SUMIF(CalcPartyA,$B848,CalcAmtA))</f>
        <v/>
      </c>
      <c r="F848" s="23">
        <f>IF($B848="","",SUMIF(CalcPartyB,$B848,CalcWitB))</f>
        <v/>
      </c>
      <c r="G848" s="23">
        <f>IF($B848="","",SUMIF(CalcPartyB,$B848,CalcDepB))</f>
        <v/>
      </c>
      <c r="H848" s="24">
        <f>IF($B848="","",$E848-$F848+$G848)</f>
        <v/>
      </c>
      <c r="I848" s="22">
        <f>IF($B848="","",IF(ROUND($H848,0)&gt;0,"● بستانکار",IF(ROUND($H848,0)&lt;0,"● بدهکار","تسویه")))</f>
        <v/>
      </c>
    </row>
    <row r="849">
      <c r="A849" s="26">
        <f>IF($B849="","",840)</f>
        <v/>
      </c>
      <c r="B849" s="33">
        <f>IF(840&gt;NBskParty,"",INDEX(PkBskParty,840))</f>
        <v/>
      </c>
      <c r="C849" s="30">
        <f>IF($B849="","",IFERROR(IF(VLOOKUP($B849,AcctTbl,4,0)="","(بدون نام)",VLOOKUP($B849,AcctTbl,4,0)),"—"))</f>
        <v/>
      </c>
      <c r="D849" s="28">
        <f>IF($B849="","",SUMIF(CalcPartyA,$B849,CalcQtyA))</f>
        <v/>
      </c>
      <c r="E849" s="28">
        <f>IF($B849="","",SUMIF(CalcPartyA,$B849,CalcAmtA))</f>
        <v/>
      </c>
      <c r="F849" s="28">
        <f>IF($B849="","",SUMIF(CalcPartyB,$B849,CalcWitB))</f>
        <v/>
      </c>
      <c r="G849" s="28">
        <f>IF($B849="","",SUMIF(CalcPartyB,$B849,CalcDepB))</f>
        <v/>
      </c>
      <c r="H849" s="29">
        <f>IF($B849="","",$E849-$F849+$G849)</f>
        <v/>
      </c>
      <c r="I849" s="27">
        <f>IF($B849="","",IF(ROUND($H849,0)&gt;0,"● بستانکار",IF(ROUND($H849,0)&lt;0,"● بدهکار","تسویه")))</f>
        <v/>
      </c>
    </row>
    <row r="850">
      <c r="A850" s="21">
        <f>IF($B850="","",841)</f>
        <v/>
      </c>
      <c r="B850" s="32">
        <f>IF(841&gt;NBskParty,"",INDEX(PkBskParty,841))</f>
        <v/>
      </c>
      <c r="C850" s="25">
        <f>IF($B850="","",IFERROR(IF(VLOOKUP($B850,AcctTbl,4,0)="","(بدون نام)",VLOOKUP($B850,AcctTbl,4,0)),"—"))</f>
        <v/>
      </c>
      <c r="D850" s="23">
        <f>IF($B850="","",SUMIF(CalcPartyA,$B850,CalcQtyA))</f>
        <v/>
      </c>
      <c r="E850" s="23">
        <f>IF($B850="","",SUMIF(CalcPartyA,$B850,CalcAmtA))</f>
        <v/>
      </c>
      <c r="F850" s="23">
        <f>IF($B850="","",SUMIF(CalcPartyB,$B850,CalcWitB))</f>
        <v/>
      </c>
      <c r="G850" s="23">
        <f>IF($B850="","",SUMIF(CalcPartyB,$B850,CalcDepB))</f>
        <v/>
      </c>
      <c r="H850" s="24">
        <f>IF($B850="","",$E850-$F850+$G850)</f>
        <v/>
      </c>
      <c r="I850" s="22">
        <f>IF($B850="","",IF(ROUND($H850,0)&gt;0,"● بستانکار",IF(ROUND($H850,0)&lt;0,"● بدهکار","تسویه")))</f>
        <v/>
      </c>
    </row>
    <row r="851">
      <c r="A851" s="26">
        <f>IF($B851="","",842)</f>
        <v/>
      </c>
      <c r="B851" s="33">
        <f>IF(842&gt;NBskParty,"",INDEX(PkBskParty,842))</f>
        <v/>
      </c>
      <c r="C851" s="30">
        <f>IF($B851="","",IFERROR(IF(VLOOKUP($B851,AcctTbl,4,0)="","(بدون نام)",VLOOKUP($B851,AcctTbl,4,0)),"—"))</f>
        <v/>
      </c>
      <c r="D851" s="28">
        <f>IF($B851="","",SUMIF(CalcPartyA,$B851,CalcQtyA))</f>
        <v/>
      </c>
      <c r="E851" s="28">
        <f>IF($B851="","",SUMIF(CalcPartyA,$B851,CalcAmtA))</f>
        <v/>
      </c>
      <c r="F851" s="28">
        <f>IF($B851="","",SUMIF(CalcPartyB,$B851,CalcWitB))</f>
        <v/>
      </c>
      <c r="G851" s="28">
        <f>IF($B851="","",SUMIF(CalcPartyB,$B851,CalcDepB))</f>
        <v/>
      </c>
      <c r="H851" s="29">
        <f>IF($B851="","",$E851-$F851+$G851)</f>
        <v/>
      </c>
      <c r="I851" s="27">
        <f>IF($B851="","",IF(ROUND($H851,0)&gt;0,"● بستانکار",IF(ROUND($H851,0)&lt;0,"● بدهکار","تسویه")))</f>
        <v/>
      </c>
    </row>
    <row r="852">
      <c r="A852" s="21">
        <f>IF($B852="","",843)</f>
        <v/>
      </c>
      <c r="B852" s="32">
        <f>IF(843&gt;NBskParty,"",INDEX(PkBskParty,843))</f>
        <v/>
      </c>
      <c r="C852" s="25">
        <f>IF($B852="","",IFERROR(IF(VLOOKUP($B852,AcctTbl,4,0)="","(بدون نام)",VLOOKUP($B852,AcctTbl,4,0)),"—"))</f>
        <v/>
      </c>
      <c r="D852" s="23">
        <f>IF($B852="","",SUMIF(CalcPartyA,$B852,CalcQtyA))</f>
        <v/>
      </c>
      <c r="E852" s="23">
        <f>IF($B852="","",SUMIF(CalcPartyA,$B852,CalcAmtA))</f>
        <v/>
      </c>
      <c r="F852" s="23">
        <f>IF($B852="","",SUMIF(CalcPartyB,$B852,CalcWitB))</f>
        <v/>
      </c>
      <c r="G852" s="23">
        <f>IF($B852="","",SUMIF(CalcPartyB,$B852,CalcDepB))</f>
        <v/>
      </c>
      <c r="H852" s="24">
        <f>IF($B852="","",$E852-$F852+$G852)</f>
        <v/>
      </c>
      <c r="I852" s="22">
        <f>IF($B852="","",IF(ROUND($H852,0)&gt;0,"● بستانکار",IF(ROUND($H852,0)&lt;0,"● بدهکار","تسویه")))</f>
        <v/>
      </c>
    </row>
    <row r="853">
      <c r="A853" s="26">
        <f>IF($B853="","",844)</f>
        <v/>
      </c>
      <c r="B853" s="33">
        <f>IF(844&gt;NBskParty,"",INDEX(PkBskParty,844))</f>
        <v/>
      </c>
      <c r="C853" s="30">
        <f>IF($B853="","",IFERROR(IF(VLOOKUP($B853,AcctTbl,4,0)="","(بدون نام)",VLOOKUP($B853,AcctTbl,4,0)),"—"))</f>
        <v/>
      </c>
      <c r="D853" s="28">
        <f>IF($B853="","",SUMIF(CalcPartyA,$B853,CalcQtyA))</f>
        <v/>
      </c>
      <c r="E853" s="28">
        <f>IF($B853="","",SUMIF(CalcPartyA,$B853,CalcAmtA))</f>
        <v/>
      </c>
      <c r="F853" s="28">
        <f>IF($B853="","",SUMIF(CalcPartyB,$B853,CalcWitB))</f>
        <v/>
      </c>
      <c r="G853" s="28">
        <f>IF($B853="","",SUMIF(CalcPartyB,$B853,CalcDepB))</f>
        <v/>
      </c>
      <c r="H853" s="29">
        <f>IF($B853="","",$E853-$F853+$G853)</f>
        <v/>
      </c>
      <c r="I853" s="27">
        <f>IF($B853="","",IF(ROUND($H853,0)&gt;0,"● بستانکار",IF(ROUND($H853,0)&lt;0,"● بدهکار","تسویه")))</f>
        <v/>
      </c>
    </row>
    <row r="854">
      <c r="A854" s="21">
        <f>IF($B854="","",845)</f>
        <v/>
      </c>
      <c r="B854" s="32">
        <f>IF(845&gt;NBskParty,"",INDEX(PkBskParty,845))</f>
        <v/>
      </c>
      <c r="C854" s="25">
        <f>IF($B854="","",IFERROR(IF(VLOOKUP($B854,AcctTbl,4,0)="","(بدون نام)",VLOOKUP($B854,AcctTbl,4,0)),"—"))</f>
        <v/>
      </c>
      <c r="D854" s="23">
        <f>IF($B854="","",SUMIF(CalcPartyA,$B854,CalcQtyA))</f>
        <v/>
      </c>
      <c r="E854" s="23">
        <f>IF($B854="","",SUMIF(CalcPartyA,$B854,CalcAmtA))</f>
        <v/>
      </c>
      <c r="F854" s="23">
        <f>IF($B854="","",SUMIF(CalcPartyB,$B854,CalcWitB))</f>
        <v/>
      </c>
      <c r="G854" s="23">
        <f>IF($B854="","",SUMIF(CalcPartyB,$B854,CalcDepB))</f>
        <v/>
      </c>
      <c r="H854" s="24">
        <f>IF($B854="","",$E854-$F854+$G854)</f>
        <v/>
      </c>
      <c r="I854" s="22">
        <f>IF($B854="","",IF(ROUND($H854,0)&gt;0,"● بستانکار",IF(ROUND($H854,0)&lt;0,"● بدهکار","تسویه")))</f>
        <v/>
      </c>
    </row>
    <row r="855">
      <c r="A855" s="26">
        <f>IF($B855="","",846)</f>
        <v/>
      </c>
      <c r="B855" s="33">
        <f>IF(846&gt;NBskParty,"",INDEX(PkBskParty,846))</f>
        <v/>
      </c>
      <c r="C855" s="30">
        <f>IF($B855="","",IFERROR(IF(VLOOKUP($B855,AcctTbl,4,0)="","(بدون نام)",VLOOKUP($B855,AcctTbl,4,0)),"—"))</f>
        <v/>
      </c>
      <c r="D855" s="28">
        <f>IF($B855="","",SUMIF(CalcPartyA,$B855,CalcQtyA))</f>
        <v/>
      </c>
      <c r="E855" s="28">
        <f>IF($B855="","",SUMIF(CalcPartyA,$B855,CalcAmtA))</f>
        <v/>
      </c>
      <c r="F855" s="28">
        <f>IF($B855="","",SUMIF(CalcPartyB,$B855,CalcWitB))</f>
        <v/>
      </c>
      <c r="G855" s="28">
        <f>IF($B855="","",SUMIF(CalcPartyB,$B855,CalcDepB))</f>
        <v/>
      </c>
      <c r="H855" s="29">
        <f>IF($B855="","",$E855-$F855+$G855)</f>
        <v/>
      </c>
      <c r="I855" s="27">
        <f>IF($B855="","",IF(ROUND($H855,0)&gt;0,"● بستانکار",IF(ROUND($H855,0)&lt;0,"● بدهکار","تسویه")))</f>
        <v/>
      </c>
    </row>
    <row r="856">
      <c r="A856" s="21">
        <f>IF($B856="","",847)</f>
        <v/>
      </c>
      <c r="B856" s="32">
        <f>IF(847&gt;NBskParty,"",INDEX(PkBskParty,847))</f>
        <v/>
      </c>
      <c r="C856" s="25">
        <f>IF($B856="","",IFERROR(IF(VLOOKUP($B856,AcctTbl,4,0)="","(بدون نام)",VLOOKUP($B856,AcctTbl,4,0)),"—"))</f>
        <v/>
      </c>
      <c r="D856" s="23">
        <f>IF($B856="","",SUMIF(CalcPartyA,$B856,CalcQtyA))</f>
        <v/>
      </c>
      <c r="E856" s="23">
        <f>IF($B856="","",SUMIF(CalcPartyA,$B856,CalcAmtA))</f>
        <v/>
      </c>
      <c r="F856" s="23">
        <f>IF($B856="","",SUMIF(CalcPartyB,$B856,CalcWitB))</f>
        <v/>
      </c>
      <c r="G856" s="23">
        <f>IF($B856="","",SUMIF(CalcPartyB,$B856,CalcDepB))</f>
        <v/>
      </c>
      <c r="H856" s="24">
        <f>IF($B856="","",$E856-$F856+$G856)</f>
        <v/>
      </c>
      <c r="I856" s="22">
        <f>IF($B856="","",IF(ROUND($H856,0)&gt;0,"● بستانکار",IF(ROUND($H856,0)&lt;0,"● بدهکار","تسویه")))</f>
        <v/>
      </c>
    </row>
    <row r="857">
      <c r="A857" s="26">
        <f>IF($B857="","",848)</f>
        <v/>
      </c>
      <c r="B857" s="33">
        <f>IF(848&gt;NBskParty,"",INDEX(PkBskParty,848))</f>
        <v/>
      </c>
      <c r="C857" s="30">
        <f>IF($B857="","",IFERROR(IF(VLOOKUP($B857,AcctTbl,4,0)="","(بدون نام)",VLOOKUP($B857,AcctTbl,4,0)),"—"))</f>
        <v/>
      </c>
      <c r="D857" s="28">
        <f>IF($B857="","",SUMIF(CalcPartyA,$B857,CalcQtyA))</f>
        <v/>
      </c>
      <c r="E857" s="28">
        <f>IF($B857="","",SUMIF(CalcPartyA,$B857,CalcAmtA))</f>
        <v/>
      </c>
      <c r="F857" s="28">
        <f>IF($B857="","",SUMIF(CalcPartyB,$B857,CalcWitB))</f>
        <v/>
      </c>
      <c r="G857" s="28">
        <f>IF($B857="","",SUMIF(CalcPartyB,$B857,CalcDepB))</f>
        <v/>
      </c>
      <c r="H857" s="29">
        <f>IF($B857="","",$E857-$F857+$G857)</f>
        <v/>
      </c>
      <c r="I857" s="27">
        <f>IF($B857="","",IF(ROUND($H857,0)&gt;0,"● بستانکار",IF(ROUND($H857,0)&lt;0,"● بدهکار","تسویه")))</f>
        <v/>
      </c>
    </row>
    <row r="858">
      <c r="A858" s="21">
        <f>IF($B858="","",849)</f>
        <v/>
      </c>
      <c r="B858" s="32">
        <f>IF(849&gt;NBskParty,"",INDEX(PkBskParty,849))</f>
        <v/>
      </c>
      <c r="C858" s="25">
        <f>IF($B858="","",IFERROR(IF(VLOOKUP($B858,AcctTbl,4,0)="","(بدون نام)",VLOOKUP($B858,AcctTbl,4,0)),"—"))</f>
        <v/>
      </c>
      <c r="D858" s="23">
        <f>IF($B858="","",SUMIF(CalcPartyA,$B858,CalcQtyA))</f>
        <v/>
      </c>
      <c r="E858" s="23">
        <f>IF($B858="","",SUMIF(CalcPartyA,$B858,CalcAmtA))</f>
        <v/>
      </c>
      <c r="F858" s="23">
        <f>IF($B858="","",SUMIF(CalcPartyB,$B858,CalcWitB))</f>
        <v/>
      </c>
      <c r="G858" s="23">
        <f>IF($B858="","",SUMIF(CalcPartyB,$B858,CalcDepB))</f>
        <v/>
      </c>
      <c r="H858" s="24">
        <f>IF($B858="","",$E858-$F858+$G858)</f>
        <v/>
      </c>
      <c r="I858" s="22">
        <f>IF($B858="","",IF(ROUND($H858,0)&gt;0,"● بستانکار",IF(ROUND($H858,0)&lt;0,"● بدهکار","تسویه")))</f>
        <v/>
      </c>
    </row>
    <row r="859">
      <c r="A859" s="26">
        <f>IF($B859="","",850)</f>
        <v/>
      </c>
      <c r="B859" s="33">
        <f>IF(850&gt;NBskParty,"",INDEX(PkBskParty,850))</f>
        <v/>
      </c>
      <c r="C859" s="30">
        <f>IF($B859="","",IFERROR(IF(VLOOKUP($B859,AcctTbl,4,0)="","(بدون نام)",VLOOKUP($B859,AcctTbl,4,0)),"—"))</f>
        <v/>
      </c>
      <c r="D859" s="28">
        <f>IF($B859="","",SUMIF(CalcPartyA,$B859,CalcQtyA))</f>
        <v/>
      </c>
      <c r="E859" s="28">
        <f>IF($B859="","",SUMIF(CalcPartyA,$B859,CalcAmtA))</f>
        <v/>
      </c>
      <c r="F859" s="28">
        <f>IF($B859="","",SUMIF(CalcPartyB,$B859,CalcWitB))</f>
        <v/>
      </c>
      <c r="G859" s="28">
        <f>IF($B859="","",SUMIF(CalcPartyB,$B859,CalcDepB))</f>
        <v/>
      </c>
      <c r="H859" s="29">
        <f>IF($B859="","",$E859-$F859+$G859)</f>
        <v/>
      </c>
      <c r="I859" s="27">
        <f>IF($B859="","",IF(ROUND($H859,0)&gt;0,"● بستانکار",IF(ROUND($H859,0)&lt;0,"● بدهکار","تسویه")))</f>
        <v/>
      </c>
    </row>
    <row r="860">
      <c r="A860" s="21">
        <f>IF($B860="","",851)</f>
        <v/>
      </c>
      <c r="B860" s="32">
        <f>IF(851&gt;NBskParty,"",INDEX(PkBskParty,851))</f>
        <v/>
      </c>
      <c r="C860" s="25">
        <f>IF($B860="","",IFERROR(IF(VLOOKUP($B860,AcctTbl,4,0)="","(بدون نام)",VLOOKUP($B860,AcctTbl,4,0)),"—"))</f>
        <v/>
      </c>
      <c r="D860" s="23">
        <f>IF($B860="","",SUMIF(CalcPartyA,$B860,CalcQtyA))</f>
        <v/>
      </c>
      <c r="E860" s="23">
        <f>IF($B860="","",SUMIF(CalcPartyA,$B860,CalcAmtA))</f>
        <v/>
      </c>
      <c r="F860" s="23">
        <f>IF($B860="","",SUMIF(CalcPartyB,$B860,CalcWitB))</f>
        <v/>
      </c>
      <c r="G860" s="23">
        <f>IF($B860="","",SUMIF(CalcPartyB,$B860,CalcDepB))</f>
        <v/>
      </c>
      <c r="H860" s="24">
        <f>IF($B860="","",$E860-$F860+$G860)</f>
        <v/>
      </c>
      <c r="I860" s="22">
        <f>IF($B860="","",IF(ROUND($H860,0)&gt;0,"● بستانکار",IF(ROUND($H860,0)&lt;0,"● بدهکار","تسویه")))</f>
        <v/>
      </c>
    </row>
    <row r="861">
      <c r="A861" s="26">
        <f>IF($B861="","",852)</f>
        <v/>
      </c>
      <c r="B861" s="33">
        <f>IF(852&gt;NBskParty,"",INDEX(PkBskParty,852))</f>
        <v/>
      </c>
      <c r="C861" s="30">
        <f>IF($B861="","",IFERROR(IF(VLOOKUP($B861,AcctTbl,4,0)="","(بدون نام)",VLOOKUP($B861,AcctTbl,4,0)),"—"))</f>
        <v/>
      </c>
      <c r="D861" s="28">
        <f>IF($B861="","",SUMIF(CalcPartyA,$B861,CalcQtyA))</f>
        <v/>
      </c>
      <c r="E861" s="28">
        <f>IF($B861="","",SUMIF(CalcPartyA,$B861,CalcAmtA))</f>
        <v/>
      </c>
      <c r="F861" s="28">
        <f>IF($B861="","",SUMIF(CalcPartyB,$B861,CalcWitB))</f>
        <v/>
      </c>
      <c r="G861" s="28">
        <f>IF($B861="","",SUMIF(CalcPartyB,$B861,CalcDepB))</f>
        <v/>
      </c>
      <c r="H861" s="29">
        <f>IF($B861="","",$E861-$F861+$G861)</f>
        <v/>
      </c>
      <c r="I861" s="27">
        <f>IF($B861="","",IF(ROUND($H861,0)&gt;0,"● بستانکار",IF(ROUND($H861,0)&lt;0,"● بدهکار","تسویه")))</f>
        <v/>
      </c>
    </row>
    <row r="862">
      <c r="A862" s="21">
        <f>IF($B862="","",853)</f>
        <v/>
      </c>
      <c r="B862" s="32">
        <f>IF(853&gt;NBskParty,"",INDEX(PkBskParty,853))</f>
        <v/>
      </c>
      <c r="C862" s="25">
        <f>IF($B862="","",IFERROR(IF(VLOOKUP($B862,AcctTbl,4,0)="","(بدون نام)",VLOOKUP($B862,AcctTbl,4,0)),"—"))</f>
        <v/>
      </c>
      <c r="D862" s="23">
        <f>IF($B862="","",SUMIF(CalcPartyA,$B862,CalcQtyA))</f>
        <v/>
      </c>
      <c r="E862" s="23">
        <f>IF($B862="","",SUMIF(CalcPartyA,$B862,CalcAmtA))</f>
        <v/>
      </c>
      <c r="F862" s="23">
        <f>IF($B862="","",SUMIF(CalcPartyB,$B862,CalcWitB))</f>
        <v/>
      </c>
      <c r="G862" s="23">
        <f>IF($B862="","",SUMIF(CalcPartyB,$B862,CalcDepB))</f>
        <v/>
      </c>
      <c r="H862" s="24">
        <f>IF($B862="","",$E862-$F862+$G862)</f>
        <v/>
      </c>
      <c r="I862" s="22">
        <f>IF($B862="","",IF(ROUND($H862,0)&gt;0,"● بستانکار",IF(ROUND($H862,0)&lt;0,"● بدهکار","تسویه")))</f>
        <v/>
      </c>
    </row>
    <row r="863">
      <c r="A863" s="26">
        <f>IF($B863="","",854)</f>
        <v/>
      </c>
      <c r="B863" s="33">
        <f>IF(854&gt;NBskParty,"",INDEX(PkBskParty,854))</f>
        <v/>
      </c>
      <c r="C863" s="30">
        <f>IF($B863="","",IFERROR(IF(VLOOKUP($B863,AcctTbl,4,0)="","(بدون نام)",VLOOKUP($B863,AcctTbl,4,0)),"—"))</f>
        <v/>
      </c>
      <c r="D863" s="28">
        <f>IF($B863="","",SUMIF(CalcPartyA,$B863,CalcQtyA))</f>
        <v/>
      </c>
      <c r="E863" s="28">
        <f>IF($B863="","",SUMIF(CalcPartyA,$B863,CalcAmtA))</f>
        <v/>
      </c>
      <c r="F863" s="28">
        <f>IF($B863="","",SUMIF(CalcPartyB,$B863,CalcWitB))</f>
        <v/>
      </c>
      <c r="G863" s="28">
        <f>IF($B863="","",SUMIF(CalcPartyB,$B863,CalcDepB))</f>
        <v/>
      </c>
      <c r="H863" s="29">
        <f>IF($B863="","",$E863-$F863+$G863)</f>
        <v/>
      </c>
      <c r="I863" s="27">
        <f>IF($B863="","",IF(ROUND($H863,0)&gt;0,"● بستانکار",IF(ROUND($H863,0)&lt;0,"● بدهکار","تسویه")))</f>
        <v/>
      </c>
    </row>
    <row r="864">
      <c r="A864" s="21">
        <f>IF($B864="","",855)</f>
        <v/>
      </c>
      <c r="B864" s="32">
        <f>IF(855&gt;NBskParty,"",INDEX(PkBskParty,855))</f>
        <v/>
      </c>
      <c r="C864" s="25">
        <f>IF($B864="","",IFERROR(IF(VLOOKUP($B864,AcctTbl,4,0)="","(بدون نام)",VLOOKUP($B864,AcctTbl,4,0)),"—"))</f>
        <v/>
      </c>
      <c r="D864" s="23">
        <f>IF($B864="","",SUMIF(CalcPartyA,$B864,CalcQtyA))</f>
        <v/>
      </c>
      <c r="E864" s="23">
        <f>IF($B864="","",SUMIF(CalcPartyA,$B864,CalcAmtA))</f>
        <v/>
      </c>
      <c r="F864" s="23">
        <f>IF($B864="","",SUMIF(CalcPartyB,$B864,CalcWitB))</f>
        <v/>
      </c>
      <c r="G864" s="23">
        <f>IF($B864="","",SUMIF(CalcPartyB,$B864,CalcDepB))</f>
        <v/>
      </c>
      <c r="H864" s="24">
        <f>IF($B864="","",$E864-$F864+$G864)</f>
        <v/>
      </c>
      <c r="I864" s="22">
        <f>IF($B864="","",IF(ROUND($H864,0)&gt;0,"● بستانکار",IF(ROUND($H864,0)&lt;0,"● بدهکار","تسویه")))</f>
        <v/>
      </c>
    </row>
    <row r="865">
      <c r="A865" s="26">
        <f>IF($B865="","",856)</f>
        <v/>
      </c>
      <c r="B865" s="33">
        <f>IF(856&gt;NBskParty,"",INDEX(PkBskParty,856))</f>
        <v/>
      </c>
      <c r="C865" s="30">
        <f>IF($B865="","",IFERROR(IF(VLOOKUP($B865,AcctTbl,4,0)="","(بدون نام)",VLOOKUP($B865,AcctTbl,4,0)),"—"))</f>
        <v/>
      </c>
      <c r="D865" s="28">
        <f>IF($B865="","",SUMIF(CalcPartyA,$B865,CalcQtyA))</f>
        <v/>
      </c>
      <c r="E865" s="28">
        <f>IF($B865="","",SUMIF(CalcPartyA,$B865,CalcAmtA))</f>
        <v/>
      </c>
      <c r="F865" s="28">
        <f>IF($B865="","",SUMIF(CalcPartyB,$B865,CalcWitB))</f>
        <v/>
      </c>
      <c r="G865" s="28">
        <f>IF($B865="","",SUMIF(CalcPartyB,$B865,CalcDepB))</f>
        <v/>
      </c>
      <c r="H865" s="29">
        <f>IF($B865="","",$E865-$F865+$G865)</f>
        <v/>
      </c>
      <c r="I865" s="27">
        <f>IF($B865="","",IF(ROUND($H865,0)&gt;0,"● بستانکار",IF(ROUND($H865,0)&lt;0,"● بدهکار","تسویه")))</f>
        <v/>
      </c>
    </row>
    <row r="866">
      <c r="A866" s="21">
        <f>IF($B866="","",857)</f>
        <v/>
      </c>
      <c r="B866" s="32">
        <f>IF(857&gt;NBskParty,"",INDEX(PkBskParty,857))</f>
        <v/>
      </c>
      <c r="C866" s="25">
        <f>IF($B866="","",IFERROR(IF(VLOOKUP($B866,AcctTbl,4,0)="","(بدون نام)",VLOOKUP($B866,AcctTbl,4,0)),"—"))</f>
        <v/>
      </c>
      <c r="D866" s="23">
        <f>IF($B866="","",SUMIF(CalcPartyA,$B866,CalcQtyA))</f>
        <v/>
      </c>
      <c r="E866" s="23">
        <f>IF($B866="","",SUMIF(CalcPartyA,$B866,CalcAmtA))</f>
        <v/>
      </c>
      <c r="F866" s="23">
        <f>IF($B866="","",SUMIF(CalcPartyB,$B866,CalcWitB))</f>
        <v/>
      </c>
      <c r="G866" s="23">
        <f>IF($B866="","",SUMIF(CalcPartyB,$B866,CalcDepB))</f>
        <v/>
      </c>
      <c r="H866" s="24">
        <f>IF($B866="","",$E866-$F866+$G866)</f>
        <v/>
      </c>
      <c r="I866" s="22">
        <f>IF($B866="","",IF(ROUND($H866,0)&gt;0,"● بستانکار",IF(ROUND($H866,0)&lt;0,"● بدهکار","تسویه")))</f>
        <v/>
      </c>
    </row>
    <row r="867">
      <c r="A867" s="26">
        <f>IF($B867="","",858)</f>
        <v/>
      </c>
      <c r="B867" s="33">
        <f>IF(858&gt;NBskParty,"",INDEX(PkBskParty,858))</f>
        <v/>
      </c>
      <c r="C867" s="30">
        <f>IF($B867="","",IFERROR(IF(VLOOKUP($B867,AcctTbl,4,0)="","(بدون نام)",VLOOKUP($B867,AcctTbl,4,0)),"—"))</f>
        <v/>
      </c>
      <c r="D867" s="28">
        <f>IF($B867="","",SUMIF(CalcPartyA,$B867,CalcQtyA))</f>
        <v/>
      </c>
      <c r="E867" s="28">
        <f>IF($B867="","",SUMIF(CalcPartyA,$B867,CalcAmtA))</f>
        <v/>
      </c>
      <c r="F867" s="28">
        <f>IF($B867="","",SUMIF(CalcPartyB,$B867,CalcWitB))</f>
        <v/>
      </c>
      <c r="G867" s="28">
        <f>IF($B867="","",SUMIF(CalcPartyB,$B867,CalcDepB))</f>
        <v/>
      </c>
      <c r="H867" s="29">
        <f>IF($B867="","",$E867-$F867+$G867)</f>
        <v/>
      </c>
      <c r="I867" s="27">
        <f>IF($B867="","",IF(ROUND($H867,0)&gt;0,"● بستانکار",IF(ROUND($H867,0)&lt;0,"● بدهکار","تسویه")))</f>
        <v/>
      </c>
    </row>
    <row r="868">
      <c r="A868" s="21">
        <f>IF($B868="","",859)</f>
        <v/>
      </c>
      <c r="B868" s="32">
        <f>IF(859&gt;NBskParty,"",INDEX(PkBskParty,859))</f>
        <v/>
      </c>
      <c r="C868" s="25">
        <f>IF($B868="","",IFERROR(IF(VLOOKUP($B868,AcctTbl,4,0)="","(بدون نام)",VLOOKUP($B868,AcctTbl,4,0)),"—"))</f>
        <v/>
      </c>
      <c r="D868" s="23">
        <f>IF($B868="","",SUMIF(CalcPartyA,$B868,CalcQtyA))</f>
        <v/>
      </c>
      <c r="E868" s="23">
        <f>IF($B868="","",SUMIF(CalcPartyA,$B868,CalcAmtA))</f>
        <v/>
      </c>
      <c r="F868" s="23">
        <f>IF($B868="","",SUMIF(CalcPartyB,$B868,CalcWitB))</f>
        <v/>
      </c>
      <c r="G868" s="23">
        <f>IF($B868="","",SUMIF(CalcPartyB,$B868,CalcDepB))</f>
        <v/>
      </c>
      <c r="H868" s="24">
        <f>IF($B868="","",$E868-$F868+$G868)</f>
        <v/>
      </c>
      <c r="I868" s="22">
        <f>IF($B868="","",IF(ROUND($H868,0)&gt;0,"● بستانکار",IF(ROUND($H868,0)&lt;0,"● بدهکار","تسویه")))</f>
        <v/>
      </c>
    </row>
    <row r="869">
      <c r="A869" s="26">
        <f>IF($B869="","",860)</f>
        <v/>
      </c>
      <c r="B869" s="33">
        <f>IF(860&gt;NBskParty,"",INDEX(PkBskParty,860))</f>
        <v/>
      </c>
      <c r="C869" s="30">
        <f>IF($B869="","",IFERROR(IF(VLOOKUP($B869,AcctTbl,4,0)="","(بدون نام)",VLOOKUP($B869,AcctTbl,4,0)),"—"))</f>
        <v/>
      </c>
      <c r="D869" s="28">
        <f>IF($B869="","",SUMIF(CalcPartyA,$B869,CalcQtyA))</f>
        <v/>
      </c>
      <c r="E869" s="28">
        <f>IF($B869="","",SUMIF(CalcPartyA,$B869,CalcAmtA))</f>
        <v/>
      </c>
      <c r="F869" s="28">
        <f>IF($B869="","",SUMIF(CalcPartyB,$B869,CalcWitB))</f>
        <v/>
      </c>
      <c r="G869" s="28">
        <f>IF($B869="","",SUMIF(CalcPartyB,$B869,CalcDepB))</f>
        <v/>
      </c>
      <c r="H869" s="29">
        <f>IF($B869="","",$E869-$F869+$G869)</f>
        <v/>
      </c>
      <c r="I869" s="27">
        <f>IF($B869="","",IF(ROUND($H869,0)&gt;0,"● بستانکار",IF(ROUND($H869,0)&lt;0,"● بدهکار","تسویه")))</f>
        <v/>
      </c>
    </row>
    <row r="870">
      <c r="A870" s="21">
        <f>IF($B870="","",861)</f>
        <v/>
      </c>
      <c r="B870" s="32">
        <f>IF(861&gt;NBskParty,"",INDEX(PkBskParty,861))</f>
        <v/>
      </c>
      <c r="C870" s="25">
        <f>IF($B870="","",IFERROR(IF(VLOOKUP($B870,AcctTbl,4,0)="","(بدون نام)",VLOOKUP($B870,AcctTbl,4,0)),"—"))</f>
        <v/>
      </c>
      <c r="D870" s="23">
        <f>IF($B870="","",SUMIF(CalcPartyA,$B870,CalcQtyA))</f>
        <v/>
      </c>
      <c r="E870" s="23">
        <f>IF($B870="","",SUMIF(CalcPartyA,$B870,CalcAmtA))</f>
        <v/>
      </c>
      <c r="F870" s="23">
        <f>IF($B870="","",SUMIF(CalcPartyB,$B870,CalcWitB))</f>
        <v/>
      </c>
      <c r="G870" s="23">
        <f>IF($B870="","",SUMIF(CalcPartyB,$B870,CalcDepB))</f>
        <v/>
      </c>
      <c r="H870" s="24">
        <f>IF($B870="","",$E870-$F870+$G870)</f>
        <v/>
      </c>
      <c r="I870" s="22">
        <f>IF($B870="","",IF(ROUND($H870,0)&gt;0,"● بستانکار",IF(ROUND($H870,0)&lt;0,"● بدهکار","تسویه")))</f>
        <v/>
      </c>
    </row>
    <row r="871">
      <c r="A871" s="26">
        <f>IF($B871="","",862)</f>
        <v/>
      </c>
      <c r="B871" s="33">
        <f>IF(862&gt;NBskParty,"",INDEX(PkBskParty,862))</f>
        <v/>
      </c>
      <c r="C871" s="30">
        <f>IF($B871="","",IFERROR(IF(VLOOKUP($B871,AcctTbl,4,0)="","(بدون نام)",VLOOKUP($B871,AcctTbl,4,0)),"—"))</f>
        <v/>
      </c>
      <c r="D871" s="28">
        <f>IF($B871="","",SUMIF(CalcPartyA,$B871,CalcQtyA))</f>
        <v/>
      </c>
      <c r="E871" s="28">
        <f>IF($B871="","",SUMIF(CalcPartyA,$B871,CalcAmtA))</f>
        <v/>
      </c>
      <c r="F871" s="28">
        <f>IF($B871="","",SUMIF(CalcPartyB,$B871,CalcWitB))</f>
        <v/>
      </c>
      <c r="G871" s="28">
        <f>IF($B871="","",SUMIF(CalcPartyB,$B871,CalcDepB))</f>
        <v/>
      </c>
      <c r="H871" s="29">
        <f>IF($B871="","",$E871-$F871+$G871)</f>
        <v/>
      </c>
      <c r="I871" s="27">
        <f>IF($B871="","",IF(ROUND($H871,0)&gt;0,"● بستانکار",IF(ROUND($H871,0)&lt;0,"● بدهکار","تسویه")))</f>
        <v/>
      </c>
    </row>
    <row r="872">
      <c r="A872" s="21">
        <f>IF($B872="","",863)</f>
        <v/>
      </c>
      <c r="B872" s="32">
        <f>IF(863&gt;NBskParty,"",INDEX(PkBskParty,863))</f>
        <v/>
      </c>
      <c r="C872" s="25">
        <f>IF($B872="","",IFERROR(IF(VLOOKUP($B872,AcctTbl,4,0)="","(بدون نام)",VLOOKUP($B872,AcctTbl,4,0)),"—"))</f>
        <v/>
      </c>
      <c r="D872" s="23">
        <f>IF($B872="","",SUMIF(CalcPartyA,$B872,CalcQtyA))</f>
        <v/>
      </c>
      <c r="E872" s="23">
        <f>IF($B872="","",SUMIF(CalcPartyA,$B872,CalcAmtA))</f>
        <v/>
      </c>
      <c r="F872" s="23">
        <f>IF($B872="","",SUMIF(CalcPartyB,$B872,CalcWitB))</f>
        <v/>
      </c>
      <c r="G872" s="23">
        <f>IF($B872="","",SUMIF(CalcPartyB,$B872,CalcDepB))</f>
        <v/>
      </c>
      <c r="H872" s="24">
        <f>IF($B872="","",$E872-$F872+$G872)</f>
        <v/>
      </c>
      <c r="I872" s="22">
        <f>IF($B872="","",IF(ROUND($H872,0)&gt;0,"● بستانکار",IF(ROUND($H872,0)&lt;0,"● بدهکار","تسویه")))</f>
        <v/>
      </c>
    </row>
    <row r="873">
      <c r="A873" s="26">
        <f>IF($B873="","",864)</f>
        <v/>
      </c>
      <c r="B873" s="33">
        <f>IF(864&gt;NBskParty,"",INDEX(PkBskParty,864))</f>
        <v/>
      </c>
      <c r="C873" s="30">
        <f>IF($B873="","",IFERROR(IF(VLOOKUP($B873,AcctTbl,4,0)="","(بدون نام)",VLOOKUP($B873,AcctTbl,4,0)),"—"))</f>
        <v/>
      </c>
      <c r="D873" s="28">
        <f>IF($B873="","",SUMIF(CalcPartyA,$B873,CalcQtyA))</f>
        <v/>
      </c>
      <c r="E873" s="28">
        <f>IF($B873="","",SUMIF(CalcPartyA,$B873,CalcAmtA))</f>
        <v/>
      </c>
      <c r="F873" s="28">
        <f>IF($B873="","",SUMIF(CalcPartyB,$B873,CalcWitB))</f>
        <v/>
      </c>
      <c r="G873" s="28">
        <f>IF($B873="","",SUMIF(CalcPartyB,$B873,CalcDepB))</f>
        <v/>
      </c>
      <c r="H873" s="29">
        <f>IF($B873="","",$E873-$F873+$G873)</f>
        <v/>
      </c>
      <c r="I873" s="27">
        <f>IF($B873="","",IF(ROUND($H873,0)&gt;0,"● بستانکار",IF(ROUND($H873,0)&lt;0,"● بدهکار","تسویه")))</f>
        <v/>
      </c>
    </row>
    <row r="874">
      <c r="A874" s="21">
        <f>IF($B874="","",865)</f>
        <v/>
      </c>
      <c r="B874" s="32">
        <f>IF(865&gt;NBskParty,"",INDEX(PkBskParty,865))</f>
        <v/>
      </c>
      <c r="C874" s="25">
        <f>IF($B874="","",IFERROR(IF(VLOOKUP($B874,AcctTbl,4,0)="","(بدون نام)",VLOOKUP($B874,AcctTbl,4,0)),"—"))</f>
        <v/>
      </c>
      <c r="D874" s="23">
        <f>IF($B874="","",SUMIF(CalcPartyA,$B874,CalcQtyA))</f>
        <v/>
      </c>
      <c r="E874" s="23">
        <f>IF($B874="","",SUMIF(CalcPartyA,$B874,CalcAmtA))</f>
        <v/>
      </c>
      <c r="F874" s="23">
        <f>IF($B874="","",SUMIF(CalcPartyB,$B874,CalcWitB))</f>
        <v/>
      </c>
      <c r="G874" s="23">
        <f>IF($B874="","",SUMIF(CalcPartyB,$B874,CalcDepB))</f>
        <v/>
      </c>
      <c r="H874" s="24">
        <f>IF($B874="","",$E874-$F874+$G874)</f>
        <v/>
      </c>
      <c r="I874" s="22">
        <f>IF($B874="","",IF(ROUND($H874,0)&gt;0,"● بستانکار",IF(ROUND($H874,0)&lt;0,"● بدهکار","تسویه")))</f>
        <v/>
      </c>
    </row>
    <row r="875">
      <c r="A875" s="26">
        <f>IF($B875="","",866)</f>
        <v/>
      </c>
      <c r="B875" s="33">
        <f>IF(866&gt;NBskParty,"",INDEX(PkBskParty,866))</f>
        <v/>
      </c>
      <c r="C875" s="30">
        <f>IF($B875="","",IFERROR(IF(VLOOKUP($B875,AcctTbl,4,0)="","(بدون نام)",VLOOKUP($B875,AcctTbl,4,0)),"—"))</f>
        <v/>
      </c>
      <c r="D875" s="28">
        <f>IF($B875="","",SUMIF(CalcPartyA,$B875,CalcQtyA))</f>
        <v/>
      </c>
      <c r="E875" s="28">
        <f>IF($B875="","",SUMIF(CalcPartyA,$B875,CalcAmtA))</f>
        <v/>
      </c>
      <c r="F875" s="28">
        <f>IF($B875="","",SUMIF(CalcPartyB,$B875,CalcWitB))</f>
        <v/>
      </c>
      <c r="G875" s="28">
        <f>IF($B875="","",SUMIF(CalcPartyB,$B875,CalcDepB))</f>
        <v/>
      </c>
      <c r="H875" s="29">
        <f>IF($B875="","",$E875-$F875+$G875)</f>
        <v/>
      </c>
      <c r="I875" s="27">
        <f>IF($B875="","",IF(ROUND($H875,0)&gt;0,"● بستانکار",IF(ROUND($H875,0)&lt;0,"● بدهکار","تسویه")))</f>
        <v/>
      </c>
    </row>
    <row r="876">
      <c r="A876" s="21">
        <f>IF($B876="","",867)</f>
        <v/>
      </c>
      <c r="B876" s="32">
        <f>IF(867&gt;NBskParty,"",INDEX(PkBskParty,867))</f>
        <v/>
      </c>
      <c r="C876" s="25">
        <f>IF($B876="","",IFERROR(IF(VLOOKUP($B876,AcctTbl,4,0)="","(بدون نام)",VLOOKUP($B876,AcctTbl,4,0)),"—"))</f>
        <v/>
      </c>
      <c r="D876" s="23">
        <f>IF($B876="","",SUMIF(CalcPartyA,$B876,CalcQtyA))</f>
        <v/>
      </c>
      <c r="E876" s="23">
        <f>IF($B876="","",SUMIF(CalcPartyA,$B876,CalcAmtA))</f>
        <v/>
      </c>
      <c r="F876" s="23">
        <f>IF($B876="","",SUMIF(CalcPartyB,$B876,CalcWitB))</f>
        <v/>
      </c>
      <c r="G876" s="23">
        <f>IF($B876="","",SUMIF(CalcPartyB,$B876,CalcDepB))</f>
        <v/>
      </c>
      <c r="H876" s="24">
        <f>IF($B876="","",$E876-$F876+$G876)</f>
        <v/>
      </c>
      <c r="I876" s="22">
        <f>IF($B876="","",IF(ROUND($H876,0)&gt;0,"● بستانکار",IF(ROUND($H876,0)&lt;0,"● بدهکار","تسویه")))</f>
        <v/>
      </c>
    </row>
    <row r="877">
      <c r="A877" s="26">
        <f>IF($B877="","",868)</f>
        <v/>
      </c>
      <c r="B877" s="33">
        <f>IF(868&gt;NBskParty,"",INDEX(PkBskParty,868))</f>
        <v/>
      </c>
      <c r="C877" s="30">
        <f>IF($B877="","",IFERROR(IF(VLOOKUP($B877,AcctTbl,4,0)="","(بدون نام)",VLOOKUP($B877,AcctTbl,4,0)),"—"))</f>
        <v/>
      </c>
      <c r="D877" s="28">
        <f>IF($B877="","",SUMIF(CalcPartyA,$B877,CalcQtyA))</f>
        <v/>
      </c>
      <c r="E877" s="28">
        <f>IF($B877="","",SUMIF(CalcPartyA,$B877,CalcAmtA))</f>
        <v/>
      </c>
      <c r="F877" s="28">
        <f>IF($B877="","",SUMIF(CalcPartyB,$B877,CalcWitB))</f>
        <v/>
      </c>
      <c r="G877" s="28">
        <f>IF($B877="","",SUMIF(CalcPartyB,$B877,CalcDepB))</f>
        <v/>
      </c>
      <c r="H877" s="29">
        <f>IF($B877="","",$E877-$F877+$G877)</f>
        <v/>
      </c>
      <c r="I877" s="27">
        <f>IF($B877="","",IF(ROUND($H877,0)&gt;0,"● بستانکار",IF(ROUND($H877,0)&lt;0,"● بدهکار","تسویه")))</f>
        <v/>
      </c>
    </row>
    <row r="878">
      <c r="A878" s="21">
        <f>IF($B878="","",869)</f>
        <v/>
      </c>
      <c r="B878" s="32">
        <f>IF(869&gt;NBskParty,"",INDEX(PkBskParty,869))</f>
        <v/>
      </c>
      <c r="C878" s="25">
        <f>IF($B878="","",IFERROR(IF(VLOOKUP($B878,AcctTbl,4,0)="","(بدون نام)",VLOOKUP($B878,AcctTbl,4,0)),"—"))</f>
        <v/>
      </c>
      <c r="D878" s="23">
        <f>IF($B878="","",SUMIF(CalcPartyA,$B878,CalcQtyA))</f>
        <v/>
      </c>
      <c r="E878" s="23">
        <f>IF($B878="","",SUMIF(CalcPartyA,$B878,CalcAmtA))</f>
        <v/>
      </c>
      <c r="F878" s="23">
        <f>IF($B878="","",SUMIF(CalcPartyB,$B878,CalcWitB))</f>
        <v/>
      </c>
      <c r="G878" s="23">
        <f>IF($B878="","",SUMIF(CalcPartyB,$B878,CalcDepB))</f>
        <v/>
      </c>
      <c r="H878" s="24">
        <f>IF($B878="","",$E878-$F878+$G878)</f>
        <v/>
      </c>
      <c r="I878" s="22">
        <f>IF($B878="","",IF(ROUND($H878,0)&gt;0,"● بستانکار",IF(ROUND($H878,0)&lt;0,"● بدهکار","تسویه")))</f>
        <v/>
      </c>
    </row>
    <row r="879">
      <c r="A879" s="26">
        <f>IF($B879="","",870)</f>
        <v/>
      </c>
      <c r="B879" s="33">
        <f>IF(870&gt;NBskParty,"",INDEX(PkBskParty,870))</f>
        <v/>
      </c>
      <c r="C879" s="30">
        <f>IF($B879="","",IFERROR(IF(VLOOKUP($B879,AcctTbl,4,0)="","(بدون نام)",VLOOKUP($B879,AcctTbl,4,0)),"—"))</f>
        <v/>
      </c>
      <c r="D879" s="28">
        <f>IF($B879="","",SUMIF(CalcPartyA,$B879,CalcQtyA))</f>
        <v/>
      </c>
      <c r="E879" s="28">
        <f>IF($B879="","",SUMIF(CalcPartyA,$B879,CalcAmtA))</f>
        <v/>
      </c>
      <c r="F879" s="28">
        <f>IF($B879="","",SUMIF(CalcPartyB,$B879,CalcWitB))</f>
        <v/>
      </c>
      <c r="G879" s="28">
        <f>IF($B879="","",SUMIF(CalcPartyB,$B879,CalcDepB))</f>
        <v/>
      </c>
      <c r="H879" s="29">
        <f>IF($B879="","",$E879-$F879+$G879)</f>
        <v/>
      </c>
      <c r="I879" s="27">
        <f>IF($B879="","",IF(ROUND($H879,0)&gt;0,"● بستانکار",IF(ROUND($H879,0)&lt;0,"● بدهکار","تسویه")))</f>
        <v/>
      </c>
    </row>
    <row r="880">
      <c r="A880" s="21">
        <f>IF($B880="","",871)</f>
        <v/>
      </c>
      <c r="B880" s="32">
        <f>IF(871&gt;NBskParty,"",INDEX(PkBskParty,871))</f>
        <v/>
      </c>
      <c r="C880" s="25">
        <f>IF($B880="","",IFERROR(IF(VLOOKUP($B880,AcctTbl,4,0)="","(بدون نام)",VLOOKUP($B880,AcctTbl,4,0)),"—"))</f>
        <v/>
      </c>
      <c r="D880" s="23">
        <f>IF($B880="","",SUMIF(CalcPartyA,$B880,CalcQtyA))</f>
        <v/>
      </c>
      <c r="E880" s="23">
        <f>IF($B880="","",SUMIF(CalcPartyA,$B880,CalcAmtA))</f>
        <v/>
      </c>
      <c r="F880" s="23">
        <f>IF($B880="","",SUMIF(CalcPartyB,$B880,CalcWitB))</f>
        <v/>
      </c>
      <c r="G880" s="23">
        <f>IF($B880="","",SUMIF(CalcPartyB,$B880,CalcDepB))</f>
        <v/>
      </c>
      <c r="H880" s="24">
        <f>IF($B880="","",$E880-$F880+$G880)</f>
        <v/>
      </c>
      <c r="I880" s="22">
        <f>IF($B880="","",IF(ROUND($H880,0)&gt;0,"● بستانکار",IF(ROUND($H880,0)&lt;0,"● بدهکار","تسویه")))</f>
        <v/>
      </c>
    </row>
    <row r="881">
      <c r="A881" s="26">
        <f>IF($B881="","",872)</f>
        <v/>
      </c>
      <c r="B881" s="33">
        <f>IF(872&gt;NBskParty,"",INDEX(PkBskParty,872))</f>
        <v/>
      </c>
      <c r="C881" s="30">
        <f>IF($B881="","",IFERROR(IF(VLOOKUP($B881,AcctTbl,4,0)="","(بدون نام)",VLOOKUP($B881,AcctTbl,4,0)),"—"))</f>
        <v/>
      </c>
      <c r="D881" s="28">
        <f>IF($B881="","",SUMIF(CalcPartyA,$B881,CalcQtyA))</f>
        <v/>
      </c>
      <c r="E881" s="28">
        <f>IF($B881="","",SUMIF(CalcPartyA,$B881,CalcAmtA))</f>
        <v/>
      </c>
      <c r="F881" s="28">
        <f>IF($B881="","",SUMIF(CalcPartyB,$B881,CalcWitB))</f>
        <v/>
      </c>
      <c r="G881" s="28">
        <f>IF($B881="","",SUMIF(CalcPartyB,$B881,CalcDepB))</f>
        <v/>
      </c>
      <c r="H881" s="29">
        <f>IF($B881="","",$E881-$F881+$G881)</f>
        <v/>
      </c>
      <c r="I881" s="27">
        <f>IF($B881="","",IF(ROUND($H881,0)&gt;0,"● بستانکار",IF(ROUND($H881,0)&lt;0,"● بدهکار","تسویه")))</f>
        <v/>
      </c>
    </row>
    <row r="882">
      <c r="A882" s="21">
        <f>IF($B882="","",873)</f>
        <v/>
      </c>
      <c r="B882" s="32">
        <f>IF(873&gt;NBskParty,"",INDEX(PkBskParty,873))</f>
        <v/>
      </c>
      <c r="C882" s="25">
        <f>IF($B882="","",IFERROR(IF(VLOOKUP($B882,AcctTbl,4,0)="","(بدون نام)",VLOOKUP($B882,AcctTbl,4,0)),"—"))</f>
        <v/>
      </c>
      <c r="D882" s="23">
        <f>IF($B882="","",SUMIF(CalcPartyA,$B882,CalcQtyA))</f>
        <v/>
      </c>
      <c r="E882" s="23">
        <f>IF($B882="","",SUMIF(CalcPartyA,$B882,CalcAmtA))</f>
        <v/>
      </c>
      <c r="F882" s="23">
        <f>IF($B882="","",SUMIF(CalcPartyB,$B882,CalcWitB))</f>
        <v/>
      </c>
      <c r="G882" s="23">
        <f>IF($B882="","",SUMIF(CalcPartyB,$B882,CalcDepB))</f>
        <v/>
      </c>
      <c r="H882" s="24">
        <f>IF($B882="","",$E882-$F882+$G882)</f>
        <v/>
      </c>
      <c r="I882" s="22">
        <f>IF($B882="","",IF(ROUND($H882,0)&gt;0,"● بستانکار",IF(ROUND($H882,0)&lt;0,"● بدهکار","تسویه")))</f>
        <v/>
      </c>
    </row>
    <row r="883">
      <c r="A883" s="26">
        <f>IF($B883="","",874)</f>
        <v/>
      </c>
      <c r="B883" s="33">
        <f>IF(874&gt;NBskParty,"",INDEX(PkBskParty,874))</f>
        <v/>
      </c>
      <c r="C883" s="30">
        <f>IF($B883="","",IFERROR(IF(VLOOKUP($B883,AcctTbl,4,0)="","(بدون نام)",VLOOKUP($B883,AcctTbl,4,0)),"—"))</f>
        <v/>
      </c>
      <c r="D883" s="28">
        <f>IF($B883="","",SUMIF(CalcPartyA,$B883,CalcQtyA))</f>
        <v/>
      </c>
      <c r="E883" s="28">
        <f>IF($B883="","",SUMIF(CalcPartyA,$B883,CalcAmtA))</f>
        <v/>
      </c>
      <c r="F883" s="28">
        <f>IF($B883="","",SUMIF(CalcPartyB,$B883,CalcWitB))</f>
        <v/>
      </c>
      <c r="G883" s="28">
        <f>IF($B883="","",SUMIF(CalcPartyB,$B883,CalcDepB))</f>
        <v/>
      </c>
      <c r="H883" s="29">
        <f>IF($B883="","",$E883-$F883+$G883)</f>
        <v/>
      </c>
      <c r="I883" s="27">
        <f>IF($B883="","",IF(ROUND($H883,0)&gt;0,"● بستانکار",IF(ROUND($H883,0)&lt;0,"● بدهکار","تسویه")))</f>
        <v/>
      </c>
    </row>
    <row r="884">
      <c r="A884" s="21">
        <f>IF($B884="","",875)</f>
        <v/>
      </c>
      <c r="B884" s="32">
        <f>IF(875&gt;NBskParty,"",INDEX(PkBskParty,875))</f>
        <v/>
      </c>
      <c r="C884" s="25">
        <f>IF($B884="","",IFERROR(IF(VLOOKUP($B884,AcctTbl,4,0)="","(بدون نام)",VLOOKUP($B884,AcctTbl,4,0)),"—"))</f>
        <v/>
      </c>
      <c r="D884" s="23">
        <f>IF($B884="","",SUMIF(CalcPartyA,$B884,CalcQtyA))</f>
        <v/>
      </c>
      <c r="E884" s="23">
        <f>IF($B884="","",SUMIF(CalcPartyA,$B884,CalcAmtA))</f>
        <v/>
      </c>
      <c r="F884" s="23">
        <f>IF($B884="","",SUMIF(CalcPartyB,$B884,CalcWitB))</f>
        <v/>
      </c>
      <c r="G884" s="23">
        <f>IF($B884="","",SUMIF(CalcPartyB,$B884,CalcDepB))</f>
        <v/>
      </c>
      <c r="H884" s="24">
        <f>IF($B884="","",$E884-$F884+$G884)</f>
        <v/>
      </c>
      <c r="I884" s="22">
        <f>IF($B884="","",IF(ROUND($H884,0)&gt;0,"● بستانکار",IF(ROUND($H884,0)&lt;0,"● بدهکار","تسویه")))</f>
        <v/>
      </c>
    </row>
    <row r="885">
      <c r="A885" s="26">
        <f>IF($B885="","",876)</f>
        <v/>
      </c>
      <c r="B885" s="33">
        <f>IF(876&gt;NBskParty,"",INDEX(PkBskParty,876))</f>
        <v/>
      </c>
      <c r="C885" s="30">
        <f>IF($B885="","",IFERROR(IF(VLOOKUP($B885,AcctTbl,4,0)="","(بدون نام)",VLOOKUP($B885,AcctTbl,4,0)),"—"))</f>
        <v/>
      </c>
      <c r="D885" s="28">
        <f>IF($B885="","",SUMIF(CalcPartyA,$B885,CalcQtyA))</f>
        <v/>
      </c>
      <c r="E885" s="28">
        <f>IF($B885="","",SUMIF(CalcPartyA,$B885,CalcAmtA))</f>
        <v/>
      </c>
      <c r="F885" s="28">
        <f>IF($B885="","",SUMIF(CalcPartyB,$B885,CalcWitB))</f>
        <v/>
      </c>
      <c r="G885" s="28">
        <f>IF($B885="","",SUMIF(CalcPartyB,$B885,CalcDepB))</f>
        <v/>
      </c>
      <c r="H885" s="29">
        <f>IF($B885="","",$E885-$F885+$G885)</f>
        <v/>
      </c>
      <c r="I885" s="27">
        <f>IF($B885="","",IF(ROUND($H885,0)&gt;0,"● بستانکار",IF(ROUND($H885,0)&lt;0,"● بدهکار","تسویه")))</f>
        <v/>
      </c>
    </row>
    <row r="886">
      <c r="A886" s="21">
        <f>IF($B886="","",877)</f>
        <v/>
      </c>
      <c r="B886" s="32">
        <f>IF(877&gt;NBskParty,"",INDEX(PkBskParty,877))</f>
        <v/>
      </c>
      <c r="C886" s="25">
        <f>IF($B886="","",IFERROR(IF(VLOOKUP($B886,AcctTbl,4,0)="","(بدون نام)",VLOOKUP($B886,AcctTbl,4,0)),"—"))</f>
        <v/>
      </c>
      <c r="D886" s="23">
        <f>IF($B886="","",SUMIF(CalcPartyA,$B886,CalcQtyA))</f>
        <v/>
      </c>
      <c r="E886" s="23">
        <f>IF($B886="","",SUMIF(CalcPartyA,$B886,CalcAmtA))</f>
        <v/>
      </c>
      <c r="F886" s="23">
        <f>IF($B886="","",SUMIF(CalcPartyB,$B886,CalcWitB))</f>
        <v/>
      </c>
      <c r="G886" s="23">
        <f>IF($B886="","",SUMIF(CalcPartyB,$B886,CalcDepB))</f>
        <v/>
      </c>
      <c r="H886" s="24">
        <f>IF($B886="","",$E886-$F886+$G886)</f>
        <v/>
      </c>
      <c r="I886" s="22">
        <f>IF($B886="","",IF(ROUND($H886,0)&gt;0,"● بستانکار",IF(ROUND($H886,0)&lt;0,"● بدهکار","تسویه")))</f>
        <v/>
      </c>
    </row>
    <row r="887">
      <c r="A887" s="26">
        <f>IF($B887="","",878)</f>
        <v/>
      </c>
      <c r="B887" s="33">
        <f>IF(878&gt;NBskParty,"",INDEX(PkBskParty,878))</f>
        <v/>
      </c>
      <c r="C887" s="30">
        <f>IF($B887="","",IFERROR(IF(VLOOKUP($B887,AcctTbl,4,0)="","(بدون نام)",VLOOKUP($B887,AcctTbl,4,0)),"—"))</f>
        <v/>
      </c>
      <c r="D887" s="28">
        <f>IF($B887="","",SUMIF(CalcPartyA,$B887,CalcQtyA))</f>
        <v/>
      </c>
      <c r="E887" s="28">
        <f>IF($B887="","",SUMIF(CalcPartyA,$B887,CalcAmtA))</f>
        <v/>
      </c>
      <c r="F887" s="28">
        <f>IF($B887="","",SUMIF(CalcPartyB,$B887,CalcWitB))</f>
        <v/>
      </c>
      <c r="G887" s="28">
        <f>IF($B887="","",SUMIF(CalcPartyB,$B887,CalcDepB))</f>
        <v/>
      </c>
      <c r="H887" s="29">
        <f>IF($B887="","",$E887-$F887+$G887)</f>
        <v/>
      </c>
      <c r="I887" s="27">
        <f>IF($B887="","",IF(ROUND($H887,0)&gt;0,"● بستانکار",IF(ROUND($H887,0)&lt;0,"● بدهکار","تسویه")))</f>
        <v/>
      </c>
    </row>
    <row r="888">
      <c r="A888" s="21">
        <f>IF($B888="","",879)</f>
        <v/>
      </c>
      <c r="B888" s="32">
        <f>IF(879&gt;NBskParty,"",INDEX(PkBskParty,879))</f>
        <v/>
      </c>
      <c r="C888" s="25">
        <f>IF($B888="","",IFERROR(IF(VLOOKUP($B888,AcctTbl,4,0)="","(بدون نام)",VLOOKUP($B888,AcctTbl,4,0)),"—"))</f>
        <v/>
      </c>
      <c r="D888" s="23">
        <f>IF($B888="","",SUMIF(CalcPartyA,$B888,CalcQtyA))</f>
        <v/>
      </c>
      <c r="E888" s="23">
        <f>IF($B888="","",SUMIF(CalcPartyA,$B888,CalcAmtA))</f>
        <v/>
      </c>
      <c r="F888" s="23">
        <f>IF($B888="","",SUMIF(CalcPartyB,$B888,CalcWitB))</f>
        <v/>
      </c>
      <c r="G888" s="23">
        <f>IF($B888="","",SUMIF(CalcPartyB,$B888,CalcDepB))</f>
        <v/>
      </c>
      <c r="H888" s="24">
        <f>IF($B888="","",$E888-$F888+$G888)</f>
        <v/>
      </c>
      <c r="I888" s="22">
        <f>IF($B888="","",IF(ROUND($H888,0)&gt;0,"● بستانکار",IF(ROUND($H888,0)&lt;0,"● بدهکار","تسویه")))</f>
        <v/>
      </c>
    </row>
    <row r="889">
      <c r="A889" s="26">
        <f>IF($B889="","",880)</f>
        <v/>
      </c>
      <c r="B889" s="33">
        <f>IF(880&gt;NBskParty,"",INDEX(PkBskParty,880))</f>
        <v/>
      </c>
      <c r="C889" s="30">
        <f>IF($B889="","",IFERROR(IF(VLOOKUP($B889,AcctTbl,4,0)="","(بدون نام)",VLOOKUP($B889,AcctTbl,4,0)),"—"))</f>
        <v/>
      </c>
      <c r="D889" s="28">
        <f>IF($B889="","",SUMIF(CalcPartyA,$B889,CalcQtyA))</f>
        <v/>
      </c>
      <c r="E889" s="28">
        <f>IF($B889="","",SUMIF(CalcPartyA,$B889,CalcAmtA))</f>
        <v/>
      </c>
      <c r="F889" s="28">
        <f>IF($B889="","",SUMIF(CalcPartyB,$B889,CalcWitB))</f>
        <v/>
      </c>
      <c r="G889" s="28">
        <f>IF($B889="","",SUMIF(CalcPartyB,$B889,CalcDepB))</f>
        <v/>
      </c>
      <c r="H889" s="29">
        <f>IF($B889="","",$E889-$F889+$G889)</f>
        <v/>
      </c>
      <c r="I889" s="27">
        <f>IF($B889="","",IF(ROUND($H889,0)&gt;0,"● بستانکار",IF(ROUND($H889,0)&lt;0,"● بدهکار","تسویه")))</f>
        <v/>
      </c>
    </row>
    <row r="890">
      <c r="A890" s="21">
        <f>IF($B890="","",881)</f>
        <v/>
      </c>
      <c r="B890" s="32">
        <f>IF(881&gt;NBskParty,"",INDEX(PkBskParty,881))</f>
        <v/>
      </c>
      <c r="C890" s="25">
        <f>IF($B890="","",IFERROR(IF(VLOOKUP($B890,AcctTbl,4,0)="","(بدون نام)",VLOOKUP($B890,AcctTbl,4,0)),"—"))</f>
        <v/>
      </c>
      <c r="D890" s="23">
        <f>IF($B890="","",SUMIF(CalcPartyA,$B890,CalcQtyA))</f>
        <v/>
      </c>
      <c r="E890" s="23">
        <f>IF($B890="","",SUMIF(CalcPartyA,$B890,CalcAmtA))</f>
        <v/>
      </c>
      <c r="F890" s="23">
        <f>IF($B890="","",SUMIF(CalcPartyB,$B890,CalcWitB))</f>
        <v/>
      </c>
      <c r="G890" s="23">
        <f>IF($B890="","",SUMIF(CalcPartyB,$B890,CalcDepB))</f>
        <v/>
      </c>
      <c r="H890" s="24">
        <f>IF($B890="","",$E890-$F890+$G890)</f>
        <v/>
      </c>
      <c r="I890" s="22">
        <f>IF($B890="","",IF(ROUND($H890,0)&gt;0,"● بستانکار",IF(ROUND($H890,0)&lt;0,"● بدهکار","تسویه")))</f>
        <v/>
      </c>
    </row>
    <row r="891">
      <c r="A891" s="26">
        <f>IF($B891="","",882)</f>
        <v/>
      </c>
      <c r="B891" s="33">
        <f>IF(882&gt;NBskParty,"",INDEX(PkBskParty,882))</f>
        <v/>
      </c>
      <c r="C891" s="30">
        <f>IF($B891="","",IFERROR(IF(VLOOKUP($B891,AcctTbl,4,0)="","(بدون نام)",VLOOKUP($B891,AcctTbl,4,0)),"—"))</f>
        <v/>
      </c>
      <c r="D891" s="28">
        <f>IF($B891="","",SUMIF(CalcPartyA,$B891,CalcQtyA))</f>
        <v/>
      </c>
      <c r="E891" s="28">
        <f>IF($B891="","",SUMIF(CalcPartyA,$B891,CalcAmtA))</f>
        <v/>
      </c>
      <c r="F891" s="28">
        <f>IF($B891="","",SUMIF(CalcPartyB,$B891,CalcWitB))</f>
        <v/>
      </c>
      <c r="G891" s="28">
        <f>IF($B891="","",SUMIF(CalcPartyB,$B891,CalcDepB))</f>
        <v/>
      </c>
      <c r="H891" s="29">
        <f>IF($B891="","",$E891-$F891+$G891)</f>
        <v/>
      </c>
      <c r="I891" s="27">
        <f>IF($B891="","",IF(ROUND($H891,0)&gt;0,"● بستانکار",IF(ROUND($H891,0)&lt;0,"● بدهکار","تسویه")))</f>
        <v/>
      </c>
    </row>
    <row r="892">
      <c r="A892" s="21">
        <f>IF($B892="","",883)</f>
        <v/>
      </c>
      <c r="B892" s="32">
        <f>IF(883&gt;NBskParty,"",INDEX(PkBskParty,883))</f>
        <v/>
      </c>
      <c r="C892" s="25">
        <f>IF($B892="","",IFERROR(IF(VLOOKUP($B892,AcctTbl,4,0)="","(بدون نام)",VLOOKUP($B892,AcctTbl,4,0)),"—"))</f>
        <v/>
      </c>
      <c r="D892" s="23">
        <f>IF($B892="","",SUMIF(CalcPartyA,$B892,CalcQtyA))</f>
        <v/>
      </c>
      <c r="E892" s="23">
        <f>IF($B892="","",SUMIF(CalcPartyA,$B892,CalcAmtA))</f>
        <v/>
      </c>
      <c r="F892" s="23">
        <f>IF($B892="","",SUMIF(CalcPartyB,$B892,CalcWitB))</f>
        <v/>
      </c>
      <c r="G892" s="23">
        <f>IF($B892="","",SUMIF(CalcPartyB,$B892,CalcDepB))</f>
        <v/>
      </c>
      <c r="H892" s="24">
        <f>IF($B892="","",$E892-$F892+$G892)</f>
        <v/>
      </c>
      <c r="I892" s="22">
        <f>IF($B892="","",IF(ROUND($H892,0)&gt;0,"● بستانکار",IF(ROUND($H892,0)&lt;0,"● بدهکار","تسویه")))</f>
        <v/>
      </c>
    </row>
    <row r="893">
      <c r="A893" s="26">
        <f>IF($B893="","",884)</f>
        <v/>
      </c>
      <c r="B893" s="33">
        <f>IF(884&gt;NBskParty,"",INDEX(PkBskParty,884))</f>
        <v/>
      </c>
      <c r="C893" s="30">
        <f>IF($B893="","",IFERROR(IF(VLOOKUP($B893,AcctTbl,4,0)="","(بدون نام)",VLOOKUP($B893,AcctTbl,4,0)),"—"))</f>
        <v/>
      </c>
      <c r="D893" s="28">
        <f>IF($B893="","",SUMIF(CalcPartyA,$B893,CalcQtyA))</f>
        <v/>
      </c>
      <c r="E893" s="28">
        <f>IF($B893="","",SUMIF(CalcPartyA,$B893,CalcAmtA))</f>
        <v/>
      </c>
      <c r="F893" s="28">
        <f>IF($B893="","",SUMIF(CalcPartyB,$B893,CalcWitB))</f>
        <v/>
      </c>
      <c r="G893" s="28">
        <f>IF($B893="","",SUMIF(CalcPartyB,$B893,CalcDepB))</f>
        <v/>
      </c>
      <c r="H893" s="29">
        <f>IF($B893="","",$E893-$F893+$G893)</f>
        <v/>
      </c>
      <c r="I893" s="27">
        <f>IF($B893="","",IF(ROUND($H893,0)&gt;0,"● بستانکار",IF(ROUND($H893,0)&lt;0,"● بدهکار","تسویه")))</f>
        <v/>
      </c>
    </row>
    <row r="894">
      <c r="A894" s="21">
        <f>IF($B894="","",885)</f>
        <v/>
      </c>
      <c r="B894" s="32">
        <f>IF(885&gt;NBskParty,"",INDEX(PkBskParty,885))</f>
        <v/>
      </c>
      <c r="C894" s="25">
        <f>IF($B894="","",IFERROR(IF(VLOOKUP($B894,AcctTbl,4,0)="","(بدون نام)",VLOOKUP($B894,AcctTbl,4,0)),"—"))</f>
        <v/>
      </c>
      <c r="D894" s="23">
        <f>IF($B894="","",SUMIF(CalcPartyA,$B894,CalcQtyA))</f>
        <v/>
      </c>
      <c r="E894" s="23">
        <f>IF($B894="","",SUMIF(CalcPartyA,$B894,CalcAmtA))</f>
        <v/>
      </c>
      <c r="F894" s="23">
        <f>IF($B894="","",SUMIF(CalcPartyB,$B894,CalcWitB))</f>
        <v/>
      </c>
      <c r="G894" s="23">
        <f>IF($B894="","",SUMIF(CalcPartyB,$B894,CalcDepB))</f>
        <v/>
      </c>
      <c r="H894" s="24">
        <f>IF($B894="","",$E894-$F894+$G894)</f>
        <v/>
      </c>
      <c r="I894" s="22">
        <f>IF($B894="","",IF(ROUND($H894,0)&gt;0,"● بستانکار",IF(ROUND($H894,0)&lt;0,"● بدهکار","تسویه")))</f>
        <v/>
      </c>
    </row>
    <row r="895">
      <c r="A895" s="26">
        <f>IF($B895="","",886)</f>
        <v/>
      </c>
      <c r="B895" s="33">
        <f>IF(886&gt;NBskParty,"",INDEX(PkBskParty,886))</f>
        <v/>
      </c>
      <c r="C895" s="30">
        <f>IF($B895="","",IFERROR(IF(VLOOKUP($B895,AcctTbl,4,0)="","(بدون نام)",VLOOKUP($B895,AcctTbl,4,0)),"—"))</f>
        <v/>
      </c>
      <c r="D895" s="28">
        <f>IF($B895="","",SUMIF(CalcPartyA,$B895,CalcQtyA))</f>
        <v/>
      </c>
      <c r="E895" s="28">
        <f>IF($B895="","",SUMIF(CalcPartyA,$B895,CalcAmtA))</f>
        <v/>
      </c>
      <c r="F895" s="28">
        <f>IF($B895="","",SUMIF(CalcPartyB,$B895,CalcWitB))</f>
        <v/>
      </c>
      <c r="G895" s="28">
        <f>IF($B895="","",SUMIF(CalcPartyB,$B895,CalcDepB))</f>
        <v/>
      </c>
      <c r="H895" s="29">
        <f>IF($B895="","",$E895-$F895+$G895)</f>
        <v/>
      </c>
      <c r="I895" s="27">
        <f>IF($B895="","",IF(ROUND($H895,0)&gt;0,"● بستانکار",IF(ROUND($H895,0)&lt;0,"● بدهکار","تسویه")))</f>
        <v/>
      </c>
    </row>
    <row r="896">
      <c r="A896" s="21">
        <f>IF($B896="","",887)</f>
        <v/>
      </c>
      <c r="B896" s="32">
        <f>IF(887&gt;NBskParty,"",INDEX(PkBskParty,887))</f>
        <v/>
      </c>
      <c r="C896" s="25">
        <f>IF($B896="","",IFERROR(IF(VLOOKUP($B896,AcctTbl,4,0)="","(بدون نام)",VLOOKUP($B896,AcctTbl,4,0)),"—"))</f>
        <v/>
      </c>
      <c r="D896" s="23">
        <f>IF($B896="","",SUMIF(CalcPartyA,$B896,CalcQtyA))</f>
        <v/>
      </c>
      <c r="E896" s="23">
        <f>IF($B896="","",SUMIF(CalcPartyA,$B896,CalcAmtA))</f>
        <v/>
      </c>
      <c r="F896" s="23">
        <f>IF($B896="","",SUMIF(CalcPartyB,$B896,CalcWitB))</f>
        <v/>
      </c>
      <c r="G896" s="23">
        <f>IF($B896="","",SUMIF(CalcPartyB,$B896,CalcDepB))</f>
        <v/>
      </c>
      <c r="H896" s="24">
        <f>IF($B896="","",$E896-$F896+$G896)</f>
        <v/>
      </c>
      <c r="I896" s="22">
        <f>IF($B896="","",IF(ROUND($H896,0)&gt;0,"● بستانکار",IF(ROUND($H896,0)&lt;0,"● بدهکار","تسویه")))</f>
        <v/>
      </c>
    </row>
    <row r="897">
      <c r="A897" s="26">
        <f>IF($B897="","",888)</f>
        <v/>
      </c>
      <c r="B897" s="33">
        <f>IF(888&gt;NBskParty,"",INDEX(PkBskParty,888))</f>
        <v/>
      </c>
      <c r="C897" s="30">
        <f>IF($B897="","",IFERROR(IF(VLOOKUP($B897,AcctTbl,4,0)="","(بدون نام)",VLOOKUP($B897,AcctTbl,4,0)),"—"))</f>
        <v/>
      </c>
      <c r="D897" s="28">
        <f>IF($B897="","",SUMIF(CalcPartyA,$B897,CalcQtyA))</f>
        <v/>
      </c>
      <c r="E897" s="28">
        <f>IF($B897="","",SUMIF(CalcPartyA,$B897,CalcAmtA))</f>
        <v/>
      </c>
      <c r="F897" s="28">
        <f>IF($B897="","",SUMIF(CalcPartyB,$B897,CalcWitB))</f>
        <v/>
      </c>
      <c r="G897" s="28">
        <f>IF($B897="","",SUMIF(CalcPartyB,$B897,CalcDepB))</f>
        <v/>
      </c>
      <c r="H897" s="29">
        <f>IF($B897="","",$E897-$F897+$G897)</f>
        <v/>
      </c>
      <c r="I897" s="27">
        <f>IF($B897="","",IF(ROUND($H897,0)&gt;0,"● بستانکار",IF(ROUND($H897,0)&lt;0,"● بدهکار","تسویه")))</f>
        <v/>
      </c>
    </row>
    <row r="898">
      <c r="A898" s="21">
        <f>IF($B898="","",889)</f>
        <v/>
      </c>
      <c r="B898" s="32">
        <f>IF(889&gt;NBskParty,"",INDEX(PkBskParty,889))</f>
        <v/>
      </c>
      <c r="C898" s="25">
        <f>IF($B898="","",IFERROR(IF(VLOOKUP($B898,AcctTbl,4,0)="","(بدون نام)",VLOOKUP($B898,AcctTbl,4,0)),"—"))</f>
        <v/>
      </c>
      <c r="D898" s="23">
        <f>IF($B898="","",SUMIF(CalcPartyA,$B898,CalcQtyA))</f>
        <v/>
      </c>
      <c r="E898" s="23">
        <f>IF($B898="","",SUMIF(CalcPartyA,$B898,CalcAmtA))</f>
        <v/>
      </c>
      <c r="F898" s="23">
        <f>IF($B898="","",SUMIF(CalcPartyB,$B898,CalcWitB))</f>
        <v/>
      </c>
      <c r="G898" s="23">
        <f>IF($B898="","",SUMIF(CalcPartyB,$B898,CalcDepB))</f>
        <v/>
      </c>
      <c r="H898" s="24">
        <f>IF($B898="","",$E898-$F898+$G898)</f>
        <v/>
      </c>
      <c r="I898" s="22">
        <f>IF($B898="","",IF(ROUND($H898,0)&gt;0,"● بستانکار",IF(ROUND($H898,0)&lt;0,"● بدهکار","تسویه")))</f>
        <v/>
      </c>
    </row>
    <row r="899">
      <c r="A899" s="26">
        <f>IF($B899="","",890)</f>
        <v/>
      </c>
      <c r="B899" s="33">
        <f>IF(890&gt;NBskParty,"",INDEX(PkBskParty,890))</f>
        <v/>
      </c>
      <c r="C899" s="30">
        <f>IF($B899="","",IFERROR(IF(VLOOKUP($B899,AcctTbl,4,0)="","(بدون نام)",VLOOKUP($B899,AcctTbl,4,0)),"—"))</f>
        <v/>
      </c>
      <c r="D899" s="28">
        <f>IF($B899="","",SUMIF(CalcPartyA,$B899,CalcQtyA))</f>
        <v/>
      </c>
      <c r="E899" s="28">
        <f>IF($B899="","",SUMIF(CalcPartyA,$B899,CalcAmtA))</f>
        <v/>
      </c>
      <c r="F899" s="28">
        <f>IF($B899="","",SUMIF(CalcPartyB,$B899,CalcWitB))</f>
        <v/>
      </c>
      <c r="G899" s="28">
        <f>IF($B899="","",SUMIF(CalcPartyB,$B899,CalcDepB))</f>
        <v/>
      </c>
      <c r="H899" s="29">
        <f>IF($B899="","",$E899-$F899+$G899)</f>
        <v/>
      </c>
      <c r="I899" s="27">
        <f>IF($B899="","",IF(ROUND($H899,0)&gt;0,"● بستانکار",IF(ROUND($H899,0)&lt;0,"● بدهکار","تسویه")))</f>
        <v/>
      </c>
    </row>
    <row r="900">
      <c r="A900" s="21">
        <f>IF($B900="","",891)</f>
        <v/>
      </c>
      <c r="B900" s="32">
        <f>IF(891&gt;NBskParty,"",INDEX(PkBskParty,891))</f>
        <v/>
      </c>
      <c r="C900" s="25">
        <f>IF($B900="","",IFERROR(IF(VLOOKUP($B900,AcctTbl,4,0)="","(بدون نام)",VLOOKUP($B900,AcctTbl,4,0)),"—"))</f>
        <v/>
      </c>
      <c r="D900" s="23">
        <f>IF($B900="","",SUMIF(CalcPartyA,$B900,CalcQtyA))</f>
        <v/>
      </c>
      <c r="E900" s="23">
        <f>IF($B900="","",SUMIF(CalcPartyA,$B900,CalcAmtA))</f>
        <v/>
      </c>
      <c r="F900" s="23">
        <f>IF($B900="","",SUMIF(CalcPartyB,$B900,CalcWitB))</f>
        <v/>
      </c>
      <c r="G900" s="23">
        <f>IF($B900="","",SUMIF(CalcPartyB,$B900,CalcDepB))</f>
        <v/>
      </c>
      <c r="H900" s="24">
        <f>IF($B900="","",$E900-$F900+$G900)</f>
        <v/>
      </c>
      <c r="I900" s="22">
        <f>IF($B900="","",IF(ROUND($H900,0)&gt;0,"● بستانکار",IF(ROUND($H900,0)&lt;0,"● بدهکار","تسویه")))</f>
        <v/>
      </c>
    </row>
    <row r="901">
      <c r="A901" s="26">
        <f>IF($B901="","",892)</f>
        <v/>
      </c>
      <c r="B901" s="33">
        <f>IF(892&gt;NBskParty,"",INDEX(PkBskParty,892))</f>
        <v/>
      </c>
      <c r="C901" s="30">
        <f>IF($B901="","",IFERROR(IF(VLOOKUP($B901,AcctTbl,4,0)="","(بدون نام)",VLOOKUP($B901,AcctTbl,4,0)),"—"))</f>
        <v/>
      </c>
      <c r="D901" s="28">
        <f>IF($B901="","",SUMIF(CalcPartyA,$B901,CalcQtyA))</f>
        <v/>
      </c>
      <c r="E901" s="28">
        <f>IF($B901="","",SUMIF(CalcPartyA,$B901,CalcAmtA))</f>
        <v/>
      </c>
      <c r="F901" s="28">
        <f>IF($B901="","",SUMIF(CalcPartyB,$B901,CalcWitB))</f>
        <v/>
      </c>
      <c r="G901" s="28">
        <f>IF($B901="","",SUMIF(CalcPartyB,$B901,CalcDepB))</f>
        <v/>
      </c>
      <c r="H901" s="29">
        <f>IF($B901="","",$E901-$F901+$G901)</f>
        <v/>
      </c>
      <c r="I901" s="27">
        <f>IF($B901="","",IF(ROUND($H901,0)&gt;0,"● بستانکار",IF(ROUND($H901,0)&lt;0,"● بدهکار","تسویه")))</f>
        <v/>
      </c>
    </row>
    <row r="902">
      <c r="A902" s="21">
        <f>IF($B902="","",893)</f>
        <v/>
      </c>
      <c r="B902" s="32">
        <f>IF(893&gt;NBskParty,"",INDEX(PkBskParty,893))</f>
        <v/>
      </c>
      <c r="C902" s="25">
        <f>IF($B902="","",IFERROR(IF(VLOOKUP($B902,AcctTbl,4,0)="","(بدون نام)",VLOOKUP($B902,AcctTbl,4,0)),"—"))</f>
        <v/>
      </c>
      <c r="D902" s="23">
        <f>IF($B902="","",SUMIF(CalcPartyA,$B902,CalcQtyA))</f>
        <v/>
      </c>
      <c r="E902" s="23">
        <f>IF($B902="","",SUMIF(CalcPartyA,$B902,CalcAmtA))</f>
        <v/>
      </c>
      <c r="F902" s="23">
        <f>IF($B902="","",SUMIF(CalcPartyB,$B902,CalcWitB))</f>
        <v/>
      </c>
      <c r="G902" s="23">
        <f>IF($B902="","",SUMIF(CalcPartyB,$B902,CalcDepB))</f>
        <v/>
      </c>
      <c r="H902" s="24">
        <f>IF($B902="","",$E902-$F902+$G902)</f>
        <v/>
      </c>
      <c r="I902" s="22">
        <f>IF($B902="","",IF(ROUND($H902,0)&gt;0,"● بستانکار",IF(ROUND($H902,0)&lt;0,"● بدهکار","تسویه")))</f>
        <v/>
      </c>
    </row>
    <row r="903">
      <c r="A903" s="26">
        <f>IF($B903="","",894)</f>
        <v/>
      </c>
      <c r="B903" s="33">
        <f>IF(894&gt;NBskParty,"",INDEX(PkBskParty,894))</f>
        <v/>
      </c>
      <c r="C903" s="30">
        <f>IF($B903="","",IFERROR(IF(VLOOKUP($B903,AcctTbl,4,0)="","(بدون نام)",VLOOKUP($B903,AcctTbl,4,0)),"—"))</f>
        <v/>
      </c>
      <c r="D903" s="28">
        <f>IF($B903="","",SUMIF(CalcPartyA,$B903,CalcQtyA))</f>
        <v/>
      </c>
      <c r="E903" s="28">
        <f>IF($B903="","",SUMIF(CalcPartyA,$B903,CalcAmtA))</f>
        <v/>
      </c>
      <c r="F903" s="28">
        <f>IF($B903="","",SUMIF(CalcPartyB,$B903,CalcWitB))</f>
        <v/>
      </c>
      <c r="G903" s="28">
        <f>IF($B903="","",SUMIF(CalcPartyB,$B903,CalcDepB))</f>
        <v/>
      </c>
      <c r="H903" s="29">
        <f>IF($B903="","",$E903-$F903+$G903)</f>
        <v/>
      </c>
      <c r="I903" s="27">
        <f>IF($B903="","",IF(ROUND($H903,0)&gt;0,"● بستانکار",IF(ROUND($H903,0)&lt;0,"● بدهکار","تسویه")))</f>
        <v/>
      </c>
    </row>
    <row r="904">
      <c r="A904" s="21">
        <f>IF($B904="","",895)</f>
        <v/>
      </c>
      <c r="B904" s="32">
        <f>IF(895&gt;NBskParty,"",INDEX(PkBskParty,895))</f>
        <v/>
      </c>
      <c r="C904" s="25">
        <f>IF($B904="","",IFERROR(IF(VLOOKUP($B904,AcctTbl,4,0)="","(بدون نام)",VLOOKUP($B904,AcctTbl,4,0)),"—"))</f>
        <v/>
      </c>
      <c r="D904" s="23">
        <f>IF($B904="","",SUMIF(CalcPartyA,$B904,CalcQtyA))</f>
        <v/>
      </c>
      <c r="E904" s="23">
        <f>IF($B904="","",SUMIF(CalcPartyA,$B904,CalcAmtA))</f>
        <v/>
      </c>
      <c r="F904" s="23">
        <f>IF($B904="","",SUMIF(CalcPartyB,$B904,CalcWitB))</f>
        <v/>
      </c>
      <c r="G904" s="23">
        <f>IF($B904="","",SUMIF(CalcPartyB,$B904,CalcDepB))</f>
        <v/>
      </c>
      <c r="H904" s="24">
        <f>IF($B904="","",$E904-$F904+$G904)</f>
        <v/>
      </c>
      <c r="I904" s="22">
        <f>IF($B904="","",IF(ROUND($H904,0)&gt;0,"● بستانکار",IF(ROUND($H904,0)&lt;0,"● بدهکار","تسویه")))</f>
        <v/>
      </c>
    </row>
    <row r="905">
      <c r="A905" s="26">
        <f>IF($B905="","",896)</f>
        <v/>
      </c>
      <c r="B905" s="33">
        <f>IF(896&gt;NBskParty,"",INDEX(PkBskParty,896))</f>
        <v/>
      </c>
      <c r="C905" s="30">
        <f>IF($B905="","",IFERROR(IF(VLOOKUP($B905,AcctTbl,4,0)="","(بدون نام)",VLOOKUP($B905,AcctTbl,4,0)),"—"))</f>
        <v/>
      </c>
      <c r="D905" s="28">
        <f>IF($B905="","",SUMIF(CalcPartyA,$B905,CalcQtyA))</f>
        <v/>
      </c>
      <c r="E905" s="28">
        <f>IF($B905="","",SUMIF(CalcPartyA,$B905,CalcAmtA))</f>
        <v/>
      </c>
      <c r="F905" s="28">
        <f>IF($B905="","",SUMIF(CalcPartyB,$B905,CalcWitB))</f>
        <v/>
      </c>
      <c r="G905" s="28">
        <f>IF($B905="","",SUMIF(CalcPartyB,$B905,CalcDepB))</f>
        <v/>
      </c>
      <c r="H905" s="29">
        <f>IF($B905="","",$E905-$F905+$G905)</f>
        <v/>
      </c>
      <c r="I905" s="27">
        <f>IF($B905="","",IF(ROUND($H905,0)&gt;0,"● بستانکار",IF(ROUND($H905,0)&lt;0,"● بدهکار","تسویه")))</f>
        <v/>
      </c>
    </row>
    <row r="906">
      <c r="A906" s="21">
        <f>IF($B906="","",897)</f>
        <v/>
      </c>
      <c r="B906" s="32">
        <f>IF(897&gt;NBskParty,"",INDEX(PkBskParty,897))</f>
        <v/>
      </c>
      <c r="C906" s="25">
        <f>IF($B906="","",IFERROR(IF(VLOOKUP($B906,AcctTbl,4,0)="","(بدون نام)",VLOOKUP($B906,AcctTbl,4,0)),"—"))</f>
        <v/>
      </c>
      <c r="D906" s="23">
        <f>IF($B906="","",SUMIF(CalcPartyA,$B906,CalcQtyA))</f>
        <v/>
      </c>
      <c r="E906" s="23">
        <f>IF($B906="","",SUMIF(CalcPartyA,$B906,CalcAmtA))</f>
        <v/>
      </c>
      <c r="F906" s="23">
        <f>IF($B906="","",SUMIF(CalcPartyB,$B906,CalcWitB))</f>
        <v/>
      </c>
      <c r="G906" s="23">
        <f>IF($B906="","",SUMIF(CalcPartyB,$B906,CalcDepB))</f>
        <v/>
      </c>
      <c r="H906" s="24">
        <f>IF($B906="","",$E906-$F906+$G906)</f>
        <v/>
      </c>
      <c r="I906" s="22">
        <f>IF($B906="","",IF(ROUND($H906,0)&gt;0,"● بستانکار",IF(ROUND($H906,0)&lt;0,"● بدهکار","تسویه")))</f>
        <v/>
      </c>
    </row>
    <row r="907">
      <c r="A907" s="26">
        <f>IF($B907="","",898)</f>
        <v/>
      </c>
      <c r="B907" s="33">
        <f>IF(898&gt;NBskParty,"",INDEX(PkBskParty,898))</f>
        <v/>
      </c>
      <c r="C907" s="30">
        <f>IF($B907="","",IFERROR(IF(VLOOKUP($B907,AcctTbl,4,0)="","(بدون نام)",VLOOKUP($B907,AcctTbl,4,0)),"—"))</f>
        <v/>
      </c>
      <c r="D907" s="28">
        <f>IF($B907="","",SUMIF(CalcPartyA,$B907,CalcQtyA))</f>
        <v/>
      </c>
      <c r="E907" s="28">
        <f>IF($B907="","",SUMIF(CalcPartyA,$B907,CalcAmtA))</f>
        <v/>
      </c>
      <c r="F907" s="28">
        <f>IF($B907="","",SUMIF(CalcPartyB,$B907,CalcWitB))</f>
        <v/>
      </c>
      <c r="G907" s="28">
        <f>IF($B907="","",SUMIF(CalcPartyB,$B907,CalcDepB))</f>
        <v/>
      </c>
      <c r="H907" s="29">
        <f>IF($B907="","",$E907-$F907+$G907)</f>
        <v/>
      </c>
      <c r="I907" s="27">
        <f>IF($B907="","",IF(ROUND($H907,0)&gt;0,"● بستانکار",IF(ROUND($H907,0)&lt;0,"● بدهکار","تسویه")))</f>
        <v/>
      </c>
    </row>
    <row r="908">
      <c r="A908" s="21">
        <f>IF($B908="","",899)</f>
        <v/>
      </c>
      <c r="B908" s="32">
        <f>IF(899&gt;NBskParty,"",INDEX(PkBskParty,899))</f>
        <v/>
      </c>
      <c r="C908" s="25">
        <f>IF($B908="","",IFERROR(IF(VLOOKUP($B908,AcctTbl,4,0)="","(بدون نام)",VLOOKUP($B908,AcctTbl,4,0)),"—"))</f>
        <v/>
      </c>
      <c r="D908" s="23">
        <f>IF($B908="","",SUMIF(CalcPartyA,$B908,CalcQtyA))</f>
        <v/>
      </c>
      <c r="E908" s="23">
        <f>IF($B908="","",SUMIF(CalcPartyA,$B908,CalcAmtA))</f>
        <v/>
      </c>
      <c r="F908" s="23">
        <f>IF($B908="","",SUMIF(CalcPartyB,$B908,CalcWitB))</f>
        <v/>
      </c>
      <c r="G908" s="23">
        <f>IF($B908="","",SUMIF(CalcPartyB,$B908,CalcDepB))</f>
        <v/>
      </c>
      <c r="H908" s="24">
        <f>IF($B908="","",$E908-$F908+$G908)</f>
        <v/>
      </c>
      <c r="I908" s="22">
        <f>IF($B908="","",IF(ROUND($H908,0)&gt;0,"● بستانکار",IF(ROUND($H908,0)&lt;0,"● بدهکار","تسویه")))</f>
        <v/>
      </c>
    </row>
    <row r="909">
      <c r="A909" s="26">
        <f>IF($B909="","",900)</f>
        <v/>
      </c>
      <c r="B909" s="33">
        <f>IF(900&gt;NBskParty,"",INDEX(PkBskParty,900))</f>
        <v/>
      </c>
      <c r="C909" s="30">
        <f>IF($B909="","",IFERROR(IF(VLOOKUP($B909,AcctTbl,4,0)="","(بدون نام)",VLOOKUP($B909,AcctTbl,4,0)),"—"))</f>
        <v/>
      </c>
      <c r="D909" s="28">
        <f>IF($B909="","",SUMIF(CalcPartyA,$B909,CalcQtyA))</f>
        <v/>
      </c>
      <c r="E909" s="28">
        <f>IF($B909="","",SUMIF(CalcPartyA,$B909,CalcAmtA))</f>
        <v/>
      </c>
      <c r="F909" s="28">
        <f>IF($B909="","",SUMIF(CalcPartyB,$B909,CalcWitB))</f>
        <v/>
      </c>
      <c r="G909" s="28">
        <f>IF($B909="","",SUMIF(CalcPartyB,$B909,CalcDepB))</f>
        <v/>
      </c>
      <c r="H909" s="29">
        <f>IF($B909="","",$E909-$F909+$G909)</f>
        <v/>
      </c>
      <c r="I909" s="27">
        <f>IF($B909="","",IF(ROUND($H909,0)&gt;0,"● بستانکار",IF(ROUND($H909,0)&lt;0,"● بدهکار","تسویه")))</f>
        <v/>
      </c>
    </row>
    <row r="910">
      <c r="A910" s="21">
        <f>IF($B910="","",901)</f>
        <v/>
      </c>
      <c r="B910" s="32">
        <f>IF(901&gt;NBskParty,"",INDEX(PkBskParty,901))</f>
        <v/>
      </c>
      <c r="C910" s="25">
        <f>IF($B910="","",IFERROR(IF(VLOOKUP($B910,AcctTbl,4,0)="","(بدون نام)",VLOOKUP($B910,AcctTbl,4,0)),"—"))</f>
        <v/>
      </c>
      <c r="D910" s="23">
        <f>IF($B910="","",SUMIF(CalcPartyA,$B910,CalcQtyA))</f>
        <v/>
      </c>
      <c r="E910" s="23">
        <f>IF($B910="","",SUMIF(CalcPartyA,$B910,CalcAmtA))</f>
        <v/>
      </c>
      <c r="F910" s="23">
        <f>IF($B910="","",SUMIF(CalcPartyB,$B910,CalcWitB))</f>
        <v/>
      </c>
      <c r="G910" s="23">
        <f>IF($B910="","",SUMIF(CalcPartyB,$B910,CalcDepB))</f>
        <v/>
      </c>
      <c r="H910" s="24">
        <f>IF($B910="","",$E910-$F910+$G910)</f>
        <v/>
      </c>
      <c r="I910" s="22">
        <f>IF($B910="","",IF(ROUND($H910,0)&gt;0,"● بستانکار",IF(ROUND($H910,0)&lt;0,"● بدهکار","تسویه")))</f>
        <v/>
      </c>
    </row>
    <row r="911">
      <c r="A911" s="26">
        <f>IF($B911="","",902)</f>
        <v/>
      </c>
      <c r="B911" s="33">
        <f>IF(902&gt;NBskParty,"",INDEX(PkBskParty,902))</f>
        <v/>
      </c>
      <c r="C911" s="30">
        <f>IF($B911="","",IFERROR(IF(VLOOKUP($B911,AcctTbl,4,0)="","(بدون نام)",VLOOKUP($B911,AcctTbl,4,0)),"—"))</f>
        <v/>
      </c>
      <c r="D911" s="28">
        <f>IF($B911="","",SUMIF(CalcPartyA,$B911,CalcQtyA))</f>
        <v/>
      </c>
      <c r="E911" s="28">
        <f>IF($B911="","",SUMIF(CalcPartyA,$B911,CalcAmtA))</f>
        <v/>
      </c>
      <c r="F911" s="28">
        <f>IF($B911="","",SUMIF(CalcPartyB,$B911,CalcWitB))</f>
        <v/>
      </c>
      <c r="G911" s="28">
        <f>IF($B911="","",SUMIF(CalcPartyB,$B911,CalcDepB))</f>
        <v/>
      </c>
      <c r="H911" s="29">
        <f>IF($B911="","",$E911-$F911+$G911)</f>
        <v/>
      </c>
      <c r="I911" s="27">
        <f>IF($B911="","",IF(ROUND($H911,0)&gt;0,"● بستانکار",IF(ROUND($H911,0)&lt;0,"● بدهکار","تسویه")))</f>
        <v/>
      </c>
    </row>
    <row r="912">
      <c r="A912" s="21">
        <f>IF($B912="","",903)</f>
        <v/>
      </c>
      <c r="B912" s="32">
        <f>IF(903&gt;NBskParty,"",INDEX(PkBskParty,903))</f>
        <v/>
      </c>
      <c r="C912" s="25">
        <f>IF($B912="","",IFERROR(IF(VLOOKUP($B912,AcctTbl,4,0)="","(بدون نام)",VLOOKUP($B912,AcctTbl,4,0)),"—"))</f>
        <v/>
      </c>
      <c r="D912" s="23">
        <f>IF($B912="","",SUMIF(CalcPartyA,$B912,CalcQtyA))</f>
        <v/>
      </c>
      <c r="E912" s="23">
        <f>IF($B912="","",SUMIF(CalcPartyA,$B912,CalcAmtA))</f>
        <v/>
      </c>
      <c r="F912" s="23">
        <f>IF($B912="","",SUMIF(CalcPartyB,$B912,CalcWitB))</f>
        <v/>
      </c>
      <c r="G912" s="23">
        <f>IF($B912="","",SUMIF(CalcPartyB,$B912,CalcDepB))</f>
        <v/>
      </c>
      <c r="H912" s="24">
        <f>IF($B912="","",$E912-$F912+$G912)</f>
        <v/>
      </c>
      <c r="I912" s="22">
        <f>IF($B912="","",IF(ROUND($H912,0)&gt;0,"● بستانکار",IF(ROUND($H912,0)&lt;0,"● بدهکار","تسویه")))</f>
        <v/>
      </c>
    </row>
    <row r="913">
      <c r="A913" s="26">
        <f>IF($B913="","",904)</f>
        <v/>
      </c>
      <c r="B913" s="33">
        <f>IF(904&gt;NBskParty,"",INDEX(PkBskParty,904))</f>
        <v/>
      </c>
      <c r="C913" s="30">
        <f>IF($B913="","",IFERROR(IF(VLOOKUP($B913,AcctTbl,4,0)="","(بدون نام)",VLOOKUP($B913,AcctTbl,4,0)),"—"))</f>
        <v/>
      </c>
      <c r="D913" s="28">
        <f>IF($B913="","",SUMIF(CalcPartyA,$B913,CalcQtyA))</f>
        <v/>
      </c>
      <c r="E913" s="28">
        <f>IF($B913="","",SUMIF(CalcPartyA,$B913,CalcAmtA))</f>
        <v/>
      </c>
      <c r="F913" s="28">
        <f>IF($B913="","",SUMIF(CalcPartyB,$B913,CalcWitB))</f>
        <v/>
      </c>
      <c r="G913" s="28">
        <f>IF($B913="","",SUMIF(CalcPartyB,$B913,CalcDepB))</f>
        <v/>
      </c>
      <c r="H913" s="29">
        <f>IF($B913="","",$E913-$F913+$G913)</f>
        <v/>
      </c>
      <c r="I913" s="27">
        <f>IF($B913="","",IF(ROUND($H913,0)&gt;0,"● بستانکار",IF(ROUND($H913,0)&lt;0,"● بدهکار","تسویه")))</f>
        <v/>
      </c>
    </row>
    <row r="914">
      <c r="A914" s="21">
        <f>IF($B914="","",905)</f>
        <v/>
      </c>
      <c r="B914" s="32">
        <f>IF(905&gt;NBskParty,"",INDEX(PkBskParty,905))</f>
        <v/>
      </c>
      <c r="C914" s="25">
        <f>IF($B914="","",IFERROR(IF(VLOOKUP($B914,AcctTbl,4,0)="","(بدون نام)",VLOOKUP($B914,AcctTbl,4,0)),"—"))</f>
        <v/>
      </c>
      <c r="D914" s="23">
        <f>IF($B914="","",SUMIF(CalcPartyA,$B914,CalcQtyA))</f>
        <v/>
      </c>
      <c r="E914" s="23">
        <f>IF($B914="","",SUMIF(CalcPartyA,$B914,CalcAmtA))</f>
        <v/>
      </c>
      <c r="F914" s="23">
        <f>IF($B914="","",SUMIF(CalcPartyB,$B914,CalcWitB))</f>
        <v/>
      </c>
      <c r="G914" s="23">
        <f>IF($B914="","",SUMIF(CalcPartyB,$B914,CalcDepB))</f>
        <v/>
      </c>
      <c r="H914" s="24">
        <f>IF($B914="","",$E914-$F914+$G914)</f>
        <v/>
      </c>
      <c r="I914" s="22">
        <f>IF($B914="","",IF(ROUND($H914,0)&gt;0,"● بستانکار",IF(ROUND($H914,0)&lt;0,"● بدهکار","تسویه")))</f>
        <v/>
      </c>
    </row>
    <row r="915">
      <c r="A915" s="26">
        <f>IF($B915="","",906)</f>
        <v/>
      </c>
      <c r="B915" s="33">
        <f>IF(906&gt;NBskParty,"",INDEX(PkBskParty,906))</f>
        <v/>
      </c>
      <c r="C915" s="30">
        <f>IF($B915="","",IFERROR(IF(VLOOKUP($B915,AcctTbl,4,0)="","(بدون نام)",VLOOKUP($B915,AcctTbl,4,0)),"—"))</f>
        <v/>
      </c>
      <c r="D915" s="28">
        <f>IF($B915="","",SUMIF(CalcPartyA,$B915,CalcQtyA))</f>
        <v/>
      </c>
      <c r="E915" s="28">
        <f>IF($B915="","",SUMIF(CalcPartyA,$B915,CalcAmtA))</f>
        <v/>
      </c>
      <c r="F915" s="28">
        <f>IF($B915="","",SUMIF(CalcPartyB,$B915,CalcWitB))</f>
        <v/>
      </c>
      <c r="G915" s="28">
        <f>IF($B915="","",SUMIF(CalcPartyB,$B915,CalcDepB))</f>
        <v/>
      </c>
      <c r="H915" s="29">
        <f>IF($B915="","",$E915-$F915+$G915)</f>
        <v/>
      </c>
      <c r="I915" s="27">
        <f>IF($B915="","",IF(ROUND($H915,0)&gt;0,"● بستانکار",IF(ROUND($H915,0)&lt;0,"● بدهکار","تسویه")))</f>
        <v/>
      </c>
    </row>
    <row r="916">
      <c r="A916" s="21">
        <f>IF($B916="","",907)</f>
        <v/>
      </c>
      <c r="B916" s="32">
        <f>IF(907&gt;NBskParty,"",INDEX(PkBskParty,907))</f>
        <v/>
      </c>
      <c r="C916" s="25">
        <f>IF($B916="","",IFERROR(IF(VLOOKUP($B916,AcctTbl,4,0)="","(بدون نام)",VLOOKUP($B916,AcctTbl,4,0)),"—"))</f>
        <v/>
      </c>
      <c r="D916" s="23">
        <f>IF($B916="","",SUMIF(CalcPartyA,$B916,CalcQtyA))</f>
        <v/>
      </c>
      <c r="E916" s="23">
        <f>IF($B916="","",SUMIF(CalcPartyA,$B916,CalcAmtA))</f>
        <v/>
      </c>
      <c r="F916" s="23">
        <f>IF($B916="","",SUMIF(CalcPartyB,$B916,CalcWitB))</f>
        <v/>
      </c>
      <c r="G916" s="23">
        <f>IF($B916="","",SUMIF(CalcPartyB,$B916,CalcDepB))</f>
        <v/>
      </c>
      <c r="H916" s="24">
        <f>IF($B916="","",$E916-$F916+$G916)</f>
        <v/>
      </c>
      <c r="I916" s="22">
        <f>IF($B916="","",IF(ROUND($H916,0)&gt;0,"● بستانکار",IF(ROUND($H916,0)&lt;0,"● بدهکار","تسویه")))</f>
        <v/>
      </c>
    </row>
    <row r="917">
      <c r="A917" s="26">
        <f>IF($B917="","",908)</f>
        <v/>
      </c>
      <c r="B917" s="33">
        <f>IF(908&gt;NBskParty,"",INDEX(PkBskParty,908))</f>
        <v/>
      </c>
      <c r="C917" s="30">
        <f>IF($B917="","",IFERROR(IF(VLOOKUP($B917,AcctTbl,4,0)="","(بدون نام)",VLOOKUP($B917,AcctTbl,4,0)),"—"))</f>
        <v/>
      </c>
      <c r="D917" s="28">
        <f>IF($B917="","",SUMIF(CalcPartyA,$B917,CalcQtyA))</f>
        <v/>
      </c>
      <c r="E917" s="28">
        <f>IF($B917="","",SUMIF(CalcPartyA,$B917,CalcAmtA))</f>
        <v/>
      </c>
      <c r="F917" s="28">
        <f>IF($B917="","",SUMIF(CalcPartyB,$B917,CalcWitB))</f>
        <v/>
      </c>
      <c r="G917" s="28">
        <f>IF($B917="","",SUMIF(CalcPartyB,$B917,CalcDepB))</f>
        <v/>
      </c>
      <c r="H917" s="29">
        <f>IF($B917="","",$E917-$F917+$G917)</f>
        <v/>
      </c>
      <c r="I917" s="27">
        <f>IF($B917="","",IF(ROUND($H917,0)&gt;0,"● بستانکار",IF(ROUND($H917,0)&lt;0,"● بدهکار","تسویه")))</f>
        <v/>
      </c>
    </row>
    <row r="918">
      <c r="A918" s="21">
        <f>IF($B918="","",909)</f>
        <v/>
      </c>
      <c r="B918" s="32">
        <f>IF(909&gt;NBskParty,"",INDEX(PkBskParty,909))</f>
        <v/>
      </c>
      <c r="C918" s="25">
        <f>IF($B918="","",IFERROR(IF(VLOOKUP($B918,AcctTbl,4,0)="","(بدون نام)",VLOOKUP($B918,AcctTbl,4,0)),"—"))</f>
        <v/>
      </c>
      <c r="D918" s="23">
        <f>IF($B918="","",SUMIF(CalcPartyA,$B918,CalcQtyA))</f>
        <v/>
      </c>
      <c r="E918" s="23">
        <f>IF($B918="","",SUMIF(CalcPartyA,$B918,CalcAmtA))</f>
        <v/>
      </c>
      <c r="F918" s="23">
        <f>IF($B918="","",SUMIF(CalcPartyB,$B918,CalcWitB))</f>
        <v/>
      </c>
      <c r="G918" s="23">
        <f>IF($B918="","",SUMIF(CalcPartyB,$B918,CalcDepB))</f>
        <v/>
      </c>
      <c r="H918" s="24">
        <f>IF($B918="","",$E918-$F918+$G918)</f>
        <v/>
      </c>
      <c r="I918" s="22">
        <f>IF($B918="","",IF(ROUND($H918,0)&gt;0,"● بستانکار",IF(ROUND($H918,0)&lt;0,"● بدهکار","تسویه")))</f>
        <v/>
      </c>
    </row>
    <row r="919">
      <c r="A919" s="26">
        <f>IF($B919="","",910)</f>
        <v/>
      </c>
      <c r="B919" s="33">
        <f>IF(910&gt;NBskParty,"",INDEX(PkBskParty,910))</f>
        <v/>
      </c>
      <c r="C919" s="30">
        <f>IF($B919="","",IFERROR(IF(VLOOKUP($B919,AcctTbl,4,0)="","(بدون نام)",VLOOKUP($B919,AcctTbl,4,0)),"—"))</f>
        <v/>
      </c>
      <c r="D919" s="28">
        <f>IF($B919="","",SUMIF(CalcPartyA,$B919,CalcQtyA))</f>
        <v/>
      </c>
      <c r="E919" s="28">
        <f>IF($B919="","",SUMIF(CalcPartyA,$B919,CalcAmtA))</f>
        <v/>
      </c>
      <c r="F919" s="28">
        <f>IF($B919="","",SUMIF(CalcPartyB,$B919,CalcWitB))</f>
        <v/>
      </c>
      <c r="G919" s="28">
        <f>IF($B919="","",SUMIF(CalcPartyB,$B919,CalcDepB))</f>
        <v/>
      </c>
      <c r="H919" s="29">
        <f>IF($B919="","",$E919-$F919+$G919)</f>
        <v/>
      </c>
      <c r="I919" s="27">
        <f>IF($B919="","",IF(ROUND($H919,0)&gt;0,"● بستانکار",IF(ROUND($H919,0)&lt;0,"● بدهکار","تسویه")))</f>
        <v/>
      </c>
    </row>
    <row r="920">
      <c r="A920" s="21">
        <f>IF($B920="","",911)</f>
        <v/>
      </c>
      <c r="B920" s="32">
        <f>IF(911&gt;NBskParty,"",INDEX(PkBskParty,911))</f>
        <v/>
      </c>
      <c r="C920" s="25">
        <f>IF($B920="","",IFERROR(IF(VLOOKUP($B920,AcctTbl,4,0)="","(بدون نام)",VLOOKUP($B920,AcctTbl,4,0)),"—"))</f>
        <v/>
      </c>
      <c r="D920" s="23">
        <f>IF($B920="","",SUMIF(CalcPartyA,$B920,CalcQtyA))</f>
        <v/>
      </c>
      <c r="E920" s="23">
        <f>IF($B920="","",SUMIF(CalcPartyA,$B920,CalcAmtA))</f>
        <v/>
      </c>
      <c r="F920" s="23">
        <f>IF($B920="","",SUMIF(CalcPartyB,$B920,CalcWitB))</f>
        <v/>
      </c>
      <c r="G920" s="23">
        <f>IF($B920="","",SUMIF(CalcPartyB,$B920,CalcDepB))</f>
        <v/>
      </c>
      <c r="H920" s="24">
        <f>IF($B920="","",$E920-$F920+$G920)</f>
        <v/>
      </c>
      <c r="I920" s="22">
        <f>IF($B920="","",IF(ROUND($H920,0)&gt;0,"● بستانکار",IF(ROUND($H920,0)&lt;0,"● بدهکار","تسویه")))</f>
        <v/>
      </c>
    </row>
    <row r="921">
      <c r="A921" s="26">
        <f>IF($B921="","",912)</f>
        <v/>
      </c>
      <c r="B921" s="33">
        <f>IF(912&gt;NBskParty,"",INDEX(PkBskParty,912))</f>
        <v/>
      </c>
      <c r="C921" s="30">
        <f>IF($B921="","",IFERROR(IF(VLOOKUP($B921,AcctTbl,4,0)="","(بدون نام)",VLOOKUP($B921,AcctTbl,4,0)),"—"))</f>
        <v/>
      </c>
      <c r="D921" s="28">
        <f>IF($B921="","",SUMIF(CalcPartyA,$B921,CalcQtyA))</f>
        <v/>
      </c>
      <c r="E921" s="28">
        <f>IF($B921="","",SUMIF(CalcPartyA,$B921,CalcAmtA))</f>
        <v/>
      </c>
      <c r="F921" s="28">
        <f>IF($B921="","",SUMIF(CalcPartyB,$B921,CalcWitB))</f>
        <v/>
      </c>
      <c r="G921" s="28">
        <f>IF($B921="","",SUMIF(CalcPartyB,$B921,CalcDepB))</f>
        <v/>
      </c>
      <c r="H921" s="29">
        <f>IF($B921="","",$E921-$F921+$G921)</f>
        <v/>
      </c>
      <c r="I921" s="27">
        <f>IF($B921="","",IF(ROUND($H921,0)&gt;0,"● بستانکار",IF(ROUND($H921,0)&lt;0,"● بدهکار","تسویه")))</f>
        <v/>
      </c>
    </row>
    <row r="922">
      <c r="A922" s="21">
        <f>IF($B922="","",913)</f>
        <v/>
      </c>
      <c r="B922" s="32">
        <f>IF(913&gt;NBskParty,"",INDEX(PkBskParty,913))</f>
        <v/>
      </c>
      <c r="C922" s="25">
        <f>IF($B922="","",IFERROR(IF(VLOOKUP($B922,AcctTbl,4,0)="","(بدون نام)",VLOOKUP($B922,AcctTbl,4,0)),"—"))</f>
        <v/>
      </c>
      <c r="D922" s="23">
        <f>IF($B922="","",SUMIF(CalcPartyA,$B922,CalcQtyA))</f>
        <v/>
      </c>
      <c r="E922" s="23">
        <f>IF($B922="","",SUMIF(CalcPartyA,$B922,CalcAmtA))</f>
        <v/>
      </c>
      <c r="F922" s="23">
        <f>IF($B922="","",SUMIF(CalcPartyB,$B922,CalcWitB))</f>
        <v/>
      </c>
      <c r="G922" s="23">
        <f>IF($B922="","",SUMIF(CalcPartyB,$B922,CalcDepB))</f>
        <v/>
      </c>
      <c r="H922" s="24">
        <f>IF($B922="","",$E922-$F922+$G922)</f>
        <v/>
      </c>
      <c r="I922" s="22">
        <f>IF($B922="","",IF(ROUND($H922,0)&gt;0,"● بستانکار",IF(ROUND($H922,0)&lt;0,"● بدهکار","تسویه")))</f>
        <v/>
      </c>
    </row>
    <row r="923">
      <c r="A923" s="26">
        <f>IF($B923="","",914)</f>
        <v/>
      </c>
      <c r="B923" s="33">
        <f>IF(914&gt;NBskParty,"",INDEX(PkBskParty,914))</f>
        <v/>
      </c>
      <c r="C923" s="30">
        <f>IF($B923="","",IFERROR(IF(VLOOKUP($B923,AcctTbl,4,0)="","(بدون نام)",VLOOKUP($B923,AcctTbl,4,0)),"—"))</f>
        <v/>
      </c>
      <c r="D923" s="28">
        <f>IF($B923="","",SUMIF(CalcPartyA,$B923,CalcQtyA))</f>
        <v/>
      </c>
      <c r="E923" s="28">
        <f>IF($B923="","",SUMIF(CalcPartyA,$B923,CalcAmtA))</f>
        <v/>
      </c>
      <c r="F923" s="28">
        <f>IF($B923="","",SUMIF(CalcPartyB,$B923,CalcWitB))</f>
        <v/>
      </c>
      <c r="G923" s="28">
        <f>IF($B923="","",SUMIF(CalcPartyB,$B923,CalcDepB))</f>
        <v/>
      </c>
      <c r="H923" s="29">
        <f>IF($B923="","",$E923-$F923+$G923)</f>
        <v/>
      </c>
      <c r="I923" s="27">
        <f>IF($B923="","",IF(ROUND($H923,0)&gt;0,"● بستانکار",IF(ROUND($H923,0)&lt;0,"● بدهکار","تسویه")))</f>
        <v/>
      </c>
    </row>
    <row r="924">
      <c r="A924" s="21">
        <f>IF($B924="","",915)</f>
        <v/>
      </c>
      <c r="B924" s="32">
        <f>IF(915&gt;NBskParty,"",INDEX(PkBskParty,915))</f>
        <v/>
      </c>
      <c r="C924" s="25">
        <f>IF($B924="","",IFERROR(IF(VLOOKUP($B924,AcctTbl,4,0)="","(بدون نام)",VLOOKUP($B924,AcctTbl,4,0)),"—"))</f>
        <v/>
      </c>
      <c r="D924" s="23">
        <f>IF($B924="","",SUMIF(CalcPartyA,$B924,CalcQtyA))</f>
        <v/>
      </c>
      <c r="E924" s="23">
        <f>IF($B924="","",SUMIF(CalcPartyA,$B924,CalcAmtA))</f>
        <v/>
      </c>
      <c r="F924" s="23">
        <f>IF($B924="","",SUMIF(CalcPartyB,$B924,CalcWitB))</f>
        <v/>
      </c>
      <c r="G924" s="23">
        <f>IF($B924="","",SUMIF(CalcPartyB,$B924,CalcDepB))</f>
        <v/>
      </c>
      <c r="H924" s="24">
        <f>IF($B924="","",$E924-$F924+$G924)</f>
        <v/>
      </c>
      <c r="I924" s="22">
        <f>IF($B924="","",IF(ROUND($H924,0)&gt;0,"● بستانکار",IF(ROUND($H924,0)&lt;0,"● بدهکار","تسویه")))</f>
        <v/>
      </c>
    </row>
    <row r="925">
      <c r="A925" s="26">
        <f>IF($B925="","",916)</f>
        <v/>
      </c>
      <c r="B925" s="33">
        <f>IF(916&gt;NBskParty,"",INDEX(PkBskParty,916))</f>
        <v/>
      </c>
      <c r="C925" s="30">
        <f>IF($B925="","",IFERROR(IF(VLOOKUP($B925,AcctTbl,4,0)="","(بدون نام)",VLOOKUP($B925,AcctTbl,4,0)),"—"))</f>
        <v/>
      </c>
      <c r="D925" s="28">
        <f>IF($B925="","",SUMIF(CalcPartyA,$B925,CalcQtyA))</f>
        <v/>
      </c>
      <c r="E925" s="28">
        <f>IF($B925="","",SUMIF(CalcPartyA,$B925,CalcAmtA))</f>
        <v/>
      </c>
      <c r="F925" s="28">
        <f>IF($B925="","",SUMIF(CalcPartyB,$B925,CalcWitB))</f>
        <v/>
      </c>
      <c r="G925" s="28">
        <f>IF($B925="","",SUMIF(CalcPartyB,$B925,CalcDepB))</f>
        <v/>
      </c>
      <c r="H925" s="29">
        <f>IF($B925="","",$E925-$F925+$G925)</f>
        <v/>
      </c>
      <c r="I925" s="27">
        <f>IF($B925="","",IF(ROUND($H925,0)&gt;0,"● بستانکار",IF(ROUND($H925,0)&lt;0,"● بدهکار","تسویه")))</f>
        <v/>
      </c>
    </row>
    <row r="926">
      <c r="A926" s="21">
        <f>IF($B926="","",917)</f>
        <v/>
      </c>
      <c r="B926" s="32">
        <f>IF(917&gt;NBskParty,"",INDEX(PkBskParty,917))</f>
        <v/>
      </c>
      <c r="C926" s="25">
        <f>IF($B926="","",IFERROR(IF(VLOOKUP($B926,AcctTbl,4,0)="","(بدون نام)",VLOOKUP($B926,AcctTbl,4,0)),"—"))</f>
        <v/>
      </c>
      <c r="D926" s="23">
        <f>IF($B926="","",SUMIF(CalcPartyA,$B926,CalcQtyA))</f>
        <v/>
      </c>
      <c r="E926" s="23">
        <f>IF($B926="","",SUMIF(CalcPartyA,$B926,CalcAmtA))</f>
        <v/>
      </c>
      <c r="F926" s="23">
        <f>IF($B926="","",SUMIF(CalcPartyB,$B926,CalcWitB))</f>
        <v/>
      </c>
      <c r="G926" s="23">
        <f>IF($B926="","",SUMIF(CalcPartyB,$B926,CalcDepB))</f>
        <v/>
      </c>
      <c r="H926" s="24">
        <f>IF($B926="","",$E926-$F926+$G926)</f>
        <v/>
      </c>
      <c r="I926" s="22">
        <f>IF($B926="","",IF(ROUND($H926,0)&gt;0,"● بستانکار",IF(ROUND($H926,0)&lt;0,"● بدهکار","تسویه")))</f>
        <v/>
      </c>
    </row>
    <row r="927">
      <c r="A927" s="26">
        <f>IF($B927="","",918)</f>
        <v/>
      </c>
      <c r="B927" s="33">
        <f>IF(918&gt;NBskParty,"",INDEX(PkBskParty,918))</f>
        <v/>
      </c>
      <c r="C927" s="30">
        <f>IF($B927="","",IFERROR(IF(VLOOKUP($B927,AcctTbl,4,0)="","(بدون نام)",VLOOKUP($B927,AcctTbl,4,0)),"—"))</f>
        <v/>
      </c>
      <c r="D927" s="28">
        <f>IF($B927="","",SUMIF(CalcPartyA,$B927,CalcQtyA))</f>
        <v/>
      </c>
      <c r="E927" s="28">
        <f>IF($B927="","",SUMIF(CalcPartyA,$B927,CalcAmtA))</f>
        <v/>
      </c>
      <c r="F927" s="28">
        <f>IF($B927="","",SUMIF(CalcPartyB,$B927,CalcWitB))</f>
        <v/>
      </c>
      <c r="G927" s="28">
        <f>IF($B927="","",SUMIF(CalcPartyB,$B927,CalcDepB))</f>
        <v/>
      </c>
      <c r="H927" s="29">
        <f>IF($B927="","",$E927-$F927+$G927)</f>
        <v/>
      </c>
      <c r="I927" s="27">
        <f>IF($B927="","",IF(ROUND($H927,0)&gt;0,"● بستانکار",IF(ROUND($H927,0)&lt;0,"● بدهکار","تسویه")))</f>
        <v/>
      </c>
    </row>
    <row r="928">
      <c r="A928" s="21">
        <f>IF($B928="","",919)</f>
        <v/>
      </c>
      <c r="B928" s="32">
        <f>IF(919&gt;NBskParty,"",INDEX(PkBskParty,919))</f>
        <v/>
      </c>
      <c r="C928" s="25">
        <f>IF($B928="","",IFERROR(IF(VLOOKUP($B928,AcctTbl,4,0)="","(بدون نام)",VLOOKUP($B928,AcctTbl,4,0)),"—"))</f>
        <v/>
      </c>
      <c r="D928" s="23">
        <f>IF($B928="","",SUMIF(CalcPartyA,$B928,CalcQtyA))</f>
        <v/>
      </c>
      <c r="E928" s="23">
        <f>IF($B928="","",SUMIF(CalcPartyA,$B928,CalcAmtA))</f>
        <v/>
      </c>
      <c r="F928" s="23">
        <f>IF($B928="","",SUMIF(CalcPartyB,$B928,CalcWitB))</f>
        <v/>
      </c>
      <c r="G928" s="23">
        <f>IF($B928="","",SUMIF(CalcPartyB,$B928,CalcDepB))</f>
        <v/>
      </c>
      <c r="H928" s="24">
        <f>IF($B928="","",$E928-$F928+$G928)</f>
        <v/>
      </c>
      <c r="I928" s="22">
        <f>IF($B928="","",IF(ROUND($H928,0)&gt;0,"● بستانکار",IF(ROUND($H928,0)&lt;0,"● بدهکار","تسویه")))</f>
        <v/>
      </c>
    </row>
    <row r="929">
      <c r="A929" s="26">
        <f>IF($B929="","",920)</f>
        <v/>
      </c>
      <c r="B929" s="33">
        <f>IF(920&gt;NBskParty,"",INDEX(PkBskParty,920))</f>
        <v/>
      </c>
      <c r="C929" s="30">
        <f>IF($B929="","",IFERROR(IF(VLOOKUP($B929,AcctTbl,4,0)="","(بدون نام)",VLOOKUP($B929,AcctTbl,4,0)),"—"))</f>
        <v/>
      </c>
      <c r="D929" s="28">
        <f>IF($B929="","",SUMIF(CalcPartyA,$B929,CalcQtyA))</f>
        <v/>
      </c>
      <c r="E929" s="28">
        <f>IF($B929="","",SUMIF(CalcPartyA,$B929,CalcAmtA))</f>
        <v/>
      </c>
      <c r="F929" s="28">
        <f>IF($B929="","",SUMIF(CalcPartyB,$B929,CalcWitB))</f>
        <v/>
      </c>
      <c r="G929" s="28">
        <f>IF($B929="","",SUMIF(CalcPartyB,$B929,CalcDepB))</f>
        <v/>
      </c>
      <c r="H929" s="29">
        <f>IF($B929="","",$E929-$F929+$G929)</f>
        <v/>
      </c>
      <c r="I929" s="27">
        <f>IF($B929="","",IF(ROUND($H929,0)&gt;0,"● بستانکار",IF(ROUND($H929,0)&lt;0,"● بدهکار","تسویه")))</f>
        <v/>
      </c>
    </row>
    <row r="930">
      <c r="A930" s="21">
        <f>IF($B930="","",921)</f>
        <v/>
      </c>
      <c r="B930" s="32">
        <f>IF(921&gt;NBskParty,"",INDEX(PkBskParty,921))</f>
        <v/>
      </c>
      <c r="C930" s="25">
        <f>IF($B930="","",IFERROR(IF(VLOOKUP($B930,AcctTbl,4,0)="","(بدون نام)",VLOOKUP($B930,AcctTbl,4,0)),"—"))</f>
        <v/>
      </c>
      <c r="D930" s="23">
        <f>IF($B930="","",SUMIF(CalcPartyA,$B930,CalcQtyA))</f>
        <v/>
      </c>
      <c r="E930" s="23">
        <f>IF($B930="","",SUMIF(CalcPartyA,$B930,CalcAmtA))</f>
        <v/>
      </c>
      <c r="F930" s="23">
        <f>IF($B930="","",SUMIF(CalcPartyB,$B930,CalcWitB))</f>
        <v/>
      </c>
      <c r="G930" s="23">
        <f>IF($B930="","",SUMIF(CalcPartyB,$B930,CalcDepB))</f>
        <v/>
      </c>
      <c r="H930" s="24">
        <f>IF($B930="","",$E930-$F930+$G930)</f>
        <v/>
      </c>
      <c r="I930" s="22">
        <f>IF($B930="","",IF(ROUND($H930,0)&gt;0,"● بستانکار",IF(ROUND($H930,0)&lt;0,"● بدهکار","تسویه")))</f>
        <v/>
      </c>
    </row>
    <row r="931">
      <c r="A931" s="26">
        <f>IF($B931="","",922)</f>
        <v/>
      </c>
      <c r="B931" s="33">
        <f>IF(922&gt;NBskParty,"",INDEX(PkBskParty,922))</f>
        <v/>
      </c>
      <c r="C931" s="30">
        <f>IF($B931="","",IFERROR(IF(VLOOKUP($B931,AcctTbl,4,0)="","(بدون نام)",VLOOKUP($B931,AcctTbl,4,0)),"—"))</f>
        <v/>
      </c>
      <c r="D931" s="28">
        <f>IF($B931="","",SUMIF(CalcPartyA,$B931,CalcQtyA))</f>
        <v/>
      </c>
      <c r="E931" s="28">
        <f>IF($B931="","",SUMIF(CalcPartyA,$B931,CalcAmtA))</f>
        <v/>
      </c>
      <c r="F931" s="28">
        <f>IF($B931="","",SUMIF(CalcPartyB,$B931,CalcWitB))</f>
        <v/>
      </c>
      <c r="G931" s="28">
        <f>IF($B931="","",SUMIF(CalcPartyB,$B931,CalcDepB))</f>
        <v/>
      </c>
      <c r="H931" s="29">
        <f>IF($B931="","",$E931-$F931+$G931)</f>
        <v/>
      </c>
      <c r="I931" s="27">
        <f>IF($B931="","",IF(ROUND($H931,0)&gt;0,"● بستانکار",IF(ROUND($H931,0)&lt;0,"● بدهکار","تسویه")))</f>
        <v/>
      </c>
    </row>
    <row r="932">
      <c r="A932" s="21">
        <f>IF($B932="","",923)</f>
        <v/>
      </c>
      <c r="B932" s="32">
        <f>IF(923&gt;NBskParty,"",INDEX(PkBskParty,923))</f>
        <v/>
      </c>
      <c r="C932" s="25">
        <f>IF($B932="","",IFERROR(IF(VLOOKUP($B932,AcctTbl,4,0)="","(بدون نام)",VLOOKUP($B932,AcctTbl,4,0)),"—"))</f>
        <v/>
      </c>
      <c r="D932" s="23">
        <f>IF($B932="","",SUMIF(CalcPartyA,$B932,CalcQtyA))</f>
        <v/>
      </c>
      <c r="E932" s="23">
        <f>IF($B932="","",SUMIF(CalcPartyA,$B932,CalcAmtA))</f>
        <v/>
      </c>
      <c r="F932" s="23">
        <f>IF($B932="","",SUMIF(CalcPartyB,$B932,CalcWitB))</f>
        <v/>
      </c>
      <c r="G932" s="23">
        <f>IF($B932="","",SUMIF(CalcPartyB,$B932,CalcDepB))</f>
        <v/>
      </c>
      <c r="H932" s="24">
        <f>IF($B932="","",$E932-$F932+$G932)</f>
        <v/>
      </c>
      <c r="I932" s="22">
        <f>IF($B932="","",IF(ROUND($H932,0)&gt;0,"● بستانکار",IF(ROUND($H932,0)&lt;0,"● بدهکار","تسویه")))</f>
        <v/>
      </c>
    </row>
    <row r="933">
      <c r="A933" s="26">
        <f>IF($B933="","",924)</f>
        <v/>
      </c>
      <c r="B933" s="33">
        <f>IF(924&gt;NBskParty,"",INDEX(PkBskParty,924))</f>
        <v/>
      </c>
      <c r="C933" s="30">
        <f>IF($B933="","",IFERROR(IF(VLOOKUP($B933,AcctTbl,4,0)="","(بدون نام)",VLOOKUP($B933,AcctTbl,4,0)),"—"))</f>
        <v/>
      </c>
      <c r="D933" s="28">
        <f>IF($B933="","",SUMIF(CalcPartyA,$B933,CalcQtyA))</f>
        <v/>
      </c>
      <c r="E933" s="28">
        <f>IF($B933="","",SUMIF(CalcPartyA,$B933,CalcAmtA))</f>
        <v/>
      </c>
      <c r="F933" s="28">
        <f>IF($B933="","",SUMIF(CalcPartyB,$B933,CalcWitB))</f>
        <v/>
      </c>
      <c r="G933" s="28">
        <f>IF($B933="","",SUMIF(CalcPartyB,$B933,CalcDepB))</f>
        <v/>
      </c>
      <c r="H933" s="29">
        <f>IF($B933="","",$E933-$F933+$G933)</f>
        <v/>
      </c>
      <c r="I933" s="27">
        <f>IF($B933="","",IF(ROUND($H933,0)&gt;0,"● بستانکار",IF(ROUND($H933,0)&lt;0,"● بدهکار","تسویه")))</f>
        <v/>
      </c>
    </row>
    <row r="934">
      <c r="A934" s="21">
        <f>IF($B934="","",925)</f>
        <v/>
      </c>
      <c r="B934" s="32">
        <f>IF(925&gt;NBskParty,"",INDEX(PkBskParty,925))</f>
        <v/>
      </c>
      <c r="C934" s="25">
        <f>IF($B934="","",IFERROR(IF(VLOOKUP($B934,AcctTbl,4,0)="","(بدون نام)",VLOOKUP($B934,AcctTbl,4,0)),"—"))</f>
        <v/>
      </c>
      <c r="D934" s="23">
        <f>IF($B934="","",SUMIF(CalcPartyA,$B934,CalcQtyA))</f>
        <v/>
      </c>
      <c r="E934" s="23">
        <f>IF($B934="","",SUMIF(CalcPartyA,$B934,CalcAmtA))</f>
        <v/>
      </c>
      <c r="F934" s="23">
        <f>IF($B934="","",SUMIF(CalcPartyB,$B934,CalcWitB))</f>
        <v/>
      </c>
      <c r="G934" s="23">
        <f>IF($B934="","",SUMIF(CalcPartyB,$B934,CalcDepB))</f>
        <v/>
      </c>
      <c r="H934" s="24">
        <f>IF($B934="","",$E934-$F934+$G934)</f>
        <v/>
      </c>
      <c r="I934" s="22">
        <f>IF($B934="","",IF(ROUND($H934,0)&gt;0,"● بستانکار",IF(ROUND($H934,0)&lt;0,"● بدهکار","تسویه")))</f>
        <v/>
      </c>
    </row>
    <row r="935">
      <c r="A935" s="26">
        <f>IF($B935="","",926)</f>
        <v/>
      </c>
      <c r="B935" s="33">
        <f>IF(926&gt;NBskParty,"",INDEX(PkBskParty,926))</f>
        <v/>
      </c>
      <c r="C935" s="30">
        <f>IF($B935="","",IFERROR(IF(VLOOKUP($B935,AcctTbl,4,0)="","(بدون نام)",VLOOKUP($B935,AcctTbl,4,0)),"—"))</f>
        <v/>
      </c>
      <c r="D935" s="28">
        <f>IF($B935="","",SUMIF(CalcPartyA,$B935,CalcQtyA))</f>
        <v/>
      </c>
      <c r="E935" s="28">
        <f>IF($B935="","",SUMIF(CalcPartyA,$B935,CalcAmtA))</f>
        <v/>
      </c>
      <c r="F935" s="28">
        <f>IF($B935="","",SUMIF(CalcPartyB,$B935,CalcWitB))</f>
        <v/>
      </c>
      <c r="G935" s="28">
        <f>IF($B935="","",SUMIF(CalcPartyB,$B935,CalcDepB))</f>
        <v/>
      </c>
      <c r="H935" s="29">
        <f>IF($B935="","",$E935-$F935+$G935)</f>
        <v/>
      </c>
      <c r="I935" s="27">
        <f>IF($B935="","",IF(ROUND($H935,0)&gt;0,"● بستانکار",IF(ROUND($H935,0)&lt;0,"● بدهکار","تسویه")))</f>
        <v/>
      </c>
    </row>
    <row r="936">
      <c r="A936" s="21">
        <f>IF($B936="","",927)</f>
        <v/>
      </c>
      <c r="B936" s="32">
        <f>IF(927&gt;NBskParty,"",INDEX(PkBskParty,927))</f>
        <v/>
      </c>
      <c r="C936" s="25">
        <f>IF($B936="","",IFERROR(IF(VLOOKUP($B936,AcctTbl,4,0)="","(بدون نام)",VLOOKUP($B936,AcctTbl,4,0)),"—"))</f>
        <v/>
      </c>
      <c r="D936" s="23">
        <f>IF($B936="","",SUMIF(CalcPartyA,$B936,CalcQtyA))</f>
        <v/>
      </c>
      <c r="E936" s="23">
        <f>IF($B936="","",SUMIF(CalcPartyA,$B936,CalcAmtA))</f>
        <v/>
      </c>
      <c r="F936" s="23">
        <f>IF($B936="","",SUMIF(CalcPartyB,$B936,CalcWitB))</f>
        <v/>
      </c>
      <c r="G936" s="23">
        <f>IF($B936="","",SUMIF(CalcPartyB,$B936,CalcDepB))</f>
        <v/>
      </c>
      <c r="H936" s="24">
        <f>IF($B936="","",$E936-$F936+$G936)</f>
        <v/>
      </c>
      <c r="I936" s="22">
        <f>IF($B936="","",IF(ROUND($H936,0)&gt;0,"● بستانکار",IF(ROUND($H936,0)&lt;0,"● بدهکار","تسویه")))</f>
        <v/>
      </c>
    </row>
    <row r="937">
      <c r="A937" s="26">
        <f>IF($B937="","",928)</f>
        <v/>
      </c>
      <c r="B937" s="33">
        <f>IF(928&gt;NBskParty,"",INDEX(PkBskParty,928))</f>
        <v/>
      </c>
      <c r="C937" s="30">
        <f>IF($B937="","",IFERROR(IF(VLOOKUP($B937,AcctTbl,4,0)="","(بدون نام)",VLOOKUP($B937,AcctTbl,4,0)),"—"))</f>
        <v/>
      </c>
      <c r="D937" s="28">
        <f>IF($B937="","",SUMIF(CalcPartyA,$B937,CalcQtyA))</f>
        <v/>
      </c>
      <c r="E937" s="28">
        <f>IF($B937="","",SUMIF(CalcPartyA,$B937,CalcAmtA))</f>
        <v/>
      </c>
      <c r="F937" s="28">
        <f>IF($B937="","",SUMIF(CalcPartyB,$B937,CalcWitB))</f>
        <v/>
      </c>
      <c r="G937" s="28">
        <f>IF($B937="","",SUMIF(CalcPartyB,$B937,CalcDepB))</f>
        <v/>
      </c>
      <c r="H937" s="29">
        <f>IF($B937="","",$E937-$F937+$G937)</f>
        <v/>
      </c>
      <c r="I937" s="27">
        <f>IF($B937="","",IF(ROUND($H937,0)&gt;0,"● بستانکار",IF(ROUND($H937,0)&lt;0,"● بدهکار","تسویه")))</f>
        <v/>
      </c>
    </row>
    <row r="938">
      <c r="A938" s="21">
        <f>IF($B938="","",929)</f>
        <v/>
      </c>
      <c r="B938" s="32">
        <f>IF(929&gt;NBskParty,"",INDEX(PkBskParty,929))</f>
        <v/>
      </c>
      <c r="C938" s="25">
        <f>IF($B938="","",IFERROR(IF(VLOOKUP($B938,AcctTbl,4,0)="","(بدون نام)",VLOOKUP($B938,AcctTbl,4,0)),"—"))</f>
        <v/>
      </c>
      <c r="D938" s="23">
        <f>IF($B938="","",SUMIF(CalcPartyA,$B938,CalcQtyA))</f>
        <v/>
      </c>
      <c r="E938" s="23">
        <f>IF($B938="","",SUMIF(CalcPartyA,$B938,CalcAmtA))</f>
        <v/>
      </c>
      <c r="F938" s="23">
        <f>IF($B938="","",SUMIF(CalcPartyB,$B938,CalcWitB))</f>
        <v/>
      </c>
      <c r="G938" s="23">
        <f>IF($B938="","",SUMIF(CalcPartyB,$B938,CalcDepB))</f>
        <v/>
      </c>
      <c r="H938" s="24">
        <f>IF($B938="","",$E938-$F938+$G938)</f>
        <v/>
      </c>
      <c r="I938" s="22">
        <f>IF($B938="","",IF(ROUND($H938,0)&gt;0,"● بستانکار",IF(ROUND($H938,0)&lt;0,"● بدهکار","تسویه")))</f>
        <v/>
      </c>
    </row>
    <row r="939">
      <c r="A939" s="26">
        <f>IF($B939="","",930)</f>
        <v/>
      </c>
      <c r="B939" s="33">
        <f>IF(930&gt;NBskParty,"",INDEX(PkBskParty,930))</f>
        <v/>
      </c>
      <c r="C939" s="30">
        <f>IF($B939="","",IFERROR(IF(VLOOKUP($B939,AcctTbl,4,0)="","(بدون نام)",VLOOKUP($B939,AcctTbl,4,0)),"—"))</f>
        <v/>
      </c>
      <c r="D939" s="28">
        <f>IF($B939="","",SUMIF(CalcPartyA,$B939,CalcQtyA))</f>
        <v/>
      </c>
      <c r="E939" s="28">
        <f>IF($B939="","",SUMIF(CalcPartyA,$B939,CalcAmtA))</f>
        <v/>
      </c>
      <c r="F939" s="28">
        <f>IF($B939="","",SUMIF(CalcPartyB,$B939,CalcWitB))</f>
        <v/>
      </c>
      <c r="G939" s="28">
        <f>IF($B939="","",SUMIF(CalcPartyB,$B939,CalcDepB))</f>
        <v/>
      </c>
      <c r="H939" s="29">
        <f>IF($B939="","",$E939-$F939+$G939)</f>
        <v/>
      </c>
      <c r="I939" s="27">
        <f>IF($B939="","",IF(ROUND($H939,0)&gt;0,"● بستانکار",IF(ROUND($H939,0)&lt;0,"● بدهکار","تسویه")))</f>
        <v/>
      </c>
    </row>
    <row r="940">
      <c r="A940" s="21">
        <f>IF($B940="","",931)</f>
        <v/>
      </c>
      <c r="B940" s="32">
        <f>IF(931&gt;NBskParty,"",INDEX(PkBskParty,931))</f>
        <v/>
      </c>
      <c r="C940" s="25">
        <f>IF($B940="","",IFERROR(IF(VLOOKUP($B940,AcctTbl,4,0)="","(بدون نام)",VLOOKUP($B940,AcctTbl,4,0)),"—"))</f>
        <v/>
      </c>
      <c r="D940" s="23">
        <f>IF($B940="","",SUMIF(CalcPartyA,$B940,CalcQtyA))</f>
        <v/>
      </c>
      <c r="E940" s="23">
        <f>IF($B940="","",SUMIF(CalcPartyA,$B940,CalcAmtA))</f>
        <v/>
      </c>
      <c r="F940" s="23">
        <f>IF($B940="","",SUMIF(CalcPartyB,$B940,CalcWitB))</f>
        <v/>
      </c>
      <c r="G940" s="23">
        <f>IF($B940="","",SUMIF(CalcPartyB,$B940,CalcDepB))</f>
        <v/>
      </c>
      <c r="H940" s="24">
        <f>IF($B940="","",$E940-$F940+$G940)</f>
        <v/>
      </c>
      <c r="I940" s="22">
        <f>IF($B940="","",IF(ROUND($H940,0)&gt;0,"● بستانکار",IF(ROUND($H940,0)&lt;0,"● بدهکار","تسویه")))</f>
        <v/>
      </c>
    </row>
    <row r="941">
      <c r="A941" s="26">
        <f>IF($B941="","",932)</f>
        <v/>
      </c>
      <c r="B941" s="33">
        <f>IF(932&gt;NBskParty,"",INDEX(PkBskParty,932))</f>
        <v/>
      </c>
      <c r="C941" s="30">
        <f>IF($B941="","",IFERROR(IF(VLOOKUP($B941,AcctTbl,4,0)="","(بدون نام)",VLOOKUP($B941,AcctTbl,4,0)),"—"))</f>
        <v/>
      </c>
      <c r="D941" s="28">
        <f>IF($B941="","",SUMIF(CalcPartyA,$B941,CalcQtyA))</f>
        <v/>
      </c>
      <c r="E941" s="28">
        <f>IF($B941="","",SUMIF(CalcPartyA,$B941,CalcAmtA))</f>
        <v/>
      </c>
      <c r="F941" s="28">
        <f>IF($B941="","",SUMIF(CalcPartyB,$B941,CalcWitB))</f>
        <v/>
      </c>
      <c r="G941" s="28">
        <f>IF($B941="","",SUMIF(CalcPartyB,$B941,CalcDepB))</f>
        <v/>
      </c>
      <c r="H941" s="29">
        <f>IF($B941="","",$E941-$F941+$G941)</f>
        <v/>
      </c>
      <c r="I941" s="27">
        <f>IF($B941="","",IF(ROUND($H941,0)&gt;0,"● بستانکار",IF(ROUND($H941,0)&lt;0,"● بدهکار","تسویه")))</f>
        <v/>
      </c>
    </row>
    <row r="942">
      <c r="A942" s="21">
        <f>IF($B942="","",933)</f>
        <v/>
      </c>
      <c r="B942" s="32">
        <f>IF(933&gt;NBskParty,"",INDEX(PkBskParty,933))</f>
        <v/>
      </c>
      <c r="C942" s="25">
        <f>IF($B942="","",IFERROR(IF(VLOOKUP($B942,AcctTbl,4,0)="","(بدون نام)",VLOOKUP($B942,AcctTbl,4,0)),"—"))</f>
        <v/>
      </c>
      <c r="D942" s="23">
        <f>IF($B942="","",SUMIF(CalcPartyA,$B942,CalcQtyA))</f>
        <v/>
      </c>
      <c r="E942" s="23">
        <f>IF($B942="","",SUMIF(CalcPartyA,$B942,CalcAmtA))</f>
        <v/>
      </c>
      <c r="F942" s="23">
        <f>IF($B942="","",SUMIF(CalcPartyB,$B942,CalcWitB))</f>
        <v/>
      </c>
      <c r="G942" s="23">
        <f>IF($B942="","",SUMIF(CalcPartyB,$B942,CalcDepB))</f>
        <v/>
      </c>
      <c r="H942" s="24">
        <f>IF($B942="","",$E942-$F942+$G942)</f>
        <v/>
      </c>
      <c r="I942" s="22">
        <f>IF($B942="","",IF(ROUND($H942,0)&gt;0,"● بستانکار",IF(ROUND($H942,0)&lt;0,"● بدهکار","تسویه")))</f>
        <v/>
      </c>
    </row>
    <row r="943">
      <c r="A943" s="26">
        <f>IF($B943="","",934)</f>
        <v/>
      </c>
      <c r="B943" s="33">
        <f>IF(934&gt;NBskParty,"",INDEX(PkBskParty,934))</f>
        <v/>
      </c>
      <c r="C943" s="30">
        <f>IF($B943="","",IFERROR(IF(VLOOKUP($B943,AcctTbl,4,0)="","(بدون نام)",VLOOKUP($B943,AcctTbl,4,0)),"—"))</f>
        <v/>
      </c>
      <c r="D943" s="28">
        <f>IF($B943="","",SUMIF(CalcPartyA,$B943,CalcQtyA))</f>
        <v/>
      </c>
      <c r="E943" s="28">
        <f>IF($B943="","",SUMIF(CalcPartyA,$B943,CalcAmtA))</f>
        <v/>
      </c>
      <c r="F943" s="28">
        <f>IF($B943="","",SUMIF(CalcPartyB,$B943,CalcWitB))</f>
        <v/>
      </c>
      <c r="G943" s="28">
        <f>IF($B943="","",SUMIF(CalcPartyB,$B943,CalcDepB))</f>
        <v/>
      </c>
      <c r="H943" s="29">
        <f>IF($B943="","",$E943-$F943+$G943)</f>
        <v/>
      </c>
      <c r="I943" s="27">
        <f>IF($B943="","",IF(ROUND($H943,0)&gt;0,"● بستانکار",IF(ROUND($H943,0)&lt;0,"● بدهکار","تسویه")))</f>
        <v/>
      </c>
    </row>
    <row r="944">
      <c r="A944" s="21">
        <f>IF($B944="","",935)</f>
        <v/>
      </c>
      <c r="B944" s="32">
        <f>IF(935&gt;NBskParty,"",INDEX(PkBskParty,935))</f>
        <v/>
      </c>
      <c r="C944" s="25">
        <f>IF($B944="","",IFERROR(IF(VLOOKUP($B944,AcctTbl,4,0)="","(بدون نام)",VLOOKUP($B944,AcctTbl,4,0)),"—"))</f>
        <v/>
      </c>
      <c r="D944" s="23">
        <f>IF($B944="","",SUMIF(CalcPartyA,$B944,CalcQtyA))</f>
        <v/>
      </c>
      <c r="E944" s="23">
        <f>IF($B944="","",SUMIF(CalcPartyA,$B944,CalcAmtA))</f>
        <v/>
      </c>
      <c r="F944" s="23">
        <f>IF($B944="","",SUMIF(CalcPartyB,$B944,CalcWitB))</f>
        <v/>
      </c>
      <c r="G944" s="23">
        <f>IF($B944="","",SUMIF(CalcPartyB,$B944,CalcDepB))</f>
        <v/>
      </c>
      <c r="H944" s="24">
        <f>IF($B944="","",$E944-$F944+$G944)</f>
        <v/>
      </c>
      <c r="I944" s="22">
        <f>IF($B944="","",IF(ROUND($H944,0)&gt;0,"● بستانکار",IF(ROUND($H944,0)&lt;0,"● بدهکار","تسویه")))</f>
        <v/>
      </c>
    </row>
    <row r="945">
      <c r="A945" s="26">
        <f>IF($B945="","",936)</f>
        <v/>
      </c>
      <c r="B945" s="33">
        <f>IF(936&gt;NBskParty,"",INDEX(PkBskParty,936))</f>
        <v/>
      </c>
      <c r="C945" s="30">
        <f>IF($B945="","",IFERROR(IF(VLOOKUP($B945,AcctTbl,4,0)="","(بدون نام)",VLOOKUP($B945,AcctTbl,4,0)),"—"))</f>
        <v/>
      </c>
      <c r="D945" s="28">
        <f>IF($B945="","",SUMIF(CalcPartyA,$B945,CalcQtyA))</f>
        <v/>
      </c>
      <c r="E945" s="28">
        <f>IF($B945="","",SUMIF(CalcPartyA,$B945,CalcAmtA))</f>
        <v/>
      </c>
      <c r="F945" s="28">
        <f>IF($B945="","",SUMIF(CalcPartyB,$B945,CalcWitB))</f>
        <v/>
      </c>
      <c r="G945" s="28">
        <f>IF($B945="","",SUMIF(CalcPartyB,$B945,CalcDepB))</f>
        <v/>
      </c>
      <c r="H945" s="29">
        <f>IF($B945="","",$E945-$F945+$G945)</f>
        <v/>
      </c>
      <c r="I945" s="27">
        <f>IF($B945="","",IF(ROUND($H945,0)&gt;0,"● بستانکار",IF(ROUND($H945,0)&lt;0,"● بدهکار","تسویه")))</f>
        <v/>
      </c>
    </row>
    <row r="946">
      <c r="A946" s="21">
        <f>IF($B946="","",937)</f>
        <v/>
      </c>
      <c r="B946" s="32">
        <f>IF(937&gt;NBskParty,"",INDEX(PkBskParty,937))</f>
        <v/>
      </c>
      <c r="C946" s="25">
        <f>IF($B946="","",IFERROR(IF(VLOOKUP($B946,AcctTbl,4,0)="","(بدون نام)",VLOOKUP($B946,AcctTbl,4,0)),"—"))</f>
        <v/>
      </c>
      <c r="D946" s="23">
        <f>IF($B946="","",SUMIF(CalcPartyA,$B946,CalcQtyA))</f>
        <v/>
      </c>
      <c r="E946" s="23">
        <f>IF($B946="","",SUMIF(CalcPartyA,$B946,CalcAmtA))</f>
        <v/>
      </c>
      <c r="F946" s="23">
        <f>IF($B946="","",SUMIF(CalcPartyB,$B946,CalcWitB))</f>
        <v/>
      </c>
      <c r="G946" s="23">
        <f>IF($B946="","",SUMIF(CalcPartyB,$B946,CalcDepB))</f>
        <v/>
      </c>
      <c r="H946" s="24">
        <f>IF($B946="","",$E946-$F946+$G946)</f>
        <v/>
      </c>
      <c r="I946" s="22">
        <f>IF($B946="","",IF(ROUND($H946,0)&gt;0,"● بستانکار",IF(ROUND($H946,0)&lt;0,"● بدهکار","تسویه")))</f>
        <v/>
      </c>
    </row>
    <row r="947">
      <c r="A947" s="26">
        <f>IF($B947="","",938)</f>
        <v/>
      </c>
      <c r="B947" s="33">
        <f>IF(938&gt;NBskParty,"",INDEX(PkBskParty,938))</f>
        <v/>
      </c>
      <c r="C947" s="30">
        <f>IF($B947="","",IFERROR(IF(VLOOKUP($B947,AcctTbl,4,0)="","(بدون نام)",VLOOKUP($B947,AcctTbl,4,0)),"—"))</f>
        <v/>
      </c>
      <c r="D947" s="28">
        <f>IF($B947="","",SUMIF(CalcPartyA,$B947,CalcQtyA))</f>
        <v/>
      </c>
      <c r="E947" s="28">
        <f>IF($B947="","",SUMIF(CalcPartyA,$B947,CalcAmtA))</f>
        <v/>
      </c>
      <c r="F947" s="28">
        <f>IF($B947="","",SUMIF(CalcPartyB,$B947,CalcWitB))</f>
        <v/>
      </c>
      <c r="G947" s="28">
        <f>IF($B947="","",SUMIF(CalcPartyB,$B947,CalcDepB))</f>
        <v/>
      </c>
      <c r="H947" s="29">
        <f>IF($B947="","",$E947-$F947+$G947)</f>
        <v/>
      </c>
      <c r="I947" s="27">
        <f>IF($B947="","",IF(ROUND($H947,0)&gt;0,"● بستانکار",IF(ROUND($H947,0)&lt;0,"● بدهکار","تسویه")))</f>
        <v/>
      </c>
    </row>
    <row r="948">
      <c r="A948" s="21">
        <f>IF($B948="","",939)</f>
        <v/>
      </c>
      <c r="B948" s="32">
        <f>IF(939&gt;NBskParty,"",INDEX(PkBskParty,939))</f>
        <v/>
      </c>
      <c r="C948" s="25">
        <f>IF($B948="","",IFERROR(IF(VLOOKUP($B948,AcctTbl,4,0)="","(بدون نام)",VLOOKUP($B948,AcctTbl,4,0)),"—"))</f>
        <v/>
      </c>
      <c r="D948" s="23">
        <f>IF($B948="","",SUMIF(CalcPartyA,$B948,CalcQtyA))</f>
        <v/>
      </c>
      <c r="E948" s="23">
        <f>IF($B948="","",SUMIF(CalcPartyA,$B948,CalcAmtA))</f>
        <v/>
      </c>
      <c r="F948" s="23">
        <f>IF($B948="","",SUMIF(CalcPartyB,$B948,CalcWitB))</f>
        <v/>
      </c>
      <c r="G948" s="23">
        <f>IF($B948="","",SUMIF(CalcPartyB,$B948,CalcDepB))</f>
        <v/>
      </c>
      <c r="H948" s="24">
        <f>IF($B948="","",$E948-$F948+$G948)</f>
        <v/>
      </c>
      <c r="I948" s="22">
        <f>IF($B948="","",IF(ROUND($H948,0)&gt;0,"● بستانکار",IF(ROUND($H948,0)&lt;0,"● بدهکار","تسویه")))</f>
        <v/>
      </c>
    </row>
    <row r="949">
      <c r="A949" s="26">
        <f>IF($B949="","",940)</f>
        <v/>
      </c>
      <c r="B949" s="33">
        <f>IF(940&gt;NBskParty,"",INDEX(PkBskParty,940))</f>
        <v/>
      </c>
      <c r="C949" s="30">
        <f>IF($B949="","",IFERROR(IF(VLOOKUP($B949,AcctTbl,4,0)="","(بدون نام)",VLOOKUP($B949,AcctTbl,4,0)),"—"))</f>
        <v/>
      </c>
      <c r="D949" s="28">
        <f>IF($B949="","",SUMIF(CalcPartyA,$B949,CalcQtyA))</f>
        <v/>
      </c>
      <c r="E949" s="28">
        <f>IF($B949="","",SUMIF(CalcPartyA,$B949,CalcAmtA))</f>
        <v/>
      </c>
      <c r="F949" s="28">
        <f>IF($B949="","",SUMIF(CalcPartyB,$B949,CalcWitB))</f>
        <v/>
      </c>
      <c r="G949" s="28">
        <f>IF($B949="","",SUMIF(CalcPartyB,$B949,CalcDepB))</f>
        <v/>
      </c>
      <c r="H949" s="29">
        <f>IF($B949="","",$E949-$F949+$G949)</f>
        <v/>
      </c>
      <c r="I949" s="27">
        <f>IF($B949="","",IF(ROUND($H949,0)&gt;0,"● بستانکار",IF(ROUND($H949,0)&lt;0,"● بدهکار","تسویه")))</f>
        <v/>
      </c>
    </row>
    <row r="950">
      <c r="A950" s="21">
        <f>IF($B950="","",941)</f>
        <v/>
      </c>
      <c r="B950" s="32">
        <f>IF(941&gt;NBskParty,"",INDEX(PkBskParty,941))</f>
        <v/>
      </c>
      <c r="C950" s="25">
        <f>IF($B950="","",IFERROR(IF(VLOOKUP($B950,AcctTbl,4,0)="","(بدون نام)",VLOOKUP($B950,AcctTbl,4,0)),"—"))</f>
        <v/>
      </c>
      <c r="D950" s="23">
        <f>IF($B950="","",SUMIF(CalcPartyA,$B950,CalcQtyA))</f>
        <v/>
      </c>
      <c r="E950" s="23">
        <f>IF($B950="","",SUMIF(CalcPartyA,$B950,CalcAmtA))</f>
        <v/>
      </c>
      <c r="F950" s="23">
        <f>IF($B950="","",SUMIF(CalcPartyB,$B950,CalcWitB))</f>
        <v/>
      </c>
      <c r="G950" s="23">
        <f>IF($B950="","",SUMIF(CalcPartyB,$B950,CalcDepB))</f>
        <v/>
      </c>
      <c r="H950" s="24">
        <f>IF($B950="","",$E950-$F950+$G950)</f>
        <v/>
      </c>
      <c r="I950" s="22">
        <f>IF($B950="","",IF(ROUND($H950,0)&gt;0,"● بستانکار",IF(ROUND($H950,0)&lt;0,"● بدهکار","تسویه")))</f>
        <v/>
      </c>
    </row>
    <row r="951">
      <c r="A951" s="26">
        <f>IF($B951="","",942)</f>
        <v/>
      </c>
      <c r="B951" s="33">
        <f>IF(942&gt;NBskParty,"",INDEX(PkBskParty,942))</f>
        <v/>
      </c>
      <c r="C951" s="30">
        <f>IF($B951="","",IFERROR(IF(VLOOKUP($B951,AcctTbl,4,0)="","(بدون نام)",VLOOKUP($B951,AcctTbl,4,0)),"—"))</f>
        <v/>
      </c>
      <c r="D951" s="28">
        <f>IF($B951="","",SUMIF(CalcPartyA,$B951,CalcQtyA))</f>
        <v/>
      </c>
      <c r="E951" s="28">
        <f>IF($B951="","",SUMIF(CalcPartyA,$B951,CalcAmtA))</f>
        <v/>
      </c>
      <c r="F951" s="28">
        <f>IF($B951="","",SUMIF(CalcPartyB,$B951,CalcWitB))</f>
        <v/>
      </c>
      <c r="G951" s="28">
        <f>IF($B951="","",SUMIF(CalcPartyB,$B951,CalcDepB))</f>
        <v/>
      </c>
      <c r="H951" s="29">
        <f>IF($B951="","",$E951-$F951+$G951)</f>
        <v/>
      </c>
      <c r="I951" s="27">
        <f>IF($B951="","",IF(ROUND($H951,0)&gt;0,"● بستانکار",IF(ROUND($H951,0)&lt;0,"● بدهکار","تسویه")))</f>
        <v/>
      </c>
    </row>
    <row r="952">
      <c r="A952" s="21">
        <f>IF($B952="","",943)</f>
        <v/>
      </c>
      <c r="B952" s="32">
        <f>IF(943&gt;NBskParty,"",INDEX(PkBskParty,943))</f>
        <v/>
      </c>
      <c r="C952" s="25">
        <f>IF($B952="","",IFERROR(IF(VLOOKUP($B952,AcctTbl,4,0)="","(بدون نام)",VLOOKUP($B952,AcctTbl,4,0)),"—"))</f>
        <v/>
      </c>
      <c r="D952" s="23">
        <f>IF($B952="","",SUMIF(CalcPartyA,$B952,CalcQtyA))</f>
        <v/>
      </c>
      <c r="E952" s="23">
        <f>IF($B952="","",SUMIF(CalcPartyA,$B952,CalcAmtA))</f>
        <v/>
      </c>
      <c r="F952" s="23">
        <f>IF($B952="","",SUMIF(CalcPartyB,$B952,CalcWitB))</f>
        <v/>
      </c>
      <c r="G952" s="23">
        <f>IF($B952="","",SUMIF(CalcPartyB,$B952,CalcDepB))</f>
        <v/>
      </c>
      <c r="H952" s="24">
        <f>IF($B952="","",$E952-$F952+$G952)</f>
        <v/>
      </c>
      <c r="I952" s="22">
        <f>IF($B952="","",IF(ROUND($H952,0)&gt;0,"● بستانکار",IF(ROUND($H952,0)&lt;0,"● بدهکار","تسویه")))</f>
        <v/>
      </c>
    </row>
    <row r="953">
      <c r="A953" s="26">
        <f>IF($B953="","",944)</f>
        <v/>
      </c>
      <c r="B953" s="33">
        <f>IF(944&gt;NBskParty,"",INDEX(PkBskParty,944))</f>
        <v/>
      </c>
      <c r="C953" s="30">
        <f>IF($B953="","",IFERROR(IF(VLOOKUP($B953,AcctTbl,4,0)="","(بدون نام)",VLOOKUP($B953,AcctTbl,4,0)),"—"))</f>
        <v/>
      </c>
      <c r="D953" s="28">
        <f>IF($B953="","",SUMIF(CalcPartyA,$B953,CalcQtyA))</f>
        <v/>
      </c>
      <c r="E953" s="28">
        <f>IF($B953="","",SUMIF(CalcPartyA,$B953,CalcAmtA))</f>
        <v/>
      </c>
      <c r="F953" s="28">
        <f>IF($B953="","",SUMIF(CalcPartyB,$B953,CalcWitB))</f>
        <v/>
      </c>
      <c r="G953" s="28">
        <f>IF($B953="","",SUMIF(CalcPartyB,$B953,CalcDepB))</f>
        <v/>
      </c>
      <c r="H953" s="29">
        <f>IF($B953="","",$E953-$F953+$G953)</f>
        <v/>
      </c>
      <c r="I953" s="27">
        <f>IF($B953="","",IF(ROUND($H953,0)&gt;0,"● بستانکار",IF(ROUND($H953,0)&lt;0,"● بدهکار","تسویه")))</f>
        <v/>
      </c>
    </row>
    <row r="954">
      <c r="A954" s="21">
        <f>IF($B954="","",945)</f>
        <v/>
      </c>
      <c r="B954" s="32">
        <f>IF(945&gt;NBskParty,"",INDEX(PkBskParty,945))</f>
        <v/>
      </c>
      <c r="C954" s="25">
        <f>IF($B954="","",IFERROR(IF(VLOOKUP($B954,AcctTbl,4,0)="","(بدون نام)",VLOOKUP($B954,AcctTbl,4,0)),"—"))</f>
        <v/>
      </c>
      <c r="D954" s="23">
        <f>IF($B954="","",SUMIF(CalcPartyA,$B954,CalcQtyA))</f>
        <v/>
      </c>
      <c r="E954" s="23">
        <f>IF($B954="","",SUMIF(CalcPartyA,$B954,CalcAmtA))</f>
        <v/>
      </c>
      <c r="F954" s="23">
        <f>IF($B954="","",SUMIF(CalcPartyB,$B954,CalcWitB))</f>
        <v/>
      </c>
      <c r="G954" s="23">
        <f>IF($B954="","",SUMIF(CalcPartyB,$B954,CalcDepB))</f>
        <v/>
      </c>
      <c r="H954" s="24">
        <f>IF($B954="","",$E954-$F954+$G954)</f>
        <v/>
      </c>
      <c r="I954" s="22">
        <f>IF($B954="","",IF(ROUND($H954,0)&gt;0,"● بستانکار",IF(ROUND($H954,0)&lt;0,"● بدهکار","تسویه")))</f>
        <v/>
      </c>
    </row>
    <row r="955">
      <c r="A955" s="26">
        <f>IF($B955="","",946)</f>
        <v/>
      </c>
      <c r="B955" s="33">
        <f>IF(946&gt;NBskParty,"",INDEX(PkBskParty,946))</f>
        <v/>
      </c>
      <c r="C955" s="30">
        <f>IF($B955="","",IFERROR(IF(VLOOKUP($B955,AcctTbl,4,0)="","(بدون نام)",VLOOKUP($B955,AcctTbl,4,0)),"—"))</f>
        <v/>
      </c>
      <c r="D955" s="28">
        <f>IF($B955="","",SUMIF(CalcPartyA,$B955,CalcQtyA))</f>
        <v/>
      </c>
      <c r="E955" s="28">
        <f>IF($B955="","",SUMIF(CalcPartyA,$B955,CalcAmtA))</f>
        <v/>
      </c>
      <c r="F955" s="28">
        <f>IF($B955="","",SUMIF(CalcPartyB,$B955,CalcWitB))</f>
        <v/>
      </c>
      <c r="G955" s="28">
        <f>IF($B955="","",SUMIF(CalcPartyB,$B955,CalcDepB))</f>
        <v/>
      </c>
      <c r="H955" s="29">
        <f>IF($B955="","",$E955-$F955+$G955)</f>
        <v/>
      </c>
      <c r="I955" s="27">
        <f>IF($B955="","",IF(ROUND($H955,0)&gt;0,"● بستانکار",IF(ROUND($H955,0)&lt;0,"● بدهکار","تسویه")))</f>
        <v/>
      </c>
    </row>
    <row r="956">
      <c r="A956" s="21">
        <f>IF($B956="","",947)</f>
        <v/>
      </c>
      <c r="B956" s="32">
        <f>IF(947&gt;NBskParty,"",INDEX(PkBskParty,947))</f>
        <v/>
      </c>
      <c r="C956" s="25">
        <f>IF($B956="","",IFERROR(IF(VLOOKUP($B956,AcctTbl,4,0)="","(بدون نام)",VLOOKUP($B956,AcctTbl,4,0)),"—"))</f>
        <v/>
      </c>
      <c r="D956" s="23">
        <f>IF($B956="","",SUMIF(CalcPartyA,$B956,CalcQtyA))</f>
        <v/>
      </c>
      <c r="E956" s="23">
        <f>IF($B956="","",SUMIF(CalcPartyA,$B956,CalcAmtA))</f>
        <v/>
      </c>
      <c r="F956" s="23">
        <f>IF($B956="","",SUMIF(CalcPartyB,$B956,CalcWitB))</f>
        <v/>
      </c>
      <c r="G956" s="23">
        <f>IF($B956="","",SUMIF(CalcPartyB,$B956,CalcDepB))</f>
        <v/>
      </c>
      <c r="H956" s="24">
        <f>IF($B956="","",$E956-$F956+$G956)</f>
        <v/>
      </c>
      <c r="I956" s="22">
        <f>IF($B956="","",IF(ROUND($H956,0)&gt;0,"● بستانکار",IF(ROUND($H956,0)&lt;0,"● بدهکار","تسویه")))</f>
        <v/>
      </c>
    </row>
    <row r="957">
      <c r="A957" s="26">
        <f>IF($B957="","",948)</f>
        <v/>
      </c>
      <c r="B957" s="33">
        <f>IF(948&gt;NBskParty,"",INDEX(PkBskParty,948))</f>
        <v/>
      </c>
      <c r="C957" s="30">
        <f>IF($B957="","",IFERROR(IF(VLOOKUP($B957,AcctTbl,4,0)="","(بدون نام)",VLOOKUP($B957,AcctTbl,4,0)),"—"))</f>
        <v/>
      </c>
      <c r="D957" s="28">
        <f>IF($B957="","",SUMIF(CalcPartyA,$B957,CalcQtyA))</f>
        <v/>
      </c>
      <c r="E957" s="28">
        <f>IF($B957="","",SUMIF(CalcPartyA,$B957,CalcAmtA))</f>
        <v/>
      </c>
      <c r="F957" s="28">
        <f>IF($B957="","",SUMIF(CalcPartyB,$B957,CalcWitB))</f>
        <v/>
      </c>
      <c r="G957" s="28">
        <f>IF($B957="","",SUMIF(CalcPartyB,$B957,CalcDepB))</f>
        <v/>
      </c>
      <c r="H957" s="29">
        <f>IF($B957="","",$E957-$F957+$G957)</f>
        <v/>
      </c>
      <c r="I957" s="27">
        <f>IF($B957="","",IF(ROUND($H957,0)&gt;0,"● بستانکار",IF(ROUND($H957,0)&lt;0,"● بدهکار","تسویه")))</f>
        <v/>
      </c>
    </row>
    <row r="958">
      <c r="A958" s="21">
        <f>IF($B958="","",949)</f>
        <v/>
      </c>
      <c r="B958" s="32">
        <f>IF(949&gt;NBskParty,"",INDEX(PkBskParty,949))</f>
        <v/>
      </c>
      <c r="C958" s="25">
        <f>IF($B958="","",IFERROR(IF(VLOOKUP($B958,AcctTbl,4,0)="","(بدون نام)",VLOOKUP($B958,AcctTbl,4,0)),"—"))</f>
        <v/>
      </c>
      <c r="D958" s="23">
        <f>IF($B958="","",SUMIF(CalcPartyA,$B958,CalcQtyA))</f>
        <v/>
      </c>
      <c r="E958" s="23">
        <f>IF($B958="","",SUMIF(CalcPartyA,$B958,CalcAmtA))</f>
        <v/>
      </c>
      <c r="F958" s="23">
        <f>IF($B958="","",SUMIF(CalcPartyB,$B958,CalcWitB))</f>
        <v/>
      </c>
      <c r="G958" s="23">
        <f>IF($B958="","",SUMIF(CalcPartyB,$B958,CalcDepB))</f>
        <v/>
      </c>
      <c r="H958" s="24">
        <f>IF($B958="","",$E958-$F958+$G958)</f>
        <v/>
      </c>
      <c r="I958" s="22">
        <f>IF($B958="","",IF(ROUND($H958,0)&gt;0,"● بستانکار",IF(ROUND($H958,0)&lt;0,"● بدهکار","تسویه")))</f>
        <v/>
      </c>
    </row>
    <row r="959">
      <c r="A959" s="26">
        <f>IF($B959="","",950)</f>
        <v/>
      </c>
      <c r="B959" s="33">
        <f>IF(950&gt;NBskParty,"",INDEX(PkBskParty,950))</f>
        <v/>
      </c>
      <c r="C959" s="30">
        <f>IF($B959="","",IFERROR(IF(VLOOKUP($B959,AcctTbl,4,0)="","(بدون نام)",VLOOKUP($B959,AcctTbl,4,0)),"—"))</f>
        <v/>
      </c>
      <c r="D959" s="28">
        <f>IF($B959="","",SUMIF(CalcPartyA,$B959,CalcQtyA))</f>
        <v/>
      </c>
      <c r="E959" s="28">
        <f>IF($B959="","",SUMIF(CalcPartyA,$B959,CalcAmtA))</f>
        <v/>
      </c>
      <c r="F959" s="28">
        <f>IF($B959="","",SUMIF(CalcPartyB,$B959,CalcWitB))</f>
        <v/>
      </c>
      <c r="G959" s="28">
        <f>IF($B959="","",SUMIF(CalcPartyB,$B959,CalcDepB))</f>
        <v/>
      </c>
      <c r="H959" s="29">
        <f>IF($B959="","",$E959-$F959+$G959)</f>
        <v/>
      </c>
      <c r="I959" s="27">
        <f>IF($B959="","",IF(ROUND($H959,0)&gt;0,"● بستانکار",IF(ROUND($H959,0)&lt;0,"● بدهکار","تسویه")))</f>
        <v/>
      </c>
    </row>
    <row r="960">
      <c r="A960" s="21">
        <f>IF($B960="","",951)</f>
        <v/>
      </c>
      <c r="B960" s="32">
        <f>IF(951&gt;NBskParty,"",INDEX(PkBskParty,951))</f>
        <v/>
      </c>
      <c r="C960" s="25">
        <f>IF($B960="","",IFERROR(IF(VLOOKUP($B960,AcctTbl,4,0)="","(بدون نام)",VLOOKUP($B960,AcctTbl,4,0)),"—"))</f>
        <v/>
      </c>
      <c r="D960" s="23">
        <f>IF($B960="","",SUMIF(CalcPartyA,$B960,CalcQtyA))</f>
        <v/>
      </c>
      <c r="E960" s="23">
        <f>IF($B960="","",SUMIF(CalcPartyA,$B960,CalcAmtA))</f>
        <v/>
      </c>
      <c r="F960" s="23">
        <f>IF($B960="","",SUMIF(CalcPartyB,$B960,CalcWitB))</f>
        <v/>
      </c>
      <c r="G960" s="23">
        <f>IF($B960="","",SUMIF(CalcPartyB,$B960,CalcDepB))</f>
        <v/>
      </c>
      <c r="H960" s="24">
        <f>IF($B960="","",$E960-$F960+$G960)</f>
        <v/>
      </c>
      <c r="I960" s="22">
        <f>IF($B960="","",IF(ROUND($H960,0)&gt;0,"● بستانکار",IF(ROUND($H960,0)&lt;0,"● بدهکار","تسویه")))</f>
        <v/>
      </c>
    </row>
    <row r="961">
      <c r="A961" s="26">
        <f>IF($B961="","",952)</f>
        <v/>
      </c>
      <c r="B961" s="33">
        <f>IF(952&gt;NBskParty,"",INDEX(PkBskParty,952))</f>
        <v/>
      </c>
      <c r="C961" s="30">
        <f>IF($B961="","",IFERROR(IF(VLOOKUP($B961,AcctTbl,4,0)="","(بدون نام)",VLOOKUP($B961,AcctTbl,4,0)),"—"))</f>
        <v/>
      </c>
      <c r="D961" s="28">
        <f>IF($B961="","",SUMIF(CalcPartyA,$B961,CalcQtyA))</f>
        <v/>
      </c>
      <c r="E961" s="28">
        <f>IF($B961="","",SUMIF(CalcPartyA,$B961,CalcAmtA))</f>
        <v/>
      </c>
      <c r="F961" s="28">
        <f>IF($B961="","",SUMIF(CalcPartyB,$B961,CalcWitB))</f>
        <v/>
      </c>
      <c r="G961" s="28">
        <f>IF($B961="","",SUMIF(CalcPartyB,$B961,CalcDepB))</f>
        <v/>
      </c>
      <c r="H961" s="29">
        <f>IF($B961="","",$E961-$F961+$G961)</f>
        <v/>
      </c>
      <c r="I961" s="27">
        <f>IF($B961="","",IF(ROUND($H961,0)&gt;0,"● بستانکار",IF(ROUND($H961,0)&lt;0,"● بدهکار","تسویه")))</f>
        <v/>
      </c>
    </row>
    <row r="962">
      <c r="A962" s="21">
        <f>IF($B962="","",953)</f>
        <v/>
      </c>
      <c r="B962" s="32">
        <f>IF(953&gt;NBskParty,"",INDEX(PkBskParty,953))</f>
        <v/>
      </c>
      <c r="C962" s="25">
        <f>IF($B962="","",IFERROR(IF(VLOOKUP($B962,AcctTbl,4,0)="","(بدون نام)",VLOOKUP($B962,AcctTbl,4,0)),"—"))</f>
        <v/>
      </c>
      <c r="D962" s="23">
        <f>IF($B962="","",SUMIF(CalcPartyA,$B962,CalcQtyA))</f>
        <v/>
      </c>
      <c r="E962" s="23">
        <f>IF($B962="","",SUMIF(CalcPartyA,$B962,CalcAmtA))</f>
        <v/>
      </c>
      <c r="F962" s="23">
        <f>IF($B962="","",SUMIF(CalcPartyB,$B962,CalcWitB))</f>
        <v/>
      </c>
      <c r="G962" s="23">
        <f>IF($B962="","",SUMIF(CalcPartyB,$B962,CalcDepB))</f>
        <v/>
      </c>
      <c r="H962" s="24">
        <f>IF($B962="","",$E962-$F962+$G962)</f>
        <v/>
      </c>
      <c r="I962" s="22">
        <f>IF($B962="","",IF(ROUND($H962,0)&gt;0,"● بستانکار",IF(ROUND($H962,0)&lt;0,"● بدهکار","تسویه")))</f>
        <v/>
      </c>
    </row>
    <row r="963">
      <c r="A963" s="26">
        <f>IF($B963="","",954)</f>
        <v/>
      </c>
      <c r="B963" s="33">
        <f>IF(954&gt;NBskParty,"",INDEX(PkBskParty,954))</f>
        <v/>
      </c>
      <c r="C963" s="30">
        <f>IF($B963="","",IFERROR(IF(VLOOKUP($B963,AcctTbl,4,0)="","(بدون نام)",VLOOKUP($B963,AcctTbl,4,0)),"—"))</f>
        <v/>
      </c>
      <c r="D963" s="28">
        <f>IF($B963="","",SUMIF(CalcPartyA,$B963,CalcQtyA))</f>
        <v/>
      </c>
      <c r="E963" s="28">
        <f>IF($B963="","",SUMIF(CalcPartyA,$B963,CalcAmtA))</f>
        <v/>
      </c>
      <c r="F963" s="28">
        <f>IF($B963="","",SUMIF(CalcPartyB,$B963,CalcWitB))</f>
        <v/>
      </c>
      <c r="G963" s="28">
        <f>IF($B963="","",SUMIF(CalcPartyB,$B963,CalcDepB))</f>
        <v/>
      </c>
      <c r="H963" s="29">
        <f>IF($B963="","",$E963-$F963+$G963)</f>
        <v/>
      </c>
      <c r="I963" s="27">
        <f>IF($B963="","",IF(ROUND($H963,0)&gt;0,"● بستانکار",IF(ROUND($H963,0)&lt;0,"● بدهکار","تسویه")))</f>
        <v/>
      </c>
    </row>
    <row r="964">
      <c r="A964" s="21">
        <f>IF($B964="","",955)</f>
        <v/>
      </c>
      <c r="B964" s="32">
        <f>IF(955&gt;NBskParty,"",INDEX(PkBskParty,955))</f>
        <v/>
      </c>
      <c r="C964" s="25">
        <f>IF($B964="","",IFERROR(IF(VLOOKUP($B964,AcctTbl,4,0)="","(بدون نام)",VLOOKUP($B964,AcctTbl,4,0)),"—"))</f>
        <v/>
      </c>
      <c r="D964" s="23">
        <f>IF($B964="","",SUMIF(CalcPartyA,$B964,CalcQtyA))</f>
        <v/>
      </c>
      <c r="E964" s="23">
        <f>IF($B964="","",SUMIF(CalcPartyA,$B964,CalcAmtA))</f>
        <v/>
      </c>
      <c r="F964" s="23">
        <f>IF($B964="","",SUMIF(CalcPartyB,$B964,CalcWitB))</f>
        <v/>
      </c>
      <c r="G964" s="23">
        <f>IF($B964="","",SUMIF(CalcPartyB,$B964,CalcDepB))</f>
        <v/>
      </c>
      <c r="H964" s="24">
        <f>IF($B964="","",$E964-$F964+$G964)</f>
        <v/>
      </c>
      <c r="I964" s="22">
        <f>IF($B964="","",IF(ROUND($H964,0)&gt;0,"● بستانکار",IF(ROUND($H964,0)&lt;0,"● بدهکار","تسویه")))</f>
        <v/>
      </c>
    </row>
    <row r="965">
      <c r="A965" s="26">
        <f>IF($B965="","",956)</f>
        <v/>
      </c>
      <c r="B965" s="33">
        <f>IF(956&gt;NBskParty,"",INDEX(PkBskParty,956))</f>
        <v/>
      </c>
      <c r="C965" s="30">
        <f>IF($B965="","",IFERROR(IF(VLOOKUP($B965,AcctTbl,4,0)="","(بدون نام)",VLOOKUP($B965,AcctTbl,4,0)),"—"))</f>
        <v/>
      </c>
      <c r="D965" s="28">
        <f>IF($B965="","",SUMIF(CalcPartyA,$B965,CalcQtyA))</f>
        <v/>
      </c>
      <c r="E965" s="28">
        <f>IF($B965="","",SUMIF(CalcPartyA,$B965,CalcAmtA))</f>
        <v/>
      </c>
      <c r="F965" s="28">
        <f>IF($B965="","",SUMIF(CalcPartyB,$B965,CalcWitB))</f>
        <v/>
      </c>
      <c r="G965" s="28">
        <f>IF($B965="","",SUMIF(CalcPartyB,$B965,CalcDepB))</f>
        <v/>
      </c>
      <c r="H965" s="29">
        <f>IF($B965="","",$E965-$F965+$G965)</f>
        <v/>
      </c>
      <c r="I965" s="27">
        <f>IF($B965="","",IF(ROUND($H965,0)&gt;0,"● بستانکار",IF(ROUND($H965,0)&lt;0,"● بدهکار","تسویه")))</f>
        <v/>
      </c>
    </row>
    <row r="966">
      <c r="A966" s="21">
        <f>IF($B966="","",957)</f>
        <v/>
      </c>
      <c r="B966" s="32">
        <f>IF(957&gt;NBskParty,"",INDEX(PkBskParty,957))</f>
        <v/>
      </c>
      <c r="C966" s="25">
        <f>IF($B966="","",IFERROR(IF(VLOOKUP($B966,AcctTbl,4,0)="","(بدون نام)",VLOOKUP($B966,AcctTbl,4,0)),"—"))</f>
        <v/>
      </c>
      <c r="D966" s="23">
        <f>IF($B966="","",SUMIF(CalcPartyA,$B966,CalcQtyA))</f>
        <v/>
      </c>
      <c r="E966" s="23">
        <f>IF($B966="","",SUMIF(CalcPartyA,$B966,CalcAmtA))</f>
        <v/>
      </c>
      <c r="F966" s="23">
        <f>IF($B966="","",SUMIF(CalcPartyB,$B966,CalcWitB))</f>
        <v/>
      </c>
      <c r="G966" s="23">
        <f>IF($B966="","",SUMIF(CalcPartyB,$B966,CalcDepB))</f>
        <v/>
      </c>
      <c r="H966" s="24">
        <f>IF($B966="","",$E966-$F966+$G966)</f>
        <v/>
      </c>
      <c r="I966" s="22">
        <f>IF($B966="","",IF(ROUND($H966,0)&gt;0,"● بستانکار",IF(ROUND($H966,0)&lt;0,"● بدهکار","تسویه")))</f>
        <v/>
      </c>
    </row>
    <row r="967">
      <c r="A967" s="26">
        <f>IF($B967="","",958)</f>
        <v/>
      </c>
      <c r="B967" s="33">
        <f>IF(958&gt;NBskParty,"",INDEX(PkBskParty,958))</f>
        <v/>
      </c>
      <c r="C967" s="30">
        <f>IF($B967="","",IFERROR(IF(VLOOKUP($B967,AcctTbl,4,0)="","(بدون نام)",VLOOKUP($B967,AcctTbl,4,0)),"—"))</f>
        <v/>
      </c>
      <c r="D967" s="28">
        <f>IF($B967="","",SUMIF(CalcPartyA,$B967,CalcQtyA))</f>
        <v/>
      </c>
      <c r="E967" s="28">
        <f>IF($B967="","",SUMIF(CalcPartyA,$B967,CalcAmtA))</f>
        <v/>
      </c>
      <c r="F967" s="28">
        <f>IF($B967="","",SUMIF(CalcPartyB,$B967,CalcWitB))</f>
        <v/>
      </c>
      <c r="G967" s="28">
        <f>IF($B967="","",SUMIF(CalcPartyB,$B967,CalcDepB))</f>
        <v/>
      </c>
      <c r="H967" s="29">
        <f>IF($B967="","",$E967-$F967+$G967)</f>
        <v/>
      </c>
      <c r="I967" s="27">
        <f>IF($B967="","",IF(ROUND($H967,0)&gt;0,"● بستانکار",IF(ROUND($H967,0)&lt;0,"● بدهکار","تسویه")))</f>
        <v/>
      </c>
    </row>
    <row r="968">
      <c r="A968" s="21">
        <f>IF($B968="","",959)</f>
        <v/>
      </c>
      <c r="B968" s="32">
        <f>IF(959&gt;NBskParty,"",INDEX(PkBskParty,959))</f>
        <v/>
      </c>
      <c r="C968" s="25">
        <f>IF($B968="","",IFERROR(IF(VLOOKUP($B968,AcctTbl,4,0)="","(بدون نام)",VLOOKUP($B968,AcctTbl,4,0)),"—"))</f>
        <v/>
      </c>
      <c r="D968" s="23">
        <f>IF($B968="","",SUMIF(CalcPartyA,$B968,CalcQtyA))</f>
        <v/>
      </c>
      <c r="E968" s="23">
        <f>IF($B968="","",SUMIF(CalcPartyA,$B968,CalcAmtA))</f>
        <v/>
      </c>
      <c r="F968" s="23">
        <f>IF($B968="","",SUMIF(CalcPartyB,$B968,CalcWitB))</f>
        <v/>
      </c>
      <c r="G968" s="23">
        <f>IF($B968="","",SUMIF(CalcPartyB,$B968,CalcDepB))</f>
        <v/>
      </c>
      <c r="H968" s="24">
        <f>IF($B968="","",$E968-$F968+$G968)</f>
        <v/>
      </c>
      <c r="I968" s="22">
        <f>IF($B968="","",IF(ROUND($H968,0)&gt;0,"● بستانکار",IF(ROUND($H968,0)&lt;0,"● بدهکار","تسویه")))</f>
        <v/>
      </c>
    </row>
    <row r="969">
      <c r="A969" s="26">
        <f>IF($B969="","",960)</f>
        <v/>
      </c>
      <c r="B969" s="33">
        <f>IF(960&gt;NBskParty,"",INDEX(PkBskParty,960))</f>
        <v/>
      </c>
      <c r="C969" s="30">
        <f>IF($B969="","",IFERROR(IF(VLOOKUP($B969,AcctTbl,4,0)="","(بدون نام)",VLOOKUP($B969,AcctTbl,4,0)),"—"))</f>
        <v/>
      </c>
      <c r="D969" s="28">
        <f>IF($B969="","",SUMIF(CalcPartyA,$B969,CalcQtyA))</f>
        <v/>
      </c>
      <c r="E969" s="28">
        <f>IF($B969="","",SUMIF(CalcPartyA,$B969,CalcAmtA))</f>
        <v/>
      </c>
      <c r="F969" s="28">
        <f>IF($B969="","",SUMIF(CalcPartyB,$B969,CalcWitB))</f>
        <v/>
      </c>
      <c r="G969" s="28">
        <f>IF($B969="","",SUMIF(CalcPartyB,$B969,CalcDepB))</f>
        <v/>
      </c>
      <c r="H969" s="29">
        <f>IF($B969="","",$E969-$F969+$G969)</f>
        <v/>
      </c>
      <c r="I969" s="27">
        <f>IF($B969="","",IF(ROUND($H969,0)&gt;0,"● بستانکار",IF(ROUND($H969,0)&lt;0,"● بدهکار","تسویه")))</f>
        <v/>
      </c>
    </row>
    <row r="970">
      <c r="A970" s="21">
        <f>IF($B970="","",961)</f>
        <v/>
      </c>
      <c r="B970" s="32">
        <f>IF(961&gt;NBskParty,"",INDEX(PkBskParty,961))</f>
        <v/>
      </c>
      <c r="C970" s="25">
        <f>IF($B970="","",IFERROR(IF(VLOOKUP($B970,AcctTbl,4,0)="","(بدون نام)",VLOOKUP($B970,AcctTbl,4,0)),"—"))</f>
        <v/>
      </c>
      <c r="D970" s="23">
        <f>IF($B970="","",SUMIF(CalcPartyA,$B970,CalcQtyA))</f>
        <v/>
      </c>
      <c r="E970" s="23">
        <f>IF($B970="","",SUMIF(CalcPartyA,$B970,CalcAmtA))</f>
        <v/>
      </c>
      <c r="F970" s="23">
        <f>IF($B970="","",SUMIF(CalcPartyB,$B970,CalcWitB))</f>
        <v/>
      </c>
      <c r="G970" s="23">
        <f>IF($B970="","",SUMIF(CalcPartyB,$B970,CalcDepB))</f>
        <v/>
      </c>
      <c r="H970" s="24">
        <f>IF($B970="","",$E970-$F970+$G970)</f>
        <v/>
      </c>
      <c r="I970" s="22">
        <f>IF($B970="","",IF(ROUND($H970,0)&gt;0,"● بستانکار",IF(ROUND($H970,0)&lt;0,"● بدهکار","تسویه")))</f>
        <v/>
      </c>
    </row>
    <row r="971">
      <c r="A971" s="26">
        <f>IF($B971="","",962)</f>
        <v/>
      </c>
      <c r="B971" s="33">
        <f>IF(962&gt;NBskParty,"",INDEX(PkBskParty,962))</f>
        <v/>
      </c>
      <c r="C971" s="30">
        <f>IF($B971="","",IFERROR(IF(VLOOKUP($B971,AcctTbl,4,0)="","(بدون نام)",VLOOKUP($B971,AcctTbl,4,0)),"—"))</f>
        <v/>
      </c>
      <c r="D971" s="28">
        <f>IF($B971="","",SUMIF(CalcPartyA,$B971,CalcQtyA))</f>
        <v/>
      </c>
      <c r="E971" s="28">
        <f>IF($B971="","",SUMIF(CalcPartyA,$B971,CalcAmtA))</f>
        <v/>
      </c>
      <c r="F971" s="28">
        <f>IF($B971="","",SUMIF(CalcPartyB,$B971,CalcWitB))</f>
        <v/>
      </c>
      <c r="G971" s="28">
        <f>IF($B971="","",SUMIF(CalcPartyB,$B971,CalcDepB))</f>
        <v/>
      </c>
      <c r="H971" s="29">
        <f>IF($B971="","",$E971-$F971+$G971)</f>
        <v/>
      </c>
      <c r="I971" s="27">
        <f>IF($B971="","",IF(ROUND($H971,0)&gt;0,"● بستانکار",IF(ROUND($H971,0)&lt;0,"● بدهکار","تسویه")))</f>
        <v/>
      </c>
    </row>
    <row r="972">
      <c r="A972" s="21">
        <f>IF($B972="","",963)</f>
        <v/>
      </c>
      <c r="B972" s="32">
        <f>IF(963&gt;NBskParty,"",INDEX(PkBskParty,963))</f>
        <v/>
      </c>
      <c r="C972" s="25">
        <f>IF($B972="","",IFERROR(IF(VLOOKUP($B972,AcctTbl,4,0)="","(بدون نام)",VLOOKUP($B972,AcctTbl,4,0)),"—"))</f>
        <v/>
      </c>
      <c r="D972" s="23">
        <f>IF($B972="","",SUMIF(CalcPartyA,$B972,CalcQtyA))</f>
        <v/>
      </c>
      <c r="E972" s="23">
        <f>IF($B972="","",SUMIF(CalcPartyA,$B972,CalcAmtA))</f>
        <v/>
      </c>
      <c r="F972" s="23">
        <f>IF($B972="","",SUMIF(CalcPartyB,$B972,CalcWitB))</f>
        <v/>
      </c>
      <c r="G972" s="23">
        <f>IF($B972="","",SUMIF(CalcPartyB,$B972,CalcDepB))</f>
        <v/>
      </c>
      <c r="H972" s="24">
        <f>IF($B972="","",$E972-$F972+$G972)</f>
        <v/>
      </c>
      <c r="I972" s="22">
        <f>IF($B972="","",IF(ROUND($H972,0)&gt;0,"● بستانکار",IF(ROUND($H972,0)&lt;0,"● بدهکار","تسویه")))</f>
        <v/>
      </c>
    </row>
    <row r="973">
      <c r="A973" s="26">
        <f>IF($B973="","",964)</f>
        <v/>
      </c>
      <c r="B973" s="33">
        <f>IF(964&gt;NBskParty,"",INDEX(PkBskParty,964))</f>
        <v/>
      </c>
      <c r="C973" s="30">
        <f>IF($B973="","",IFERROR(IF(VLOOKUP($B973,AcctTbl,4,0)="","(بدون نام)",VLOOKUP($B973,AcctTbl,4,0)),"—"))</f>
        <v/>
      </c>
      <c r="D973" s="28">
        <f>IF($B973="","",SUMIF(CalcPartyA,$B973,CalcQtyA))</f>
        <v/>
      </c>
      <c r="E973" s="28">
        <f>IF($B973="","",SUMIF(CalcPartyA,$B973,CalcAmtA))</f>
        <v/>
      </c>
      <c r="F973" s="28">
        <f>IF($B973="","",SUMIF(CalcPartyB,$B973,CalcWitB))</f>
        <v/>
      </c>
      <c r="G973" s="28">
        <f>IF($B973="","",SUMIF(CalcPartyB,$B973,CalcDepB))</f>
        <v/>
      </c>
      <c r="H973" s="29">
        <f>IF($B973="","",$E973-$F973+$G973)</f>
        <v/>
      </c>
      <c r="I973" s="27">
        <f>IF($B973="","",IF(ROUND($H973,0)&gt;0,"● بستانکار",IF(ROUND($H973,0)&lt;0,"● بدهکار","تسویه")))</f>
        <v/>
      </c>
    </row>
    <row r="974">
      <c r="A974" s="21">
        <f>IF($B974="","",965)</f>
        <v/>
      </c>
      <c r="B974" s="32">
        <f>IF(965&gt;NBskParty,"",INDEX(PkBskParty,965))</f>
        <v/>
      </c>
      <c r="C974" s="25">
        <f>IF($B974="","",IFERROR(IF(VLOOKUP($B974,AcctTbl,4,0)="","(بدون نام)",VLOOKUP($B974,AcctTbl,4,0)),"—"))</f>
        <v/>
      </c>
      <c r="D974" s="23">
        <f>IF($B974="","",SUMIF(CalcPartyA,$B974,CalcQtyA))</f>
        <v/>
      </c>
      <c r="E974" s="23">
        <f>IF($B974="","",SUMIF(CalcPartyA,$B974,CalcAmtA))</f>
        <v/>
      </c>
      <c r="F974" s="23">
        <f>IF($B974="","",SUMIF(CalcPartyB,$B974,CalcWitB))</f>
        <v/>
      </c>
      <c r="G974" s="23">
        <f>IF($B974="","",SUMIF(CalcPartyB,$B974,CalcDepB))</f>
        <v/>
      </c>
      <c r="H974" s="24">
        <f>IF($B974="","",$E974-$F974+$G974)</f>
        <v/>
      </c>
      <c r="I974" s="22">
        <f>IF($B974="","",IF(ROUND($H974,0)&gt;0,"● بستانکار",IF(ROUND($H974,0)&lt;0,"● بدهکار","تسویه")))</f>
        <v/>
      </c>
    </row>
    <row r="975">
      <c r="A975" s="26">
        <f>IF($B975="","",966)</f>
        <v/>
      </c>
      <c r="B975" s="33">
        <f>IF(966&gt;NBskParty,"",INDEX(PkBskParty,966))</f>
        <v/>
      </c>
      <c r="C975" s="30">
        <f>IF($B975="","",IFERROR(IF(VLOOKUP($B975,AcctTbl,4,0)="","(بدون نام)",VLOOKUP($B975,AcctTbl,4,0)),"—"))</f>
        <v/>
      </c>
      <c r="D975" s="28">
        <f>IF($B975="","",SUMIF(CalcPartyA,$B975,CalcQtyA))</f>
        <v/>
      </c>
      <c r="E975" s="28">
        <f>IF($B975="","",SUMIF(CalcPartyA,$B975,CalcAmtA))</f>
        <v/>
      </c>
      <c r="F975" s="28">
        <f>IF($B975="","",SUMIF(CalcPartyB,$B975,CalcWitB))</f>
        <v/>
      </c>
      <c r="G975" s="28">
        <f>IF($B975="","",SUMIF(CalcPartyB,$B975,CalcDepB))</f>
        <v/>
      </c>
      <c r="H975" s="29">
        <f>IF($B975="","",$E975-$F975+$G975)</f>
        <v/>
      </c>
      <c r="I975" s="27">
        <f>IF($B975="","",IF(ROUND($H975,0)&gt;0,"● بستانکار",IF(ROUND($H975,0)&lt;0,"● بدهکار","تسویه")))</f>
        <v/>
      </c>
    </row>
    <row r="976">
      <c r="A976" s="21">
        <f>IF($B976="","",967)</f>
        <v/>
      </c>
      <c r="B976" s="32">
        <f>IF(967&gt;NBskParty,"",INDEX(PkBskParty,967))</f>
        <v/>
      </c>
      <c r="C976" s="25">
        <f>IF($B976="","",IFERROR(IF(VLOOKUP($B976,AcctTbl,4,0)="","(بدون نام)",VLOOKUP($B976,AcctTbl,4,0)),"—"))</f>
        <v/>
      </c>
      <c r="D976" s="23">
        <f>IF($B976="","",SUMIF(CalcPartyA,$B976,CalcQtyA))</f>
        <v/>
      </c>
      <c r="E976" s="23">
        <f>IF($B976="","",SUMIF(CalcPartyA,$B976,CalcAmtA))</f>
        <v/>
      </c>
      <c r="F976" s="23">
        <f>IF($B976="","",SUMIF(CalcPartyB,$B976,CalcWitB))</f>
        <v/>
      </c>
      <c r="G976" s="23">
        <f>IF($B976="","",SUMIF(CalcPartyB,$B976,CalcDepB))</f>
        <v/>
      </c>
      <c r="H976" s="24">
        <f>IF($B976="","",$E976-$F976+$G976)</f>
        <v/>
      </c>
      <c r="I976" s="22">
        <f>IF($B976="","",IF(ROUND($H976,0)&gt;0,"● بستانکار",IF(ROUND($H976,0)&lt;0,"● بدهکار","تسویه")))</f>
        <v/>
      </c>
    </row>
    <row r="977">
      <c r="A977" s="26">
        <f>IF($B977="","",968)</f>
        <v/>
      </c>
      <c r="B977" s="33">
        <f>IF(968&gt;NBskParty,"",INDEX(PkBskParty,968))</f>
        <v/>
      </c>
      <c r="C977" s="30">
        <f>IF($B977="","",IFERROR(IF(VLOOKUP($B977,AcctTbl,4,0)="","(بدون نام)",VLOOKUP($B977,AcctTbl,4,0)),"—"))</f>
        <v/>
      </c>
      <c r="D977" s="28">
        <f>IF($B977="","",SUMIF(CalcPartyA,$B977,CalcQtyA))</f>
        <v/>
      </c>
      <c r="E977" s="28">
        <f>IF($B977="","",SUMIF(CalcPartyA,$B977,CalcAmtA))</f>
        <v/>
      </c>
      <c r="F977" s="28">
        <f>IF($B977="","",SUMIF(CalcPartyB,$B977,CalcWitB))</f>
        <v/>
      </c>
      <c r="G977" s="28">
        <f>IF($B977="","",SUMIF(CalcPartyB,$B977,CalcDepB))</f>
        <v/>
      </c>
      <c r="H977" s="29">
        <f>IF($B977="","",$E977-$F977+$G977)</f>
        <v/>
      </c>
      <c r="I977" s="27">
        <f>IF($B977="","",IF(ROUND($H977,0)&gt;0,"● بستانکار",IF(ROUND($H977,0)&lt;0,"● بدهکار","تسویه")))</f>
        <v/>
      </c>
    </row>
    <row r="978">
      <c r="A978" s="21">
        <f>IF($B978="","",969)</f>
        <v/>
      </c>
      <c r="B978" s="32">
        <f>IF(969&gt;NBskParty,"",INDEX(PkBskParty,969))</f>
        <v/>
      </c>
      <c r="C978" s="25">
        <f>IF($B978="","",IFERROR(IF(VLOOKUP($B978,AcctTbl,4,0)="","(بدون نام)",VLOOKUP($B978,AcctTbl,4,0)),"—"))</f>
        <v/>
      </c>
      <c r="D978" s="23">
        <f>IF($B978="","",SUMIF(CalcPartyA,$B978,CalcQtyA))</f>
        <v/>
      </c>
      <c r="E978" s="23">
        <f>IF($B978="","",SUMIF(CalcPartyA,$B978,CalcAmtA))</f>
        <v/>
      </c>
      <c r="F978" s="23">
        <f>IF($B978="","",SUMIF(CalcPartyB,$B978,CalcWitB))</f>
        <v/>
      </c>
      <c r="G978" s="23">
        <f>IF($B978="","",SUMIF(CalcPartyB,$B978,CalcDepB))</f>
        <v/>
      </c>
      <c r="H978" s="24">
        <f>IF($B978="","",$E978-$F978+$G978)</f>
        <v/>
      </c>
      <c r="I978" s="22">
        <f>IF($B978="","",IF(ROUND($H978,0)&gt;0,"● بستانکار",IF(ROUND($H978,0)&lt;0,"● بدهکار","تسویه")))</f>
        <v/>
      </c>
    </row>
    <row r="979">
      <c r="A979" s="26">
        <f>IF($B979="","",970)</f>
        <v/>
      </c>
      <c r="B979" s="33">
        <f>IF(970&gt;NBskParty,"",INDEX(PkBskParty,970))</f>
        <v/>
      </c>
      <c r="C979" s="30">
        <f>IF($B979="","",IFERROR(IF(VLOOKUP($B979,AcctTbl,4,0)="","(بدون نام)",VLOOKUP($B979,AcctTbl,4,0)),"—"))</f>
        <v/>
      </c>
      <c r="D979" s="28">
        <f>IF($B979="","",SUMIF(CalcPartyA,$B979,CalcQtyA))</f>
        <v/>
      </c>
      <c r="E979" s="28">
        <f>IF($B979="","",SUMIF(CalcPartyA,$B979,CalcAmtA))</f>
        <v/>
      </c>
      <c r="F979" s="28">
        <f>IF($B979="","",SUMIF(CalcPartyB,$B979,CalcWitB))</f>
        <v/>
      </c>
      <c r="G979" s="28">
        <f>IF($B979="","",SUMIF(CalcPartyB,$B979,CalcDepB))</f>
        <v/>
      </c>
      <c r="H979" s="29">
        <f>IF($B979="","",$E979-$F979+$G979)</f>
        <v/>
      </c>
      <c r="I979" s="27">
        <f>IF($B979="","",IF(ROUND($H979,0)&gt;0,"● بستانکار",IF(ROUND($H979,0)&lt;0,"● بدهکار","تسویه")))</f>
        <v/>
      </c>
    </row>
    <row r="980">
      <c r="A980" s="21">
        <f>IF($B980="","",971)</f>
        <v/>
      </c>
      <c r="B980" s="32">
        <f>IF(971&gt;NBskParty,"",INDEX(PkBskParty,971))</f>
        <v/>
      </c>
      <c r="C980" s="25">
        <f>IF($B980="","",IFERROR(IF(VLOOKUP($B980,AcctTbl,4,0)="","(بدون نام)",VLOOKUP($B980,AcctTbl,4,0)),"—"))</f>
        <v/>
      </c>
      <c r="D980" s="23">
        <f>IF($B980="","",SUMIF(CalcPartyA,$B980,CalcQtyA))</f>
        <v/>
      </c>
      <c r="E980" s="23">
        <f>IF($B980="","",SUMIF(CalcPartyA,$B980,CalcAmtA))</f>
        <v/>
      </c>
      <c r="F980" s="23">
        <f>IF($B980="","",SUMIF(CalcPartyB,$B980,CalcWitB))</f>
        <v/>
      </c>
      <c r="G980" s="23">
        <f>IF($B980="","",SUMIF(CalcPartyB,$B980,CalcDepB))</f>
        <v/>
      </c>
      <c r="H980" s="24">
        <f>IF($B980="","",$E980-$F980+$G980)</f>
        <v/>
      </c>
      <c r="I980" s="22">
        <f>IF($B980="","",IF(ROUND($H980,0)&gt;0,"● بستانکار",IF(ROUND($H980,0)&lt;0,"● بدهکار","تسویه")))</f>
        <v/>
      </c>
    </row>
    <row r="981">
      <c r="A981" s="26">
        <f>IF($B981="","",972)</f>
        <v/>
      </c>
      <c r="B981" s="33">
        <f>IF(972&gt;NBskParty,"",INDEX(PkBskParty,972))</f>
        <v/>
      </c>
      <c r="C981" s="30">
        <f>IF($B981="","",IFERROR(IF(VLOOKUP($B981,AcctTbl,4,0)="","(بدون نام)",VLOOKUP($B981,AcctTbl,4,0)),"—"))</f>
        <v/>
      </c>
      <c r="D981" s="28">
        <f>IF($B981="","",SUMIF(CalcPartyA,$B981,CalcQtyA))</f>
        <v/>
      </c>
      <c r="E981" s="28">
        <f>IF($B981="","",SUMIF(CalcPartyA,$B981,CalcAmtA))</f>
        <v/>
      </c>
      <c r="F981" s="28">
        <f>IF($B981="","",SUMIF(CalcPartyB,$B981,CalcWitB))</f>
        <v/>
      </c>
      <c r="G981" s="28">
        <f>IF($B981="","",SUMIF(CalcPartyB,$B981,CalcDepB))</f>
        <v/>
      </c>
      <c r="H981" s="29">
        <f>IF($B981="","",$E981-$F981+$G981)</f>
        <v/>
      </c>
      <c r="I981" s="27">
        <f>IF($B981="","",IF(ROUND($H981,0)&gt;0,"● بستانکار",IF(ROUND($H981,0)&lt;0,"● بدهکار","تسویه")))</f>
        <v/>
      </c>
    </row>
    <row r="982">
      <c r="A982" s="21">
        <f>IF($B982="","",973)</f>
        <v/>
      </c>
      <c r="B982" s="32">
        <f>IF(973&gt;NBskParty,"",INDEX(PkBskParty,973))</f>
        <v/>
      </c>
      <c r="C982" s="25">
        <f>IF($B982="","",IFERROR(IF(VLOOKUP($B982,AcctTbl,4,0)="","(بدون نام)",VLOOKUP($B982,AcctTbl,4,0)),"—"))</f>
        <v/>
      </c>
      <c r="D982" s="23">
        <f>IF($B982="","",SUMIF(CalcPartyA,$B982,CalcQtyA))</f>
        <v/>
      </c>
      <c r="E982" s="23">
        <f>IF($B982="","",SUMIF(CalcPartyA,$B982,CalcAmtA))</f>
        <v/>
      </c>
      <c r="F982" s="23">
        <f>IF($B982="","",SUMIF(CalcPartyB,$B982,CalcWitB))</f>
        <v/>
      </c>
      <c r="G982" s="23">
        <f>IF($B982="","",SUMIF(CalcPartyB,$B982,CalcDepB))</f>
        <v/>
      </c>
      <c r="H982" s="24">
        <f>IF($B982="","",$E982-$F982+$G982)</f>
        <v/>
      </c>
      <c r="I982" s="22">
        <f>IF($B982="","",IF(ROUND($H982,0)&gt;0,"● بستانکار",IF(ROUND($H982,0)&lt;0,"● بدهکار","تسویه")))</f>
        <v/>
      </c>
    </row>
    <row r="983">
      <c r="A983" s="26">
        <f>IF($B983="","",974)</f>
        <v/>
      </c>
      <c r="B983" s="33">
        <f>IF(974&gt;NBskParty,"",INDEX(PkBskParty,974))</f>
        <v/>
      </c>
      <c r="C983" s="30">
        <f>IF($B983="","",IFERROR(IF(VLOOKUP($B983,AcctTbl,4,0)="","(بدون نام)",VLOOKUP($B983,AcctTbl,4,0)),"—"))</f>
        <v/>
      </c>
      <c r="D983" s="28">
        <f>IF($B983="","",SUMIF(CalcPartyA,$B983,CalcQtyA))</f>
        <v/>
      </c>
      <c r="E983" s="28">
        <f>IF($B983="","",SUMIF(CalcPartyA,$B983,CalcAmtA))</f>
        <v/>
      </c>
      <c r="F983" s="28">
        <f>IF($B983="","",SUMIF(CalcPartyB,$B983,CalcWitB))</f>
        <v/>
      </c>
      <c r="G983" s="28">
        <f>IF($B983="","",SUMIF(CalcPartyB,$B983,CalcDepB))</f>
        <v/>
      </c>
      <c r="H983" s="29">
        <f>IF($B983="","",$E983-$F983+$G983)</f>
        <v/>
      </c>
      <c r="I983" s="27">
        <f>IF($B983="","",IF(ROUND($H983,0)&gt;0,"● بستانکار",IF(ROUND($H983,0)&lt;0,"● بدهکار","تسویه")))</f>
        <v/>
      </c>
    </row>
    <row r="984">
      <c r="A984" s="21">
        <f>IF($B984="","",975)</f>
        <v/>
      </c>
      <c r="B984" s="32">
        <f>IF(975&gt;NBskParty,"",INDEX(PkBskParty,975))</f>
        <v/>
      </c>
      <c r="C984" s="25">
        <f>IF($B984="","",IFERROR(IF(VLOOKUP($B984,AcctTbl,4,0)="","(بدون نام)",VLOOKUP($B984,AcctTbl,4,0)),"—"))</f>
        <v/>
      </c>
      <c r="D984" s="23">
        <f>IF($B984="","",SUMIF(CalcPartyA,$B984,CalcQtyA))</f>
        <v/>
      </c>
      <c r="E984" s="23">
        <f>IF($B984="","",SUMIF(CalcPartyA,$B984,CalcAmtA))</f>
        <v/>
      </c>
      <c r="F984" s="23">
        <f>IF($B984="","",SUMIF(CalcPartyB,$B984,CalcWitB))</f>
        <v/>
      </c>
      <c r="G984" s="23">
        <f>IF($B984="","",SUMIF(CalcPartyB,$B984,CalcDepB))</f>
        <v/>
      </c>
      <c r="H984" s="24">
        <f>IF($B984="","",$E984-$F984+$G984)</f>
        <v/>
      </c>
      <c r="I984" s="22">
        <f>IF($B984="","",IF(ROUND($H984,0)&gt;0,"● بستانکار",IF(ROUND($H984,0)&lt;0,"● بدهکار","تسویه")))</f>
        <v/>
      </c>
    </row>
    <row r="985">
      <c r="A985" s="26">
        <f>IF($B985="","",976)</f>
        <v/>
      </c>
      <c r="B985" s="33">
        <f>IF(976&gt;NBskParty,"",INDEX(PkBskParty,976))</f>
        <v/>
      </c>
      <c r="C985" s="30">
        <f>IF($B985="","",IFERROR(IF(VLOOKUP($B985,AcctTbl,4,0)="","(بدون نام)",VLOOKUP($B985,AcctTbl,4,0)),"—"))</f>
        <v/>
      </c>
      <c r="D985" s="28">
        <f>IF($B985="","",SUMIF(CalcPartyA,$B985,CalcQtyA))</f>
        <v/>
      </c>
      <c r="E985" s="28">
        <f>IF($B985="","",SUMIF(CalcPartyA,$B985,CalcAmtA))</f>
        <v/>
      </c>
      <c r="F985" s="28">
        <f>IF($B985="","",SUMIF(CalcPartyB,$B985,CalcWitB))</f>
        <v/>
      </c>
      <c r="G985" s="28">
        <f>IF($B985="","",SUMIF(CalcPartyB,$B985,CalcDepB))</f>
        <v/>
      </c>
      <c r="H985" s="29">
        <f>IF($B985="","",$E985-$F985+$G985)</f>
        <v/>
      </c>
      <c r="I985" s="27">
        <f>IF($B985="","",IF(ROUND($H985,0)&gt;0,"● بستانکار",IF(ROUND($H985,0)&lt;0,"● بدهکار","تسویه")))</f>
        <v/>
      </c>
    </row>
    <row r="986">
      <c r="A986" s="21">
        <f>IF($B986="","",977)</f>
        <v/>
      </c>
      <c r="B986" s="32">
        <f>IF(977&gt;NBskParty,"",INDEX(PkBskParty,977))</f>
        <v/>
      </c>
      <c r="C986" s="25">
        <f>IF($B986="","",IFERROR(IF(VLOOKUP($B986,AcctTbl,4,0)="","(بدون نام)",VLOOKUP($B986,AcctTbl,4,0)),"—"))</f>
        <v/>
      </c>
      <c r="D986" s="23">
        <f>IF($B986="","",SUMIF(CalcPartyA,$B986,CalcQtyA))</f>
        <v/>
      </c>
      <c r="E986" s="23">
        <f>IF($B986="","",SUMIF(CalcPartyA,$B986,CalcAmtA))</f>
        <v/>
      </c>
      <c r="F986" s="23">
        <f>IF($B986="","",SUMIF(CalcPartyB,$B986,CalcWitB))</f>
        <v/>
      </c>
      <c r="G986" s="23">
        <f>IF($B986="","",SUMIF(CalcPartyB,$B986,CalcDepB))</f>
        <v/>
      </c>
      <c r="H986" s="24">
        <f>IF($B986="","",$E986-$F986+$G986)</f>
        <v/>
      </c>
      <c r="I986" s="22">
        <f>IF($B986="","",IF(ROUND($H986,0)&gt;0,"● بستانکار",IF(ROUND($H986,0)&lt;0,"● بدهکار","تسویه")))</f>
        <v/>
      </c>
    </row>
    <row r="987">
      <c r="A987" s="26">
        <f>IF($B987="","",978)</f>
        <v/>
      </c>
      <c r="B987" s="33">
        <f>IF(978&gt;NBskParty,"",INDEX(PkBskParty,978))</f>
        <v/>
      </c>
      <c r="C987" s="30">
        <f>IF($B987="","",IFERROR(IF(VLOOKUP($B987,AcctTbl,4,0)="","(بدون نام)",VLOOKUP($B987,AcctTbl,4,0)),"—"))</f>
        <v/>
      </c>
      <c r="D987" s="28">
        <f>IF($B987="","",SUMIF(CalcPartyA,$B987,CalcQtyA))</f>
        <v/>
      </c>
      <c r="E987" s="28">
        <f>IF($B987="","",SUMIF(CalcPartyA,$B987,CalcAmtA))</f>
        <v/>
      </c>
      <c r="F987" s="28">
        <f>IF($B987="","",SUMIF(CalcPartyB,$B987,CalcWitB))</f>
        <v/>
      </c>
      <c r="G987" s="28">
        <f>IF($B987="","",SUMIF(CalcPartyB,$B987,CalcDepB))</f>
        <v/>
      </c>
      <c r="H987" s="29">
        <f>IF($B987="","",$E987-$F987+$G987)</f>
        <v/>
      </c>
      <c r="I987" s="27">
        <f>IF($B987="","",IF(ROUND($H987,0)&gt;0,"● بستانکار",IF(ROUND($H987,0)&lt;0,"● بدهکار","تسویه")))</f>
        <v/>
      </c>
    </row>
    <row r="988">
      <c r="A988" s="21">
        <f>IF($B988="","",979)</f>
        <v/>
      </c>
      <c r="B988" s="32">
        <f>IF(979&gt;NBskParty,"",INDEX(PkBskParty,979))</f>
        <v/>
      </c>
      <c r="C988" s="25">
        <f>IF($B988="","",IFERROR(IF(VLOOKUP($B988,AcctTbl,4,0)="","(بدون نام)",VLOOKUP($B988,AcctTbl,4,0)),"—"))</f>
        <v/>
      </c>
      <c r="D988" s="23">
        <f>IF($B988="","",SUMIF(CalcPartyA,$B988,CalcQtyA))</f>
        <v/>
      </c>
      <c r="E988" s="23">
        <f>IF($B988="","",SUMIF(CalcPartyA,$B988,CalcAmtA))</f>
        <v/>
      </c>
      <c r="F988" s="23">
        <f>IF($B988="","",SUMIF(CalcPartyB,$B988,CalcWitB))</f>
        <v/>
      </c>
      <c r="G988" s="23">
        <f>IF($B988="","",SUMIF(CalcPartyB,$B988,CalcDepB))</f>
        <v/>
      </c>
      <c r="H988" s="24">
        <f>IF($B988="","",$E988-$F988+$G988)</f>
        <v/>
      </c>
      <c r="I988" s="22">
        <f>IF($B988="","",IF(ROUND($H988,0)&gt;0,"● بستانکار",IF(ROUND($H988,0)&lt;0,"● بدهکار","تسویه")))</f>
        <v/>
      </c>
    </row>
    <row r="989">
      <c r="A989" s="26">
        <f>IF($B989="","",980)</f>
        <v/>
      </c>
      <c r="B989" s="33">
        <f>IF(980&gt;NBskParty,"",INDEX(PkBskParty,980))</f>
        <v/>
      </c>
      <c r="C989" s="30">
        <f>IF($B989="","",IFERROR(IF(VLOOKUP($B989,AcctTbl,4,0)="","(بدون نام)",VLOOKUP($B989,AcctTbl,4,0)),"—"))</f>
        <v/>
      </c>
      <c r="D989" s="28">
        <f>IF($B989="","",SUMIF(CalcPartyA,$B989,CalcQtyA))</f>
        <v/>
      </c>
      <c r="E989" s="28">
        <f>IF($B989="","",SUMIF(CalcPartyA,$B989,CalcAmtA))</f>
        <v/>
      </c>
      <c r="F989" s="28">
        <f>IF($B989="","",SUMIF(CalcPartyB,$B989,CalcWitB))</f>
        <v/>
      </c>
      <c r="G989" s="28">
        <f>IF($B989="","",SUMIF(CalcPartyB,$B989,CalcDepB))</f>
        <v/>
      </c>
      <c r="H989" s="29">
        <f>IF($B989="","",$E989-$F989+$G989)</f>
        <v/>
      </c>
      <c r="I989" s="27">
        <f>IF($B989="","",IF(ROUND($H989,0)&gt;0,"● بستانکار",IF(ROUND($H989,0)&lt;0,"● بدهکار","تسویه")))</f>
        <v/>
      </c>
    </row>
    <row r="990">
      <c r="A990" s="21">
        <f>IF($B990="","",981)</f>
        <v/>
      </c>
      <c r="B990" s="32">
        <f>IF(981&gt;NBskParty,"",INDEX(PkBskParty,981))</f>
        <v/>
      </c>
      <c r="C990" s="25">
        <f>IF($B990="","",IFERROR(IF(VLOOKUP($B990,AcctTbl,4,0)="","(بدون نام)",VLOOKUP($B990,AcctTbl,4,0)),"—"))</f>
        <v/>
      </c>
      <c r="D990" s="23">
        <f>IF($B990="","",SUMIF(CalcPartyA,$B990,CalcQtyA))</f>
        <v/>
      </c>
      <c r="E990" s="23">
        <f>IF($B990="","",SUMIF(CalcPartyA,$B990,CalcAmtA))</f>
        <v/>
      </c>
      <c r="F990" s="23">
        <f>IF($B990="","",SUMIF(CalcPartyB,$B990,CalcWitB))</f>
        <v/>
      </c>
      <c r="G990" s="23">
        <f>IF($B990="","",SUMIF(CalcPartyB,$B990,CalcDepB))</f>
        <v/>
      </c>
      <c r="H990" s="24">
        <f>IF($B990="","",$E990-$F990+$G990)</f>
        <v/>
      </c>
      <c r="I990" s="22">
        <f>IF($B990="","",IF(ROUND($H990,0)&gt;0,"● بستانکار",IF(ROUND($H990,0)&lt;0,"● بدهکار","تسویه")))</f>
        <v/>
      </c>
    </row>
    <row r="991">
      <c r="A991" s="26">
        <f>IF($B991="","",982)</f>
        <v/>
      </c>
      <c r="B991" s="33">
        <f>IF(982&gt;NBskParty,"",INDEX(PkBskParty,982))</f>
        <v/>
      </c>
      <c r="C991" s="30">
        <f>IF($B991="","",IFERROR(IF(VLOOKUP($B991,AcctTbl,4,0)="","(بدون نام)",VLOOKUP($B991,AcctTbl,4,0)),"—"))</f>
        <v/>
      </c>
      <c r="D991" s="28">
        <f>IF($B991="","",SUMIF(CalcPartyA,$B991,CalcQtyA))</f>
        <v/>
      </c>
      <c r="E991" s="28">
        <f>IF($B991="","",SUMIF(CalcPartyA,$B991,CalcAmtA))</f>
        <v/>
      </c>
      <c r="F991" s="28">
        <f>IF($B991="","",SUMIF(CalcPartyB,$B991,CalcWitB))</f>
        <v/>
      </c>
      <c r="G991" s="28">
        <f>IF($B991="","",SUMIF(CalcPartyB,$B991,CalcDepB))</f>
        <v/>
      </c>
      <c r="H991" s="29">
        <f>IF($B991="","",$E991-$F991+$G991)</f>
        <v/>
      </c>
      <c r="I991" s="27">
        <f>IF($B991="","",IF(ROUND($H991,0)&gt;0,"● بستانکار",IF(ROUND($H991,0)&lt;0,"● بدهکار","تسویه")))</f>
        <v/>
      </c>
    </row>
    <row r="992">
      <c r="A992" s="21">
        <f>IF($B992="","",983)</f>
        <v/>
      </c>
      <c r="B992" s="32">
        <f>IF(983&gt;NBskParty,"",INDEX(PkBskParty,983))</f>
        <v/>
      </c>
      <c r="C992" s="25">
        <f>IF($B992="","",IFERROR(IF(VLOOKUP($B992,AcctTbl,4,0)="","(بدون نام)",VLOOKUP($B992,AcctTbl,4,0)),"—"))</f>
        <v/>
      </c>
      <c r="D992" s="23">
        <f>IF($B992="","",SUMIF(CalcPartyA,$B992,CalcQtyA))</f>
        <v/>
      </c>
      <c r="E992" s="23">
        <f>IF($B992="","",SUMIF(CalcPartyA,$B992,CalcAmtA))</f>
        <v/>
      </c>
      <c r="F992" s="23">
        <f>IF($B992="","",SUMIF(CalcPartyB,$B992,CalcWitB))</f>
        <v/>
      </c>
      <c r="G992" s="23">
        <f>IF($B992="","",SUMIF(CalcPartyB,$B992,CalcDepB))</f>
        <v/>
      </c>
      <c r="H992" s="24">
        <f>IF($B992="","",$E992-$F992+$G992)</f>
        <v/>
      </c>
      <c r="I992" s="22">
        <f>IF($B992="","",IF(ROUND($H992,0)&gt;0,"● بستانکار",IF(ROUND($H992,0)&lt;0,"● بدهکار","تسویه")))</f>
        <v/>
      </c>
    </row>
    <row r="993">
      <c r="A993" s="26">
        <f>IF($B993="","",984)</f>
        <v/>
      </c>
      <c r="B993" s="33">
        <f>IF(984&gt;NBskParty,"",INDEX(PkBskParty,984))</f>
        <v/>
      </c>
      <c r="C993" s="30">
        <f>IF($B993="","",IFERROR(IF(VLOOKUP($B993,AcctTbl,4,0)="","(بدون نام)",VLOOKUP($B993,AcctTbl,4,0)),"—"))</f>
        <v/>
      </c>
      <c r="D993" s="28">
        <f>IF($B993="","",SUMIF(CalcPartyA,$B993,CalcQtyA))</f>
        <v/>
      </c>
      <c r="E993" s="28">
        <f>IF($B993="","",SUMIF(CalcPartyA,$B993,CalcAmtA))</f>
        <v/>
      </c>
      <c r="F993" s="28">
        <f>IF($B993="","",SUMIF(CalcPartyB,$B993,CalcWitB))</f>
        <v/>
      </c>
      <c r="G993" s="28">
        <f>IF($B993="","",SUMIF(CalcPartyB,$B993,CalcDepB))</f>
        <v/>
      </c>
      <c r="H993" s="29">
        <f>IF($B993="","",$E993-$F993+$G993)</f>
        <v/>
      </c>
      <c r="I993" s="27">
        <f>IF($B993="","",IF(ROUND($H993,0)&gt;0,"● بستانکار",IF(ROUND($H993,0)&lt;0,"● بدهکار","تسویه")))</f>
        <v/>
      </c>
    </row>
    <row r="994">
      <c r="A994" s="21">
        <f>IF($B994="","",985)</f>
        <v/>
      </c>
      <c r="B994" s="32">
        <f>IF(985&gt;NBskParty,"",INDEX(PkBskParty,985))</f>
        <v/>
      </c>
      <c r="C994" s="25">
        <f>IF($B994="","",IFERROR(IF(VLOOKUP($B994,AcctTbl,4,0)="","(بدون نام)",VLOOKUP($B994,AcctTbl,4,0)),"—"))</f>
        <v/>
      </c>
      <c r="D994" s="23">
        <f>IF($B994="","",SUMIF(CalcPartyA,$B994,CalcQtyA))</f>
        <v/>
      </c>
      <c r="E994" s="23">
        <f>IF($B994="","",SUMIF(CalcPartyA,$B994,CalcAmtA))</f>
        <v/>
      </c>
      <c r="F994" s="23">
        <f>IF($B994="","",SUMIF(CalcPartyB,$B994,CalcWitB))</f>
        <v/>
      </c>
      <c r="G994" s="23">
        <f>IF($B994="","",SUMIF(CalcPartyB,$B994,CalcDepB))</f>
        <v/>
      </c>
      <c r="H994" s="24">
        <f>IF($B994="","",$E994-$F994+$G994)</f>
        <v/>
      </c>
      <c r="I994" s="22">
        <f>IF($B994="","",IF(ROUND($H994,0)&gt;0,"● بستانکار",IF(ROUND($H994,0)&lt;0,"● بدهکار","تسویه")))</f>
        <v/>
      </c>
    </row>
    <row r="995">
      <c r="A995" s="26">
        <f>IF($B995="","",986)</f>
        <v/>
      </c>
      <c r="B995" s="33">
        <f>IF(986&gt;NBskParty,"",INDEX(PkBskParty,986))</f>
        <v/>
      </c>
      <c r="C995" s="30">
        <f>IF($B995="","",IFERROR(IF(VLOOKUP($B995,AcctTbl,4,0)="","(بدون نام)",VLOOKUP($B995,AcctTbl,4,0)),"—"))</f>
        <v/>
      </c>
      <c r="D995" s="28">
        <f>IF($B995="","",SUMIF(CalcPartyA,$B995,CalcQtyA))</f>
        <v/>
      </c>
      <c r="E995" s="28">
        <f>IF($B995="","",SUMIF(CalcPartyA,$B995,CalcAmtA))</f>
        <v/>
      </c>
      <c r="F995" s="28">
        <f>IF($B995="","",SUMIF(CalcPartyB,$B995,CalcWitB))</f>
        <v/>
      </c>
      <c r="G995" s="28">
        <f>IF($B995="","",SUMIF(CalcPartyB,$B995,CalcDepB))</f>
        <v/>
      </c>
      <c r="H995" s="29">
        <f>IF($B995="","",$E995-$F995+$G995)</f>
        <v/>
      </c>
      <c r="I995" s="27">
        <f>IF($B995="","",IF(ROUND($H995,0)&gt;0,"● بستانکار",IF(ROUND($H995,0)&lt;0,"● بدهکار","تسویه")))</f>
        <v/>
      </c>
    </row>
    <row r="996">
      <c r="A996" s="21">
        <f>IF($B996="","",987)</f>
        <v/>
      </c>
      <c r="B996" s="32">
        <f>IF(987&gt;NBskParty,"",INDEX(PkBskParty,987))</f>
        <v/>
      </c>
      <c r="C996" s="25">
        <f>IF($B996="","",IFERROR(IF(VLOOKUP($B996,AcctTbl,4,0)="","(بدون نام)",VLOOKUP($B996,AcctTbl,4,0)),"—"))</f>
        <v/>
      </c>
      <c r="D996" s="23">
        <f>IF($B996="","",SUMIF(CalcPartyA,$B996,CalcQtyA))</f>
        <v/>
      </c>
      <c r="E996" s="23">
        <f>IF($B996="","",SUMIF(CalcPartyA,$B996,CalcAmtA))</f>
        <v/>
      </c>
      <c r="F996" s="23">
        <f>IF($B996="","",SUMIF(CalcPartyB,$B996,CalcWitB))</f>
        <v/>
      </c>
      <c r="G996" s="23">
        <f>IF($B996="","",SUMIF(CalcPartyB,$B996,CalcDepB))</f>
        <v/>
      </c>
      <c r="H996" s="24">
        <f>IF($B996="","",$E996-$F996+$G996)</f>
        <v/>
      </c>
      <c r="I996" s="22">
        <f>IF($B996="","",IF(ROUND($H996,0)&gt;0,"● بستانکار",IF(ROUND($H996,0)&lt;0,"● بدهکار","تسویه")))</f>
        <v/>
      </c>
    </row>
    <row r="997">
      <c r="A997" s="26">
        <f>IF($B997="","",988)</f>
        <v/>
      </c>
      <c r="B997" s="33">
        <f>IF(988&gt;NBskParty,"",INDEX(PkBskParty,988))</f>
        <v/>
      </c>
      <c r="C997" s="30">
        <f>IF($B997="","",IFERROR(IF(VLOOKUP($B997,AcctTbl,4,0)="","(بدون نام)",VLOOKUP($B997,AcctTbl,4,0)),"—"))</f>
        <v/>
      </c>
      <c r="D997" s="28">
        <f>IF($B997="","",SUMIF(CalcPartyA,$B997,CalcQtyA))</f>
        <v/>
      </c>
      <c r="E997" s="28">
        <f>IF($B997="","",SUMIF(CalcPartyA,$B997,CalcAmtA))</f>
        <v/>
      </c>
      <c r="F997" s="28">
        <f>IF($B997="","",SUMIF(CalcPartyB,$B997,CalcWitB))</f>
        <v/>
      </c>
      <c r="G997" s="28">
        <f>IF($B997="","",SUMIF(CalcPartyB,$B997,CalcDepB))</f>
        <v/>
      </c>
      <c r="H997" s="29">
        <f>IF($B997="","",$E997-$F997+$G997)</f>
        <v/>
      </c>
      <c r="I997" s="27">
        <f>IF($B997="","",IF(ROUND($H997,0)&gt;0,"● بستانکار",IF(ROUND($H997,0)&lt;0,"● بدهکار","تسویه")))</f>
        <v/>
      </c>
    </row>
    <row r="998">
      <c r="A998" s="21">
        <f>IF($B998="","",989)</f>
        <v/>
      </c>
      <c r="B998" s="32">
        <f>IF(989&gt;NBskParty,"",INDEX(PkBskParty,989))</f>
        <v/>
      </c>
      <c r="C998" s="25">
        <f>IF($B998="","",IFERROR(IF(VLOOKUP($B998,AcctTbl,4,0)="","(بدون نام)",VLOOKUP($B998,AcctTbl,4,0)),"—"))</f>
        <v/>
      </c>
      <c r="D998" s="23">
        <f>IF($B998="","",SUMIF(CalcPartyA,$B998,CalcQtyA))</f>
        <v/>
      </c>
      <c r="E998" s="23">
        <f>IF($B998="","",SUMIF(CalcPartyA,$B998,CalcAmtA))</f>
        <v/>
      </c>
      <c r="F998" s="23">
        <f>IF($B998="","",SUMIF(CalcPartyB,$B998,CalcWitB))</f>
        <v/>
      </c>
      <c r="G998" s="23">
        <f>IF($B998="","",SUMIF(CalcPartyB,$B998,CalcDepB))</f>
        <v/>
      </c>
      <c r="H998" s="24">
        <f>IF($B998="","",$E998-$F998+$G998)</f>
        <v/>
      </c>
      <c r="I998" s="22">
        <f>IF($B998="","",IF(ROUND($H998,0)&gt;0,"● بستانکار",IF(ROUND($H998,0)&lt;0,"● بدهکار","تسویه")))</f>
        <v/>
      </c>
    </row>
    <row r="999">
      <c r="A999" s="26">
        <f>IF($B999="","",990)</f>
        <v/>
      </c>
      <c r="B999" s="33">
        <f>IF(990&gt;NBskParty,"",INDEX(PkBskParty,990))</f>
        <v/>
      </c>
      <c r="C999" s="30">
        <f>IF($B999="","",IFERROR(IF(VLOOKUP($B999,AcctTbl,4,0)="","(بدون نام)",VLOOKUP($B999,AcctTbl,4,0)),"—"))</f>
        <v/>
      </c>
      <c r="D999" s="28">
        <f>IF($B999="","",SUMIF(CalcPartyA,$B999,CalcQtyA))</f>
        <v/>
      </c>
      <c r="E999" s="28">
        <f>IF($B999="","",SUMIF(CalcPartyA,$B999,CalcAmtA))</f>
        <v/>
      </c>
      <c r="F999" s="28">
        <f>IF($B999="","",SUMIF(CalcPartyB,$B999,CalcWitB))</f>
        <v/>
      </c>
      <c r="G999" s="28">
        <f>IF($B999="","",SUMIF(CalcPartyB,$B999,CalcDepB))</f>
        <v/>
      </c>
      <c r="H999" s="29">
        <f>IF($B999="","",$E999-$F999+$G999)</f>
        <v/>
      </c>
      <c r="I999" s="27">
        <f>IF($B999="","",IF(ROUND($H999,0)&gt;0,"● بستانکار",IF(ROUND($H999,0)&lt;0,"● بدهکار","تسویه")))</f>
        <v/>
      </c>
    </row>
    <row r="1000">
      <c r="A1000" s="21">
        <f>IF($B1000="","",991)</f>
        <v/>
      </c>
      <c r="B1000" s="32">
        <f>IF(991&gt;NBskParty,"",INDEX(PkBskParty,991))</f>
        <v/>
      </c>
      <c r="C1000" s="25">
        <f>IF($B1000="","",IFERROR(IF(VLOOKUP($B1000,AcctTbl,4,0)="","(بدون نام)",VLOOKUP($B1000,AcctTbl,4,0)),"—"))</f>
        <v/>
      </c>
      <c r="D1000" s="23">
        <f>IF($B1000="","",SUMIF(CalcPartyA,$B1000,CalcQtyA))</f>
        <v/>
      </c>
      <c r="E1000" s="23">
        <f>IF($B1000="","",SUMIF(CalcPartyA,$B1000,CalcAmtA))</f>
        <v/>
      </c>
      <c r="F1000" s="23">
        <f>IF($B1000="","",SUMIF(CalcPartyB,$B1000,CalcWitB))</f>
        <v/>
      </c>
      <c r="G1000" s="23">
        <f>IF($B1000="","",SUMIF(CalcPartyB,$B1000,CalcDepB))</f>
        <v/>
      </c>
      <c r="H1000" s="24">
        <f>IF($B1000="","",$E1000-$F1000+$G1000)</f>
        <v/>
      </c>
      <c r="I1000" s="22">
        <f>IF($B1000="","",IF(ROUND($H1000,0)&gt;0,"● بستانکار",IF(ROUND($H1000,0)&lt;0,"● بدهکار","تسویه")))</f>
        <v/>
      </c>
    </row>
    <row r="1001">
      <c r="A1001" s="26">
        <f>IF($B1001="","",992)</f>
        <v/>
      </c>
      <c r="B1001" s="33">
        <f>IF(992&gt;NBskParty,"",INDEX(PkBskParty,992))</f>
        <v/>
      </c>
      <c r="C1001" s="30">
        <f>IF($B1001="","",IFERROR(IF(VLOOKUP($B1001,AcctTbl,4,0)="","(بدون نام)",VLOOKUP($B1001,AcctTbl,4,0)),"—"))</f>
        <v/>
      </c>
      <c r="D1001" s="28">
        <f>IF($B1001="","",SUMIF(CalcPartyA,$B1001,CalcQtyA))</f>
        <v/>
      </c>
      <c r="E1001" s="28">
        <f>IF($B1001="","",SUMIF(CalcPartyA,$B1001,CalcAmtA))</f>
        <v/>
      </c>
      <c r="F1001" s="28">
        <f>IF($B1001="","",SUMIF(CalcPartyB,$B1001,CalcWitB))</f>
        <v/>
      </c>
      <c r="G1001" s="28">
        <f>IF($B1001="","",SUMIF(CalcPartyB,$B1001,CalcDepB))</f>
        <v/>
      </c>
      <c r="H1001" s="29">
        <f>IF($B1001="","",$E1001-$F1001+$G1001)</f>
        <v/>
      </c>
      <c r="I1001" s="27">
        <f>IF($B1001="","",IF(ROUND($H1001,0)&gt;0,"● بستانکار",IF(ROUND($H1001,0)&lt;0,"● بدهکار","تسویه")))</f>
        <v/>
      </c>
    </row>
    <row r="1002">
      <c r="A1002" s="21">
        <f>IF($B1002="","",993)</f>
        <v/>
      </c>
      <c r="B1002" s="32">
        <f>IF(993&gt;NBskParty,"",INDEX(PkBskParty,993))</f>
        <v/>
      </c>
      <c r="C1002" s="25">
        <f>IF($B1002="","",IFERROR(IF(VLOOKUP($B1002,AcctTbl,4,0)="","(بدون نام)",VLOOKUP($B1002,AcctTbl,4,0)),"—"))</f>
        <v/>
      </c>
      <c r="D1002" s="23">
        <f>IF($B1002="","",SUMIF(CalcPartyA,$B1002,CalcQtyA))</f>
        <v/>
      </c>
      <c r="E1002" s="23">
        <f>IF($B1002="","",SUMIF(CalcPartyA,$B1002,CalcAmtA))</f>
        <v/>
      </c>
      <c r="F1002" s="23">
        <f>IF($B1002="","",SUMIF(CalcPartyB,$B1002,CalcWitB))</f>
        <v/>
      </c>
      <c r="G1002" s="23">
        <f>IF($B1002="","",SUMIF(CalcPartyB,$B1002,CalcDepB))</f>
        <v/>
      </c>
      <c r="H1002" s="24">
        <f>IF($B1002="","",$E1002-$F1002+$G1002)</f>
        <v/>
      </c>
      <c r="I1002" s="22">
        <f>IF($B1002="","",IF(ROUND($H1002,0)&gt;0,"● بستانکار",IF(ROUND($H1002,0)&lt;0,"● بدهکار","تسویه")))</f>
        <v/>
      </c>
    </row>
    <row r="1003">
      <c r="A1003" s="26">
        <f>IF($B1003="","",994)</f>
        <v/>
      </c>
      <c r="B1003" s="33">
        <f>IF(994&gt;NBskParty,"",INDEX(PkBskParty,994))</f>
        <v/>
      </c>
      <c r="C1003" s="30">
        <f>IF($B1003="","",IFERROR(IF(VLOOKUP($B1003,AcctTbl,4,0)="","(بدون نام)",VLOOKUP($B1003,AcctTbl,4,0)),"—"))</f>
        <v/>
      </c>
      <c r="D1003" s="28">
        <f>IF($B1003="","",SUMIF(CalcPartyA,$B1003,CalcQtyA))</f>
        <v/>
      </c>
      <c r="E1003" s="28">
        <f>IF($B1003="","",SUMIF(CalcPartyA,$B1003,CalcAmtA))</f>
        <v/>
      </c>
      <c r="F1003" s="28">
        <f>IF($B1003="","",SUMIF(CalcPartyB,$B1003,CalcWitB))</f>
        <v/>
      </c>
      <c r="G1003" s="28">
        <f>IF($B1003="","",SUMIF(CalcPartyB,$B1003,CalcDepB))</f>
        <v/>
      </c>
      <c r="H1003" s="29">
        <f>IF($B1003="","",$E1003-$F1003+$G1003)</f>
        <v/>
      </c>
      <c r="I1003" s="27">
        <f>IF($B1003="","",IF(ROUND($H1003,0)&gt;0,"● بستانکار",IF(ROUND($H1003,0)&lt;0,"● بدهکار","تسویه")))</f>
        <v/>
      </c>
    </row>
    <row r="1004">
      <c r="A1004" s="21">
        <f>IF($B1004="","",995)</f>
        <v/>
      </c>
      <c r="B1004" s="32">
        <f>IF(995&gt;NBskParty,"",INDEX(PkBskParty,995))</f>
        <v/>
      </c>
      <c r="C1004" s="25">
        <f>IF($B1004="","",IFERROR(IF(VLOOKUP($B1004,AcctTbl,4,0)="","(بدون نام)",VLOOKUP($B1004,AcctTbl,4,0)),"—"))</f>
        <v/>
      </c>
      <c r="D1004" s="23">
        <f>IF($B1004="","",SUMIF(CalcPartyA,$B1004,CalcQtyA))</f>
        <v/>
      </c>
      <c r="E1004" s="23">
        <f>IF($B1004="","",SUMIF(CalcPartyA,$B1004,CalcAmtA))</f>
        <v/>
      </c>
      <c r="F1004" s="23">
        <f>IF($B1004="","",SUMIF(CalcPartyB,$B1004,CalcWitB))</f>
        <v/>
      </c>
      <c r="G1004" s="23">
        <f>IF($B1004="","",SUMIF(CalcPartyB,$B1004,CalcDepB))</f>
        <v/>
      </c>
      <c r="H1004" s="24">
        <f>IF($B1004="","",$E1004-$F1004+$G1004)</f>
        <v/>
      </c>
      <c r="I1004" s="22">
        <f>IF($B1004="","",IF(ROUND($H1004,0)&gt;0,"● بستانکار",IF(ROUND($H1004,0)&lt;0,"● بدهکار","تسویه")))</f>
        <v/>
      </c>
    </row>
    <row r="1005">
      <c r="A1005" s="26">
        <f>IF($B1005="","",996)</f>
        <v/>
      </c>
      <c r="B1005" s="33">
        <f>IF(996&gt;NBskParty,"",INDEX(PkBskParty,996))</f>
        <v/>
      </c>
      <c r="C1005" s="30">
        <f>IF($B1005="","",IFERROR(IF(VLOOKUP($B1005,AcctTbl,4,0)="","(بدون نام)",VLOOKUP($B1005,AcctTbl,4,0)),"—"))</f>
        <v/>
      </c>
      <c r="D1005" s="28">
        <f>IF($B1005="","",SUMIF(CalcPartyA,$B1005,CalcQtyA))</f>
        <v/>
      </c>
      <c r="E1005" s="28">
        <f>IF($B1005="","",SUMIF(CalcPartyA,$B1005,CalcAmtA))</f>
        <v/>
      </c>
      <c r="F1005" s="28">
        <f>IF($B1005="","",SUMIF(CalcPartyB,$B1005,CalcWitB))</f>
        <v/>
      </c>
      <c r="G1005" s="28">
        <f>IF($B1005="","",SUMIF(CalcPartyB,$B1005,CalcDepB))</f>
        <v/>
      </c>
      <c r="H1005" s="29">
        <f>IF($B1005="","",$E1005-$F1005+$G1005)</f>
        <v/>
      </c>
      <c r="I1005" s="27">
        <f>IF($B1005="","",IF(ROUND($H1005,0)&gt;0,"● بستانکار",IF(ROUND($H1005,0)&lt;0,"● بدهکار","تسویه")))</f>
        <v/>
      </c>
    </row>
    <row r="1006">
      <c r="A1006" s="21">
        <f>IF($B1006="","",997)</f>
        <v/>
      </c>
      <c r="B1006" s="32">
        <f>IF(997&gt;NBskParty,"",INDEX(PkBskParty,997))</f>
        <v/>
      </c>
      <c r="C1006" s="25">
        <f>IF($B1006="","",IFERROR(IF(VLOOKUP($B1006,AcctTbl,4,0)="","(بدون نام)",VLOOKUP($B1006,AcctTbl,4,0)),"—"))</f>
        <v/>
      </c>
      <c r="D1006" s="23">
        <f>IF($B1006="","",SUMIF(CalcPartyA,$B1006,CalcQtyA))</f>
        <v/>
      </c>
      <c r="E1006" s="23">
        <f>IF($B1006="","",SUMIF(CalcPartyA,$B1006,CalcAmtA))</f>
        <v/>
      </c>
      <c r="F1006" s="23">
        <f>IF($B1006="","",SUMIF(CalcPartyB,$B1006,CalcWitB))</f>
        <v/>
      </c>
      <c r="G1006" s="23">
        <f>IF($B1006="","",SUMIF(CalcPartyB,$B1006,CalcDepB))</f>
        <v/>
      </c>
      <c r="H1006" s="24">
        <f>IF($B1006="","",$E1006-$F1006+$G1006)</f>
        <v/>
      </c>
      <c r="I1006" s="22">
        <f>IF($B1006="","",IF(ROUND($H1006,0)&gt;0,"● بستانکار",IF(ROUND($H1006,0)&lt;0,"● بدهکار","تسویه")))</f>
        <v/>
      </c>
    </row>
    <row r="1007">
      <c r="A1007" s="26">
        <f>IF($B1007="","",998)</f>
        <v/>
      </c>
      <c r="B1007" s="33">
        <f>IF(998&gt;NBskParty,"",INDEX(PkBskParty,998))</f>
        <v/>
      </c>
      <c r="C1007" s="30">
        <f>IF($B1007="","",IFERROR(IF(VLOOKUP($B1007,AcctTbl,4,0)="","(بدون نام)",VLOOKUP($B1007,AcctTbl,4,0)),"—"))</f>
        <v/>
      </c>
      <c r="D1007" s="28">
        <f>IF($B1007="","",SUMIF(CalcPartyA,$B1007,CalcQtyA))</f>
        <v/>
      </c>
      <c r="E1007" s="28">
        <f>IF($B1007="","",SUMIF(CalcPartyA,$B1007,CalcAmtA))</f>
        <v/>
      </c>
      <c r="F1007" s="28">
        <f>IF($B1007="","",SUMIF(CalcPartyB,$B1007,CalcWitB))</f>
        <v/>
      </c>
      <c r="G1007" s="28">
        <f>IF($B1007="","",SUMIF(CalcPartyB,$B1007,CalcDepB))</f>
        <v/>
      </c>
      <c r="H1007" s="29">
        <f>IF($B1007="","",$E1007-$F1007+$G1007)</f>
        <v/>
      </c>
      <c r="I1007" s="27">
        <f>IF($B1007="","",IF(ROUND($H1007,0)&gt;0,"● بستانکار",IF(ROUND($H1007,0)&lt;0,"● بدهکار","تسویه")))</f>
        <v/>
      </c>
    </row>
    <row r="1008">
      <c r="A1008" s="21">
        <f>IF($B1008="","",999)</f>
        <v/>
      </c>
      <c r="B1008" s="32">
        <f>IF(999&gt;NBskParty,"",INDEX(PkBskParty,999))</f>
        <v/>
      </c>
      <c r="C1008" s="25">
        <f>IF($B1008="","",IFERROR(IF(VLOOKUP($B1008,AcctTbl,4,0)="","(بدون نام)",VLOOKUP($B1008,AcctTbl,4,0)),"—"))</f>
        <v/>
      </c>
      <c r="D1008" s="23">
        <f>IF($B1008="","",SUMIF(CalcPartyA,$B1008,CalcQtyA))</f>
        <v/>
      </c>
      <c r="E1008" s="23">
        <f>IF($B1008="","",SUMIF(CalcPartyA,$B1008,CalcAmtA))</f>
        <v/>
      </c>
      <c r="F1008" s="23">
        <f>IF($B1008="","",SUMIF(CalcPartyB,$B1008,CalcWitB))</f>
        <v/>
      </c>
      <c r="G1008" s="23">
        <f>IF($B1008="","",SUMIF(CalcPartyB,$B1008,CalcDepB))</f>
        <v/>
      </c>
      <c r="H1008" s="24">
        <f>IF($B1008="","",$E1008-$F1008+$G1008)</f>
        <v/>
      </c>
      <c r="I1008" s="22">
        <f>IF($B1008="","",IF(ROUND($H1008,0)&gt;0,"● بستانکار",IF(ROUND($H1008,0)&lt;0,"● بدهکار","تسویه")))</f>
        <v/>
      </c>
    </row>
    <row r="1009">
      <c r="A1009" s="26">
        <f>IF($B1009="","",1000)</f>
        <v/>
      </c>
      <c r="B1009" s="33">
        <f>IF(1000&gt;NBskParty,"",INDEX(PkBskParty,1000))</f>
        <v/>
      </c>
      <c r="C1009" s="30">
        <f>IF($B1009="","",IFERROR(IF(VLOOKUP($B1009,AcctTbl,4,0)="","(بدون نام)",VLOOKUP($B1009,AcctTbl,4,0)),"—"))</f>
        <v/>
      </c>
      <c r="D1009" s="28">
        <f>IF($B1009="","",SUMIF(CalcPartyA,$B1009,CalcQtyA))</f>
        <v/>
      </c>
      <c r="E1009" s="28">
        <f>IF($B1009="","",SUMIF(CalcPartyA,$B1009,CalcAmtA))</f>
        <v/>
      </c>
      <c r="F1009" s="28">
        <f>IF($B1009="","",SUMIF(CalcPartyB,$B1009,CalcWitB))</f>
        <v/>
      </c>
      <c r="G1009" s="28">
        <f>IF($B1009="","",SUMIF(CalcPartyB,$B1009,CalcDepB))</f>
        <v/>
      </c>
      <c r="H1009" s="29">
        <f>IF($B1009="","",$E1009-$F1009+$G1009)</f>
        <v/>
      </c>
      <c r="I1009" s="27">
        <f>IF($B1009="","",IF(ROUND($H1009,0)&gt;0,"● بستانکار",IF(ROUND($H1009,0)&lt;0,"● بدهکار","تسویه")))</f>
        <v/>
      </c>
    </row>
    <row r="1010">
      <c r="A1010" s="34" t="inlineStr">
        <is>
          <t>جمع کل</t>
        </is>
      </c>
      <c r="B1010" s="34" t="n"/>
      <c r="C1010" s="34" t="n"/>
      <c r="D1010" s="34" t="n"/>
      <c r="E1010" s="35">
        <f>SUM(E10:E1009)</f>
        <v/>
      </c>
      <c r="F1010" s="35">
        <f>SUM(F10:F1009)</f>
        <v/>
      </c>
      <c r="G1010" s="35">
        <f>SUM(G10:G1009)</f>
        <v/>
      </c>
      <c r="H1010" s="35">
        <f>SUM(H10:H1009)</f>
        <v/>
      </c>
    </row>
    <row r="1012">
      <c r="A1012" s="31" t="inlineStr">
        <is>
          <t>ب) جمع خرید به تفکیک نوع سبد</t>
        </is>
      </c>
      <c r="B1012" s="31" t="n"/>
      <c r="C1012" s="31" t="n"/>
      <c r="D1012" s="31" t="n"/>
      <c r="E1012" s="31" t="n"/>
      <c r="F1012" s="31" t="n"/>
      <c r="G1012" s="31" t="n"/>
      <c r="H1012" s="31" t="n"/>
      <c r="I1012" s="31" t="n"/>
    </row>
    <row r="1013" ht="30" customHeight="1">
      <c r="A1013" s="5" t="inlineStr">
        <is>
          <t>ردیف</t>
        </is>
      </c>
      <c r="B1013" s="5" t="inlineStr">
        <is>
          <t>نوع سبد</t>
        </is>
      </c>
      <c r="C1013" s="5" t="inlineStr">
        <is>
          <t>تعداد</t>
        </is>
      </c>
      <c r="D1013" s="5" t="inlineStr">
        <is>
          <t>جمع مبلغ (ریال)</t>
        </is>
      </c>
      <c r="E1013" s="5" t="inlineStr">
        <is>
          <t>سهم از مبلغ</t>
        </is>
      </c>
    </row>
    <row r="1014" ht="13" customHeight="1">
      <c r="A1014" s="6" t="inlineStr">
        <is>
          <t>No.</t>
        </is>
      </c>
      <c r="B1014" s="6" t="inlineStr">
        <is>
          <t>Basket Type</t>
        </is>
      </c>
      <c r="C1014" s="6" t="inlineStr">
        <is>
          <t>Qty</t>
        </is>
      </c>
      <c r="D1014" s="6" t="inlineStr">
        <is>
          <t>Amount</t>
        </is>
      </c>
      <c r="E1014" s="6" t="inlineStr">
        <is>
          <t>Share</t>
        </is>
      </c>
    </row>
    <row r="1015">
      <c r="A1015" s="21" t="n">
        <v>1</v>
      </c>
      <c r="B1015" s="25">
        <f>IF(Sync!$H$6="","",Sync!$H$6)</f>
        <v/>
      </c>
      <c r="C1015" s="23">
        <f>IF($B1015="","",SUMIF(CalcTypeA,$B1015,CalcQtyA))</f>
        <v/>
      </c>
      <c r="D1015" s="23">
        <f>IF($B1015="","",SUMIF(CalcTypeA,$B1015,CalcAmtA))</f>
        <v/>
      </c>
      <c r="E1015" s="36">
        <f>IF(OR($B1015="",$D$1045=0),"",$D1015/$D$1045)</f>
        <v/>
      </c>
    </row>
    <row r="1016">
      <c r="A1016" s="26" t="n">
        <v>2</v>
      </c>
      <c r="B1016" s="30">
        <f>IF(Sync!$H$7="","",Sync!$H$7)</f>
        <v/>
      </c>
      <c r="C1016" s="28">
        <f>IF($B1016="","",SUMIF(CalcTypeA,$B1016,CalcQtyA))</f>
        <v/>
      </c>
      <c r="D1016" s="28">
        <f>IF($B1016="","",SUMIF(CalcTypeA,$B1016,CalcAmtA))</f>
        <v/>
      </c>
      <c r="E1016" s="37">
        <f>IF(OR($B1016="",$D$1045=0),"",$D1016/$D$1045)</f>
        <v/>
      </c>
    </row>
    <row r="1017">
      <c r="A1017" s="21" t="n">
        <v>3</v>
      </c>
      <c r="B1017" s="25">
        <f>IF(Sync!$H$8="","",Sync!$H$8)</f>
        <v/>
      </c>
      <c r="C1017" s="23">
        <f>IF($B1017="","",SUMIF(CalcTypeA,$B1017,CalcQtyA))</f>
        <v/>
      </c>
      <c r="D1017" s="23">
        <f>IF($B1017="","",SUMIF(CalcTypeA,$B1017,CalcAmtA))</f>
        <v/>
      </c>
      <c r="E1017" s="36">
        <f>IF(OR($B1017="",$D$1045=0),"",$D1017/$D$1045)</f>
        <v/>
      </c>
    </row>
    <row r="1018">
      <c r="A1018" s="26" t="n">
        <v>4</v>
      </c>
      <c r="B1018" s="30">
        <f>IF(Sync!$H$9="","",Sync!$H$9)</f>
        <v/>
      </c>
      <c r="C1018" s="28">
        <f>IF($B1018="","",SUMIF(CalcTypeA,$B1018,CalcQtyA))</f>
        <v/>
      </c>
      <c r="D1018" s="28">
        <f>IF($B1018="","",SUMIF(CalcTypeA,$B1018,CalcAmtA))</f>
        <v/>
      </c>
      <c r="E1018" s="37">
        <f>IF(OR($B1018="",$D$1045=0),"",$D1018/$D$1045)</f>
        <v/>
      </c>
    </row>
    <row r="1019">
      <c r="A1019" s="21" t="n">
        <v>5</v>
      </c>
      <c r="B1019" s="25">
        <f>IF(Sync!$H$10="","",Sync!$H$10)</f>
        <v/>
      </c>
      <c r="C1019" s="23">
        <f>IF($B1019="","",SUMIF(CalcTypeA,$B1019,CalcQtyA))</f>
        <v/>
      </c>
      <c r="D1019" s="23">
        <f>IF($B1019="","",SUMIF(CalcTypeA,$B1019,CalcAmtA))</f>
        <v/>
      </c>
      <c r="E1019" s="36">
        <f>IF(OR($B1019="",$D$1045=0),"",$D1019/$D$1045)</f>
        <v/>
      </c>
    </row>
    <row r="1020">
      <c r="A1020" s="26" t="n">
        <v>6</v>
      </c>
      <c r="B1020" s="30">
        <f>IF(Sync!$H$11="","",Sync!$H$11)</f>
        <v/>
      </c>
      <c r="C1020" s="28">
        <f>IF($B1020="","",SUMIF(CalcTypeA,$B1020,CalcQtyA))</f>
        <v/>
      </c>
      <c r="D1020" s="28">
        <f>IF($B1020="","",SUMIF(CalcTypeA,$B1020,CalcAmtA))</f>
        <v/>
      </c>
      <c r="E1020" s="37">
        <f>IF(OR($B1020="",$D$1045=0),"",$D1020/$D$1045)</f>
        <v/>
      </c>
    </row>
    <row r="1021">
      <c r="A1021" s="21" t="n">
        <v>7</v>
      </c>
      <c r="B1021" s="25">
        <f>IF(Sync!$H$12="","",Sync!$H$12)</f>
        <v/>
      </c>
      <c r="C1021" s="23">
        <f>IF($B1021="","",SUMIF(CalcTypeA,$B1021,CalcQtyA))</f>
        <v/>
      </c>
      <c r="D1021" s="23">
        <f>IF($B1021="","",SUMIF(CalcTypeA,$B1021,CalcAmtA))</f>
        <v/>
      </c>
      <c r="E1021" s="36">
        <f>IF(OR($B1021="",$D$1045=0),"",$D1021/$D$1045)</f>
        <v/>
      </c>
    </row>
    <row r="1022">
      <c r="A1022" s="26" t="n">
        <v>8</v>
      </c>
      <c r="B1022" s="30">
        <f>IF(Sync!$H$13="","",Sync!$H$13)</f>
        <v/>
      </c>
      <c r="C1022" s="28">
        <f>IF($B1022="","",SUMIF(CalcTypeA,$B1022,CalcQtyA))</f>
        <v/>
      </c>
      <c r="D1022" s="28">
        <f>IF($B1022="","",SUMIF(CalcTypeA,$B1022,CalcAmtA))</f>
        <v/>
      </c>
      <c r="E1022" s="37">
        <f>IF(OR($B1022="",$D$1045=0),"",$D1022/$D$1045)</f>
        <v/>
      </c>
    </row>
    <row r="1023">
      <c r="A1023" s="21" t="n">
        <v>9</v>
      </c>
      <c r="B1023" s="25">
        <f>IF(Sync!$H$14="","",Sync!$H$14)</f>
        <v/>
      </c>
      <c r="C1023" s="23">
        <f>IF($B1023="","",SUMIF(CalcTypeA,$B1023,CalcQtyA))</f>
        <v/>
      </c>
      <c r="D1023" s="23">
        <f>IF($B1023="","",SUMIF(CalcTypeA,$B1023,CalcAmtA))</f>
        <v/>
      </c>
      <c r="E1023" s="36">
        <f>IF(OR($B1023="",$D$1045=0),"",$D1023/$D$1045)</f>
        <v/>
      </c>
    </row>
    <row r="1024">
      <c r="A1024" s="26" t="n">
        <v>10</v>
      </c>
      <c r="B1024" s="30">
        <f>IF(Sync!$H$15="","",Sync!$H$15)</f>
        <v/>
      </c>
      <c r="C1024" s="28">
        <f>IF($B1024="","",SUMIF(CalcTypeA,$B1024,CalcQtyA))</f>
        <v/>
      </c>
      <c r="D1024" s="28">
        <f>IF($B1024="","",SUMIF(CalcTypeA,$B1024,CalcAmtA))</f>
        <v/>
      </c>
      <c r="E1024" s="37">
        <f>IF(OR($B1024="",$D$1045=0),"",$D1024/$D$1045)</f>
        <v/>
      </c>
    </row>
    <row r="1025">
      <c r="A1025" s="21" t="n">
        <v>11</v>
      </c>
      <c r="B1025" s="25">
        <f>IF(Sync!$H$16="","",Sync!$H$16)</f>
        <v/>
      </c>
      <c r="C1025" s="23">
        <f>IF($B1025="","",SUMIF(CalcTypeA,$B1025,CalcQtyA))</f>
        <v/>
      </c>
      <c r="D1025" s="23">
        <f>IF($B1025="","",SUMIF(CalcTypeA,$B1025,CalcAmtA))</f>
        <v/>
      </c>
      <c r="E1025" s="36">
        <f>IF(OR($B1025="",$D$1045=0),"",$D1025/$D$1045)</f>
        <v/>
      </c>
    </row>
    <row r="1026">
      <c r="A1026" s="26" t="n">
        <v>12</v>
      </c>
      <c r="B1026" s="30">
        <f>IF(Sync!$H$17="","",Sync!$H$17)</f>
        <v/>
      </c>
      <c r="C1026" s="28">
        <f>IF($B1026="","",SUMIF(CalcTypeA,$B1026,CalcQtyA))</f>
        <v/>
      </c>
      <c r="D1026" s="28">
        <f>IF($B1026="","",SUMIF(CalcTypeA,$B1026,CalcAmtA))</f>
        <v/>
      </c>
      <c r="E1026" s="37">
        <f>IF(OR($B1026="",$D$1045=0),"",$D1026/$D$1045)</f>
        <v/>
      </c>
    </row>
    <row r="1027">
      <c r="A1027" s="21" t="n">
        <v>13</v>
      </c>
      <c r="B1027" s="25">
        <f>IF(Sync!$H$18="","",Sync!$H$18)</f>
        <v/>
      </c>
      <c r="C1027" s="23">
        <f>IF($B1027="","",SUMIF(CalcTypeA,$B1027,CalcQtyA))</f>
        <v/>
      </c>
      <c r="D1027" s="23">
        <f>IF($B1027="","",SUMIF(CalcTypeA,$B1027,CalcAmtA))</f>
        <v/>
      </c>
      <c r="E1027" s="36">
        <f>IF(OR($B1027="",$D$1045=0),"",$D1027/$D$1045)</f>
        <v/>
      </c>
    </row>
    <row r="1028">
      <c r="A1028" s="26" t="n">
        <v>14</v>
      </c>
      <c r="B1028" s="30">
        <f>IF(Sync!$H$19="","",Sync!$H$19)</f>
        <v/>
      </c>
      <c r="C1028" s="28">
        <f>IF($B1028="","",SUMIF(CalcTypeA,$B1028,CalcQtyA))</f>
        <v/>
      </c>
      <c r="D1028" s="28">
        <f>IF($B1028="","",SUMIF(CalcTypeA,$B1028,CalcAmtA))</f>
        <v/>
      </c>
      <c r="E1028" s="37">
        <f>IF(OR($B1028="",$D$1045=0),"",$D1028/$D$1045)</f>
        <v/>
      </c>
    </row>
    <row r="1029">
      <c r="A1029" s="21" t="n">
        <v>15</v>
      </c>
      <c r="B1029" s="25">
        <f>IF(Sync!$H$20="","",Sync!$H$20)</f>
        <v/>
      </c>
      <c r="C1029" s="23">
        <f>IF($B1029="","",SUMIF(CalcTypeA,$B1029,CalcQtyA))</f>
        <v/>
      </c>
      <c r="D1029" s="23">
        <f>IF($B1029="","",SUMIF(CalcTypeA,$B1029,CalcAmtA))</f>
        <v/>
      </c>
      <c r="E1029" s="36">
        <f>IF(OR($B1029="",$D$1045=0),"",$D1029/$D$1045)</f>
        <v/>
      </c>
    </row>
    <row r="1030">
      <c r="A1030" s="26" t="n">
        <v>16</v>
      </c>
      <c r="B1030" s="30">
        <f>IF(Sync!$H$21="","",Sync!$H$21)</f>
        <v/>
      </c>
      <c r="C1030" s="28">
        <f>IF($B1030="","",SUMIF(CalcTypeA,$B1030,CalcQtyA))</f>
        <v/>
      </c>
      <c r="D1030" s="28">
        <f>IF($B1030="","",SUMIF(CalcTypeA,$B1030,CalcAmtA))</f>
        <v/>
      </c>
      <c r="E1030" s="37">
        <f>IF(OR($B1030="",$D$1045=0),"",$D1030/$D$1045)</f>
        <v/>
      </c>
    </row>
    <row r="1031">
      <c r="A1031" s="21" t="n">
        <v>17</v>
      </c>
      <c r="B1031" s="25">
        <f>IF(Sync!$H$22="","",Sync!$H$22)</f>
        <v/>
      </c>
      <c r="C1031" s="23">
        <f>IF($B1031="","",SUMIF(CalcTypeA,$B1031,CalcQtyA))</f>
        <v/>
      </c>
      <c r="D1031" s="23">
        <f>IF($B1031="","",SUMIF(CalcTypeA,$B1031,CalcAmtA))</f>
        <v/>
      </c>
      <c r="E1031" s="36">
        <f>IF(OR($B1031="",$D$1045=0),"",$D1031/$D$1045)</f>
        <v/>
      </c>
    </row>
    <row r="1032">
      <c r="A1032" s="26" t="n">
        <v>18</v>
      </c>
      <c r="B1032" s="30">
        <f>IF(Sync!$H$23="","",Sync!$H$23)</f>
        <v/>
      </c>
      <c r="C1032" s="28">
        <f>IF($B1032="","",SUMIF(CalcTypeA,$B1032,CalcQtyA))</f>
        <v/>
      </c>
      <c r="D1032" s="28">
        <f>IF($B1032="","",SUMIF(CalcTypeA,$B1032,CalcAmtA))</f>
        <v/>
      </c>
      <c r="E1032" s="37">
        <f>IF(OR($B1032="",$D$1045=0),"",$D1032/$D$1045)</f>
        <v/>
      </c>
    </row>
    <row r="1033">
      <c r="A1033" s="21" t="n">
        <v>19</v>
      </c>
      <c r="B1033" s="25">
        <f>IF(Sync!$H$24="","",Sync!$H$24)</f>
        <v/>
      </c>
      <c r="C1033" s="23">
        <f>IF($B1033="","",SUMIF(CalcTypeA,$B1033,CalcQtyA))</f>
        <v/>
      </c>
      <c r="D1033" s="23">
        <f>IF($B1033="","",SUMIF(CalcTypeA,$B1033,CalcAmtA))</f>
        <v/>
      </c>
      <c r="E1033" s="36">
        <f>IF(OR($B1033="",$D$1045=0),"",$D1033/$D$1045)</f>
        <v/>
      </c>
    </row>
    <row r="1034">
      <c r="A1034" s="26" t="n">
        <v>20</v>
      </c>
      <c r="B1034" s="30">
        <f>IF(Sync!$H$25="","",Sync!$H$25)</f>
        <v/>
      </c>
      <c r="C1034" s="28">
        <f>IF($B1034="","",SUMIF(CalcTypeA,$B1034,CalcQtyA))</f>
        <v/>
      </c>
      <c r="D1034" s="28">
        <f>IF($B1034="","",SUMIF(CalcTypeA,$B1034,CalcAmtA))</f>
        <v/>
      </c>
      <c r="E1034" s="37">
        <f>IF(OR($B1034="",$D$1045=0),"",$D1034/$D$1045)</f>
        <v/>
      </c>
    </row>
    <row r="1035">
      <c r="A1035" s="21" t="n">
        <v>21</v>
      </c>
      <c r="B1035" s="25">
        <f>IF(Sync!$H$26="","",Sync!$H$26)</f>
        <v/>
      </c>
      <c r="C1035" s="23">
        <f>IF($B1035="","",SUMIF(CalcTypeA,$B1035,CalcQtyA))</f>
        <v/>
      </c>
      <c r="D1035" s="23">
        <f>IF($B1035="","",SUMIF(CalcTypeA,$B1035,CalcAmtA))</f>
        <v/>
      </c>
      <c r="E1035" s="36">
        <f>IF(OR($B1035="",$D$1045=0),"",$D1035/$D$1045)</f>
        <v/>
      </c>
    </row>
    <row r="1036">
      <c r="A1036" s="26" t="n">
        <v>22</v>
      </c>
      <c r="B1036" s="30">
        <f>IF(Sync!$H$27="","",Sync!$H$27)</f>
        <v/>
      </c>
      <c r="C1036" s="28">
        <f>IF($B1036="","",SUMIF(CalcTypeA,$B1036,CalcQtyA))</f>
        <v/>
      </c>
      <c r="D1036" s="28">
        <f>IF($B1036="","",SUMIF(CalcTypeA,$B1036,CalcAmtA))</f>
        <v/>
      </c>
      <c r="E1036" s="37">
        <f>IF(OR($B1036="",$D$1045=0),"",$D1036/$D$1045)</f>
        <v/>
      </c>
    </row>
    <row r="1037">
      <c r="A1037" s="21" t="n">
        <v>23</v>
      </c>
      <c r="B1037" s="25">
        <f>IF(Sync!$H$28="","",Sync!$H$28)</f>
        <v/>
      </c>
      <c r="C1037" s="23">
        <f>IF($B1037="","",SUMIF(CalcTypeA,$B1037,CalcQtyA))</f>
        <v/>
      </c>
      <c r="D1037" s="23">
        <f>IF($B1037="","",SUMIF(CalcTypeA,$B1037,CalcAmtA))</f>
        <v/>
      </c>
      <c r="E1037" s="36">
        <f>IF(OR($B1037="",$D$1045=0),"",$D1037/$D$1045)</f>
        <v/>
      </c>
    </row>
    <row r="1038">
      <c r="A1038" s="26" t="n">
        <v>24</v>
      </c>
      <c r="B1038" s="30">
        <f>IF(Sync!$H$29="","",Sync!$H$29)</f>
        <v/>
      </c>
      <c r="C1038" s="28">
        <f>IF($B1038="","",SUMIF(CalcTypeA,$B1038,CalcQtyA))</f>
        <v/>
      </c>
      <c r="D1038" s="28">
        <f>IF($B1038="","",SUMIF(CalcTypeA,$B1038,CalcAmtA))</f>
        <v/>
      </c>
      <c r="E1038" s="37">
        <f>IF(OR($B1038="",$D$1045=0),"",$D1038/$D$1045)</f>
        <v/>
      </c>
    </row>
    <row r="1039">
      <c r="A1039" s="21" t="n">
        <v>25</v>
      </c>
      <c r="B1039" s="25">
        <f>IF(Sync!$H$30="","",Sync!$H$30)</f>
        <v/>
      </c>
      <c r="C1039" s="23">
        <f>IF($B1039="","",SUMIF(CalcTypeA,$B1039,CalcQtyA))</f>
        <v/>
      </c>
      <c r="D1039" s="23">
        <f>IF($B1039="","",SUMIF(CalcTypeA,$B1039,CalcAmtA))</f>
        <v/>
      </c>
      <c r="E1039" s="36">
        <f>IF(OR($B1039="",$D$1045=0),"",$D1039/$D$1045)</f>
        <v/>
      </c>
    </row>
    <row r="1040">
      <c r="A1040" s="26" t="n">
        <v>26</v>
      </c>
      <c r="B1040" s="30">
        <f>IF(Sync!$H$31="","",Sync!$H$31)</f>
        <v/>
      </c>
      <c r="C1040" s="28">
        <f>IF($B1040="","",SUMIF(CalcTypeA,$B1040,CalcQtyA))</f>
        <v/>
      </c>
      <c r="D1040" s="28">
        <f>IF($B1040="","",SUMIF(CalcTypeA,$B1040,CalcAmtA))</f>
        <v/>
      </c>
      <c r="E1040" s="37">
        <f>IF(OR($B1040="",$D$1045=0),"",$D1040/$D$1045)</f>
        <v/>
      </c>
    </row>
    <row r="1041">
      <c r="A1041" s="21" t="n">
        <v>27</v>
      </c>
      <c r="B1041" s="25">
        <f>IF(Sync!$H$32="","",Sync!$H$32)</f>
        <v/>
      </c>
      <c r="C1041" s="23">
        <f>IF($B1041="","",SUMIF(CalcTypeA,$B1041,CalcQtyA))</f>
        <v/>
      </c>
      <c r="D1041" s="23">
        <f>IF($B1041="","",SUMIF(CalcTypeA,$B1041,CalcAmtA))</f>
        <v/>
      </c>
      <c r="E1041" s="36">
        <f>IF(OR($B1041="",$D$1045=0),"",$D1041/$D$1045)</f>
        <v/>
      </c>
    </row>
    <row r="1042">
      <c r="A1042" s="26" t="n">
        <v>28</v>
      </c>
      <c r="B1042" s="30">
        <f>IF(Sync!$H$33="","",Sync!$H$33)</f>
        <v/>
      </c>
      <c r="C1042" s="28">
        <f>IF($B1042="","",SUMIF(CalcTypeA,$B1042,CalcQtyA))</f>
        <v/>
      </c>
      <c r="D1042" s="28">
        <f>IF($B1042="","",SUMIF(CalcTypeA,$B1042,CalcAmtA))</f>
        <v/>
      </c>
      <c r="E1042" s="37">
        <f>IF(OR($B1042="",$D$1045=0),"",$D1042/$D$1045)</f>
        <v/>
      </c>
    </row>
    <row r="1043">
      <c r="A1043" s="21" t="n">
        <v>29</v>
      </c>
      <c r="B1043" s="25">
        <f>IF(Sync!$H$34="","",Sync!$H$34)</f>
        <v/>
      </c>
      <c r="C1043" s="23">
        <f>IF($B1043="","",SUMIF(CalcTypeA,$B1043,CalcQtyA))</f>
        <v/>
      </c>
      <c r="D1043" s="23">
        <f>IF($B1043="","",SUMIF(CalcTypeA,$B1043,CalcAmtA))</f>
        <v/>
      </c>
      <c r="E1043" s="36">
        <f>IF(OR($B1043="",$D$1045=0),"",$D1043/$D$1045)</f>
        <v/>
      </c>
    </row>
    <row r="1044">
      <c r="A1044" s="26" t="n">
        <v>30</v>
      </c>
      <c r="B1044" s="30">
        <f>IF(Sync!$H$35="","",Sync!$H$35)</f>
        <v/>
      </c>
      <c r="C1044" s="28">
        <f>IF($B1044="","",SUMIF(CalcTypeA,$B1044,CalcQtyA))</f>
        <v/>
      </c>
      <c r="D1044" s="28">
        <f>IF($B1044="","",SUMIF(CalcTypeA,$B1044,CalcAmtA))</f>
        <v/>
      </c>
      <c r="E1044" s="37">
        <f>IF(OR($B1044="",$D$1045=0),"",$D1044/$D$1045)</f>
        <v/>
      </c>
    </row>
    <row r="1045">
      <c r="A1045" s="34" t="inlineStr">
        <is>
          <t>جمع کل</t>
        </is>
      </c>
      <c r="B1045" s="34" t="n"/>
      <c r="C1045" s="34" t="n"/>
      <c r="D1045" s="35">
        <f>SUM(D1015:D1044)</f>
        <v/>
      </c>
      <c r="E1045" s="38">
        <f>IF($D$1045=0,"",1)</f>
        <v/>
      </c>
    </row>
  </sheetData>
  <mergeCells count="16">
    <mergeCell ref="A1012:I1012"/>
    <mergeCell ref="E6:F6"/>
    <mergeCell ref="A2:I2"/>
    <mergeCell ref="C6:D6"/>
    <mergeCell ref="C5:D5"/>
    <mergeCell ref="A5:B5"/>
    <mergeCell ref="A1:I1"/>
    <mergeCell ref="E5:F5"/>
    <mergeCell ref="G5:H5"/>
    <mergeCell ref="A1045:C1045"/>
    <mergeCell ref="A8:I8"/>
    <mergeCell ref="A3:I3"/>
    <mergeCell ref="G6:H6"/>
    <mergeCell ref="A4:I4"/>
    <mergeCell ref="A6:B6"/>
    <mergeCell ref="A1010:D1010"/>
  </mergeCells>
  <printOptions horizontalCentered="1"/>
  <pageMargins left="0.35" right="0.35" top="0.62" bottom="0.55" header="0.28" footer="0.25"/>
  <pageSetup orientation="portrait" paperSize="9" fitToHeight="0" fitToWidth="1"/>
  <headerFooter>
    <oddHeader>&amp;L&amp;"Tahoma"&amp;8 مازندشت — سامانه حساب‌های بانکی&amp;C&amp;"Tahoma"&amp;8 خلاصه دفتر سبد&amp;R&amp;"Tahoma"&amp;8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90A4AE"/>
    <outlinePr summaryBelow="1" summaryRight="1"/>
    <pageSetUpPr/>
  </sheetPr>
  <dimension ref="A1:R2005"/>
  <sheetViews>
    <sheetView showGridLines="0" rightToLeft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8" customWidth="1" min="3" max="3"/>
    <col width="26" customWidth="1" min="4" max="4"/>
    <col width="13" customWidth="1" min="5" max="5"/>
    <col width="13" customWidth="1" min="6" max="6"/>
    <col width="18" customWidth="1" min="8" max="8"/>
    <col width="12" customWidth="1" min="10" max="10"/>
    <col width="8" customWidth="1" min="11" max="11"/>
    <col width="26" customWidth="1" min="12" max="12"/>
    <col width="10" customWidth="1" min="13" max="13"/>
    <col width="14" customWidth="1" min="14" max="14"/>
    <col width="14" customWidth="1" min="15" max="15"/>
    <col width="30" customWidth="1" min="16" max="16"/>
  </cols>
  <sheetData>
    <row r="1" ht="26" customHeight="1">
      <c r="A1" s="1" t="inlineStr">
        <is>
          <t>مازندشت — سورتینگ و بسته‌بندی مرکبات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14" customHeight="1">
      <c r="A2" s="2" t="inlineStr">
        <is>
          <t>باغدشت، بخش مرکزی، شهرستان قائم‌شهر، استان مازندران، ایران     |     MAZANDASHT · CITRUS SORTING &amp; PACKING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39" t="inlineStr">
        <is>
          <t>برگه فنی — آینه‌ی فایل مادر (INFO: حساب‌ها و انواع سبد) و تراکنش‌های بانکی (پرداخت به فروشندگان سبد). فرمول‌ها را تغییر ندهید. اگر همه سلول‌ها خالی شدند یعنی لینک به‌روز نشده: Data ← Edit Links ← Update Values.</t>
        </is>
      </c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  <c r="R3" s="39" t="n"/>
    </row>
    <row r="5">
      <c r="A5" s="40" t="inlineStr">
        <is>
          <t>Accounts · Code</t>
        </is>
      </c>
      <c r="B5" s="40" t="inlineStr">
        <is>
          <t>· Nature</t>
        </is>
      </c>
      <c r="C5" s="40" t="inlineStr">
        <is>
          <t>· Sub</t>
        </is>
      </c>
      <c r="D5" s="40" t="inlineStr">
        <is>
          <t>· Name</t>
        </is>
      </c>
      <c r="E5" s="40" t="inlineStr">
        <is>
          <t>· Acct Group</t>
        </is>
      </c>
      <c r="F5" s="40" t="inlineStr">
        <is>
          <t>· Audit Group</t>
        </is>
      </c>
      <c r="H5" s="40" t="inlineStr">
        <is>
          <t>Baskets · Type</t>
        </is>
      </c>
      <c r="J5" s="40" t="inlineStr">
        <is>
          <t>Txn Entry · C</t>
        </is>
      </c>
      <c r="K5" s="40" t="inlineStr">
        <is>
          <t>Txn Entry · D</t>
        </is>
      </c>
      <c r="L5" s="40" t="inlineStr">
        <is>
          <t>Txn Entry · E</t>
        </is>
      </c>
      <c r="M5" s="40" t="inlineStr">
        <is>
          <t>Txn Entry · G</t>
        </is>
      </c>
      <c r="N5" s="40" t="inlineStr">
        <is>
          <t>Txn Entry · M</t>
        </is>
      </c>
      <c r="O5" s="40" t="inlineStr">
        <is>
          <t>Txn Entry · N</t>
        </is>
      </c>
      <c r="P5" s="40" t="inlineStr">
        <is>
          <t>Txn Entry · R</t>
        </is>
      </c>
    </row>
    <row r="6">
      <c r="A6">
        <f>IF([1]Accounts!$D$7="","",[1]Accounts!$A$7)</f>
        <v/>
      </c>
      <c r="B6">
        <f>IF([1]Accounts!$D$7="","",[1]Accounts!$B$7)</f>
        <v/>
      </c>
      <c r="C6">
        <f>IF([1]Accounts!$D$7="","",[1]Accounts!$C$7)</f>
        <v/>
      </c>
      <c r="D6">
        <f>IF([1]Accounts!$D$7="","",[1]Accounts!$D$7)</f>
        <v/>
      </c>
      <c r="E6">
        <f>IF([1]Accounts!$D$7="","",[1]Accounts!$J$7)</f>
        <v/>
      </c>
      <c r="F6">
        <f>IF([1]Accounts!$D$7="","",[1]Accounts!$K$7)</f>
        <v/>
      </c>
      <c r="H6">
        <f>IF([1]Baskets!$B$7="","",[1]Baskets!$B$7)</f>
        <v/>
      </c>
      <c r="J6">
        <f>IF([2]Entry!$C$9="","",[2]Entry!$C$9)</f>
        <v/>
      </c>
      <c r="K6">
        <f>IF([2]Entry!$D$9="","",[2]Entry!$D$9)</f>
        <v/>
      </c>
      <c r="L6">
        <f>IF([2]Entry!$E$9="","",[2]Entry!$E$9)</f>
        <v/>
      </c>
      <c r="M6">
        <f>IF([2]Entry!$G$9="","",[2]Entry!$G$9)</f>
        <v/>
      </c>
      <c r="N6">
        <f>IF([2]Entry!$M$9="","",[2]Entry!$M$9)</f>
        <v/>
      </c>
      <c r="O6">
        <f>IF([2]Entry!$N$9="","",[2]Entry!$N$9)</f>
        <v/>
      </c>
      <c r="P6">
        <f>IF([2]Entry!$R$9="","",[2]Entry!$R$9)</f>
        <v/>
      </c>
    </row>
    <row r="7">
      <c r="A7">
        <f>IF([1]Accounts!$D$8="","",[1]Accounts!$A$8)</f>
        <v/>
      </c>
      <c r="B7">
        <f>IF([1]Accounts!$D$8="","",[1]Accounts!$B$8)</f>
        <v/>
      </c>
      <c r="C7">
        <f>IF([1]Accounts!$D$8="","",[1]Accounts!$C$8)</f>
        <v/>
      </c>
      <c r="D7">
        <f>IF([1]Accounts!$D$8="","",[1]Accounts!$D$8)</f>
        <v/>
      </c>
      <c r="E7">
        <f>IF([1]Accounts!$D$8="","",[1]Accounts!$J$8)</f>
        <v/>
      </c>
      <c r="F7">
        <f>IF([1]Accounts!$D$8="","",[1]Accounts!$K$8)</f>
        <v/>
      </c>
      <c r="H7">
        <f>IF([1]Baskets!$B$8="","",[1]Baskets!$B$8)</f>
        <v/>
      </c>
      <c r="J7">
        <f>IF([2]Entry!$C$10="","",[2]Entry!$C$10)</f>
        <v/>
      </c>
      <c r="K7">
        <f>IF([2]Entry!$D$10="","",[2]Entry!$D$10)</f>
        <v/>
      </c>
      <c r="L7">
        <f>IF([2]Entry!$E$10="","",[2]Entry!$E$10)</f>
        <v/>
      </c>
      <c r="M7">
        <f>IF([2]Entry!$G$10="","",[2]Entry!$G$10)</f>
        <v/>
      </c>
      <c r="N7">
        <f>IF([2]Entry!$M$10="","",[2]Entry!$M$10)</f>
        <v/>
      </c>
      <c r="O7">
        <f>IF([2]Entry!$N$10="","",[2]Entry!$N$10)</f>
        <v/>
      </c>
      <c r="P7">
        <f>IF([2]Entry!$R$10="","",[2]Entry!$R$10)</f>
        <v/>
      </c>
    </row>
    <row r="8">
      <c r="A8">
        <f>IF([1]Accounts!$D$9="","",[1]Accounts!$A$9)</f>
        <v/>
      </c>
      <c r="B8">
        <f>IF([1]Accounts!$D$9="","",[1]Accounts!$B$9)</f>
        <v/>
      </c>
      <c r="C8">
        <f>IF([1]Accounts!$D$9="","",[1]Accounts!$C$9)</f>
        <v/>
      </c>
      <c r="D8">
        <f>IF([1]Accounts!$D$9="","",[1]Accounts!$D$9)</f>
        <v/>
      </c>
      <c r="E8">
        <f>IF([1]Accounts!$D$9="","",[1]Accounts!$J$9)</f>
        <v/>
      </c>
      <c r="F8">
        <f>IF([1]Accounts!$D$9="","",[1]Accounts!$K$9)</f>
        <v/>
      </c>
      <c r="H8">
        <f>IF([1]Baskets!$B$9="","",[1]Baskets!$B$9)</f>
        <v/>
      </c>
      <c r="J8">
        <f>IF([2]Entry!$C$11="","",[2]Entry!$C$11)</f>
        <v/>
      </c>
      <c r="K8">
        <f>IF([2]Entry!$D$11="","",[2]Entry!$D$11)</f>
        <v/>
      </c>
      <c r="L8">
        <f>IF([2]Entry!$E$11="","",[2]Entry!$E$11)</f>
        <v/>
      </c>
      <c r="M8">
        <f>IF([2]Entry!$G$11="","",[2]Entry!$G$11)</f>
        <v/>
      </c>
      <c r="N8">
        <f>IF([2]Entry!$M$11="","",[2]Entry!$M$11)</f>
        <v/>
      </c>
      <c r="O8">
        <f>IF([2]Entry!$N$11="","",[2]Entry!$N$11)</f>
        <v/>
      </c>
      <c r="P8">
        <f>IF([2]Entry!$R$11="","",[2]Entry!$R$11)</f>
        <v/>
      </c>
    </row>
    <row r="9">
      <c r="A9">
        <f>IF([1]Accounts!$D$10="","",[1]Accounts!$A$10)</f>
        <v/>
      </c>
      <c r="B9">
        <f>IF([1]Accounts!$D$10="","",[1]Accounts!$B$10)</f>
        <v/>
      </c>
      <c r="C9">
        <f>IF([1]Accounts!$D$10="","",[1]Accounts!$C$10)</f>
        <v/>
      </c>
      <c r="D9">
        <f>IF([1]Accounts!$D$10="","",[1]Accounts!$D$10)</f>
        <v/>
      </c>
      <c r="E9">
        <f>IF([1]Accounts!$D$10="","",[1]Accounts!$J$10)</f>
        <v/>
      </c>
      <c r="F9">
        <f>IF([1]Accounts!$D$10="","",[1]Accounts!$K$10)</f>
        <v/>
      </c>
      <c r="H9">
        <f>IF([1]Baskets!$B$10="","",[1]Baskets!$B$10)</f>
        <v/>
      </c>
      <c r="J9">
        <f>IF([2]Entry!$C$12="","",[2]Entry!$C$12)</f>
        <v/>
      </c>
      <c r="K9">
        <f>IF([2]Entry!$D$12="","",[2]Entry!$D$12)</f>
        <v/>
      </c>
      <c r="L9">
        <f>IF([2]Entry!$E$12="","",[2]Entry!$E$12)</f>
        <v/>
      </c>
      <c r="M9">
        <f>IF([2]Entry!$G$12="","",[2]Entry!$G$12)</f>
        <v/>
      </c>
      <c r="N9">
        <f>IF([2]Entry!$M$12="","",[2]Entry!$M$12)</f>
        <v/>
      </c>
      <c r="O9">
        <f>IF([2]Entry!$N$12="","",[2]Entry!$N$12)</f>
        <v/>
      </c>
      <c r="P9">
        <f>IF([2]Entry!$R$12="","",[2]Entry!$R$12)</f>
        <v/>
      </c>
    </row>
    <row r="10">
      <c r="A10">
        <f>IF([1]Accounts!$D$11="","",[1]Accounts!$A$11)</f>
        <v/>
      </c>
      <c r="B10">
        <f>IF([1]Accounts!$D$11="","",[1]Accounts!$B$11)</f>
        <v/>
      </c>
      <c r="C10">
        <f>IF([1]Accounts!$D$11="","",[1]Accounts!$C$11)</f>
        <v/>
      </c>
      <c r="D10">
        <f>IF([1]Accounts!$D$11="","",[1]Accounts!$D$11)</f>
        <v/>
      </c>
      <c r="E10">
        <f>IF([1]Accounts!$D$11="","",[1]Accounts!$J$11)</f>
        <v/>
      </c>
      <c r="F10">
        <f>IF([1]Accounts!$D$11="","",[1]Accounts!$K$11)</f>
        <v/>
      </c>
      <c r="H10">
        <f>IF([1]Baskets!$B$11="","",[1]Baskets!$B$11)</f>
        <v/>
      </c>
      <c r="J10">
        <f>IF([2]Entry!$C$13="","",[2]Entry!$C$13)</f>
        <v/>
      </c>
      <c r="K10">
        <f>IF([2]Entry!$D$13="","",[2]Entry!$D$13)</f>
        <v/>
      </c>
      <c r="L10">
        <f>IF([2]Entry!$E$13="","",[2]Entry!$E$13)</f>
        <v/>
      </c>
      <c r="M10">
        <f>IF([2]Entry!$G$13="","",[2]Entry!$G$13)</f>
        <v/>
      </c>
      <c r="N10">
        <f>IF([2]Entry!$M$13="","",[2]Entry!$M$13)</f>
        <v/>
      </c>
      <c r="O10">
        <f>IF([2]Entry!$N$13="","",[2]Entry!$N$13)</f>
        <v/>
      </c>
      <c r="P10">
        <f>IF([2]Entry!$R$13="","",[2]Entry!$R$13)</f>
        <v/>
      </c>
    </row>
    <row r="11">
      <c r="A11">
        <f>IF([1]Accounts!$D$12="","",[1]Accounts!$A$12)</f>
        <v/>
      </c>
      <c r="B11">
        <f>IF([1]Accounts!$D$12="","",[1]Accounts!$B$12)</f>
        <v/>
      </c>
      <c r="C11">
        <f>IF([1]Accounts!$D$12="","",[1]Accounts!$C$12)</f>
        <v/>
      </c>
      <c r="D11">
        <f>IF([1]Accounts!$D$12="","",[1]Accounts!$D$12)</f>
        <v/>
      </c>
      <c r="E11">
        <f>IF([1]Accounts!$D$12="","",[1]Accounts!$J$12)</f>
        <v/>
      </c>
      <c r="F11">
        <f>IF([1]Accounts!$D$12="","",[1]Accounts!$K$12)</f>
        <v/>
      </c>
      <c r="H11">
        <f>IF([1]Baskets!$B$12="","",[1]Baskets!$B$12)</f>
        <v/>
      </c>
      <c r="J11">
        <f>IF([2]Entry!$C$14="","",[2]Entry!$C$14)</f>
        <v/>
      </c>
      <c r="K11">
        <f>IF([2]Entry!$D$14="","",[2]Entry!$D$14)</f>
        <v/>
      </c>
      <c r="L11">
        <f>IF([2]Entry!$E$14="","",[2]Entry!$E$14)</f>
        <v/>
      </c>
      <c r="M11">
        <f>IF([2]Entry!$G$14="","",[2]Entry!$G$14)</f>
        <v/>
      </c>
      <c r="N11">
        <f>IF([2]Entry!$M$14="","",[2]Entry!$M$14)</f>
        <v/>
      </c>
      <c r="O11">
        <f>IF([2]Entry!$N$14="","",[2]Entry!$N$14)</f>
        <v/>
      </c>
      <c r="P11">
        <f>IF([2]Entry!$R$14="","",[2]Entry!$R$14)</f>
        <v/>
      </c>
    </row>
    <row r="12">
      <c r="A12">
        <f>IF([1]Accounts!$D$13="","",[1]Accounts!$A$13)</f>
        <v/>
      </c>
      <c r="B12">
        <f>IF([1]Accounts!$D$13="","",[1]Accounts!$B$13)</f>
        <v/>
      </c>
      <c r="C12">
        <f>IF([1]Accounts!$D$13="","",[1]Accounts!$C$13)</f>
        <v/>
      </c>
      <c r="D12">
        <f>IF([1]Accounts!$D$13="","",[1]Accounts!$D$13)</f>
        <v/>
      </c>
      <c r="E12">
        <f>IF([1]Accounts!$D$13="","",[1]Accounts!$J$13)</f>
        <v/>
      </c>
      <c r="F12">
        <f>IF([1]Accounts!$D$13="","",[1]Accounts!$K$13)</f>
        <v/>
      </c>
      <c r="H12">
        <f>IF([1]Baskets!$B$13="","",[1]Baskets!$B$13)</f>
        <v/>
      </c>
      <c r="J12">
        <f>IF([2]Entry!$C$15="","",[2]Entry!$C$15)</f>
        <v/>
      </c>
      <c r="K12">
        <f>IF([2]Entry!$D$15="","",[2]Entry!$D$15)</f>
        <v/>
      </c>
      <c r="L12">
        <f>IF([2]Entry!$E$15="","",[2]Entry!$E$15)</f>
        <v/>
      </c>
      <c r="M12">
        <f>IF([2]Entry!$G$15="","",[2]Entry!$G$15)</f>
        <v/>
      </c>
      <c r="N12">
        <f>IF([2]Entry!$M$15="","",[2]Entry!$M$15)</f>
        <v/>
      </c>
      <c r="O12">
        <f>IF([2]Entry!$N$15="","",[2]Entry!$N$15)</f>
        <v/>
      </c>
      <c r="P12">
        <f>IF([2]Entry!$R$15="","",[2]Entry!$R$15)</f>
        <v/>
      </c>
    </row>
    <row r="13">
      <c r="A13">
        <f>IF([1]Accounts!$D$14="","",[1]Accounts!$A$14)</f>
        <v/>
      </c>
      <c r="B13">
        <f>IF([1]Accounts!$D$14="","",[1]Accounts!$B$14)</f>
        <v/>
      </c>
      <c r="C13">
        <f>IF([1]Accounts!$D$14="","",[1]Accounts!$C$14)</f>
        <v/>
      </c>
      <c r="D13">
        <f>IF([1]Accounts!$D$14="","",[1]Accounts!$D$14)</f>
        <v/>
      </c>
      <c r="E13">
        <f>IF([1]Accounts!$D$14="","",[1]Accounts!$J$14)</f>
        <v/>
      </c>
      <c r="F13">
        <f>IF([1]Accounts!$D$14="","",[1]Accounts!$K$14)</f>
        <v/>
      </c>
      <c r="H13">
        <f>IF([1]Baskets!$B$14="","",[1]Baskets!$B$14)</f>
        <v/>
      </c>
      <c r="J13">
        <f>IF([2]Entry!$C$16="","",[2]Entry!$C$16)</f>
        <v/>
      </c>
      <c r="K13">
        <f>IF([2]Entry!$D$16="","",[2]Entry!$D$16)</f>
        <v/>
      </c>
      <c r="L13">
        <f>IF([2]Entry!$E$16="","",[2]Entry!$E$16)</f>
        <v/>
      </c>
      <c r="M13">
        <f>IF([2]Entry!$G$16="","",[2]Entry!$G$16)</f>
        <v/>
      </c>
      <c r="N13">
        <f>IF([2]Entry!$M$16="","",[2]Entry!$M$16)</f>
        <v/>
      </c>
      <c r="O13">
        <f>IF([2]Entry!$N$16="","",[2]Entry!$N$16)</f>
        <v/>
      </c>
      <c r="P13">
        <f>IF([2]Entry!$R$16="","",[2]Entry!$R$16)</f>
        <v/>
      </c>
    </row>
    <row r="14">
      <c r="A14">
        <f>IF([1]Accounts!$D$15="","",[1]Accounts!$A$15)</f>
        <v/>
      </c>
      <c r="B14">
        <f>IF([1]Accounts!$D$15="","",[1]Accounts!$B$15)</f>
        <v/>
      </c>
      <c r="C14">
        <f>IF([1]Accounts!$D$15="","",[1]Accounts!$C$15)</f>
        <v/>
      </c>
      <c r="D14">
        <f>IF([1]Accounts!$D$15="","",[1]Accounts!$D$15)</f>
        <v/>
      </c>
      <c r="E14">
        <f>IF([1]Accounts!$D$15="","",[1]Accounts!$J$15)</f>
        <v/>
      </c>
      <c r="F14">
        <f>IF([1]Accounts!$D$15="","",[1]Accounts!$K$15)</f>
        <v/>
      </c>
      <c r="H14">
        <f>IF([1]Baskets!$B$15="","",[1]Baskets!$B$15)</f>
        <v/>
      </c>
      <c r="J14">
        <f>IF([2]Entry!$C$17="","",[2]Entry!$C$17)</f>
        <v/>
      </c>
      <c r="K14">
        <f>IF([2]Entry!$D$17="","",[2]Entry!$D$17)</f>
        <v/>
      </c>
      <c r="L14">
        <f>IF([2]Entry!$E$17="","",[2]Entry!$E$17)</f>
        <v/>
      </c>
      <c r="M14">
        <f>IF([2]Entry!$G$17="","",[2]Entry!$G$17)</f>
        <v/>
      </c>
      <c r="N14">
        <f>IF([2]Entry!$M$17="","",[2]Entry!$M$17)</f>
        <v/>
      </c>
      <c r="O14">
        <f>IF([2]Entry!$N$17="","",[2]Entry!$N$17)</f>
        <v/>
      </c>
      <c r="P14">
        <f>IF([2]Entry!$R$17="","",[2]Entry!$R$17)</f>
        <v/>
      </c>
    </row>
    <row r="15">
      <c r="A15">
        <f>IF([1]Accounts!$D$16="","",[1]Accounts!$A$16)</f>
        <v/>
      </c>
      <c r="B15">
        <f>IF([1]Accounts!$D$16="","",[1]Accounts!$B$16)</f>
        <v/>
      </c>
      <c r="C15">
        <f>IF([1]Accounts!$D$16="","",[1]Accounts!$C$16)</f>
        <v/>
      </c>
      <c r="D15">
        <f>IF([1]Accounts!$D$16="","",[1]Accounts!$D$16)</f>
        <v/>
      </c>
      <c r="E15">
        <f>IF([1]Accounts!$D$16="","",[1]Accounts!$J$16)</f>
        <v/>
      </c>
      <c r="F15">
        <f>IF([1]Accounts!$D$16="","",[1]Accounts!$K$16)</f>
        <v/>
      </c>
      <c r="H15">
        <f>IF([1]Baskets!$B$16="","",[1]Baskets!$B$16)</f>
        <v/>
      </c>
      <c r="J15">
        <f>IF([2]Entry!$C$18="","",[2]Entry!$C$18)</f>
        <v/>
      </c>
      <c r="K15">
        <f>IF([2]Entry!$D$18="","",[2]Entry!$D$18)</f>
        <v/>
      </c>
      <c r="L15">
        <f>IF([2]Entry!$E$18="","",[2]Entry!$E$18)</f>
        <v/>
      </c>
      <c r="M15">
        <f>IF([2]Entry!$G$18="","",[2]Entry!$G$18)</f>
        <v/>
      </c>
      <c r="N15">
        <f>IF([2]Entry!$M$18="","",[2]Entry!$M$18)</f>
        <v/>
      </c>
      <c r="O15">
        <f>IF([2]Entry!$N$18="","",[2]Entry!$N$18)</f>
        <v/>
      </c>
      <c r="P15">
        <f>IF([2]Entry!$R$18="","",[2]Entry!$R$18)</f>
        <v/>
      </c>
    </row>
    <row r="16">
      <c r="A16">
        <f>IF([1]Accounts!$D$17="","",[1]Accounts!$A$17)</f>
        <v/>
      </c>
      <c r="B16">
        <f>IF([1]Accounts!$D$17="","",[1]Accounts!$B$17)</f>
        <v/>
      </c>
      <c r="C16">
        <f>IF([1]Accounts!$D$17="","",[1]Accounts!$C$17)</f>
        <v/>
      </c>
      <c r="D16">
        <f>IF([1]Accounts!$D$17="","",[1]Accounts!$D$17)</f>
        <v/>
      </c>
      <c r="E16">
        <f>IF([1]Accounts!$D$17="","",[1]Accounts!$J$17)</f>
        <v/>
      </c>
      <c r="F16">
        <f>IF([1]Accounts!$D$17="","",[1]Accounts!$K$17)</f>
        <v/>
      </c>
      <c r="H16">
        <f>IF([1]Baskets!$B$17="","",[1]Baskets!$B$17)</f>
        <v/>
      </c>
      <c r="J16">
        <f>IF([2]Entry!$C$19="","",[2]Entry!$C$19)</f>
        <v/>
      </c>
      <c r="K16">
        <f>IF([2]Entry!$D$19="","",[2]Entry!$D$19)</f>
        <v/>
      </c>
      <c r="L16">
        <f>IF([2]Entry!$E$19="","",[2]Entry!$E$19)</f>
        <v/>
      </c>
      <c r="M16">
        <f>IF([2]Entry!$G$19="","",[2]Entry!$G$19)</f>
        <v/>
      </c>
      <c r="N16">
        <f>IF([2]Entry!$M$19="","",[2]Entry!$M$19)</f>
        <v/>
      </c>
      <c r="O16">
        <f>IF([2]Entry!$N$19="","",[2]Entry!$N$19)</f>
        <v/>
      </c>
      <c r="P16">
        <f>IF([2]Entry!$R$19="","",[2]Entry!$R$19)</f>
        <v/>
      </c>
    </row>
    <row r="17">
      <c r="A17">
        <f>IF([1]Accounts!$D$18="","",[1]Accounts!$A$18)</f>
        <v/>
      </c>
      <c r="B17">
        <f>IF([1]Accounts!$D$18="","",[1]Accounts!$B$18)</f>
        <v/>
      </c>
      <c r="C17">
        <f>IF([1]Accounts!$D$18="","",[1]Accounts!$C$18)</f>
        <v/>
      </c>
      <c r="D17">
        <f>IF([1]Accounts!$D$18="","",[1]Accounts!$D$18)</f>
        <v/>
      </c>
      <c r="E17">
        <f>IF([1]Accounts!$D$18="","",[1]Accounts!$J$18)</f>
        <v/>
      </c>
      <c r="F17">
        <f>IF([1]Accounts!$D$18="","",[1]Accounts!$K$18)</f>
        <v/>
      </c>
      <c r="H17">
        <f>IF([1]Baskets!$B$18="","",[1]Baskets!$B$18)</f>
        <v/>
      </c>
      <c r="J17">
        <f>IF([2]Entry!$C$20="","",[2]Entry!$C$20)</f>
        <v/>
      </c>
      <c r="K17">
        <f>IF([2]Entry!$D$20="","",[2]Entry!$D$20)</f>
        <v/>
      </c>
      <c r="L17">
        <f>IF([2]Entry!$E$20="","",[2]Entry!$E$20)</f>
        <v/>
      </c>
      <c r="M17">
        <f>IF([2]Entry!$G$20="","",[2]Entry!$G$20)</f>
        <v/>
      </c>
      <c r="N17">
        <f>IF([2]Entry!$M$20="","",[2]Entry!$M$20)</f>
        <v/>
      </c>
      <c r="O17">
        <f>IF([2]Entry!$N$20="","",[2]Entry!$N$20)</f>
        <v/>
      </c>
      <c r="P17">
        <f>IF([2]Entry!$R$20="","",[2]Entry!$R$20)</f>
        <v/>
      </c>
    </row>
    <row r="18">
      <c r="A18">
        <f>IF([1]Accounts!$D$19="","",[1]Accounts!$A$19)</f>
        <v/>
      </c>
      <c r="B18">
        <f>IF([1]Accounts!$D$19="","",[1]Accounts!$B$19)</f>
        <v/>
      </c>
      <c r="C18">
        <f>IF([1]Accounts!$D$19="","",[1]Accounts!$C$19)</f>
        <v/>
      </c>
      <c r="D18">
        <f>IF([1]Accounts!$D$19="","",[1]Accounts!$D$19)</f>
        <v/>
      </c>
      <c r="E18">
        <f>IF([1]Accounts!$D$19="","",[1]Accounts!$J$19)</f>
        <v/>
      </c>
      <c r="F18">
        <f>IF([1]Accounts!$D$19="","",[1]Accounts!$K$19)</f>
        <v/>
      </c>
      <c r="H18">
        <f>IF([1]Baskets!$B$19="","",[1]Baskets!$B$19)</f>
        <v/>
      </c>
      <c r="J18">
        <f>IF([2]Entry!$C$21="","",[2]Entry!$C$21)</f>
        <v/>
      </c>
      <c r="K18">
        <f>IF([2]Entry!$D$21="","",[2]Entry!$D$21)</f>
        <v/>
      </c>
      <c r="L18">
        <f>IF([2]Entry!$E$21="","",[2]Entry!$E$21)</f>
        <v/>
      </c>
      <c r="M18">
        <f>IF([2]Entry!$G$21="","",[2]Entry!$G$21)</f>
        <v/>
      </c>
      <c r="N18">
        <f>IF([2]Entry!$M$21="","",[2]Entry!$M$21)</f>
        <v/>
      </c>
      <c r="O18">
        <f>IF([2]Entry!$N$21="","",[2]Entry!$N$21)</f>
        <v/>
      </c>
      <c r="P18">
        <f>IF([2]Entry!$R$21="","",[2]Entry!$R$21)</f>
        <v/>
      </c>
    </row>
    <row r="19">
      <c r="A19">
        <f>IF([1]Accounts!$D$20="","",[1]Accounts!$A$20)</f>
        <v/>
      </c>
      <c r="B19">
        <f>IF([1]Accounts!$D$20="","",[1]Accounts!$B$20)</f>
        <v/>
      </c>
      <c r="C19">
        <f>IF([1]Accounts!$D$20="","",[1]Accounts!$C$20)</f>
        <v/>
      </c>
      <c r="D19">
        <f>IF([1]Accounts!$D$20="","",[1]Accounts!$D$20)</f>
        <v/>
      </c>
      <c r="E19">
        <f>IF([1]Accounts!$D$20="","",[1]Accounts!$J$20)</f>
        <v/>
      </c>
      <c r="F19">
        <f>IF([1]Accounts!$D$20="","",[1]Accounts!$K$20)</f>
        <v/>
      </c>
      <c r="H19">
        <f>IF([1]Baskets!$B$20="","",[1]Baskets!$B$20)</f>
        <v/>
      </c>
      <c r="J19">
        <f>IF([2]Entry!$C$22="","",[2]Entry!$C$22)</f>
        <v/>
      </c>
      <c r="K19">
        <f>IF([2]Entry!$D$22="","",[2]Entry!$D$22)</f>
        <v/>
      </c>
      <c r="L19">
        <f>IF([2]Entry!$E$22="","",[2]Entry!$E$22)</f>
        <v/>
      </c>
      <c r="M19">
        <f>IF([2]Entry!$G$22="","",[2]Entry!$G$22)</f>
        <v/>
      </c>
      <c r="N19">
        <f>IF([2]Entry!$M$22="","",[2]Entry!$M$22)</f>
        <v/>
      </c>
      <c r="O19">
        <f>IF([2]Entry!$N$22="","",[2]Entry!$N$22)</f>
        <v/>
      </c>
      <c r="P19">
        <f>IF([2]Entry!$R$22="","",[2]Entry!$R$22)</f>
        <v/>
      </c>
    </row>
    <row r="20">
      <c r="A20">
        <f>IF([1]Accounts!$D$21="","",[1]Accounts!$A$21)</f>
        <v/>
      </c>
      <c r="B20">
        <f>IF([1]Accounts!$D$21="","",[1]Accounts!$B$21)</f>
        <v/>
      </c>
      <c r="C20">
        <f>IF([1]Accounts!$D$21="","",[1]Accounts!$C$21)</f>
        <v/>
      </c>
      <c r="D20">
        <f>IF([1]Accounts!$D$21="","",[1]Accounts!$D$21)</f>
        <v/>
      </c>
      <c r="E20">
        <f>IF([1]Accounts!$D$21="","",[1]Accounts!$J$21)</f>
        <v/>
      </c>
      <c r="F20">
        <f>IF([1]Accounts!$D$21="","",[1]Accounts!$K$21)</f>
        <v/>
      </c>
      <c r="H20">
        <f>IF([1]Baskets!$B$21="","",[1]Baskets!$B$21)</f>
        <v/>
      </c>
      <c r="J20">
        <f>IF([2]Entry!$C$23="","",[2]Entry!$C$23)</f>
        <v/>
      </c>
      <c r="K20">
        <f>IF([2]Entry!$D$23="","",[2]Entry!$D$23)</f>
        <v/>
      </c>
      <c r="L20">
        <f>IF([2]Entry!$E$23="","",[2]Entry!$E$23)</f>
        <v/>
      </c>
      <c r="M20">
        <f>IF([2]Entry!$G$23="","",[2]Entry!$G$23)</f>
        <v/>
      </c>
      <c r="N20">
        <f>IF([2]Entry!$M$23="","",[2]Entry!$M$23)</f>
        <v/>
      </c>
      <c r="O20">
        <f>IF([2]Entry!$N$23="","",[2]Entry!$N$23)</f>
        <v/>
      </c>
      <c r="P20">
        <f>IF([2]Entry!$R$23="","",[2]Entry!$R$23)</f>
        <v/>
      </c>
    </row>
    <row r="21">
      <c r="A21">
        <f>IF([1]Accounts!$D$22="","",[1]Accounts!$A$22)</f>
        <v/>
      </c>
      <c r="B21">
        <f>IF([1]Accounts!$D$22="","",[1]Accounts!$B$22)</f>
        <v/>
      </c>
      <c r="C21">
        <f>IF([1]Accounts!$D$22="","",[1]Accounts!$C$22)</f>
        <v/>
      </c>
      <c r="D21">
        <f>IF([1]Accounts!$D$22="","",[1]Accounts!$D$22)</f>
        <v/>
      </c>
      <c r="E21">
        <f>IF([1]Accounts!$D$22="","",[1]Accounts!$J$22)</f>
        <v/>
      </c>
      <c r="F21">
        <f>IF([1]Accounts!$D$22="","",[1]Accounts!$K$22)</f>
        <v/>
      </c>
      <c r="H21">
        <f>IF([1]Baskets!$B$22="","",[1]Baskets!$B$22)</f>
        <v/>
      </c>
      <c r="J21">
        <f>IF([2]Entry!$C$24="","",[2]Entry!$C$24)</f>
        <v/>
      </c>
      <c r="K21">
        <f>IF([2]Entry!$D$24="","",[2]Entry!$D$24)</f>
        <v/>
      </c>
      <c r="L21">
        <f>IF([2]Entry!$E$24="","",[2]Entry!$E$24)</f>
        <v/>
      </c>
      <c r="M21">
        <f>IF([2]Entry!$G$24="","",[2]Entry!$G$24)</f>
        <v/>
      </c>
      <c r="N21">
        <f>IF([2]Entry!$M$24="","",[2]Entry!$M$24)</f>
        <v/>
      </c>
      <c r="O21">
        <f>IF([2]Entry!$N$24="","",[2]Entry!$N$24)</f>
        <v/>
      </c>
      <c r="P21">
        <f>IF([2]Entry!$R$24="","",[2]Entry!$R$24)</f>
        <v/>
      </c>
    </row>
    <row r="22">
      <c r="A22">
        <f>IF([1]Accounts!$D$23="","",[1]Accounts!$A$23)</f>
        <v/>
      </c>
      <c r="B22">
        <f>IF([1]Accounts!$D$23="","",[1]Accounts!$B$23)</f>
        <v/>
      </c>
      <c r="C22">
        <f>IF([1]Accounts!$D$23="","",[1]Accounts!$C$23)</f>
        <v/>
      </c>
      <c r="D22">
        <f>IF([1]Accounts!$D$23="","",[1]Accounts!$D$23)</f>
        <v/>
      </c>
      <c r="E22">
        <f>IF([1]Accounts!$D$23="","",[1]Accounts!$J$23)</f>
        <v/>
      </c>
      <c r="F22">
        <f>IF([1]Accounts!$D$23="","",[1]Accounts!$K$23)</f>
        <v/>
      </c>
      <c r="H22">
        <f>IF([1]Baskets!$B$23="","",[1]Baskets!$B$23)</f>
        <v/>
      </c>
      <c r="J22">
        <f>IF([2]Entry!$C$25="","",[2]Entry!$C$25)</f>
        <v/>
      </c>
      <c r="K22">
        <f>IF([2]Entry!$D$25="","",[2]Entry!$D$25)</f>
        <v/>
      </c>
      <c r="L22">
        <f>IF([2]Entry!$E$25="","",[2]Entry!$E$25)</f>
        <v/>
      </c>
      <c r="M22">
        <f>IF([2]Entry!$G$25="","",[2]Entry!$G$25)</f>
        <v/>
      </c>
      <c r="N22">
        <f>IF([2]Entry!$M$25="","",[2]Entry!$M$25)</f>
        <v/>
      </c>
      <c r="O22">
        <f>IF([2]Entry!$N$25="","",[2]Entry!$N$25)</f>
        <v/>
      </c>
      <c r="P22">
        <f>IF([2]Entry!$R$25="","",[2]Entry!$R$25)</f>
        <v/>
      </c>
    </row>
    <row r="23">
      <c r="A23">
        <f>IF([1]Accounts!$D$24="","",[1]Accounts!$A$24)</f>
        <v/>
      </c>
      <c r="B23">
        <f>IF([1]Accounts!$D$24="","",[1]Accounts!$B$24)</f>
        <v/>
      </c>
      <c r="C23">
        <f>IF([1]Accounts!$D$24="","",[1]Accounts!$C$24)</f>
        <v/>
      </c>
      <c r="D23">
        <f>IF([1]Accounts!$D$24="","",[1]Accounts!$D$24)</f>
        <v/>
      </c>
      <c r="E23">
        <f>IF([1]Accounts!$D$24="","",[1]Accounts!$J$24)</f>
        <v/>
      </c>
      <c r="F23">
        <f>IF([1]Accounts!$D$24="","",[1]Accounts!$K$24)</f>
        <v/>
      </c>
      <c r="H23">
        <f>IF([1]Baskets!$B$24="","",[1]Baskets!$B$24)</f>
        <v/>
      </c>
      <c r="J23">
        <f>IF([2]Entry!$C$26="","",[2]Entry!$C$26)</f>
        <v/>
      </c>
      <c r="K23">
        <f>IF([2]Entry!$D$26="","",[2]Entry!$D$26)</f>
        <v/>
      </c>
      <c r="L23">
        <f>IF([2]Entry!$E$26="","",[2]Entry!$E$26)</f>
        <v/>
      </c>
      <c r="M23">
        <f>IF([2]Entry!$G$26="","",[2]Entry!$G$26)</f>
        <v/>
      </c>
      <c r="N23">
        <f>IF([2]Entry!$M$26="","",[2]Entry!$M$26)</f>
        <v/>
      </c>
      <c r="O23">
        <f>IF([2]Entry!$N$26="","",[2]Entry!$N$26)</f>
        <v/>
      </c>
      <c r="P23">
        <f>IF([2]Entry!$R$26="","",[2]Entry!$R$26)</f>
        <v/>
      </c>
    </row>
    <row r="24">
      <c r="A24">
        <f>IF([1]Accounts!$D$25="","",[1]Accounts!$A$25)</f>
        <v/>
      </c>
      <c r="B24">
        <f>IF([1]Accounts!$D$25="","",[1]Accounts!$B$25)</f>
        <v/>
      </c>
      <c r="C24">
        <f>IF([1]Accounts!$D$25="","",[1]Accounts!$C$25)</f>
        <v/>
      </c>
      <c r="D24">
        <f>IF([1]Accounts!$D$25="","",[1]Accounts!$D$25)</f>
        <v/>
      </c>
      <c r="E24">
        <f>IF([1]Accounts!$D$25="","",[1]Accounts!$J$25)</f>
        <v/>
      </c>
      <c r="F24">
        <f>IF([1]Accounts!$D$25="","",[1]Accounts!$K$25)</f>
        <v/>
      </c>
      <c r="H24">
        <f>IF([1]Baskets!$B$25="","",[1]Baskets!$B$25)</f>
        <v/>
      </c>
      <c r="J24">
        <f>IF([2]Entry!$C$27="","",[2]Entry!$C$27)</f>
        <v/>
      </c>
      <c r="K24">
        <f>IF([2]Entry!$D$27="","",[2]Entry!$D$27)</f>
        <v/>
      </c>
      <c r="L24">
        <f>IF([2]Entry!$E$27="","",[2]Entry!$E$27)</f>
        <v/>
      </c>
      <c r="M24">
        <f>IF([2]Entry!$G$27="","",[2]Entry!$G$27)</f>
        <v/>
      </c>
      <c r="N24">
        <f>IF([2]Entry!$M$27="","",[2]Entry!$M$27)</f>
        <v/>
      </c>
      <c r="O24">
        <f>IF([2]Entry!$N$27="","",[2]Entry!$N$27)</f>
        <v/>
      </c>
      <c r="P24">
        <f>IF([2]Entry!$R$27="","",[2]Entry!$R$27)</f>
        <v/>
      </c>
    </row>
    <row r="25">
      <c r="A25">
        <f>IF([1]Accounts!$D$26="","",[1]Accounts!$A$26)</f>
        <v/>
      </c>
      <c r="B25">
        <f>IF([1]Accounts!$D$26="","",[1]Accounts!$B$26)</f>
        <v/>
      </c>
      <c r="C25">
        <f>IF([1]Accounts!$D$26="","",[1]Accounts!$C$26)</f>
        <v/>
      </c>
      <c r="D25">
        <f>IF([1]Accounts!$D$26="","",[1]Accounts!$D$26)</f>
        <v/>
      </c>
      <c r="E25">
        <f>IF([1]Accounts!$D$26="","",[1]Accounts!$J$26)</f>
        <v/>
      </c>
      <c r="F25">
        <f>IF([1]Accounts!$D$26="","",[1]Accounts!$K$26)</f>
        <v/>
      </c>
      <c r="H25">
        <f>IF([1]Baskets!$B$26="","",[1]Baskets!$B$26)</f>
        <v/>
      </c>
      <c r="J25">
        <f>IF([2]Entry!$C$28="","",[2]Entry!$C$28)</f>
        <v/>
      </c>
      <c r="K25">
        <f>IF([2]Entry!$D$28="","",[2]Entry!$D$28)</f>
        <v/>
      </c>
      <c r="L25">
        <f>IF([2]Entry!$E$28="","",[2]Entry!$E$28)</f>
        <v/>
      </c>
      <c r="M25">
        <f>IF([2]Entry!$G$28="","",[2]Entry!$G$28)</f>
        <v/>
      </c>
      <c r="N25">
        <f>IF([2]Entry!$M$28="","",[2]Entry!$M$28)</f>
        <v/>
      </c>
      <c r="O25">
        <f>IF([2]Entry!$N$28="","",[2]Entry!$N$28)</f>
        <v/>
      </c>
      <c r="P25">
        <f>IF([2]Entry!$R$28="","",[2]Entry!$R$28)</f>
        <v/>
      </c>
    </row>
    <row r="26">
      <c r="A26">
        <f>IF([1]Accounts!$D$27="","",[1]Accounts!$A$27)</f>
        <v/>
      </c>
      <c r="B26">
        <f>IF([1]Accounts!$D$27="","",[1]Accounts!$B$27)</f>
        <v/>
      </c>
      <c r="C26">
        <f>IF([1]Accounts!$D$27="","",[1]Accounts!$C$27)</f>
        <v/>
      </c>
      <c r="D26">
        <f>IF([1]Accounts!$D$27="","",[1]Accounts!$D$27)</f>
        <v/>
      </c>
      <c r="E26">
        <f>IF([1]Accounts!$D$27="","",[1]Accounts!$J$27)</f>
        <v/>
      </c>
      <c r="F26">
        <f>IF([1]Accounts!$D$27="","",[1]Accounts!$K$27)</f>
        <v/>
      </c>
      <c r="H26">
        <f>IF([1]Baskets!$B$27="","",[1]Baskets!$B$27)</f>
        <v/>
      </c>
      <c r="J26">
        <f>IF([2]Entry!$C$29="","",[2]Entry!$C$29)</f>
        <v/>
      </c>
      <c r="K26">
        <f>IF([2]Entry!$D$29="","",[2]Entry!$D$29)</f>
        <v/>
      </c>
      <c r="L26">
        <f>IF([2]Entry!$E$29="","",[2]Entry!$E$29)</f>
        <v/>
      </c>
      <c r="M26">
        <f>IF([2]Entry!$G$29="","",[2]Entry!$G$29)</f>
        <v/>
      </c>
      <c r="N26">
        <f>IF([2]Entry!$M$29="","",[2]Entry!$M$29)</f>
        <v/>
      </c>
      <c r="O26">
        <f>IF([2]Entry!$N$29="","",[2]Entry!$N$29)</f>
        <v/>
      </c>
      <c r="P26">
        <f>IF([2]Entry!$R$29="","",[2]Entry!$R$29)</f>
        <v/>
      </c>
    </row>
    <row r="27">
      <c r="A27">
        <f>IF([1]Accounts!$D$28="","",[1]Accounts!$A$28)</f>
        <v/>
      </c>
      <c r="B27">
        <f>IF([1]Accounts!$D$28="","",[1]Accounts!$B$28)</f>
        <v/>
      </c>
      <c r="C27">
        <f>IF([1]Accounts!$D$28="","",[1]Accounts!$C$28)</f>
        <v/>
      </c>
      <c r="D27">
        <f>IF([1]Accounts!$D$28="","",[1]Accounts!$D$28)</f>
        <v/>
      </c>
      <c r="E27">
        <f>IF([1]Accounts!$D$28="","",[1]Accounts!$J$28)</f>
        <v/>
      </c>
      <c r="F27">
        <f>IF([1]Accounts!$D$28="","",[1]Accounts!$K$28)</f>
        <v/>
      </c>
      <c r="H27">
        <f>IF([1]Baskets!$B$28="","",[1]Baskets!$B$28)</f>
        <v/>
      </c>
      <c r="J27">
        <f>IF([2]Entry!$C$30="","",[2]Entry!$C$30)</f>
        <v/>
      </c>
      <c r="K27">
        <f>IF([2]Entry!$D$30="","",[2]Entry!$D$30)</f>
        <v/>
      </c>
      <c r="L27">
        <f>IF([2]Entry!$E$30="","",[2]Entry!$E$30)</f>
        <v/>
      </c>
      <c r="M27">
        <f>IF([2]Entry!$G$30="","",[2]Entry!$G$30)</f>
        <v/>
      </c>
      <c r="N27">
        <f>IF([2]Entry!$M$30="","",[2]Entry!$M$30)</f>
        <v/>
      </c>
      <c r="O27">
        <f>IF([2]Entry!$N$30="","",[2]Entry!$N$30)</f>
        <v/>
      </c>
      <c r="P27">
        <f>IF([2]Entry!$R$30="","",[2]Entry!$R$30)</f>
        <v/>
      </c>
    </row>
    <row r="28">
      <c r="A28">
        <f>IF([1]Accounts!$D$29="","",[1]Accounts!$A$29)</f>
        <v/>
      </c>
      <c r="B28">
        <f>IF([1]Accounts!$D$29="","",[1]Accounts!$B$29)</f>
        <v/>
      </c>
      <c r="C28">
        <f>IF([1]Accounts!$D$29="","",[1]Accounts!$C$29)</f>
        <v/>
      </c>
      <c r="D28">
        <f>IF([1]Accounts!$D$29="","",[1]Accounts!$D$29)</f>
        <v/>
      </c>
      <c r="E28">
        <f>IF([1]Accounts!$D$29="","",[1]Accounts!$J$29)</f>
        <v/>
      </c>
      <c r="F28">
        <f>IF([1]Accounts!$D$29="","",[1]Accounts!$K$29)</f>
        <v/>
      </c>
      <c r="H28">
        <f>IF([1]Baskets!$B$29="","",[1]Baskets!$B$29)</f>
        <v/>
      </c>
      <c r="J28">
        <f>IF([2]Entry!$C$31="","",[2]Entry!$C$31)</f>
        <v/>
      </c>
      <c r="K28">
        <f>IF([2]Entry!$D$31="","",[2]Entry!$D$31)</f>
        <v/>
      </c>
      <c r="L28">
        <f>IF([2]Entry!$E$31="","",[2]Entry!$E$31)</f>
        <v/>
      </c>
      <c r="M28">
        <f>IF([2]Entry!$G$31="","",[2]Entry!$G$31)</f>
        <v/>
      </c>
      <c r="N28">
        <f>IF([2]Entry!$M$31="","",[2]Entry!$M$31)</f>
        <v/>
      </c>
      <c r="O28">
        <f>IF([2]Entry!$N$31="","",[2]Entry!$N$31)</f>
        <v/>
      </c>
      <c r="P28">
        <f>IF([2]Entry!$R$31="","",[2]Entry!$R$31)</f>
        <v/>
      </c>
    </row>
    <row r="29">
      <c r="A29">
        <f>IF([1]Accounts!$D$30="","",[1]Accounts!$A$30)</f>
        <v/>
      </c>
      <c r="B29">
        <f>IF([1]Accounts!$D$30="","",[1]Accounts!$B$30)</f>
        <v/>
      </c>
      <c r="C29">
        <f>IF([1]Accounts!$D$30="","",[1]Accounts!$C$30)</f>
        <v/>
      </c>
      <c r="D29">
        <f>IF([1]Accounts!$D$30="","",[1]Accounts!$D$30)</f>
        <v/>
      </c>
      <c r="E29">
        <f>IF([1]Accounts!$D$30="","",[1]Accounts!$J$30)</f>
        <v/>
      </c>
      <c r="F29">
        <f>IF([1]Accounts!$D$30="","",[1]Accounts!$K$30)</f>
        <v/>
      </c>
      <c r="H29">
        <f>IF([1]Baskets!$B$30="","",[1]Baskets!$B$30)</f>
        <v/>
      </c>
      <c r="J29">
        <f>IF([2]Entry!$C$32="","",[2]Entry!$C$32)</f>
        <v/>
      </c>
      <c r="K29">
        <f>IF([2]Entry!$D$32="","",[2]Entry!$D$32)</f>
        <v/>
      </c>
      <c r="L29">
        <f>IF([2]Entry!$E$32="","",[2]Entry!$E$32)</f>
        <v/>
      </c>
      <c r="M29">
        <f>IF([2]Entry!$G$32="","",[2]Entry!$G$32)</f>
        <v/>
      </c>
      <c r="N29">
        <f>IF([2]Entry!$M$32="","",[2]Entry!$M$32)</f>
        <v/>
      </c>
      <c r="O29">
        <f>IF([2]Entry!$N$32="","",[2]Entry!$N$32)</f>
        <v/>
      </c>
      <c r="P29">
        <f>IF([2]Entry!$R$32="","",[2]Entry!$R$32)</f>
        <v/>
      </c>
    </row>
    <row r="30">
      <c r="A30">
        <f>IF([1]Accounts!$D$31="","",[1]Accounts!$A$31)</f>
        <v/>
      </c>
      <c r="B30">
        <f>IF([1]Accounts!$D$31="","",[1]Accounts!$B$31)</f>
        <v/>
      </c>
      <c r="C30">
        <f>IF([1]Accounts!$D$31="","",[1]Accounts!$C$31)</f>
        <v/>
      </c>
      <c r="D30">
        <f>IF([1]Accounts!$D$31="","",[1]Accounts!$D$31)</f>
        <v/>
      </c>
      <c r="E30">
        <f>IF([1]Accounts!$D$31="","",[1]Accounts!$J$31)</f>
        <v/>
      </c>
      <c r="F30">
        <f>IF([1]Accounts!$D$31="","",[1]Accounts!$K$31)</f>
        <v/>
      </c>
      <c r="H30">
        <f>IF([1]Baskets!$B$31="","",[1]Baskets!$B$31)</f>
        <v/>
      </c>
      <c r="J30">
        <f>IF([2]Entry!$C$33="","",[2]Entry!$C$33)</f>
        <v/>
      </c>
      <c r="K30">
        <f>IF([2]Entry!$D$33="","",[2]Entry!$D$33)</f>
        <v/>
      </c>
      <c r="L30">
        <f>IF([2]Entry!$E$33="","",[2]Entry!$E$33)</f>
        <v/>
      </c>
      <c r="M30">
        <f>IF([2]Entry!$G$33="","",[2]Entry!$G$33)</f>
        <v/>
      </c>
      <c r="N30">
        <f>IF([2]Entry!$M$33="","",[2]Entry!$M$33)</f>
        <v/>
      </c>
      <c r="O30">
        <f>IF([2]Entry!$N$33="","",[2]Entry!$N$33)</f>
        <v/>
      </c>
      <c r="P30">
        <f>IF([2]Entry!$R$33="","",[2]Entry!$R$33)</f>
        <v/>
      </c>
    </row>
    <row r="31">
      <c r="A31">
        <f>IF([1]Accounts!$D$32="","",[1]Accounts!$A$32)</f>
        <v/>
      </c>
      <c r="B31">
        <f>IF([1]Accounts!$D$32="","",[1]Accounts!$B$32)</f>
        <v/>
      </c>
      <c r="C31">
        <f>IF([1]Accounts!$D$32="","",[1]Accounts!$C$32)</f>
        <v/>
      </c>
      <c r="D31">
        <f>IF([1]Accounts!$D$32="","",[1]Accounts!$D$32)</f>
        <v/>
      </c>
      <c r="E31">
        <f>IF([1]Accounts!$D$32="","",[1]Accounts!$J$32)</f>
        <v/>
      </c>
      <c r="F31">
        <f>IF([1]Accounts!$D$32="","",[1]Accounts!$K$32)</f>
        <v/>
      </c>
      <c r="H31">
        <f>IF([1]Baskets!$B$32="","",[1]Baskets!$B$32)</f>
        <v/>
      </c>
      <c r="J31">
        <f>IF([2]Entry!$C$34="","",[2]Entry!$C$34)</f>
        <v/>
      </c>
      <c r="K31">
        <f>IF([2]Entry!$D$34="","",[2]Entry!$D$34)</f>
        <v/>
      </c>
      <c r="L31">
        <f>IF([2]Entry!$E$34="","",[2]Entry!$E$34)</f>
        <v/>
      </c>
      <c r="M31">
        <f>IF([2]Entry!$G$34="","",[2]Entry!$G$34)</f>
        <v/>
      </c>
      <c r="N31">
        <f>IF([2]Entry!$M$34="","",[2]Entry!$M$34)</f>
        <v/>
      </c>
      <c r="O31">
        <f>IF([2]Entry!$N$34="","",[2]Entry!$N$34)</f>
        <v/>
      </c>
      <c r="P31">
        <f>IF([2]Entry!$R$34="","",[2]Entry!$R$34)</f>
        <v/>
      </c>
    </row>
    <row r="32">
      <c r="A32">
        <f>IF([1]Accounts!$D$33="","",[1]Accounts!$A$33)</f>
        <v/>
      </c>
      <c r="B32">
        <f>IF([1]Accounts!$D$33="","",[1]Accounts!$B$33)</f>
        <v/>
      </c>
      <c r="C32">
        <f>IF([1]Accounts!$D$33="","",[1]Accounts!$C$33)</f>
        <v/>
      </c>
      <c r="D32">
        <f>IF([1]Accounts!$D$33="","",[1]Accounts!$D$33)</f>
        <v/>
      </c>
      <c r="E32">
        <f>IF([1]Accounts!$D$33="","",[1]Accounts!$J$33)</f>
        <v/>
      </c>
      <c r="F32">
        <f>IF([1]Accounts!$D$33="","",[1]Accounts!$K$33)</f>
        <v/>
      </c>
      <c r="H32">
        <f>IF([1]Baskets!$B$33="","",[1]Baskets!$B$33)</f>
        <v/>
      </c>
      <c r="J32">
        <f>IF([2]Entry!$C$35="","",[2]Entry!$C$35)</f>
        <v/>
      </c>
      <c r="K32">
        <f>IF([2]Entry!$D$35="","",[2]Entry!$D$35)</f>
        <v/>
      </c>
      <c r="L32">
        <f>IF([2]Entry!$E$35="","",[2]Entry!$E$35)</f>
        <v/>
      </c>
      <c r="M32">
        <f>IF([2]Entry!$G$35="","",[2]Entry!$G$35)</f>
        <v/>
      </c>
      <c r="N32">
        <f>IF([2]Entry!$M$35="","",[2]Entry!$M$35)</f>
        <v/>
      </c>
      <c r="O32">
        <f>IF([2]Entry!$N$35="","",[2]Entry!$N$35)</f>
        <v/>
      </c>
      <c r="P32">
        <f>IF([2]Entry!$R$35="","",[2]Entry!$R$35)</f>
        <v/>
      </c>
    </row>
    <row r="33">
      <c r="A33">
        <f>IF([1]Accounts!$D$34="","",[1]Accounts!$A$34)</f>
        <v/>
      </c>
      <c r="B33">
        <f>IF([1]Accounts!$D$34="","",[1]Accounts!$B$34)</f>
        <v/>
      </c>
      <c r="C33">
        <f>IF([1]Accounts!$D$34="","",[1]Accounts!$C$34)</f>
        <v/>
      </c>
      <c r="D33">
        <f>IF([1]Accounts!$D$34="","",[1]Accounts!$D$34)</f>
        <v/>
      </c>
      <c r="E33">
        <f>IF([1]Accounts!$D$34="","",[1]Accounts!$J$34)</f>
        <v/>
      </c>
      <c r="F33">
        <f>IF([1]Accounts!$D$34="","",[1]Accounts!$K$34)</f>
        <v/>
      </c>
      <c r="H33">
        <f>IF([1]Baskets!$B$34="","",[1]Baskets!$B$34)</f>
        <v/>
      </c>
      <c r="J33">
        <f>IF([2]Entry!$C$36="","",[2]Entry!$C$36)</f>
        <v/>
      </c>
      <c r="K33">
        <f>IF([2]Entry!$D$36="","",[2]Entry!$D$36)</f>
        <v/>
      </c>
      <c r="L33">
        <f>IF([2]Entry!$E$36="","",[2]Entry!$E$36)</f>
        <v/>
      </c>
      <c r="M33">
        <f>IF([2]Entry!$G$36="","",[2]Entry!$G$36)</f>
        <v/>
      </c>
      <c r="N33">
        <f>IF([2]Entry!$M$36="","",[2]Entry!$M$36)</f>
        <v/>
      </c>
      <c r="O33">
        <f>IF([2]Entry!$N$36="","",[2]Entry!$N$36)</f>
        <v/>
      </c>
      <c r="P33">
        <f>IF([2]Entry!$R$36="","",[2]Entry!$R$36)</f>
        <v/>
      </c>
    </row>
    <row r="34">
      <c r="A34">
        <f>IF([1]Accounts!$D$35="","",[1]Accounts!$A$35)</f>
        <v/>
      </c>
      <c r="B34">
        <f>IF([1]Accounts!$D$35="","",[1]Accounts!$B$35)</f>
        <v/>
      </c>
      <c r="C34">
        <f>IF([1]Accounts!$D$35="","",[1]Accounts!$C$35)</f>
        <v/>
      </c>
      <c r="D34">
        <f>IF([1]Accounts!$D$35="","",[1]Accounts!$D$35)</f>
        <v/>
      </c>
      <c r="E34">
        <f>IF([1]Accounts!$D$35="","",[1]Accounts!$J$35)</f>
        <v/>
      </c>
      <c r="F34">
        <f>IF([1]Accounts!$D$35="","",[1]Accounts!$K$35)</f>
        <v/>
      </c>
      <c r="H34">
        <f>IF([1]Baskets!$B$35="","",[1]Baskets!$B$35)</f>
        <v/>
      </c>
      <c r="J34">
        <f>IF([2]Entry!$C$37="","",[2]Entry!$C$37)</f>
        <v/>
      </c>
      <c r="K34">
        <f>IF([2]Entry!$D$37="","",[2]Entry!$D$37)</f>
        <v/>
      </c>
      <c r="L34">
        <f>IF([2]Entry!$E$37="","",[2]Entry!$E$37)</f>
        <v/>
      </c>
      <c r="M34">
        <f>IF([2]Entry!$G$37="","",[2]Entry!$G$37)</f>
        <v/>
      </c>
      <c r="N34">
        <f>IF([2]Entry!$M$37="","",[2]Entry!$M$37)</f>
        <v/>
      </c>
      <c r="O34">
        <f>IF([2]Entry!$N$37="","",[2]Entry!$N$37)</f>
        <v/>
      </c>
      <c r="P34">
        <f>IF([2]Entry!$R$37="","",[2]Entry!$R$37)</f>
        <v/>
      </c>
    </row>
    <row r="35">
      <c r="A35">
        <f>IF([1]Accounts!$D$36="","",[1]Accounts!$A$36)</f>
        <v/>
      </c>
      <c r="B35">
        <f>IF([1]Accounts!$D$36="","",[1]Accounts!$B$36)</f>
        <v/>
      </c>
      <c r="C35">
        <f>IF([1]Accounts!$D$36="","",[1]Accounts!$C$36)</f>
        <v/>
      </c>
      <c r="D35">
        <f>IF([1]Accounts!$D$36="","",[1]Accounts!$D$36)</f>
        <v/>
      </c>
      <c r="E35">
        <f>IF([1]Accounts!$D$36="","",[1]Accounts!$J$36)</f>
        <v/>
      </c>
      <c r="F35">
        <f>IF([1]Accounts!$D$36="","",[1]Accounts!$K$36)</f>
        <v/>
      </c>
      <c r="H35">
        <f>IF([1]Baskets!$B$36="","",[1]Baskets!$B$36)</f>
        <v/>
      </c>
      <c r="J35">
        <f>IF([2]Entry!$C$38="","",[2]Entry!$C$38)</f>
        <v/>
      </c>
      <c r="K35">
        <f>IF([2]Entry!$D$38="","",[2]Entry!$D$38)</f>
        <v/>
      </c>
      <c r="L35">
        <f>IF([2]Entry!$E$38="","",[2]Entry!$E$38)</f>
        <v/>
      </c>
      <c r="M35">
        <f>IF([2]Entry!$G$38="","",[2]Entry!$G$38)</f>
        <v/>
      </c>
      <c r="N35">
        <f>IF([2]Entry!$M$38="","",[2]Entry!$M$38)</f>
        <v/>
      </c>
      <c r="O35">
        <f>IF([2]Entry!$N$38="","",[2]Entry!$N$38)</f>
        <v/>
      </c>
      <c r="P35">
        <f>IF([2]Entry!$R$38="","",[2]Entry!$R$38)</f>
        <v/>
      </c>
    </row>
    <row r="36">
      <c r="A36">
        <f>IF([1]Accounts!$D$37="","",[1]Accounts!$A$37)</f>
        <v/>
      </c>
      <c r="B36">
        <f>IF([1]Accounts!$D$37="","",[1]Accounts!$B$37)</f>
        <v/>
      </c>
      <c r="C36">
        <f>IF([1]Accounts!$D$37="","",[1]Accounts!$C$37)</f>
        <v/>
      </c>
      <c r="D36">
        <f>IF([1]Accounts!$D$37="","",[1]Accounts!$D$37)</f>
        <v/>
      </c>
      <c r="E36">
        <f>IF([1]Accounts!$D$37="","",[1]Accounts!$J$37)</f>
        <v/>
      </c>
      <c r="F36">
        <f>IF([1]Accounts!$D$37="","",[1]Accounts!$K$37)</f>
        <v/>
      </c>
      <c r="J36">
        <f>IF([2]Entry!$C$39="","",[2]Entry!$C$39)</f>
        <v/>
      </c>
      <c r="K36">
        <f>IF([2]Entry!$D$39="","",[2]Entry!$D$39)</f>
        <v/>
      </c>
      <c r="L36">
        <f>IF([2]Entry!$E$39="","",[2]Entry!$E$39)</f>
        <v/>
      </c>
      <c r="M36">
        <f>IF([2]Entry!$G$39="","",[2]Entry!$G$39)</f>
        <v/>
      </c>
      <c r="N36">
        <f>IF([2]Entry!$M$39="","",[2]Entry!$M$39)</f>
        <v/>
      </c>
      <c r="O36">
        <f>IF([2]Entry!$N$39="","",[2]Entry!$N$39)</f>
        <v/>
      </c>
      <c r="P36">
        <f>IF([2]Entry!$R$39="","",[2]Entry!$R$39)</f>
        <v/>
      </c>
    </row>
    <row r="37">
      <c r="A37">
        <f>IF([1]Accounts!$D$38="","",[1]Accounts!$A$38)</f>
        <v/>
      </c>
      <c r="B37">
        <f>IF([1]Accounts!$D$38="","",[1]Accounts!$B$38)</f>
        <v/>
      </c>
      <c r="C37">
        <f>IF([1]Accounts!$D$38="","",[1]Accounts!$C$38)</f>
        <v/>
      </c>
      <c r="D37">
        <f>IF([1]Accounts!$D$38="","",[1]Accounts!$D$38)</f>
        <v/>
      </c>
      <c r="E37">
        <f>IF([1]Accounts!$D$38="","",[1]Accounts!$J$38)</f>
        <v/>
      </c>
      <c r="F37">
        <f>IF([1]Accounts!$D$38="","",[1]Accounts!$K$38)</f>
        <v/>
      </c>
      <c r="J37">
        <f>IF([2]Entry!$C$40="","",[2]Entry!$C$40)</f>
        <v/>
      </c>
      <c r="K37">
        <f>IF([2]Entry!$D$40="","",[2]Entry!$D$40)</f>
        <v/>
      </c>
      <c r="L37">
        <f>IF([2]Entry!$E$40="","",[2]Entry!$E$40)</f>
        <v/>
      </c>
      <c r="M37">
        <f>IF([2]Entry!$G$40="","",[2]Entry!$G$40)</f>
        <v/>
      </c>
      <c r="N37">
        <f>IF([2]Entry!$M$40="","",[2]Entry!$M$40)</f>
        <v/>
      </c>
      <c r="O37">
        <f>IF([2]Entry!$N$40="","",[2]Entry!$N$40)</f>
        <v/>
      </c>
      <c r="P37">
        <f>IF([2]Entry!$R$40="","",[2]Entry!$R$40)</f>
        <v/>
      </c>
    </row>
    <row r="38">
      <c r="A38">
        <f>IF([1]Accounts!$D$39="","",[1]Accounts!$A$39)</f>
        <v/>
      </c>
      <c r="B38">
        <f>IF([1]Accounts!$D$39="","",[1]Accounts!$B$39)</f>
        <v/>
      </c>
      <c r="C38">
        <f>IF([1]Accounts!$D$39="","",[1]Accounts!$C$39)</f>
        <v/>
      </c>
      <c r="D38">
        <f>IF([1]Accounts!$D$39="","",[1]Accounts!$D$39)</f>
        <v/>
      </c>
      <c r="E38">
        <f>IF([1]Accounts!$D$39="","",[1]Accounts!$J$39)</f>
        <v/>
      </c>
      <c r="F38">
        <f>IF([1]Accounts!$D$39="","",[1]Accounts!$K$39)</f>
        <v/>
      </c>
      <c r="J38">
        <f>IF([2]Entry!$C$41="","",[2]Entry!$C$41)</f>
        <v/>
      </c>
      <c r="K38">
        <f>IF([2]Entry!$D$41="","",[2]Entry!$D$41)</f>
        <v/>
      </c>
      <c r="L38">
        <f>IF([2]Entry!$E$41="","",[2]Entry!$E$41)</f>
        <v/>
      </c>
      <c r="M38">
        <f>IF([2]Entry!$G$41="","",[2]Entry!$G$41)</f>
        <v/>
      </c>
      <c r="N38">
        <f>IF([2]Entry!$M$41="","",[2]Entry!$M$41)</f>
        <v/>
      </c>
      <c r="O38">
        <f>IF([2]Entry!$N$41="","",[2]Entry!$N$41)</f>
        <v/>
      </c>
      <c r="P38">
        <f>IF([2]Entry!$R$41="","",[2]Entry!$R$41)</f>
        <v/>
      </c>
    </row>
    <row r="39">
      <c r="A39">
        <f>IF([1]Accounts!$D$40="","",[1]Accounts!$A$40)</f>
        <v/>
      </c>
      <c r="B39">
        <f>IF([1]Accounts!$D$40="","",[1]Accounts!$B$40)</f>
        <v/>
      </c>
      <c r="C39">
        <f>IF([1]Accounts!$D$40="","",[1]Accounts!$C$40)</f>
        <v/>
      </c>
      <c r="D39">
        <f>IF([1]Accounts!$D$40="","",[1]Accounts!$D$40)</f>
        <v/>
      </c>
      <c r="E39">
        <f>IF([1]Accounts!$D$40="","",[1]Accounts!$J$40)</f>
        <v/>
      </c>
      <c r="F39">
        <f>IF([1]Accounts!$D$40="","",[1]Accounts!$K$40)</f>
        <v/>
      </c>
      <c r="J39">
        <f>IF([2]Entry!$C$42="","",[2]Entry!$C$42)</f>
        <v/>
      </c>
      <c r="K39">
        <f>IF([2]Entry!$D$42="","",[2]Entry!$D$42)</f>
        <v/>
      </c>
      <c r="L39">
        <f>IF([2]Entry!$E$42="","",[2]Entry!$E$42)</f>
        <v/>
      </c>
      <c r="M39">
        <f>IF([2]Entry!$G$42="","",[2]Entry!$G$42)</f>
        <v/>
      </c>
      <c r="N39">
        <f>IF([2]Entry!$M$42="","",[2]Entry!$M$42)</f>
        <v/>
      </c>
      <c r="O39">
        <f>IF([2]Entry!$N$42="","",[2]Entry!$N$42)</f>
        <v/>
      </c>
      <c r="P39">
        <f>IF([2]Entry!$R$42="","",[2]Entry!$R$42)</f>
        <v/>
      </c>
    </row>
    <row r="40">
      <c r="A40">
        <f>IF([1]Accounts!$D$41="","",[1]Accounts!$A$41)</f>
        <v/>
      </c>
      <c r="B40">
        <f>IF([1]Accounts!$D$41="","",[1]Accounts!$B$41)</f>
        <v/>
      </c>
      <c r="C40">
        <f>IF([1]Accounts!$D$41="","",[1]Accounts!$C$41)</f>
        <v/>
      </c>
      <c r="D40">
        <f>IF([1]Accounts!$D$41="","",[1]Accounts!$D$41)</f>
        <v/>
      </c>
      <c r="E40">
        <f>IF([1]Accounts!$D$41="","",[1]Accounts!$J$41)</f>
        <v/>
      </c>
      <c r="F40">
        <f>IF([1]Accounts!$D$41="","",[1]Accounts!$K$41)</f>
        <v/>
      </c>
      <c r="J40">
        <f>IF([2]Entry!$C$43="","",[2]Entry!$C$43)</f>
        <v/>
      </c>
      <c r="K40">
        <f>IF([2]Entry!$D$43="","",[2]Entry!$D$43)</f>
        <v/>
      </c>
      <c r="L40">
        <f>IF([2]Entry!$E$43="","",[2]Entry!$E$43)</f>
        <v/>
      </c>
      <c r="M40">
        <f>IF([2]Entry!$G$43="","",[2]Entry!$G$43)</f>
        <v/>
      </c>
      <c r="N40">
        <f>IF([2]Entry!$M$43="","",[2]Entry!$M$43)</f>
        <v/>
      </c>
      <c r="O40">
        <f>IF([2]Entry!$N$43="","",[2]Entry!$N$43)</f>
        <v/>
      </c>
      <c r="P40">
        <f>IF([2]Entry!$R$43="","",[2]Entry!$R$43)</f>
        <v/>
      </c>
    </row>
    <row r="41">
      <c r="A41">
        <f>IF([1]Accounts!$D$42="","",[1]Accounts!$A$42)</f>
        <v/>
      </c>
      <c r="B41">
        <f>IF([1]Accounts!$D$42="","",[1]Accounts!$B$42)</f>
        <v/>
      </c>
      <c r="C41">
        <f>IF([1]Accounts!$D$42="","",[1]Accounts!$C$42)</f>
        <v/>
      </c>
      <c r="D41">
        <f>IF([1]Accounts!$D$42="","",[1]Accounts!$D$42)</f>
        <v/>
      </c>
      <c r="E41">
        <f>IF([1]Accounts!$D$42="","",[1]Accounts!$J$42)</f>
        <v/>
      </c>
      <c r="F41">
        <f>IF([1]Accounts!$D$42="","",[1]Accounts!$K$42)</f>
        <v/>
      </c>
      <c r="J41">
        <f>IF([2]Entry!$C$44="","",[2]Entry!$C$44)</f>
        <v/>
      </c>
      <c r="K41">
        <f>IF([2]Entry!$D$44="","",[2]Entry!$D$44)</f>
        <v/>
      </c>
      <c r="L41">
        <f>IF([2]Entry!$E$44="","",[2]Entry!$E$44)</f>
        <v/>
      </c>
      <c r="M41">
        <f>IF([2]Entry!$G$44="","",[2]Entry!$G$44)</f>
        <v/>
      </c>
      <c r="N41">
        <f>IF([2]Entry!$M$44="","",[2]Entry!$M$44)</f>
        <v/>
      </c>
      <c r="O41">
        <f>IF([2]Entry!$N$44="","",[2]Entry!$N$44)</f>
        <v/>
      </c>
      <c r="P41">
        <f>IF([2]Entry!$R$44="","",[2]Entry!$R$44)</f>
        <v/>
      </c>
    </row>
    <row r="42">
      <c r="A42">
        <f>IF([1]Accounts!$D$43="","",[1]Accounts!$A$43)</f>
        <v/>
      </c>
      <c r="B42">
        <f>IF([1]Accounts!$D$43="","",[1]Accounts!$B$43)</f>
        <v/>
      </c>
      <c r="C42">
        <f>IF([1]Accounts!$D$43="","",[1]Accounts!$C$43)</f>
        <v/>
      </c>
      <c r="D42">
        <f>IF([1]Accounts!$D$43="","",[1]Accounts!$D$43)</f>
        <v/>
      </c>
      <c r="E42">
        <f>IF([1]Accounts!$D$43="","",[1]Accounts!$J$43)</f>
        <v/>
      </c>
      <c r="F42">
        <f>IF([1]Accounts!$D$43="","",[1]Accounts!$K$43)</f>
        <v/>
      </c>
      <c r="J42">
        <f>IF([2]Entry!$C$45="","",[2]Entry!$C$45)</f>
        <v/>
      </c>
      <c r="K42">
        <f>IF([2]Entry!$D$45="","",[2]Entry!$D$45)</f>
        <v/>
      </c>
      <c r="L42">
        <f>IF([2]Entry!$E$45="","",[2]Entry!$E$45)</f>
        <v/>
      </c>
      <c r="M42">
        <f>IF([2]Entry!$G$45="","",[2]Entry!$G$45)</f>
        <v/>
      </c>
      <c r="N42">
        <f>IF([2]Entry!$M$45="","",[2]Entry!$M$45)</f>
        <v/>
      </c>
      <c r="O42">
        <f>IF([2]Entry!$N$45="","",[2]Entry!$N$45)</f>
        <v/>
      </c>
      <c r="P42">
        <f>IF([2]Entry!$R$45="","",[2]Entry!$R$45)</f>
        <v/>
      </c>
    </row>
    <row r="43">
      <c r="A43">
        <f>IF([1]Accounts!$D$44="","",[1]Accounts!$A$44)</f>
        <v/>
      </c>
      <c r="B43">
        <f>IF([1]Accounts!$D$44="","",[1]Accounts!$B$44)</f>
        <v/>
      </c>
      <c r="C43">
        <f>IF([1]Accounts!$D$44="","",[1]Accounts!$C$44)</f>
        <v/>
      </c>
      <c r="D43">
        <f>IF([1]Accounts!$D$44="","",[1]Accounts!$D$44)</f>
        <v/>
      </c>
      <c r="E43">
        <f>IF([1]Accounts!$D$44="","",[1]Accounts!$J$44)</f>
        <v/>
      </c>
      <c r="F43">
        <f>IF([1]Accounts!$D$44="","",[1]Accounts!$K$44)</f>
        <v/>
      </c>
      <c r="J43">
        <f>IF([2]Entry!$C$46="","",[2]Entry!$C$46)</f>
        <v/>
      </c>
      <c r="K43">
        <f>IF([2]Entry!$D$46="","",[2]Entry!$D$46)</f>
        <v/>
      </c>
      <c r="L43">
        <f>IF([2]Entry!$E$46="","",[2]Entry!$E$46)</f>
        <v/>
      </c>
      <c r="M43">
        <f>IF([2]Entry!$G$46="","",[2]Entry!$G$46)</f>
        <v/>
      </c>
      <c r="N43">
        <f>IF([2]Entry!$M$46="","",[2]Entry!$M$46)</f>
        <v/>
      </c>
      <c r="O43">
        <f>IF([2]Entry!$N$46="","",[2]Entry!$N$46)</f>
        <v/>
      </c>
      <c r="P43">
        <f>IF([2]Entry!$R$46="","",[2]Entry!$R$46)</f>
        <v/>
      </c>
    </row>
    <row r="44">
      <c r="A44">
        <f>IF([1]Accounts!$D$45="","",[1]Accounts!$A$45)</f>
        <v/>
      </c>
      <c r="B44">
        <f>IF([1]Accounts!$D$45="","",[1]Accounts!$B$45)</f>
        <v/>
      </c>
      <c r="C44">
        <f>IF([1]Accounts!$D$45="","",[1]Accounts!$C$45)</f>
        <v/>
      </c>
      <c r="D44">
        <f>IF([1]Accounts!$D$45="","",[1]Accounts!$D$45)</f>
        <v/>
      </c>
      <c r="E44">
        <f>IF([1]Accounts!$D$45="","",[1]Accounts!$J$45)</f>
        <v/>
      </c>
      <c r="F44">
        <f>IF([1]Accounts!$D$45="","",[1]Accounts!$K$45)</f>
        <v/>
      </c>
      <c r="J44">
        <f>IF([2]Entry!$C$47="","",[2]Entry!$C$47)</f>
        <v/>
      </c>
      <c r="K44">
        <f>IF([2]Entry!$D$47="","",[2]Entry!$D$47)</f>
        <v/>
      </c>
      <c r="L44">
        <f>IF([2]Entry!$E$47="","",[2]Entry!$E$47)</f>
        <v/>
      </c>
      <c r="M44">
        <f>IF([2]Entry!$G$47="","",[2]Entry!$G$47)</f>
        <v/>
      </c>
      <c r="N44">
        <f>IF([2]Entry!$M$47="","",[2]Entry!$M$47)</f>
        <v/>
      </c>
      <c r="O44">
        <f>IF([2]Entry!$N$47="","",[2]Entry!$N$47)</f>
        <v/>
      </c>
      <c r="P44">
        <f>IF([2]Entry!$R$47="","",[2]Entry!$R$47)</f>
        <v/>
      </c>
    </row>
    <row r="45">
      <c r="A45">
        <f>IF([1]Accounts!$D$46="","",[1]Accounts!$A$46)</f>
        <v/>
      </c>
      <c r="B45">
        <f>IF([1]Accounts!$D$46="","",[1]Accounts!$B$46)</f>
        <v/>
      </c>
      <c r="C45">
        <f>IF([1]Accounts!$D$46="","",[1]Accounts!$C$46)</f>
        <v/>
      </c>
      <c r="D45">
        <f>IF([1]Accounts!$D$46="","",[1]Accounts!$D$46)</f>
        <v/>
      </c>
      <c r="E45">
        <f>IF([1]Accounts!$D$46="","",[1]Accounts!$J$46)</f>
        <v/>
      </c>
      <c r="F45">
        <f>IF([1]Accounts!$D$46="","",[1]Accounts!$K$46)</f>
        <v/>
      </c>
      <c r="J45">
        <f>IF([2]Entry!$C$48="","",[2]Entry!$C$48)</f>
        <v/>
      </c>
      <c r="K45">
        <f>IF([2]Entry!$D$48="","",[2]Entry!$D$48)</f>
        <v/>
      </c>
      <c r="L45">
        <f>IF([2]Entry!$E$48="","",[2]Entry!$E$48)</f>
        <v/>
      </c>
      <c r="M45">
        <f>IF([2]Entry!$G$48="","",[2]Entry!$G$48)</f>
        <v/>
      </c>
      <c r="N45">
        <f>IF([2]Entry!$M$48="","",[2]Entry!$M$48)</f>
        <v/>
      </c>
      <c r="O45">
        <f>IF([2]Entry!$N$48="","",[2]Entry!$N$48)</f>
        <v/>
      </c>
      <c r="P45">
        <f>IF([2]Entry!$R$48="","",[2]Entry!$R$48)</f>
        <v/>
      </c>
    </row>
    <row r="46">
      <c r="A46">
        <f>IF([1]Accounts!$D$47="","",[1]Accounts!$A$47)</f>
        <v/>
      </c>
      <c r="B46">
        <f>IF([1]Accounts!$D$47="","",[1]Accounts!$B$47)</f>
        <v/>
      </c>
      <c r="C46">
        <f>IF([1]Accounts!$D$47="","",[1]Accounts!$C$47)</f>
        <v/>
      </c>
      <c r="D46">
        <f>IF([1]Accounts!$D$47="","",[1]Accounts!$D$47)</f>
        <v/>
      </c>
      <c r="E46">
        <f>IF([1]Accounts!$D$47="","",[1]Accounts!$J$47)</f>
        <v/>
      </c>
      <c r="F46">
        <f>IF([1]Accounts!$D$47="","",[1]Accounts!$K$47)</f>
        <v/>
      </c>
      <c r="J46">
        <f>IF([2]Entry!$C$49="","",[2]Entry!$C$49)</f>
        <v/>
      </c>
      <c r="K46">
        <f>IF([2]Entry!$D$49="","",[2]Entry!$D$49)</f>
        <v/>
      </c>
      <c r="L46">
        <f>IF([2]Entry!$E$49="","",[2]Entry!$E$49)</f>
        <v/>
      </c>
      <c r="M46">
        <f>IF([2]Entry!$G$49="","",[2]Entry!$G$49)</f>
        <v/>
      </c>
      <c r="N46">
        <f>IF([2]Entry!$M$49="","",[2]Entry!$M$49)</f>
        <v/>
      </c>
      <c r="O46">
        <f>IF([2]Entry!$N$49="","",[2]Entry!$N$49)</f>
        <v/>
      </c>
      <c r="P46">
        <f>IF([2]Entry!$R$49="","",[2]Entry!$R$49)</f>
        <v/>
      </c>
    </row>
    <row r="47">
      <c r="A47">
        <f>IF([1]Accounts!$D$48="","",[1]Accounts!$A$48)</f>
        <v/>
      </c>
      <c r="B47">
        <f>IF([1]Accounts!$D$48="","",[1]Accounts!$B$48)</f>
        <v/>
      </c>
      <c r="C47">
        <f>IF([1]Accounts!$D$48="","",[1]Accounts!$C$48)</f>
        <v/>
      </c>
      <c r="D47">
        <f>IF([1]Accounts!$D$48="","",[1]Accounts!$D$48)</f>
        <v/>
      </c>
      <c r="E47">
        <f>IF([1]Accounts!$D$48="","",[1]Accounts!$J$48)</f>
        <v/>
      </c>
      <c r="F47">
        <f>IF([1]Accounts!$D$48="","",[1]Accounts!$K$48)</f>
        <v/>
      </c>
      <c r="J47">
        <f>IF([2]Entry!$C$50="","",[2]Entry!$C$50)</f>
        <v/>
      </c>
      <c r="K47">
        <f>IF([2]Entry!$D$50="","",[2]Entry!$D$50)</f>
        <v/>
      </c>
      <c r="L47">
        <f>IF([2]Entry!$E$50="","",[2]Entry!$E$50)</f>
        <v/>
      </c>
      <c r="M47">
        <f>IF([2]Entry!$G$50="","",[2]Entry!$G$50)</f>
        <v/>
      </c>
      <c r="N47">
        <f>IF([2]Entry!$M$50="","",[2]Entry!$M$50)</f>
        <v/>
      </c>
      <c r="O47">
        <f>IF([2]Entry!$N$50="","",[2]Entry!$N$50)</f>
        <v/>
      </c>
      <c r="P47">
        <f>IF([2]Entry!$R$50="","",[2]Entry!$R$50)</f>
        <v/>
      </c>
    </row>
    <row r="48">
      <c r="A48">
        <f>IF([1]Accounts!$D$49="","",[1]Accounts!$A$49)</f>
        <v/>
      </c>
      <c r="B48">
        <f>IF([1]Accounts!$D$49="","",[1]Accounts!$B$49)</f>
        <v/>
      </c>
      <c r="C48">
        <f>IF([1]Accounts!$D$49="","",[1]Accounts!$C$49)</f>
        <v/>
      </c>
      <c r="D48">
        <f>IF([1]Accounts!$D$49="","",[1]Accounts!$D$49)</f>
        <v/>
      </c>
      <c r="E48">
        <f>IF([1]Accounts!$D$49="","",[1]Accounts!$J$49)</f>
        <v/>
      </c>
      <c r="F48">
        <f>IF([1]Accounts!$D$49="","",[1]Accounts!$K$49)</f>
        <v/>
      </c>
      <c r="J48">
        <f>IF([2]Entry!$C$51="","",[2]Entry!$C$51)</f>
        <v/>
      </c>
      <c r="K48">
        <f>IF([2]Entry!$D$51="","",[2]Entry!$D$51)</f>
        <v/>
      </c>
      <c r="L48">
        <f>IF([2]Entry!$E$51="","",[2]Entry!$E$51)</f>
        <v/>
      </c>
      <c r="M48">
        <f>IF([2]Entry!$G$51="","",[2]Entry!$G$51)</f>
        <v/>
      </c>
      <c r="N48">
        <f>IF([2]Entry!$M$51="","",[2]Entry!$M$51)</f>
        <v/>
      </c>
      <c r="O48">
        <f>IF([2]Entry!$N$51="","",[2]Entry!$N$51)</f>
        <v/>
      </c>
      <c r="P48">
        <f>IF([2]Entry!$R$51="","",[2]Entry!$R$51)</f>
        <v/>
      </c>
    </row>
    <row r="49">
      <c r="A49">
        <f>IF([1]Accounts!$D$50="","",[1]Accounts!$A$50)</f>
        <v/>
      </c>
      <c r="B49">
        <f>IF([1]Accounts!$D$50="","",[1]Accounts!$B$50)</f>
        <v/>
      </c>
      <c r="C49">
        <f>IF([1]Accounts!$D$50="","",[1]Accounts!$C$50)</f>
        <v/>
      </c>
      <c r="D49">
        <f>IF([1]Accounts!$D$50="","",[1]Accounts!$D$50)</f>
        <v/>
      </c>
      <c r="E49">
        <f>IF([1]Accounts!$D$50="","",[1]Accounts!$J$50)</f>
        <v/>
      </c>
      <c r="F49">
        <f>IF([1]Accounts!$D$50="","",[1]Accounts!$K$50)</f>
        <v/>
      </c>
      <c r="J49">
        <f>IF([2]Entry!$C$52="","",[2]Entry!$C$52)</f>
        <v/>
      </c>
      <c r="K49">
        <f>IF([2]Entry!$D$52="","",[2]Entry!$D$52)</f>
        <v/>
      </c>
      <c r="L49">
        <f>IF([2]Entry!$E$52="","",[2]Entry!$E$52)</f>
        <v/>
      </c>
      <c r="M49">
        <f>IF([2]Entry!$G$52="","",[2]Entry!$G$52)</f>
        <v/>
      </c>
      <c r="N49">
        <f>IF([2]Entry!$M$52="","",[2]Entry!$M$52)</f>
        <v/>
      </c>
      <c r="O49">
        <f>IF([2]Entry!$N$52="","",[2]Entry!$N$52)</f>
        <v/>
      </c>
      <c r="P49">
        <f>IF([2]Entry!$R$52="","",[2]Entry!$R$52)</f>
        <v/>
      </c>
    </row>
    <row r="50">
      <c r="A50">
        <f>IF([1]Accounts!$D$51="","",[1]Accounts!$A$51)</f>
        <v/>
      </c>
      <c r="B50">
        <f>IF([1]Accounts!$D$51="","",[1]Accounts!$B$51)</f>
        <v/>
      </c>
      <c r="C50">
        <f>IF([1]Accounts!$D$51="","",[1]Accounts!$C$51)</f>
        <v/>
      </c>
      <c r="D50">
        <f>IF([1]Accounts!$D$51="","",[1]Accounts!$D$51)</f>
        <v/>
      </c>
      <c r="E50">
        <f>IF([1]Accounts!$D$51="","",[1]Accounts!$J$51)</f>
        <v/>
      </c>
      <c r="F50">
        <f>IF([1]Accounts!$D$51="","",[1]Accounts!$K$51)</f>
        <v/>
      </c>
      <c r="J50">
        <f>IF([2]Entry!$C$53="","",[2]Entry!$C$53)</f>
        <v/>
      </c>
      <c r="K50">
        <f>IF([2]Entry!$D$53="","",[2]Entry!$D$53)</f>
        <v/>
      </c>
      <c r="L50">
        <f>IF([2]Entry!$E$53="","",[2]Entry!$E$53)</f>
        <v/>
      </c>
      <c r="M50">
        <f>IF([2]Entry!$G$53="","",[2]Entry!$G$53)</f>
        <v/>
      </c>
      <c r="N50">
        <f>IF([2]Entry!$M$53="","",[2]Entry!$M$53)</f>
        <v/>
      </c>
      <c r="O50">
        <f>IF([2]Entry!$N$53="","",[2]Entry!$N$53)</f>
        <v/>
      </c>
      <c r="P50">
        <f>IF([2]Entry!$R$53="","",[2]Entry!$R$53)</f>
        <v/>
      </c>
    </row>
    <row r="51">
      <c r="A51">
        <f>IF([1]Accounts!$D$52="","",[1]Accounts!$A$52)</f>
        <v/>
      </c>
      <c r="B51">
        <f>IF([1]Accounts!$D$52="","",[1]Accounts!$B$52)</f>
        <v/>
      </c>
      <c r="C51">
        <f>IF([1]Accounts!$D$52="","",[1]Accounts!$C$52)</f>
        <v/>
      </c>
      <c r="D51">
        <f>IF([1]Accounts!$D$52="","",[1]Accounts!$D$52)</f>
        <v/>
      </c>
      <c r="E51">
        <f>IF([1]Accounts!$D$52="","",[1]Accounts!$J$52)</f>
        <v/>
      </c>
      <c r="F51">
        <f>IF([1]Accounts!$D$52="","",[1]Accounts!$K$52)</f>
        <v/>
      </c>
      <c r="J51">
        <f>IF([2]Entry!$C$54="","",[2]Entry!$C$54)</f>
        <v/>
      </c>
      <c r="K51">
        <f>IF([2]Entry!$D$54="","",[2]Entry!$D$54)</f>
        <v/>
      </c>
      <c r="L51">
        <f>IF([2]Entry!$E$54="","",[2]Entry!$E$54)</f>
        <v/>
      </c>
      <c r="M51">
        <f>IF([2]Entry!$G$54="","",[2]Entry!$G$54)</f>
        <v/>
      </c>
      <c r="N51">
        <f>IF([2]Entry!$M$54="","",[2]Entry!$M$54)</f>
        <v/>
      </c>
      <c r="O51">
        <f>IF([2]Entry!$N$54="","",[2]Entry!$N$54)</f>
        <v/>
      </c>
      <c r="P51">
        <f>IF([2]Entry!$R$54="","",[2]Entry!$R$54)</f>
        <v/>
      </c>
    </row>
    <row r="52">
      <c r="A52">
        <f>IF([1]Accounts!$D$53="","",[1]Accounts!$A$53)</f>
        <v/>
      </c>
      <c r="B52">
        <f>IF([1]Accounts!$D$53="","",[1]Accounts!$B$53)</f>
        <v/>
      </c>
      <c r="C52">
        <f>IF([1]Accounts!$D$53="","",[1]Accounts!$C$53)</f>
        <v/>
      </c>
      <c r="D52">
        <f>IF([1]Accounts!$D$53="","",[1]Accounts!$D$53)</f>
        <v/>
      </c>
      <c r="E52">
        <f>IF([1]Accounts!$D$53="","",[1]Accounts!$J$53)</f>
        <v/>
      </c>
      <c r="F52">
        <f>IF([1]Accounts!$D$53="","",[1]Accounts!$K$53)</f>
        <v/>
      </c>
      <c r="J52">
        <f>IF([2]Entry!$C$55="","",[2]Entry!$C$55)</f>
        <v/>
      </c>
      <c r="K52">
        <f>IF([2]Entry!$D$55="","",[2]Entry!$D$55)</f>
        <v/>
      </c>
      <c r="L52">
        <f>IF([2]Entry!$E$55="","",[2]Entry!$E$55)</f>
        <v/>
      </c>
      <c r="M52">
        <f>IF([2]Entry!$G$55="","",[2]Entry!$G$55)</f>
        <v/>
      </c>
      <c r="N52">
        <f>IF([2]Entry!$M$55="","",[2]Entry!$M$55)</f>
        <v/>
      </c>
      <c r="O52">
        <f>IF([2]Entry!$N$55="","",[2]Entry!$N$55)</f>
        <v/>
      </c>
      <c r="P52">
        <f>IF([2]Entry!$R$55="","",[2]Entry!$R$55)</f>
        <v/>
      </c>
    </row>
    <row r="53">
      <c r="A53">
        <f>IF([1]Accounts!$D$54="","",[1]Accounts!$A$54)</f>
        <v/>
      </c>
      <c r="B53">
        <f>IF([1]Accounts!$D$54="","",[1]Accounts!$B$54)</f>
        <v/>
      </c>
      <c r="C53">
        <f>IF([1]Accounts!$D$54="","",[1]Accounts!$C$54)</f>
        <v/>
      </c>
      <c r="D53">
        <f>IF([1]Accounts!$D$54="","",[1]Accounts!$D$54)</f>
        <v/>
      </c>
      <c r="E53">
        <f>IF([1]Accounts!$D$54="","",[1]Accounts!$J$54)</f>
        <v/>
      </c>
      <c r="F53">
        <f>IF([1]Accounts!$D$54="","",[1]Accounts!$K$54)</f>
        <v/>
      </c>
      <c r="J53">
        <f>IF([2]Entry!$C$56="","",[2]Entry!$C$56)</f>
        <v/>
      </c>
      <c r="K53">
        <f>IF([2]Entry!$D$56="","",[2]Entry!$D$56)</f>
        <v/>
      </c>
      <c r="L53">
        <f>IF([2]Entry!$E$56="","",[2]Entry!$E$56)</f>
        <v/>
      </c>
      <c r="M53">
        <f>IF([2]Entry!$G$56="","",[2]Entry!$G$56)</f>
        <v/>
      </c>
      <c r="N53">
        <f>IF([2]Entry!$M$56="","",[2]Entry!$M$56)</f>
        <v/>
      </c>
      <c r="O53">
        <f>IF([2]Entry!$N$56="","",[2]Entry!$N$56)</f>
        <v/>
      </c>
      <c r="P53">
        <f>IF([2]Entry!$R$56="","",[2]Entry!$R$56)</f>
        <v/>
      </c>
    </row>
    <row r="54">
      <c r="A54">
        <f>IF([1]Accounts!$D$55="","",[1]Accounts!$A$55)</f>
        <v/>
      </c>
      <c r="B54">
        <f>IF([1]Accounts!$D$55="","",[1]Accounts!$B$55)</f>
        <v/>
      </c>
      <c r="C54">
        <f>IF([1]Accounts!$D$55="","",[1]Accounts!$C$55)</f>
        <v/>
      </c>
      <c r="D54">
        <f>IF([1]Accounts!$D$55="","",[1]Accounts!$D$55)</f>
        <v/>
      </c>
      <c r="E54">
        <f>IF([1]Accounts!$D$55="","",[1]Accounts!$J$55)</f>
        <v/>
      </c>
      <c r="F54">
        <f>IF([1]Accounts!$D$55="","",[1]Accounts!$K$55)</f>
        <v/>
      </c>
      <c r="J54">
        <f>IF([2]Entry!$C$57="","",[2]Entry!$C$57)</f>
        <v/>
      </c>
      <c r="K54">
        <f>IF([2]Entry!$D$57="","",[2]Entry!$D$57)</f>
        <v/>
      </c>
      <c r="L54">
        <f>IF([2]Entry!$E$57="","",[2]Entry!$E$57)</f>
        <v/>
      </c>
      <c r="M54">
        <f>IF([2]Entry!$G$57="","",[2]Entry!$G$57)</f>
        <v/>
      </c>
      <c r="N54">
        <f>IF([2]Entry!$M$57="","",[2]Entry!$M$57)</f>
        <v/>
      </c>
      <c r="O54">
        <f>IF([2]Entry!$N$57="","",[2]Entry!$N$57)</f>
        <v/>
      </c>
      <c r="P54">
        <f>IF([2]Entry!$R$57="","",[2]Entry!$R$57)</f>
        <v/>
      </c>
    </row>
    <row r="55">
      <c r="A55">
        <f>IF([1]Accounts!$D$56="","",[1]Accounts!$A$56)</f>
        <v/>
      </c>
      <c r="B55">
        <f>IF([1]Accounts!$D$56="","",[1]Accounts!$B$56)</f>
        <v/>
      </c>
      <c r="C55">
        <f>IF([1]Accounts!$D$56="","",[1]Accounts!$C$56)</f>
        <v/>
      </c>
      <c r="D55">
        <f>IF([1]Accounts!$D$56="","",[1]Accounts!$D$56)</f>
        <v/>
      </c>
      <c r="E55">
        <f>IF([1]Accounts!$D$56="","",[1]Accounts!$J$56)</f>
        <v/>
      </c>
      <c r="F55">
        <f>IF([1]Accounts!$D$56="","",[1]Accounts!$K$56)</f>
        <v/>
      </c>
      <c r="J55">
        <f>IF([2]Entry!$C$58="","",[2]Entry!$C$58)</f>
        <v/>
      </c>
      <c r="K55">
        <f>IF([2]Entry!$D$58="","",[2]Entry!$D$58)</f>
        <v/>
      </c>
      <c r="L55">
        <f>IF([2]Entry!$E$58="","",[2]Entry!$E$58)</f>
        <v/>
      </c>
      <c r="M55">
        <f>IF([2]Entry!$G$58="","",[2]Entry!$G$58)</f>
        <v/>
      </c>
      <c r="N55">
        <f>IF([2]Entry!$M$58="","",[2]Entry!$M$58)</f>
        <v/>
      </c>
      <c r="O55">
        <f>IF([2]Entry!$N$58="","",[2]Entry!$N$58)</f>
        <v/>
      </c>
      <c r="P55">
        <f>IF([2]Entry!$R$58="","",[2]Entry!$R$58)</f>
        <v/>
      </c>
    </row>
    <row r="56">
      <c r="A56">
        <f>IF([1]Accounts!$D$57="","",[1]Accounts!$A$57)</f>
        <v/>
      </c>
      <c r="B56">
        <f>IF([1]Accounts!$D$57="","",[1]Accounts!$B$57)</f>
        <v/>
      </c>
      <c r="C56">
        <f>IF([1]Accounts!$D$57="","",[1]Accounts!$C$57)</f>
        <v/>
      </c>
      <c r="D56">
        <f>IF([1]Accounts!$D$57="","",[1]Accounts!$D$57)</f>
        <v/>
      </c>
      <c r="E56">
        <f>IF([1]Accounts!$D$57="","",[1]Accounts!$J$57)</f>
        <v/>
      </c>
      <c r="F56">
        <f>IF([1]Accounts!$D$57="","",[1]Accounts!$K$57)</f>
        <v/>
      </c>
      <c r="J56">
        <f>IF([2]Entry!$C$59="","",[2]Entry!$C$59)</f>
        <v/>
      </c>
      <c r="K56">
        <f>IF([2]Entry!$D$59="","",[2]Entry!$D$59)</f>
        <v/>
      </c>
      <c r="L56">
        <f>IF([2]Entry!$E$59="","",[2]Entry!$E$59)</f>
        <v/>
      </c>
      <c r="M56">
        <f>IF([2]Entry!$G$59="","",[2]Entry!$G$59)</f>
        <v/>
      </c>
      <c r="N56">
        <f>IF([2]Entry!$M$59="","",[2]Entry!$M$59)</f>
        <v/>
      </c>
      <c r="O56">
        <f>IF([2]Entry!$N$59="","",[2]Entry!$N$59)</f>
        <v/>
      </c>
      <c r="P56">
        <f>IF([2]Entry!$R$59="","",[2]Entry!$R$59)</f>
        <v/>
      </c>
    </row>
    <row r="57">
      <c r="A57">
        <f>IF([1]Accounts!$D$58="","",[1]Accounts!$A$58)</f>
        <v/>
      </c>
      <c r="B57">
        <f>IF([1]Accounts!$D$58="","",[1]Accounts!$B$58)</f>
        <v/>
      </c>
      <c r="C57">
        <f>IF([1]Accounts!$D$58="","",[1]Accounts!$C$58)</f>
        <v/>
      </c>
      <c r="D57">
        <f>IF([1]Accounts!$D$58="","",[1]Accounts!$D$58)</f>
        <v/>
      </c>
      <c r="E57">
        <f>IF([1]Accounts!$D$58="","",[1]Accounts!$J$58)</f>
        <v/>
      </c>
      <c r="F57">
        <f>IF([1]Accounts!$D$58="","",[1]Accounts!$K$58)</f>
        <v/>
      </c>
      <c r="J57">
        <f>IF([2]Entry!$C$60="","",[2]Entry!$C$60)</f>
        <v/>
      </c>
      <c r="K57">
        <f>IF([2]Entry!$D$60="","",[2]Entry!$D$60)</f>
        <v/>
      </c>
      <c r="L57">
        <f>IF([2]Entry!$E$60="","",[2]Entry!$E$60)</f>
        <v/>
      </c>
      <c r="M57">
        <f>IF([2]Entry!$G$60="","",[2]Entry!$G$60)</f>
        <v/>
      </c>
      <c r="N57">
        <f>IF([2]Entry!$M$60="","",[2]Entry!$M$60)</f>
        <v/>
      </c>
      <c r="O57">
        <f>IF([2]Entry!$N$60="","",[2]Entry!$N$60)</f>
        <v/>
      </c>
      <c r="P57">
        <f>IF([2]Entry!$R$60="","",[2]Entry!$R$60)</f>
        <v/>
      </c>
    </row>
    <row r="58">
      <c r="A58">
        <f>IF([1]Accounts!$D$59="","",[1]Accounts!$A$59)</f>
        <v/>
      </c>
      <c r="B58">
        <f>IF([1]Accounts!$D$59="","",[1]Accounts!$B$59)</f>
        <v/>
      </c>
      <c r="C58">
        <f>IF([1]Accounts!$D$59="","",[1]Accounts!$C$59)</f>
        <v/>
      </c>
      <c r="D58">
        <f>IF([1]Accounts!$D$59="","",[1]Accounts!$D$59)</f>
        <v/>
      </c>
      <c r="E58">
        <f>IF([1]Accounts!$D$59="","",[1]Accounts!$J$59)</f>
        <v/>
      </c>
      <c r="F58">
        <f>IF([1]Accounts!$D$59="","",[1]Accounts!$K$59)</f>
        <v/>
      </c>
      <c r="J58">
        <f>IF([2]Entry!$C$61="","",[2]Entry!$C$61)</f>
        <v/>
      </c>
      <c r="K58">
        <f>IF([2]Entry!$D$61="","",[2]Entry!$D$61)</f>
        <v/>
      </c>
      <c r="L58">
        <f>IF([2]Entry!$E$61="","",[2]Entry!$E$61)</f>
        <v/>
      </c>
      <c r="M58">
        <f>IF([2]Entry!$G$61="","",[2]Entry!$G$61)</f>
        <v/>
      </c>
      <c r="N58">
        <f>IF([2]Entry!$M$61="","",[2]Entry!$M$61)</f>
        <v/>
      </c>
      <c r="O58">
        <f>IF([2]Entry!$N$61="","",[2]Entry!$N$61)</f>
        <v/>
      </c>
      <c r="P58">
        <f>IF([2]Entry!$R$61="","",[2]Entry!$R$61)</f>
        <v/>
      </c>
    </row>
    <row r="59">
      <c r="A59">
        <f>IF([1]Accounts!$D$60="","",[1]Accounts!$A$60)</f>
        <v/>
      </c>
      <c r="B59">
        <f>IF([1]Accounts!$D$60="","",[1]Accounts!$B$60)</f>
        <v/>
      </c>
      <c r="C59">
        <f>IF([1]Accounts!$D$60="","",[1]Accounts!$C$60)</f>
        <v/>
      </c>
      <c r="D59">
        <f>IF([1]Accounts!$D$60="","",[1]Accounts!$D$60)</f>
        <v/>
      </c>
      <c r="E59">
        <f>IF([1]Accounts!$D$60="","",[1]Accounts!$J$60)</f>
        <v/>
      </c>
      <c r="F59">
        <f>IF([1]Accounts!$D$60="","",[1]Accounts!$K$60)</f>
        <v/>
      </c>
      <c r="J59">
        <f>IF([2]Entry!$C$62="","",[2]Entry!$C$62)</f>
        <v/>
      </c>
      <c r="K59">
        <f>IF([2]Entry!$D$62="","",[2]Entry!$D$62)</f>
        <v/>
      </c>
      <c r="L59">
        <f>IF([2]Entry!$E$62="","",[2]Entry!$E$62)</f>
        <v/>
      </c>
      <c r="M59">
        <f>IF([2]Entry!$G$62="","",[2]Entry!$G$62)</f>
        <v/>
      </c>
      <c r="N59">
        <f>IF([2]Entry!$M$62="","",[2]Entry!$M$62)</f>
        <v/>
      </c>
      <c r="O59">
        <f>IF([2]Entry!$N$62="","",[2]Entry!$N$62)</f>
        <v/>
      </c>
      <c r="P59">
        <f>IF([2]Entry!$R$62="","",[2]Entry!$R$62)</f>
        <v/>
      </c>
    </row>
    <row r="60">
      <c r="A60">
        <f>IF([1]Accounts!$D$61="","",[1]Accounts!$A$61)</f>
        <v/>
      </c>
      <c r="B60">
        <f>IF([1]Accounts!$D$61="","",[1]Accounts!$B$61)</f>
        <v/>
      </c>
      <c r="C60">
        <f>IF([1]Accounts!$D$61="","",[1]Accounts!$C$61)</f>
        <v/>
      </c>
      <c r="D60">
        <f>IF([1]Accounts!$D$61="","",[1]Accounts!$D$61)</f>
        <v/>
      </c>
      <c r="E60">
        <f>IF([1]Accounts!$D$61="","",[1]Accounts!$J$61)</f>
        <v/>
      </c>
      <c r="F60">
        <f>IF([1]Accounts!$D$61="","",[1]Accounts!$K$61)</f>
        <v/>
      </c>
      <c r="J60">
        <f>IF([2]Entry!$C$63="","",[2]Entry!$C$63)</f>
        <v/>
      </c>
      <c r="K60">
        <f>IF([2]Entry!$D$63="","",[2]Entry!$D$63)</f>
        <v/>
      </c>
      <c r="L60">
        <f>IF([2]Entry!$E$63="","",[2]Entry!$E$63)</f>
        <v/>
      </c>
      <c r="M60">
        <f>IF([2]Entry!$G$63="","",[2]Entry!$G$63)</f>
        <v/>
      </c>
      <c r="N60">
        <f>IF([2]Entry!$M$63="","",[2]Entry!$M$63)</f>
        <v/>
      </c>
      <c r="O60">
        <f>IF([2]Entry!$N$63="","",[2]Entry!$N$63)</f>
        <v/>
      </c>
      <c r="P60">
        <f>IF([2]Entry!$R$63="","",[2]Entry!$R$63)</f>
        <v/>
      </c>
    </row>
    <row r="61">
      <c r="A61">
        <f>IF([1]Accounts!$D$62="","",[1]Accounts!$A$62)</f>
        <v/>
      </c>
      <c r="B61">
        <f>IF([1]Accounts!$D$62="","",[1]Accounts!$B$62)</f>
        <v/>
      </c>
      <c r="C61">
        <f>IF([1]Accounts!$D$62="","",[1]Accounts!$C$62)</f>
        <v/>
      </c>
      <c r="D61">
        <f>IF([1]Accounts!$D$62="","",[1]Accounts!$D$62)</f>
        <v/>
      </c>
      <c r="E61">
        <f>IF([1]Accounts!$D$62="","",[1]Accounts!$J$62)</f>
        <v/>
      </c>
      <c r="F61">
        <f>IF([1]Accounts!$D$62="","",[1]Accounts!$K$62)</f>
        <v/>
      </c>
      <c r="J61">
        <f>IF([2]Entry!$C$64="","",[2]Entry!$C$64)</f>
        <v/>
      </c>
      <c r="K61">
        <f>IF([2]Entry!$D$64="","",[2]Entry!$D$64)</f>
        <v/>
      </c>
      <c r="L61">
        <f>IF([2]Entry!$E$64="","",[2]Entry!$E$64)</f>
        <v/>
      </c>
      <c r="M61">
        <f>IF([2]Entry!$G$64="","",[2]Entry!$G$64)</f>
        <v/>
      </c>
      <c r="N61">
        <f>IF([2]Entry!$M$64="","",[2]Entry!$M$64)</f>
        <v/>
      </c>
      <c r="O61">
        <f>IF([2]Entry!$N$64="","",[2]Entry!$N$64)</f>
        <v/>
      </c>
      <c r="P61">
        <f>IF([2]Entry!$R$64="","",[2]Entry!$R$64)</f>
        <v/>
      </c>
    </row>
    <row r="62">
      <c r="A62">
        <f>IF([1]Accounts!$D$63="","",[1]Accounts!$A$63)</f>
        <v/>
      </c>
      <c r="B62">
        <f>IF([1]Accounts!$D$63="","",[1]Accounts!$B$63)</f>
        <v/>
      </c>
      <c r="C62">
        <f>IF([1]Accounts!$D$63="","",[1]Accounts!$C$63)</f>
        <v/>
      </c>
      <c r="D62">
        <f>IF([1]Accounts!$D$63="","",[1]Accounts!$D$63)</f>
        <v/>
      </c>
      <c r="E62">
        <f>IF([1]Accounts!$D$63="","",[1]Accounts!$J$63)</f>
        <v/>
      </c>
      <c r="F62">
        <f>IF([1]Accounts!$D$63="","",[1]Accounts!$K$63)</f>
        <v/>
      </c>
      <c r="J62">
        <f>IF([2]Entry!$C$65="","",[2]Entry!$C$65)</f>
        <v/>
      </c>
      <c r="K62">
        <f>IF([2]Entry!$D$65="","",[2]Entry!$D$65)</f>
        <v/>
      </c>
      <c r="L62">
        <f>IF([2]Entry!$E$65="","",[2]Entry!$E$65)</f>
        <v/>
      </c>
      <c r="M62">
        <f>IF([2]Entry!$G$65="","",[2]Entry!$G$65)</f>
        <v/>
      </c>
      <c r="N62">
        <f>IF([2]Entry!$M$65="","",[2]Entry!$M$65)</f>
        <v/>
      </c>
      <c r="O62">
        <f>IF([2]Entry!$N$65="","",[2]Entry!$N$65)</f>
        <v/>
      </c>
      <c r="P62">
        <f>IF([2]Entry!$R$65="","",[2]Entry!$R$65)</f>
        <v/>
      </c>
    </row>
    <row r="63">
      <c r="A63">
        <f>IF([1]Accounts!$D$64="","",[1]Accounts!$A$64)</f>
        <v/>
      </c>
      <c r="B63">
        <f>IF([1]Accounts!$D$64="","",[1]Accounts!$B$64)</f>
        <v/>
      </c>
      <c r="C63">
        <f>IF([1]Accounts!$D$64="","",[1]Accounts!$C$64)</f>
        <v/>
      </c>
      <c r="D63">
        <f>IF([1]Accounts!$D$64="","",[1]Accounts!$D$64)</f>
        <v/>
      </c>
      <c r="E63">
        <f>IF([1]Accounts!$D$64="","",[1]Accounts!$J$64)</f>
        <v/>
      </c>
      <c r="F63">
        <f>IF([1]Accounts!$D$64="","",[1]Accounts!$K$64)</f>
        <v/>
      </c>
      <c r="J63">
        <f>IF([2]Entry!$C$66="","",[2]Entry!$C$66)</f>
        <v/>
      </c>
      <c r="K63">
        <f>IF([2]Entry!$D$66="","",[2]Entry!$D$66)</f>
        <v/>
      </c>
      <c r="L63">
        <f>IF([2]Entry!$E$66="","",[2]Entry!$E$66)</f>
        <v/>
      </c>
      <c r="M63">
        <f>IF([2]Entry!$G$66="","",[2]Entry!$G$66)</f>
        <v/>
      </c>
      <c r="N63">
        <f>IF([2]Entry!$M$66="","",[2]Entry!$M$66)</f>
        <v/>
      </c>
      <c r="O63">
        <f>IF([2]Entry!$N$66="","",[2]Entry!$N$66)</f>
        <v/>
      </c>
      <c r="P63">
        <f>IF([2]Entry!$R$66="","",[2]Entry!$R$66)</f>
        <v/>
      </c>
    </row>
    <row r="64">
      <c r="A64">
        <f>IF([1]Accounts!$D$65="","",[1]Accounts!$A$65)</f>
        <v/>
      </c>
      <c r="B64">
        <f>IF([1]Accounts!$D$65="","",[1]Accounts!$B$65)</f>
        <v/>
      </c>
      <c r="C64">
        <f>IF([1]Accounts!$D$65="","",[1]Accounts!$C$65)</f>
        <v/>
      </c>
      <c r="D64">
        <f>IF([1]Accounts!$D$65="","",[1]Accounts!$D$65)</f>
        <v/>
      </c>
      <c r="E64">
        <f>IF([1]Accounts!$D$65="","",[1]Accounts!$J$65)</f>
        <v/>
      </c>
      <c r="F64">
        <f>IF([1]Accounts!$D$65="","",[1]Accounts!$K$65)</f>
        <v/>
      </c>
      <c r="J64">
        <f>IF([2]Entry!$C$67="","",[2]Entry!$C$67)</f>
        <v/>
      </c>
      <c r="K64">
        <f>IF([2]Entry!$D$67="","",[2]Entry!$D$67)</f>
        <v/>
      </c>
      <c r="L64">
        <f>IF([2]Entry!$E$67="","",[2]Entry!$E$67)</f>
        <v/>
      </c>
      <c r="M64">
        <f>IF([2]Entry!$G$67="","",[2]Entry!$G$67)</f>
        <v/>
      </c>
      <c r="N64">
        <f>IF([2]Entry!$M$67="","",[2]Entry!$M$67)</f>
        <v/>
      </c>
      <c r="O64">
        <f>IF([2]Entry!$N$67="","",[2]Entry!$N$67)</f>
        <v/>
      </c>
      <c r="P64">
        <f>IF([2]Entry!$R$67="","",[2]Entry!$R$67)</f>
        <v/>
      </c>
    </row>
    <row r="65">
      <c r="A65">
        <f>IF([1]Accounts!$D$66="","",[1]Accounts!$A$66)</f>
        <v/>
      </c>
      <c r="B65">
        <f>IF([1]Accounts!$D$66="","",[1]Accounts!$B$66)</f>
        <v/>
      </c>
      <c r="C65">
        <f>IF([1]Accounts!$D$66="","",[1]Accounts!$C$66)</f>
        <v/>
      </c>
      <c r="D65">
        <f>IF([1]Accounts!$D$66="","",[1]Accounts!$D$66)</f>
        <v/>
      </c>
      <c r="E65">
        <f>IF([1]Accounts!$D$66="","",[1]Accounts!$J$66)</f>
        <v/>
      </c>
      <c r="F65">
        <f>IF([1]Accounts!$D$66="","",[1]Accounts!$K$66)</f>
        <v/>
      </c>
      <c r="J65">
        <f>IF([2]Entry!$C$68="","",[2]Entry!$C$68)</f>
        <v/>
      </c>
      <c r="K65">
        <f>IF([2]Entry!$D$68="","",[2]Entry!$D$68)</f>
        <v/>
      </c>
      <c r="L65">
        <f>IF([2]Entry!$E$68="","",[2]Entry!$E$68)</f>
        <v/>
      </c>
      <c r="M65">
        <f>IF([2]Entry!$G$68="","",[2]Entry!$G$68)</f>
        <v/>
      </c>
      <c r="N65">
        <f>IF([2]Entry!$M$68="","",[2]Entry!$M$68)</f>
        <v/>
      </c>
      <c r="O65">
        <f>IF([2]Entry!$N$68="","",[2]Entry!$N$68)</f>
        <v/>
      </c>
      <c r="P65">
        <f>IF([2]Entry!$R$68="","",[2]Entry!$R$68)</f>
        <v/>
      </c>
    </row>
    <row r="66">
      <c r="A66">
        <f>IF([1]Accounts!$D$67="","",[1]Accounts!$A$67)</f>
        <v/>
      </c>
      <c r="B66">
        <f>IF([1]Accounts!$D$67="","",[1]Accounts!$B$67)</f>
        <v/>
      </c>
      <c r="C66">
        <f>IF([1]Accounts!$D$67="","",[1]Accounts!$C$67)</f>
        <v/>
      </c>
      <c r="D66">
        <f>IF([1]Accounts!$D$67="","",[1]Accounts!$D$67)</f>
        <v/>
      </c>
      <c r="E66">
        <f>IF([1]Accounts!$D$67="","",[1]Accounts!$J$67)</f>
        <v/>
      </c>
      <c r="F66">
        <f>IF([1]Accounts!$D$67="","",[1]Accounts!$K$67)</f>
        <v/>
      </c>
      <c r="J66">
        <f>IF([2]Entry!$C$69="","",[2]Entry!$C$69)</f>
        <v/>
      </c>
      <c r="K66">
        <f>IF([2]Entry!$D$69="","",[2]Entry!$D$69)</f>
        <v/>
      </c>
      <c r="L66">
        <f>IF([2]Entry!$E$69="","",[2]Entry!$E$69)</f>
        <v/>
      </c>
      <c r="M66">
        <f>IF([2]Entry!$G$69="","",[2]Entry!$G$69)</f>
        <v/>
      </c>
      <c r="N66">
        <f>IF([2]Entry!$M$69="","",[2]Entry!$M$69)</f>
        <v/>
      </c>
      <c r="O66">
        <f>IF([2]Entry!$N$69="","",[2]Entry!$N$69)</f>
        <v/>
      </c>
      <c r="P66">
        <f>IF([2]Entry!$R$69="","",[2]Entry!$R$69)</f>
        <v/>
      </c>
    </row>
    <row r="67">
      <c r="A67">
        <f>IF([1]Accounts!$D$68="","",[1]Accounts!$A$68)</f>
        <v/>
      </c>
      <c r="B67">
        <f>IF([1]Accounts!$D$68="","",[1]Accounts!$B$68)</f>
        <v/>
      </c>
      <c r="C67">
        <f>IF([1]Accounts!$D$68="","",[1]Accounts!$C$68)</f>
        <v/>
      </c>
      <c r="D67">
        <f>IF([1]Accounts!$D$68="","",[1]Accounts!$D$68)</f>
        <v/>
      </c>
      <c r="E67">
        <f>IF([1]Accounts!$D$68="","",[1]Accounts!$J$68)</f>
        <v/>
      </c>
      <c r="F67">
        <f>IF([1]Accounts!$D$68="","",[1]Accounts!$K$68)</f>
        <v/>
      </c>
      <c r="J67">
        <f>IF([2]Entry!$C$70="","",[2]Entry!$C$70)</f>
        <v/>
      </c>
      <c r="K67">
        <f>IF([2]Entry!$D$70="","",[2]Entry!$D$70)</f>
        <v/>
      </c>
      <c r="L67">
        <f>IF([2]Entry!$E$70="","",[2]Entry!$E$70)</f>
        <v/>
      </c>
      <c r="M67">
        <f>IF([2]Entry!$G$70="","",[2]Entry!$G$70)</f>
        <v/>
      </c>
      <c r="N67">
        <f>IF([2]Entry!$M$70="","",[2]Entry!$M$70)</f>
        <v/>
      </c>
      <c r="O67">
        <f>IF([2]Entry!$N$70="","",[2]Entry!$N$70)</f>
        <v/>
      </c>
      <c r="P67">
        <f>IF([2]Entry!$R$70="","",[2]Entry!$R$70)</f>
        <v/>
      </c>
    </row>
    <row r="68">
      <c r="A68">
        <f>IF([1]Accounts!$D$69="","",[1]Accounts!$A$69)</f>
        <v/>
      </c>
      <c r="B68">
        <f>IF([1]Accounts!$D$69="","",[1]Accounts!$B$69)</f>
        <v/>
      </c>
      <c r="C68">
        <f>IF([1]Accounts!$D$69="","",[1]Accounts!$C$69)</f>
        <v/>
      </c>
      <c r="D68">
        <f>IF([1]Accounts!$D$69="","",[1]Accounts!$D$69)</f>
        <v/>
      </c>
      <c r="E68">
        <f>IF([1]Accounts!$D$69="","",[1]Accounts!$J$69)</f>
        <v/>
      </c>
      <c r="F68">
        <f>IF([1]Accounts!$D$69="","",[1]Accounts!$K$69)</f>
        <v/>
      </c>
      <c r="J68">
        <f>IF([2]Entry!$C$71="","",[2]Entry!$C$71)</f>
        <v/>
      </c>
      <c r="K68">
        <f>IF([2]Entry!$D$71="","",[2]Entry!$D$71)</f>
        <v/>
      </c>
      <c r="L68">
        <f>IF([2]Entry!$E$71="","",[2]Entry!$E$71)</f>
        <v/>
      </c>
      <c r="M68">
        <f>IF([2]Entry!$G$71="","",[2]Entry!$G$71)</f>
        <v/>
      </c>
      <c r="N68">
        <f>IF([2]Entry!$M$71="","",[2]Entry!$M$71)</f>
        <v/>
      </c>
      <c r="O68">
        <f>IF([2]Entry!$N$71="","",[2]Entry!$N$71)</f>
        <v/>
      </c>
      <c r="P68">
        <f>IF([2]Entry!$R$71="","",[2]Entry!$R$71)</f>
        <v/>
      </c>
    </row>
    <row r="69">
      <c r="A69">
        <f>IF([1]Accounts!$D$70="","",[1]Accounts!$A$70)</f>
        <v/>
      </c>
      <c r="B69">
        <f>IF([1]Accounts!$D$70="","",[1]Accounts!$B$70)</f>
        <v/>
      </c>
      <c r="C69">
        <f>IF([1]Accounts!$D$70="","",[1]Accounts!$C$70)</f>
        <v/>
      </c>
      <c r="D69">
        <f>IF([1]Accounts!$D$70="","",[1]Accounts!$D$70)</f>
        <v/>
      </c>
      <c r="E69">
        <f>IF([1]Accounts!$D$70="","",[1]Accounts!$J$70)</f>
        <v/>
      </c>
      <c r="F69">
        <f>IF([1]Accounts!$D$70="","",[1]Accounts!$K$70)</f>
        <v/>
      </c>
      <c r="J69">
        <f>IF([2]Entry!$C$72="","",[2]Entry!$C$72)</f>
        <v/>
      </c>
      <c r="K69">
        <f>IF([2]Entry!$D$72="","",[2]Entry!$D$72)</f>
        <v/>
      </c>
      <c r="L69">
        <f>IF([2]Entry!$E$72="","",[2]Entry!$E$72)</f>
        <v/>
      </c>
      <c r="M69">
        <f>IF([2]Entry!$G$72="","",[2]Entry!$G$72)</f>
        <v/>
      </c>
      <c r="N69">
        <f>IF([2]Entry!$M$72="","",[2]Entry!$M$72)</f>
        <v/>
      </c>
      <c r="O69">
        <f>IF([2]Entry!$N$72="","",[2]Entry!$N$72)</f>
        <v/>
      </c>
      <c r="P69">
        <f>IF([2]Entry!$R$72="","",[2]Entry!$R$72)</f>
        <v/>
      </c>
    </row>
    <row r="70">
      <c r="A70">
        <f>IF([1]Accounts!$D$71="","",[1]Accounts!$A$71)</f>
        <v/>
      </c>
      <c r="B70">
        <f>IF([1]Accounts!$D$71="","",[1]Accounts!$B$71)</f>
        <v/>
      </c>
      <c r="C70">
        <f>IF([1]Accounts!$D$71="","",[1]Accounts!$C$71)</f>
        <v/>
      </c>
      <c r="D70">
        <f>IF([1]Accounts!$D$71="","",[1]Accounts!$D$71)</f>
        <v/>
      </c>
      <c r="E70">
        <f>IF([1]Accounts!$D$71="","",[1]Accounts!$J$71)</f>
        <v/>
      </c>
      <c r="F70">
        <f>IF([1]Accounts!$D$71="","",[1]Accounts!$K$71)</f>
        <v/>
      </c>
      <c r="J70">
        <f>IF([2]Entry!$C$73="","",[2]Entry!$C$73)</f>
        <v/>
      </c>
      <c r="K70">
        <f>IF([2]Entry!$D$73="","",[2]Entry!$D$73)</f>
        <v/>
      </c>
      <c r="L70">
        <f>IF([2]Entry!$E$73="","",[2]Entry!$E$73)</f>
        <v/>
      </c>
      <c r="M70">
        <f>IF([2]Entry!$G$73="","",[2]Entry!$G$73)</f>
        <v/>
      </c>
      <c r="N70">
        <f>IF([2]Entry!$M$73="","",[2]Entry!$M$73)</f>
        <v/>
      </c>
      <c r="O70">
        <f>IF([2]Entry!$N$73="","",[2]Entry!$N$73)</f>
        <v/>
      </c>
      <c r="P70">
        <f>IF([2]Entry!$R$73="","",[2]Entry!$R$73)</f>
        <v/>
      </c>
    </row>
    <row r="71">
      <c r="A71">
        <f>IF([1]Accounts!$D$72="","",[1]Accounts!$A$72)</f>
        <v/>
      </c>
      <c r="B71">
        <f>IF([1]Accounts!$D$72="","",[1]Accounts!$B$72)</f>
        <v/>
      </c>
      <c r="C71">
        <f>IF([1]Accounts!$D$72="","",[1]Accounts!$C$72)</f>
        <v/>
      </c>
      <c r="D71">
        <f>IF([1]Accounts!$D$72="","",[1]Accounts!$D$72)</f>
        <v/>
      </c>
      <c r="E71">
        <f>IF([1]Accounts!$D$72="","",[1]Accounts!$J$72)</f>
        <v/>
      </c>
      <c r="F71">
        <f>IF([1]Accounts!$D$72="","",[1]Accounts!$K$72)</f>
        <v/>
      </c>
      <c r="J71">
        <f>IF([2]Entry!$C$74="","",[2]Entry!$C$74)</f>
        <v/>
      </c>
      <c r="K71">
        <f>IF([2]Entry!$D$74="","",[2]Entry!$D$74)</f>
        <v/>
      </c>
      <c r="L71">
        <f>IF([2]Entry!$E$74="","",[2]Entry!$E$74)</f>
        <v/>
      </c>
      <c r="M71">
        <f>IF([2]Entry!$G$74="","",[2]Entry!$G$74)</f>
        <v/>
      </c>
      <c r="N71">
        <f>IF([2]Entry!$M$74="","",[2]Entry!$M$74)</f>
        <v/>
      </c>
      <c r="O71">
        <f>IF([2]Entry!$N$74="","",[2]Entry!$N$74)</f>
        <v/>
      </c>
      <c r="P71">
        <f>IF([2]Entry!$R$74="","",[2]Entry!$R$74)</f>
        <v/>
      </c>
    </row>
    <row r="72">
      <c r="A72">
        <f>IF([1]Accounts!$D$73="","",[1]Accounts!$A$73)</f>
        <v/>
      </c>
      <c r="B72">
        <f>IF([1]Accounts!$D$73="","",[1]Accounts!$B$73)</f>
        <v/>
      </c>
      <c r="C72">
        <f>IF([1]Accounts!$D$73="","",[1]Accounts!$C$73)</f>
        <v/>
      </c>
      <c r="D72">
        <f>IF([1]Accounts!$D$73="","",[1]Accounts!$D$73)</f>
        <v/>
      </c>
      <c r="E72">
        <f>IF([1]Accounts!$D$73="","",[1]Accounts!$J$73)</f>
        <v/>
      </c>
      <c r="F72">
        <f>IF([1]Accounts!$D$73="","",[1]Accounts!$K$73)</f>
        <v/>
      </c>
      <c r="J72">
        <f>IF([2]Entry!$C$75="","",[2]Entry!$C$75)</f>
        <v/>
      </c>
      <c r="K72">
        <f>IF([2]Entry!$D$75="","",[2]Entry!$D$75)</f>
        <v/>
      </c>
      <c r="L72">
        <f>IF([2]Entry!$E$75="","",[2]Entry!$E$75)</f>
        <v/>
      </c>
      <c r="M72">
        <f>IF([2]Entry!$G$75="","",[2]Entry!$G$75)</f>
        <v/>
      </c>
      <c r="N72">
        <f>IF([2]Entry!$M$75="","",[2]Entry!$M$75)</f>
        <v/>
      </c>
      <c r="O72">
        <f>IF([2]Entry!$N$75="","",[2]Entry!$N$75)</f>
        <v/>
      </c>
      <c r="P72">
        <f>IF([2]Entry!$R$75="","",[2]Entry!$R$75)</f>
        <v/>
      </c>
    </row>
    <row r="73">
      <c r="A73">
        <f>IF([1]Accounts!$D$74="","",[1]Accounts!$A$74)</f>
        <v/>
      </c>
      <c r="B73">
        <f>IF([1]Accounts!$D$74="","",[1]Accounts!$B$74)</f>
        <v/>
      </c>
      <c r="C73">
        <f>IF([1]Accounts!$D$74="","",[1]Accounts!$C$74)</f>
        <v/>
      </c>
      <c r="D73">
        <f>IF([1]Accounts!$D$74="","",[1]Accounts!$D$74)</f>
        <v/>
      </c>
      <c r="E73">
        <f>IF([1]Accounts!$D$74="","",[1]Accounts!$J$74)</f>
        <v/>
      </c>
      <c r="F73">
        <f>IF([1]Accounts!$D$74="","",[1]Accounts!$K$74)</f>
        <v/>
      </c>
      <c r="J73">
        <f>IF([2]Entry!$C$76="","",[2]Entry!$C$76)</f>
        <v/>
      </c>
      <c r="K73">
        <f>IF([2]Entry!$D$76="","",[2]Entry!$D$76)</f>
        <v/>
      </c>
      <c r="L73">
        <f>IF([2]Entry!$E$76="","",[2]Entry!$E$76)</f>
        <v/>
      </c>
      <c r="M73">
        <f>IF([2]Entry!$G$76="","",[2]Entry!$G$76)</f>
        <v/>
      </c>
      <c r="N73">
        <f>IF([2]Entry!$M$76="","",[2]Entry!$M$76)</f>
        <v/>
      </c>
      <c r="O73">
        <f>IF([2]Entry!$N$76="","",[2]Entry!$N$76)</f>
        <v/>
      </c>
      <c r="P73">
        <f>IF([2]Entry!$R$76="","",[2]Entry!$R$76)</f>
        <v/>
      </c>
    </row>
    <row r="74">
      <c r="A74">
        <f>IF([1]Accounts!$D$75="","",[1]Accounts!$A$75)</f>
        <v/>
      </c>
      <c r="B74">
        <f>IF([1]Accounts!$D$75="","",[1]Accounts!$B$75)</f>
        <v/>
      </c>
      <c r="C74">
        <f>IF([1]Accounts!$D$75="","",[1]Accounts!$C$75)</f>
        <v/>
      </c>
      <c r="D74">
        <f>IF([1]Accounts!$D$75="","",[1]Accounts!$D$75)</f>
        <v/>
      </c>
      <c r="E74">
        <f>IF([1]Accounts!$D$75="","",[1]Accounts!$J$75)</f>
        <v/>
      </c>
      <c r="F74">
        <f>IF([1]Accounts!$D$75="","",[1]Accounts!$K$75)</f>
        <v/>
      </c>
      <c r="J74">
        <f>IF([2]Entry!$C$77="","",[2]Entry!$C$77)</f>
        <v/>
      </c>
      <c r="K74">
        <f>IF([2]Entry!$D$77="","",[2]Entry!$D$77)</f>
        <v/>
      </c>
      <c r="L74">
        <f>IF([2]Entry!$E$77="","",[2]Entry!$E$77)</f>
        <v/>
      </c>
      <c r="M74">
        <f>IF([2]Entry!$G$77="","",[2]Entry!$G$77)</f>
        <v/>
      </c>
      <c r="N74">
        <f>IF([2]Entry!$M$77="","",[2]Entry!$M$77)</f>
        <v/>
      </c>
      <c r="O74">
        <f>IF([2]Entry!$N$77="","",[2]Entry!$N$77)</f>
        <v/>
      </c>
      <c r="P74">
        <f>IF([2]Entry!$R$77="","",[2]Entry!$R$77)</f>
        <v/>
      </c>
    </row>
    <row r="75">
      <c r="A75">
        <f>IF([1]Accounts!$D$76="","",[1]Accounts!$A$76)</f>
        <v/>
      </c>
      <c r="B75">
        <f>IF([1]Accounts!$D$76="","",[1]Accounts!$B$76)</f>
        <v/>
      </c>
      <c r="C75">
        <f>IF([1]Accounts!$D$76="","",[1]Accounts!$C$76)</f>
        <v/>
      </c>
      <c r="D75">
        <f>IF([1]Accounts!$D$76="","",[1]Accounts!$D$76)</f>
        <v/>
      </c>
      <c r="E75">
        <f>IF([1]Accounts!$D$76="","",[1]Accounts!$J$76)</f>
        <v/>
      </c>
      <c r="F75">
        <f>IF([1]Accounts!$D$76="","",[1]Accounts!$K$76)</f>
        <v/>
      </c>
      <c r="J75">
        <f>IF([2]Entry!$C$78="","",[2]Entry!$C$78)</f>
        <v/>
      </c>
      <c r="K75">
        <f>IF([2]Entry!$D$78="","",[2]Entry!$D$78)</f>
        <v/>
      </c>
      <c r="L75">
        <f>IF([2]Entry!$E$78="","",[2]Entry!$E$78)</f>
        <v/>
      </c>
      <c r="M75">
        <f>IF([2]Entry!$G$78="","",[2]Entry!$G$78)</f>
        <v/>
      </c>
      <c r="N75">
        <f>IF([2]Entry!$M$78="","",[2]Entry!$M$78)</f>
        <v/>
      </c>
      <c r="O75">
        <f>IF([2]Entry!$N$78="","",[2]Entry!$N$78)</f>
        <v/>
      </c>
      <c r="P75">
        <f>IF([2]Entry!$R$78="","",[2]Entry!$R$78)</f>
        <v/>
      </c>
    </row>
    <row r="76">
      <c r="A76">
        <f>IF([1]Accounts!$D$77="","",[1]Accounts!$A$77)</f>
        <v/>
      </c>
      <c r="B76">
        <f>IF([1]Accounts!$D$77="","",[1]Accounts!$B$77)</f>
        <v/>
      </c>
      <c r="C76">
        <f>IF([1]Accounts!$D$77="","",[1]Accounts!$C$77)</f>
        <v/>
      </c>
      <c r="D76">
        <f>IF([1]Accounts!$D$77="","",[1]Accounts!$D$77)</f>
        <v/>
      </c>
      <c r="E76">
        <f>IF([1]Accounts!$D$77="","",[1]Accounts!$J$77)</f>
        <v/>
      </c>
      <c r="F76">
        <f>IF([1]Accounts!$D$77="","",[1]Accounts!$K$77)</f>
        <v/>
      </c>
      <c r="J76">
        <f>IF([2]Entry!$C$79="","",[2]Entry!$C$79)</f>
        <v/>
      </c>
      <c r="K76">
        <f>IF([2]Entry!$D$79="","",[2]Entry!$D$79)</f>
        <v/>
      </c>
      <c r="L76">
        <f>IF([2]Entry!$E$79="","",[2]Entry!$E$79)</f>
        <v/>
      </c>
      <c r="M76">
        <f>IF([2]Entry!$G$79="","",[2]Entry!$G$79)</f>
        <v/>
      </c>
      <c r="N76">
        <f>IF([2]Entry!$M$79="","",[2]Entry!$M$79)</f>
        <v/>
      </c>
      <c r="O76">
        <f>IF([2]Entry!$N$79="","",[2]Entry!$N$79)</f>
        <v/>
      </c>
      <c r="P76">
        <f>IF([2]Entry!$R$79="","",[2]Entry!$R$79)</f>
        <v/>
      </c>
    </row>
    <row r="77">
      <c r="A77">
        <f>IF([1]Accounts!$D$78="","",[1]Accounts!$A$78)</f>
        <v/>
      </c>
      <c r="B77">
        <f>IF([1]Accounts!$D$78="","",[1]Accounts!$B$78)</f>
        <v/>
      </c>
      <c r="C77">
        <f>IF([1]Accounts!$D$78="","",[1]Accounts!$C$78)</f>
        <v/>
      </c>
      <c r="D77">
        <f>IF([1]Accounts!$D$78="","",[1]Accounts!$D$78)</f>
        <v/>
      </c>
      <c r="E77">
        <f>IF([1]Accounts!$D$78="","",[1]Accounts!$J$78)</f>
        <v/>
      </c>
      <c r="F77">
        <f>IF([1]Accounts!$D$78="","",[1]Accounts!$K$78)</f>
        <v/>
      </c>
      <c r="J77">
        <f>IF([2]Entry!$C$80="","",[2]Entry!$C$80)</f>
        <v/>
      </c>
      <c r="K77">
        <f>IF([2]Entry!$D$80="","",[2]Entry!$D$80)</f>
        <v/>
      </c>
      <c r="L77">
        <f>IF([2]Entry!$E$80="","",[2]Entry!$E$80)</f>
        <v/>
      </c>
      <c r="M77">
        <f>IF([2]Entry!$G$80="","",[2]Entry!$G$80)</f>
        <v/>
      </c>
      <c r="N77">
        <f>IF([2]Entry!$M$80="","",[2]Entry!$M$80)</f>
        <v/>
      </c>
      <c r="O77">
        <f>IF([2]Entry!$N$80="","",[2]Entry!$N$80)</f>
        <v/>
      </c>
      <c r="P77">
        <f>IF([2]Entry!$R$80="","",[2]Entry!$R$80)</f>
        <v/>
      </c>
    </row>
    <row r="78">
      <c r="A78">
        <f>IF([1]Accounts!$D$79="","",[1]Accounts!$A$79)</f>
        <v/>
      </c>
      <c r="B78">
        <f>IF([1]Accounts!$D$79="","",[1]Accounts!$B$79)</f>
        <v/>
      </c>
      <c r="C78">
        <f>IF([1]Accounts!$D$79="","",[1]Accounts!$C$79)</f>
        <v/>
      </c>
      <c r="D78">
        <f>IF([1]Accounts!$D$79="","",[1]Accounts!$D$79)</f>
        <v/>
      </c>
      <c r="E78">
        <f>IF([1]Accounts!$D$79="","",[1]Accounts!$J$79)</f>
        <v/>
      </c>
      <c r="F78">
        <f>IF([1]Accounts!$D$79="","",[1]Accounts!$K$79)</f>
        <v/>
      </c>
      <c r="J78">
        <f>IF([2]Entry!$C$81="","",[2]Entry!$C$81)</f>
        <v/>
      </c>
      <c r="K78">
        <f>IF([2]Entry!$D$81="","",[2]Entry!$D$81)</f>
        <v/>
      </c>
      <c r="L78">
        <f>IF([2]Entry!$E$81="","",[2]Entry!$E$81)</f>
        <v/>
      </c>
      <c r="M78">
        <f>IF([2]Entry!$G$81="","",[2]Entry!$G$81)</f>
        <v/>
      </c>
      <c r="N78">
        <f>IF([2]Entry!$M$81="","",[2]Entry!$M$81)</f>
        <v/>
      </c>
      <c r="O78">
        <f>IF([2]Entry!$N$81="","",[2]Entry!$N$81)</f>
        <v/>
      </c>
      <c r="P78">
        <f>IF([2]Entry!$R$81="","",[2]Entry!$R$81)</f>
        <v/>
      </c>
    </row>
    <row r="79">
      <c r="A79">
        <f>IF([1]Accounts!$D$80="","",[1]Accounts!$A$80)</f>
        <v/>
      </c>
      <c r="B79">
        <f>IF([1]Accounts!$D$80="","",[1]Accounts!$B$80)</f>
        <v/>
      </c>
      <c r="C79">
        <f>IF([1]Accounts!$D$80="","",[1]Accounts!$C$80)</f>
        <v/>
      </c>
      <c r="D79">
        <f>IF([1]Accounts!$D$80="","",[1]Accounts!$D$80)</f>
        <v/>
      </c>
      <c r="E79">
        <f>IF([1]Accounts!$D$80="","",[1]Accounts!$J$80)</f>
        <v/>
      </c>
      <c r="F79">
        <f>IF([1]Accounts!$D$80="","",[1]Accounts!$K$80)</f>
        <v/>
      </c>
      <c r="J79">
        <f>IF([2]Entry!$C$82="","",[2]Entry!$C$82)</f>
        <v/>
      </c>
      <c r="K79">
        <f>IF([2]Entry!$D$82="","",[2]Entry!$D$82)</f>
        <v/>
      </c>
      <c r="L79">
        <f>IF([2]Entry!$E$82="","",[2]Entry!$E$82)</f>
        <v/>
      </c>
      <c r="M79">
        <f>IF([2]Entry!$G$82="","",[2]Entry!$G$82)</f>
        <v/>
      </c>
      <c r="N79">
        <f>IF([2]Entry!$M$82="","",[2]Entry!$M$82)</f>
        <v/>
      </c>
      <c r="O79">
        <f>IF([2]Entry!$N$82="","",[2]Entry!$N$82)</f>
        <v/>
      </c>
      <c r="P79">
        <f>IF([2]Entry!$R$82="","",[2]Entry!$R$82)</f>
        <v/>
      </c>
    </row>
    <row r="80">
      <c r="A80">
        <f>IF([1]Accounts!$D$81="","",[1]Accounts!$A$81)</f>
        <v/>
      </c>
      <c r="B80">
        <f>IF([1]Accounts!$D$81="","",[1]Accounts!$B$81)</f>
        <v/>
      </c>
      <c r="C80">
        <f>IF([1]Accounts!$D$81="","",[1]Accounts!$C$81)</f>
        <v/>
      </c>
      <c r="D80">
        <f>IF([1]Accounts!$D$81="","",[1]Accounts!$D$81)</f>
        <v/>
      </c>
      <c r="E80">
        <f>IF([1]Accounts!$D$81="","",[1]Accounts!$J$81)</f>
        <v/>
      </c>
      <c r="F80">
        <f>IF([1]Accounts!$D$81="","",[1]Accounts!$K$81)</f>
        <v/>
      </c>
      <c r="J80">
        <f>IF([2]Entry!$C$83="","",[2]Entry!$C$83)</f>
        <v/>
      </c>
      <c r="K80">
        <f>IF([2]Entry!$D$83="","",[2]Entry!$D$83)</f>
        <v/>
      </c>
      <c r="L80">
        <f>IF([2]Entry!$E$83="","",[2]Entry!$E$83)</f>
        <v/>
      </c>
      <c r="M80">
        <f>IF([2]Entry!$G$83="","",[2]Entry!$G$83)</f>
        <v/>
      </c>
      <c r="N80">
        <f>IF([2]Entry!$M$83="","",[2]Entry!$M$83)</f>
        <v/>
      </c>
      <c r="O80">
        <f>IF([2]Entry!$N$83="","",[2]Entry!$N$83)</f>
        <v/>
      </c>
      <c r="P80">
        <f>IF([2]Entry!$R$83="","",[2]Entry!$R$83)</f>
        <v/>
      </c>
    </row>
    <row r="81">
      <c r="A81">
        <f>IF([1]Accounts!$D$82="","",[1]Accounts!$A$82)</f>
        <v/>
      </c>
      <c r="B81">
        <f>IF([1]Accounts!$D$82="","",[1]Accounts!$B$82)</f>
        <v/>
      </c>
      <c r="C81">
        <f>IF([1]Accounts!$D$82="","",[1]Accounts!$C$82)</f>
        <v/>
      </c>
      <c r="D81">
        <f>IF([1]Accounts!$D$82="","",[1]Accounts!$D$82)</f>
        <v/>
      </c>
      <c r="E81">
        <f>IF([1]Accounts!$D$82="","",[1]Accounts!$J$82)</f>
        <v/>
      </c>
      <c r="F81">
        <f>IF([1]Accounts!$D$82="","",[1]Accounts!$K$82)</f>
        <v/>
      </c>
      <c r="J81">
        <f>IF([2]Entry!$C$84="","",[2]Entry!$C$84)</f>
        <v/>
      </c>
      <c r="K81">
        <f>IF([2]Entry!$D$84="","",[2]Entry!$D$84)</f>
        <v/>
      </c>
      <c r="L81">
        <f>IF([2]Entry!$E$84="","",[2]Entry!$E$84)</f>
        <v/>
      </c>
      <c r="M81">
        <f>IF([2]Entry!$G$84="","",[2]Entry!$G$84)</f>
        <v/>
      </c>
      <c r="N81">
        <f>IF([2]Entry!$M$84="","",[2]Entry!$M$84)</f>
        <v/>
      </c>
      <c r="O81">
        <f>IF([2]Entry!$N$84="","",[2]Entry!$N$84)</f>
        <v/>
      </c>
      <c r="P81">
        <f>IF([2]Entry!$R$84="","",[2]Entry!$R$84)</f>
        <v/>
      </c>
    </row>
    <row r="82">
      <c r="A82">
        <f>IF([1]Accounts!$D$83="","",[1]Accounts!$A$83)</f>
        <v/>
      </c>
      <c r="B82">
        <f>IF([1]Accounts!$D$83="","",[1]Accounts!$B$83)</f>
        <v/>
      </c>
      <c r="C82">
        <f>IF([1]Accounts!$D$83="","",[1]Accounts!$C$83)</f>
        <v/>
      </c>
      <c r="D82">
        <f>IF([1]Accounts!$D$83="","",[1]Accounts!$D$83)</f>
        <v/>
      </c>
      <c r="E82">
        <f>IF([1]Accounts!$D$83="","",[1]Accounts!$J$83)</f>
        <v/>
      </c>
      <c r="F82">
        <f>IF([1]Accounts!$D$83="","",[1]Accounts!$K$83)</f>
        <v/>
      </c>
      <c r="J82">
        <f>IF([2]Entry!$C$85="","",[2]Entry!$C$85)</f>
        <v/>
      </c>
      <c r="K82">
        <f>IF([2]Entry!$D$85="","",[2]Entry!$D$85)</f>
        <v/>
      </c>
      <c r="L82">
        <f>IF([2]Entry!$E$85="","",[2]Entry!$E$85)</f>
        <v/>
      </c>
      <c r="M82">
        <f>IF([2]Entry!$G$85="","",[2]Entry!$G$85)</f>
        <v/>
      </c>
      <c r="N82">
        <f>IF([2]Entry!$M$85="","",[2]Entry!$M$85)</f>
        <v/>
      </c>
      <c r="O82">
        <f>IF([2]Entry!$N$85="","",[2]Entry!$N$85)</f>
        <v/>
      </c>
      <c r="P82">
        <f>IF([2]Entry!$R$85="","",[2]Entry!$R$85)</f>
        <v/>
      </c>
    </row>
    <row r="83">
      <c r="A83">
        <f>IF([1]Accounts!$D$84="","",[1]Accounts!$A$84)</f>
        <v/>
      </c>
      <c r="B83">
        <f>IF([1]Accounts!$D$84="","",[1]Accounts!$B$84)</f>
        <v/>
      </c>
      <c r="C83">
        <f>IF([1]Accounts!$D$84="","",[1]Accounts!$C$84)</f>
        <v/>
      </c>
      <c r="D83">
        <f>IF([1]Accounts!$D$84="","",[1]Accounts!$D$84)</f>
        <v/>
      </c>
      <c r="E83">
        <f>IF([1]Accounts!$D$84="","",[1]Accounts!$J$84)</f>
        <v/>
      </c>
      <c r="F83">
        <f>IF([1]Accounts!$D$84="","",[1]Accounts!$K$84)</f>
        <v/>
      </c>
      <c r="J83">
        <f>IF([2]Entry!$C$86="","",[2]Entry!$C$86)</f>
        <v/>
      </c>
      <c r="K83">
        <f>IF([2]Entry!$D$86="","",[2]Entry!$D$86)</f>
        <v/>
      </c>
      <c r="L83">
        <f>IF([2]Entry!$E$86="","",[2]Entry!$E$86)</f>
        <v/>
      </c>
      <c r="M83">
        <f>IF([2]Entry!$G$86="","",[2]Entry!$G$86)</f>
        <v/>
      </c>
      <c r="N83">
        <f>IF([2]Entry!$M$86="","",[2]Entry!$M$86)</f>
        <v/>
      </c>
      <c r="O83">
        <f>IF([2]Entry!$N$86="","",[2]Entry!$N$86)</f>
        <v/>
      </c>
      <c r="P83">
        <f>IF([2]Entry!$R$86="","",[2]Entry!$R$86)</f>
        <v/>
      </c>
    </row>
    <row r="84">
      <c r="A84">
        <f>IF([1]Accounts!$D$85="","",[1]Accounts!$A$85)</f>
        <v/>
      </c>
      <c r="B84">
        <f>IF([1]Accounts!$D$85="","",[1]Accounts!$B$85)</f>
        <v/>
      </c>
      <c r="C84">
        <f>IF([1]Accounts!$D$85="","",[1]Accounts!$C$85)</f>
        <v/>
      </c>
      <c r="D84">
        <f>IF([1]Accounts!$D$85="","",[1]Accounts!$D$85)</f>
        <v/>
      </c>
      <c r="E84">
        <f>IF([1]Accounts!$D$85="","",[1]Accounts!$J$85)</f>
        <v/>
      </c>
      <c r="F84">
        <f>IF([1]Accounts!$D$85="","",[1]Accounts!$K$85)</f>
        <v/>
      </c>
      <c r="J84">
        <f>IF([2]Entry!$C$87="","",[2]Entry!$C$87)</f>
        <v/>
      </c>
      <c r="K84">
        <f>IF([2]Entry!$D$87="","",[2]Entry!$D$87)</f>
        <v/>
      </c>
      <c r="L84">
        <f>IF([2]Entry!$E$87="","",[2]Entry!$E$87)</f>
        <v/>
      </c>
      <c r="M84">
        <f>IF([2]Entry!$G$87="","",[2]Entry!$G$87)</f>
        <v/>
      </c>
      <c r="N84">
        <f>IF([2]Entry!$M$87="","",[2]Entry!$M$87)</f>
        <v/>
      </c>
      <c r="O84">
        <f>IF([2]Entry!$N$87="","",[2]Entry!$N$87)</f>
        <v/>
      </c>
      <c r="P84">
        <f>IF([2]Entry!$R$87="","",[2]Entry!$R$87)</f>
        <v/>
      </c>
    </row>
    <row r="85">
      <c r="A85">
        <f>IF([1]Accounts!$D$86="","",[1]Accounts!$A$86)</f>
        <v/>
      </c>
      <c r="B85">
        <f>IF([1]Accounts!$D$86="","",[1]Accounts!$B$86)</f>
        <v/>
      </c>
      <c r="C85">
        <f>IF([1]Accounts!$D$86="","",[1]Accounts!$C$86)</f>
        <v/>
      </c>
      <c r="D85">
        <f>IF([1]Accounts!$D$86="","",[1]Accounts!$D$86)</f>
        <v/>
      </c>
      <c r="E85">
        <f>IF([1]Accounts!$D$86="","",[1]Accounts!$J$86)</f>
        <v/>
      </c>
      <c r="F85">
        <f>IF([1]Accounts!$D$86="","",[1]Accounts!$K$86)</f>
        <v/>
      </c>
      <c r="J85">
        <f>IF([2]Entry!$C$88="","",[2]Entry!$C$88)</f>
        <v/>
      </c>
      <c r="K85">
        <f>IF([2]Entry!$D$88="","",[2]Entry!$D$88)</f>
        <v/>
      </c>
      <c r="L85">
        <f>IF([2]Entry!$E$88="","",[2]Entry!$E$88)</f>
        <v/>
      </c>
      <c r="M85">
        <f>IF([2]Entry!$G$88="","",[2]Entry!$G$88)</f>
        <v/>
      </c>
      <c r="N85">
        <f>IF([2]Entry!$M$88="","",[2]Entry!$M$88)</f>
        <v/>
      </c>
      <c r="O85">
        <f>IF([2]Entry!$N$88="","",[2]Entry!$N$88)</f>
        <v/>
      </c>
      <c r="P85">
        <f>IF([2]Entry!$R$88="","",[2]Entry!$R$88)</f>
        <v/>
      </c>
    </row>
    <row r="86">
      <c r="A86">
        <f>IF([1]Accounts!$D$87="","",[1]Accounts!$A$87)</f>
        <v/>
      </c>
      <c r="B86">
        <f>IF([1]Accounts!$D$87="","",[1]Accounts!$B$87)</f>
        <v/>
      </c>
      <c r="C86">
        <f>IF([1]Accounts!$D$87="","",[1]Accounts!$C$87)</f>
        <v/>
      </c>
      <c r="D86">
        <f>IF([1]Accounts!$D$87="","",[1]Accounts!$D$87)</f>
        <v/>
      </c>
      <c r="E86">
        <f>IF([1]Accounts!$D$87="","",[1]Accounts!$J$87)</f>
        <v/>
      </c>
      <c r="F86">
        <f>IF([1]Accounts!$D$87="","",[1]Accounts!$K$87)</f>
        <v/>
      </c>
      <c r="J86">
        <f>IF([2]Entry!$C$89="","",[2]Entry!$C$89)</f>
        <v/>
      </c>
      <c r="K86">
        <f>IF([2]Entry!$D$89="","",[2]Entry!$D$89)</f>
        <v/>
      </c>
      <c r="L86">
        <f>IF([2]Entry!$E$89="","",[2]Entry!$E$89)</f>
        <v/>
      </c>
      <c r="M86">
        <f>IF([2]Entry!$G$89="","",[2]Entry!$G$89)</f>
        <v/>
      </c>
      <c r="N86">
        <f>IF([2]Entry!$M$89="","",[2]Entry!$M$89)</f>
        <v/>
      </c>
      <c r="O86">
        <f>IF([2]Entry!$N$89="","",[2]Entry!$N$89)</f>
        <v/>
      </c>
      <c r="P86">
        <f>IF([2]Entry!$R$89="","",[2]Entry!$R$89)</f>
        <v/>
      </c>
    </row>
    <row r="87">
      <c r="A87">
        <f>IF([1]Accounts!$D$88="","",[1]Accounts!$A$88)</f>
        <v/>
      </c>
      <c r="B87">
        <f>IF([1]Accounts!$D$88="","",[1]Accounts!$B$88)</f>
        <v/>
      </c>
      <c r="C87">
        <f>IF([1]Accounts!$D$88="","",[1]Accounts!$C$88)</f>
        <v/>
      </c>
      <c r="D87">
        <f>IF([1]Accounts!$D$88="","",[1]Accounts!$D$88)</f>
        <v/>
      </c>
      <c r="E87">
        <f>IF([1]Accounts!$D$88="","",[1]Accounts!$J$88)</f>
        <v/>
      </c>
      <c r="F87">
        <f>IF([1]Accounts!$D$88="","",[1]Accounts!$K$88)</f>
        <v/>
      </c>
      <c r="J87">
        <f>IF([2]Entry!$C$90="","",[2]Entry!$C$90)</f>
        <v/>
      </c>
      <c r="K87">
        <f>IF([2]Entry!$D$90="","",[2]Entry!$D$90)</f>
        <v/>
      </c>
      <c r="L87">
        <f>IF([2]Entry!$E$90="","",[2]Entry!$E$90)</f>
        <v/>
      </c>
      <c r="M87">
        <f>IF([2]Entry!$G$90="","",[2]Entry!$G$90)</f>
        <v/>
      </c>
      <c r="N87">
        <f>IF([2]Entry!$M$90="","",[2]Entry!$M$90)</f>
        <v/>
      </c>
      <c r="O87">
        <f>IF([2]Entry!$N$90="","",[2]Entry!$N$90)</f>
        <v/>
      </c>
      <c r="P87">
        <f>IF([2]Entry!$R$90="","",[2]Entry!$R$90)</f>
        <v/>
      </c>
    </row>
    <row r="88">
      <c r="A88">
        <f>IF([1]Accounts!$D$89="","",[1]Accounts!$A$89)</f>
        <v/>
      </c>
      <c r="B88">
        <f>IF([1]Accounts!$D$89="","",[1]Accounts!$B$89)</f>
        <v/>
      </c>
      <c r="C88">
        <f>IF([1]Accounts!$D$89="","",[1]Accounts!$C$89)</f>
        <v/>
      </c>
      <c r="D88">
        <f>IF([1]Accounts!$D$89="","",[1]Accounts!$D$89)</f>
        <v/>
      </c>
      <c r="E88">
        <f>IF([1]Accounts!$D$89="","",[1]Accounts!$J$89)</f>
        <v/>
      </c>
      <c r="F88">
        <f>IF([1]Accounts!$D$89="","",[1]Accounts!$K$89)</f>
        <v/>
      </c>
      <c r="J88">
        <f>IF([2]Entry!$C$91="","",[2]Entry!$C$91)</f>
        <v/>
      </c>
      <c r="K88">
        <f>IF([2]Entry!$D$91="","",[2]Entry!$D$91)</f>
        <v/>
      </c>
      <c r="L88">
        <f>IF([2]Entry!$E$91="","",[2]Entry!$E$91)</f>
        <v/>
      </c>
      <c r="M88">
        <f>IF([2]Entry!$G$91="","",[2]Entry!$G$91)</f>
        <v/>
      </c>
      <c r="N88">
        <f>IF([2]Entry!$M$91="","",[2]Entry!$M$91)</f>
        <v/>
      </c>
      <c r="O88">
        <f>IF([2]Entry!$N$91="","",[2]Entry!$N$91)</f>
        <v/>
      </c>
      <c r="P88">
        <f>IF([2]Entry!$R$91="","",[2]Entry!$R$91)</f>
        <v/>
      </c>
    </row>
    <row r="89">
      <c r="A89">
        <f>IF([1]Accounts!$D$90="","",[1]Accounts!$A$90)</f>
        <v/>
      </c>
      <c r="B89">
        <f>IF([1]Accounts!$D$90="","",[1]Accounts!$B$90)</f>
        <v/>
      </c>
      <c r="C89">
        <f>IF([1]Accounts!$D$90="","",[1]Accounts!$C$90)</f>
        <v/>
      </c>
      <c r="D89">
        <f>IF([1]Accounts!$D$90="","",[1]Accounts!$D$90)</f>
        <v/>
      </c>
      <c r="E89">
        <f>IF([1]Accounts!$D$90="","",[1]Accounts!$J$90)</f>
        <v/>
      </c>
      <c r="F89">
        <f>IF([1]Accounts!$D$90="","",[1]Accounts!$K$90)</f>
        <v/>
      </c>
      <c r="J89">
        <f>IF([2]Entry!$C$92="","",[2]Entry!$C$92)</f>
        <v/>
      </c>
      <c r="K89">
        <f>IF([2]Entry!$D$92="","",[2]Entry!$D$92)</f>
        <v/>
      </c>
      <c r="L89">
        <f>IF([2]Entry!$E$92="","",[2]Entry!$E$92)</f>
        <v/>
      </c>
      <c r="M89">
        <f>IF([2]Entry!$G$92="","",[2]Entry!$G$92)</f>
        <v/>
      </c>
      <c r="N89">
        <f>IF([2]Entry!$M$92="","",[2]Entry!$M$92)</f>
        <v/>
      </c>
      <c r="O89">
        <f>IF([2]Entry!$N$92="","",[2]Entry!$N$92)</f>
        <v/>
      </c>
      <c r="P89">
        <f>IF([2]Entry!$R$92="","",[2]Entry!$R$92)</f>
        <v/>
      </c>
    </row>
    <row r="90">
      <c r="A90">
        <f>IF([1]Accounts!$D$91="","",[1]Accounts!$A$91)</f>
        <v/>
      </c>
      <c r="B90">
        <f>IF([1]Accounts!$D$91="","",[1]Accounts!$B$91)</f>
        <v/>
      </c>
      <c r="C90">
        <f>IF([1]Accounts!$D$91="","",[1]Accounts!$C$91)</f>
        <v/>
      </c>
      <c r="D90">
        <f>IF([1]Accounts!$D$91="","",[1]Accounts!$D$91)</f>
        <v/>
      </c>
      <c r="E90">
        <f>IF([1]Accounts!$D$91="","",[1]Accounts!$J$91)</f>
        <v/>
      </c>
      <c r="F90">
        <f>IF([1]Accounts!$D$91="","",[1]Accounts!$K$91)</f>
        <v/>
      </c>
      <c r="J90">
        <f>IF([2]Entry!$C$93="","",[2]Entry!$C$93)</f>
        <v/>
      </c>
      <c r="K90">
        <f>IF([2]Entry!$D$93="","",[2]Entry!$D$93)</f>
        <v/>
      </c>
      <c r="L90">
        <f>IF([2]Entry!$E$93="","",[2]Entry!$E$93)</f>
        <v/>
      </c>
      <c r="M90">
        <f>IF([2]Entry!$G$93="","",[2]Entry!$G$93)</f>
        <v/>
      </c>
      <c r="N90">
        <f>IF([2]Entry!$M$93="","",[2]Entry!$M$93)</f>
        <v/>
      </c>
      <c r="O90">
        <f>IF([2]Entry!$N$93="","",[2]Entry!$N$93)</f>
        <v/>
      </c>
      <c r="P90">
        <f>IF([2]Entry!$R$93="","",[2]Entry!$R$93)</f>
        <v/>
      </c>
    </row>
    <row r="91">
      <c r="A91">
        <f>IF([1]Accounts!$D$92="","",[1]Accounts!$A$92)</f>
        <v/>
      </c>
      <c r="B91">
        <f>IF([1]Accounts!$D$92="","",[1]Accounts!$B$92)</f>
        <v/>
      </c>
      <c r="C91">
        <f>IF([1]Accounts!$D$92="","",[1]Accounts!$C$92)</f>
        <v/>
      </c>
      <c r="D91">
        <f>IF([1]Accounts!$D$92="","",[1]Accounts!$D$92)</f>
        <v/>
      </c>
      <c r="E91">
        <f>IF([1]Accounts!$D$92="","",[1]Accounts!$J$92)</f>
        <v/>
      </c>
      <c r="F91">
        <f>IF([1]Accounts!$D$92="","",[1]Accounts!$K$92)</f>
        <v/>
      </c>
      <c r="J91">
        <f>IF([2]Entry!$C$94="","",[2]Entry!$C$94)</f>
        <v/>
      </c>
      <c r="K91">
        <f>IF([2]Entry!$D$94="","",[2]Entry!$D$94)</f>
        <v/>
      </c>
      <c r="L91">
        <f>IF([2]Entry!$E$94="","",[2]Entry!$E$94)</f>
        <v/>
      </c>
      <c r="M91">
        <f>IF([2]Entry!$G$94="","",[2]Entry!$G$94)</f>
        <v/>
      </c>
      <c r="N91">
        <f>IF([2]Entry!$M$94="","",[2]Entry!$M$94)</f>
        <v/>
      </c>
      <c r="O91">
        <f>IF([2]Entry!$N$94="","",[2]Entry!$N$94)</f>
        <v/>
      </c>
      <c r="P91">
        <f>IF([2]Entry!$R$94="","",[2]Entry!$R$94)</f>
        <v/>
      </c>
    </row>
    <row r="92">
      <c r="A92">
        <f>IF([1]Accounts!$D$93="","",[1]Accounts!$A$93)</f>
        <v/>
      </c>
      <c r="B92">
        <f>IF([1]Accounts!$D$93="","",[1]Accounts!$B$93)</f>
        <v/>
      </c>
      <c r="C92">
        <f>IF([1]Accounts!$D$93="","",[1]Accounts!$C$93)</f>
        <v/>
      </c>
      <c r="D92">
        <f>IF([1]Accounts!$D$93="","",[1]Accounts!$D$93)</f>
        <v/>
      </c>
      <c r="E92">
        <f>IF([1]Accounts!$D$93="","",[1]Accounts!$J$93)</f>
        <v/>
      </c>
      <c r="F92">
        <f>IF([1]Accounts!$D$93="","",[1]Accounts!$K$93)</f>
        <v/>
      </c>
      <c r="J92">
        <f>IF([2]Entry!$C$95="","",[2]Entry!$C$95)</f>
        <v/>
      </c>
      <c r="K92">
        <f>IF([2]Entry!$D$95="","",[2]Entry!$D$95)</f>
        <v/>
      </c>
      <c r="L92">
        <f>IF([2]Entry!$E$95="","",[2]Entry!$E$95)</f>
        <v/>
      </c>
      <c r="M92">
        <f>IF([2]Entry!$G$95="","",[2]Entry!$G$95)</f>
        <v/>
      </c>
      <c r="N92">
        <f>IF([2]Entry!$M$95="","",[2]Entry!$M$95)</f>
        <v/>
      </c>
      <c r="O92">
        <f>IF([2]Entry!$N$95="","",[2]Entry!$N$95)</f>
        <v/>
      </c>
      <c r="P92">
        <f>IF([2]Entry!$R$95="","",[2]Entry!$R$95)</f>
        <v/>
      </c>
    </row>
    <row r="93">
      <c r="A93">
        <f>IF([1]Accounts!$D$94="","",[1]Accounts!$A$94)</f>
        <v/>
      </c>
      <c r="B93">
        <f>IF([1]Accounts!$D$94="","",[1]Accounts!$B$94)</f>
        <v/>
      </c>
      <c r="C93">
        <f>IF([1]Accounts!$D$94="","",[1]Accounts!$C$94)</f>
        <v/>
      </c>
      <c r="D93">
        <f>IF([1]Accounts!$D$94="","",[1]Accounts!$D$94)</f>
        <v/>
      </c>
      <c r="E93">
        <f>IF([1]Accounts!$D$94="","",[1]Accounts!$J$94)</f>
        <v/>
      </c>
      <c r="F93">
        <f>IF([1]Accounts!$D$94="","",[1]Accounts!$K$94)</f>
        <v/>
      </c>
      <c r="J93">
        <f>IF([2]Entry!$C$96="","",[2]Entry!$C$96)</f>
        <v/>
      </c>
      <c r="K93">
        <f>IF([2]Entry!$D$96="","",[2]Entry!$D$96)</f>
        <v/>
      </c>
      <c r="L93">
        <f>IF([2]Entry!$E$96="","",[2]Entry!$E$96)</f>
        <v/>
      </c>
      <c r="M93">
        <f>IF([2]Entry!$G$96="","",[2]Entry!$G$96)</f>
        <v/>
      </c>
      <c r="N93">
        <f>IF([2]Entry!$M$96="","",[2]Entry!$M$96)</f>
        <v/>
      </c>
      <c r="O93">
        <f>IF([2]Entry!$N$96="","",[2]Entry!$N$96)</f>
        <v/>
      </c>
      <c r="P93">
        <f>IF([2]Entry!$R$96="","",[2]Entry!$R$96)</f>
        <v/>
      </c>
    </row>
    <row r="94">
      <c r="A94">
        <f>IF([1]Accounts!$D$95="","",[1]Accounts!$A$95)</f>
        <v/>
      </c>
      <c r="B94">
        <f>IF([1]Accounts!$D$95="","",[1]Accounts!$B$95)</f>
        <v/>
      </c>
      <c r="C94">
        <f>IF([1]Accounts!$D$95="","",[1]Accounts!$C$95)</f>
        <v/>
      </c>
      <c r="D94">
        <f>IF([1]Accounts!$D$95="","",[1]Accounts!$D$95)</f>
        <v/>
      </c>
      <c r="E94">
        <f>IF([1]Accounts!$D$95="","",[1]Accounts!$J$95)</f>
        <v/>
      </c>
      <c r="F94">
        <f>IF([1]Accounts!$D$95="","",[1]Accounts!$K$95)</f>
        <v/>
      </c>
      <c r="J94">
        <f>IF([2]Entry!$C$97="","",[2]Entry!$C$97)</f>
        <v/>
      </c>
      <c r="K94">
        <f>IF([2]Entry!$D$97="","",[2]Entry!$D$97)</f>
        <v/>
      </c>
      <c r="L94">
        <f>IF([2]Entry!$E$97="","",[2]Entry!$E$97)</f>
        <v/>
      </c>
      <c r="M94">
        <f>IF([2]Entry!$G$97="","",[2]Entry!$G$97)</f>
        <v/>
      </c>
      <c r="N94">
        <f>IF([2]Entry!$M$97="","",[2]Entry!$M$97)</f>
        <v/>
      </c>
      <c r="O94">
        <f>IF([2]Entry!$N$97="","",[2]Entry!$N$97)</f>
        <v/>
      </c>
      <c r="P94">
        <f>IF([2]Entry!$R$97="","",[2]Entry!$R$97)</f>
        <v/>
      </c>
    </row>
    <row r="95">
      <c r="A95">
        <f>IF([1]Accounts!$D$96="","",[1]Accounts!$A$96)</f>
        <v/>
      </c>
      <c r="B95">
        <f>IF([1]Accounts!$D$96="","",[1]Accounts!$B$96)</f>
        <v/>
      </c>
      <c r="C95">
        <f>IF([1]Accounts!$D$96="","",[1]Accounts!$C$96)</f>
        <v/>
      </c>
      <c r="D95">
        <f>IF([1]Accounts!$D$96="","",[1]Accounts!$D$96)</f>
        <v/>
      </c>
      <c r="E95">
        <f>IF([1]Accounts!$D$96="","",[1]Accounts!$J$96)</f>
        <v/>
      </c>
      <c r="F95">
        <f>IF([1]Accounts!$D$96="","",[1]Accounts!$K$96)</f>
        <v/>
      </c>
      <c r="J95">
        <f>IF([2]Entry!$C$98="","",[2]Entry!$C$98)</f>
        <v/>
      </c>
      <c r="K95">
        <f>IF([2]Entry!$D$98="","",[2]Entry!$D$98)</f>
        <v/>
      </c>
      <c r="L95">
        <f>IF([2]Entry!$E$98="","",[2]Entry!$E$98)</f>
        <v/>
      </c>
      <c r="M95">
        <f>IF([2]Entry!$G$98="","",[2]Entry!$G$98)</f>
        <v/>
      </c>
      <c r="N95">
        <f>IF([2]Entry!$M$98="","",[2]Entry!$M$98)</f>
        <v/>
      </c>
      <c r="O95">
        <f>IF([2]Entry!$N$98="","",[2]Entry!$N$98)</f>
        <v/>
      </c>
      <c r="P95">
        <f>IF([2]Entry!$R$98="","",[2]Entry!$R$98)</f>
        <v/>
      </c>
    </row>
    <row r="96">
      <c r="A96">
        <f>IF([1]Accounts!$D$97="","",[1]Accounts!$A$97)</f>
        <v/>
      </c>
      <c r="B96">
        <f>IF([1]Accounts!$D$97="","",[1]Accounts!$B$97)</f>
        <v/>
      </c>
      <c r="C96">
        <f>IF([1]Accounts!$D$97="","",[1]Accounts!$C$97)</f>
        <v/>
      </c>
      <c r="D96">
        <f>IF([1]Accounts!$D$97="","",[1]Accounts!$D$97)</f>
        <v/>
      </c>
      <c r="E96">
        <f>IF([1]Accounts!$D$97="","",[1]Accounts!$J$97)</f>
        <v/>
      </c>
      <c r="F96">
        <f>IF([1]Accounts!$D$97="","",[1]Accounts!$K$97)</f>
        <v/>
      </c>
      <c r="J96">
        <f>IF([2]Entry!$C$99="","",[2]Entry!$C$99)</f>
        <v/>
      </c>
      <c r="K96">
        <f>IF([2]Entry!$D$99="","",[2]Entry!$D$99)</f>
        <v/>
      </c>
      <c r="L96">
        <f>IF([2]Entry!$E$99="","",[2]Entry!$E$99)</f>
        <v/>
      </c>
      <c r="M96">
        <f>IF([2]Entry!$G$99="","",[2]Entry!$G$99)</f>
        <v/>
      </c>
      <c r="N96">
        <f>IF([2]Entry!$M$99="","",[2]Entry!$M$99)</f>
        <v/>
      </c>
      <c r="O96">
        <f>IF([2]Entry!$N$99="","",[2]Entry!$N$99)</f>
        <v/>
      </c>
      <c r="P96">
        <f>IF([2]Entry!$R$99="","",[2]Entry!$R$99)</f>
        <v/>
      </c>
    </row>
    <row r="97">
      <c r="A97">
        <f>IF([1]Accounts!$D$98="","",[1]Accounts!$A$98)</f>
        <v/>
      </c>
      <c r="B97">
        <f>IF([1]Accounts!$D$98="","",[1]Accounts!$B$98)</f>
        <v/>
      </c>
      <c r="C97">
        <f>IF([1]Accounts!$D$98="","",[1]Accounts!$C$98)</f>
        <v/>
      </c>
      <c r="D97">
        <f>IF([1]Accounts!$D$98="","",[1]Accounts!$D$98)</f>
        <v/>
      </c>
      <c r="E97">
        <f>IF([1]Accounts!$D$98="","",[1]Accounts!$J$98)</f>
        <v/>
      </c>
      <c r="F97">
        <f>IF([1]Accounts!$D$98="","",[1]Accounts!$K$98)</f>
        <v/>
      </c>
      <c r="J97">
        <f>IF([2]Entry!$C$100="","",[2]Entry!$C$100)</f>
        <v/>
      </c>
      <c r="K97">
        <f>IF([2]Entry!$D$100="","",[2]Entry!$D$100)</f>
        <v/>
      </c>
      <c r="L97">
        <f>IF([2]Entry!$E$100="","",[2]Entry!$E$100)</f>
        <v/>
      </c>
      <c r="M97">
        <f>IF([2]Entry!$G$100="","",[2]Entry!$G$100)</f>
        <v/>
      </c>
      <c r="N97">
        <f>IF([2]Entry!$M$100="","",[2]Entry!$M$100)</f>
        <v/>
      </c>
      <c r="O97">
        <f>IF([2]Entry!$N$100="","",[2]Entry!$N$100)</f>
        <v/>
      </c>
      <c r="P97">
        <f>IF([2]Entry!$R$100="","",[2]Entry!$R$100)</f>
        <v/>
      </c>
    </row>
    <row r="98">
      <c r="A98">
        <f>IF([1]Accounts!$D$99="","",[1]Accounts!$A$99)</f>
        <v/>
      </c>
      <c r="B98">
        <f>IF([1]Accounts!$D$99="","",[1]Accounts!$B$99)</f>
        <v/>
      </c>
      <c r="C98">
        <f>IF([1]Accounts!$D$99="","",[1]Accounts!$C$99)</f>
        <v/>
      </c>
      <c r="D98">
        <f>IF([1]Accounts!$D$99="","",[1]Accounts!$D$99)</f>
        <v/>
      </c>
      <c r="E98">
        <f>IF([1]Accounts!$D$99="","",[1]Accounts!$J$99)</f>
        <v/>
      </c>
      <c r="F98">
        <f>IF([1]Accounts!$D$99="","",[1]Accounts!$K$99)</f>
        <v/>
      </c>
      <c r="J98">
        <f>IF([2]Entry!$C$101="","",[2]Entry!$C$101)</f>
        <v/>
      </c>
      <c r="K98">
        <f>IF([2]Entry!$D$101="","",[2]Entry!$D$101)</f>
        <v/>
      </c>
      <c r="L98">
        <f>IF([2]Entry!$E$101="","",[2]Entry!$E$101)</f>
        <v/>
      </c>
      <c r="M98">
        <f>IF([2]Entry!$G$101="","",[2]Entry!$G$101)</f>
        <v/>
      </c>
      <c r="N98">
        <f>IF([2]Entry!$M$101="","",[2]Entry!$M$101)</f>
        <v/>
      </c>
      <c r="O98">
        <f>IF([2]Entry!$N$101="","",[2]Entry!$N$101)</f>
        <v/>
      </c>
      <c r="P98">
        <f>IF([2]Entry!$R$101="","",[2]Entry!$R$101)</f>
        <v/>
      </c>
    </row>
    <row r="99">
      <c r="A99">
        <f>IF([1]Accounts!$D$100="","",[1]Accounts!$A$100)</f>
        <v/>
      </c>
      <c r="B99">
        <f>IF([1]Accounts!$D$100="","",[1]Accounts!$B$100)</f>
        <v/>
      </c>
      <c r="C99">
        <f>IF([1]Accounts!$D$100="","",[1]Accounts!$C$100)</f>
        <v/>
      </c>
      <c r="D99">
        <f>IF([1]Accounts!$D$100="","",[1]Accounts!$D$100)</f>
        <v/>
      </c>
      <c r="E99">
        <f>IF([1]Accounts!$D$100="","",[1]Accounts!$J$100)</f>
        <v/>
      </c>
      <c r="F99">
        <f>IF([1]Accounts!$D$100="","",[1]Accounts!$K$100)</f>
        <v/>
      </c>
      <c r="J99">
        <f>IF([2]Entry!$C$102="","",[2]Entry!$C$102)</f>
        <v/>
      </c>
      <c r="K99">
        <f>IF([2]Entry!$D$102="","",[2]Entry!$D$102)</f>
        <v/>
      </c>
      <c r="L99">
        <f>IF([2]Entry!$E$102="","",[2]Entry!$E$102)</f>
        <v/>
      </c>
      <c r="M99">
        <f>IF([2]Entry!$G$102="","",[2]Entry!$G$102)</f>
        <v/>
      </c>
      <c r="N99">
        <f>IF([2]Entry!$M$102="","",[2]Entry!$M$102)</f>
        <v/>
      </c>
      <c r="O99">
        <f>IF([2]Entry!$N$102="","",[2]Entry!$N$102)</f>
        <v/>
      </c>
      <c r="P99">
        <f>IF([2]Entry!$R$102="","",[2]Entry!$R$102)</f>
        <v/>
      </c>
    </row>
    <row r="100">
      <c r="A100">
        <f>IF([1]Accounts!$D$101="","",[1]Accounts!$A$101)</f>
        <v/>
      </c>
      <c r="B100">
        <f>IF([1]Accounts!$D$101="","",[1]Accounts!$B$101)</f>
        <v/>
      </c>
      <c r="C100">
        <f>IF([1]Accounts!$D$101="","",[1]Accounts!$C$101)</f>
        <v/>
      </c>
      <c r="D100">
        <f>IF([1]Accounts!$D$101="","",[1]Accounts!$D$101)</f>
        <v/>
      </c>
      <c r="E100">
        <f>IF([1]Accounts!$D$101="","",[1]Accounts!$J$101)</f>
        <v/>
      </c>
      <c r="F100">
        <f>IF([1]Accounts!$D$101="","",[1]Accounts!$K$101)</f>
        <v/>
      </c>
      <c r="J100">
        <f>IF([2]Entry!$C$103="","",[2]Entry!$C$103)</f>
        <v/>
      </c>
      <c r="K100">
        <f>IF([2]Entry!$D$103="","",[2]Entry!$D$103)</f>
        <v/>
      </c>
      <c r="L100">
        <f>IF([2]Entry!$E$103="","",[2]Entry!$E$103)</f>
        <v/>
      </c>
      <c r="M100">
        <f>IF([2]Entry!$G$103="","",[2]Entry!$G$103)</f>
        <v/>
      </c>
      <c r="N100">
        <f>IF([2]Entry!$M$103="","",[2]Entry!$M$103)</f>
        <v/>
      </c>
      <c r="O100">
        <f>IF([2]Entry!$N$103="","",[2]Entry!$N$103)</f>
        <v/>
      </c>
      <c r="P100">
        <f>IF([2]Entry!$R$103="","",[2]Entry!$R$103)</f>
        <v/>
      </c>
    </row>
    <row r="101">
      <c r="A101">
        <f>IF([1]Accounts!$D$102="","",[1]Accounts!$A$102)</f>
        <v/>
      </c>
      <c r="B101">
        <f>IF([1]Accounts!$D$102="","",[1]Accounts!$B$102)</f>
        <v/>
      </c>
      <c r="C101">
        <f>IF([1]Accounts!$D$102="","",[1]Accounts!$C$102)</f>
        <v/>
      </c>
      <c r="D101">
        <f>IF([1]Accounts!$D$102="","",[1]Accounts!$D$102)</f>
        <v/>
      </c>
      <c r="E101">
        <f>IF([1]Accounts!$D$102="","",[1]Accounts!$J$102)</f>
        <v/>
      </c>
      <c r="F101">
        <f>IF([1]Accounts!$D$102="","",[1]Accounts!$K$102)</f>
        <v/>
      </c>
      <c r="J101">
        <f>IF([2]Entry!$C$104="","",[2]Entry!$C$104)</f>
        <v/>
      </c>
      <c r="K101">
        <f>IF([2]Entry!$D$104="","",[2]Entry!$D$104)</f>
        <v/>
      </c>
      <c r="L101">
        <f>IF([2]Entry!$E$104="","",[2]Entry!$E$104)</f>
        <v/>
      </c>
      <c r="M101">
        <f>IF([2]Entry!$G$104="","",[2]Entry!$G$104)</f>
        <v/>
      </c>
      <c r="N101">
        <f>IF([2]Entry!$M$104="","",[2]Entry!$M$104)</f>
        <v/>
      </c>
      <c r="O101">
        <f>IF([2]Entry!$N$104="","",[2]Entry!$N$104)</f>
        <v/>
      </c>
      <c r="P101">
        <f>IF([2]Entry!$R$104="","",[2]Entry!$R$104)</f>
        <v/>
      </c>
    </row>
    <row r="102">
      <c r="A102">
        <f>IF([1]Accounts!$D$103="","",[1]Accounts!$A$103)</f>
        <v/>
      </c>
      <c r="B102">
        <f>IF([1]Accounts!$D$103="","",[1]Accounts!$B$103)</f>
        <v/>
      </c>
      <c r="C102">
        <f>IF([1]Accounts!$D$103="","",[1]Accounts!$C$103)</f>
        <v/>
      </c>
      <c r="D102">
        <f>IF([1]Accounts!$D$103="","",[1]Accounts!$D$103)</f>
        <v/>
      </c>
      <c r="E102">
        <f>IF([1]Accounts!$D$103="","",[1]Accounts!$J$103)</f>
        <v/>
      </c>
      <c r="F102">
        <f>IF([1]Accounts!$D$103="","",[1]Accounts!$K$103)</f>
        <v/>
      </c>
      <c r="J102">
        <f>IF([2]Entry!$C$105="","",[2]Entry!$C$105)</f>
        <v/>
      </c>
      <c r="K102">
        <f>IF([2]Entry!$D$105="","",[2]Entry!$D$105)</f>
        <v/>
      </c>
      <c r="L102">
        <f>IF([2]Entry!$E$105="","",[2]Entry!$E$105)</f>
        <v/>
      </c>
      <c r="M102">
        <f>IF([2]Entry!$G$105="","",[2]Entry!$G$105)</f>
        <v/>
      </c>
      <c r="N102">
        <f>IF([2]Entry!$M$105="","",[2]Entry!$M$105)</f>
        <v/>
      </c>
      <c r="O102">
        <f>IF([2]Entry!$N$105="","",[2]Entry!$N$105)</f>
        <v/>
      </c>
      <c r="P102">
        <f>IF([2]Entry!$R$105="","",[2]Entry!$R$105)</f>
        <v/>
      </c>
    </row>
    <row r="103">
      <c r="A103">
        <f>IF([1]Accounts!$D$104="","",[1]Accounts!$A$104)</f>
        <v/>
      </c>
      <c r="B103">
        <f>IF([1]Accounts!$D$104="","",[1]Accounts!$B$104)</f>
        <v/>
      </c>
      <c r="C103">
        <f>IF([1]Accounts!$D$104="","",[1]Accounts!$C$104)</f>
        <v/>
      </c>
      <c r="D103">
        <f>IF([1]Accounts!$D$104="","",[1]Accounts!$D$104)</f>
        <v/>
      </c>
      <c r="E103">
        <f>IF([1]Accounts!$D$104="","",[1]Accounts!$J$104)</f>
        <v/>
      </c>
      <c r="F103">
        <f>IF([1]Accounts!$D$104="","",[1]Accounts!$K$104)</f>
        <v/>
      </c>
      <c r="J103">
        <f>IF([2]Entry!$C$106="","",[2]Entry!$C$106)</f>
        <v/>
      </c>
      <c r="K103">
        <f>IF([2]Entry!$D$106="","",[2]Entry!$D$106)</f>
        <v/>
      </c>
      <c r="L103">
        <f>IF([2]Entry!$E$106="","",[2]Entry!$E$106)</f>
        <v/>
      </c>
      <c r="M103">
        <f>IF([2]Entry!$G$106="","",[2]Entry!$G$106)</f>
        <v/>
      </c>
      <c r="N103">
        <f>IF([2]Entry!$M$106="","",[2]Entry!$M$106)</f>
        <v/>
      </c>
      <c r="O103">
        <f>IF([2]Entry!$N$106="","",[2]Entry!$N$106)</f>
        <v/>
      </c>
      <c r="P103">
        <f>IF([2]Entry!$R$106="","",[2]Entry!$R$106)</f>
        <v/>
      </c>
    </row>
    <row r="104">
      <c r="A104">
        <f>IF([1]Accounts!$D$105="","",[1]Accounts!$A$105)</f>
        <v/>
      </c>
      <c r="B104">
        <f>IF([1]Accounts!$D$105="","",[1]Accounts!$B$105)</f>
        <v/>
      </c>
      <c r="C104">
        <f>IF([1]Accounts!$D$105="","",[1]Accounts!$C$105)</f>
        <v/>
      </c>
      <c r="D104">
        <f>IF([1]Accounts!$D$105="","",[1]Accounts!$D$105)</f>
        <v/>
      </c>
      <c r="E104">
        <f>IF([1]Accounts!$D$105="","",[1]Accounts!$J$105)</f>
        <v/>
      </c>
      <c r="F104">
        <f>IF([1]Accounts!$D$105="","",[1]Accounts!$K$105)</f>
        <v/>
      </c>
      <c r="J104">
        <f>IF([2]Entry!$C$107="","",[2]Entry!$C$107)</f>
        <v/>
      </c>
      <c r="K104">
        <f>IF([2]Entry!$D$107="","",[2]Entry!$D$107)</f>
        <v/>
      </c>
      <c r="L104">
        <f>IF([2]Entry!$E$107="","",[2]Entry!$E$107)</f>
        <v/>
      </c>
      <c r="M104">
        <f>IF([2]Entry!$G$107="","",[2]Entry!$G$107)</f>
        <v/>
      </c>
      <c r="N104">
        <f>IF([2]Entry!$M$107="","",[2]Entry!$M$107)</f>
        <v/>
      </c>
      <c r="O104">
        <f>IF([2]Entry!$N$107="","",[2]Entry!$N$107)</f>
        <v/>
      </c>
      <c r="P104">
        <f>IF([2]Entry!$R$107="","",[2]Entry!$R$107)</f>
        <v/>
      </c>
    </row>
    <row r="105">
      <c r="A105">
        <f>IF([1]Accounts!$D$106="","",[1]Accounts!$A$106)</f>
        <v/>
      </c>
      <c r="B105">
        <f>IF([1]Accounts!$D$106="","",[1]Accounts!$B$106)</f>
        <v/>
      </c>
      <c r="C105">
        <f>IF([1]Accounts!$D$106="","",[1]Accounts!$C$106)</f>
        <v/>
      </c>
      <c r="D105">
        <f>IF([1]Accounts!$D$106="","",[1]Accounts!$D$106)</f>
        <v/>
      </c>
      <c r="E105">
        <f>IF([1]Accounts!$D$106="","",[1]Accounts!$J$106)</f>
        <v/>
      </c>
      <c r="F105">
        <f>IF([1]Accounts!$D$106="","",[1]Accounts!$K$106)</f>
        <v/>
      </c>
      <c r="J105">
        <f>IF([2]Entry!$C$108="","",[2]Entry!$C$108)</f>
        <v/>
      </c>
      <c r="K105">
        <f>IF([2]Entry!$D$108="","",[2]Entry!$D$108)</f>
        <v/>
      </c>
      <c r="L105">
        <f>IF([2]Entry!$E$108="","",[2]Entry!$E$108)</f>
        <v/>
      </c>
      <c r="M105">
        <f>IF([2]Entry!$G$108="","",[2]Entry!$G$108)</f>
        <v/>
      </c>
      <c r="N105">
        <f>IF([2]Entry!$M$108="","",[2]Entry!$M$108)</f>
        <v/>
      </c>
      <c r="O105">
        <f>IF([2]Entry!$N$108="","",[2]Entry!$N$108)</f>
        <v/>
      </c>
      <c r="P105">
        <f>IF([2]Entry!$R$108="","",[2]Entry!$R$108)</f>
        <v/>
      </c>
    </row>
    <row r="106">
      <c r="A106">
        <f>IF([1]Accounts!$D$107="","",[1]Accounts!$A$107)</f>
        <v/>
      </c>
      <c r="B106">
        <f>IF([1]Accounts!$D$107="","",[1]Accounts!$B$107)</f>
        <v/>
      </c>
      <c r="C106">
        <f>IF([1]Accounts!$D$107="","",[1]Accounts!$C$107)</f>
        <v/>
      </c>
      <c r="D106">
        <f>IF([1]Accounts!$D$107="","",[1]Accounts!$D$107)</f>
        <v/>
      </c>
      <c r="E106">
        <f>IF([1]Accounts!$D$107="","",[1]Accounts!$J$107)</f>
        <v/>
      </c>
      <c r="F106">
        <f>IF([1]Accounts!$D$107="","",[1]Accounts!$K$107)</f>
        <v/>
      </c>
      <c r="J106">
        <f>IF([2]Entry!$C$109="","",[2]Entry!$C$109)</f>
        <v/>
      </c>
      <c r="K106">
        <f>IF([2]Entry!$D$109="","",[2]Entry!$D$109)</f>
        <v/>
      </c>
      <c r="L106">
        <f>IF([2]Entry!$E$109="","",[2]Entry!$E$109)</f>
        <v/>
      </c>
      <c r="M106">
        <f>IF([2]Entry!$G$109="","",[2]Entry!$G$109)</f>
        <v/>
      </c>
      <c r="N106">
        <f>IF([2]Entry!$M$109="","",[2]Entry!$M$109)</f>
        <v/>
      </c>
      <c r="O106">
        <f>IF([2]Entry!$N$109="","",[2]Entry!$N$109)</f>
        <v/>
      </c>
      <c r="P106">
        <f>IF([2]Entry!$R$109="","",[2]Entry!$R$109)</f>
        <v/>
      </c>
    </row>
    <row r="107">
      <c r="A107">
        <f>IF([1]Accounts!$D$108="","",[1]Accounts!$A$108)</f>
        <v/>
      </c>
      <c r="B107">
        <f>IF([1]Accounts!$D$108="","",[1]Accounts!$B$108)</f>
        <v/>
      </c>
      <c r="C107">
        <f>IF([1]Accounts!$D$108="","",[1]Accounts!$C$108)</f>
        <v/>
      </c>
      <c r="D107">
        <f>IF([1]Accounts!$D$108="","",[1]Accounts!$D$108)</f>
        <v/>
      </c>
      <c r="E107">
        <f>IF([1]Accounts!$D$108="","",[1]Accounts!$J$108)</f>
        <v/>
      </c>
      <c r="F107">
        <f>IF([1]Accounts!$D$108="","",[1]Accounts!$K$108)</f>
        <v/>
      </c>
      <c r="J107">
        <f>IF([2]Entry!$C$110="","",[2]Entry!$C$110)</f>
        <v/>
      </c>
      <c r="K107">
        <f>IF([2]Entry!$D$110="","",[2]Entry!$D$110)</f>
        <v/>
      </c>
      <c r="L107">
        <f>IF([2]Entry!$E$110="","",[2]Entry!$E$110)</f>
        <v/>
      </c>
      <c r="M107">
        <f>IF([2]Entry!$G$110="","",[2]Entry!$G$110)</f>
        <v/>
      </c>
      <c r="N107">
        <f>IF([2]Entry!$M$110="","",[2]Entry!$M$110)</f>
        <v/>
      </c>
      <c r="O107">
        <f>IF([2]Entry!$N$110="","",[2]Entry!$N$110)</f>
        <v/>
      </c>
      <c r="P107">
        <f>IF([2]Entry!$R$110="","",[2]Entry!$R$110)</f>
        <v/>
      </c>
    </row>
    <row r="108">
      <c r="A108">
        <f>IF([1]Accounts!$D$109="","",[1]Accounts!$A$109)</f>
        <v/>
      </c>
      <c r="B108">
        <f>IF([1]Accounts!$D$109="","",[1]Accounts!$B$109)</f>
        <v/>
      </c>
      <c r="C108">
        <f>IF([1]Accounts!$D$109="","",[1]Accounts!$C$109)</f>
        <v/>
      </c>
      <c r="D108">
        <f>IF([1]Accounts!$D$109="","",[1]Accounts!$D$109)</f>
        <v/>
      </c>
      <c r="E108">
        <f>IF([1]Accounts!$D$109="","",[1]Accounts!$J$109)</f>
        <v/>
      </c>
      <c r="F108">
        <f>IF([1]Accounts!$D$109="","",[1]Accounts!$K$109)</f>
        <v/>
      </c>
      <c r="J108">
        <f>IF([2]Entry!$C$111="","",[2]Entry!$C$111)</f>
        <v/>
      </c>
      <c r="K108">
        <f>IF([2]Entry!$D$111="","",[2]Entry!$D$111)</f>
        <v/>
      </c>
      <c r="L108">
        <f>IF([2]Entry!$E$111="","",[2]Entry!$E$111)</f>
        <v/>
      </c>
      <c r="M108">
        <f>IF([2]Entry!$G$111="","",[2]Entry!$G$111)</f>
        <v/>
      </c>
      <c r="N108">
        <f>IF([2]Entry!$M$111="","",[2]Entry!$M$111)</f>
        <v/>
      </c>
      <c r="O108">
        <f>IF([2]Entry!$N$111="","",[2]Entry!$N$111)</f>
        <v/>
      </c>
      <c r="P108">
        <f>IF([2]Entry!$R$111="","",[2]Entry!$R$111)</f>
        <v/>
      </c>
    </row>
    <row r="109">
      <c r="A109">
        <f>IF([1]Accounts!$D$110="","",[1]Accounts!$A$110)</f>
        <v/>
      </c>
      <c r="B109">
        <f>IF([1]Accounts!$D$110="","",[1]Accounts!$B$110)</f>
        <v/>
      </c>
      <c r="C109">
        <f>IF([1]Accounts!$D$110="","",[1]Accounts!$C$110)</f>
        <v/>
      </c>
      <c r="D109">
        <f>IF([1]Accounts!$D$110="","",[1]Accounts!$D$110)</f>
        <v/>
      </c>
      <c r="E109">
        <f>IF([1]Accounts!$D$110="","",[1]Accounts!$J$110)</f>
        <v/>
      </c>
      <c r="F109">
        <f>IF([1]Accounts!$D$110="","",[1]Accounts!$K$110)</f>
        <v/>
      </c>
      <c r="J109">
        <f>IF([2]Entry!$C$112="","",[2]Entry!$C$112)</f>
        <v/>
      </c>
      <c r="K109">
        <f>IF([2]Entry!$D$112="","",[2]Entry!$D$112)</f>
        <v/>
      </c>
      <c r="L109">
        <f>IF([2]Entry!$E$112="","",[2]Entry!$E$112)</f>
        <v/>
      </c>
      <c r="M109">
        <f>IF([2]Entry!$G$112="","",[2]Entry!$G$112)</f>
        <v/>
      </c>
      <c r="N109">
        <f>IF([2]Entry!$M$112="","",[2]Entry!$M$112)</f>
        <v/>
      </c>
      <c r="O109">
        <f>IF([2]Entry!$N$112="","",[2]Entry!$N$112)</f>
        <v/>
      </c>
      <c r="P109">
        <f>IF([2]Entry!$R$112="","",[2]Entry!$R$112)</f>
        <v/>
      </c>
    </row>
    <row r="110">
      <c r="A110">
        <f>IF([1]Accounts!$D$111="","",[1]Accounts!$A$111)</f>
        <v/>
      </c>
      <c r="B110">
        <f>IF([1]Accounts!$D$111="","",[1]Accounts!$B$111)</f>
        <v/>
      </c>
      <c r="C110">
        <f>IF([1]Accounts!$D$111="","",[1]Accounts!$C$111)</f>
        <v/>
      </c>
      <c r="D110">
        <f>IF([1]Accounts!$D$111="","",[1]Accounts!$D$111)</f>
        <v/>
      </c>
      <c r="E110">
        <f>IF([1]Accounts!$D$111="","",[1]Accounts!$J$111)</f>
        <v/>
      </c>
      <c r="F110">
        <f>IF([1]Accounts!$D$111="","",[1]Accounts!$K$111)</f>
        <v/>
      </c>
      <c r="J110">
        <f>IF([2]Entry!$C$113="","",[2]Entry!$C$113)</f>
        <v/>
      </c>
      <c r="K110">
        <f>IF([2]Entry!$D$113="","",[2]Entry!$D$113)</f>
        <v/>
      </c>
      <c r="L110">
        <f>IF([2]Entry!$E$113="","",[2]Entry!$E$113)</f>
        <v/>
      </c>
      <c r="M110">
        <f>IF([2]Entry!$G$113="","",[2]Entry!$G$113)</f>
        <v/>
      </c>
      <c r="N110">
        <f>IF([2]Entry!$M$113="","",[2]Entry!$M$113)</f>
        <v/>
      </c>
      <c r="O110">
        <f>IF([2]Entry!$N$113="","",[2]Entry!$N$113)</f>
        <v/>
      </c>
      <c r="P110">
        <f>IF([2]Entry!$R$113="","",[2]Entry!$R$113)</f>
        <v/>
      </c>
    </row>
    <row r="111">
      <c r="A111">
        <f>IF([1]Accounts!$D$112="","",[1]Accounts!$A$112)</f>
        <v/>
      </c>
      <c r="B111">
        <f>IF([1]Accounts!$D$112="","",[1]Accounts!$B$112)</f>
        <v/>
      </c>
      <c r="C111">
        <f>IF([1]Accounts!$D$112="","",[1]Accounts!$C$112)</f>
        <v/>
      </c>
      <c r="D111">
        <f>IF([1]Accounts!$D$112="","",[1]Accounts!$D$112)</f>
        <v/>
      </c>
      <c r="E111">
        <f>IF([1]Accounts!$D$112="","",[1]Accounts!$J$112)</f>
        <v/>
      </c>
      <c r="F111">
        <f>IF([1]Accounts!$D$112="","",[1]Accounts!$K$112)</f>
        <v/>
      </c>
      <c r="J111">
        <f>IF([2]Entry!$C$114="","",[2]Entry!$C$114)</f>
        <v/>
      </c>
      <c r="K111">
        <f>IF([2]Entry!$D$114="","",[2]Entry!$D$114)</f>
        <v/>
      </c>
      <c r="L111">
        <f>IF([2]Entry!$E$114="","",[2]Entry!$E$114)</f>
        <v/>
      </c>
      <c r="M111">
        <f>IF([2]Entry!$G$114="","",[2]Entry!$G$114)</f>
        <v/>
      </c>
      <c r="N111">
        <f>IF([2]Entry!$M$114="","",[2]Entry!$M$114)</f>
        <v/>
      </c>
      <c r="O111">
        <f>IF([2]Entry!$N$114="","",[2]Entry!$N$114)</f>
        <v/>
      </c>
      <c r="P111">
        <f>IF([2]Entry!$R$114="","",[2]Entry!$R$114)</f>
        <v/>
      </c>
    </row>
    <row r="112">
      <c r="A112">
        <f>IF([1]Accounts!$D$113="","",[1]Accounts!$A$113)</f>
        <v/>
      </c>
      <c r="B112">
        <f>IF([1]Accounts!$D$113="","",[1]Accounts!$B$113)</f>
        <v/>
      </c>
      <c r="C112">
        <f>IF([1]Accounts!$D$113="","",[1]Accounts!$C$113)</f>
        <v/>
      </c>
      <c r="D112">
        <f>IF([1]Accounts!$D$113="","",[1]Accounts!$D$113)</f>
        <v/>
      </c>
      <c r="E112">
        <f>IF([1]Accounts!$D$113="","",[1]Accounts!$J$113)</f>
        <v/>
      </c>
      <c r="F112">
        <f>IF([1]Accounts!$D$113="","",[1]Accounts!$K$113)</f>
        <v/>
      </c>
      <c r="J112">
        <f>IF([2]Entry!$C$115="","",[2]Entry!$C$115)</f>
        <v/>
      </c>
      <c r="K112">
        <f>IF([2]Entry!$D$115="","",[2]Entry!$D$115)</f>
        <v/>
      </c>
      <c r="L112">
        <f>IF([2]Entry!$E$115="","",[2]Entry!$E$115)</f>
        <v/>
      </c>
      <c r="M112">
        <f>IF([2]Entry!$G$115="","",[2]Entry!$G$115)</f>
        <v/>
      </c>
      <c r="N112">
        <f>IF([2]Entry!$M$115="","",[2]Entry!$M$115)</f>
        <v/>
      </c>
      <c r="O112">
        <f>IF([2]Entry!$N$115="","",[2]Entry!$N$115)</f>
        <v/>
      </c>
      <c r="P112">
        <f>IF([2]Entry!$R$115="","",[2]Entry!$R$115)</f>
        <v/>
      </c>
    </row>
    <row r="113">
      <c r="A113">
        <f>IF([1]Accounts!$D$114="","",[1]Accounts!$A$114)</f>
        <v/>
      </c>
      <c r="B113">
        <f>IF([1]Accounts!$D$114="","",[1]Accounts!$B$114)</f>
        <v/>
      </c>
      <c r="C113">
        <f>IF([1]Accounts!$D$114="","",[1]Accounts!$C$114)</f>
        <v/>
      </c>
      <c r="D113">
        <f>IF([1]Accounts!$D$114="","",[1]Accounts!$D$114)</f>
        <v/>
      </c>
      <c r="E113">
        <f>IF([1]Accounts!$D$114="","",[1]Accounts!$J$114)</f>
        <v/>
      </c>
      <c r="F113">
        <f>IF([1]Accounts!$D$114="","",[1]Accounts!$K$114)</f>
        <v/>
      </c>
      <c r="J113">
        <f>IF([2]Entry!$C$116="","",[2]Entry!$C$116)</f>
        <v/>
      </c>
      <c r="K113">
        <f>IF([2]Entry!$D$116="","",[2]Entry!$D$116)</f>
        <v/>
      </c>
      <c r="L113">
        <f>IF([2]Entry!$E$116="","",[2]Entry!$E$116)</f>
        <v/>
      </c>
      <c r="M113">
        <f>IF([2]Entry!$G$116="","",[2]Entry!$G$116)</f>
        <v/>
      </c>
      <c r="N113">
        <f>IF([2]Entry!$M$116="","",[2]Entry!$M$116)</f>
        <v/>
      </c>
      <c r="O113">
        <f>IF([2]Entry!$N$116="","",[2]Entry!$N$116)</f>
        <v/>
      </c>
      <c r="P113">
        <f>IF([2]Entry!$R$116="","",[2]Entry!$R$116)</f>
        <v/>
      </c>
    </row>
    <row r="114">
      <c r="A114">
        <f>IF([1]Accounts!$D$115="","",[1]Accounts!$A$115)</f>
        <v/>
      </c>
      <c r="B114">
        <f>IF([1]Accounts!$D$115="","",[1]Accounts!$B$115)</f>
        <v/>
      </c>
      <c r="C114">
        <f>IF([1]Accounts!$D$115="","",[1]Accounts!$C$115)</f>
        <v/>
      </c>
      <c r="D114">
        <f>IF([1]Accounts!$D$115="","",[1]Accounts!$D$115)</f>
        <v/>
      </c>
      <c r="E114">
        <f>IF([1]Accounts!$D$115="","",[1]Accounts!$J$115)</f>
        <v/>
      </c>
      <c r="F114">
        <f>IF([1]Accounts!$D$115="","",[1]Accounts!$K$115)</f>
        <v/>
      </c>
      <c r="J114">
        <f>IF([2]Entry!$C$117="","",[2]Entry!$C$117)</f>
        <v/>
      </c>
      <c r="K114">
        <f>IF([2]Entry!$D$117="","",[2]Entry!$D$117)</f>
        <v/>
      </c>
      <c r="L114">
        <f>IF([2]Entry!$E$117="","",[2]Entry!$E$117)</f>
        <v/>
      </c>
      <c r="M114">
        <f>IF([2]Entry!$G$117="","",[2]Entry!$G$117)</f>
        <v/>
      </c>
      <c r="N114">
        <f>IF([2]Entry!$M$117="","",[2]Entry!$M$117)</f>
        <v/>
      </c>
      <c r="O114">
        <f>IF([2]Entry!$N$117="","",[2]Entry!$N$117)</f>
        <v/>
      </c>
      <c r="P114">
        <f>IF([2]Entry!$R$117="","",[2]Entry!$R$117)</f>
        <v/>
      </c>
    </row>
    <row r="115">
      <c r="A115">
        <f>IF([1]Accounts!$D$116="","",[1]Accounts!$A$116)</f>
        <v/>
      </c>
      <c r="B115">
        <f>IF([1]Accounts!$D$116="","",[1]Accounts!$B$116)</f>
        <v/>
      </c>
      <c r="C115">
        <f>IF([1]Accounts!$D$116="","",[1]Accounts!$C$116)</f>
        <v/>
      </c>
      <c r="D115">
        <f>IF([1]Accounts!$D$116="","",[1]Accounts!$D$116)</f>
        <v/>
      </c>
      <c r="E115">
        <f>IF([1]Accounts!$D$116="","",[1]Accounts!$J$116)</f>
        <v/>
      </c>
      <c r="F115">
        <f>IF([1]Accounts!$D$116="","",[1]Accounts!$K$116)</f>
        <v/>
      </c>
      <c r="J115">
        <f>IF([2]Entry!$C$118="","",[2]Entry!$C$118)</f>
        <v/>
      </c>
      <c r="K115">
        <f>IF([2]Entry!$D$118="","",[2]Entry!$D$118)</f>
        <v/>
      </c>
      <c r="L115">
        <f>IF([2]Entry!$E$118="","",[2]Entry!$E$118)</f>
        <v/>
      </c>
      <c r="M115">
        <f>IF([2]Entry!$G$118="","",[2]Entry!$G$118)</f>
        <v/>
      </c>
      <c r="N115">
        <f>IF([2]Entry!$M$118="","",[2]Entry!$M$118)</f>
        <v/>
      </c>
      <c r="O115">
        <f>IF([2]Entry!$N$118="","",[2]Entry!$N$118)</f>
        <v/>
      </c>
      <c r="P115">
        <f>IF([2]Entry!$R$118="","",[2]Entry!$R$118)</f>
        <v/>
      </c>
    </row>
    <row r="116">
      <c r="A116">
        <f>IF([1]Accounts!$D$117="","",[1]Accounts!$A$117)</f>
        <v/>
      </c>
      <c r="B116">
        <f>IF([1]Accounts!$D$117="","",[1]Accounts!$B$117)</f>
        <v/>
      </c>
      <c r="C116">
        <f>IF([1]Accounts!$D$117="","",[1]Accounts!$C$117)</f>
        <v/>
      </c>
      <c r="D116">
        <f>IF([1]Accounts!$D$117="","",[1]Accounts!$D$117)</f>
        <v/>
      </c>
      <c r="E116">
        <f>IF([1]Accounts!$D$117="","",[1]Accounts!$J$117)</f>
        <v/>
      </c>
      <c r="F116">
        <f>IF([1]Accounts!$D$117="","",[1]Accounts!$K$117)</f>
        <v/>
      </c>
      <c r="J116">
        <f>IF([2]Entry!$C$119="","",[2]Entry!$C$119)</f>
        <v/>
      </c>
      <c r="K116">
        <f>IF([2]Entry!$D$119="","",[2]Entry!$D$119)</f>
        <v/>
      </c>
      <c r="L116">
        <f>IF([2]Entry!$E$119="","",[2]Entry!$E$119)</f>
        <v/>
      </c>
      <c r="M116">
        <f>IF([2]Entry!$G$119="","",[2]Entry!$G$119)</f>
        <v/>
      </c>
      <c r="N116">
        <f>IF([2]Entry!$M$119="","",[2]Entry!$M$119)</f>
        <v/>
      </c>
      <c r="O116">
        <f>IF([2]Entry!$N$119="","",[2]Entry!$N$119)</f>
        <v/>
      </c>
      <c r="P116">
        <f>IF([2]Entry!$R$119="","",[2]Entry!$R$119)</f>
        <v/>
      </c>
    </row>
    <row r="117">
      <c r="A117">
        <f>IF([1]Accounts!$D$118="","",[1]Accounts!$A$118)</f>
        <v/>
      </c>
      <c r="B117">
        <f>IF([1]Accounts!$D$118="","",[1]Accounts!$B$118)</f>
        <v/>
      </c>
      <c r="C117">
        <f>IF([1]Accounts!$D$118="","",[1]Accounts!$C$118)</f>
        <v/>
      </c>
      <c r="D117">
        <f>IF([1]Accounts!$D$118="","",[1]Accounts!$D$118)</f>
        <v/>
      </c>
      <c r="E117">
        <f>IF([1]Accounts!$D$118="","",[1]Accounts!$J$118)</f>
        <v/>
      </c>
      <c r="F117">
        <f>IF([1]Accounts!$D$118="","",[1]Accounts!$K$118)</f>
        <v/>
      </c>
      <c r="J117">
        <f>IF([2]Entry!$C$120="","",[2]Entry!$C$120)</f>
        <v/>
      </c>
      <c r="K117">
        <f>IF([2]Entry!$D$120="","",[2]Entry!$D$120)</f>
        <v/>
      </c>
      <c r="L117">
        <f>IF([2]Entry!$E$120="","",[2]Entry!$E$120)</f>
        <v/>
      </c>
      <c r="M117">
        <f>IF([2]Entry!$G$120="","",[2]Entry!$G$120)</f>
        <v/>
      </c>
      <c r="N117">
        <f>IF([2]Entry!$M$120="","",[2]Entry!$M$120)</f>
        <v/>
      </c>
      <c r="O117">
        <f>IF([2]Entry!$N$120="","",[2]Entry!$N$120)</f>
        <v/>
      </c>
      <c r="P117">
        <f>IF([2]Entry!$R$120="","",[2]Entry!$R$120)</f>
        <v/>
      </c>
    </row>
    <row r="118">
      <c r="A118">
        <f>IF([1]Accounts!$D$119="","",[1]Accounts!$A$119)</f>
        <v/>
      </c>
      <c r="B118">
        <f>IF([1]Accounts!$D$119="","",[1]Accounts!$B$119)</f>
        <v/>
      </c>
      <c r="C118">
        <f>IF([1]Accounts!$D$119="","",[1]Accounts!$C$119)</f>
        <v/>
      </c>
      <c r="D118">
        <f>IF([1]Accounts!$D$119="","",[1]Accounts!$D$119)</f>
        <v/>
      </c>
      <c r="E118">
        <f>IF([1]Accounts!$D$119="","",[1]Accounts!$J$119)</f>
        <v/>
      </c>
      <c r="F118">
        <f>IF([1]Accounts!$D$119="","",[1]Accounts!$K$119)</f>
        <v/>
      </c>
      <c r="J118">
        <f>IF([2]Entry!$C$121="","",[2]Entry!$C$121)</f>
        <v/>
      </c>
      <c r="K118">
        <f>IF([2]Entry!$D$121="","",[2]Entry!$D$121)</f>
        <v/>
      </c>
      <c r="L118">
        <f>IF([2]Entry!$E$121="","",[2]Entry!$E$121)</f>
        <v/>
      </c>
      <c r="M118">
        <f>IF([2]Entry!$G$121="","",[2]Entry!$G$121)</f>
        <v/>
      </c>
      <c r="N118">
        <f>IF([2]Entry!$M$121="","",[2]Entry!$M$121)</f>
        <v/>
      </c>
      <c r="O118">
        <f>IF([2]Entry!$N$121="","",[2]Entry!$N$121)</f>
        <v/>
      </c>
      <c r="P118">
        <f>IF([2]Entry!$R$121="","",[2]Entry!$R$121)</f>
        <v/>
      </c>
    </row>
    <row r="119">
      <c r="A119">
        <f>IF([1]Accounts!$D$120="","",[1]Accounts!$A$120)</f>
        <v/>
      </c>
      <c r="B119">
        <f>IF([1]Accounts!$D$120="","",[1]Accounts!$B$120)</f>
        <v/>
      </c>
      <c r="C119">
        <f>IF([1]Accounts!$D$120="","",[1]Accounts!$C$120)</f>
        <v/>
      </c>
      <c r="D119">
        <f>IF([1]Accounts!$D$120="","",[1]Accounts!$D$120)</f>
        <v/>
      </c>
      <c r="E119">
        <f>IF([1]Accounts!$D$120="","",[1]Accounts!$J$120)</f>
        <v/>
      </c>
      <c r="F119">
        <f>IF([1]Accounts!$D$120="","",[1]Accounts!$K$120)</f>
        <v/>
      </c>
      <c r="J119">
        <f>IF([2]Entry!$C$122="","",[2]Entry!$C$122)</f>
        <v/>
      </c>
      <c r="K119">
        <f>IF([2]Entry!$D$122="","",[2]Entry!$D$122)</f>
        <v/>
      </c>
      <c r="L119">
        <f>IF([2]Entry!$E$122="","",[2]Entry!$E$122)</f>
        <v/>
      </c>
      <c r="M119">
        <f>IF([2]Entry!$G$122="","",[2]Entry!$G$122)</f>
        <v/>
      </c>
      <c r="N119">
        <f>IF([2]Entry!$M$122="","",[2]Entry!$M$122)</f>
        <v/>
      </c>
      <c r="O119">
        <f>IF([2]Entry!$N$122="","",[2]Entry!$N$122)</f>
        <v/>
      </c>
      <c r="P119">
        <f>IF([2]Entry!$R$122="","",[2]Entry!$R$122)</f>
        <v/>
      </c>
    </row>
    <row r="120">
      <c r="A120">
        <f>IF([1]Accounts!$D$121="","",[1]Accounts!$A$121)</f>
        <v/>
      </c>
      <c r="B120">
        <f>IF([1]Accounts!$D$121="","",[1]Accounts!$B$121)</f>
        <v/>
      </c>
      <c r="C120">
        <f>IF([1]Accounts!$D$121="","",[1]Accounts!$C$121)</f>
        <v/>
      </c>
      <c r="D120">
        <f>IF([1]Accounts!$D$121="","",[1]Accounts!$D$121)</f>
        <v/>
      </c>
      <c r="E120">
        <f>IF([1]Accounts!$D$121="","",[1]Accounts!$J$121)</f>
        <v/>
      </c>
      <c r="F120">
        <f>IF([1]Accounts!$D$121="","",[1]Accounts!$K$121)</f>
        <v/>
      </c>
      <c r="J120">
        <f>IF([2]Entry!$C$123="","",[2]Entry!$C$123)</f>
        <v/>
      </c>
      <c r="K120">
        <f>IF([2]Entry!$D$123="","",[2]Entry!$D$123)</f>
        <v/>
      </c>
      <c r="L120">
        <f>IF([2]Entry!$E$123="","",[2]Entry!$E$123)</f>
        <v/>
      </c>
      <c r="M120">
        <f>IF([2]Entry!$G$123="","",[2]Entry!$G$123)</f>
        <v/>
      </c>
      <c r="N120">
        <f>IF([2]Entry!$M$123="","",[2]Entry!$M$123)</f>
        <v/>
      </c>
      <c r="O120">
        <f>IF([2]Entry!$N$123="","",[2]Entry!$N$123)</f>
        <v/>
      </c>
      <c r="P120">
        <f>IF([2]Entry!$R$123="","",[2]Entry!$R$123)</f>
        <v/>
      </c>
    </row>
    <row r="121">
      <c r="A121">
        <f>IF([1]Accounts!$D$122="","",[1]Accounts!$A$122)</f>
        <v/>
      </c>
      <c r="B121">
        <f>IF([1]Accounts!$D$122="","",[1]Accounts!$B$122)</f>
        <v/>
      </c>
      <c r="C121">
        <f>IF([1]Accounts!$D$122="","",[1]Accounts!$C$122)</f>
        <v/>
      </c>
      <c r="D121">
        <f>IF([1]Accounts!$D$122="","",[1]Accounts!$D$122)</f>
        <v/>
      </c>
      <c r="E121">
        <f>IF([1]Accounts!$D$122="","",[1]Accounts!$J$122)</f>
        <v/>
      </c>
      <c r="F121">
        <f>IF([1]Accounts!$D$122="","",[1]Accounts!$K$122)</f>
        <v/>
      </c>
      <c r="J121">
        <f>IF([2]Entry!$C$124="","",[2]Entry!$C$124)</f>
        <v/>
      </c>
      <c r="K121">
        <f>IF([2]Entry!$D$124="","",[2]Entry!$D$124)</f>
        <v/>
      </c>
      <c r="L121">
        <f>IF([2]Entry!$E$124="","",[2]Entry!$E$124)</f>
        <v/>
      </c>
      <c r="M121">
        <f>IF([2]Entry!$G$124="","",[2]Entry!$G$124)</f>
        <v/>
      </c>
      <c r="N121">
        <f>IF([2]Entry!$M$124="","",[2]Entry!$M$124)</f>
        <v/>
      </c>
      <c r="O121">
        <f>IF([2]Entry!$N$124="","",[2]Entry!$N$124)</f>
        <v/>
      </c>
      <c r="P121">
        <f>IF([2]Entry!$R$124="","",[2]Entry!$R$124)</f>
        <v/>
      </c>
    </row>
    <row r="122">
      <c r="A122">
        <f>IF([1]Accounts!$D$123="","",[1]Accounts!$A$123)</f>
        <v/>
      </c>
      <c r="B122">
        <f>IF([1]Accounts!$D$123="","",[1]Accounts!$B$123)</f>
        <v/>
      </c>
      <c r="C122">
        <f>IF([1]Accounts!$D$123="","",[1]Accounts!$C$123)</f>
        <v/>
      </c>
      <c r="D122">
        <f>IF([1]Accounts!$D$123="","",[1]Accounts!$D$123)</f>
        <v/>
      </c>
      <c r="E122">
        <f>IF([1]Accounts!$D$123="","",[1]Accounts!$J$123)</f>
        <v/>
      </c>
      <c r="F122">
        <f>IF([1]Accounts!$D$123="","",[1]Accounts!$K$123)</f>
        <v/>
      </c>
      <c r="J122">
        <f>IF([2]Entry!$C$125="","",[2]Entry!$C$125)</f>
        <v/>
      </c>
      <c r="K122">
        <f>IF([2]Entry!$D$125="","",[2]Entry!$D$125)</f>
        <v/>
      </c>
      <c r="L122">
        <f>IF([2]Entry!$E$125="","",[2]Entry!$E$125)</f>
        <v/>
      </c>
      <c r="M122">
        <f>IF([2]Entry!$G$125="","",[2]Entry!$G$125)</f>
        <v/>
      </c>
      <c r="N122">
        <f>IF([2]Entry!$M$125="","",[2]Entry!$M$125)</f>
        <v/>
      </c>
      <c r="O122">
        <f>IF([2]Entry!$N$125="","",[2]Entry!$N$125)</f>
        <v/>
      </c>
      <c r="P122">
        <f>IF([2]Entry!$R$125="","",[2]Entry!$R$125)</f>
        <v/>
      </c>
    </row>
    <row r="123">
      <c r="A123">
        <f>IF([1]Accounts!$D$124="","",[1]Accounts!$A$124)</f>
        <v/>
      </c>
      <c r="B123">
        <f>IF([1]Accounts!$D$124="","",[1]Accounts!$B$124)</f>
        <v/>
      </c>
      <c r="C123">
        <f>IF([1]Accounts!$D$124="","",[1]Accounts!$C$124)</f>
        <v/>
      </c>
      <c r="D123">
        <f>IF([1]Accounts!$D$124="","",[1]Accounts!$D$124)</f>
        <v/>
      </c>
      <c r="E123">
        <f>IF([1]Accounts!$D$124="","",[1]Accounts!$J$124)</f>
        <v/>
      </c>
      <c r="F123">
        <f>IF([1]Accounts!$D$124="","",[1]Accounts!$K$124)</f>
        <v/>
      </c>
      <c r="J123">
        <f>IF([2]Entry!$C$126="","",[2]Entry!$C$126)</f>
        <v/>
      </c>
      <c r="K123">
        <f>IF([2]Entry!$D$126="","",[2]Entry!$D$126)</f>
        <v/>
      </c>
      <c r="L123">
        <f>IF([2]Entry!$E$126="","",[2]Entry!$E$126)</f>
        <v/>
      </c>
      <c r="M123">
        <f>IF([2]Entry!$G$126="","",[2]Entry!$G$126)</f>
        <v/>
      </c>
      <c r="N123">
        <f>IF([2]Entry!$M$126="","",[2]Entry!$M$126)</f>
        <v/>
      </c>
      <c r="O123">
        <f>IF([2]Entry!$N$126="","",[2]Entry!$N$126)</f>
        <v/>
      </c>
      <c r="P123">
        <f>IF([2]Entry!$R$126="","",[2]Entry!$R$126)</f>
        <v/>
      </c>
    </row>
    <row r="124">
      <c r="A124">
        <f>IF([1]Accounts!$D$125="","",[1]Accounts!$A$125)</f>
        <v/>
      </c>
      <c r="B124">
        <f>IF([1]Accounts!$D$125="","",[1]Accounts!$B$125)</f>
        <v/>
      </c>
      <c r="C124">
        <f>IF([1]Accounts!$D$125="","",[1]Accounts!$C$125)</f>
        <v/>
      </c>
      <c r="D124">
        <f>IF([1]Accounts!$D$125="","",[1]Accounts!$D$125)</f>
        <v/>
      </c>
      <c r="E124">
        <f>IF([1]Accounts!$D$125="","",[1]Accounts!$J$125)</f>
        <v/>
      </c>
      <c r="F124">
        <f>IF([1]Accounts!$D$125="","",[1]Accounts!$K$125)</f>
        <v/>
      </c>
      <c r="J124">
        <f>IF([2]Entry!$C$127="","",[2]Entry!$C$127)</f>
        <v/>
      </c>
      <c r="K124">
        <f>IF([2]Entry!$D$127="","",[2]Entry!$D$127)</f>
        <v/>
      </c>
      <c r="L124">
        <f>IF([2]Entry!$E$127="","",[2]Entry!$E$127)</f>
        <v/>
      </c>
      <c r="M124">
        <f>IF([2]Entry!$G$127="","",[2]Entry!$G$127)</f>
        <v/>
      </c>
      <c r="N124">
        <f>IF([2]Entry!$M$127="","",[2]Entry!$M$127)</f>
        <v/>
      </c>
      <c r="O124">
        <f>IF([2]Entry!$N$127="","",[2]Entry!$N$127)</f>
        <v/>
      </c>
      <c r="P124">
        <f>IF([2]Entry!$R$127="","",[2]Entry!$R$127)</f>
        <v/>
      </c>
    </row>
    <row r="125">
      <c r="A125">
        <f>IF([1]Accounts!$D$126="","",[1]Accounts!$A$126)</f>
        <v/>
      </c>
      <c r="B125">
        <f>IF([1]Accounts!$D$126="","",[1]Accounts!$B$126)</f>
        <v/>
      </c>
      <c r="C125">
        <f>IF([1]Accounts!$D$126="","",[1]Accounts!$C$126)</f>
        <v/>
      </c>
      <c r="D125">
        <f>IF([1]Accounts!$D$126="","",[1]Accounts!$D$126)</f>
        <v/>
      </c>
      <c r="E125">
        <f>IF([1]Accounts!$D$126="","",[1]Accounts!$J$126)</f>
        <v/>
      </c>
      <c r="F125">
        <f>IF([1]Accounts!$D$126="","",[1]Accounts!$K$126)</f>
        <v/>
      </c>
      <c r="J125">
        <f>IF([2]Entry!$C$128="","",[2]Entry!$C$128)</f>
        <v/>
      </c>
      <c r="K125">
        <f>IF([2]Entry!$D$128="","",[2]Entry!$D$128)</f>
        <v/>
      </c>
      <c r="L125">
        <f>IF([2]Entry!$E$128="","",[2]Entry!$E$128)</f>
        <v/>
      </c>
      <c r="M125">
        <f>IF([2]Entry!$G$128="","",[2]Entry!$G$128)</f>
        <v/>
      </c>
      <c r="N125">
        <f>IF([2]Entry!$M$128="","",[2]Entry!$M$128)</f>
        <v/>
      </c>
      <c r="O125">
        <f>IF([2]Entry!$N$128="","",[2]Entry!$N$128)</f>
        <v/>
      </c>
      <c r="P125">
        <f>IF([2]Entry!$R$128="","",[2]Entry!$R$128)</f>
        <v/>
      </c>
    </row>
    <row r="126">
      <c r="A126">
        <f>IF([1]Accounts!$D$127="","",[1]Accounts!$A$127)</f>
        <v/>
      </c>
      <c r="B126">
        <f>IF([1]Accounts!$D$127="","",[1]Accounts!$B$127)</f>
        <v/>
      </c>
      <c r="C126">
        <f>IF([1]Accounts!$D$127="","",[1]Accounts!$C$127)</f>
        <v/>
      </c>
      <c r="D126">
        <f>IF([1]Accounts!$D$127="","",[1]Accounts!$D$127)</f>
        <v/>
      </c>
      <c r="E126">
        <f>IF([1]Accounts!$D$127="","",[1]Accounts!$J$127)</f>
        <v/>
      </c>
      <c r="F126">
        <f>IF([1]Accounts!$D$127="","",[1]Accounts!$K$127)</f>
        <v/>
      </c>
      <c r="J126">
        <f>IF([2]Entry!$C$129="","",[2]Entry!$C$129)</f>
        <v/>
      </c>
      <c r="K126">
        <f>IF([2]Entry!$D$129="","",[2]Entry!$D$129)</f>
        <v/>
      </c>
      <c r="L126">
        <f>IF([2]Entry!$E$129="","",[2]Entry!$E$129)</f>
        <v/>
      </c>
      <c r="M126">
        <f>IF([2]Entry!$G$129="","",[2]Entry!$G$129)</f>
        <v/>
      </c>
      <c r="N126">
        <f>IF([2]Entry!$M$129="","",[2]Entry!$M$129)</f>
        <v/>
      </c>
      <c r="O126">
        <f>IF([2]Entry!$N$129="","",[2]Entry!$N$129)</f>
        <v/>
      </c>
      <c r="P126">
        <f>IF([2]Entry!$R$129="","",[2]Entry!$R$129)</f>
        <v/>
      </c>
    </row>
    <row r="127">
      <c r="A127">
        <f>IF([1]Accounts!$D$128="","",[1]Accounts!$A$128)</f>
        <v/>
      </c>
      <c r="B127">
        <f>IF([1]Accounts!$D$128="","",[1]Accounts!$B$128)</f>
        <v/>
      </c>
      <c r="C127">
        <f>IF([1]Accounts!$D$128="","",[1]Accounts!$C$128)</f>
        <v/>
      </c>
      <c r="D127">
        <f>IF([1]Accounts!$D$128="","",[1]Accounts!$D$128)</f>
        <v/>
      </c>
      <c r="E127">
        <f>IF([1]Accounts!$D$128="","",[1]Accounts!$J$128)</f>
        <v/>
      </c>
      <c r="F127">
        <f>IF([1]Accounts!$D$128="","",[1]Accounts!$K$128)</f>
        <v/>
      </c>
      <c r="J127">
        <f>IF([2]Entry!$C$130="","",[2]Entry!$C$130)</f>
        <v/>
      </c>
      <c r="K127">
        <f>IF([2]Entry!$D$130="","",[2]Entry!$D$130)</f>
        <v/>
      </c>
      <c r="L127">
        <f>IF([2]Entry!$E$130="","",[2]Entry!$E$130)</f>
        <v/>
      </c>
      <c r="M127">
        <f>IF([2]Entry!$G$130="","",[2]Entry!$G$130)</f>
        <v/>
      </c>
      <c r="N127">
        <f>IF([2]Entry!$M$130="","",[2]Entry!$M$130)</f>
        <v/>
      </c>
      <c r="O127">
        <f>IF([2]Entry!$N$130="","",[2]Entry!$N$130)</f>
        <v/>
      </c>
      <c r="P127">
        <f>IF([2]Entry!$R$130="","",[2]Entry!$R$130)</f>
        <v/>
      </c>
    </row>
    <row r="128">
      <c r="A128">
        <f>IF([1]Accounts!$D$129="","",[1]Accounts!$A$129)</f>
        <v/>
      </c>
      <c r="B128">
        <f>IF([1]Accounts!$D$129="","",[1]Accounts!$B$129)</f>
        <v/>
      </c>
      <c r="C128">
        <f>IF([1]Accounts!$D$129="","",[1]Accounts!$C$129)</f>
        <v/>
      </c>
      <c r="D128">
        <f>IF([1]Accounts!$D$129="","",[1]Accounts!$D$129)</f>
        <v/>
      </c>
      <c r="E128">
        <f>IF([1]Accounts!$D$129="","",[1]Accounts!$J$129)</f>
        <v/>
      </c>
      <c r="F128">
        <f>IF([1]Accounts!$D$129="","",[1]Accounts!$K$129)</f>
        <v/>
      </c>
      <c r="J128">
        <f>IF([2]Entry!$C$131="","",[2]Entry!$C$131)</f>
        <v/>
      </c>
      <c r="K128">
        <f>IF([2]Entry!$D$131="","",[2]Entry!$D$131)</f>
        <v/>
      </c>
      <c r="L128">
        <f>IF([2]Entry!$E$131="","",[2]Entry!$E$131)</f>
        <v/>
      </c>
      <c r="M128">
        <f>IF([2]Entry!$G$131="","",[2]Entry!$G$131)</f>
        <v/>
      </c>
      <c r="N128">
        <f>IF([2]Entry!$M$131="","",[2]Entry!$M$131)</f>
        <v/>
      </c>
      <c r="O128">
        <f>IF([2]Entry!$N$131="","",[2]Entry!$N$131)</f>
        <v/>
      </c>
      <c r="P128">
        <f>IF([2]Entry!$R$131="","",[2]Entry!$R$131)</f>
        <v/>
      </c>
    </row>
    <row r="129">
      <c r="A129">
        <f>IF([1]Accounts!$D$130="","",[1]Accounts!$A$130)</f>
        <v/>
      </c>
      <c r="B129">
        <f>IF([1]Accounts!$D$130="","",[1]Accounts!$B$130)</f>
        <v/>
      </c>
      <c r="C129">
        <f>IF([1]Accounts!$D$130="","",[1]Accounts!$C$130)</f>
        <v/>
      </c>
      <c r="D129">
        <f>IF([1]Accounts!$D$130="","",[1]Accounts!$D$130)</f>
        <v/>
      </c>
      <c r="E129">
        <f>IF([1]Accounts!$D$130="","",[1]Accounts!$J$130)</f>
        <v/>
      </c>
      <c r="F129">
        <f>IF([1]Accounts!$D$130="","",[1]Accounts!$K$130)</f>
        <v/>
      </c>
      <c r="J129">
        <f>IF([2]Entry!$C$132="","",[2]Entry!$C$132)</f>
        <v/>
      </c>
      <c r="K129">
        <f>IF([2]Entry!$D$132="","",[2]Entry!$D$132)</f>
        <v/>
      </c>
      <c r="L129">
        <f>IF([2]Entry!$E$132="","",[2]Entry!$E$132)</f>
        <v/>
      </c>
      <c r="M129">
        <f>IF([2]Entry!$G$132="","",[2]Entry!$G$132)</f>
        <v/>
      </c>
      <c r="N129">
        <f>IF([2]Entry!$M$132="","",[2]Entry!$M$132)</f>
        <v/>
      </c>
      <c r="O129">
        <f>IF([2]Entry!$N$132="","",[2]Entry!$N$132)</f>
        <v/>
      </c>
      <c r="P129">
        <f>IF([2]Entry!$R$132="","",[2]Entry!$R$132)</f>
        <v/>
      </c>
    </row>
    <row r="130">
      <c r="A130">
        <f>IF([1]Accounts!$D$131="","",[1]Accounts!$A$131)</f>
        <v/>
      </c>
      <c r="B130">
        <f>IF([1]Accounts!$D$131="","",[1]Accounts!$B$131)</f>
        <v/>
      </c>
      <c r="C130">
        <f>IF([1]Accounts!$D$131="","",[1]Accounts!$C$131)</f>
        <v/>
      </c>
      <c r="D130">
        <f>IF([1]Accounts!$D$131="","",[1]Accounts!$D$131)</f>
        <v/>
      </c>
      <c r="E130">
        <f>IF([1]Accounts!$D$131="","",[1]Accounts!$J$131)</f>
        <v/>
      </c>
      <c r="F130">
        <f>IF([1]Accounts!$D$131="","",[1]Accounts!$K$131)</f>
        <v/>
      </c>
      <c r="J130">
        <f>IF([2]Entry!$C$133="","",[2]Entry!$C$133)</f>
        <v/>
      </c>
      <c r="K130">
        <f>IF([2]Entry!$D$133="","",[2]Entry!$D$133)</f>
        <v/>
      </c>
      <c r="L130">
        <f>IF([2]Entry!$E$133="","",[2]Entry!$E$133)</f>
        <v/>
      </c>
      <c r="M130">
        <f>IF([2]Entry!$G$133="","",[2]Entry!$G$133)</f>
        <v/>
      </c>
      <c r="N130">
        <f>IF([2]Entry!$M$133="","",[2]Entry!$M$133)</f>
        <v/>
      </c>
      <c r="O130">
        <f>IF([2]Entry!$N$133="","",[2]Entry!$N$133)</f>
        <v/>
      </c>
      <c r="P130">
        <f>IF([2]Entry!$R$133="","",[2]Entry!$R$133)</f>
        <v/>
      </c>
    </row>
    <row r="131">
      <c r="A131">
        <f>IF([1]Accounts!$D$132="","",[1]Accounts!$A$132)</f>
        <v/>
      </c>
      <c r="B131">
        <f>IF([1]Accounts!$D$132="","",[1]Accounts!$B$132)</f>
        <v/>
      </c>
      <c r="C131">
        <f>IF([1]Accounts!$D$132="","",[1]Accounts!$C$132)</f>
        <v/>
      </c>
      <c r="D131">
        <f>IF([1]Accounts!$D$132="","",[1]Accounts!$D$132)</f>
        <v/>
      </c>
      <c r="E131">
        <f>IF([1]Accounts!$D$132="","",[1]Accounts!$J$132)</f>
        <v/>
      </c>
      <c r="F131">
        <f>IF([1]Accounts!$D$132="","",[1]Accounts!$K$132)</f>
        <v/>
      </c>
      <c r="J131">
        <f>IF([2]Entry!$C$134="","",[2]Entry!$C$134)</f>
        <v/>
      </c>
      <c r="K131">
        <f>IF([2]Entry!$D$134="","",[2]Entry!$D$134)</f>
        <v/>
      </c>
      <c r="L131">
        <f>IF([2]Entry!$E$134="","",[2]Entry!$E$134)</f>
        <v/>
      </c>
      <c r="M131">
        <f>IF([2]Entry!$G$134="","",[2]Entry!$G$134)</f>
        <v/>
      </c>
      <c r="N131">
        <f>IF([2]Entry!$M$134="","",[2]Entry!$M$134)</f>
        <v/>
      </c>
      <c r="O131">
        <f>IF([2]Entry!$N$134="","",[2]Entry!$N$134)</f>
        <v/>
      </c>
      <c r="P131">
        <f>IF([2]Entry!$R$134="","",[2]Entry!$R$134)</f>
        <v/>
      </c>
    </row>
    <row r="132">
      <c r="A132">
        <f>IF([1]Accounts!$D$133="","",[1]Accounts!$A$133)</f>
        <v/>
      </c>
      <c r="B132">
        <f>IF([1]Accounts!$D$133="","",[1]Accounts!$B$133)</f>
        <v/>
      </c>
      <c r="C132">
        <f>IF([1]Accounts!$D$133="","",[1]Accounts!$C$133)</f>
        <v/>
      </c>
      <c r="D132">
        <f>IF([1]Accounts!$D$133="","",[1]Accounts!$D$133)</f>
        <v/>
      </c>
      <c r="E132">
        <f>IF([1]Accounts!$D$133="","",[1]Accounts!$J$133)</f>
        <v/>
      </c>
      <c r="F132">
        <f>IF([1]Accounts!$D$133="","",[1]Accounts!$K$133)</f>
        <v/>
      </c>
      <c r="J132">
        <f>IF([2]Entry!$C$135="","",[2]Entry!$C$135)</f>
        <v/>
      </c>
      <c r="K132">
        <f>IF([2]Entry!$D$135="","",[2]Entry!$D$135)</f>
        <v/>
      </c>
      <c r="L132">
        <f>IF([2]Entry!$E$135="","",[2]Entry!$E$135)</f>
        <v/>
      </c>
      <c r="M132">
        <f>IF([2]Entry!$G$135="","",[2]Entry!$G$135)</f>
        <v/>
      </c>
      <c r="N132">
        <f>IF([2]Entry!$M$135="","",[2]Entry!$M$135)</f>
        <v/>
      </c>
      <c r="O132">
        <f>IF([2]Entry!$N$135="","",[2]Entry!$N$135)</f>
        <v/>
      </c>
      <c r="P132">
        <f>IF([2]Entry!$R$135="","",[2]Entry!$R$135)</f>
        <v/>
      </c>
    </row>
    <row r="133">
      <c r="A133">
        <f>IF([1]Accounts!$D$134="","",[1]Accounts!$A$134)</f>
        <v/>
      </c>
      <c r="B133">
        <f>IF([1]Accounts!$D$134="","",[1]Accounts!$B$134)</f>
        <v/>
      </c>
      <c r="C133">
        <f>IF([1]Accounts!$D$134="","",[1]Accounts!$C$134)</f>
        <v/>
      </c>
      <c r="D133">
        <f>IF([1]Accounts!$D$134="","",[1]Accounts!$D$134)</f>
        <v/>
      </c>
      <c r="E133">
        <f>IF([1]Accounts!$D$134="","",[1]Accounts!$J$134)</f>
        <v/>
      </c>
      <c r="F133">
        <f>IF([1]Accounts!$D$134="","",[1]Accounts!$K$134)</f>
        <v/>
      </c>
      <c r="J133">
        <f>IF([2]Entry!$C$136="","",[2]Entry!$C$136)</f>
        <v/>
      </c>
      <c r="K133">
        <f>IF([2]Entry!$D$136="","",[2]Entry!$D$136)</f>
        <v/>
      </c>
      <c r="L133">
        <f>IF([2]Entry!$E$136="","",[2]Entry!$E$136)</f>
        <v/>
      </c>
      <c r="M133">
        <f>IF([2]Entry!$G$136="","",[2]Entry!$G$136)</f>
        <v/>
      </c>
      <c r="N133">
        <f>IF([2]Entry!$M$136="","",[2]Entry!$M$136)</f>
        <v/>
      </c>
      <c r="O133">
        <f>IF([2]Entry!$N$136="","",[2]Entry!$N$136)</f>
        <v/>
      </c>
      <c r="P133">
        <f>IF([2]Entry!$R$136="","",[2]Entry!$R$136)</f>
        <v/>
      </c>
    </row>
    <row r="134">
      <c r="A134">
        <f>IF([1]Accounts!$D$135="","",[1]Accounts!$A$135)</f>
        <v/>
      </c>
      <c r="B134">
        <f>IF([1]Accounts!$D$135="","",[1]Accounts!$B$135)</f>
        <v/>
      </c>
      <c r="C134">
        <f>IF([1]Accounts!$D$135="","",[1]Accounts!$C$135)</f>
        <v/>
      </c>
      <c r="D134">
        <f>IF([1]Accounts!$D$135="","",[1]Accounts!$D$135)</f>
        <v/>
      </c>
      <c r="E134">
        <f>IF([1]Accounts!$D$135="","",[1]Accounts!$J$135)</f>
        <v/>
      </c>
      <c r="F134">
        <f>IF([1]Accounts!$D$135="","",[1]Accounts!$K$135)</f>
        <v/>
      </c>
      <c r="J134">
        <f>IF([2]Entry!$C$137="","",[2]Entry!$C$137)</f>
        <v/>
      </c>
      <c r="K134">
        <f>IF([2]Entry!$D$137="","",[2]Entry!$D$137)</f>
        <v/>
      </c>
      <c r="L134">
        <f>IF([2]Entry!$E$137="","",[2]Entry!$E$137)</f>
        <v/>
      </c>
      <c r="M134">
        <f>IF([2]Entry!$G$137="","",[2]Entry!$G$137)</f>
        <v/>
      </c>
      <c r="N134">
        <f>IF([2]Entry!$M$137="","",[2]Entry!$M$137)</f>
        <v/>
      </c>
      <c r="O134">
        <f>IF([2]Entry!$N$137="","",[2]Entry!$N$137)</f>
        <v/>
      </c>
      <c r="P134">
        <f>IF([2]Entry!$R$137="","",[2]Entry!$R$137)</f>
        <v/>
      </c>
    </row>
    <row r="135">
      <c r="A135">
        <f>IF([1]Accounts!$D$136="","",[1]Accounts!$A$136)</f>
        <v/>
      </c>
      <c r="B135">
        <f>IF([1]Accounts!$D$136="","",[1]Accounts!$B$136)</f>
        <v/>
      </c>
      <c r="C135">
        <f>IF([1]Accounts!$D$136="","",[1]Accounts!$C$136)</f>
        <v/>
      </c>
      <c r="D135">
        <f>IF([1]Accounts!$D$136="","",[1]Accounts!$D$136)</f>
        <v/>
      </c>
      <c r="E135">
        <f>IF([1]Accounts!$D$136="","",[1]Accounts!$J$136)</f>
        <v/>
      </c>
      <c r="F135">
        <f>IF([1]Accounts!$D$136="","",[1]Accounts!$K$136)</f>
        <v/>
      </c>
      <c r="J135">
        <f>IF([2]Entry!$C$138="","",[2]Entry!$C$138)</f>
        <v/>
      </c>
      <c r="K135">
        <f>IF([2]Entry!$D$138="","",[2]Entry!$D$138)</f>
        <v/>
      </c>
      <c r="L135">
        <f>IF([2]Entry!$E$138="","",[2]Entry!$E$138)</f>
        <v/>
      </c>
      <c r="M135">
        <f>IF([2]Entry!$G$138="","",[2]Entry!$G$138)</f>
        <v/>
      </c>
      <c r="N135">
        <f>IF([2]Entry!$M$138="","",[2]Entry!$M$138)</f>
        <v/>
      </c>
      <c r="O135">
        <f>IF([2]Entry!$N$138="","",[2]Entry!$N$138)</f>
        <v/>
      </c>
      <c r="P135">
        <f>IF([2]Entry!$R$138="","",[2]Entry!$R$138)</f>
        <v/>
      </c>
    </row>
    <row r="136">
      <c r="A136">
        <f>IF([1]Accounts!$D$137="","",[1]Accounts!$A$137)</f>
        <v/>
      </c>
      <c r="B136">
        <f>IF([1]Accounts!$D$137="","",[1]Accounts!$B$137)</f>
        <v/>
      </c>
      <c r="C136">
        <f>IF([1]Accounts!$D$137="","",[1]Accounts!$C$137)</f>
        <v/>
      </c>
      <c r="D136">
        <f>IF([1]Accounts!$D$137="","",[1]Accounts!$D$137)</f>
        <v/>
      </c>
      <c r="E136">
        <f>IF([1]Accounts!$D$137="","",[1]Accounts!$J$137)</f>
        <v/>
      </c>
      <c r="F136">
        <f>IF([1]Accounts!$D$137="","",[1]Accounts!$K$137)</f>
        <v/>
      </c>
      <c r="J136">
        <f>IF([2]Entry!$C$139="","",[2]Entry!$C$139)</f>
        <v/>
      </c>
      <c r="K136">
        <f>IF([2]Entry!$D$139="","",[2]Entry!$D$139)</f>
        <v/>
      </c>
      <c r="L136">
        <f>IF([2]Entry!$E$139="","",[2]Entry!$E$139)</f>
        <v/>
      </c>
      <c r="M136">
        <f>IF([2]Entry!$G$139="","",[2]Entry!$G$139)</f>
        <v/>
      </c>
      <c r="N136">
        <f>IF([2]Entry!$M$139="","",[2]Entry!$M$139)</f>
        <v/>
      </c>
      <c r="O136">
        <f>IF([2]Entry!$N$139="","",[2]Entry!$N$139)</f>
        <v/>
      </c>
      <c r="P136">
        <f>IF([2]Entry!$R$139="","",[2]Entry!$R$139)</f>
        <v/>
      </c>
    </row>
    <row r="137">
      <c r="A137">
        <f>IF([1]Accounts!$D$138="","",[1]Accounts!$A$138)</f>
        <v/>
      </c>
      <c r="B137">
        <f>IF([1]Accounts!$D$138="","",[1]Accounts!$B$138)</f>
        <v/>
      </c>
      <c r="C137">
        <f>IF([1]Accounts!$D$138="","",[1]Accounts!$C$138)</f>
        <v/>
      </c>
      <c r="D137">
        <f>IF([1]Accounts!$D$138="","",[1]Accounts!$D$138)</f>
        <v/>
      </c>
      <c r="E137">
        <f>IF([1]Accounts!$D$138="","",[1]Accounts!$J$138)</f>
        <v/>
      </c>
      <c r="F137">
        <f>IF([1]Accounts!$D$138="","",[1]Accounts!$K$138)</f>
        <v/>
      </c>
      <c r="J137">
        <f>IF([2]Entry!$C$140="","",[2]Entry!$C$140)</f>
        <v/>
      </c>
      <c r="K137">
        <f>IF([2]Entry!$D$140="","",[2]Entry!$D$140)</f>
        <v/>
      </c>
      <c r="L137">
        <f>IF([2]Entry!$E$140="","",[2]Entry!$E$140)</f>
        <v/>
      </c>
      <c r="M137">
        <f>IF([2]Entry!$G$140="","",[2]Entry!$G$140)</f>
        <v/>
      </c>
      <c r="N137">
        <f>IF([2]Entry!$M$140="","",[2]Entry!$M$140)</f>
        <v/>
      </c>
      <c r="O137">
        <f>IF([2]Entry!$N$140="","",[2]Entry!$N$140)</f>
        <v/>
      </c>
      <c r="P137">
        <f>IF([2]Entry!$R$140="","",[2]Entry!$R$140)</f>
        <v/>
      </c>
    </row>
    <row r="138">
      <c r="A138">
        <f>IF([1]Accounts!$D$139="","",[1]Accounts!$A$139)</f>
        <v/>
      </c>
      <c r="B138">
        <f>IF([1]Accounts!$D$139="","",[1]Accounts!$B$139)</f>
        <v/>
      </c>
      <c r="C138">
        <f>IF([1]Accounts!$D$139="","",[1]Accounts!$C$139)</f>
        <v/>
      </c>
      <c r="D138">
        <f>IF([1]Accounts!$D$139="","",[1]Accounts!$D$139)</f>
        <v/>
      </c>
      <c r="E138">
        <f>IF([1]Accounts!$D$139="","",[1]Accounts!$J$139)</f>
        <v/>
      </c>
      <c r="F138">
        <f>IF([1]Accounts!$D$139="","",[1]Accounts!$K$139)</f>
        <v/>
      </c>
      <c r="J138">
        <f>IF([2]Entry!$C$141="","",[2]Entry!$C$141)</f>
        <v/>
      </c>
      <c r="K138">
        <f>IF([2]Entry!$D$141="","",[2]Entry!$D$141)</f>
        <v/>
      </c>
      <c r="L138">
        <f>IF([2]Entry!$E$141="","",[2]Entry!$E$141)</f>
        <v/>
      </c>
      <c r="M138">
        <f>IF([2]Entry!$G$141="","",[2]Entry!$G$141)</f>
        <v/>
      </c>
      <c r="N138">
        <f>IF([2]Entry!$M$141="","",[2]Entry!$M$141)</f>
        <v/>
      </c>
      <c r="O138">
        <f>IF([2]Entry!$N$141="","",[2]Entry!$N$141)</f>
        <v/>
      </c>
      <c r="P138">
        <f>IF([2]Entry!$R$141="","",[2]Entry!$R$141)</f>
        <v/>
      </c>
    </row>
    <row r="139">
      <c r="A139">
        <f>IF([1]Accounts!$D$140="","",[1]Accounts!$A$140)</f>
        <v/>
      </c>
      <c r="B139">
        <f>IF([1]Accounts!$D$140="","",[1]Accounts!$B$140)</f>
        <v/>
      </c>
      <c r="C139">
        <f>IF([1]Accounts!$D$140="","",[1]Accounts!$C$140)</f>
        <v/>
      </c>
      <c r="D139">
        <f>IF([1]Accounts!$D$140="","",[1]Accounts!$D$140)</f>
        <v/>
      </c>
      <c r="E139">
        <f>IF([1]Accounts!$D$140="","",[1]Accounts!$J$140)</f>
        <v/>
      </c>
      <c r="F139">
        <f>IF([1]Accounts!$D$140="","",[1]Accounts!$K$140)</f>
        <v/>
      </c>
      <c r="J139">
        <f>IF([2]Entry!$C$142="","",[2]Entry!$C$142)</f>
        <v/>
      </c>
      <c r="K139">
        <f>IF([2]Entry!$D$142="","",[2]Entry!$D$142)</f>
        <v/>
      </c>
      <c r="L139">
        <f>IF([2]Entry!$E$142="","",[2]Entry!$E$142)</f>
        <v/>
      </c>
      <c r="M139">
        <f>IF([2]Entry!$G$142="","",[2]Entry!$G$142)</f>
        <v/>
      </c>
      <c r="N139">
        <f>IF([2]Entry!$M$142="","",[2]Entry!$M$142)</f>
        <v/>
      </c>
      <c r="O139">
        <f>IF([2]Entry!$N$142="","",[2]Entry!$N$142)</f>
        <v/>
      </c>
      <c r="P139">
        <f>IF([2]Entry!$R$142="","",[2]Entry!$R$142)</f>
        <v/>
      </c>
    </row>
    <row r="140">
      <c r="A140">
        <f>IF([1]Accounts!$D$141="","",[1]Accounts!$A$141)</f>
        <v/>
      </c>
      <c r="B140">
        <f>IF([1]Accounts!$D$141="","",[1]Accounts!$B$141)</f>
        <v/>
      </c>
      <c r="C140">
        <f>IF([1]Accounts!$D$141="","",[1]Accounts!$C$141)</f>
        <v/>
      </c>
      <c r="D140">
        <f>IF([1]Accounts!$D$141="","",[1]Accounts!$D$141)</f>
        <v/>
      </c>
      <c r="E140">
        <f>IF([1]Accounts!$D$141="","",[1]Accounts!$J$141)</f>
        <v/>
      </c>
      <c r="F140">
        <f>IF([1]Accounts!$D$141="","",[1]Accounts!$K$141)</f>
        <v/>
      </c>
      <c r="J140">
        <f>IF([2]Entry!$C$143="","",[2]Entry!$C$143)</f>
        <v/>
      </c>
      <c r="K140">
        <f>IF([2]Entry!$D$143="","",[2]Entry!$D$143)</f>
        <v/>
      </c>
      <c r="L140">
        <f>IF([2]Entry!$E$143="","",[2]Entry!$E$143)</f>
        <v/>
      </c>
      <c r="M140">
        <f>IF([2]Entry!$G$143="","",[2]Entry!$G$143)</f>
        <v/>
      </c>
      <c r="N140">
        <f>IF([2]Entry!$M$143="","",[2]Entry!$M$143)</f>
        <v/>
      </c>
      <c r="O140">
        <f>IF([2]Entry!$N$143="","",[2]Entry!$N$143)</f>
        <v/>
      </c>
      <c r="P140">
        <f>IF([2]Entry!$R$143="","",[2]Entry!$R$143)</f>
        <v/>
      </c>
    </row>
    <row r="141">
      <c r="A141">
        <f>IF([1]Accounts!$D$142="","",[1]Accounts!$A$142)</f>
        <v/>
      </c>
      <c r="B141">
        <f>IF([1]Accounts!$D$142="","",[1]Accounts!$B$142)</f>
        <v/>
      </c>
      <c r="C141">
        <f>IF([1]Accounts!$D$142="","",[1]Accounts!$C$142)</f>
        <v/>
      </c>
      <c r="D141">
        <f>IF([1]Accounts!$D$142="","",[1]Accounts!$D$142)</f>
        <v/>
      </c>
      <c r="E141">
        <f>IF([1]Accounts!$D$142="","",[1]Accounts!$J$142)</f>
        <v/>
      </c>
      <c r="F141">
        <f>IF([1]Accounts!$D$142="","",[1]Accounts!$K$142)</f>
        <v/>
      </c>
      <c r="J141">
        <f>IF([2]Entry!$C$144="","",[2]Entry!$C$144)</f>
        <v/>
      </c>
      <c r="K141">
        <f>IF([2]Entry!$D$144="","",[2]Entry!$D$144)</f>
        <v/>
      </c>
      <c r="L141">
        <f>IF([2]Entry!$E$144="","",[2]Entry!$E$144)</f>
        <v/>
      </c>
      <c r="M141">
        <f>IF([2]Entry!$G$144="","",[2]Entry!$G$144)</f>
        <v/>
      </c>
      <c r="N141">
        <f>IF([2]Entry!$M$144="","",[2]Entry!$M$144)</f>
        <v/>
      </c>
      <c r="O141">
        <f>IF([2]Entry!$N$144="","",[2]Entry!$N$144)</f>
        <v/>
      </c>
      <c r="P141">
        <f>IF([2]Entry!$R$144="","",[2]Entry!$R$144)</f>
        <v/>
      </c>
    </row>
    <row r="142">
      <c r="A142">
        <f>IF([1]Accounts!$D$143="","",[1]Accounts!$A$143)</f>
        <v/>
      </c>
      <c r="B142">
        <f>IF([1]Accounts!$D$143="","",[1]Accounts!$B$143)</f>
        <v/>
      </c>
      <c r="C142">
        <f>IF([1]Accounts!$D$143="","",[1]Accounts!$C$143)</f>
        <v/>
      </c>
      <c r="D142">
        <f>IF([1]Accounts!$D$143="","",[1]Accounts!$D$143)</f>
        <v/>
      </c>
      <c r="E142">
        <f>IF([1]Accounts!$D$143="","",[1]Accounts!$J$143)</f>
        <v/>
      </c>
      <c r="F142">
        <f>IF([1]Accounts!$D$143="","",[1]Accounts!$K$143)</f>
        <v/>
      </c>
      <c r="J142">
        <f>IF([2]Entry!$C$145="","",[2]Entry!$C$145)</f>
        <v/>
      </c>
      <c r="K142">
        <f>IF([2]Entry!$D$145="","",[2]Entry!$D$145)</f>
        <v/>
      </c>
      <c r="L142">
        <f>IF([2]Entry!$E$145="","",[2]Entry!$E$145)</f>
        <v/>
      </c>
      <c r="M142">
        <f>IF([2]Entry!$G$145="","",[2]Entry!$G$145)</f>
        <v/>
      </c>
      <c r="N142">
        <f>IF([2]Entry!$M$145="","",[2]Entry!$M$145)</f>
        <v/>
      </c>
      <c r="O142">
        <f>IF([2]Entry!$N$145="","",[2]Entry!$N$145)</f>
        <v/>
      </c>
      <c r="P142">
        <f>IF([2]Entry!$R$145="","",[2]Entry!$R$145)</f>
        <v/>
      </c>
    </row>
    <row r="143">
      <c r="A143">
        <f>IF([1]Accounts!$D$144="","",[1]Accounts!$A$144)</f>
        <v/>
      </c>
      <c r="B143">
        <f>IF([1]Accounts!$D$144="","",[1]Accounts!$B$144)</f>
        <v/>
      </c>
      <c r="C143">
        <f>IF([1]Accounts!$D$144="","",[1]Accounts!$C$144)</f>
        <v/>
      </c>
      <c r="D143">
        <f>IF([1]Accounts!$D$144="","",[1]Accounts!$D$144)</f>
        <v/>
      </c>
      <c r="E143">
        <f>IF([1]Accounts!$D$144="","",[1]Accounts!$J$144)</f>
        <v/>
      </c>
      <c r="F143">
        <f>IF([1]Accounts!$D$144="","",[1]Accounts!$K$144)</f>
        <v/>
      </c>
      <c r="J143">
        <f>IF([2]Entry!$C$146="","",[2]Entry!$C$146)</f>
        <v/>
      </c>
      <c r="K143">
        <f>IF([2]Entry!$D$146="","",[2]Entry!$D$146)</f>
        <v/>
      </c>
      <c r="L143">
        <f>IF([2]Entry!$E$146="","",[2]Entry!$E$146)</f>
        <v/>
      </c>
      <c r="M143">
        <f>IF([2]Entry!$G$146="","",[2]Entry!$G$146)</f>
        <v/>
      </c>
      <c r="N143">
        <f>IF([2]Entry!$M$146="","",[2]Entry!$M$146)</f>
        <v/>
      </c>
      <c r="O143">
        <f>IF([2]Entry!$N$146="","",[2]Entry!$N$146)</f>
        <v/>
      </c>
      <c r="P143">
        <f>IF([2]Entry!$R$146="","",[2]Entry!$R$146)</f>
        <v/>
      </c>
    </row>
    <row r="144">
      <c r="A144">
        <f>IF([1]Accounts!$D$145="","",[1]Accounts!$A$145)</f>
        <v/>
      </c>
      <c r="B144">
        <f>IF([1]Accounts!$D$145="","",[1]Accounts!$B$145)</f>
        <v/>
      </c>
      <c r="C144">
        <f>IF([1]Accounts!$D$145="","",[1]Accounts!$C$145)</f>
        <v/>
      </c>
      <c r="D144">
        <f>IF([1]Accounts!$D$145="","",[1]Accounts!$D$145)</f>
        <v/>
      </c>
      <c r="E144">
        <f>IF([1]Accounts!$D$145="","",[1]Accounts!$J$145)</f>
        <v/>
      </c>
      <c r="F144">
        <f>IF([1]Accounts!$D$145="","",[1]Accounts!$K$145)</f>
        <v/>
      </c>
      <c r="J144">
        <f>IF([2]Entry!$C$147="","",[2]Entry!$C$147)</f>
        <v/>
      </c>
      <c r="K144">
        <f>IF([2]Entry!$D$147="","",[2]Entry!$D$147)</f>
        <v/>
      </c>
      <c r="L144">
        <f>IF([2]Entry!$E$147="","",[2]Entry!$E$147)</f>
        <v/>
      </c>
      <c r="M144">
        <f>IF([2]Entry!$G$147="","",[2]Entry!$G$147)</f>
        <v/>
      </c>
      <c r="N144">
        <f>IF([2]Entry!$M$147="","",[2]Entry!$M$147)</f>
        <v/>
      </c>
      <c r="O144">
        <f>IF([2]Entry!$N$147="","",[2]Entry!$N$147)</f>
        <v/>
      </c>
      <c r="P144">
        <f>IF([2]Entry!$R$147="","",[2]Entry!$R$147)</f>
        <v/>
      </c>
    </row>
    <row r="145">
      <c r="A145">
        <f>IF([1]Accounts!$D$146="","",[1]Accounts!$A$146)</f>
        <v/>
      </c>
      <c r="B145">
        <f>IF([1]Accounts!$D$146="","",[1]Accounts!$B$146)</f>
        <v/>
      </c>
      <c r="C145">
        <f>IF([1]Accounts!$D$146="","",[1]Accounts!$C$146)</f>
        <v/>
      </c>
      <c r="D145">
        <f>IF([1]Accounts!$D$146="","",[1]Accounts!$D$146)</f>
        <v/>
      </c>
      <c r="E145">
        <f>IF([1]Accounts!$D$146="","",[1]Accounts!$J$146)</f>
        <v/>
      </c>
      <c r="F145">
        <f>IF([1]Accounts!$D$146="","",[1]Accounts!$K$146)</f>
        <v/>
      </c>
      <c r="J145">
        <f>IF([2]Entry!$C$148="","",[2]Entry!$C$148)</f>
        <v/>
      </c>
      <c r="K145">
        <f>IF([2]Entry!$D$148="","",[2]Entry!$D$148)</f>
        <v/>
      </c>
      <c r="L145">
        <f>IF([2]Entry!$E$148="","",[2]Entry!$E$148)</f>
        <v/>
      </c>
      <c r="M145">
        <f>IF([2]Entry!$G$148="","",[2]Entry!$G$148)</f>
        <v/>
      </c>
      <c r="N145">
        <f>IF([2]Entry!$M$148="","",[2]Entry!$M$148)</f>
        <v/>
      </c>
      <c r="O145">
        <f>IF([2]Entry!$N$148="","",[2]Entry!$N$148)</f>
        <v/>
      </c>
      <c r="P145">
        <f>IF([2]Entry!$R$148="","",[2]Entry!$R$148)</f>
        <v/>
      </c>
    </row>
    <row r="146">
      <c r="A146">
        <f>IF([1]Accounts!$D$147="","",[1]Accounts!$A$147)</f>
        <v/>
      </c>
      <c r="B146">
        <f>IF([1]Accounts!$D$147="","",[1]Accounts!$B$147)</f>
        <v/>
      </c>
      <c r="C146">
        <f>IF([1]Accounts!$D$147="","",[1]Accounts!$C$147)</f>
        <v/>
      </c>
      <c r="D146">
        <f>IF([1]Accounts!$D$147="","",[1]Accounts!$D$147)</f>
        <v/>
      </c>
      <c r="E146">
        <f>IF([1]Accounts!$D$147="","",[1]Accounts!$J$147)</f>
        <v/>
      </c>
      <c r="F146">
        <f>IF([1]Accounts!$D$147="","",[1]Accounts!$K$147)</f>
        <v/>
      </c>
      <c r="J146">
        <f>IF([2]Entry!$C$149="","",[2]Entry!$C$149)</f>
        <v/>
      </c>
      <c r="K146">
        <f>IF([2]Entry!$D$149="","",[2]Entry!$D$149)</f>
        <v/>
      </c>
      <c r="L146">
        <f>IF([2]Entry!$E$149="","",[2]Entry!$E$149)</f>
        <v/>
      </c>
      <c r="M146">
        <f>IF([2]Entry!$G$149="","",[2]Entry!$G$149)</f>
        <v/>
      </c>
      <c r="N146">
        <f>IF([2]Entry!$M$149="","",[2]Entry!$M$149)</f>
        <v/>
      </c>
      <c r="O146">
        <f>IF([2]Entry!$N$149="","",[2]Entry!$N$149)</f>
        <v/>
      </c>
      <c r="P146">
        <f>IF([2]Entry!$R$149="","",[2]Entry!$R$149)</f>
        <v/>
      </c>
    </row>
    <row r="147">
      <c r="A147">
        <f>IF([1]Accounts!$D$148="","",[1]Accounts!$A$148)</f>
        <v/>
      </c>
      <c r="B147">
        <f>IF([1]Accounts!$D$148="","",[1]Accounts!$B$148)</f>
        <v/>
      </c>
      <c r="C147">
        <f>IF([1]Accounts!$D$148="","",[1]Accounts!$C$148)</f>
        <v/>
      </c>
      <c r="D147">
        <f>IF([1]Accounts!$D$148="","",[1]Accounts!$D$148)</f>
        <v/>
      </c>
      <c r="E147">
        <f>IF([1]Accounts!$D$148="","",[1]Accounts!$J$148)</f>
        <v/>
      </c>
      <c r="F147">
        <f>IF([1]Accounts!$D$148="","",[1]Accounts!$K$148)</f>
        <v/>
      </c>
      <c r="J147">
        <f>IF([2]Entry!$C$150="","",[2]Entry!$C$150)</f>
        <v/>
      </c>
      <c r="K147">
        <f>IF([2]Entry!$D$150="","",[2]Entry!$D$150)</f>
        <v/>
      </c>
      <c r="L147">
        <f>IF([2]Entry!$E$150="","",[2]Entry!$E$150)</f>
        <v/>
      </c>
      <c r="M147">
        <f>IF([2]Entry!$G$150="","",[2]Entry!$G$150)</f>
        <v/>
      </c>
      <c r="N147">
        <f>IF([2]Entry!$M$150="","",[2]Entry!$M$150)</f>
        <v/>
      </c>
      <c r="O147">
        <f>IF([2]Entry!$N$150="","",[2]Entry!$N$150)</f>
        <v/>
      </c>
      <c r="P147">
        <f>IF([2]Entry!$R$150="","",[2]Entry!$R$150)</f>
        <v/>
      </c>
    </row>
    <row r="148">
      <c r="A148">
        <f>IF([1]Accounts!$D$149="","",[1]Accounts!$A$149)</f>
        <v/>
      </c>
      <c r="B148">
        <f>IF([1]Accounts!$D$149="","",[1]Accounts!$B$149)</f>
        <v/>
      </c>
      <c r="C148">
        <f>IF([1]Accounts!$D$149="","",[1]Accounts!$C$149)</f>
        <v/>
      </c>
      <c r="D148">
        <f>IF([1]Accounts!$D$149="","",[1]Accounts!$D$149)</f>
        <v/>
      </c>
      <c r="E148">
        <f>IF([1]Accounts!$D$149="","",[1]Accounts!$J$149)</f>
        <v/>
      </c>
      <c r="F148">
        <f>IF([1]Accounts!$D$149="","",[1]Accounts!$K$149)</f>
        <v/>
      </c>
      <c r="J148">
        <f>IF([2]Entry!$C$151="","",[2]Entry!$C$151)</f>
        <v/>
      </c>
      <c r="K148">
        <f>IF([2]Entry!$D$151="","",[2]Entry!$D$151)</f>
        <v/>
      </c>
      <c r="L148">
        <f>IF([2]Entry!$E$151="","",[2]Entry!$E$151)</f>
        <v/>
      </c>
      <c r="M148">
        <f>IF([2]Entry!$G$151="","",[2]Entry!$G$151)</f>
        <v/>
      </c>
      <c r="N148">
        <f>IF([2]Entry!$M$151="","",[2]Entry!$M$151)</f>
        <v/>
      </c>
      <c r="O148">
        <f>IF([2]Entry!$N$151="","",[2]Entry!$N$151)</f>
        <v/>
      </c>
      <c r="P148">
        <f>IF([2]Entry!$R$151="","",[2]Entry!$R$151)</f>
        <v/>
      </c>
    </row>
    <row r="149">
      <c r="A149">
        <f>IF([1]Accounts!$D$150="","",[1]Accounts!$A$150)</f>
        <v/>
      </c>
      <c r="B149">
        <f>IF([1]Accounts!$D$150="","",[1]Accounts!$B$150)</f>
        <v/>
      </c>
      <c r="C149">
        <f>IF([1]Accounts!$D$150="","",[1]Accounts!$C$150)</f>
        <v/>
      </c>
      <c r="D149">
        <f>IF([1]Accounts!$D$150="","",[1]Accounts!$D$150)</f>
        <v/>
      </c>
      <c r="E149">
        <f>IF([1]Accounts!$D$150="","",[1]Accounts!$J$150)</f>
        <v/>
      </c>
      <c r="F149">
        <f>IF([1]Accounts!$D$150="","",[1]Accounts!$K$150)</f>
        <v/>
      </c>
      <c r="J149">
        <f>IF([2]Entry!$C$152="","",[2]Entry!$C$152)</f>
        <v/>
      </c>
      <c r="K149">
        <f>IF([2]Entry!$D$152="","",[2]Entry!$D$152)</f>
        <v/>
      </c>
      <c r="L149">
        <f>IF([2]Entry!$E$152="","",[2]Entry!$E$152)</f>
        <v/>
      </c>
      <c r="M149">
        <f>IF([2]Entry!$G$152="","",[2]Entry!$G$152)</f>
        <v/>
      </c>
      <c r="N149">
        <f>IF([2]Entry!$M$152="","",[2]Entry!$M$152)</f>
        <v/>
      </c>
      <c r="O149">
        <f>IF([2]Entry!$N$152="","",[2]Entry!$N$152)</f>
        <v/>
      </c>
      <c r="P149">
        <f>IF([2]Entry!$R$152="","",[2]Entry!$R$152)</f>
        <v/>
      </c>
    </row>
    <row r="150">
      <c r="A150">
        <f>IF([1]Accounts!$D$151="","",[1]Accounts!$A$151)</f>
        <v/>
      </c>
      <c r="B150">
        <f>IF([1]Accounts!$D$151="","",[1]Accounts!$B$151)</f>
        <v/>
      </c>
      <c r="C150">
        <f>IF([1]Accounts!$D$151="","",[1]Accounts!$C$151)</f>
        <v/>
      </c>
      <c r="D150">
        <f>IF([1]Accounts!$D$151="","",[1]Accounts!$D$151)</f>
        <v/>
      </c>
      <c r="E150">
        <f>IF([1]Accounts!$D$151="","",[1]Accounts!$J$151)</f>
        <v/>
      </c>
      <c r="F150">
        <f>IF([1]Accounts!$D$151="","",[1]Accounts!$K$151)</f>
        <v/>
      </c>
      <c r="J150">
        <f>IF([2]Entry!$C$153="","",[2]Entry!$C$153)</f>
        <v/>
      </c>
      <c r="K150">
        <f>IF([2]Entry!$D$153="","",[2]Entry!$D$153)</f>
        <v/>
      </c>
      <c r="L150">
        <f>IF([2]Entry!$E$153="","",[2]Entry!$E$153)</f>
        <v/>
      </c>
      <c r="M150">
        <f>IF([2]Entry!$G$153="","",[2]Entry!$G$153)</f>
        <v/>
      </c>
      <c r="N150">
        <f>IF([2]Entry!$M$153="","",[2]Entry!$M$153)</f>
        <v/>
      </c>
      <c r="O150">
        <f>IF([2]Entry!$N$153="","",[2]Entry!$N$153)</f>
        <v/>
      </c>
      <c r="P150">
        <f>IF([2]Entry!$R$153="","",[2]Entry!$R$153)</f>
        <v/>
      </c>
    </row>
    <row r="151">
      <c r="A151">
        <f>IF([1]Accounts!$D$152="","",[1]Accounts!$A$152)</f>
        <v/>
      </c>
      <c r="B151">
        <f>IF([1]Accounts!$D$152="","",[1]Accounts!$B$152)</f>
        <v/>
      </c>
      <c r="C151">
        <f>IF([1]Accounts!$D$152="","",[1]Accounts!$C$152)</f>
        <v/>
      </c>
      <c r="D151">
        <f>IF([1]Accounts!$D$152="","",[1]Accounts!$D$152)</f>
        <v/>
      </c>
      <c r="E151">
        <f>IF([1]Accounts!$D$152="","",[1]Accounts!$J$152)</f>
        <v/>
      </c>
      <c r="F151">
        <f>IF([1]Accounts!$D$152="","",[1]Accounts!$K$152)</f>
        <v/>
      </c>
      <c r="J151">
        <f>IF([2]Entry!$C$154="","",[2]Entry!$C$154)</f>
        <v/>
      </c>
      <c r="K151">
        <f>IF([2]Entry!$D$154="","",[2]Entry!$D$154)</f>
        <v/>
      </c>
      <c r="L151">
        <f>IF([2]Entry!$E$154="","",[2]Entry!$E$154)</f>
        <v/>
      </c>
      <c r="M151">
        <f>IF([2]Entry!$G$154="","",[2]Entry!$G$154)</f>
        <v/>
      </c>
      <c r="N151">
        <f>IF([2]Entry!$M$154="","",[2]Entry!$M$154)</f>
        <v/>
      </c>
      <c r="O151">
        <f>IF([2]Entry!$N$154="","",[2]Entry!$N$154)</f>
        <v/>
      </c>
      <c r="P151">
        <f>IF([2]Entry!$R$154="","",[2]Entry!$R$154)</f>
        <v/>
      </c>
    </row>
    <row r="152">
      <c r="A152">
        <f>IF([1]Accounts!$D$153="","",[1]Accounts!$A$153)</f>
        <v/>
      </c>
      <c r="B152">
        <f>IF([1]Accounts!$D$153="","",[1]Accounts!$B$153)</f>
        <v/>
      </c>
      <c r="C152">
        <f>IF([1]Accounts!$D$153="","",[1]Accounts!$C$153)</f>
        <v/>
      </c>
      <c r="D152">
        <f>IF([1]Accounts!$D$153="","",[1]Accounts!$D$153)</f>
        <v/>
      </c>
      <c r="E152">
        <f>IF([1]Accounts!$D$153="","",[1]Accounts!$J$153)</f>
        <v/>
      </c>
      <c r="F152">
        <f>IF([1]Accounts!$D$153="","",[1]Accounts!$K$153)</f>
        <v/>
      </c>
      <c r="J152">
        <f>IF([2]Entry!$C$155="","",[2]Entry!$C$155)</f>
        <v/>
      </c>
      <c r="K152">
        <f>IF([2]Entry!$D$155="","",[2]Entry!$D$155)</f>
        <v/>
      </c>
      <c r="L152">
        <f>IF([2]Entry!$E$155="","",[2]Entry!$E$155)</f>
        <v/>
      </c>
      <c r="M152">
        <f>IF([2]Entry!$G$155="","",[2]Entry!$G$155)</f>
        <v/>
      </c>
      <c r="N152">
        <f>IF([2]Entry!$M$155="","",[2]Entry!$M$155)</f>
        <v/>
      </c>
      <c r="O152">
        <f>IF([2]Entry!$N$155="","",[2]Entry!$N$155)</f>
        <v/>
      </c>
      <c r="P152">
        <f>IF([2]Entry!$R$155="","",[2]Entry!$R$155)</f>
        <v/>
      </c>
    </row>
    <row r="153">
      <c r="A153">
        <f>IF([1]Accounts!$D$154="","",[1]Accounts!$A$154)</f>
        <v/>
      </c>
      <c r="B153">
        <f>IF([1]Accounts!$D$154="","",[1]Accounts!$B$154)</f>
        <v/>
      </c>
      <c r="C153">
        <f>IF([1]Accounts!$D$154="","",[1]Accounts!$C$154)</f>
        <v/>
      </c>
      <c r="D153">
        <f>IF([1]Accounts!$D$154="","",[1]Accounts!$D$154)</f>
        <v/>
      </c>
      <c r="E153">
        <f>IF([1]Accounts!$D$154="","",[1]Accounts!$J$154)</f>
        <v/>
      </c>
      <c r="F153">
        <f>IF([1]Accounts!$D$154="","",[1]Accounts!$K$154)</f>
        <v/>
      </c>
      <c r="J153">
        <f>IF([2]Entry!$C$156="","",[2]Entry!$C$156)</f>
        <v/>
      </c>
      <c r="K153">
        <f>IF([2]Entry!$D$156="","",[2]Entry!$D$156)</f>
        <v/>
      </c>
      <c r="L153">
        <f>IF([2]Entry!$E$156="","",[2]Entry!$E$156)</f>
        <v/>
      </c>
      <c r="M153">
        <f>IF([2]Entry!$G$156="","",[2]Entry!$G$156)</f>
        <v/>
      </c>
      <c r="N153">
        <f>IF([2]Entry!$M$156="","",[2]Entry!$M$156)</f>
        <v/>
      </c>
      <c r="O153">
        <f>IF([2]Entry!$N$156="","",[2]Entry!$N$156)</f>
        <v/>
      </c>
      <c r="P153">
        <f>IF([2]Entry!$R$156="","",[2]Entry!$R$156)</f>
        <v/>
      </c>
    </row>
    <row r="154">
      <c r="A154">
        <f>IF([1]Accounts!$D$155="","",[1]Accounts!$A$155)</f>
        <v/>
      </c>
      <c r="B154">
        <f>IF([1]Accounts!$D$155="","",[1]Accounts!$B$155)</f>
        <v/>
      </c>
      <c r="C154">
        <f>IF([1]Accounts!$D$155="","",[1]Accounts!$C$155)</f>
        <v/>
      </c>
      <c r="D154">
        <f>IF([1]Accounts!$D$155="","",[1]Accounts!$D$155)</f>
        <v/>
      </c>
      <c r="E154">
        <f>IF([1]Accounts!$D$155="","",[1]Accounts!$J$155)</f>
        <v/>
      </c>
      <c r="F154">
        <f>IF([1]Accounts!$D$155="","",[1]Accounts!$K$155)</f>
        <v/>
      </c>
      <c r="J154">
        <f>IF([2]Entry!$C$157="","",[2]Entry!$C$157)</f>
        <v/>
      </c>
      <c r="K154">
        <f>IF([2]Entry!$D$157="","",[2]Entry!$D$157)</f>
        <v/>
      </c>
      <c r="L154">
        <f>IF([2]Entry!$E$157="","",[2]Entry!$E$157)</f>
        <v/>
      </c>
      <c r="M154">
        <f>IF([2]Entry!$G$157="","",[2]Entry!$G$157)</f>
        <v/>
      </c>
      <c r="N154">
        <f>IF([2]Entry!$M$157="","",[2]Entry!$M$157)</f>
        <v/>
      </c>
      <c r="O154">
        <f>IF([2]Entry!$N$157="","",[2]Entry!$N$157)</f>
        <v/>
      </c>
      <c r="P154">
        <f>IF([2]Entry!$R$157="","",[2]Entry!$R$157)</f>
        <v/>
      </c>
    </row>
    <row r="155">
      <c r="A155">
        <f>IF([1]Accounts!$D$156="","",[1]Accounts!$A$156)</f>
        <v/>
      </c>
      <c r="B155">
        <f>IF([1]Accounts!$D$156="","",[1]Accounts!$B$156)</f>
        <v/>
      </c>
      <c r="C155">
        <f>IF([1]Accounts!$D$156="","",[1]Accounts!$C$156)</f>
        <v/>
      </c>
      <c r="D155">
        <f>IF([1]Accounts!$D$156="","",[1]Accounts!$D$156)</f>
        <v/>
      </c>
      <c r="E155">
        <f>IF([1]Accounts!$D$156="","",[1]Accounts!$J$156)</f>
        <v/>
      </c>
      <c r="F155">
        <f>IF([1]Accounts!$D$156="","",[1]Accounts!$K$156)</f>
        <v/>
      </c>
      <c r="J155">
        <f>IF([2]Entry!$C$158="","",[2]Entry!$C$158)</f>
        <v/>
      </c>
      <c r="K155">
        <f>IF([2]Entry!$D$158="","",[2]Entry!$D$158)</f>
        <v/>
      </c>
      <c r="L155">
        <f>IF([2]Entry!$E$158="","",[2]Entry!$E$158)</f>
        <v/>
      </c>
      <c r="M155">
        <f>IF([2]Entry!$G$158="","",[2]Entry!$G$158)</f>
        <v/>
      </c>
      <c r="N155">
        <f>IF([2]Entry!$M$158="","",[2]Entry!$M$158)</f>
        <v/>
      </c>
      <c r="O155">
        <f>IF([2]Entry!$N$158="","",[2]Entry!$N$158)</f>
        <v/>
      </c>
      <c r="P155">
        <f>IF([2]Entry!$R$158="","",[2]Entry!$R$158)</f>
        <v/>
      </c>
    </row>
    <row r="156">
      <c r="A156">
        <f>IF([1]Accounts!$D$157="","",[1]Accounts!$A$157)</f>
        <v/>
      </c>
      <c r="B156">
        <f>IF([1]Accounts!$D$157="","",[1]Accounts!$B$157)</f>
        <v/>
      </c>
      <c r="C156">
        <f>IF([1]Accounts!$D$157="","",[1]Accounts!$C$157)</f>
        <v/>
      </c>
      <c r="D156">
        <f>IF([1]Accounts!$D$157="","",[1]Accounts!$D$157)</f>
        <v/>
      </c>
      <c r="E156">
        <f>IF([1]Accounts!$D$157="","",[1]Accounts!$J$157)</f>
        <v/>
      </c>
      <c r="F156">
        <f>IF([1]Accounts!$D$157="","",[1]Accounts!$K$157)</f>
        <v/>
      </c>
      <c r="J156">
        <f>IF([2]Entry!$C$159="","",[2]Entry!$C$159)</f>
        <v/>
      </c>
      <c r="K156">
        <f>IF([2]Entry!$D$159="","",[2]Entry!$D$159)</f>
        <v/>
      </c>
      <c r="L156">
        <f>IF([2]Entry!$E$159="","",[2]Entry!$E$159)</f>
        <v/>
      </c>
      <c r="M156">
        <f>IF([2]Entry!$G$159="","",[2]Entry!$G$159)</f>
        <v/>
      </c>
      <c r="N156">
        <f>IF([2]Entry!$M$159="","",[2]Entry!$M$159)</f>
        <v/>
      </c>
      <c r="O156">
        <f>IF([2]Entry!$N$159="","",[2]Entry!$N$159)</f>
        <v/>
      </c>
      <c r="P156">
        <f>IF([2]Entry!$R$159="","",[2]Entry!$R$159)</f>
        <v/>
      </c>
    </row>
    <row r="157">
      <c r="A157">
        <f>IF([1]Accounts!$D$158="","",[1]Accounts!$A$158)</f>
        <v/>
      </c>
      <c r="B157">
        <f>IF([1]Accounts!$D$158="","",[1]Accounts!$B$158)</f>
        <v/>
      </c>
      <c r="C157">
        <f>IF([1]Accounts!$D$158="","",[1]Accounts!$C$158)</f>
        <v/>
      </c>
      <c r="D157">
        <f>IF([1]Accounts!$D$158="","",[1]Accounts!$D$158)</f>
        <v/>
      </c>
      <c r="E157">
        <f>IF([1]Accounts!$D$158="","",[1]Accounts!$J$158)</f>
        <v/>
      </c>
      <c r="F157">
        <f>IF([1]Accounts!$D$158="","",[1]Accounts!$K$158)</f>
        <v/>
      </c>
      <c r="J157">
        <f>IF([2]Entry!$C$160="","",[2]Entry!$C$160)</f>
        <v/>
      </c>
      <c r="K157">
        <f>IF([2]Entry!$D$160="","",[2]Entry!$D$160)</f>
        <v/>
      </c>
      <c r="L157">
        <f>IF([2]Entry!$E$160="","",[2]Entry!$E$160)</f>
        <v/>
      </c>
      <c r="M157">
        <f>IF([2]Entry!$G$160="","",[2]Entry!$G$160)</f>
        <v/>
      </c>
      <c r="N157">
        <f>IF([2]Entry!$M$160="","",[2]Entry!$M$160)</f>
        <v/>
      </c>
      <c r="O157">
        <f>IF([2]Entry!$N$160="","",[2]Entry!$N$160)</f>
        <v/>
      </c>
      <c r="P157">
        <f>IF([2]Entry!$R$160="","",[2]Entry!$R$160)</f>
        <v/>
      </c>
    </row>
    <row r="158">
      <c r="A158">
        <f>IF([1]Accounts!$D$159="","",[1]Accounts!$A$159)</f>
        <v/>
      </c>
      <c r="B158">
        <f>IF([1]Accounts!$D$159="","",[1]Accounts!$B$159)</f>
        <v/>
      </c>
      <c r="C158">
        <f>IF([1]Accounts!$D$159="","",[1]Accounts!$C$159)</f>
        <v/>
      </c>
      <c r="D158">
        <f>IF([1]Accounts!$D$159="","",[1]Accounts!$D$159)</f>
        <v/>
      </c>
      <c r="E158">
        <f>IF([1]Accounts!$D$159="","",[1]Accounts!$J$159)</f>
        <v/>
      </c>
      <c r="F158">
        <f>IF([1]Accounts!$D$159="","",[1]Accounts!$K$159)</f>
        <v/>
      </c>
      <c r="J158">
        <f>IF([2]Entry!$C$161="","",[2]Entry!$C$161)</f>
        <v/>
      </c>
      <c r="K158">
        <f>IF([2]Entry!$D$161="","",[2]Entry!$D$161)</f>
        <v/>
      </c>
      <c r="L158">
        <f>IF([2]Entry!$E$161="","",[2]Entry!$E$161)</f>
        <v/>
      </c>
      <c r="M158">
        <f>IF([2]Entry!$G$161="","",[2]Entry!$G$161)</f>
        <v/>
      </c>
      <c r="N158">
        <f>IF([2]Entry!$M$161="","",[2]Entry!$M$161)</f>
        <v/>
      </c>
      <c r="O158">
        <f>IF([2]Entry!$N$161="","",[2]Entry!$N$161)</f>
        <v/>
      </c>
      <c r="P158">
        <f>IF([2]Entry!$R$161="","",[2]Entry!$R$161)</f>
        <v/>
      </c>
    </row>
    <row r="159">
      <c r="A159">
        <f>IF([1]Accounts!$D$160="","",[1]Accounts!$A$160)</f>
        <v/>
      </c>
      <c r="B159">
        <f>IF([1]Accounts!$D$160="","",[1]Accounts!$B$160)</f>
        <v/>
      </c>
      <c r="C159">
        <f>IF([1]Accounts!$D$160="","",[1]Accounts!$C$160)</f>
        <v/>
      </c>
      <c r="D159">
        <f>IF([1]Accounts!$D$160="","",[1]Accounts!$D$160)</f>
        <v/>
      </c>
      <c r="E159">
        <f>IF([1]Accounts!$D$160="","",[1]Accounts!$J$160)</f>
        <v/>
      </c>
      <c r="F159">
        <f>IF([1]Accounts!$D$160="","",[1]Accounts!$K$160)</f>
        <v/>
      </c>
      <c r="J159">
        <f>IF([2]Entry!$C$162="","",[2]Entry!$C$162)</f>
        <v/>
      </c>
      <c r="K159">
        <f>IF([2]Entry!$D$162="","",[2]Entry!$D$162)</f>
        <v/>
      </c>
      <c r="L159">
        <f>IF([2]Entry!$E$162="","",[2]Entry!$E$162)</f>
        <v/>
      </c>
      <c r="M159">
        <f>IF([2]Entry!$G$162="","",[2]Entry!$G$162)</f>
        <v/>
      </c>
      <c r="N159">
        <f>IF([2]Entry!$M$162="","",[2]Entry!$M$162)</f>
        <v/>
      </c>
      <c r="O159">
        <f>IF([2]Entry!$N$162="","",[2]Entry!$N$162)</f>
        <v/>
      </c>
      <c r="P159">
        <f>IF([2]Entry!$R$162="","",[2]Entry!$R$162)</f>
        <v/>
      </c>
    </row>
    <row r="160">
      <c r="A160">
        <f>IF([1]Accounts!$D$161="","",[1]Accounts!$A$161)</f>
        <v/>
      </c>
      <c r="B160">
        <f>IF([1]Accounts!$D$161="","",[1]Accounts!$B$161)</f>
        <v/>
      </c>
      <c r="C160">
        <f>IF([1]Accounts!$D$161="","",[1]Accounts!$C$161)</f>
        <v/>
      </c>
      <c r="D160">
        <f>IF([1]Accounts!$D$161="","",[1]Accounts!$D$161)</f>
        <v/>
      </c>
      <c r="E160">
        <f>IF([1]Accounts!$D$161="","",[1]Accounts!$J$161)</f>
        <v/>
      </c>
      <c r="F160">
        <f>IF([1]Accounts!$D$161="","",[1]Accounts!$K$161)</f>
        <v/>
      </c>
      <c r="J160">
        <f>IF([2]Entry!$C$163="","",[2]Entry!$C$163)</f>
        <v/>
      </c>
      <c r="K160">
        <f>IF([2]Entry!$D$163="","",[2]Entry!$D$163)</f>
        <v/>
      </c>
      <c r="L160">
        <f>IF([2]Entry!$E$163="","",[2]Entry!$E$163)</f>
        <v/>
      </c>
      <c r="M160">
        <f>IF([2]Entry!$G$163="","",[2]Entry!$G$163)</f>
        <v/>
      </c>
      <c r="N160">
        <f>IF([2]Entry!$M$163="","",[2]Entry!$M$163)</f>
        <v/>
      </c>
      <c r="O160">
        <f>IF([2]Entry!$N$163="","",[2]Entry!$N$163)</f>
        <v/>
      </c>
      <c r="P160">
        <f>IF([2]Entry!$R$163="","",[2]Entry!$R$163)</f>
        <v/>
      </c>
    </row>
    <row r="161">
      <c r="A161">
        <f>IF([1]Accounts!$D$162="","",[1]Accounts!$A$162)</f>
        <v/>
      </c>
      <c r="B161">
        <f>IF([1]Accounts!$D$162="","",[1]Accounts!$B$162)</f>
        <v/>
      </c>
      <c r="C161">
        <f>IF([1]Accounts!$D$162="","",[1]Accounts!$C$162)</f>
        <v/>
      </c>
      <c r="D161">
        <f>IF([1]Accounts!$D$162="","",[1]Accounts!$D$162)</f>
        <v/>
      </c>
      <c r="E161">
        <f>IF([1]Accounts!$D$162="","",[1]Accounts!$J$162)</f>
        <v/>
      </c>
      <c r="F161">
        <f>IF([1]Accounts!$D$162="","",[1]Accounts!$K$162)</f>
        <v/>
      </c>
      <c r="J161">
        <f>IF([2]Entry!$C$164="","",[2]Entry!$C$164)</f>
        <v/>
      </c>
      <c r="K161">
        <f>IF([2]Entry!$D$164="","",[2]Entry!$D$164)</f>
        <v/>
      </c>
      <c r="L161">
        <f>IF([2]Entry!$E$164="","",[2]Entry!$E$164)</f>
        <v/>
      </c>
      <c r="M161">
        <f>IF([2]Entry!$G$164="","",[2]Entry!$G$164)</f>
        <v/>
      </c>
      <c r="N161">
        <f>IF([2]Entry!$M$164="","",[2]Entry!$M$164)</f>
        <v/>
      </c>
      <c r="O161">
        <f>IF([2]Entry!$N$164="","",[2]Entry!$N$164)</f>
        <v/>
      </c>
      <c r="P161">
        <f>IF([2]Entry!$R$164="","",[2]Entry!$R$164)</f>
        <v/>
      </c>
    </row>
    <row r="162">
      <c r="A162">
        <f>IF([1]Accounts!$D$163="","",[1]Accounts!$A$163)</f>
        <v/>
      </c>
      <c r="B162">
        <f>IF([1]Accounts!$D$163="","",[1]Accounts!$B$163)</f>
        <v/>
      </c>
      <c r="C162">
        <f>IF([1]Accounts!$D$163="","",[1]Accounts!$C$163)</f>
        <v/>
      </c>
      <c r="D162">
        <f>IF([1]Accounts!$D$163="","",[1]Accounts!$D$163)</f>
        <v/>
      </c>
      <c r="E162">
        <f>IF([1]Accounts!$D$163="","",[1]Accounts!$J$163)</f>
        <v/>
      </c>
      <c r="F162">
        <f>IF([1]Accounts!$D$163="","",[1]Accounts!$K$163)</f>
        <v/>
      </c>
      <c r="J162">
        <f>IF([2]Entry!$C$165="","",[2]Entry!$C$165)</f>
        <v/>
      </c>
      <c r="K162">
        <f>IF([2]Entry!$D$165="","",[2]Entry!$D$165)</f>
        <v/>
      </c>
      <c r="L162">
        <f>IF([2]Entry!$E$165="","",[2]Entry!$E$165)</f>
        <v/>
      </c>
      <c r="M162">
        <f>IF([2]Entry!$G$165="","",[2]Entry!$G$165)</f>
        <v/>
      </c>
      <c r="N162">
        <f>IF([2]Entry!$M$165="","",[2]Entry!$M$165)</f>
        <v/>
      </c>
      <c r="O162">
        <f>IF([2]Entry!$N$165="","",[2]Entry!$N$165)</f>
        <v/>
      </c>
      <c r="P162">
        <f>IF([2]Entry!$R$165="","",[2]Entry!$R$165)</f>
        <v/>
      </c>
    </row>
    <row r="163">
      <c r="A163">
        <f>IF([1]Accounts!$D$164="","",[1]Accounts!$A$164)</f>
        <v/>
      </c>
      <c r="B163">
        <f>IF([1]Accounts!$D$164="","",[1]Accounts!$B$164)</f>
        <v/>
      </c>
      <c r="C163">
        <f>IF([1]Accounts!$D$164="","",[1]Accounts!$C$164)</f>
        <v/>
      </c>
      <c r="D163">
        <f>IF([1]Accounts!$D$164="","",[1]Accounts!$D$164)</f>
        <v/>
      </c>
      <c r="E163">
        <f>IF([1]Accounts!$D$164="","",[1]Accounts!$J$164)</f>
        <v/>
      </c>
      <c r="F163">
        <f>IF([1]Accounts!$D$164="","",[1]Accounts!$K$164)</f>
        <v/>
      </c>
      <c r="J163">
        <f>IF([2]Entry!$C$166="","",[2]Entry!$C$166)</f>
        <v/>
      </c>
      <c r="K163">
        <f>IF([2]Entry!$D$166="","",[2]Entry!$D$166)</f>
        <v/>
      </c>
      <c r="L163">
        <f>IF([2]Entry!$E$166="","",[2]Entry!$E$166)</f>
        <v/>
      </c>
      <c r="M163">
        <f>IF([2]Entry!$G$166="","",[2]Entry!$G$166)</f>
        <v/>
      </c>
      <c r="N163">
        <f>IF([2]Entry!$M$166="","",[2]Entry!$M$166)</f>
        <v/>
      </c>
      <c r="O163">
        <f>IF([2]Entry!$N$166="","",[2]Entry!$N$166)</f>
        <v/>
      </c>
      <c r="P163">
        <f>IF([2]Entry!$R$166="","",[2]Entry!$R$166)</f>
        <v/>
      </c>
    </row>
    <row r="164">
      <c r="A164">
        <f>IF([1]Accounts!$D$165="","",[1]Accounts!$A$165)</f>
        <v/>
      </c>
      <c r="B164">
        <f>IF([1]Accounts!$D$165="","",[1]Accounts!$B$165)</f>
        <v/>
      </c>
      <c r="C164">
        <f>IF([1]Accounts!$D$165="","",[1]Accounts!$C$165)</f>
        <v/>
      </c>
      <c r="D164">
        <f>IF([1]Accounts!$D$165="","",[1]Accounts!$D$165)</f>
        <v/>
      </c>
      <c r="E164">
        <f>IF([1]Accounts!$D$165="","",[1]Accounts!$J$165)</f>
        <v/>
      </c>
      <c r="F164">
        <f>IF([1]Accounts!$D$165="","",[1]Accounts!$K$165)</f>
        <v/>
      </c>
      <c r="J164">
        <f>IF([2]Entry!$C$167="","",[2]Entry!$C$167)</f>
        <v/>
      </c>
      <c r="K164">
        <f>IF([2]Entry!$D$167="","",[2]Entry!$D$167)</f>
        <v/>
      </c>
      <c r="L164">
        <f>IF([2]Entry!$E$167="","",[2]Entry!$E$167)</f>
        <v/>
      </c>
      <c r="M164">
        <f>IF([2]Entry!$G$167="","",[2]Entry!$G$167)</f>
        <v/>
      </c>
      <c r="N164">
        <f>IF([2]Entry!$M$167="","",[2]Entry!$M$167)</f>
        <v/>
      </c>
      <c r="O164">
        <f>IF([2]Entry!$N$167="","",[2]Entry!$N$167)</f>
        <v/>
      </c>
      <c r="P164">
        <f>IF([2]Entry!$R$167="","",[2]Entry!$R$167)</f>
        <v/>
      </c>
    </row>
    <row r="165">
      <c r="A165">
        <f>IF([1]Accounts!$D$166="","",[1]Accounts!$A$166)</f>
        <v/>
      </c>
      <c r="B165">
        <f>IF([1]Accounts!$D$166="","",[1]Accounts!$B$166)</f>
        <v/>
      </c>
      <c r="C165">
        <f>IF([1]Accounts!$D$166="","",[1]Accounts!$C$166)</f>
        <v/>
      </c>
      <c r="D165">
        <f>IF([1]Accounts!$D$166="","",[1]Accounts!$D$166)</f>
        <v/>
      </c>
      <c r="E165">
        <f>IF([1]Accounts!$D$166="","",[1]Accounts!$J$166)</f>
        <v/>
      </c>
      <c r="F165">
        <f>IF([1]Accounts!$D$166="","",[1]Accounts!$K$166)</f>
        <v/>
      </c>
      <c r="J165">
        <f>IF([2]Entry!$C$168="","",[2]Entry!$C$168)</f>
        <v/>
      </c>
      <c r="K165">
        <f>IF([2]Entry!$D$168="","",[2]Entry!$D$168)</f>
        <v/>
      </c>
      <c r="L165">
        <f>IF([2]Entry!$E$168="","",[2]Entry!$E$168)</f>
        <v/>
      </c>
      <c r="M165">
        <f>IF([2]Entry!$G$168="","",[2]Entry!$G$168)</f>
        <v/>
      </c>
      <c r="N165">
        <f>IF([2]Entry!$M$168="","",[2]Entry!$M$168)</f>
        <v/>
      </c>
      <c r="O165">
        <f>IF([2]Entry!$N$168="","",[2]Entry!$N$168)</f>
        <v/>
      </c>
      <c r="P165">
        <f>IF([2]Entry!$R$168="","",[2]Entry!$R$168)</f>
        <v/>
      </c>
    </row>
    <row r="166">
      <c r="A166">
        <f>IF([1]Accounts!$D$167="","",[1]Accounts!$A$167)</f>
        <v/>
      </c>
      <c r="B166">
        <f>IF([1]Accounts!$D$167="","",[1]Accounts!$B$167)</f>
        <v/>
      </c>
      <c r="C166">
        <f>IF([1]Accounts!$D$167="","",[1]Accounts!$C$167)</f>
        <v/>
      </c>
      <c r="D166">
        <f>IF([1]Accounts!$D$167="","",[1]Accounts!$D$167)</f>
        <v/>
      </c>
      <c r="E166">
        <f>IF([1]Accounts!$D$167="","",[1]Accounts!$J$167)</f>
        <v/>
      </c>
      <c r="F166">
        <f>IF([1]Accounts!$D$167="","",[1]Accounts!$K$167)</f>
        <v/>
      </c>
      <c r="J166">
        <f>IF([2]Entry!$C$169="","",[2]Entry!$C$169)</f>
        <v/>
      </c>
      <c r="K166">
        <f>IF([2]Entry!$D$169="","",[2]Entry!$D$169)</f>
        <v/>
      </c>
      <c r="L166">
        <f>IF([2]Entry!$E$169="","",[2]Entry!$E$169)</f>
        <v/>
      </c>
      <c r="M166">
        <f>IF([2]Entry!$G$169="","",[2]Entry!$G$169)</f>
        <v/>
      </c>
      <c r="N166">
        <f>IF([2]Entry!$M$169="","",[2]Entry!$M$169)</f>
        <v/>
      </c>
      <c r="O166">
        <f>IF([2]Entry!$N$169="","",[2]Entry!$N$169)</f>
        <v/>
      </c>
      <c r="P166">
        <f>IF([2]Entry!$R$169="","",[2]Entry!$R$169)</f>
        <v/>
      </c>
    </row>
    <row r="167">
      <c r="A167">
        <f>IF([1]Accounts!$D$168="","",[1]Accounts!$A$168)</f>
        <v/>
      </c>
      <c r="B167">
        <f>IF([1]Accounts!$D$168="","",[1]Accounts!$B$168)</f>
        <v/>
      </c>
      <c r="C167">
        <f>IF([1]Accounts!$D$168="","",[1]Accounts!$C$168)</f>
        <v/>
      </c>
      <c r="D167">
        <f>IF([1]Accounts!$D$168="","",[1]Accounts!$D$168)</f>
        <v/>
      </c>
      <c r="E167">
        <f>IF([1]Accounts!$D$168="","",[1]Accounts!$J$168)</f>
        <v/>
      </c>
      <c r="F167">
        <f>IF([1]Accounts!$D$168="","",[1]Accounts!$K$168)</f>
        <v/>
      </c>
      <c r="J167">
        <f>IF([2]Entry!$C$170="","",[2]Entry!$C$170)</f>
        <v/>
      </c>
      <c r="K167">
        <f>IF([2]Entry!$D$170="","",[2]Entry!$D$170)</f>
        <v/>
      </c>
      <c r="L167">
        <f>IF([2]Entry!$E$170="","",[2]Entry!$E$170)</f>
        <v/>
      </c>
      <c r="M167">
        <f>IF([2]Entry!$G$170="","",[2]Entry!$G$170)</f>
        <v/>
      </c>
      <c r="N167">
        <f>IF([2]Entry!$M$170="","",[2]Entry!$M$170)</f>
        <v/>
      </c>
      <c r="O167">
        <f>IF([2]Entry!$N$170="","",[2]Entry!$N$170)</f>
        <v/>
      </c>
      <c r="P167">
        <f>IF([2]Entry!$R$170="","",[2]Entry!$R$170)</f>
        <v/>
      </c>
    </row>
    <row r="168">
      <c r="A168">
        <f>IF([1]Accounts!$D$169="","",[1]Accounts!$A$169)</f>
        <v/>
      </c>
      <c r="B168">
        <f>IF([1]Accounts!$D$169="","",[1]Accounts!$B$169)</f>
        <v/>
      </c>
      <c r="C168">
        <f>IF([1]Accounts!$D$169="","",[1]Accounts!$C$169)</f>
        <v/>
      </c>
      <c r="D168">
        <f>IF([1]Accounts!$D$169="","",[1]Accounts!$D$169)</f>
        <v/>
      </c>
      <c r="E168">
        <f>IF([1]Accounts!$D$169="","",[1]Accounts!$J$169)</f>
        <v/>
      </c>
      <c r="F168">
        <f>IF([1]Accounts!$D$169="","",[1]Accounts!$K$169)</f>
        <v/>
      </c>
      <c r="J168">
        <f>IF([2]Entry!$C$171="","",[2]Entry!$C$171)</f>
        <v/>
      </c>
      <c r="K168">
        <f>IF([2]Entry!$D$171="","",[2]Entry!$D$171)</f>
        <v/>
      </c>
      <c r="L168">
        <f>IF([2]Entry!$E$171="","",[2]Entry!$E$171)</f>
        <v/>
      </c>
      <c r="M168">
        <f>IF([2]Entry!$G$171="","",[2]Entry!$G$171)</f>
        <v/>
      </c>
      <c r="N168">
        <f>IF([2]Entry!$M$171="","",[2]Entry!$M$171)</f>
        <v/>
      </c>
      <c r="O168">
        <f>IF([2]Entry!$N$171="","",[2]Entry!$N$171)</f>
        <v/>
      </c>
      <c r="P168">
        <f>IF([2]Entry!$R$171="","",[2]Entry!$R$171)</f>
        <v/>
      </c>
    </row>
    <row r="169">
      <c r="A169">
        <f>IF([1]Accounts!$D$170="","",[1]Accounts!$A$170)</f>
        <v/>
      </c>
      <c r="B169">
        <f>IF([1]Accounts!$D$170="","",[1]Accounts!$B$170)</f>
        <v/>
      </c>
      <c r="C169">
        <f>IF([1]Accounts!$D$170="","",[1]Accounts!$C$170)</f>
        <v/>
      </c>
      <c r="D169">
        <f>IF([1]Accounts!$D$170="","",[1]Accounts!$D$170)</f>
        <v/>
      </c>
      <c r="E169">
        <f>IF([1]Accounts!$D$170="","",[1]Accounts!$J$170)</f>
        <v/>
      </c>
      <c r="F169">
        <f>IF([1]Accounts!$D$170="","",[1]Accounts!$K$170)</f>
        <v/>
      </c>
      <c r="J169">
        <f>IF([2]Entry!$C$172="","",[2]Entry!$C$172)</f>
        <v/>
      </c>
      <c r="K169">
        <f>IF([2]Entry!$D$172="","",[2]Entry!$D$172)</f>
        <v/>
      </c>
      <c r="L169">
        <f>IF([2]Entry!$E$172="","",[2]Entry!$E$172)</f>
        <v/>
      </c>
      <c r="M169">
        <f>IF([2]Entry!$G$172="","",[2]Entry!$G$172)</f>
        <v/>
      </c>
      <c r="N169">
        <f>IF([2]Entry!$M$172="","",[2]Entry!$M$172)</f>
        <v/>
      </c>
      <c r="O169">
        <f>IF([2]Entry!$N$172="","",[2]Entry!$N$172)</f>
        <v/>
      </c>
      <c r="P169">
        <f>IF([2]Entry!$R$172="","",[2]Entry!$R$172)</f>
        <v/>
      </c>
    </row>
    <row r="170">
      <c r="A170">
        <f>IF([1]Accounts!$D$171="","",[1]Accounts!$A$171)</f>
        <v/>
      </c>
      <c r="B170">
        <f>IF([1]Accounts!$D$171="","",[1]Accounts!$B$171)</f>
        <v/>
      </c>
      <c r="C170">
        <f>IF([1]Accounts!$D$171="","",[1]Accounts!$C$171)</f>
        <v/>
      </c>
      <c r="D170">
        <f>IF([1]Accounts!$D$171="","",[1]Accounts!$D$171)</f>
        <v/>
      </c>
      <c r="E170">
        <f>IF([1]Accounts!$D$171="","",[1]Accounts!$J$171)</f>
        <v/>
      </c>
      <c r="F170">
        <f>IF([1]Accounts!$D$171="","",[1]Accounts!$K$171)</f>
        <v/>
      </c>
      <c r="J170">
        <f>IF([2]Entry!$C$173="","",[2]Entry!$C$173)</f>
        <v/>
      </c>
      <c r="K170">
        <f>IF([2]Entry!$D$173="","",[2]Entry!$D$173)</f>
        <v/>
      </c>
      <c r="L170">
        <f>IF([2]Entry!$E$173="","",[2]Entry!$E$173)</f>
        <v/>
      </c>
      <c r="M170">
        <f>IF([2]Entry!$G$173="","",[2]Entry!$G$173)</f>
        <v/>
      </c>
      <c r="N170">
        <f>IF([2]Entry!$M$173="","",[2]Entry!$M$173)</f>
        <v/>
      </c>
      <c r="O170">
        <f>IF([2]Entry!$N$173="","",[2]Entry!$N$173)</f>
        <v/>
      </c>
      <c r="P170">
        <f>IF([2]Entry!$R$173="","",[2]Entry!$R$173)</f>
        <v/>
      </c>
    </row>
    <row r="171">
      <c r="A171">
        <f>IF([1]Accounts!$D$172="","",[1]Accounts!$A$172)</f>
        <v/>
      </c>
      <c r="B171">
        <f>IF([1]Accounts!$D$172="","",[1]Accounts!$B$172)</f>
        <v/>
      </c>
      <c r="C171">
        <f>IF([1]Accounts!$D$172="","",[1]Accounts!$C$172)</f>
        <v/>
      </c>
      <c r="D171">
        <f>IF([1]Accounts!$D$172="","",[1]Accounts!$D$172)</f>
        <v/>
      </c>
      <c r="E171">
        <f>IF([1]Accounts!$D$172="","",[1]Accounts!$J$172)</f>
        <v/>
      </c>
      <c r="F171">
        <f>IF([1]Accounts!$D$172="","",[1]Accounts!$K$172)</f>
        <v/>
      </c>
      <c r="J171">
        <f>IF([2]Entry!$C$174="","",[2]Entry!$C$174)</f>
        <v/>
      </c>
      <c r="K171">
        <f>IF([2]Entry!$D$174="","",[2]Entry!$D$174)</f>
        <v/>
      </c>
      <c r="L171">
        <f>IF([2]Entry!$E$174="","",[2]Entry!$E$174)</f>
        <v/>
      </c>
      <c r="M171">
        <f>IF([2]Entry!$G$174="","",[2]Entry!$G$174)</f>
        <v/>
      </c>
      <c r="N171">
        <f>IF([2]Entry!$M$174="","",[2]Entry!$M$174)</f>
        <v/>
      </c>
      <c r="O171">
        <f>IF([2]Entry!$N$174="","",[2]Entry!$N$174)</f>
        <v/>
      </c>
      <c r="P171">
        <f>IF([2]Entry!$R$174="","",[2]Entry!$R$174)</f>
        <v/>
      </c>
    </row>
    <row r="172">
      <c r="A172">
        <f>IF([1]Accounts!$D$173="","",[1]Accounts!$A$173)</f>
        <v/>
      </c>
      <c r="B172">
        <f>IF([1]Accounts!$D$173="","",[1]Accounts!$B$173)</f>
        <v/>
      </c>
      <c r="C172">
        <f>IF([1]Accounts!$D$173="","",[1]Accounts!$C$173)</f>
        <v/>
      </c>
      <c r="D172">
        <f>IF([1]Accounts!$D$173="","",[1]Accounts!$D$173)</f>
        <v/>
      </c>
      <c r="E172">
        <f>IF([1]Accounts!$D$173="","",[1]Accounts!$J$173)</f>
        <v/>
      </c>
      <c r="F172">
        <f>IF([1]Accounts!$D$173="","",[1]Accounts!$K$173)</f>
        <v/>
      </c>
      <c r="J172">
        <f>IF([2]Entry!$C$175="","",[2]Entry!$C$175)</f>
        <v/>
      </c>
      <c r="K172">
        <f>IF([2]Entry!$D$175="","",[2]Entry!$D$175)</f>
        <v/>
      </c>
      <c r="L172">
        <f>IF([2]Entry!$E$175="","",[2]Entry!$E$175)</f>
        <v/>
      </c>
      <c r="M172">
        <f>IF([2]Entry!$G$175="","",[2]Entry!$G$175)</f>
        <v/>
      </c>
      <c r="N172">
        <f>IF([2]Entry!$M$175="","",[2]Entry!$M$175)</f>
        <v/>
      </c>
      <c r="O172">
        <f>IF([2]Entry!$N$175="","",[2]Entry!$N$175)</f>
        <v/>
      </c>
      <c r="P172">
        <f>IF([2]Entry!$R$175="","",[2]Entry!$R$175)</f>
        <v/>
      </c>
    </row>
    <row r="173">
      <c r="A173">
        <f>IF([1]Accounts!$D$174="","",[1]Accounts!$A$174)</f>
        <v/>
      </c>
      <c r="B173">
        <f>IF([1]Accounts!$D$174="","",[1]Accounts!$B$174)</f>
        <v/>
      </c>
      <c r="C173">
        <f>IF([1]Accounts!$D$174="","",[1]Accounts!$C$174)</f>
        <v/>
      </c>
      <c r="D173">
        <f>IF([1]Accounts!$D$174="","",[1]Accounts!$D$174)</f>
        <v/>
      </c>
      <c r="E173">
        <f>IF([1]Accounts!$D$174="","",[1]Accounts!$J$174)</f>
        <v/>
      </c>
      <c r="F173">
        <f>IF([1]Accounts!$D$174="","",[1]Accounts!$K$174)</f>
        <v/>
      </c>
      <c r="J173">
        <f>IF([2]Entry!$C$176="","",[2]Entry!$C$176)</f>
        <v/>
      </c>
      <c r="K173">
        <f>IF([2]Entry!$D$176="","",[2]Entry!$D$176)</f>
        <v/>
      </c>
      <c r="L173">
        <f>IF([2]Entry!$E$176="","",[2]Entry!$E$176)</f>
        <v/>
      </c>
      <c r="M173">
        <f>IF([2]Entry!$G$176="","",[2]Entry!$G$176)</f>
        <v/>
      </c>
      <c r="N173">
        <f>IF([2]Entry!$M$176="","",[2]Entry!$M$176)</f>
        <v/>
      </c>
      <c r="O173">
        <f>IF([2]Entry!$N$176="","",[2]Entry!$N$176)</f>
        <v/>
      </c>
      <c r="P173">
        <f>IF([2]Entry!$R$176="","",[2]Entry!$R$176)</f>
        <v/>
      </c>
    </row>
    <row r="174">
      <c r="A174">
        <f>IF([1]Accounts!$D$175="","",[1]Accounts!$A$175)</f>
        <v/>
      </c>
      <c r="B174">
        <f>IF([1]Accounts!$D$175="","",[1]Accounts!$B$175)</f>
        <v/>
      </c>
      <c r="C174">
        <f>IF([1]Accounts!$D$175="","",[1]Accounts!$C$175)</f>
        <v/>
      </c>
      <c r="D174">
        <f>IF([1]Accounts!$D$175="","",[1]Accounts!$D$175)</f>
        <v/>
      </c>
      <c r="E174">
        <f>IF([1]Accounts!$D$175="","",[1]Accounts!$J$175)</f>
        <v/>
      </c>
      <c r="F174">
        <f>IF([1]Accounts!$D$175="","",[1]Accounts!$K$175)</f>
        <v/>
      </c>
      <c r="J174">
        <f>IF([2]Entry!$C$177="","",[2]Entry!$C$177)</f>
        <v/>
      </c>
      <c r="K174">
        <f>IF([2]Entry!$D$177="","",[2]Entry!$D$177)</f>
        <v/>
      </c>
      <c r="L174">
        <f>IF([2]Entry!$E$177="","",[2]Entry!$E$177)</f>
        <v/>
      </c>
      <c r="M174">
        <f>IF([2]Entry!$G$177="","",[2]Entry!$G$177)</f>
        <v/>
      </c>
      <c r="N174">
        <f>IF([2]Entry!$M$177="","",[2]Entry!$M$177)</f>
        <v/>
      </c>
      <c r="O174">
        <f>IF([2]Entry!$N$177="","",[2]Entry!$N$177)</f>
        <v/>
      </c>
      <c r="P174">
        <f>IF([2]Entry!$R$177="","",[2]Entry!$R$177)</f>
        <v/>
      </c>
    </row>
    <row r="175">
      <c r="A175">
        <f>IF([1]Accounts!$D$176="","",[1]Accounts!$A$176)</f>
        <v/>
      </c>
      <c r="B175">
        <f>IF([1]Accounts!$D$176="","",[1]Accounts!$B$176)</f>
        <v/>
      </c>
      <c r="C175">
        <f>IF([1]Accounts!$D$176="","",[1]Accounts!$C$176)</f>
        <v/>
      </c>
      <c r="D175">
        <f>IF([1]Accounts!$D$176="","",[1]Accounts!$D$176)</f>
        <v/>
      </c>
      <c r="E175">
        <f>IF([1]Accounts!$D$176="","",[1]Accounts!$J$176)</f>
        <v/>
      </c>
      <c r="F175">
        <f>IF([1]Accounts!$D$176="","",[1]Accounts!$K$176)</f>
        <v/>
      </c>
      <c r="J175">
        <f>IF([2]Entry!$C$178="","",[2]Entry!$C$178)</f>
        <v/>
      </c>
      <c r="K175">
        <f>IF([2]Entry!$D$178="","",[2]Entry!$D$178)</f>
        <v/>
      </c>
      <c r="L175">
        <f>IF([2]Entry!$E$178="","",[2]Entry!$E$178)</f>
        <v/>
      </c>
      <c r="M175">
        <f>IF([2]Entry!$G$178="","",[2]Entry!$G$178)</f>
        <v/>
      </c>
      <c r="N175">
        <f>IF([2]Entry!$M$178="","",[2]Entry!$M$178)</f>
        <v/>
      </c>
      <c r="O175">
        <f>IF([2]Entry!$N$178="","",[2]Entry!$N$178)</f>
        <v/>
      </c>
      <c r="P175">
        <f>IF([2]Entry!$R$178="","",[2]Entry!$R$178)</f>
        <v/>
      </c>
    </row>
    <row r="176">
      <c r="A176">
        <f>IF([1]Accounts!$D$177="","",[1]Accounts!$A$177)</f>
        <v/>
      </c>
      <c r="B176">
        <f>IF([1]Accounts!$D$177="","",[1]Accounts!$B$177)</f>
        <v/>
      </c>
      <c r="C176">
        <f>IF([1]Accounts!$D$177="","",[1]Accounts!$C$177)</f>
        <v/>
      </c>
      <c r="D176">
        <f>IF([1]Accounts!$D$177="","",[1]Accounts!$D$177)</f>
        <v/>
      </c>
      <c r="E176">
        <f>IF([1]Accounts!$D$177="","",[1]Accounts!$J$177)</f>
        <v/>
      </c>
      <c r="F176">
        <f>IF([1]Accounts!$D$177="","",[1]Accounts!$K$177)</f>
        <v/>
      </c>
      <c r="J176">
        <f>IF([2]Entry!$C$179="","",[2]Entry!$C$179)</f>
        <v/>
      </c>
      <c r="K176">
        <f>IF([2]Entry!$D$179="","",[2]Entry!$D$179)</f>
        <v/>
      </c>
      <c r="L176">
        <f>IF([2]Entry!$E$179="","",[2]Entry!$E$179)</f>
        <v/>
      </c>
      <c r="M176">
        <f>IF([2]Entry!$G$179="","",[2]Entry!$G$179)</f>
        <v/>
      </c>
      <c r="N176">
        <f>IF([2]Entry!$M$179="","",[2]Entry!$M$179)</f>
        <v/>
      </c>
      <c r="O176">
        <f>IF([2]Entry!$N$179="","",[2]Entry!$N$179)</f>
        <v/>
      </c>
      <c r="P176">
        <f>IF([2]Entry!$R$179="","",[2]Entry!$R$179)</f>
        <v/>
      </c>
    </row>
    <row r="177">
      <c r="A177">
        <f>IF([1]Accounts!$D$178="","",[1]Accounts!$A$178)</f>
        <v/>
      </c>
      <c r="B177">
        <f>IF([1]Accounts!$D$178="","",[1]Accounts!$B$178)</f>
        <v/>
      </c>
      <c r="C177">
        <f>IF([1]Accounts!$D$178="","",[1]Accounts!$C$178)</f>
        <v/>
      </c>
      <c r="D177">
        <f>IF([1]Accounts!$D$178="","",[1]Accounts!$D$178)</f>
        <v/>
      </c>
      <c r="E177">
        <f>IF([1]Accounts!$D$178="","",[1]Accounts!$J$178)</f>
        <v/>
      </c>
      <c r="F177">
        <f>IF([1]Accounts!$D$178="","",[1]Accounts!$K$178)</f>
        <v/>
      </c>
      <c r="J177">
        <f>IF([2]Entry!$C$180="","",[2]Entry!$C$180)</f>
        <v/>
      </c>
      <c r="K177">
        <f>IF([2]Entry!$D$180="","",[2]Entry!$D$180)</f>
        <v/>
      </c>
      <c r="L177">
        <f>IF([2]Entry!$E$180="","",[2]Entry!$E$180)</f>
        <v/>
      </c>
      <c r="M177">
        <f>IF([2]Entry!$G$180="","",[2]Entry!$G$180)</f>
        <v/>
      </c>
      <c r="N177">
        <f>IF([2]Entry!$M$180="","",[2]Entry!$M$180)</f>
        <v/>
      </c>
      <c r="O177">
        <f>IF([2]Entry!$N$180="","",[2]Entry!$N$180)</f>
        <v/>
      </c>
      <c r="P177">
        <f>IF([2]Entry!$R$180="","",[2]Entry!$R$180)</f>
        <v/>
      </c>
    </row>
    <row r="178">
      <c r="A178">
        <f>IF([1]Accounts!$D$179="","",[1]Accounts!$A$179)</f>
        <v/>
      </c>
      <c r="B178">
        <f>IF([1]Accounts!$D$179="","",[1]Accounts!$B$179)</f>
        <v/>
      </c>
      <c r="C178">
        <f>IF([1]Accounts!$D$179="","",[1]Accounts!$C$179)</f>
        <v/>
      </c>
      <c r="D178">
        <f>IF([1]Accounts!$D$179="","",[1]Accounts!$D$179)</f>
        <v/>
      </c>
      <c r="E178">
        <f>IF([1]Accounts!$D$179="","",[1]Accounts!$J$179)</f>
        <v/>
      </c>
      <c r="F178">
        <f>IF([1]Accounts!$D$179="","",[1]Accounts!$K$179)</f>
        <v/>
      </c>
      <c r="J178">
        <f>IF([2]Entry!$C$181="","",[2]Entry!$C$181)</f>
        <v/>
      </c>
      <c r="K178">
        <f>IF([2]Entry!$D$181="","",[2]Entry!$D$181)</f>
        <v/>
      </c>
      <c r="L178">
        <f>IF([2]Entry!$E$181="","",[2]Entry!$E$181)</f>
        <v/>
      </c>
      <c r="M178">
        <f>IF([2]Entry!$G$181="","",[2]Entry!$G$181)</f>
        <v/>
      </c>
      <c r="N178">
        <f>IF([2]Entry!$M$181="","",[2]Entry!$M$181)</f>
        <v/>
      </c>
      <c r="O178">
        <f>IF([2]Entry!$N$181="","",[2]Entry!$N$181)</f>
        <v/>
      </c>
      <c r="P178">
        <f>IF([2]Entry!$R$181="","",[2]Entry!$R$181)</f>
        <v/>
      </c>
    </row>
    <row r="179">
      <c r="A179">
        <f>IF([1]Accounts!$D$180="","",[1]Accounts!$A$180)</f>
        <v/>
      </c>
      <c r="B179">
        <f>IF([1]Accounts!$D$180="","",[1]Accounts!$B$180)</f>
        <v/>
      </c>
      <c r="C179">
        <f>IF([1]Accounts!$D$180="","",[1]Accounts!$C$180)</f>
        <v/>
      </c>
      <c r="D179">
        <f>IF([1]Accounts!$D$180="","",[1]Accounts!$D$180)</f>
        <v/>
      </c>
      <c r="E179">
        <f>IF([1]Accounts!$D$180="","",[1]Accounts!$J$180)</f>
        <v/>
      </c>
      <c r="F179">
        <f>IF([1]Accounts!$D$180="","",[1]Accounts!$K$180)</f>
        <v/>
      </c>
      <c r="J179">
        <f>IF([2]Entry!$C$182="","",[2]Entry!$C$182)</f>
        <v/>
      </c>
      <c r="K179">
        <f>IF([2]Entry!$D$182="","",[2]Entry!$D$182)</f>
        <v/>
      </c>
      <c r="L179">
        <f>IF([2]Entry!$E$182="","",[2]Entry!$E$182)</f>
        <v/>
      </c>
      <c r="M179">
        <f>IF([2]Entry!$G$182="","",[2]Entry!$G$182)</f>
        <v/>
      </c>
      <c r="N179">
        <f>IF([2]Entry!$M$182="","",[2]Entry!$M$182)</f>
        <v/>
      </c>
      <c r="O179">
        <f>IF([2]Entry!$N$182="","",[2]Entry!$N$182)</f>
        <v/>
      </c>
      <c r="P179">
        <f>IF([2]Entry!$R$182="","",[2]Entry!$R$182)</f>
        <v/>
      </c>
    </row>
    <row r="180">
      <c r="A180">
        <f>IF([1]Accounts!$D$181="","",[1]Accounts!$A$181)</f>
        <v/>
      </c>
      <c r="B180">
        <f>IF([1]Accounts!$D$181="","",[1]Accounts!$B$181)</f>
        <v/>
      </c>
      <c r="C180">
        <f>IF([1]Accounts!$D$181="","",[1]Accounts!$C$181)</f>
        <v/>
      </c>
      <c r="D180">
        <f>IF([1]Accounts!$D$181="","",[1]Accounts!$D$181)</f>
        <v/>
      </c>
      <c r="E180">
        <f>IF([1]Accounts!$D$181="","",[1]Accounts!$J$181)</f>
        <v/>
      </c>
      <c r="F180">
        <f>IF([1]Accounts!$D$181="","",[1]Accounts!$K$181)</f>
        <v/>
      </c>
      <c r="J180">
        <f>IF([2]Entry!$C$183="","",[2]Entry!$C$183)</f>
        <v/>
      </c>
      <c r="K180">
        <f>IF([2]Entry!$D$183="","",[2]Entry!$D$183)</f>
        <v/>
      </c>
      <c r="L180">
        <f>IF([2]Entry!$E$183="","",[2]Entry!$E$183)</f>
        <v/>
      </c>
      <c r="M180">
        <f>IF([2]Entry!$G$183="","",[2]Entry!$G$183)</f>
        <v/>
      </c>
      <c r="N180">
        <f>IF([2]Entry!$M$183="","",[2]Entry!$M$183)</f>
        <v/>
      </c>
      <c r="O180">
        <f>IF([2]Entry!$N$183="","",[2]Entry!$N$183)</f>
        <v/>
      </c>
      <c r="P180">
        <f>IF([2]Entry!$R$183="","",[2]Entry!$R$183)</f>
        <v/>
      </c>
    </row>
    <row r="181">
      <c r="A181">
        <f>IF([1]Accounts!$D$182="","",[1]Accounts!$A$182)</f>
        <v/>
      </c>
      <c r="B181">
        <f>IF([1]Accounts!$D$182="","",[1]Accounts!$B$182)</f>
        <v/>
      </c>
      <c r="C181">
        <f>IF([1]Accounts!$D$182="","",[1]Accounts!$C$182)</f>
        <v/>
      </c>
      <c r="D181">
        <f>IF([1]Accounts!$D$182="","",[1]Accounts!$D$182)</f>
        <v/>
      </c>
      <c r="E181">
        <f>IF([1]Accounts!$D$182="","",[1]Accounts!$J$182)</f>
        <v/>
      </c>
      <c r="F181">
        <f>IF([1]Accounts!$D$182="","",[1]Accounts!$K$182)</f>
        <v/>
      </c>
      <c r="J181">
        <f>IF([2]Entry!$C$184="","",[2]Entry!$C$184)</f>
        <v/>
      </c>
      <c r="K181">
        <f>IF([2]Entry!$D$184="","",[2]Entry!$D$184)</f>
        <v/>
      </c>
      <c r="L181">
        <f>IF([2]Entry!$E$184="","",[2]Entry!$E$184)</f>
        <v/>
      </c>
      <c r="M181">
        <f>IF([2]Entry!$G$184="","",[2]Entry!$G$184)</f>
        <v/>
      </c>
      <c r="N181">
        <f>IF([2]Entry!$M$184="","",[2]Entry!$M$184)</f>
        <v/>
      </c>
      <c r="O181">
        <f>IF([2]Entry!$N$184="","",[2]Entry!$N$184)</f>
        <v/>
      </c>
      <c r="P181">
        <f>IF([2]Entry!$R$184="","",[2]Entry!$R$184)</f>
        <v/>
      </c>
    </row>
    <row r="182">
      <c r="A182">
        <f>IF([1]Accounts!$D$183="","",[1]Accounts!$A$183)</f>
        <v/>
      </c>
      <c r="B182">
        <f>IF([1]Accounts!$D$183="","",[1]Accounts!$B$183)</f>
        <v/>
      </c>
      <c r="C182">
        <f>IF([1]Accounts!$D$183="","",[1]Accounts!$C$183)</f>
        <v/>
      </c>
      <c r="D182">
        <f>IF([1]Accounts!$D$183="","",[1]Accounts!$D$183)</f>
        <v/>
      </c>
      <c r="E182">
        <f>IF([1]Accounts!$D$183="","",[1]Accounts!$J$183)</f>
        <v/>
      </c>
      <c r="F182">
        <f>IF([1]Accounts!$D$183="","",[1]Accounts!$K$183)</f>
        <v/>
      </c>
      <c r="J182">
        <f>IF([2]Entry!$C$185="","",[2]Entry!$C$185)</f>
        <v/>
      </c>
      <c r="K182">
        <f>IF([2]Entry!$D$185="","",[2]Entry!$D$185)</f>
        <v/>
      </c>
      <c r="L182">
        <f>IF([2]Entry!$E$185="","",[2]Entry!$E$185)</f>
        <v/>
      </c>
      <c r="M182">
        <f>IF([2]Entry!$G$185="","",[2]Entry!$G$185)</f>
        <v/>
      </c>
      <c r="N182">
        <f>IF([2]Entry!$M$185="","",[2]Entry!$M$185)</f>
        <v/>
      </c>
      <c r="O182">
        <f>IF([2]Entry!$N$185="","",[2]Entry!$N$185)</f>
        <v/>
      </c>
      <c r="P182">
        <f>IF([2]Entry!$R$185="","",[2]Entry!$R$185)</f>
        <v/>
      </c>
    </row>
    <row r="183">
      <c r="A183">
        <f>IF([1]Accounts!$D$184="","",[1]Accounts!$A$184)</f>
        <v/>
      </c>
      <c r="B183">
        <f>IF([1]Accounts!$D$184="","",[1]Accounts!$B$184)</f>
        <v/>
      </c>
      <c r="C183">
        <f>IF([1]Accounts!$D$184="","",[1]Accounts!$C$184)</f>
        <v/>
      </c>
      <c r="D183">
        <f>IF([1]Accounts!$D$184="","",[1]Accounts!$D$184)</f>
        <v/>
      </c>
      <c r="E183">
        <f>IF([1]Accounts!$D$184="","",[1]Accounts!$J$184)</f>
        <v/>
      </c>
      <c r="F183">
        <f>IF([1]Accounts!$D$184="","",[1]Accounts!$K$184)</f>
        <v/>
      </c>
      <c r="J183">
        <f>IF([2]Entry!$C$186="","",[2]Entry!$C$186)</f>
        <v/>
      </c>
      <c r="K183">
        <f>IF([2]Entry!$D$186="","",[2]Entry!$D$186)</f>
        <v/>
      </c>
      <c r="L183">
        <f>IF([2]Entry!$E$186="","",[2]Entry!$E$186)</f>
        <v/>
      </c>
      <c r="M183">
        <f>IF([2]Entry!$G$186="","",[2]Entry!$G$186)</f>
        <v/>
      </c>
      <c r="N183">
        <f>IF([2]Entry!$M$186="","",[2]Entry!$M$186)</f>
        <v/>
      </c>
      <c r="O183">
        <f>IF([2]Entry!$N$186="","",[2]Entry!$N$186)</f>
        <v/>
      </c>
      <c r="P183">
        <f>IF([2]Entry!$R$186="","",[2]Entry!$R$186)</f>
        <v/>
      </c>
    </row>
    <row r="184">
      <c r="A184">
        <f>IF([1]Accounts!$D$185="","",[1]Accounts!$A$185)</f>
        <v/>
      </c>
      <c r="B184">
        <f>IF([1]Accounts!$D$185="","",[1]Accounts!$B$185)</f>
        <v/>
      </c>
      <c r="C184">
        <f>IF([1]Accounts!$D$185="","",[1]Accounts!$C$185)</f>
        <v/>
      </c>
      <c r="D184">
        <f>IF([1]Accounts!$D$185="","",[1]Accounts!$D$185)</f>
        <v/>
      </c>
      <c r="E184">
        <f>IF([1]Accounts!$D$185="","",[1]Accounts!$J$185)</f>
        <v/>
      </c>
      <c r="F184">
        <f>IF([1]Accounts!$D$185="","",[1]Accounts!$K$185)</f>
        <v/>
      </c>
      <c r="J184">
        <f>IF([2]Entry!$C$187="","",[2]Entry!$C$187)</f>
        <v/>
      </c>
      <c r="K184">
        <f>IF([2]Entry!$D$187="","",[2]Entry!$D$187)</f>
        <v/>
      </c>
      <c r="L184">
        <f>IF([2]Entry!$E$187="","",[2]Entry!$E$187)</f>
        <v/>
      </c>
      <c r="M184">
        <f>IF([2]Entry!$G$187="","",[2]Entry!$G$187)</f>
        <v/>
      </c>
      <c r="N184">
        <f>IF([2]Entry!$M$187="","",[2]Entry!$M$187)</f>
        <v/>
      </c>
      <c r="O184">
        <f>IF([2]Entry!$N$187="","",[2]Entry!$N$187)</f>
        <v/>
      </c>
      <c r="P184">
        <f>IF([2]Entry!$R$187="","",[2]Entry!$R$187)</f>
        <v/>
      </c>
    </row>
    <row r="185">
      <c r="A185">
        <f>IF([1]Accounts!$D$186="","",[1]Accounts!$A$186)</f>
        <v/>
      </c>
      <c r="B185">
        <f>IF([1]Accounts!$D$186="","",[1]Accounts!$B$186)</f>
        <v/>
      </c>
      <c r="C185">
        <f>IF([1]Accounts!$D$186="","",[1]Accounts!$C$186)</f>
        <v/>
      </c>
      <c r="D185">
        <f>IF([1]Accounts!$D$186="","",[1]Accounts!$D$186)</f>
        <v/>
      </c>
      <c r="E185">
        <f>IF([1]Accounts!$D$186="","",[1]Accounts!$J$186)</f>
        <v/>
      </c>
      <c r="F185">
        <f>IF([1]Accounts!$D$186="","",[1]Accounts!$K$186)</f>
        <v/>
      </c>
      <c r="J185">
        <f>IF([2]Entry!$C$188="","",[2]Entry!$C$188)</f>
        <v/>
      </c>
      <c r="K185">
        <f>IF([2]Entry!$D$188="","",[2]Entry!$D$188)</f>
        <v/>
      </c>
      <c r="L185">
        <f>IF([2]Entry!$E$188="","",[2]Entry!$E$188)</f>
        <v/>
      </c>
      <c r="M185">
        <f>IF([2]Entry!$G$188="","",[2]Entry!$G$188)</f>
        <v/>
      </c>
      <c r="N185">
        <f>IF([2]Entry!$M$188="","",[2]Entry!$M$188)</f>
        <v/>
      </c>
      <c r="O185">
        <f>IF([2]Entry!$N$188="","",[2]Entry!$N$188)</f>
        <v/>
      </c>
      <c r="P185">
        <f>IF([2]Entry!$R$188="","",[2]Entry!$R$188)</f>
        <v/>
      </c>
    </row>
    <row r="186">
      <c r="A186">
        <f>IF([1]Accounts!$D$187="","",[1]Accounts!$A$187)</f>
        <v/>
      </c>
      <c r="B186">
        <f>IF([1]Accounts!$D$187="","",[1]Accounts!$B$187)</f>
        <v/>
      </c>
      <c r="C186">
        <f>IF([1]Accounts!$D$187="","",[1]Accounts!$C$187)</f>
        <v/>
      </c>
      <c r="D186">
        <f>IF([1]Accounts!$D$187="","",[1]Accounts!$D$187)</f>
        <v/>
      </c>
      <c r="E186">
        <f>IF([1]Accounts!$D$187="","",[1]Accounts!$J$187)</f>
        <v/>
      </c>
      <c r="F186">
        <f>IF([1]Accounts!$D$187="","",[1]Accounts!$K$187)</f>
        <v/>
      </c>
      <c r="J186">
        <f>IF([2]Entry!$C$189="","",[2]Entry!$C$189)</f>
        <v/>
      </c>
      <c r="K186">
        <f>IF([2]Entry!$D$189="","",[2]Entry!$D$189)</f>
        <v/>
      </c>
      <c r="L186">
        <f>IF([2]Entry!$E$189="","",[2]Entry!$E$189)</f>
        <v/>
      </c>
      <c r="M186">
        <f>IF([2]Entry!$G$189="","",[2]Entry!$G$189)</f>
        <v/>
      </c>
      <c r="N186">
        <f>IF([2]Entry!$M$189="","",[2]Entry!$M$189)</f>
        <v/>
      </c>
      <c r="O186">
        <f>IF([2]Entry!$N$189="","",[2]Entry!$N$189)</f>
        <v/>
      </c>
      <c r="P186">
        <f>IF([2]Entry!$R$189="","",[2]Entry!$R$189)</f>
        <v/>
      </c>
    </row>
    <row r="187">
      <c r="A187">
        <f>IF([1]Accounts!$D$188="","",[1]Accounts!$A$188)</f>
        <v/>
      </c>
      <c r="B187">
        <f>IF([1]Accounts!$D$188="","",[1]Accounts!$B$188)</f>
        <v/>
      </c>
      <c r="C187">
        <f>IF([1]Accounts!$D$188="","",[1]Accounts!$C$188)</f>
        <v/>
      </c>
      <c r="D187">
        <f>IF([1]Accounts!$D$188="","",[1]Accounts!$D$188)</f>
        <v/>
      </c>
      <c r="E187">
        <f>IF([1]Accounts!$D$188="","",[1]Accounts!$J$188)</f>
        <v/>
      </c>
      <c r="F187">
        <f>IF([1]Accounts!$D$188="","",[1]Accounts!$K$188)</f>
        <v/>
      </c>
      <c r="J187">
        <f>IF([2]Entry!$C$190="","",[2]Entry!$C$190)</f>
        <v/>
      </c>
      <c r="K187">
        <f>IF([2]Entry!$D$190="","",[2]Entry!$D$190)</f>
        <v/>
      </c>
      <c r="L187">
        <f>IF([2]Entry!$E$190="","",[2]Entry!$E$190)</f>
        <v/>
      </c>
      <c r="M187">
        <f>IF([2]Entry!$G$190="","",[2]Entry!$G$190)</f>
        <v/>
      </c>
      <c r="N187">
        <f>IF([2]Entry!$M$190="","",[2]Entry!$M$190)</f>
        <v/>
      </c>
      <c r="O187">
        <f>IF([2]Entry!$N$190="","",[2]Entry!$N$190)</f>
        <v/>
      </c>
      <c r="P187">
        <f>IF([2]Entry!$R$190="","",[2]Entry!$R$190)</f>
        <v/>
      </c>
    </row>
    <row r="188">
      <c r="A188">
        <f>IF([1]Accounts!$D$189="","",[1]Accounts!$A$189)</f>
        <v/>
      </c>
      <c r="B188">
        <f>IF([1]Accounts!$D$189="","",[1]Accounts!$B$189)</f>
        <v/>
      </c>
      <c r="C188">
        <f>IF([1]Accounts!$D$189="","",[1]Accounts!$C$189)</f>
        <v/>
      </c>
      <c r="D188">
        <f>IF([1]Accounts!$D$189="","",[1]Accounts!$D$189)</f>
        <v/>
      </c>
      <c r="E188">
        <f>IF([1]Accounts!$D$189="","",[1]Accounts!$J$189)</f>
        <v/>
      </c>
      <c r="F188">
        <f>IF([1]Accounts!$D$189="","",[1]Accounts!$K$189)</f>
        <v/>
      </c>
      <c r="J188">
        <f>IF([2]Entry!$C$191="","",[2]Entry!$C$191)</f>
        <v/>
      </c>
      <c r="K188">
        <f>IF([2]Entry!$D$191="","",[2]Entry!$D$191)</f>
        <v/>
      </c>
      <c r="L188">
        <f>IF([2]Entry!$E$191="","",[2]Entry!$E$191)</f>
        <v/>
      </c>
      <c r="M188">
        <f>IF([2]Entry!$G$191="","",[2]Entry!$G$191)</f>
        <v/>
      </c>
      <c r="N188">
        <f>IF([2]Entry!$M$191="","",[2]Entry!$M$191)</f>
        <v/>
      </c>
      <c r="O188">
        <f>IF([2]Entry!$N$191="","",[2]Entry!$N$191)</f>
        <v/>
      </c>
      <c r="P188">
        <f>IF([2]Entry!$R$191="","",[2]Entry!$R$191)</f>
        <v/>
      </c>
    </row>
    <row r="189">
      <c r="A189">
        <f>IF([1]Accounts!$D$190="","",[1]Accounts!$A$190)</f>
        <v/>
      </c>
      <c r="B189">
        <f>IF([1]Accounts!$D$190="","",[1]Accounts!$B$190)</f>
        <v/>
      </c>
      <c r="C189">
        <f>IF([1]Accounts!$D$190="","",[1]Accounts!$C$190)</f>
        <v/>
      </c>
      <c r="D189">
        <f>IF([1]Accounts!$D$190="","",[1]Accounts!$D$190)</f>
        <v/>
      </c>
      <c r="E189">
        <f>IF([1]Accounts!$D$190="","",[1]Accounts!$J$190)</f>
        <v/>
      </c>
      <c r="F189">
        <f>IF([1]Accounts!$D$190="","",[1]Accounts!$K$190)</f>
        <v/>
      </c>
      <c r="J189">
        <f>IF([2]Entry!$C$192="","",[2]Entry!$C$192)</f>
        <v/>
      </c>
      <c r="K189">
        <f>IF([2]Entry!$D$192="","",[2]Entry!$D$192)</f>
        <v/>
      </c>
      <c r="L189">
        <f>IF([2]Entry!$E$192="","",[2]Entry!$E$192)</f>
        <v/>
      </c>
      <c r="M189">
        <f>IF([2]Entry!$G$192="","",[2]Entry!$G$192)</f>
        <v/>
      </c>
      <c r="N189">
        <f>IF([2]Entry!$M$192="","",[2]Entry!$M$192)</f>
        <v/>
      </c>
      <c r="O189">
        <f>IF([2]Entry!$N$192="","",[2]Entry!$N$192)</f>
        <v/>
      </c>
      <c r="P189">
        <f>IF([2]Entry!$R$192="","",[2]Entry!$R$192)</f>
        <v/>
      </c>
    </row>
    <row r="190">
      <c r="A190">
        <f>IF([1]Accounts!$D$191="","",[1]Accounts!$A$191)</f>
        <v/>
      </c>
      <c r="B190">
        <f>IF([1]Accounts!$D$191="","",[1]Accounts!$B$191)</f>
        <v/>
      </c>
      <c r="C190">
        <f>IF([1]Accounts!$D$191="","",[1]Accounts!$C$191)</f>
        <v/>
      </c>
      <c r="D190">
        <f>IF([1]Accounts!$D$191="","",[1]Accounts!$D$191)</f>
        <v/>
      </c>
      <c r="E190">
        <f>IF([1]Accounts!$D$191="","",[1]Accounts!$J$191)</f>
        <v/>
      </c>
      <c r="F190">
        <f>IF([1]Accounts!$D$191="","",[1]Accounts!$K$191)</f>
        <v/>
      </c>
      <c r="J190">
        <f>IF([2]Entry!$C$193="","",[2]Entry!$C$193)</f>
        <v/>
      </c>
      <c r="K190">
        <f>IF([2]Entry!$D$193="","",[2]Entry!$D$193)</f>
        <v/>
      </c>
      <c r="L190">
        <f>IF([2]Entry!$E$193="","",[2]Entry!$E$193)</f>
        <v/>
      </c>
      <c r="M190">
        <f>IF([2]Entry!$G$193="","",[2]Entry!$G$193)</f>
        <v/>
      </c>
      <c r="N190">
        <f>IF([2]Entry!$M$193="","",[2]Entry!$M$193)</f>
        <v/>
      </c>
      <c r="O190">
        <f>IF([2]Entry!$N$193="","",[2]Entry!$N$193)</f>
        <v/>
      </c>
      <c r="P190">
        <f>IF([2]Entry!$R$193="","",[2]Entry!$R$193)</f>
        <v/>
      </c>
    </row>
    <row r="191">
      <c r="A191">
        <f>IF([1]Accounts!$D$192="","",[1]Accounts!$A$192)</f>
        <v/>
      </c>
      <c r="B191">
        <f>IF([1]Accounts!$D$192="","",[1]Accounts!$B$192)</f>
        <v/>
      </c>
      <c r="C191">
        <f>IF([1]Accounts!$D$192="","",[1]Accounts!$C$192)</f>
        <v/>
      </c>
      <c r="D191">
        <f>IF([1]Accounts!$D$192="","",[1]Accounts!$D$192)</f>
        <v/>
      </c>
      <c r="E191">
        <f>IF([1]Accounts!$D$192="","",[1]Accounts!$J$192)</f>
        <v/>
      </c>
      <c r="F191">
        <f>IF([1]Accounts!$D$192="","",[1]Accounts!$K$192)</f>
        <v/>
      </c>
      <c r="J191">
        <f>IF([2]Entry!$C$194="","",[2]Entry!$C$194)</f>
        <v/>
      </c>
      <c r="K191">
        <f>IF([2]Entry!$D$194="","",[2]Entry!$D$194)</f>
        <v/>
      </c>
      <c r="L191">
        <f>IF([2]Entry!$E$194="","",[2]Entry!$E$194)</f>
        <v/>
      </c>
      <c r="M191">
        <f>IF([2]Entry!$G$194="","",[2]Entry!$G$194)</f>
        <v/>
      </c>
      <c r="N191">
        <f>IF([2]Entry!$M$194="","",[2]Entry!$M$194)</f>
        <v/>
      </c>
      <c r="O191">
        <f>IF([2]Entry!$N$194="","",[2]Entry!$N$194)</f>
        <v/>
      </c>
      <c r="P191">
        <f>IF([2]Entry!$R$194="","",[2]Entry!$R$194)</f>
        <v/>
      </c>
    </row>
    <row r="192">
      <c r="A192">
        <f>IF([1]Accounts!$D$193="","",[1]Accounts!$A$193)</f>
        <v/>
      </c>
      <c r="B192">
        <f>IF([1]Accounts!$D$193="","",[1]Accounts!$B$193)</f>
        <v/>
      </c>
      <c r="C192">
        <f>IF([1]Accounts!$D$193="","",[1]Accounts!$C$193)</f>
        <v/>
      </c>
      <c r="D192">
        <f>IF([1]Accounts!$D$193="","",[1]Accounts!$D$193)</f>
        <v/>
      </c>
      <c r="E192">
        <f>IF([1]Accounts!$D$193="","",[1]Accounts!$J$193)</f>
        <v/>
      </c>
      <c r="F192">
        <f>IF([1]Accounts!$D$193="","",[1]Accounts!$K$193)</f>
        <v/>
      </c>
      <c r="J192">
        <f>IF([2]Entry!$C$195="","",[2]Entry!$C$195)</f>
        <v/>
      </c>
      <c r="K192">
        <f>IF([2]Entry!$D$195="","",[2]Entry!$D$195)</f>
        <v/>
      </c>
      <c r="L192">
        <f>IF([2]Entry!$E$195="","",[2]Entry!$E$195)</f>
        <v/>
      </c>
      <c r="M192">
        <f>IF([2]Entry!$G$195="","",[2]Entry!$G$195)</f>
        <v/>
      </c>
      <c r="N192">
        <f>IF([2]Entry!$M$195="","",[2]Entry!$M$195)</f>
        <v/>
      </c>
      <c r="O192">
        <f>IF([2]Entry!$N$195="","",[2]Entry!$N$195)</f>
        <v/>
      </c>
      <c r="P192">
        <f>IF([2]Entry!$R$195="","",[2]Entry!$R$195)</f>
        <v/>
      </c>
    </row>
    <row r="193">
      <c r="A193">
        <f>IF([1]Accounts!$D$194="","",[1]Accounts!$A$194)</f>
        <v/>
      </c>
      <c r="B193">
        <f>IF([1]Accounts!$D$194="","",[1]Accounts!$B$194)</f>
        <v/>
      </c>
      <c r="C193">
        <f>IF([1]Accounts!$D$194="","",[1]Accounts!$C$194)</f>
        <v/>
      </c>
      <c r="D193">
        <f>IF([1]Accounts!$D$194="","",[1]Accounts!$D$194)</f>
        <v/>
      </c>
      <c r="E193">
        <f>IF([1]Accounts!$D$194="","",[1]Accounts!$J$194)</f>
        <v/>
      </c>
      <c r="F193">
        <f>IF([1]Accounts!$D$194="","",[1]Accounts!$K$194)</f>
        <v/>
      </c>
      <c r="J193">
        <f>IF([2]Entry!$C$196="","",[2]Entry!$C$196)</f>
        <v/>
      </c>
      <c r="K193">
        <f>IF([2]Entry!$D$196="","",[2]Entry!$D$196)</f>
        <v/>
      </c>
      <c r="L193">
        <f>IF([2]Entry!$E$196="","",[2]Entry!$E$196)</f>
        <v/>
      </c>
      <c r="M193">
        <f>IF([2]Entry!$G$196="","",[2]Entry!$G$196)</f>
        <v/>
      </c>
      <c r="N193">
        <f>IF([2]Entry!$M$196="","",[2]Entry!$M$196)</f>
        <v/>
      </c>
      <c r="O193">
        <f>IF([2]Entry!$N$196="","",[2]Entry!$N$196)</f>
        <v/>
      </c>
      <c r="P193">
        <f>IF([2]Entry!$R$196="","",[2]Entry!$R$196)</f>
        <v/>
      </c>
    </row>
    <row r="194">
      <c r="A194">
        <f>IF([1]Accounts!$D$195="","",[1]Accounts!$A$195)</f>
        <v/>
      </c>
      <c r="B194">
        <f>IF([1]Accounts!$D$195="","",[1]Accounts!$B$195)</f>
        <v/>
      </c>
      <c r="C194">
        <f>IF([1]Accounts!$D$195="","",[1]Accounts!$C$195)</f>
        <v/>
      </c>
      <c r="D194">
        <f>IF([1]Accounts!$D$195="","",[1]Accounts!$D$195)</f>
        <v/>
      </c>
      <c r="E194">
        <f>IF([1]Accounts!$D$195="","",[1]Accounts!$J$195)</f>
        <v/>
      </c>
      <c r="F194">
        <f>IF([1]Accounts!$D$195="","",[1]Accounts!$K$195)</f>
        <v/>
      </c>
      <c r="J194">
        <f>IF([2]Entry!$C$197="","",[2]Entry!$C$197)</f>
        <v/>
      </c>
      <c r="K194">
        <f>IF([2]Entry!$D$197="","",[2]Entry!$D$197)</f>
        <v/>
      </c>
      <c r="L194">
        <f>IF([2]Entry!$E$197="","",[2]Entry!$E$197)</f>
        <v/>
      </c>
      <c r="M194">
        <f>IF([2]Entry!$G$197="","",[2]Entry!$G$197)</f>
        <v/>
      </c>
      <c r="N194">
        <f>IF([2]Entry!$M$197="","",[2]Entry!$M$197)</f>
        <v/>
      </c>
      <c r="O194">
        <f>IF([2]Entry!$N$197="","",[2]Entry!$N$197)</f>
        <v/>
      </c>
      <c r="P194">
        <f>IF([2]Entry!$R$197="","",[2]Entry!$R$197)</f>
        <v/>
      </c>
    </row>
    <row r="195">
      <c r="A195">
        <f>IF([1]Accounts!$D$196="","",[1]Accounts!$A$196)</f>
        <v/>
      </c>
      <c r="B195">
        <f>IF([1]Accounts!$D$196="","",[1]Accounts!$B$196)</f>
        <v/>
      </c>
      <c r="C195">
        <f>IF([1]Accounts!$D$196="","",[1]Accounts!$C$196)</f>
        <v/>
      </c>
      <c r="D195">
        <f>IF([1]Accounts!$D$196="","",[1]Accounts!$D$196)</f>
        <v/>
      </c>
      <c r="E195">
        <f>IF([1]Accounts!$D$196="","",[1]Accounts!$J$196)</f>
        <v/>
      </c>
      <c r="F195">
        <f>IF([1]Accounts!$D$196="","",[1]Accounts!$K$196)</f>
        <v/>
      </c>
      <c r="J195">
        <f>IF([2]Entry!$C$198="","",[2]Entry!$C$198)</f>
        <v/>
      </c>
      <c r="K195">
        <f>IF([2]Entry!$D$198="","",[2]Entry!$D$198)</f>
        <v/>
      </c>
      <c r="L195">
        <f>IF([2]Entry!$E$198="","",[2]Entry!$E$198)</f>
        <v/>
      </c>
      <c r="M195">
        <f>IF([2]Entry!$G$198="","",[2]Entry!$G$198)</f>
        <v/>
      </c>
      <c r="N195">
        <f>IF([2]Entry!$M$198="","",[2]Entry!$M$198)</f>
        <v/>
      </c>
      <c r="O195">
        <f>IF([2]Entry!$N$198="","",[2]Entry!$N$198)</f>
        <v/>
      </c>
      <c r="P195">
        <f>IF([2]Entry!$R$198="","",[2]Entry!$R$198)</f>
        <v/>
      </c>
    </row>
    <row r="196">
      <c r="A196">
        <f>IF([1]Accounts!$D$197="","",[1]Accounts!$A$197)</f>
        <v/>
      </c>
      <c r="B196">
        <f>IF([1]Accounts!$D$197="","",[1]Accounts!$B$197)</f>
        <v/>
      </c>
      <c r="C196">
        <f>IF([1]Accounts!$D$197="","",[1]Accounts!$C$197)</f>
        <v/>
      </c>
      <c r="D196">
        <f>IF([1]Accounts!$D$197="","",[1]Accounts!$D$197)</f>
        <v/>
      </c>
      <c r="E196">
        <f>IF([1]Accounts!$D$197="","",[1]Accounts!$J$197)</f>
        <v/>
      </c>
      <c r="F196">
        <f>IF([1]Accounts!$D$197="","",[1]Accounts!$K$197)</f>
        <v/>
      </c>
      <c r="J196">
        <f>IF([2]Entry!$C$199="","",[2]Entry!$C$199)</f>
        <v/>
      </c>
      <c r="K196">
        <f>IF([2]Entry!$D$199="","",[2]Entry!$D$199)</f>
        <v/>
      </c>
      <c r="L196">
        <f>IF([2]Entry!$E$199="","",[2]Entry!$E$199)</f>
        <v/>
      </c>
      <c r="M196">
        <f>IF([2]Entry!$G$199="","",[2]Entry!$G$199)</f>
        <v/>
      </c>
      <c r="N196">
        <f>IF([2]Entry!$M$199="","",[2]Entry!$M$199)</f>
        <v/>
      </c>
      <c r="O196">
        <f>IF([2]Entry!$N$199="","",[2]Entry!$N$199)</f>
        <v/>
      </c>
      <c r="P196">
        <f>IF([2]Entry!$R$199="","",[2]Entry!$R$199)</f>
        <v/>
      </c>
    </row>
    <row r="197">
      <c r="A197">
        <f>IF([1]Accounts!$D$198="","",[1]Accounts!$A$198)</f>
        <v/>
      </c>
      <c r="B197">
        <f>IF([1]Accounts!$D$198="","",[1]Accounts!$B$198)</f>
        <v/>
      </c>
      <c r="C197">
        <f>IF([1]Accounts!$D$198="","",[1]Accounts!$C$198)</f>
        <v/>
      </c>
      <c r="D197">
        <f>IF([1]Accounts!$D$198="","",[1]Accounts!$D$198)</f>
        <v/>
      </c>
      <c r="E197">
        <f>IF([1]Accounts!$D$198="","",[1]Accounts!$J$198)</f>
        <v/>
      </c>
      <c r="F197">
        <f>IF([1]Accounts!$D$198="","",[1]Accounts!$K$198)</f>
        <v/>
      </c>
      <c r="J197">
        <f>IF([2]Entry!$C$200="","",[2]Entry!$C$200)</f>
        <v/>
      </c>
      <c r="K197">
        <f>IF([2]Entry!$D$200="","",[2]Entry!$D$200)</f>
        <v/>
      </c>
      <c r="L197">
        <f>IF([2]Entry!$E$200="","",[2]Entry!$E$200)</f>
        <v/>
      </c>
      <c r="M197">
        <f>IF([2]Entry!$G$200="","",[2]Entry!$G$200)</f>
        <v/>
      </c>
      <c r="N197">
        <f>IF([2]Entry!$M$200="","",[2]Entry!$M$200)</f>
        <v/>
      </c>
      <c r="O197">
        <f>IF([2]Entry!$N$200="","",[2]Entry!$N$200)</f>
        <v/>
      </c>
      <c r="P197">
        <f>IF([2]Entry!$R$200="","",[2]Entry!$R$200)</f>
        <v/>
      </c>
    </row>
    <row r="198">
      <c r="A198">
        <f>IF([1]Accounts!$D$199="","",[1]Accounts!$A$199)</f>
        <v/>
      </c>
      <c r="B198">
        <f>IF([1]Accounts!$D$199="","",[1]Accounts!$B$199)</f>
        <v/>
      </c>
      <c r="C198">
        <f>IF([1]Accounts!$D$199="","",[1]Accounts!$C$199)</f>
        <v/>
      </c>
      <c r="D198">
        <f>IF([1]Accounts!$D$199="","",[1]Accounts!$D$199)</f>
        <v/>
      </c>
      <c r="E198">
        <f>IF([1]Accounts!$D$199="","",[1]Accounts!$J$199)</f>
        <v/>
      </c>
      <c r="F198">
        <f>IF([1]Accounts!$D$199="","",[1]Accounts!$K$199)</f>
        <v/>
      </c>
      <c r="J198">
        <f>IF([2]Entry!$C$201="","",[2]Entry!$C$201)</f>
        <v/>
      </c>
      <c r="K198">
        <f>IF([2]Entry!$D$201="","",[2]Entry!$D$201)</f>
        <v/>
      </c>
      <c r="L198">
        <f>IF([2]Entry!$E$201="","",[2]Entry!$E$201)</f>
        <v/>
      </c>
      <c r="M198">
        <f>IF([2]Entry!$G$201="","",[2]Entry!$G$201)</f>
        <v/>
      </c>
      <c r="N198">
        <f>IF([2]Entry!$M$201="","",[2]Entry!$M$201)</f>
        <v/>
      </c>
      <c r="O198">
        <f>IF([2]Entry!$N$201="","",[2]Entry!$N$201)</f>
        <v/>
      </c>
      <c r="P198">
        <f>IF([2]Entry!$R$201="","",[2]Entry!$R$201)</f>
        <v/>
      </c>
    </row>
    <row r="199">
      <c r="A199">
        <f>IF([1]Accounts!$D$200="","",[1]Accounts!$A$200)</f>
        <v/>
      </c>
      <c r="B199">
        <f>IF([1]Accounts!$D$200="","",[1]Accounts!$B$200)</f>
        <v/>
      </c>
      <c r="C199">
        <f>IF([1]Accounts!$D$200="","",[1]Accounts!$C$200)</f>
        <v/>
      </c>
      <c r="D199">
        <f>IF([1]Accounts!$D$200="","",[1]Accounts!$D$200)</f>
        <v/>
      </c>
      <c r="E199">
        <f>IF([1]Accounts!$D$200="","",[1]Accounts!$J$200)</f>
        <v/>
      </c>
      <c r="F199">
        <f>IF([1]Accounts!$D$200="","",[1]Accounts!$K$200)</f>
        <v/>
      </c>
      <c r="J199">
        <f>IF([2]Entry!$C$202="","",[2]Entry!$C$202)</f>
        <v/>
      </c>
      <c r="K199">
        <f>IF([2]Entry!$D$202="","",[2]Entry!$D$202)</f>
        <v/>
      </c>
      <c r="L199">
        <f>IF([2]Entry!$E$202="","",[2]Entry!$E$202)</f>
        <v/>
      </c>
      <c r="M199">
        <f>IF([2]Entry!$G$202="","",[2]Entry!$G$202)</f>
        <v/>
      </c>
      <c r="N199">
        <f>IF([2]Entry!$M$202="","",[2]Entry!$M$202)</f>
        <v/>
      </c>
      <c r="O199">
        <f>IF([2]Entry!$N$202="","",[2]Entry!$N$202)</f>
        <v/>
      </c>
      <c r="P199">
        <f>IF([2]Entry!$R$202="","",[2]Entry!$R$202)</f>
        <v/>
      </c>
    </row>
    <row r="200">
      <c r="A200">
        <f>IF([1]Accounts!$D$201="","",[1]Accounts!$A$201)</f>
        <v/>
      </c>
      <c r="B200">
        <f>IF([1]Accounts!$D$201="","",[1]Accounts!$B$201)</f>
        <v/>
      </c>
      <c r="C200">
        <f>IF([1]Accounts!$D$201="","",[1]Accounts!$C$201)</f>
        <v/>
      </c>
      <c r="D200">
        <f>IF([1]Accounts!$D$201="","",[1]Accounts!$D$201)</f>
        <v/>
      </c>
      <c r="E200">
        <f>IF([1]Accounts!$D$201="","",[1]Accounts!$J$201)</f>
        <v/>
      </c>
      <c r="F200">
        <f>IF([1]Accounts!$D$201="","",[1]Accounts!$K$201)</f>
        <v/>
      </c>
      <c r="J200">
        <f>IF([2]Entry!$C$203="","",[2]Entry!$C$203)</f>
        <v/>
      </c>
      <c r="K200">
        <f>IF([2]Entry!$D$203="","",[2]Entry!$D$203)</f>
        <v/>
      </c>
      <c r="L200">
        <f>IF([2]Entry!$E$203="","",[2]Entry!$E$203)</f>
        <v/>
      </c>
      <c r="M200">
        <f>IF([2]Entry!$G$203="","",[2]Entry!$G$203)</f>
        <v/>
      </c>
      <c r="N200">
        <f>IF([2]Entry!$M$203="","",[2]Entry!$M$203)</f>
        <v/>
      </c>
      <c r="O200">
        <f>IF([2]Entry!$N$203="","",[2]Entry!$N$203)</f>
        <v/>
      </c>
      <c r="P200">
        <f>IF([2]Entry!$R$203="","",[2]Entry!$R$203)</f>
        <v/>
      </c>
    </row>
    <row r="201">
      <c r="A201">
        <f>IF([1]Accounts!$D$202="","",[1]Accounts!$A$202)</f>
        <v/>
      </c>
      <c r="B201">
        <f>IF([1]Accounts!$D$202="","",[1]Accounts!$B$202)</f>
        <v/>
      </c>
      <c r="C201">
        <f>IF([1]Accounts!$D$202="","",[1]Accounts!$C$202)</f>
        <v/>
      </c>
      <c r="D201">
        <f>IF([1]Accounts!$D$202="","",[1]Accounts!$D$202)</f>
        <v/>
      </c>
      <c r="E201">
        <f>IF([1]Accounts!$D$202="","",[1]Accounts!$J$202)</f>
        <v/>
      </c>
      <c r="F201">
        <f>IF([1]Accounts!$D$202="","",[1]Accounts!$K$202)</f>
        <v/>
      </c>
      <c r="J201">
        <f>IF([2]Entry!$C$204="","",[2]Entry!$C$204)</f>
        <v/>
      </c>
      <c r="K201">
        <f>IF([2]Entry!$D$204="","",[2]Entry!$D$204)</f>
        <v/>
      </c>
      <c r="L201">
        <f>IF([2]Entry!$E$204="","",[2]Entry!$E$204)</f>
        <v/>
      </c>
      <c r="M201">
        <f>IF([2]Entry!$G$204="","",[2]Entry!$G$204)</f>
        <v/>
      </c>
      <c r="N201">
        <f>IF([2]Entry!$M$204="","",[2]Entry!$M$204)</f>
        <v/>
      </c>
      <c r="O201">
        <f>IF([2]Entry!$N$204="","",[2]Entry!$N$204)</f>
        <v/>
      </c>
      <c r="P201">
        <f>IF([2]Entry!$R$204="","",[2]Entry!$R$204)</f>
        <v/>
      </c>
    </row>
    <row r="202">
      <c r="A202">
        <f>IF([1]Accounts!$D$203="","",[1]Accounts!$A$203)</f>
        <v/>
      </c>
      <c r="B202">
        <f>IF([1]Accounts!$D$203="","",[1]Accounts!$B$203)</f>
        <v/>
      </c>
      <c r="C202">
        <f>IF([1]Accounts!$D$203="","",[1]Accounts!$C$203)</f>
        <v/>
      </c>
      <c r="D202">
        <f>IF([1]Accounts!$D$203="","",[1]Accounts!$D$203)</f>
        <v/>
      </c>
      <c r="E202">
        <f>IF([1]Accounts!$D$203="","",[1]Accounts!$J$203)</f>
        <v/>
      </c>
      <c r="F202">
        <f>IF([1]Accounts!$D$203="","",[1]Accounts!$K$203)</f>
        <v/>
      </c>
      <c r="J202">
        <f>IF([2]Entry!$C$205="","",[2]Entry!$C$205)</f>
        <v/>
      </c>
      <c r="K202">
        <f>IF([2]Entry!$D$205="","",[2]Entry!$D$205)</f>
        <v/>
      </c>
      <c r="L202">
        <f>IF([2]Entry!$E$205="","",[2]Entry!$E$205)</f>
        <v/>
      </c>
      <c r="M202">
        <f>IF([2]Entry!$G$205="","",[2]Entry!$G$205)</f>
        <v/>
      </c>
      <c r="N202">
        <f>IF([2]Entry!$M$205="","",[2]Entry!$M$205)</f>
        <v/>
      </c>
      <c r="O202">
        <f>IF([2]Entry!$N$205="","",[2]Entry!$N$205)</f>
        <v/>
      </c>
      <c r="P202">
        <f>IF([2]Entry!$R$205="","",[2]Entry!$R$205)</f>
        <v/>
      </c>
    </row>
    <row r="203">
      <c r="A203">
        <f>IF([1]Accounts!$D$204="","",[1]Accounts!$A$204)</f>
        <v/>
      </c>
      <c r="B203">
        <f>IF([1]Accounts!$D$204="","",[1]Accounts!$B$204)</f>
        <v/>
      </c>
      <c r="C203">
        <f>IF([1]Accounts!$D$204="","",[1]Accounts!$C$204)</f>
        <v/>
      </c>
      <c r="D203">
        <f>IF([1]Accounts!$D$204="","",[1]Accounts!$D$204)</f>
        <v/>
      </c>
      <c r="E203">
        <f>IF([1]Accounts!$D$204="","",[1]Accounts!$J$204)</f>
        <v/>
      </c>
      <c r="F203">
        <f>IF([1]Accounts!$D$204="","",[1]Accounts!$K$204)</f>
        <v/>
      </c>
      <c r="J203">
        <f>IF([2]Entry!$C$206="","",[2]Entry!$C$206)</f>
        <v/>
      </c>
      <c r="K203">
        <f>IF([2]Entry!$D$206="","",[2]Entry!$D$206)</f>
        <v/>
      </c>
      <c r="L203">
        <f>IF([2]Entry!$E$206="","",[2]Entry!$E$206)</f>
        <v/>
      </c>
      <c r="M203">
        <f>IF([2]Entry!$G$206="","",[2]Entry!$G$206)</f>
        <v/>
      </c>
      <c r="N203">
        <f>IF([2]Entry!$M$206="","",[2]Entry!$M$206)</f>
        <v/>
      </c>
      <c r="O203">
        <f>IF([2]Entry!$N$206="","",[2]Entry!$N$206)</f>
        <v/>
      </c>
      <c r="P203">
        <f>IF([2]Entry!$R$206="","",[2]Entry!$R$206)</f>
        <v/>
      </c>
    </row>
    <row r="204">
      <c r="A204">
        <f>IF([1]Accounts!$D$205="","",[1]Accounts!$A$205)</f>
        <v/>
      </c>
      <c r="B204">
        <f>IF([1]Accounts!$D$205="","",[1]Accounts!$B$205)</f>
        <v/>
      </c>
      <c r="C204">
        <f>IF([1]Accounts!$D$205="","",[1]Accounts!$C$205)</f>
        <v/>
      </c>
      <c r="D204">
        <f>IF([1]Accounts!$D$205="","",[1]Accounts!$D$205)</f>
        <v/>
      </c>
      <c r="E204">
        <f>IF([1]Accounts!$D$205="","",[1]Accounts!$J$205)</f>
        <v/>
      </c>
      <c r="F204">
        <f>IF([1]Accounts!$D$205="","",[1]Accounts!$K$205)</f>
        <v/>
      </c>
      <c r="J204">
        <f>IF([2]Entry!$C$207="","",[2]Entry!$C$207)</f>
        <v/>
      </c>
      <c r="K204">
        <f>IF([2]Entry!$D$207="","",[2]Entry!$D$207)</f>
        <v/>
      </c>
      <c r="L204">
        <f>IF([2]Entry!$E$207="","",[2]Entry!$E$207)</f>
        <v/>
      </c>
      <c r="M204">
        <f>IF([2]Entry!$G$207="","",[2]Entry!$G$207)</f>
        <v/>
      </c>
      <c r="N204">
        <f>IF([2]Entry!$M$207="","",[2]Entry!$M$207)</f>
        <v/>
      </c>
      <c r="O204">
        <f>IF([2]Entry!$N$207="","",[2]Entry!$N$207)</f>
        <v/>
      </c>
      <c r="P204">
        <f>IF([2]Entry!$R$207="","",[2]Entry!$R$207)</f>
        <v/>
      </c>
    </row>
    <row r="205">
      <c r="A205">
        <f>IF([1]Accounts!$D$206="","",[1]Accounts!$A$206)</f>
        <v/>
      </c>
      <c r="B205">
        <f>IF([1]Accounts!$D$206="","",[1]Accounts!$B$206)</f>
        <v/>
      </c>
      <c r="C205">
        <f>IF([1]Accounts!$D$206="","",[1]Accounts!$C$206)</f>
        <v/>
      </c>
      <c r="D205">
        <f>IF([1]Accounts!$D$206="","",[1]Accounts!$D$206)</f>
        <v/>
      </c>
      <c r="E205">
        <f>IF([1]Accounts!$D$206="","",[1]Accounts!$J$206)</f>
        <v/>
      </c>
      <c r="F205">
        <f>IF([1]Accounts!$D$206="","",[1]Accounts!$K$206)</f>
        <v/>
      </c>
      <c r="J205">
        <f>IF([2]Entry!$C$208="","",[2]Entry!$C$208)</f>
        <v/>
      </c>
      <c r="K205">
        <f>IF([2]Entry!$D$208="","",[2]Entry!$D$208)</f>
        <v/>
      </c>
      <c r="L205">
        <f>IF([2]Entry!$E$208="","",[2]Entry!$E$208)</f>
        <v/>
      </c>
      <c r="M205">
        <f>IF([2]Entry!$G$208="","",[2]Entry!$G$208)</f>
        <v/>
      </c>
      <c r="N205">
        <f>IF([2]Entry!$M$208="","",[2]Entry!$M$208)</f>
        <v/>
      </c>
      <c r="O205">
        <f>IF([2]Entry!$N$208="","",[2]Entry!$N$208)</f>
        <v/>
      </c>
      <c r="P205">
        <f>IF([2]Entry!$R$208="","",[2]Entry!$R$208)</f>
        <v/>
      </c>
    </row>
    <row r="206">
      <c r="A206">
        <f>IF([1]Accounts!$D$207="","",[1]Accounts!$A$207)</f>
        <v/>
      </c>
      <c r="B206">
        <f>IF([1]Accounts!$D$207="","",[1]Accounts!$B$207)</f>
        <v/>
      </c>
      <c r="C206">
        <f>IF([1]Accounts!$D$207="","",[1]Accounts!$C$207)</f>
        <v/>
      </c>
      <c r="D206">
        <f>IF([1]Accounts!$D$207="","",[1]Accounts!$D$207)</f>
        <v/>
      </c>
      <c r="E206">
        <f>IF([1]Accounts!$D$207="","",[1]Accounts!$J$207)</f>
        <v/>
      </c>
      <c r="F206">
        <f>IF([1]Accounts!$D$207="","",[1]Accounts!$K$207)</f>
        <v/>
      </c>
      <c r="J206">
        <f>IF([2]Entry!$C$209="","",[2]Entry!$C$209)</f>
        <v/>
      </c>
      <c r="K206">
        <f>IF([2]Entry!$D$209="","",[2]Entry!$D$209)</f>
        <v/>
      </c>
      <c r="L206">
        <f>IF([2]Entry!$E$209="","",[2]Entry!$E$209)</f>
        <v/>
      </c>
      <c r="M206">
        <f>IF([2]Entry!$G$209="","",[2]Entry!$G$209)</f>
        <v/>
      </c>
      <c r="N206">
        <f>IF([2]Entry!$M$209="","",[2]Entry!$M$209)</f>
        <v/>
      </c>
      <c r="O206">
        <f>IF([2]Entry!$N$209="","",[2]Entry!$N$209)</f>
        <v/>
      </c>
      <c r="P206">
        <f>IF([2]Entry!$R$209="","",[2]Entry!$R$209)</f>
        <v/>
      </c>
    </row>
    <row r="207">
      <c r="A207">
        <f>IF([1]Accounts!$D$208="","",[1]Accounts!$A$208)</f>
        <v/>
      </c>
      <c r="B207">
        <f>IF([1]Accounts!$D$208="","",[1]Accounts!$B$208)</f>
        <v/>
      </c>
      <c r="C207">
        <f>IF([1]Accounts!$D$208="","",[1]Accounts!$C$208)</f>
        <v/>
      </c>
      <c r="D207">
        <f>IF([1]Accounts!$D$208="","",[1]Accounts!$D$208)</f>
        <v/>
      </c>
      <c r="E207">
        <f>IF([1]Accounts!$D$208="","",[1]Accounts!$J$208)</f>
        <v/>
      </c>
      <c r="F207">
        <f>IF([1]Accounts!$D$208="","",[1]Accounts!$K$208)</f>
        <v/>
      </c>
      <c r="J207">
        <f>IF([2]Entry!$C$210="","",[2]Entry!$C$210)</f>
        <v/>
      </c>
      <c r="K207">
        <f>IF([2]Entry!$D$210="","",[2]Entry!$D$210)</f>
        <v/>
      </c>
      <c r="L207">
        <f>IF([2]Entry!$E$210="","",[2]Entry!$E$210)</f>
        <v/>
      </c>
      <c r="M207">
        <f>IF([2]Entry!$G$210="","",[2]Entry!$G$210)</f>
        <v/>
      </c>
      <c r="N207">
        <f>IF([2]Entry!$M$210="","",[2]Entry!$M$210)</f>
        <v/>
      </c>
      <c r="O207">
        <f>IF([2]Entry!$N$210="","",[2]Entry!$N$210)</f>
        <v/>
      </c>
      <c r="P207">
        <f>IF([2]Entry!$R$210="","",[2]Entry!$R$210)</f>
        <v/>
      </c>
    </row>
    <row r="208">
      <c r="A208">
        <f>IF([1]Accounts!$D$209="","",[1]Accounts!$A$209)</f>
        <v/>
      </c>
      <c r="B208">
        <f>IF([1]Accounts!$D$209="","",[1]Accounts!$B$209)</f>
        <v/>
      </c>
      <c r="C208">
        <f>IF([1]Accounts!$D$209="","",[1]Accounts!$C$209)</f>
        <v/>
      </c>
      <c r="D208">
        <f>IF([1]Accounts!$D$209="","",[1]Accounts!$D$209)</f>
        <v/>
      </c>
      <c r="E208">
        <f>IF([1]Accounts!$D$209="","",[1]Accounts!$J$209)</f>
        <v/>
      </c>
      <c r="F208">
        <f>IF([1]Accounts!$D$209="","",[1]Accounts!$K$209)</f>
        <v/>
      </c>
      <c r="J208">
        <f>IF([2]Entry!$C$211="","",[2]Entry!$C$211)</f>
        <v/>
      </c>
      <c r="K208">
        <f>IF([2]Entry!$D$211="","",[2]Entry!$D$211)</f>
        <v/>
      </c>
      <c r="L208">
        <f>IF([2]Entry!$E$211="","",[2]Entry!$E$211)</f>
        <v/>
      </c>
      <c r="M208">
        <f>IF([2]Entry!$G$211="","",[2]Entry!$G$211)</f>
        <v/>
      </c>
      <c r="N208">
        <f>IF([2]Entry!$M$211="","",[2]Entry!$M$211)</f>
        <v/>
      </c>
      <c r="O208">
        <f>IF([2]Entry!$N$211="","",[2]Entry!$N$211)</f>
        <v/>
      </c>
      <c r="P208">
        <f>IF([2]Entry!$R$211="","",[2]Entry!$R$211)</f>
        <v/>
      </c>
    </row>
    <row r="209">
      <c r="A209">
        <f>IF([1]Accounts!$D$210="","",[1]Accounts!$A$210)</f>
        <v/>
      </c>
      <c r="B209">
        <f>IF([1]Accounts!$D$210="","",[1]Accounts!$B$210)</f>
        <v/>
      </c>
      <c r="C209">
        <f>IF([1]Accounts!$D$210="","",[1]Accounts!$C$210)</f>
        <v/>
      </c>
      <c r="D209">
        <f>IF([1]Accounts!$D$210="","",[1]Accounts!$D$210)</f>
        <v/>
      </c>
      <c r="E209">
        <f>IF([1]Accounts!$D$210="","",[1]Accounts!$J$210)</f>
        <v/>
      </c>
      <c r="F209">
        <f>IF([1]Accounts!$D$210="","",[1]Accounts!$K$210)</f>
        <v/>
      </c>
      <c r="J209">
        <f>IF([2]Entry!$C$212="","",[2]Entry!$C$212)</f>
        <v/>
      </c>
      <c r="K209">
        <f>IF([2]Entry!$D$212="","",[2]Entry!$D$212)</f>
        <v/>
      </c>
      <c r="L209">
        <f>IF([2]Entry!$E$212="","",[2]Entry!$E$212)</f>
        <v/>
      </c>
      <c r="M209">
        <f>IF([2]Entry!$G$212="","",[2]Entry!$G$212)</f>
        <v/>
      </c>
      <c r="N209">
        <f>IF([2]Entry!$M$212="","",[2]Entry!$M$212)</f>
        <v/>
      </c>
      <c r="O209">
        <f>IF([2]Entry!$N$212="","",[2]Entry!$N$212)</f>
        <v/>
      </c>
      <c r="P209">
        <f>IF([2]Entry!$R$212="","",[2]Entry!$R$212)</f>
        <v/>
      </c>
    </row>
    <row r="210">
      <c r="A210">
        <f>IF([1]Accounts!$D$211="","",[1]Accounts!$A$211)</f>
        <v/>
      </c>
      <c r="B210">
        <f>IF([1]Accounts!$D$211="","",[1]Accounts!$B$211)</f>
        <v/>
      </c>
      <c r="C210">
        <f>IF([1]Accounts!$D$211="","",[1]Accounts!$C$211)</f>
        <v/>
      </c>
      <c r="D210">
        <f>IF([1]Accounts!$D$211="","",[1]Accounts!$D$211)</f>
        <v/>
      </c>
      <c r="E210">
        <f>IF([1]Accounts!$D$211="","",[1]Accounts!$J$211)</f>
        <v/>
      </c>
      <c r="F210">
        <f>IF([1]Accounts!$D$211="","",[1]Accounts!$K$211)</f>
        <v/>
      </c>
      <c r="J210">
        <f>IF([2]Entry!$C$213="","",[2]Entry!$C$213)</f>
        <v/>
      </c>
      <c r="K210">
        <f>IF([2]Entry!$D$213="","",[2]Entry!$D$213)</f>
        <v/>
      </c>
      <c r="L210">
        <f>IF([2]Entry!$E$213="","",[2]Entry!$E$213)</f>
        <v/>
      </c>
      <c r="M210">
        <f>IF([2]Entry!$G$213="","",[2]Entry!$G$213)</f>
        <v/>
      </c>
      <c r="N210">
        <f>IF([2]Entry!$M$213="","",[2]Entry!$M$213)</f>
        <v/>
      </c>
      <c r="O210">
        <f>IF([2]Entry!$N$213="","",[2]Entry!$N$213)</f>
        <v/>
      </c>
      <c r="P210">
        <f>IF([2]Entry!$R$213="","",[2]Entry!$R$213)</f>
        <v/>
      </c>
    </row>
    <row r="211">
      <c r="A211">
        <f>IF([1]Accounts!$D$212="","",[1]Accounts!$A$212)</f>
        <v/>
      </c>
      <c r="B211">
        <f>IF([1]Accounts!$D$212="","",[1]Accounts!$B$212)</f>
        <v/>
      </c>
      <c r="C211">
        <f>IF([1]Accounts!$D$212="","",[1]Accounts!$C$212)</f>
        <v/>
      </c>
      <c r="D211">
        <f>IF([1]Accounts!$D$212="","",[1]Accounts!$D$212)</f>
        <v/>
      </c>
      <c r="E211">
        <f>IF([1]Accounts!$D$212="","",[1]Accounts!$J$212)</f>
        <v/>
      </c>
      <c r="F211">
        <f>IF([1]Accounts!$D$212="","",[1]Accounts!$K$212)</f>
        <v/>
      </c>
      <c r="J211">
        <f>IF([2]Entry!$C$214="","",[2]Entry!$C$214)</f>
        <v/>
      </c>
      <c r="K211">
        <f>IF([2]Entry!$D$214="","",[2]Entry!$D$214)</f>
        <v/>
      </c>
      <c r="L211">
        <f>IF([2]Entry!$E$214="","",[2]Entry!$E$214)</f>
        <v/>
      </c>
      <c r="M211">
        <f>IF([2]Entry!$G$214="","",[2]Entry!$G$214)</f>
        <v/>
      </c>
      <c r="N211">
        <f>IF([2]Entry!$M$214="","",[2]Entry!$M$214)</f>
        <v/>
      </c>
      <c r="O211">
        <f>IF([2]Entry!$N$214="","",[2]Entry!$N$214)</f>
        <v/>
      </c>
      <c r="P211">
        <f>IF([2]Entry!$R$214="","",[2]Entry!$R$214)</f>
        <v/>
      </c>
    </row>
    <row r="212">
      <c r="A212">
        <f>IF([1]Accounts!$D$213="","",[1]Accounts!$A$213)</f>
        <v/>
      </c>
      <c r="B212">
        <f>IF([1]Accounts!$D$213="","",[1]Accounts!$B$213)</f>
        <v/>
      </c>
      <c r="C212">
        <f>IF([1]Accounts!$D$213="","",[1]Accounts!$C$213)</f>
        <v/>
      </c>
      <c r="D212">
        <f>IF([1]Accounts!$D$213="","",[1]Accounts!$D$213)</f>
        <v/>
      </c>
      <c r="E212">
        <f>IF([1]Accounts!$D$213="","",[1]Accounts!$J$213)</f>
        <v/>
      </c>
      <c r="F212">
        <f>IF([1]Accounts!$D$213="","",[1]Accounts!$K$213)</f>
        <v/>
      </c>
      <c r="J212">
        <f>IF([2]Entry!$C$215="","",[2]Entry!$C$215)</f>
        <v/>
      </c>
      <c r="K212">
        <f>IF([2]Entry!$D$215="","",[2]Entry!$D$215)</f>
        <v/>
      </c>
      <c r="L212">
        <f>IF([2]Entry!$E$215="","",[2]Entry!$E$215)</f>
        <v/>
      </c>
      <c r="M212">
        <f>IF([2]Entry!$G$215="","",[2]Entry!$G$215)</f>
        <v/>
      </c>
      <c r="N212">
        <f>IF([2]Entry!$M$215="","",[2]Entry!$M$215)</f>
        <v/>
      </c>
      <c r="O212">
        <f>IF([2]Entry!$N$215="","",[2]Entry!$N$215)</f>
        <v/>
      </c>
      <c r="P212">
        <f>IF([2]Entry!$R$215="","",[2]Entry!$R$215)</f>
        <v/>
      </c>
    </row>
    <row r="213">
      <c r="A213">
        <f>IF([1]Accounts!$D$214="","",[1]Accounts!$A$214)</f>
        <v/>
      </c>
      <c r="B213">
        <f>IF([1]Accounts!$D$214="","",[1]Accounts!$B$214)</f>
        <v/>
      </c>
      <c r="C213">
        <f>IF([1]Accounts!$D$214="","",[1]Accounts!$C$214)</f>
        <v/>
      </c>
      <c r="D213">
        <f>IF([1]Accounts!$D$214="","",[1]Accounts!$D$214)</f>
        <v/>
      </c>
      <c r="E213">
        <f>IF([1]Accounts!$D$214="","",[1]Accounts!$J$214)</f>
        <v/>
      </c>
      <c r="F213">
        <f>IF([1]Accounts!$D$214="","",[1]Accounts!$K$214)</f>
        <v/>
      </c>
      <c r="J213">
        <f>IF([2]Entry!$C$216="","",[2]Entry!$C$216)</f>
        <v/>
      </c>
      <c r="K213">
        <f>IF([2]Entry!$D$216="","",[2]Entry!$D$216)</f>
        <v/>
      </c>
      <c r="L213">
        <f>IF([2]Entry!$E$216="","",[2]Entry!$E$216)</f>
        <v/>
      </c>
      <c r="M213">
        <f>IF([2]Entry!$G$216="","",[2]Entry!$G$216)</f>
        <v/>
      </c>
      <c r="N213">
        <f>IF([2]Entry!$M$216="","",[2]Entry!$M$216)</f>
        <v/>
      </c>
      <c r="O213">
        <f>IF([2]Entry!$N$216="","",[2]Entry!$N$216)</f>
        <v/>
      </c>
      <c r="P213">
        <f>IF([2]Entry!$R$216="","",[2]Entry!$R$216)</f>
        <v/>
      </c>
    </row>
    <row r="214">
      <c r="A214">
        <f>IF([1]Accounts!$D$215="","",[1]Accounts!$A$215)</f>
        <v/>
      </c>
      <c r="B214">
        <f>IF([1]Accounts!$D$215="","",[1]Accounts!$B$215)</f>
        <v/>
      </c>
      <c r="C214">
        <f>IF([1]Accounts!$D$215="","",[1]Accounts!$C$215)</f>
        <v/>
      </c>
      <c r="D214">
        <f>IF([1]Accounts!$D$215="","",[1]Accounts!$D$215)</f>
        <v/>
      </c>
      <c r="E214">
        <f>IF([1]Accounts!$D$215="","",[1]Accounts!$J$215)</f>
        <v/>
      </c>
      <c r="F214">
        <f>IF([1]Accounts!$D$215="","",[1]Accounts!$K$215)</f>
        <v/>
      </c>
      <c r="J214">
        <f>IF([2]Entry!$C$217="","",[2]Entry!$C$217)</f>
        <v/>
      </c>
      <c r="K214">
        <f>IF([2]Entry!$D$217="","",[2]Entry!$D$217)</f>
        <v/>
      </c>
      <c r="L214">
        <f>IF([2]Entry!$E$217="","",[2]Entry!$E$217)</f>
        <v/>
      </c>
      <c r="M214">
        <f>IF([2]Entry!$G$217="","",[2]Entry!$G$217)</f>
        <v/>
      </c>
      <c r="N214">
        <f>IF([2]Entry!$M$217="","",[2]Entry!$M$217)</f>
        <v/>
      </c>
      <c r="O214">
        <f>IF([2]Entry!$N$217="","",[2]Entry!$N$217)</f>
        <v/>
      </c>
      <c r="P214">
        <f>IF([2]Entry!$R$217="","",[2]Entry!$R$217)</f>
        <v/>
      </c>
    </row>
    <row r="215">
      <c r="A215">
        <f>IF([1]Accounts!$D$216="","",[1]Accounts!$A$216)</f>
        <v/>
      </c>
      <c r="B215">
        <f>IF([1]Accounts!$D$216="","",[1]Accounts!$B$216)</f>
        <v/>
      </c>
      <c r="C215">
        <f>IF([1]Accounts!$D$216="","",[1]Accounts!$C$216)</f>
        <v/>
      </c>
      <c r="D215">
        <f>IF([1]Accounts!$D$216="","",[1]Accounts!$D$216)</f>
        <v/>
      </c>
      <c r="E215">
        <f>IF([1]Accounts!$D$216="","",[1]Accounts!$J$216)</f>
        <v/>
      </c>
      <c r="F215">
        <f>IF([1]Accounts!$D$216="","",[1]Accounts!$K$216)</f>
        <v/>
      </c>
      <c r="J215">
        <f>IF([2]Entry!$C$218="","",[2]Entry!$C$218)</f>
        <v/>
      </c>
      <c r="K215">
        <f>IF([2]Entry!$D$218="","",[2]Entry!$D$218)</f>
        <v/>
      </c>
      <c r="L215">
        <f>IF([2]Entry!$E$218="","",[2]Entry!$E$218)</f>
        <v/>
      </c>
      <c r="M215">
        <f>IF([2]Entry!$G$218="","",[2]Entry!$G$218)</f>
        <v/>
      </c>
      <c r="N215">
        <f>IF([2]Entry!$M$218="","",[2]Entry!$M$218)</f>
        <v/>
      </c>
      <c r="O215">
        <f>IF([2]Entry!$N$218="","",[2]Entry!$N$218)</f>
        <v/>
      </c>
      <c r="P215">
        <f>IF([2]Entry!$R$218="","",[2]Entry!$R$218)</f>
        <v/>
      </c>
    </row>
    <row r="216">
      <c r="A216">
        <f>IF([1]Accounts!$D$217="","",[1]Accounts!$A$217)</f>
        <v/>
      </c>
      <c r="B216">
        <f>IF([1]Accounts!$D$217="","",[1]Accounts!$B$217)</f>
        <v/>
      </c>
      <c r="C216">
        <f>IF([1]Accounts!$D$217="","",[1]Accounts!$C$217)</f>
        <v/>
      </c>
      <c r="D216">
        <f>IF([1]Accounts!$D$217="","",[1]Accounts!$D$217)</f>
        <v/>
      </c>
      <c r="E216">
        <f>IF([1]Accounts!$D$217="","",[1]Accounts!$J$217)</f>
        <v/>
      </c>
      <c r="F216">
        <f>IF([1]Accounts!$D$217="","",[1]Accounts!$K$217)</f>
        <v/>
      </c>
      <c r="J216">
        <f>IF([2]Entry!$C$219="","",[2]Entry!$C$219)</f>
        <v/>
      </c>
      <c r="K216">
        <f>IF([2]Entry!$D$219="","",[2]Entry!$D$219)</f>
        <v/>
      </c>
      <c r="L216">
        <f>IF([2]Entry!$E$219="","",[2]Entry!$E$219)</f>
        <v/>
      </c>
      <c r="M216">
        <f>IF([2]Entry!$G$219="","",[2]Entry!$G$219)</f>
        <v/>
      </c>
      <c r="N216">
        <f>IF([2]Entry!$M$219="","",[2]Entry!$M$219)</f>
        <v/>
      </c>
      <c r="O216">
        <f>IF([2]Entry!$N$219="","",[2]Entry!$N$219)</f>
        <v/>
      </c>
      <c r="P216">
        <f>IF([2]Entry!$R$219="","",[2]Entry!$R$219)</f>
        <v/>
      </c>
    </row>
    <row r="217">
      <c r="A217">
        <f>IF([1]Accounts!$D$218="","",[1]Accounts!$A$218)</f>
        <v/>
      </c>
      <c r="B217">
        <f>IF([1]Accounts!$D$218="","",[1]Accounts!$B$218)</f>
        <v/>
      </c>
      <c r="C217">
        <f>IF([1]Accounts!$D$218="","",[1]Accounts!$C$218)</f>
        <v/>
      </c>
      <c r="D217">
        <f>IF([1]Accounts!$D$218="","",[1]Accounts!$D$218)</f>
        <v/>
      </c>
      <c r="E217">
        <f>IF([1]Accounts!$D$218="","",[1]Accounts!$J$218)</f>
        <v/>
      </c>
      <c r="F217">
        <f>IF([1]Accounts!$D$218="","",[1]Accounts!$K$218)</f>
        <v/>
      </c>
      <c r="J217">
        <f>IF([2]Entry!$C$220="","",[2]Entry!$C$220)</f>
        <v/>
      </c>
      <c r="K217">
        <f>IF([2]Entry!$D$220="","",[2]Entry!$D$220)</f>
        <v/>
      </c>
      <c r="L217">
        <f>IF([2]Entry!$E$220="","",[2]Entry!$E$220)</f>
        <v/>
      </c>
      <c r="M217">
        <f>IF([2]Entry!$G$220="","",[2]Entry!$G$220)</f>
        <v/>
      </c>
      <c r="N217">
        <f>IF([2]Entry!$M$220="","",[2]Entry!$M$220)</f>
        <v/>
      </c>
      <c r="O217">
        <f>IF([2]Entry!$N$220="","",[2]Entry!$N$220)</f>
        <v/>
      </c>
      <c r="P217">
        <f>IF([2]Entry!$R$220="","",[2]Entry!$R$220)</f>
        <v/>
      </c>
    </row>
    <row r="218">
      <c r="A218">
        <f>IF([1]Accounts!$D$219="","",[1]Accounts!$A$219)</f>
        <v/>
      </c>
      <c r="B218">
        <f>IF([1]Accounts!$D$219="","",[1]Accounts!$B$219)</f>
        <v/>
      </c>
      <c r="C218">
        <f>IF([1]Accounts!$D$219="","",[1]Accounts!$C$219)</f>
        <v/>
      </c>
      <c r="D218">
        <f>IF([1]Accounts!$D$219="","",[1]Accounts!$D$219)</f>
        <v/>
      </c>
      <c r="E218">
        <f>IF([1]Accounts!$D$219="","",[1]Accounts!$J$219)</f>
        <v/>
      </c>
      <c r="F218">
        <f>IF([1]Accounts!$D$219="","",[1]Accounts!$K$219)</f>
        <v/>
      </c>
      <c r="J218">
        <f>IF([2]Entry!$C$221="","",[2]Entry!$C$221)</f>
        <v/>
      </c>
      <c r="K218">
        <f>IF([2]Entry!$D$221="","",[2]Entry!$D$221)</f>
        <v/>
      </c>
      <c r="L218">
        <f>IF([2]Entry!$E$221="","",[2]Entry!$E$221)</f>
        <v/>
      </c>
      <c r="M218">
        <f>IF([2]Entry!$G$221="","",[2]Entry!$G$221)</f>
        <v/>
      </c>
      <c r="N218">
        <f>IF([2]Entry!$M$221="","",[2]Entry!$M$221)</f>
        <v/>
      </c>
      <c r="O218">
        <f>IF([2]Entry!$N$221="","",[2]Entry!$N$221)</f>
        <v/>
      </c>
      <c r="P218">
        <f>IF([2]Entry!$R$221="","",[2]Entry!$R$221)</f>
        <v/>
      </c>
    </row>
    <row r="219">
      <c r="A219">
        <f>IF([1]Accounts!$D$220="","",[1]Accounts!$A$220)</f>
        <v/>
      </c>
      <c r="B219">
        <f>IF([1]Accounts!$D$220="","",[1]Accounts!$B$220)</f>
        <v/>
      </c>
      <c r="C219">
        <f>IF([1]Accounts!$D$220="","",[1]Accounts!$C$220)</f>
        <v/>
      </c>
      <c r="D219">
        <f>IF([1]Accounts!$D$220="","",[1]Accounts!$D$220)</f>
        <v/>
      </c>
      <c r="E219">
        <f>IF([1]Accounts!$D$220="","",[1]Accounts!$J$220)</f>
        <v/>
      </c>
      <c r="F219">
        <f>IF([1]Accounts!$D$220="","",[1]Accounts!$K$220)</f>
        <v/>
      </c>
      <c r="J219">
        <f>IF([2]Entry!$C$222="","",[2]Entry!$C$222)</f>
        <v/>
      </c>
      <c r="K219">
        <f>IF([2]Entry!$D$222="","",[2]Entry!$D$222)</f>
        <v/>
      </c>
      <c r="L219">
        <f>IF([2]Entry!$E$222="","",[2]Entry!$E$222)</f>
        <v/>
      </c>
      <c r="M219">
        <f>IF([2]Entry!$G$222="","",[2]Entry!$G$222)</f>
        <v/>
      </c>
      <c r="N219">
        <f>IF([2]Entry!$M$222="","",[2]Entry!$M$222)</f>
        <v/>
      </c>
      <c r="O219">
        <f>IF([2]Entry!$N$222="","",[2]Entry!$N$222)</f>
        <v/>
      </c>
      <c r="P219">
        <f>IF([2]Entry!$R$222="","",[2]Entry!$R$222)</f>
        <v/>
      </c>
    </row>
    <row r="220">
      <c r="A220">
        <f>IF([1]Accounts!$D$221="","",[1]Accounts!$A$221)</f>
        <v/>
      </c>
      <c r="B220">
        <f>IF([1]Accounts!$D$221="","",[1]Accounts!$B$221)</f>
        <v/>
      </c>
      <c r="C220">
        <f>IF([1]Accounts!$D$221="","",[1]Accounts!$C$221)</f>
        <v/>
      </c>
      <c r="D220">
        <f>IF([1]Accounts!$D$221="","",[1]Accounts!$D$221)</f>
        <v/>
      </c>
      <c r="E220">
        <f>IF([1]Accounts!$D$221="","",[1]Accounts!$J$221)</f>
        <v/>
      </c>
      <c r="F220">
        <f>IF([1]Accounts!$D$221="","",[1]Accounts!$K$221)</f>
        <v/>
      </c>
      <c r="J220">
        <f>IF([2]Entry!$C$223="","",[2]Entry!$C$223)</f>
        <v/>
      </c>
      <c r="K220">
        <f>IF([2]Entry!$D$223="","",[2]Entry!$D$223)</f>
        <v/>
      </c>
      <c r="L220">
        <f>IF([2]Entry!$E$223="","",[2]Entry!$E$223)</f>
        <v/>
      </c>
      <c r="M220">
        <f>IF([2]Entry!$G$223="","",[2]Entry!$G$223)</f>
        <v/>
      </c>
      <c r="N220">
        <f>IF([2]Entry!$M$223="","",[2]Entry!$M$223)</f>
        <v/>
      </c>
      <c r="O220">
        <f>IF([2]Entry!$N$223="","",[2]Entry!$N$223)</f>
        <v/>
      </c>
      <c r="P220">
        <f>IF([2]Entry!$R$223="","",[2]Entry!$R$223)</f>
        <v/>
      </c>
    </row>
    <row r="221">
      <c r="A221">
        <f>IF([1]Accounts!$D$222="","",[1]Accounts!$A$222)</f>
        <v/>
      </c>
      <c r="B221">
        <f>IF([1]Accounts!$D$222="","",[1]Accounts!$B$222)</f>
        <v/>
      </c>
      <c r="C221">
        <f>IF([1]Accounts!$D$222="","",[1]Accounts!$C$222)</f>
        <v/>
      </c>
      <c r="D221">
        <f>IF([1]Accounts!$D$222="","",[1]Accounts!$D$222)</f>
        <v/>
      </c>
      <c r="E221">
        <f>IF([1]Accounts!$D$222="","",[1]Accounts!$J$222)</f>
        <v/>
      </c>
      <c r="F221">
        <f>IF([1]Accounts!$D$222="","",[1]Accounts!$K$222)</f>
        <v/>
      </c>
      <c r="J221">
        <f>IF([2]Entry!$C$224="","",[2]Entry!$C$224)</f>
        <v/>
      </c>
      <c r="K221">
        <f>IF([2]Entry!$D$224="","",[2]Entry!$D$224)</f>
        <v/>
      </c>
      <c r="L221">
        <f>IF([2]Entry!$E$224="","",[2]Entry!$E$224)</f>
        <v/>
      </c>
      <c r="M221">
        <f>IF([2]Entry!$G$224="","",[2]Entry!$G$224)</f>
        <v/>
      </c>
      <c r="N221">
        <f>IF([2]Entry!$M$224="","",[2]Entry!$M$224)</f>
        <v/>
      </c>
      <c r="O221">
        <f>IF([2]Entry!$N$224="","",[2]Entry!$N$224)</f>
        <v/>
      </c>
      <c r="P221">
        <f>IF([2]Entry!$R$224="","",[2]Entry!$R$224)</f>
        <v/>
      </c>
    </row>
    <row r="222">
      <c r="A222">
        <f>IF([1]Accounts!$D$223="","",[1]Accounts!$A$223)</f>
        <v/>
      </c>
      <c r="B222">
        <f>IF([1]Accounts!$D$223="","",[1]Accounts!$B$223)</f>
        <v/>
      </c>
      <c r="C222">
        <f>IF([1]Accounts!$D$223="","",[1]Accounts!$C$223)</f>
        <v/>
      </c>
      <c r="D222">
        <f>IF([1]Accounts!$D$223="","",[1]Accounts!$D$223)</f>
        <v/>
      </c>
      <c r="E222">
        <f>IF([1]Accounts!$D$223="","",[1]Accounts!$J$223)</f>
        <v/>
      </c>
      <c r="F222">
        <f>IF([1]Accounts!$D$223="","",[1]Accounts!$K$223)</f>
        <v/>
      </c>
      <c r="J222">
        <f>IF([2]Entry!$C$225="","",[2]Entry!$C$225)</f>
        <v/>
      </c>
      <c r="K222">
        <f>IF([2]Entry!$D$225="","",[2]Entry!$D$225)</f>
        <v/>
      </c>
      <c r="L222">
        <f>IF([2]Entry!$E$225="","",[2]Entry!$E$225)</f>
        <v/>
      </c>
      <c r="M222">
        <f>IF([2]Entry!$G$225="","",[2]Entry!$G$225)</f>
        <v/>
      </c>
      <c r="N222">
        <f>IF([2]Entry!$M$225="","",[2]Entry!$M$225)</f>
        <v/>
      </c>
      <c r="O222">
        <f>IF([2]Entry!$N$225="","",[2]Entry!$N$225)</f>
        <v/>
      </c>
      <c r="P222">
        <f>IF([2]Entry!$R$225="","",[2]Entry!$R$225)</f>
        <v/>
      </c>
    </row>
    <row r="223">
      <c r="A223">
        <f>IF([1]Accounts!$D$224="","",[1]Accounts!$A$224)</f>
        <v/>
      </c>
      <c r="B223">
        <f>IF([1]Accounts!$D$224="","",[1]Accounts!$B$224)</f>
        <v/>
      </c>
      <c r="C223">
        <f>IF([1]Accounts!$D$224="","",[1]Accounts!$C$224)</f>
        <v/>
      </c>
      <c r="D223">
        <f>IF([1]Accounts!$D$224="","",[1]Accounts!$D$224)</f>
        <v/>
      </c>
      <c r="E223">
        <f>IF([1]Accounts!$D$224="","",[1]Accounts!$J$224)</f>
        <v/>
      </c>
      <c r="F223">
        <f>IF([1]Accounts!$D$224="","",[1]Accounts!$K$224)</f>
        <v/>
      </c>
      <c r="J223">
        <f>IF([2]Entry!$C$226="","",[2]Entry!$C$226)</f>
        <v/>
      </c>
      <c r="K223">
        <f>IF([2]Entry!$D$226="","",[2]Entry!$D$226)</f>
        <v/>
      </c>
      <c r="L223">
        <f>IF([2]Entry!$E$226="","",[2]Entry!$E$226)</f>
        <v/>
      </c>
      <c r="M223">
        <f>IF([2]Entry!$G$226="","",[2]Entry!$G$226)</f>
        <v/>
      </c>
      <c r="N223">
        <f>IF([2]Entry!$M$226="","",[2]Entry!$M$226)</f>
        <v/>
      </c>
      <c r="O223">
        <f>IF([2]Entry!$N$226="","",[2]Entry!$N$226)</f>
        <v/>
      </c>
      <c r="P223">
        <f>IF([2]Entry!$R$226="","",[2]Entry!$R$226)</f>
        <v/>
      </c>
    </row>
    <row r="224">
      <c r="A224">
        <f>IF([1]Accounts!$D$225="","",[1]Accounts!$A$225)</f>
        <v/>
      </c>
      <c r="B224">
        <f>IF([1]Accounts!$D$225="","",[1]Accounts!$B$225)</f>
        <v/>
      </c>
      <c r="C224">
        <f>IF([1]Accounts!$D$225="","",[1]Accounts!$C$225)</f>
        <v/>
      </c>
      <c r="D224">
        <f>IF([1]Accounts!$D$225="","",[1]Accounts!$D$225)</f>
        <v/>
      </c>
      <c r="E224">
        <f>IF([1]Accounts!$D$225="","",[1]Accounts!$J$225)</f>
        <v/>
      </c>
      <c r="F224">
        <f>IF([1]Accounts!$D$225="","",[1]Accounts!$K$225)</f>
        <v/>
      </c>
      <c r="J224">
        <f>IF([2]Entry!$C$227="","",[2]Entry!$C$227)</f>
        <v/>
      </c>
      <c r="K224">
        <f>IF([2]Entry!$D$227="","",[2]Entry!$D$227)</f>
        <v/>
      </c>
      <c r="L224">
        <f>IF([2]Entry!$E$227="","",[2]Entry!$E$227)</f>
        <v/>
      </c>
      <c r="M224">
        <f>IF([2]Entry!$G$227="","",[2]Entry!$G$227)</f>
        <v/>
      </c>
      <c r="N224">
        <f>IF([2]Entry!$M$227="","",[2]Entry!$M$227)</f>
        <v/>
      </c>
      <c r="O224">
        <f>IF([2]Entry!$N$227="","",[2]Entry!$N$227)</f>
        <v/>
      </c>
      <c r="P224">
        <f>IF([2]Entry!$R$227="","",[2]Entry!$R$227)</f>
        <v/>
      </c>
    </row>
    <row r="225">
      <c r="A225">
        <f>IF([1]Accounts!$D$226="","",[1]Accounts!$A$226)</f>
        <v/>
      </c>
      <c r="B225">
        <f>IF([1]Accounts!$D$226="","",[1]Accounts!$B$226)</f>
        <v/>
      </c>
      <c r="C225">
        <f>IF([1]Accounts!$D$226="","",[1]Accounts!$C$226)</f>
        <v/>
      </c>
      <c r="D225">
        <f>IF([1]Accounts!$D$226="","",[1]Accounts!$D$226)</f>
        <v/>
      </c>
      <c r="E225">
        <f>IF([1]Accounts!$D$226="","",[1]Accounts!$J$226)</f>
        <v/>
      </c>
      <c r="F225">
        <f>IF([1]Accounts!$D$226="","",[1]Accounts!$K$226)</f>
        <v/>
      </c>
      <c r="J225">
        <f>IF([2]Entry!$C$228="","",[2]Entry!$C$228)</f>
        <v/>
      </c>
      <c r="K225">
        <f>IF([2]Entry!$D$228="","",[2]Entry!$D$228)</f>
        <v/>
      </c>
      <c r="L225">
        <f>IF([2]Entry!$E$228="","",[2]Entry!$E$228)</f>
        <v/>
      </c>
      <c r="M225">
        <f>IF([2]Entry!$G$228="","",[2]Entry!$G$228)</f>
        <v/>
      </c>
      <c r="N225">
        <f>IF([2]Entry!$M$228="","",[2]Entry!$M$228)</f>
        <v/>
      </c>
      <c r="O225">
        <f>IF([2]Entry!$N$228="","",[2]Entry!$N$228)</f>
        <v/>
      </c>
      <c r="P225">
        <f>IF([2]Entry!$R$228="","",[2]Entry!$R$228)</f>
        <v/>
      </c>
    </row>
    <row r="226">
      <c r="A226">
        <f>IF([1]Accounts!$D$227="","",[1]Accounts!$A$227)</f>
        <v/>
      </c>
      <c r="B226">
        <f>IF([1]Accounts!$D$227="","",[1]Accounts!$B$227)</f>
        <v/>
      </c>
      <c r="C226">
        <f>IF([1]Accounts!$D$227="","",[1]Accounts!$C$227)</f>
        <v/>
      </c>
      <c r="D226">
        <f>IF([1]Accounts!$D$227="","",[1]Accounts!$D$227)</f>
        <v/>
      </c>
      <c r="E226">
        <f>IF([1]Accounts!$D$227="","",[1]Accounts!$J$227)</f>
        <v/>
      </c>
      <c r="F226">
        <f>IF([1]Accounts!$D$227="","",[1]Accounts!$K$227)</f>
        <v/>
      </c>
      <c r="J226">
        <f>IF([2]Entry!$C$229="","",[2]Entry!$C$229)</f>
        <v/>
      </c>
      <c r="K226">
        <f>IF([2]Entry!$D$229="","",[2]Entry!$D$229)</f>
        <v/>
      </c>
      <c r="L226">
        <f>IF([2]Entry!$E$229="","",[2]Entry!$E$229)</f>
        <v/>
      </c>
      <c r="M226">
        <f>IF([2]Entry!$G$229="","",[2]Entry!$G$229)</f>
        <v/>
      </c>
      <c r="N226">
        <f>IF([2]Entry!$M$229="","",[2]Entry!$M$229)</f>
        <v/>
      </c>
      <c r="O226">
        <f>IF([2]Entry!$N$229="","",[2]Entry!$N$229)</f>
        <v/>
      </c>
      <c r="P226">
        <f>IF([2]Entry!$R$229="","",[2]Entry!$R$229)</f>
        <v/>
      </c>
    </row>
    <row r="227">
      <c r="A227">
        <f>IF([1]Accounts!$D$228="","",[1]Accounts!$A$228)</f>
        <v/>
      </c>
      <c r="B227">
        <f>IF([1]Accounts!$D$228="","",[1]Accounts!$B$228)</f>
        <v/>
      </c>
      <c r="C227">
        <f>IF([1]Accounts!$D$228="","",[1]Accounts!$C$228)</f>
        <v/>
      </c>
      <c r="D227">
        <f>IF([1]Accounts!$D$228="","",[1]Accounts!$D$228)</f>
        <v/>
      </c>
      <c r="E227">
        <f>IF([1]Accounts!$D$228="","",[1]Accounts!$J$228)</f>
        <v/>
      </c>
      <c r="F227">
        <f>IF([1]Accounts!$D$228="","",[1]Accounts!$K$228)</f>
        <v/>
      </c>
      <c r="J227">
        <f>IF([2]Entry!$C$230="","",[2]Entry!$C$230)</f>
        <v/>
      </c>
      <c r="K227">
        <f>IF([2]Entry!$D$230="","",[2]Entry!$D$230)</f>
        <v/>
      </c>
      <c r="L227">
        <f>IF([2]Entry!$E$230="","",[2]Entry!$E$230)</f>
        <v/>
      </c>
      <c r="M227">
        <f>IF([2]Entry!$G$230="","",[2]Entry!$G$230)</f>
        <v/>
      </c>
      <c r="N227">
        <f>IF([2]Entry!$M$230="","",[2]Entry!$M$230)</f>
        <v/>
      </c>
      <c r="O227">
        <f>IF([2]Entry!$N$230="","",[2]Entry!$N$230)</f>
        <v/>
      </c>
      <c r="P227">
        <f>IF([2]Entry!$R$230="","",[2]Entry!$R$230)</f>
        <v/>
      </c>
    </row>
    <row r="228">
      <c r="A228">
        <f>IF([1]Accounts!$D$229="","",[1]Accounts!$A$229)</f>
        <v/>
      </c>
      <c r="B228">
        <f>IF([1]Accounts!$D$229="","",[1]Accounts!$B$229)</f>
        <v/>
      </c>
      <c r="C228">
        <f>IF([1]Accounts!$D$229="","",[1]Accounts!$C$229)</f>
        <v/>
      </c>
      <c r="D228">
        <f>IF([1]Accounts!$D$229="","",[1]Accounts!$D$229)</f>
        <v/>
      </c>
      <c r="E228">
        <f>IF([1]Accounts!$D$229="","",[1]Accounts!$J$229)</f>
        <v/>
      </c>
      <c r="F228">
        <f>IF([1]Accounts!$D$229="","",[1]Accounts!$K$229)</f>
        <v/>
      </c>
      <c r="J228">
        <f>IF([2]Entry!$C$231="","",[2]Entry!$C$231)</f>
        <v/>
      </c>
      <c r="K228">
        <f>IF([2]Entry!$D$231="","",[2]Entry!$D$231)</f>
        <v/>
      </c>
      <c r="L228">
        <f>IF([2]Entry!$E$231="","",[2]Entry!$E$231)</f>
        <v/>
      </c>
      <c r="M228">
        <f>IF([2]Entry!$G$231="","",[2]Entry!$G$231)</f>
        <v/>
      </c>
      <c r="N228">
        <f>IF([2]Entry!$M$231="","",[2]Entry!$M$231)</f>
        <v/>
      </c>
      <c r="O228">
        <f>IF([2]Entry!$N$231="","",[2]Entry!$N$231)</f>
        <v/>
      </c>
      <c r="P228">
        <f>IF([2]Entry!$R$231="","",[2]Entry!$R$231)</f>
        <v/>
      </c>
    </row>
    <row r="229">
      <c r="A229">
        <f>IF([1]Accounts!$D$230="","",[1]Accounts!$A$230)</f>
        <v/>
      </c>
      <c r="B229">
        <f>IF([1]Accounts!$D$230="","",[1]Accounts!$B$230)</f>
        <v/>
      </c>
      <c r="C229">
        <f>IF([1]Accounts!$D$230="","",[1]Accounts!$C$230)</f>
        <v/>
      </c>
      <c r="D229">
        <f>IF([1]Accounts!$D$230="","",[1]Accounts!$D$230)</f>
        <v/>
      </c>
      <c r="E229">
        <f>IF([1]Accounts!$D$230="","",[1]Accounts!$J$230)</f>
        <v/>
      </c>
      <c r="F229">
        <f>IF([1]Accounts!$D$230="","",[1]Accounts!$K$230)</f>
        <v/>
      </c>
      <c r="J229">
        <f>IF([2]Entry!$C$232="","",[2]Entry!$C$232)</f>
        <v/>
      </c>
      <c r="K229">
        <f>IF([2]Entry!$D$232="","",[2]Entry!$D$232)</f>
        <v/>
      </c>
      <c r="L229">
        <f>IF([2]Entry!$E$232="","",[2]Entry!$E$232)</f>
        <v/>
      </c>
      <c r="M229">
        <f>IF([2]Entry!$G$232="","",[2]Entry!$G$232)</f>
        <v/>
      </c>
      <c r="N229">
        <f>IF([2]Entry!$M$232="","",[2]Entry!$M$232)</f>
        <v/>
      </c>
      <c r="O229">
        <f>IF([2]Entry!$N$232="","",[2]Entry!$N$232)</f>
        <v/>
      </c>
      <c r="P229">
        <f>IF([2]Entry!$R$232="","",[2]Entry!$R$232)</f>
        <v/>
      </c>
    </row>
    <row r="230">
      <c r="A230">
        <f>IF([1]Accounts!$D$231="","",[1]Accounts!$A$231)</f>
        <v/>
      </c>
      <c r="B230">
        <f>IF([1]Accounts!$D$231="","",[1]Accounts!$B$231)</f>
        <v/>
      </c>
      <c r="C230">
        <f>IF([1]Accounts!$D$231="","",[1]Accounts!$C$231)</f>
        <v/>
      </c>
      <c r="D230">
        <f>IF([1]Accounts!$D$231="","",[1]Accounts!$D$231)</f>
        <v/>
      </c>
      <c r="E230">
        <f>IF([1]Accounts!$D$231="","",[1]Accounts!$J$231)</f>
        <v/>
      </c>
      <c r="F230">
        <f>IF([1]Accounts!$D$231="","",[1]Accounts!$K$231)</f>
        <v/>
      </c>
      <c r="J230">
        <f>IF([2]Entry!$C$233="","",[2]Entry!$C$233)</f>
        <v/>
      </c>
      <c r="K230">
        <f>IF([2]Entry!$D$233="","",[2]Entry!$D$233)</f>
        <v/>
      </c>
      <c r="L230">
        <f>IF([2]Entry!$E$233="","",[2]Entry!$E$233)</f>
        <v/>
      </c>
      <c r="M230">
        <f>IF([2]Entry!$G$233="","",[2]Entry!$G$233)</f>
        <v/>
      </c>
      <c r="N230">
        <f>IF([2]Entry!$M$233="","",[2]Entry!$M$233)</f>
        <v/>
      </c>
      <c r="O230">
        <f>IF([2]Entry!$N$233="","",[2]Entry!$N$233)</f>
        <v/>
      </c>
      <c r="P230">
        <f>IF([2]Entry!$R$233="","",[2]Entry!$R$233)</f>
        <v/>
      </c>
    </row>
    <row r="231">
      <c r="A231">
        <f>IF([1]Accounts!$D$232="","",[1]Accounts!$A$232)</f>
        <v/>
      </c>
      <c r="B231">
        <f>IF([1]Accounts!$D$232="","",[1]Accounts!$B$232)</f>
        <v/>
      </c>
      <c r="C231">
        <f>IF([1]Accounts!$D$232="","",[1]Accounts!$C$232)</f>
        <v/>
      </c>
      <c r="D231">
        <f>IF([1]Accounts!$D$232="","",[1]Accounts!$D$232)</f>
        <v/>
      </c>
      <c r="E231">
        <f>IF([1]Accounts!$D$232="","",[1]Accounts!$J$232)</f>
        <v/>
      </c>
      <c r="F231">
        <f>IF([1]Accounts!$D$232="","",[1]Accounts!$K$232)</f>
        <v/>
      </c>
      <c r="J231">
        <f>IF([2]Entry!$C$234="","",[2]Entry!$C$234)</f>
        <v/>
      </c>
      <c r="K231">
        <f>IF([2]Entry!$D$234="","",[2]Entry!$D$234)</f>
        <v/>
      </c>
      <c r="L231">
        <f>IF([2]Entry!$E$234="","",[2]Entry!$E$234)</f>
        <v/>
      </c>
      <c r="M231">
        <f>IF([2]Entry!$G$234="","",[2]Entry!$G$234)</f>
        <v/>
      </c>
      <c r="N231">
        <f>IF([2]Entry!$M$234="","",[2]Entry!$M$234)</f>
        <v/>
      </c>
      <c r="O231">
        <f>IF([2]Entry!$N$234="","",[2]Entry!$N$234)</f>
        <v/>
      </c>
      <c r="P231">
        <f>IF([2]Entry!$R$234="","",[2]Entry!$R$234)</f>
        <v/>
      </c>
    </row>
    <row r="232">
      <c r="A232">
        <f>IF([1]Accounts!$D$233="","",[1]Accounts!$A$233)</f>
        <v/>
      </c>
      <c r="B232">
        <f>IF([1]Accounts!$D$233="","",[1]Accounts!$B$233)</f>
        <v/>
      </c>
      <c r="C232">
        <f>IF([1]Accounts!$D$233="","",[1]Accounts!$C$233)</f>
        <v/>
      </c>
      <c r="D232">
        <f>IF([1]Accounts!$D$233="","",[1]Accounts!$D$233)</f>
        <v/>
      </c>
      <c r="E232">
        <f>IF([1]Accounts!$D$233="","",[1]Accounts!$J$233)</f>
        <v/>
      </c>
      <c r="F232">
        <f>IF([1]Accounts!$D$233="","",[1]Accounts!$K$233)</f>
        <v/>
      </c>
      <c r="J232">
        <f>IF([2]Entry!$C$235="","",[2]Entry!$C$235)</f>
        <v/>
      </c>
      <c r="K232">
        <f>IF([2]Entry!$D$235="","",[2]Entry!$D$235)</f>
        <v/>
      </c>
      <c r="L232">
        <f>IF([2]Entry!$E$235="","",[2]Entry!$E$235)</f>
        <v/>
      </c>
      <c r="M232">
        <f>IF([2]Entry!$G$235="","",[2]Entry!$G$235)</f>
        <v/>
      </c>
      <c r="N232">
        <f>IF([2]Entry!$M$235="","",[2]Entry!$M$235)</f>
        <v/>
      </c>
      <c r="O232">
        <f>IF([2]Entry!$N$235="","",[2]Entry!$N$235)</f>
        <v/>
      </c>
      <c r="P232">
        <f>IF([2]Entry!$R$235="","",[2]Entry!$R$235)</f>
        <v/>
      </c>
    </row>
    <row r="233">
      <c r="A233">
        <f>IF([1]Accounts!$D$234="","",[1]Accounts!$A$234)</f>
        <v/>
      </c>
      <c r="B233">
        <f>IF([1]Accounts!$D$234="","",[1]Accounts!$B$234)</f>
        <v/>
      </c>
      <c r="C233">
        <f>IF([1]Accounts!$D$234="","",[1]Accounts!$C$234)</f>
        <v/>
      </c>
      <c r="D233">
        <f>IF([1]Accounts!$D$234="","",[1]Accounts!$D$234)</f>
        <v/>
      </c>
      <c r="E233">
        <f>IF([1]Accounts!$D$234="","",[1]Accounts!$J$234)</f>
        <v/>
      </c>
      <c r="F233">
        <f>IF([1]Accounts!$D$234="","",[1]Accounts!$K$234)</f>
        <v/>
      </c>
      <c r="J233">
        <f>IF([2]Entry!$C$236="","",[2]Entry!$C$236)</f>
        <v/>
      </c>
      <c r="K233">
        <f>IF([2]Entry!$D$236="","",[2]Entry!$D$236)</f>
        <v/>
      </c>
      <c r="L233">
        <f>IF([2]Entry!$E$236="","",[2]Entry!$E$236)</f>
        <v/>
      </c>
      <c r="M233">
        <f>IF([2]Entry!$G$236="","",[2]Entry!$G$236)</f>
        <v/>
      </c>
      <c r="N233">
        <f>IF([2]Entry!$M$236="","",[2]Entry!$M$236)</f>
        <v/>
      </c>
      <c r="O233">
        <f>IF([2]Entry!$N$236="","",[2]Entry!$N$236)</f>
        <v/>
      </c>
      <c r="P233">
        <f>IF([2]Entry!$R$236="","",[2]Entry!$R$236)</f>
        <v/>
      </c>
    </row>
    <row r="234">
      <c r="A234">
        <f>IF([1]Accounts!$D$235="","",[1]Accounts!$A$235)</f>
        <v/>
      </c>
      <c r="B234">
        <f>IF([1]Accounts!$D$235="","",[1]Accounts!$B$235)</f>
        <v/>
      </c>
      <c r="C234">
        <f>IF([1]Accounts!$D$235="","",[1]Accounts!$C$235)</f>
        <v/>
      </c>
      <c r="D234">
        <f>IF([1]Accounts!$D$235="","",[1]Accounts!$D$235)</f>
        <v/>
      </c>
      <c r="E234">
        <f>IF([1]Accounts!$D$235="","",[1]Accounts!$J$235)</f>
        <v/>
      </c>
      <c r="F234">
        <f>IF([1]Accounts!$D$235="","",[1]Accounts!$K$235)</f>
        <v/>
      </c>
      <c r="J234">
        <f>IF([2]Entry!$C$237="","",[2]Entry!$C$237)</f>
        <v/>
      </c>
      <c r="K234">
        <f>IF([2]Entry!$D$237="","",[2]Entry!$D$237)</f>
        <v/>
      </c>
      <c r="L234">
        <f>IF([2]Entry!$E$237="","",[2]Entry!$E$237)</f>
        <v/>
      </c>
      <c r="M234">
        <f>IF([2]Entry!$G$237="","",[2]Entry!$G$237)</f>
        <v/>
      </c>
      <c r="N234">
        <f>IF([2]Entry!$M$237="","",[2]Entry!$M$237)</f>
        <v/>
      </c>
      <c r="O234">
        <f>IF([2]Entry!$N$237="","",[2]Entry!$N$237)</f>
        <v/>
      </c>
      <c r="P234">
        <f>IF([2]Entry!$R$237="","",[2]Entry!$R$237)</f>
        <v/>
      </c>
    </row>
    <row r="235">
      <c r="A235">
        <f>IF([1]Accounts!$D$236="","",[1]Accounts!$A$236)</f>
        <v/>
      </c>
      <c r="B235">
        <f>IF([1]Accounts!$D$236="","",[1]Accounts!$B$236)</f>
        <v/>
      </c>
      <c r="C235">
        <f>IF([1]Accounts!$D$236="","",[1]Accounts!$C$236)</f>
        <v/>
      </c>
      <c r="D235">
        <f>IF([1]Accounts!$D$236="","",[1]Accounts!$D$236)</f>
        <v/>
      </c>
      <c r="E235">
        <f>IF([1]Accounts!$D$236="","",[1]Accounts!$J$236)</f>
        <v/>
      </c>
      <c r="F235">
        <f>IF([1]Accounts!$D$236="","",[1]Accounts!$K$236)</f>
        <v/>
      </c>
      <c r="J235">
        <f>IF([2]Entry!$C$238="","",[2]Entry!$C$238)</f>
        <v/>
      </c>
      <c r="K235">
        <f>IF([2]Entry!$D$238="","",[2]Entry!$D$238)</f>
        <v/>
      </c>
      <c r="L235">
        <f>IF([2]Entry!$E$238="","",[2]Entry!$E$238)</f>
        <v/>
      </c>
      <c r="M235">
        <f>IF([2]Entry!$G$238="","",[2]Entry!$G$238)</f>
        <v/>
      </c>
      <c r="N235">
        <f>IF([2]Entry!$M$238="","",[2]Entry!$M$238)</f>
        <v/>
      </c>
      <c r="O235">
        <f>IF([2]Entry!$N$238="","",[2]Entry!$N$238)</f>
        <v/>
      </c>
      <c r="P235">
        <f>IF([2]Entry!$R$238="","",[2]Entry!$R$238)</f>
        <v/>
      </c>
    </row>
    <row r="236">
      <c r="A236">
        <f>IF([1]Accounts!$D$237="","",[1]Accounts!$A$237)</f>
        <v/>
      </c>
      <c r="B236">
        <f>IF([1]Accounts!$D$237="","",[1]Accounts!$B$237)</f>
        <v/>
      </c>
      <c r="C236">
        <f>IF([1]Accounts!$D$237="","",[1]Accounts!$C$237)</f>
        <v/>
      </c>
      <c r="D236">
        <f>IF([1]Accounts!$D$237="","",[1]Accounts!$D$237)</f>
        <v/>
      </c>
      <c r="E236">
        <f>IF([1]Accounts!$D$237="","",[1]Accounts!$J$237)</f>
        <v/>
      </c>
      <c r="F236">
        <f>IF([1]Accounts!$D$237="","",[1]Accounts!$K$237)</f>
        <v/>
      </c>
      <c r="J236">
        <f>IF([2]Entry!$C$239="","",[2]Entry!$C$239)</f>
        <v/>
      </c>
      <c r="K236">
        <f>IF([2]Entry!$D$239="","",[2]Entry!$D$239)</f>
        <v/>
      </c>
      <c r="L236">
        <f>IF([2]Entry!$E$239="","",[2]Entry!$E$239)</f>
        <v/>
      </c>
      <c r="M236">
        <f>IF([2]Entry!$G$239="","",[2]Entry!$G$239)</f>
        <v/>
      </c>
      <c r="N236">
        <f>IF([2]Entry!$M$239="","",[2]Entry!$M$239)</f>
        <v/>
      </c>
      <c r="O236">
        <f>IF([2]Entry!$N$239="","",[2]Entry!$N$239)</f>
        <v/>
      </c>
      <c r="P236">
        <f>IF([2]Entry!$R$239="","",[2]Entry!$R$239)</f>
        <v/>
      </c>
    </row>
    <row r="237">
      <c r="A237">
        <f>IF([1]Accounts!$D$238="","",[1]Accounts!$A$238)</f>
        <v/>
      </c>
      <c r="B237">
        <f>IF([1]Accounts!$D$238="","",[1]Accounts!$B$238)</f>
        <v/>
      </c>
      <c r="C237">
        <f>IF([1]Accounts!$D$238="","",[1]Accounts!$C$238)</f>
        <v/>
      </c>
      <c r="D237">
        <f>IF([1]Accounts!$D$238="","",[1]Accounts!$D$238)</f>
        <v/>
      </c>
      <c r="E237">
        <f>IF([1]Accounts!$D$238="","",[1]Accounts!$J$238)</f>
        <v/>
      </c>
      <c r="F237">
        <f>IF([1]Accounts!$D$238="","",[1]Accounts!$K$238)</f>
        <v/>
      </c>
      <c r="J237">
        <f>IF([2]Entry!$C$240="","",[2]Entry!$C$240)</f>
        <v/>
      </c>
      <c r="K237">
        <f>IF([2]Entry!$D$240="","",[2]Entry!$D$240)</f>
        <v/>
      </c>
      <c r="L237">
        <f>IF([2]Entry!$E$240="","",[2]Entry!$E$240)</f>
        <v/>
      </c>
      <c r="M237">
        <f>IF([2]Entry!$G$240="","",[2]Entry!$G$240)</f>
        <v/>
      </c>
      <c r="N237">
        <f>IF([2]Entry!$M$240="","",[2]Entry!$M$240)</f>
        <v/>
      </c>
      <c r="O237">
        <f>IF([2]Entry!$N$240="","",[2]Entry!$N$240)</f>
        <v/>
      </c>
      <c r="P237">
        <f>IF([2]Entry!$R$240="","",[2]Entry!$R$240)</f>
        <v/>
      </c>
    </row>
    <row r="238">
      <c r="A238">
        <f>IF([1]Accounts!$D$239="","",[1]Accounts!$A$239)</f>
        <v/>
      </c>
      <c r="B238">
        <f>IF([1]Accounts!$D$239="","",[1]Accounts!$B$239)</f>
        <v/>
      </c>
      <c r="C238">
        <f>IF([1]Accounts!$D$239="","",[1]Accounts!$C$239)</f>
        <v/>
      </c>
      <c r="D238">
        <f>IF([1]Accounts!$D$239="","",[1]Accounts!$D$239)</f>
        <v/>
      </c>
      <c r="E238">
        <f>IF([1]Accounts!$D$239="","",[1]Accounts!$J$239)</f>
        <v/>
      </c>
      <c r="F238">
        <f>IF([1]Accounts!$D$239="","",[1]Accounts!$K$239)</f>
        <v/>
      </c>
      <c r="J238">
        <f>IF([2]Entry!$C$241="","",[2]Entry!$C$241)</f>
        <v/>
      </c>
      <c r="K238">
        <f>IF([2]Entry!$D$241="","",[2]Entry!$D$241)</f>
        <v/>
      </c>
      <c r="L238">
        <f>IF([2]Entry!$E$241="","",[2]Entry!$E$241)</f>
        <v/>
      </c>
      <c r="M238">
        <f>IF([2]Entry!$G$241="","",[2]Entry!$G$241)</f>
        <v/>
      </c>
      <c r="N238">
        <f>IF([2]Entry!$M$241="","",[2]Entry!$M$241)</f>
        <v/>
      </c>
      <c r="O238">
        <f>IF([2]Entry!$N$241="","",[2]Entry!$N$241)</f>
        <v/>
      </c>
      <c r="P238">
        <f>IF([2]Entry!$R$241="","",[2]Entry!$R$241)</f>
        <v/>
      </c>
    </row>
    <row r="239">
      <c r="A239">
        <f>IF([1]Accounts!$D$240="","",[1]Accounts!$A$240)</f>
        <v/>
      </c>
      <c r="B239">
        <f>IF([1]Accounts!$D$240="","",[1]Accounts!$B$240)</f>
        <v/>
      </c>
      <c r="C239">
        <f>IF([1]Accounts!$D$240="","",[1]Accounts!$C$240)</f>
        <v/>
      </c>
      <c r="D239">
        <f>IF([1]Accounts!$D$240="","",[1]Accounts!$D$240)</f>
        <v/>
      </c>
      <c r="E239">
        <f>IF([1]Accounts!$D$240="","",[1]Accounts!$J$240)</f>
        <v/>
      </c>
      <c r="F239">
        <f>IF([1]Accounts!$D$240="","",[1]Accounts!$K$240)</f>
        <v/>
      </c>
      <c r="J239">
        <f>IF([2]Entry!$C$242="","",[2]Entry!$C$242)</f>
        <v/>
      </c>
      <c r="K239">
        <f>IF([2]Entry!$D$242="","",[2]Entry!$D$242)</f>
        <v/>
      </c>
      <c r="L239">
        <f>IF([2]Entry!$E$242="","",[2]Entry!$E$242)</f>
        <v/>
      </c>
      <c r="M239">
        <f>IF([2]Entry!$G$242="","",[2]Entry!$G$242)</f>
        <v/>
      </c>
      <c r="N239">
        <f>IF([2]Entry!$M$242="","",[2]Entry!$M$242)</f>
        <v/>
      </c>
      <c r="O239">
        <f>IF([2]Entry!$N$242="","",[2]Entry!$N$242)</f>
        <v/>
      </c>
      <c r="P239">
        <f>IF([2]Entry!$R$242="","",[2]Entry!$R$242)</f>
        <v/>
      </c>
    </row>
    <row r="240">
      <c r="A240">
        <f>IF([1]Accounts!$D$241="","",[1]Accounts!$A$241)</f>
        <v/>
      </c>
      <c r="B240">
        <f>IF([1]Accounts!$D$241="","",[1]Accounts!$B$241)</f>
        <v/>
      </c>
      <c r="C240">
        <f>IF([1]Accounts!$D$241="","",[1]Accounts!$C$241)</f>
        <v/>
      </c>
      <c r="D240">
        <f>IF([1]Accounts!$D$241="","",[1]Accounts!$D$241)</f>
        <v/>
      </c>
      <c r="E240">
        <f>IF([1]Accounts!$D$241="","",[1]Accounts!$J$241)</f>
        <v/>
      </c>
      <c r="F240">
        <f>IF([1]Accounts!$D$241="","",[1]Accounts!$K$241)</f>
        <v/>
      </c>
      <c r="J240">
        <f>IF([2]Entry!$C$243="","",[2]Entry!$C$243)</f>
        <v/>
      </c>
      <c r="K240">
        <f>IF([2]Entry!$D$243="","",[2]Entry!$D$243)</f>
        <v/>
      </c>
      <c r="L240">
        <f>IF([2]Entry!$E$243="","",[2]Entry!$E$243)</f>
        <v/>
      </c>
      <c r="M240">
        <f>IF([2]Entry!$G$243="","",[2]Entry!$G$243)</f>
        <v/>
      </c>
      <c r="N240">
        <f>IF([2]Entry!$M$243="","",[2]Entry!$M$243)</f>
        <v/>
      </c>
      <c r="O240">
        <f>IF([2]Entry!$N$243="","",[2]Entry!$N$243)</f>
        <v/>
      </c>
      <c r="P240">
        <f>IF([2]Entry!$R$243="","",[2]Entry!$R$243)</f>
        <v/>
      </c>
    </row>
    <row r="241">
      <c r="A241">
        <f>IF([1]Accounts!$D$242="","",[1]Accounts!$A$242)</f>
        <v/>
      </c>
      <c r="B241">
        <f>IF([1]Accounts!$D$242="","",[1]Accounts!$B$242)</f>
        <v/>
      </c>
      <c r="C241">
        <f>IF([1]Accounts!$D$242="","",[1]Accounts!$C$242)</f>
        <v/>
      </c>
      <c r="D241">
        <f>IF([1]Accounts!$D$242="","",[1]Accounts!$D$242)</f>
        <v/>
      </c>
      <c r="E241">
        <f>IF([1]Accounts!$D$242="","",[1]Accounts!$J$242)</f>
        <v/>
      </c>
      <c r="F241">
        <f>IF([1]Accounts!$D$242="","",[1]Accounts!$K$242)</f>
        <v/>
      </c>
      <c r="J241">
        <f>IF([2]Entry!$C$244="","",[2]Entry!$C$244)</f>
        <v/>
      </c>
      <c r="K241">
        <f>IF([2]Entry!$D$244="","",[2]Entry!$D$244)</f>
        <v/>
      </c>
      <c r="L241">
        <f>IF([2]Entry!$E$244="","",[2]Entry!$E$244)</f>
        <v/>
      </c>
      <c r="M241">
        <f>IF([2]Entry!$G$244="","",[2]Entry!$G$244)</f>
        <v/>
      </c>
      <c r="N241">
        <f>IF([2]Entry!$M$244="","",[2]Entry!$M$244)</f>
        <v/>
      </c>
      <c r="O241">
        <f>IF([2]Entry!$N$244="","",[2]Entry!$N$244)</f>
        <v/>
      </c>
      <c r="P241">
        <f>IF([2]Entry!$R$244="","",[2]Entry!$R$244)</f>
        <v/>
      </c>
    </row>
    <row r="242">
      <c r="A242">
        <f>IF([1]Accounts!$D$243="","",[1]Accounts!$A$243)</f>
        <v/>
      </c>
      <c r="B242">
        <f>IF([1]Accounts!$D$243="","",[1]Accounts!$B$243)</f>
        <v/>
      </c>
      <c r="C242">
        <f>IF([1]Accounts!$D$243="","",[1]Accounts!$C$243)</f>
        <v/>
      </c>
      <c r="D242">
        <f>IF([1]Accounts!$D$243="","",[1]Accounts!$D$243)</f>
        <v/>
      </c>
      <c r="E242">
        <f>IF([1]Accounts!$D$243="","",[1]Accounts!$J$243)</f>
        <v/>
      </c>
      <c r="F242">
        <f>IF([1]Accounts!$D$243="","",[1]Accounts!$K$243)</f>
        <v/>
      </c>
      <c r="J242">
        <f>IF([2]Entry!$C$245="","",[2]Entry!$C$245)</f>
        <v/>
      </c>
      <c r="K242">
        <f>IF([2]Entry!$D$245="","",[2]Entry!$D$245)</f>
        <v/>
      </c>
      <c r="L242">
        <f>IF([2]Entry!$E$245="","",[2]Entry!$E$245)</f>
        <v/>
      </c>
      <c r="M242">
        <f>IF([2]Entry!$G$245="","",[2]Entry!$G$245)</f>
        <v/>
      </c>
      <c r="N242">
        <f>IF([2]Entry!$M$245="","",[2]Entry!$M$245)</f>
        <v/>
      </c>
      <c r="O242">
        <f>IF([2]Entry!$N$245="","",[2]Entry!$N$245)</f>
        <v/>
      </c>
      <c r="P242">
        <f>IF([2]Entry!$R$245="","",[2]Entry!$R$245)</f>
        <v/>
      </c>
    </row>
    <row r="243">
      <c r="A243">
        <f>IF([1]Accounts!$D$244="","",[1]Accounts!$A$244)</f>
        <v/>
      </c>
      <c r="B243">
        <f>IF([1]Accounts!$D$244="","",[1]Accounts!$B$244)</f>
        <v/>
      </c>
      <c r="C243">
        <f>IF([1]Accounts!$D$244="","",[1]Accounts!$C$244)</f>
        <v/>
      </c>
      <c r="D243">
        <f>IF([1]Accounts!$D$244="","",[1]Accounts!$D$244)</f>
        <v/>
      </c>
      <c r="E243">
        <f>IF([1]Accounts!$D$244="","",[1]Accounts!$J$244)</f>
        <v/>
      </c>
      <c r="F243">
        <f>IF([1]Accounts!$D$244="","",[1]Accounts!$K$244)</f>
        <v/>
      </c>
      <c r="J243">
        <f>IF([2]Entry!$C$246="","",[2]Entry!$C$246)</f>
        <v/>
      </c>
      <c r="K243">
        <f>IF([2]Entry!$D$246="","",[2]Entry!$D$246)</f>
        <v/>
      </c>
      <c r="L243">
        <f>IF([2]Entry!$E$246="","",[2]Entry!$E$246)</f>
        <v/>
      </c>
      <c r="M243">
        <f>IF([2]Entry!$G$246="","",[2]Entry!$G$246)</f>
        <v/>
      </c>
      <c r="N243">
        <f>IF([2]Entry!$M$246="","",[2]Entry!$M$246)</f>
        <v/>
      </c>
      <c r="O243">
        <f>IF([2]Entry!$N$246="","",[2]Entry!$N$246)</f>
        <v/>
      </c>
      <c r="P243">
        <f>IF([2]Entry!$R$246="","",[2]Entry!$R$246)</f>
        <v/>
      </c>
    </row>
    <row r="244">
      <c r="A244">
        <f>IF([1]Accounts!$D$245="","",[1]Accounts!$A$245)</f>
        <v/>
      </c>
      <c r="B244">
        <f>IF([1]Accounts!$D$245="","",[1]Accounts!$B$245)</f>
        <v/>
      </c>
      <c r="C244">
        <f>IF([1]Accounts!$D$245="","",[1]Accounts!$C$245)</f>
        <v/>
      </c>
      <c r="D244">
        <f>IF([1]Accounts!$D$245="","",[1]Accounts!$D$245)</f>
        <v/>
      </c>
      <c r="E244">
        <f>IF([1]Accounts!$D$245="","",[1]Accounts!$J$245)</f>
        <v/>
      </c>
      <c r="F244">
        <f>IF([1]Accounts!$D$245="","",[1]Accounts!$K$245)</f>
        <v/>
      </c>
      <c r="J244">
        <f>IF([2]Entry!$C$247="","",[2]Entry!$C$247)</f>
        <v/>
      </c>
      <c r="K244">
        <f>IF([2]Entry!$D$247="","",[2]Entry!$D$247)</f>
        <v/>
      </c>
      <c r="L244">
        <f>IF([2]Entry!$E$247="","",[2]Entry!$E$247)</f>
        <v/>
      </c>
      <c r="M244">
        <f>IF([2]Entry!$G$247="","",[2]Entry!$G$247)</f>
        <v/>
      </c>
      <c r="N244">
        <f>IF([2]Entry!$M$247="","",[2]Entry!$M$247)</f>
        <v/>
      </c>
      <c r="O244">
        <f>IF([2]Entry!$N$247="","",[2]Entry!$N$247)</f>
        <v/>
      </c>
      <c r="P244">
        <f>IF([2]Entry!$R$247="","",[2]Entry!$R$247)</f>
        <v/>
      </c>
    </row>
    <row r="245">
      <c r="A245">
        <f>IF([1]Accounts!$D$246="","",[1]Accounts!$A$246)</f>
        <v/>
      </c>
      <c r="B245">
        <f>IF([1]Accounts!$D$246="","",[1]Accounts!$B$246)</f>
        <v/>
      </c>
      <c r="C245">
        <f>IF([1]Accounts!$D$246="","",[1]Accounts!$C$246)</f>
        <v/>
      </c>
      <c r="D245">
        <f>IF([1]Accounts!$D$246="","",[1]Accounts!$D$246)</f>
        <v/>
      </c>
      <c r="E245">
        <f>IF([1]Accounts!$D$246="","",[1]Accounts!$J$246)</f>
        <v/>
      </c>
      <c r="F245">
        <f>IF([1]Accounts!$D$246="","",[1]Accounts!$K$246)</f>
        <v/>
      </c>
      <c r="J245">
        <f>IF([2]Entry!$C$248="","",[2]Entry!$C$248)</f>
        <v/>
      </c>
      <c r="K245">
        <f>IF([2]Entry!$D$248="","",[2]Entry!$D$248)</f>
        <v/>
      </c>
      <c r="L245">
        <f>IF([2]Entry!$E$248="","",[2]Entry!$E$248)</f>
        <v/>
      </c>
      <c r="M245">
        <f>IF([2]Entry!$G$248="","",[2]Entry!$G$248)</f>
        <v/>
      </c>
      <c r="N245">
        <f>IF([2]Entry!$M$248="","",[2]Entry!$M$248)</f>
        <v/>
      </c>
      <c r="O245">
        <f>IF([2]Entry!$N$248="","",[2]Entry!$N$248)</f>
        <v/>
      </c>
      <c r="P245">
        <f>IF([2]Entry!$R$248="","",[2]Entry!$R$248)</f>
        <v/>
      </c>
    </row>
    <row r="246">
      <c r="A246">
        <f>IF([1]Accounts!$D$247="","",[1]Accounts!$A$247)</f>
        <v/>
      </c>
      <c r="B246">
        <f>IF([1]Accounts!$D$247="","",[1]Accounts!$B$247)</f>
        <v/>
      </c>
      <c r="C246">
        <f>IF([1]Accounts!$D$247="","",[1]Accounts!$C$247)</f>
        <v/>
      </c>
      <c r="D246">
        <f>IF([1]Accounts!$D$247="","",[1]Accounts!$D$247)</f>
        <v/>
      </c>
      <c r="E246">
        <f>IF([1]Accounts!$D$247="","",[1]Accounts!$J$247)</f>
        <v/>
      </c>
      <c r="F246">
        <f>IF([1]Accounts!$D$247="","",[1]Accounts!$K$247)</f>
        <v/>
      </c>
      <c r="J246">
        <f>IF([2]Entry!$C$249="","",[2]Entry!$C$249)</f>
        <v/>
      </c>
      <c r="K246">
        <f>IF([2]Entry!$D$249="","",[2]Entry!$D$249)</f>
        <v/>
      </c>
      <c r="L246">
        <f>IF([2]Entry!$E$249="","",[2]Entry!$E$249)</f>
        <v/>
      </c>
      <c r="M246">
        <f>IF([2]Entry!$G$249="","",[2]Entry!$G$249)</f>
        <v/>
      </c>
      <c r="N246">
        <f>IF([2]Entry!$M$249="","",[2]Entry!$M$249)</f>
        <v/>
      </c>
      <c r="O246">
        <f>IF([2]Entry!$N$249="","",[2]Entry!$N$249)</f>
        <v/>
      </c>
      <c r="P246">
        <f>IF([2]Entry!$R$249="","",[2]Entry!$R$249)</f>
        <v/>
      </c>
    </row>
    <row r="247">
      <c r="A247">
        <f>IF([1]Accounts!$D$248="","",[1]Accounts!$A$248)</f>
        <v/>
      </c>
      <c r="B247">
        <f>IF([1]Accounts!$D$248="","",[1]Accounts!$B$248)</f>
        <v/>
      </c>
      <c r="C247">
        <f>IF([1]Accounts!$D$248="","",[1]Accounts!$C$248)</f>
        <v/>
      </c>
      <c r="D247">
        <f>IF([1]Accounts!$D$248="","",[1]Accounts!$D$248)</f>
        <v/>
      </c>
      <c r="E247">
        <f>IF([1]Accounts!$D$248="","",[1]Accounts!$J$248)</f>
        <v/>
      </c>
      <c r="F247">
        <f>IF([1]Accounts!$D$248="","",[1]Accounts!$K$248)</f>
        <v/>
      </c>
      <c r="J247">
        <f>IF([2]Entry!$C$250="","",[2]Entry!$C$250)</f>
        <v/>
      </c>
      <c r="K247">
        <f>IF([2]Entry!$D$250="","",[2]Entry!$D$250)</f>
        <v/>
      </c>
      <c r="L247">
        <f>IF([2]Entry!$E$250="","",[2]Entry!$E$250)</f>
        <v/>
      </c>
      <c r="M247">
        <f>IF([2]Entry!$G$250="","",[2]Entry!$G$250)</f>
        <v/>
      </c>
      <c r="N247">
        <f>IF([2]Entry!$M$250="","",[2]Entry!$M$250)</f>
        <v/>
      </c>
      <c r="O247">
        <f>IF([2]Entry!$N$250="","",[2]Entry!$N$250)</f>
        <v/>
      </c>
      <c r="P247">
        <f>IF([2]Entry!$R$250="","",[2]Entry!$R$250)</f>
        <v/>
      </c>
    </row>
    <row r="248">
      <c r="A248">
        <f>IF([1]Accounts!$D$249="","",[1]Accounts!$A$249)</f>
        <v/>
      </c>
      <c r="B248">
        <f>IF([1]Accounts!$D$249="","",[1]Accounts!$B$249)</f>
        <v/>
      </c>
      <c r="C248">
        <f>IF([1]Accounts!$D$249="","",[1]Accounts!$C$249)</f>
        <v/>
      </c>
      <c r="D248">
        <f>IF([1]Accounts!$D$249="","",[1]Accounts!$D$249)</f>
        <v/>
      </c>
      <c r="E248">
        <f>IF([1]Accounts!$D$249="","",[1]Accounts!$J$249)</f>
        <v/>
      </c>
      <c r="F248">
        <f>IF([1]Accounts!$D$249="","",[1]Accounts!$K$249)</f>
        <v/>
      </c>
      <c r="J248">
        <f>IF([2]Entry!$C$251="","",[2]Entry!$C$251)</f>
        <v/>
      </c>
      <c r="K248">
        <f>IF([2]Entry!$D$251="","",[2]Entry!$D$251)</f>
        <v/>
      </c>
      <c r="L248">
        <f>IF([2]Entry!$E$251="","",[2]Entry!$E$251)</f>
        <v/>
      </c>
      <c r="M248">
        <f>IF([2]Entry!$G$251="","",[2]Entry!$G$251)</f>
        <v/>
      </c>
      <c r="N248">
        <f>IF([2]Entry!$M$251="","",[2]Entry!$M$251)</f>
        <v/>
      </c>
      <c r="O248">
        <f>IF([2]Entry!$N$251="","",[2]Entry!$N$251)</f>
        <v/>
      </c>
      <c r="P248">
        <f>IF([2]Entry!$R$251="","",[2]Entry!$R$251)</f>
        <v/>
      </c>
    </row>
    <row r="249">
      <c r="A249">
        <f>IF([1]Accounts!$D$250="","",[1]Accounts!$A$250)</f>
        <v/>
      </c>
      <c r="B249">
        <f>IF([1]Accounts!$D$250="","",[1]Accounts!$B$250)</f>
        <v/>
      </c>
      <c r="C249">
        <f>IF([1]Accounts!$D$250="","",[1]Accounts!$C$250)</f>
        <v/>
      </c>
      <c r="D249">
        <f>IF([1]Accounts!$D$250="","",[1]Accounts!$D$250)</f>
        <v/>
      </c>
      <c r="E249">
        <f>IF([1]Accounts!$D$250="","",[1]Accounts!$J$250)</f>
        <v/>
      </c>
      <c r="F249">
        <f>IF([1]Accounts!$D$250="","",[1]Accounts!$K$250)</f>
        <v/>
      </c>
      <c r="J249">
        <f>IF([2]Entry!$C$252="","",[2]Entry!$C$252)</f>
        <v/>
      </c>
      <c r="K249">
        <f>IF([2]Entry!$D$252="","",[2]Entry!$D$252)</f>
        <v/>
      </c>
      <c r="L249">
        <f>IF([2]Entry!$E$252="","",[2]Entry!$E$252)</f>
        <v/>
      </c>
      <c r="M249">
        <f>IF([2]Entry!$G$252="","",[2]Entry!$G$252)</f>
        <v/>
      </c>
      <c r="N249">
        <f>IF([2]Entry!$M$252="","",[2]Entry!$M$252)</f>
        <v/>
      </c>
      <c r="O249">
        <f>IF([2]Entry!$N$252="","",[2]Entry!$N$252)</f>
        <v/>
      </c>
      <c r="P249">
        <f>IF([2]Entry!$R$252="","",[2]Entry!$R$252)</f>
        <v/>
      </c>
    </row>
    <row r="250">
      <c r="A250">
        <f>IF([1]Accounts!$D$251="","",[1]Accounts!$A$251)</f>
        <v/>
      </c>
      <c r="B250">
        <f>IF([1]Accounts!$D$251="","",[1]Accounts!$B$251)</f>
        <v/>
      </c>
      <c r="C250">
        <f>IF([1]Accounts!$D$251="","",[1]Accounts!$C$251)</f>
        <v/>
      </c>
      <c r="D250">
        <f>IF([1]Accounts!$D$251="","",[1]Accounts!$D$251)</f>
        <v/>
      </c>
      <c r="E250">
        <f>IF([1]Accounts!$D$251="","",[1]Accounts!$J$251)</f>
        <v/>
      </c>
      <c r="F250">
        <f>IF([1]Accounts!$D$251="","",[1]Accounts!$K$251)</f>
        <v/>
      </c>
      <c r="J250">
        <f>IF([2]Entry!$C$253="","",[2]Entry!$C$253)</f>
        <v/>
      </c>
      <c r="K250">
        <f>IF([2]Entry!$D$253="","",[2]Entry!$D$253)</f>
        <v/>
      </c>
      <c r="L250">
        <f>IF([2]Entry!$E$253="","",[2]Entry!$E$253)</f>
        <v/>
      </c>
      <c r="M250">
        <f>IF([2]Entry!$G$253="","",[2]Entry!$G$253)</f>
        <v/>
      </c>
      <c r="N250">
        <f>IF([2]Entry!$M$253="","",[2]Entry!$M$253)</f>
        <v/>
      </c>
      <c r="O250">
        <f>IF([2]Entry!$N$253="","",[2]Entry!$N$253)</f>
        <v/>
      </c>
      <c r="P250">
        <f>IF([2]Entry!$R$253="","",[2]Entry!$R$253)</f>
        <v/>
      </c>
    </row>
    <row r="251">
      <c r="A251">
        <f>IF([1]Accounts!$D$252="","",[1]Accounts!$A$252)</f>
        <v/>
      </c>
      <c r="B251">
        <f>IF([1]Accounts!$D$252="","",[1]Accounts!$B$252)</f>
        <v/>
      </c>
      <c r="C251">
        <f>IF([1]Accounts!$D$252="","",[1]Accounts!$C$252)</f>
        <v/>
      </c>
      <c r="D251">
        <f>IF([1]Accounts!$D$252="","",[1]Accounts!$D$252)</f>
        <v/>
      </c>
      <c r="E251">
        <f>IF([1]Accounts!$D$252="","",[1]Accounts!$J$252)</f>
        <v/>
      </c>
      <c r="F251">
        <f>IF([1]Accounts!$D$252="","",[1]Accounts!$K$252)</f>
        <v/>
      </c>
      <c r="J251">
        <f>IF([2]Entry!$C$254="","",[2]Entry!$C$254)</f>
        <v/>
      </c>
      <c r="K251">
        <f>IF([2]Entry!$D$254="","",[2]Entry!$D$254)</f>
        <v/>
      </c>
      <c r="L251">
        <f>IF([2]Entry!$E$254="","",[2]Entry!$E$254)</f>
        <v/>
      </c>
      <c r="M251">
        <f>IF([2]Entry!$G$254="","",[2]Entry!$G$254)</f>
        <v/>
      </c>
      <c r="N251">
        <f>IF([2]Entry!$M$254="","",[2]Entry!$M$254)</f>
        <v/>
      </c>
      <c r="O251">
        <f>IF([2]Entry!$N$254="","",[2]Entry!$N$254)</f>
        <v/>
      </c>
      <c r="P251">
        <f>IF([2]Entry!$R$254="","",[2]Entry!$R$254)</f>
        <v/>
      </c>
    </row>
    <row r="252">
      <c r="A252">
        <f>IF([1]Accounts!$D$253="","",[1]Accounts!$A$253)</f>
        <v/>
      </c>
      <c r="B252">
        <f>IF([1]Accounts!$D$253="","",[1]Accounts!$B$253)</f>
        <v/>
      </c>
      <c r="C252">
        <f>IF([1]Accounts!$D$253="","",[1]Accounts!$C$253)</f>
        <v/>
      </c>
      <c r="D252">
        <f>IF([1]Accounts!$D$253="","",[1]Accounts!$D$253)</f>
        <v/>
      </c>
      <c r="E252">
        <f>IF([1]Accounts!$D$253="","",[1]Accounts!$J$253)</f>
        <v/>
      </c>
      <c r="F252">
        <f>IF([1]Accounts!$D$253="","",[1]Accounts!$K$253)</f>
        <v/>
      </c>
      <c r="J252">
        <f>IF([2]Entry!$C$255="","",[2]Entry!$C$255)</f>
        <v/>
      </c>
      <c r="K252">
        <f>IF([2]Entry!$D$255="","",[2]Entry!$D$255)</f>
        <v/>
      </c>
      <c r="L252">
        <f>IF([2]Entry!$E$255="","",[2]Entry!$E$255)</f>
        <v/>
      </c>
      <c r="M252">
        <f>IF([2]Entry!$G$255="","",[2]Entry!$G$255)</f>
        <v/>
      </c>
      <c r="N252">
        <f>IF([2]Entry!$M$255="","",[2]Entry!$M$255)</f>
        <v/>
      </c>
      <c r="O252">
        <f>IF([2]Entry!$N$255="","",[2]Entry!$N$255)</f>
        <v/>
      </c>
      <c r="P252">
        <f>IF([2]Entry!$R$255="","",[2]Entry!$R$255)</f>
        <v/>
      </c>
    </row>
    <row r="253">
      <c r="A253">
        <f>IF([1]Accounts!$D$254="","",[1]Accounts!$A$254)</f>
        <v/>
      </c>
      <c r="B253">
        <f>IF([1]Accounts!$D$254="","",[1]Accounts!$B$254)</f>
        <v/>
      </c>
      <c r="C253">
        <f>IF([1]Accounts!$D$254="","",[1]Accounts!$C$254)</f>
        <v/>
      </c>
      <c r="D253">
        <f>IF([1]Accounts!$D$254="","",[1]Accounts!$D$254)</f>
        <v/>
      </c>
      <c r="E253">
        <f>IF([1]Accounts!$D$254="","",[1]Accounts!$J$254)</f>
        <v/>
      </c>
      <c r="F253">
        <f>IF([1]Accounts!$D$254="","",[1]Accounts!$K$254)</f>
        <v/>
      </c>
      <c r="J253">
        <f>IF([2]Entry!$C$256="","",[2]Entry!$C$256)</f>
        <v/>
      </c>
      <c r="K253">
        <f>IF([2]Entry!$D$256="","",[2]Entry!$D$256)</f>
        <v/>
      </c>
      <c r="L253">
        <f>IF([2]Entry!$E$256="","",[2]Entry!$E$256)</f>
        <v/>
      </c>
      <c r="M253">
        <f>IF([2]Entry!$G$256="","",[2]Entry!$G$256)</f>
        <v/>
      </c>
      <c r="N253">
        <f>IF([2]Entry!$M$256="","",[2]Entry!$M$256)</f>
        <v/>
      </c>
      <c r="O253">
        <f>IF([2]Entry!$N$256="","",[2]Entry!$N$256)</f>
        <v/>
      </c>
      <c r="P253">
        <f>IF([2]Entry!$R$256="","",[2]Entry!$R$256)</f>
        <v/>
      </c>
    </row>
    <row r="254">
      <c r="A254">
        <f>IF([1]Accounts!$D$255="","",[1]Accounts!$A$255)</f>
        <v/>
      </c>
      <c r="B254">
        <f>IF([1]Accounts!$D$255="","",[1]Accounts!$B$255)</f>
        <v/>
      </c>
      <c r="C254">
        <f>IF([1]Accounts!$D$255="","",[1]Accounts!$C$255)</f>
        <v/>
      </c>
      <c r="D254">
        <f>IF([1]Accounts!$D$255="","",[1]Accounts!$D$255)</f>
        <v/>
      </c>
      <c r="E254">
        <f>IF([1]Accounts!$D$255="","",[1]Accounts!$J$255)</f>
        <v/>
      </c>
      <c r="F254">
        <f>IF([1]Accounts!$D$255="","",[1]Accounts!$K$255)</f>
        <v/>
      </c>
      <c r="J254">
        <f>IF([2]Entry!$C$257="","",[2]Entry!$C$257)</f>
        <v/>
      </c>
      <c r="K254">
        <f>IF([2]Entry!$D$257="","",[2]Entry!$D$257)</f>
        <v/>
      </c>
      <c r="L254">
        <f>IF([2]Entry!$E$257="","",[2]Entry!$E$257)</f>
        <v/>
      </c>
      <c r="M254">
        <f>IF([2]Entry!$G$257="","",[2]Entry!$G$257)</f>
        <v/>
      </c>
      <c r="N254">
        <f>IF([2]Entry!$M$257="","",[2]Entry!$M$257)</f>
        <v/>
      </c>
      <c r="O254">
        <f>IF([2]Entry!$N$257="","",[2]Entry!$N$257)</f>
        <v/>
      </c>
      <c r="P254">
        <f>IF([2]Entry!$R$257="","",[2]Entry!$R$257)</f>
        <v/>
      </c>
    </row>
    <row r="255">
      <c r="A255">
        <f>IF([1]Accounts!$D$256="","",[1]Accounts!$A$256)</f>
        <v/>
      </c>
      <c r="B255">
        <f>IF([1]Accounts!$D$256="","",[1]Accounts!$B$256)</f>
        <v/>
      </c>
      <c r="C255">
        <f>IF([1]Accounts!$D$256="","",[1]Accounts!$C$256)</f>
        <v/>
      </c>
      <c r="D255">
        <f>IF([1]Accounts!$D$256="","",[1]Accounts!$D$256)</f>
        <v/>
      </c>
      <c r="E255">
        <f>IF([1]Accounts!$D$256="","",[1]Accounts!$J$256)</f>
        <v/>
      </c>
      <c r="F255">
        <f>IF([1]Accounts!$D$256="","",[1]Accounts!$K$256)</f>
        <v/>
      </c>
      <c r="J255">
        <f>IF([2]Entry!$C$258="","",[2]Entry!$C$258)</f>
        <v/>
      </c>
      <c r="K255">
        <f>IF([2]Entry!$D$258="","",[2]Entry!$D$258)</f>
        <v/>
      </c>
      <c r="L255">
        <f>IF([2]Entry!$E$258="","",[2]Entry!$E$258)</f>
        <v/>
      </c>
      <c r="M255">
        <f>IF([2]Entry!$G$258="","",[2]Entry!$G$258)</f>
        <v/>
      </c>
      <c r="N255">
        <f>IF([2]Entry!$M$258="","",[2]Entry!$M$258)</f>
        <v/>
      </c>
      <c r="O255">
        <f>IF([2]Entry!$N$258="","",[2]Entry!$N$258)</f>
        <v/>
      </c>
      <c r="P255">
        <f>IF([2]Entry!$R$258="","",[2]Entry!$R$258)</f>
        <v/>
      </c>
    </row>
    <row r="256">
      <c r="A256">
        <f>IF([1]Accounts!$D$257="","",[1]Accounts!$A$257)</f>
        <v/>
      </c>
      <c r="B256">
        <f>IF([1]Accounts!$D$257="","",[1]Accounts!$B$257)</f>
        <v/>
      </c>
      <c r="C256">
        <f>IF([1]Accounts!$D$257="","",[1]Accounts!$C$257)</f>
        <v/>
      </c>
      <c r="D256">
        <f>IF([1]Accounts!$D$257="","",[1]Accounts!$D$257)</f>
        <v/>
      </c>
      <c r="E256">
        <f>IF([1]Accounts!$D$257="","",[1]Accounts!$J$257)</f>
        <v/>
      </c>
      <c r="F256">
        <f>IF([1]Accounts!$D$257="","",[1]Accounts!$K$257)</f>
        <v/>
      </c>
      <c r="J256">
        <f>IF([2]Entry!$C$259="","",[2]Entry!$C$259)</f>
        <v/>
      </c>
      <c r="K256">
        <f>IF([2]Entry!$D$259="","",[2]Entry!$D$259)</f>
        <v/>
      </c>
      <c r="L256">
        <f>IF([2]Entry!$E$259="","",[2]Entry!$E$259)</f>
        <v/>
      </c>
      <c r="M256">
        <f>IF([2]Entry!$G$259="","",[2]Entry!$G$259)</f>
        <v/>
      </c>
      <c r="N256">
        <f>IF([2]Entry!$M$259="","",[2]Entry!$M$259)</f>
        <v/>
      </c>
      <c r="O256">
        <f>IF([2]Entry!$N$259="","",[2]Entry!$N$259)</f>
        <v/>
      </c>
      <c r="P256">
        <f>IF([2]Entry!$R$259="","",[2]Entry!$R$259)</f>
        <v/>
      </c>
    </row>
    <row r="257">
      <c r="A257">
        <f>IF([1]Accounts!$D$258="","",[1]Accounts!$A$258)</f>
        <v/>
      </c>
      <c r="B257">
        <f>IF([1]Accounts!$D$258="","",[1]Accounts!$B$258)</f>
        <v/>
      </c>
      <c r="C257">
        <f>IF([1]Accounts!$D$258="","",[1]Accounts!$C$258)</f>
        <v/>
      </c>
      <c r="D257">
        <f>IF([1]Accounts!$D$258="","",[1]Accounts!$D$258)</f>
        <v/>
      </c>
      <c r="E257">
        <f>IF([1]Accounts!$D$258="","",[1]Accounts!$J$258)</f>
        <v/>
      </c>
      <c r="F257">
        <f>IF([1]Accounts!$D$258="","",[1]Accounts!$K$258)</f>
        <v/>
      </c>
      <c r="J257">
        <f>IF([2]Entry!$C$260="","",[2]Entry!$C$260)</f>
        <v/>
      </c>
      <c r="K257">
        <f>IF([2]Entry!$D$260="","",[2]Entry!$D$260)</f>
        <v/>
      </c>
      <c r="L257">
        <f>IF([2]Entry!$E$260="","",[2]Entry!$E$260)</f>
        <v/>
      </c>
      <c r="M257">
        <f>IF([2]Entry!$G$260="","",[2]Entry!$G$260)</f>
        <v/>
      </c>
      <c r="N257">
        <f>IF([2]Entry!$M$260="","",[2]Entry!$M$260)</f>
        <v/>
      </c>
      <c r="O257">
        <f>IF([2]Entry!$N$260="","",[2]Entry!$N$260)</f>
        <v/>
      </c>
      <c r="P257">
        <f>IF([2]Entry!$R$260="","",[2]Entry!$R$260)</f>
        <v/>
      </c>
    </row>
    <row r="258">
      <c r="A258">
        <f>IF([1]Accounts!$D$259="","",[1]Accounts!$A$259)</f>
        <v/>
      </c>
      <c r="B258">
        <f>IF([1]Accounts!$D$259="","",[1]Accounts!$B$259)</f>
        <v/>
      </c>
      <c r="C258">
        <f>IF([1]Accounts!$D$259="","",[1]Accounts!$C$259)</f>
        <v/>
      </c>
      <c r="D258">
        <f>IF([1]Accounts!$D$259="","",[1]Accounts!$D$259)</f>
        <v/>
      </c>
      <c r="E258">
        <f>IF([1]Accounts!$D$259="","",[1]Accounts!$J$259)</f>
        <v/>
      </c>
      <c r="F258">
        <f>IF([1]Accounts!$D$259="","",[1]Accounts!$K$259)</f>
        <v/>
      </c>
      <c r="J258">
        <f>IF([2]Entry!$C$261="","",[2]Entry!$C$261)</f>
        <v/>
      </c>
      <c r="K258">
        <f>IF([2]Entry!$D$261="","",[2]Entry!$D$261)</f>
        <v/>
      </c>
      <c r="L258">
        <f>IF([2]Entry!$E$261="","",[2]Entry!$E$261)</f>
        <v/>
      </c>
      <c r="M258">
        <f>IF([2]Entry!$G$261="","",[2]Entry!$G$261)</f>
        <v/>
      </c>
      <c r="N258">
        <f>IF([2]Entry!$M$261="","",[2]Entry!$M$261)</f>
        <v/>
      </c>
      <c r="O258">
        <f>IF([2]Entry!$N$261="","",[2]Entry!$N$261)</f>
        <v/>
      </c>
      <c r="P258">
        <f>IF([2]Entry!$R$261="","",[2]Entry!$R$261)</f>
        <v/>
      </c>
    </row>
    <row r="259">
      <c r="A259">
        <f>IF([1]Accounts!$D$260="","",[1]Accounts!$A$260)</f>
        <v/>
      </c>
      <c r="B259">
        <f>IF([1]Accounts!$D$260="","",[1]Accounts!$B$260)</f>
        <v/>
      </c>
      <c r="C259">
        <f>IF([1]Accounts!$D$260="","",[1]Accounts!$C$260)</f>
        <v/>
      </c>
      <c r="D259">
        <f>IF([1]Accounts!$D$260="","",[1]Accounts!$D$260)</f>
        <v/>
      </c>
      <c r="E259">
        <f>IF([1]Accounts!$D$260="","",[1]Accounts!$J$260)</f>
        <v/>
      </c>
      <c r="F259">
        <f>IF([1]Accounts!$D$260="","",[1]Accounts!$K$260)</f>
        <v/>
      </c>
      <c r="J259">
        <f>IF([2]Entry!$C$262="","",[2]Entry!$C$262)</f>
        <v/>
      </c>
      <c r="K259">
        <f>IF([2]Entry!$D$262="","",[2]Entry!$D$262)</f>
        <v/>
      </c>
      <c r="L259">
        <f>IF([2]Entry!$E$262="","",[2]Entry!$E$262)</f>
        <v/>
      </c>
      <c r="M259">
        <f>IF([2]Entry!$G$262="","",[2]Entry!$G$262)</f>
        <v/>
      </c>
      <c r="N259">
        <f>IF([2]Entry!$M$262="","",[2]Entry!$M$262)</f>
        <v/>
      </c>
      <c r="O259">
        <f>IF([2]Entry!$N$262="","",[2]Entry!$N$262)</f>
        <v/>
      </c>
      <c r="P259">
        <f>IF([2]Entry!$R$262="","",[2]Entry!$R$262)</f>
        <v/>
      </c>
    </row>
    <row r="260">
      <c r="A260">
        <f>IF([1]Accounts!$D$261="","",[1]Accounts!$A$261)</f>
        <v/>
      </c>
      <c r="B260">
        <f>IF([1]Accounts!$D$261="","",[1]Accounts!$B$261)</f>
        <v/>
      </c>
      <c r="C260">
        <f>IF([1]Accounts!$D$261="","",[1]Accounts!$C$261)</f>
        <v/>
      </c>
      <c r="D260">
        <f>IF([1]Accounts!$D$261="","",[1]Accounts!$D$261)</f>
        <v/>
      </c>
      <c r="E260">
        <f>IF([1]Accounts!$D$261="","",[1]Accounts!$J$261)</f>
        <v/>
      </c>
      <c r="F260">
        <f>IF([1]Accounts!$D$261="","",[1]Accounts!$K$261)</f>
        <v/>
      </c>
      <c r="J260">
        <f>IF([2]Entry!$C$263="","",[2]Entry!$C$263)</f>
        <v/>
      </c>
      <c r="K260">
        <f>IF([2]Entry!$D$263="","",[2]Entry!$D$263)</f>
        <v/>
      </c>
      <c r="L260">
        <f>IF([2]Entry!$E$263="","",[2]Entry!$E$263)</f>
        <v/>
      </c>
      <c r="M260">
        <f>IF([2]Entry!$G$263="","",[2]Entry!$G$263)</f>
        <v/>
      </c>
      <c r="N260">
        <f>IF([2]Entry!$M$263="","",[2]Entry!$M$263)</f>
        <v/>
      </c>
      <c r="O260">
        <f>IF([2]Entry!$N$263="","",[2]Entry!$N$263)</f>
        <v/>
      </c>
      <c r="P260">
        <f>IF([2]Entry!$R$263="","",[2]Entry!$R$263)</f>
        <v/>
      </c>
    </row>
    <row r="261">
      <c r="A261">
        <f>IF([1]Accounts!$D$262="","",[1]Accounts!$A$262)</f>
        <v/>
      </c>
      <c r="B261">
        <f>IF([1]Accounts!$D$262="","",[1]Accounts!$B$262)</f>
        <v/>
      </c>
      <c r="C261">
        <f>IF([1]Accounts!$D$262="","",[1]Accounts!$C$262)</f>
        <v/>
      </c>
      <c r="D261">
        <f>IF([1]Accounts!$D$262="","",[1]Accounts!$D$262)</f>
        <v/>
      </c>
      <c r="E261">
        <f>IF([1]Accounts!$D$262="","",[1]Accounts!$J$262)</f>
        <v/>
      </c>
      <c r="F261">
        <f>IF([1]Accounts!$D$262="","",[1]Accounts!$K$262)</f>
        <v/>
      </c>
      <c r="J261">
        <f>IF([2]Entry!$C$264="","",[2]Entry!$C$264)</f>
        <v/>
      </c>
      <c r="K261">
        <f>IF([2]Entry!$D$264="","",[2]Entry!$D$264)</f>
        <v/>
      </c>
      <c r="L261">
        <f>IF([2]Entry!$E$264="","",[2]Entry!$E$264)</f>
        <v/>
      </c>
      <c r="M261">
        <f>IF([2]Entry!$G$264="","",[2]Entry!$G$264)</f>
        <v/>
      </c>
      <c r="N261">
        <f>IF([2]Entry!$M$264="","",[2]Entry!$M$264)</f>
        <v/>
      </c>
      <c r="O261">
        <f>IF([2]Entry!$N$264="","",[2]Entry!$N$264)</f>
        <v/>
      </c>
      <c r="P261">
        <f>IF([2]Entry!$R$264="","",[2]Entry!$R$264)</f>
        <v/>
      </c>
    </row>
    <row r="262">
      <c r="A262">
        <f>IF([1]Accounts!$D$263="","",[1]Accounts!$A$263)</f>
        <v/>
      </c>
      <c r="B262">
        <f>IF([1]Accounts!$D$263="","",[1]Accounts!$B$263)</f>
        <v/>
      </c>
      <c r="C262">
        <f>IF([1]Accounts!$D$263="","",[1]Accounts!$C$263)</f>
        <v/>
      </c>
      <c r="D262">
        <f>IF([1]Accounts!$D$263="","",[1]Accounts!$D$263)</f>
        <v/>
      </c>
      <c r="E262">
        <f>IF([1]Accounts!$D$263="","",[1]Accounts!$J$263)</f>
        <v/>
      </c>
      <c r="F262">
        <f>IF([1]Accounts!$D$263="","",[1]Accounts!$K$263)</f>
        <v/>
      </c>
      <c r="J262">
        <f>IF([2]Entry!$C$265="","",[2]Entry!$C$265)</f>
        <v/>
      </c>
      <c r="K262">
        <f>IF([2]Entry!$D$265="","",[2]Entry!$D$265)</f>
        <v/>
      </c>
      <c r="L262">
        <f>IF([2]Entry!$E$265="","",[2]Entry!$E$265)</f>
        <v/>
      </c>
      <c r="M262">
        <f>IF([2]Entry!$G$265="","",[2]Entry!$G$265)</f>
        <v/>
      </c>
      <c r="N262">
        <f>IF([2]Entry!$M$265="","",[2]Entry!$M$265)</f>
        <v/>
      </c>
      <c r="O262">
        <f>IF([2]Entry!$N$265="","",[2]Entry!$N$265)</f>
        <v/>
      </c>
      <c r="P262">
        <f>IF([2]Entry!$R$265="","",[2]Entry!$R$265)</f>
        <v/>
      </c>
    </row>
    <row r="263">
      <c r="A263">
        <f>IF([1]Accounts!$D$264="","",[1]Accounts!$A$264)</f>
        <v/>
      </c>
      <c r="B263">
        <f>IF([1]Accounts!$D$264="","",[1]Accounts!$B$264)</f>
        <v/>
      </c>
      <c r="C263">
        <f>IF([1]Accounts!$D$264="","",[1]Accounts!$C$264)</f>
        <v/>
      </c>
      <c r="D263">
        <f>IF([1]Accounts!$D$264="","",[1]Accounts!$D$264)</f>
        <v/>
      </c>
      <c r="E263">
        <f>IF([1]Accounts!$D$264="","",[1]Accounts!$J$264)</f>
        <v/>
      </c>
      <c r="F263">
        <f>IF([1]Accounts!$D$264="","",[1]Accounts!$K$264)</f>
        <v/>
      </c>
      <c r="J263">
        <f>IF([2]Entry!$C$266="","",[2]Entry!$C$266)</f>
        <v/>
      </c>
      <c r="K263">
        <f>IF([2]Entry!$D$266="","",[2]Entry!$D$266)</f>
        <v/>
      </c>
      <c r="L263">
        <f>IF([2]Entry!$E$266="","",[2]Entry!$E$266)</f>
        <v/>
      </c>
      <c r="M263">
        <f>IF([2]Entry!$G$266="","",[2]Entry!$G$266)</f>
        <v/>
      </c>
      <c r="N263">
        <f>IF([2]Entry!$M$266="","",[2]Entry!$M$266)</f>
        <v/>
      </c>
      <c r="O263">
        <f>IF([2]Entry!$N$266="","",[2]Entry!$N$266)</f>
        <v/>
      </c>
      <c r="P263">
        <f>IF([2]Entry!$R$266="","",[2]Entry!$R$266)</f>
        <v/>
      </c>
    </row>
    <row r="264">
      <c r="A264">
        <f>IF([1]Accounts!$D$265="","",[1]Accounts!$A$265)</f>
        <v/>
      </c>
      <c r="B264">
        <f>IF([1]Accounts!$D$265="","",[1]Accounts!$B$265)</f>
        <v/>
      </c>
      <c r="C264">
        <f>IF([1]Accounts!$D$265="","",[1]Accounts!$C$265)</f>
        <v/>
      </c>
      <c r="D264">
        <f>IF([1]Accounts!$D$265="","",[1]Accounts!$D$265)</f>
        <v/>
      </c>
      <c r="E264">
        <f>IF([1]Accounts!$D$265="","",[1]Accounts!$J$265)</f>
        <v/>
      </c>
      <c r="F264">
        <f>IF([1]Accounts!$D$265="","",[1]Accounts!$K$265)</f>
        <v/>
      </c>
      <c r="J264">
        <f>IF([2]Entry!$C$267="","",[2]Entry!$C$267)</f>
        <v/>
      </c>
      <c r="K264">
        <f>IF([2]Entry!$D$267="","",[2]Entry!$D$267)</f>
        <v/>
      </c>
      <c r="L264">
        <f>IF([2]Entry!$E$267="","",[2]Entry!$E$267)</f>
        <v/>
      </c>
      <c r="M264">
        <f>IF([2]Entry!$G$267="","",[2]Entry!$G$267)</f>
        <v/>
      </c>
      <c r="N264">
        <f>IF([2]Entry!$M$267="","",[2]Entry!$M$267)</f>
        <v/>
      </c>
      <c r="O264">
        <f>IF([2]Entry!$N$267="","",[2]Entry!$N$267)</f>
        <v/>
      </c>
      <c r="P264">
        <f>IF([2]Entry!$R$267="","",[2]Entry!$R$267)</f>
        <v/>
      </c>
    </row>
    <row r="265">
      <c r="A265">
        <f>IF([1]Accounts!$D$266="","",[1]Accounts!$A$266)</f>
        <v/>
      </c>
      <c r="B265">
        <f>IF([1]Accounts!$D$266="","",[1]Accounts!$B$266)</f>
        <v/>
      </c>
      <c r="C265">
        <f>IF([1]Accounts!$D$266="","",[1]Accounts!$C$266)</f>
        <v/>
      </c>
      <c r="D265">
        <f>IF([1]Accounts!$D$266="","",[1]Accounts!$D$266)</f>
        <v/>
      </c>
      <c r="E265">
        <f>IF([1]Accounts!$D$266="","",[1]Accounts!$J$266)</f>
        <v/>
      </c>
      <c r="F265">
        <f>IF([1]Accounts!$D$266="","",[1]Accounts!$K$266)</f>
        <v/>
      </c>
      <c r="J265">
        <f>IF([2]Entry!$C$268="","",[2]Entry!$C$268)</f>
        <v/>
      </c>
      <c r="K265">
        <f>IF([2]Entry!$D$268="","",[2]Entry!$D$268)</f>
        <v/>
      </c>
      <c r="L265">
        <f>IF([2]Entry!$E$268="","",[2]Entry!$E$268)</f>
        <v/>
      </c>
      <c r="M265">
        <f>IF([2]Entry!$G$268="","",[2]Entry!$G$268)</f>
        <v/>
      </c>
      <c r="N265">
        <f>IF([2]Entry!$M$268="","",[2]Entry!$M$268)</f>
        <v/>
      </c>
      <c r="O265">
        <f>IF([2]Entry!$N$268="","",[2]Entry!$N$268)</f>
        <v/>
      </c>
      <c r="P265">
        <f>IF([2]Entry!$R$268="","",[2]Entry!$R$268)</f>
        <v/>
      </c>
    </row>
    <row r="266">
      <c r="A266">
        <f>IF([1]Accounts!$D$267="","",[1]Accounts!$A$267)</f>
        <v/>
      </c>
      <c r="B266">
        <f>IF([1]Accounts!$D$267="","",[1]Accounts!$B$267)</f>
        <v/>
      </c>
      <c r="C266">
        <f>IF([1]Accounts!$D$267="","",[1]Accounts!$C$267)</f>
        <v/>
      </c>
      <c r="D266">
        <f>IF([1]Accounts!$D$267="","",[1]Accounts!$D$267)</f>
        <v/>
      </c>
      <c r="E266">
        <f>IF([1]Accounts!$D$267="","",[1]Accounts!$J$267)</f>
        <v/>
      </c>
      <c r="F266">
        <f>IF([1]Accounts!$D$267="","",[1]Accounts!$K$267)</f>
        <v/>
      </c>
      <c r="J266">
        <f>IF([2]Entry!$C$269="","",[2]Entry!$C$269)</f>
        <v/>
      </c>
      <c r="K266">
        <f>IF([2]Entry!$D$269="","",[2]Entry!$D$269)</f>
        <v/>
      </c>
      <c r="L266">
        <f>IF([2]Entry!$E$269="","",[2]Entry!$E$269)</f>
        <v/>
      </c>
      <c r="M266">
        <f>IF([2]Entry!$G$269="","",[2]Entry!$G$269)</f>
        <v/>
      </c>
      <c r="N266">
        <f>IF([2]Entry!$M$269="","",[2]Entry!$M$269)</f>
        <v/>
      </c>
      <c r="O266">
        <f>IF([2]Entry!$N$269="","",[2]Entry!$N$269)</f>
        <v/>
      </c>
      <c r="P266">
        <f>IF([2]Entry!$R$269="","",[2]Entry!$R$269)</f>
        <v/>
      </c>
    </row>
    <row r="267">
      <c r="A267">
        <f>IF([1]Accounts!$D$268="","",[1]Accounts!$A$268)</f>
        <v/>
      </c>
      <c r="B267">
        <f>IF([1]Accounts!$D$268="","",[1]Accounts!$B$268)</f>
        <v/>
      </c>
      <c r="C267">
        <f>IF([1]Accounts!$D$268="","",[1]Accounts!$C$268)</f>
        <v/>
      </c>
      <c r="D267">
        <f>IF([1]Accounts!$D$268="","",[1]Accounts!$D$268)</f>
        <v/>
      </c>
      <c r="E267">
        <f>IF([1]Accounts!$D$268="","",[1]Accounts!$J$268)</f>
        <v/>
      </c>
      <c r="F267">
        <f>IF([1]Accounts!$D$268="","",[1]Accounts!$K$268)</f>
        <v/>
      </c>
      <c r="J267">
        <f>IF([2]Entry!$C$270="","",[2]Entry!$C$270)</f>
        <v/>
      </c>
      <c r="K267">
        <f>IF([2]Entry!$D$270="","",[2]Entry!$D$270)</f>
        <v/>
      </c>
      <c r="L267">
        <f>IF([2]Entry!$E$270="","",[2]Entry!$E$270)</f>
        <v/>
      </c>
      <c r="M267">
        <f>IF([2]Entry!$G$270="","",[2]Entry!$G$270)</f>
        <v/>
      </c>
      <c r="N267">
        <f>IF([2]Entry!$M$270="","",[2]Entry!$M$270)</f>
        <v/>
      </c>
      <c r="O267">
        <f>IF([2]Entry!$N$270="","",[2]Entry!$N$270)</f>
        <v/>
      </c>
      <c r="P267">
        <f>IF([2]Entry!$R$270="","",[2]Entry!$R$270)</f>
        <v/>
      </c>
    </row>
    <row r="268">
      <c r="A268">
        <f>IF([1]Accounts!$D$269="","",[1]Accounts!$A$269)</f>
        <v/>
      </c>
      <c r="B268">
        <f>IF([1]Accounts!$D$269="","",[1]Accounts!$B$269)</f>
        <v/>
      </c>
      <c r="C268">
        <f>IF([1]Accounts!$D$269="","",[1]Accounts!$C$269)</f>
        <v/>
      </c>
      <c r="D268">
        <f>IF([1]Accounts!$D$269="","",[1]Accounts!$D$269)</f>
        <v/>
      </c>
      <c r="E268">
        <f>IF([1]Accounts!$D$269="","",[1]Accounts!$J$269)</f>
        <v/>
      </c>
      <c r="F268">
        <f>IF([1]Accounts!$D$269="","",[1]Accounts!$K$269)</f>
        <v/>
      </c>
      <c r="J268">
        <f>IF([2]Entry!$C$271="","",[2]Entry!$C$271)</f>
        <v/>
      </c>
      <c r="K268">
        <f>IF([2]Entry!$D$271="","",[2]Entry!$D$271)</f>
        <v/>
      </c>
      <c r="L268">
        <f>IF([2]Entry!$E$271="","",[2]Entry!$E$271)</f>
        <v/>
      </c>
      <c r="M268">
        <f>IF([2]Entry!$G$271="","",[2]Entry!$G$271)</f>
        <v/>
      </c>
      <c r="N268">
        <f>IF([2]Entry!$M$271="","",[2]Entry!$M$271)</f>
        <v/>
      </c>
      <c r="O268">
        <f>IF([2]Entry!$N$271="","",[2]Entry!$N$271)</f>
        <v/>
      </c>
      <c r="P268">
        <f>IF([2]Entry!$R$271="","",[2]Entry!$R$271)</f>
        <v/>
      </c>
    </row>
    <row r="269">
      <c r="A269">
        <f>IF([1]Accounts!$D$270="","",[1]Accounts!$A$270)</f>
        <v/>
      </c>
      <c r="B269">
        <f>IF([1]Accounts!$D$270="","",[1]Accounts!$B$270)</f>
        <v/>
      </c>
      <c r="C269">
        <f>IF([1]Accounts!$D$270="","",[1]Accounts!$C$270)</f>
        <v/>
      </c>
      <c r="D269">
        <f>IF([1]Accounts!$D$270="","",[1]Accounts!$D$270)</f>
        <v/>
      </c>
      <c r="E269">
        <f>IF([1]Accounts!$D$270="","",[1]Accounts!$J$270)</f>
        <v/>
      </c>
      <c r="F269">
        <f>IF([1]Accounts!$D$270="","",[1]Accounts!$K$270)</f>
        <v/>
      </c>
      <c r="J269">
        <f>IF([2]Entry!$C$272="","",[2]Entry!$C$272)</f>
        <v/>
      </c>
      <c r="K269">
        <f>IF([2]Entry!$D$272="","",[2]Entry!$D$272)</f>
        <v/>
      </c>
      <c r="L269">
        <f>IF([2]Entry!$E$272="","",[2]Entry!$E$272)</f>
        <v/>
      </c>
      <c r="M269">
        <f>IF([2]Entry!$G$272="","",[2]Entry!$G$272)</f>
        <v/>
      </c>
      <c r="N269">
        <f>IF([2]Entry!$M$272="","",[2]Entry!$M$272)</f>
        <v/>
      </c>
      <c r="O269">
        <f>IF([2]Entry!$N$272="","",[2]Entry!$N$272)</f>
        <v/>
      </c>
      <c r="P269">
        <f>IF([2]Entry!$R$272="","",[2]Entry!$R$272)</f>
        <v/>
      </c>
    </row>
    <row r="270">
      <c r="A270">
        <f>IF([1]Accounts!$D$271="","",[1]Accounts!$A$271)</f>
        <v/>
      </c>
      <c r="B270">
        <f>IF([1]Accounts!$D$271="","",[1]Accounts!$B$271)</f>
        <v/>
      </c>
      <c r="C270">
        <f>IF([1]Accounts!$D$271="","",[1]Accounts!$C$271)</f>
        <v/>
      </c>
      <c r="D270">
        <f>IF([1]Accounts!$D$271="","",[1]Accounts!$D$271)</f>
        <v/>
      </c>
      <c r="E270">
        <f>IF([1]Accounts!$D$271="","",[1]Accounts!$J$271)</f>
        <v/>
      </c>
      <c r="F270">
        <f>IF([1]Accounts!$D$271="","",[1]Accounts!$K$271)</f>
        <v/>
      </c>
      <c r="J270">
        <f>IF([2]Entry!$C$273="","",[2]Entry!$C$273)</f>
        <v/>
      </c>
      <c r="K270">
        <f>IF([2]Entry!$D$273="","",[2]Entry!$D$273)</f>
        <v/>
      </c>
      <c r="L270">
        <f>IF([2]Entry!$E$273="","",[2]Entry!$E$273)</f>
        <v/>
      </c>
      <c r="M270">
        <f>IF([2]Entry!$G$273="","",[2]Entry!$G$273)</f>
        <v/>
      </c>
      <c r="N270">
        <f>IF([2]Entry!$M$273="","",[2]Entry!$M$273)</f>
        <v/>
      </c>
      <c r="O270">
        <f>IF([2]Entry!$N$273="","",[2]Entry!$N$273)</f>
        <v/>
      </c>
      <c r="P270">
        <f>IF([2]Entry!$R$273="","",[2]Entry!$R$273)</f>
        <v/>
      </c>
    </row>
    <row r="271">
      <c r="A271">
        <f>IF([1]Accounts!$D$272="","",[1]Accounts!$A$272)</f>
        <v/>
      </c>
      <c r="B271">
        <f>IF([1]Accounts!$D$272="","",[1]Accounts!$B$272)</f>
        <v/>
      </c>
      <c r="C271">
        <f>IF([1]Accounts!$D$272="","",[1]Accounts!$C$272)</f>
        <v/>
      </c>
      <c r="D271">
        <f>IF([1]Accounts!$D$272="","",[1]Accounts!$D$272)</f>
        <v/>
      </c>
      <c r="E271">
        <f>IF([1]Accounts!$D$272="","",[1]Accounts!$J$272)</f>
        <v/>
      </c>
      <c r="F271">
        <f>IF([1]Accounts!$D$272="","",[1]Accounts!$K$272)</f>
        <v/>
      </c>
      <c r="J271">
        <f>IF([2]Entry!$C$274="","",[2]Entry!$C$274)</f>
        <v/>
      </c>
      <c r="K271">
        <f>IF([2]Entry!$D$274="","",[2]Entry!$D$274)</f>
        <v/>
      </c>
      <c r="L271">
        <f>IF([2]Entry!$E$274="","",[2]Entry!$E$274)</f>
        <v/>
      </c>
      <c r="M271">
        <f>IF([2]Entry!$G$274="","",[2]Entry!$G$274)</f>
        <v/>
      </c>
      <c r="N271">
        <f>IF([2]Entry!$M$274="","",[2]Entry!$M$274)</f>
        <v/>
      </c>
      <c r="O271">
        <f>IF([2]Entry!$N$274="","",[2]Entry!$N$274)</f>
        <v/>
      </c>
      <c r="P271">
        <f>IF([2]Entry!$R$274="","",[2]Entry!$R$274)</f>
        <v/>
      </c>
    </row>
    <row r="272">
      <c r="A272">
        <f>IF([1]Accounts!$D$273="","",[1]Accounts!$A$273)</f>
        <v/>
      </c>
      <c r="B272">
        <f>IF([1]Accounts!$D$273="","",[1]Accounts!$B$273)</f>
        <v/>
      </c>
      <c r="C272">
        <f>IF([1]Accounts!$D$273="","",[1]Accounts!$C$273)</f>
        <v/>
      </c>
      <c r="D272">
        <f>IF([1]Accounts!$D$273="","",[1]Accounts!$D$273)</f>
        <v/>
      </c>
      <c r="E272">
        <f>IF([1]Accounts!$D$273="","",[1]Accounts!$J$273)</f>
        <v/>
      </c>
      <c r="F272">
        <f>IF([1]Accounts!$D$273="","",[1]Accounts!$K$273)</f>
        <v/>
      </c>
      <c r="J272">
        <f>IF([2]Entry!$C$275="","",[2]Entry!$C$275)</f>
        <v/>
      </c>
      <c r="K272">
        <f>IF([2]Entry!$D$275="","",[2]Entry!$D$275)</f>
        <v/>
      </c>
      <c r="L272">
        <f>IF([2]Entry!$E$275="","",[2]Entry!$E$275)</f>
        <v/>
      </c>
      <c r="M272">
        <f>IF([2]Entry!$G$275="","",[2]Entry!$G$275)</f>
        <v/>
      </c>
      <c r="N272">
        <f>IF([2]Entry!$M$275="","",[2]Entry!$M$275)</f>
        <v/>
      </c>
      <c r="O272">
        <f>IF([2]Entry!$N$275="","",[2]Entry!$N$275)</f>
        <v/>
      </c>
      <c r="P272">
        <f>IF([2]Entry!$R$275="","",[2]Entry!$R$275)</f>
        <v/>
      </c>
    </row>
    <row r="273">
      <c r="A273">
        <f>IF([1]Accounts!$D$274="","",[1]Accounts!$A$274)</f>
        <v/>
      </c>
      <c r="B273">
        <f>IF([1]Accounts!$D$274="","",[1]Accounts!$B$274)</f>
        <v/>
      </c>
      <c r="C273">
        <f>IF([1]Accounts!$D$274="","",[1]Accounts!$C$274)</f>
        <v/>
      </c>
      <c r="D273">
        <f>IF([1]Accounts!$D$274="","",[1]Accounts!$D$274)</f>
        <v/>
      </c>
      <c r="E273">
        <f>IF([1]Accounts!$D$274="","",[1]Accounts!$J$274)</f>
        <v/>
      </c>
      <c r="F273">
        <f>IF([1]Accounts!$D$274="","",[1]Accounts!$K$274)</f>
        <v/>
      </c>
      <c r="J273">
        <f>IF([2]Entry!$C$276="","",[2]Entry!$C$276)</f>
        <v/>
      </c>
      <c r="K273">
        <f>IF([2]Entry!$D$276="","",[2]Entry!$D$276)</f>
        <v/>
      </c>
      <c r="L273">
        <f>IF([2]Entry!$E$276="","",[2]Entry!$E$276)</f>
        <v/>
      </c>
      <c r="M273">
        <f>IF([2]Entry!$G$276="","",[2]Entry!$G$276)</f>
        <v/>
      </c>
      <c r="N273">
        <f>IF([2]Entry!$M$276="","",[2]Entry!$M$276)</f>
        <v/>
      </c>
      <c r="O273">
        <f>IF([2]Entry!$N$276="","",[2]Entry!$N$276)</f>
        <v/>
      </c>
      <c r="P273">
        <f>IF([2]Entry!$R$276="","",[2]Entry!$R$276)</f>
        <v/>
      </c>
    </row>
    <row r="274">
      <c r="A274">
        <f>IF([1]Accounts!$D$275="","",[1]Accounts!$A$275)</f>
        <v/>
      </c>
      <c r="B274">
        <f>IF([1]Accounts!$D$275="","",[1]Accounts!$B$275)</f>
        <v/>
      </c>
      <c r="C274">
        <f>IF([1]Accounts!$D$275="","",[1]Accounts!$C$275)</f>
        <v/>
      </c>
      <c r="D274">
        <f>IF([1]Accounts!$D$275="","",[1]Accounts!$D$275)</f>
        <v/>
      </c>
      <c r="E274">
        <f>IF([1]Accounts!$D$275="","",[1]Accounts!$J$275)</f>
        <v/>
      </c>
      <c r="F274">
        <f>IF([1]Accounts!$D$275="","",[1]Accounts!$K$275)</f>
        <v/>
      </c>
      <c r="J274">
        <f>IF([2]Entry!$C$277="","",[2]Entry!$C$277)</f>
        <v/>
      </c>
      <c r="K274">
        <f>IF([2]Entry!$D$277="","",[2]Entry!$D$277)</f>
        <v/>
      </c>
      <c r="L274">
        <f>IF([2]Entry!$E$277="","",[2]Entry!$E$277)</f>
        <v/>
      </c>
      <c r="M274">
        <f>IF([2]Entry!$G$277="","",[2]Entry!$G$277)</f>
        <v/>
      </c>
      <c r="N274">
        <f>IF([2]Entry!$M$277="","",[2]Entry!$M$277)</f>
        <v/>
      </c>
      <c r="O274">
        <f>IF([2]Entry!$N$277="","",[2]Entry!$N$277)</f>
        <v/>
      </c>
      <c r="P274">
        <f>IF([2]Entry!$R$277="","",[2]Entry!$R$277)</f>
        <v/>
      </c>
    </row>
    <row r="275">
      <c r="A275">
        <f>IF([1]Accounts!$D$276="","",[1]Accounts!$A$276)</f>
        <v/>
      </c>
      <c r="B275">
        <f>IF([1]Accounts!$D$276="","",[1]Accounts!$B$276)</f>
        <v/>
      </c>
      <c r="C275">
        <f>IF([1]Accounts!$D$276="","",[1]Accounts!$C$276)</f>
        <v/>
      </c>
      <c r="D275">
        <f>IF([1]Accounts!$D$276="","",[1]Accounts!$D$276)</f>
        <v/>
      </c>
      <c r="E275">
        <f>IF([1]Accounts!$D$276="","",[1]Accounts!$J$276)</f>
        <v/>
      </c>
      <c r="F275">
        <f>IF([1]Accounts!$D$276="","",[1]Accounts!$K$276)</f>
        <v/>
      </c>
      <c r="J275">
        <f>IF([2]Entry!$C$278="","",[2]Entry!$C$278)</f>
        <v/>
      </c>
      <c r="K275">
        <f>IF([2]Entry!$D$278="","",[2]Entry!$D$278)</f>
        <v/>
      </c>
      <c r="L275">
        <f>IF([2]Entry!$E$278="","",[2]Entry!$E$278)</f>
        <v/>
      </c>
      <c r="M275">
        <f>IF([2]Entry!$G$278="","",[2]Entry!$G$278)</f>
        <v/>
      </c>
      <c r="N275">
        <f>IF([2]Entry!$M$278="","",[2]Entry!$M$278)</f>
        <v/>
      </c>
      <c r="O275">
        <f>IF([2]Entry!$N$278="","",[2]Entry!$N$278)</f>
        <v/>
      </c>
      <c r="P275">
        <f>IF([2]Entry!$R$278="","",[2]Entry!$R$278)</f>
        <v/>
      </c>
    </row>
    <row r="276">
      <c r="A276">
        <f>IF([1]Accounts!$D$277="","",[1]Accounts!$A$277)</f>
        <v/>
      </c>
      <c r="B276">
        <f>IF([1]Accounts!$D$277="","",[1]Accounts!$B$277)</f>
        <v/>
      </c>
      <c r="C276">
        <f>IF([1]Accounts!$D$277="","",[1]Accounts!$C$277)</f>
        <v/>
      </c>
      <c r="D276">
        <f>IF([1]Accounts!$D$277="","",[1]Accounts!$D$277)</f>
        <v/>
      </c>
      <c r="E276">
        <f>IF([1]Accounts!$D$277="","",[1]Accounts!$J$277)</f>
        <v/>
      </c>
      <c r="F276">
        <f>IF([1]Accounts!$D$277="","",[1]Accounts!$K$277)</f>
        <v/>
      </c>
      <c r="J276">
        <f>IF([2]Entry!$C$279="","",[2]Entry!$C$279)</f>
        <v/>
      </c>
      <c r="K276">
        <f>IF([2]Entry!$D$279="","",[2]Entry!$D$279)</f>
        <v/>
      </c>
      <c r="L276">
        <f>IF([2]Entry!$E$279="","",[2]Entry!$E$279)</f>
        <v/>
      </c>
      <c r="M276">
        <f>IF([2]Entry!$G$279="","",[2]Entry!$G$279)</f>
        <v/>
      </c>
      <c r="N276">
        <f>IF([2]Entry!$M$279="","",[2]Entry!$M$279)</f>
        <v/>
      </c>
      <c r="O276">
        <f>IF([2]Entry!$N$279="","",[2]Entry!$N$279)</f>
        <v/>
      </c>
      <c r="P276">
        <f>IF([2]Entry!$R$279="","",[2]Entry!$R$279)</f>
        <v/>
      </c>
    </row>
    <row r="277">
      <c r="A277">
        <f>IF([1]Accounts!$D$278="","",[1]Accounts!$A$278)</f>
        <v/>
      </c>
      <c r="B277">
        <f>IF([1]Accounts!$D$278="","",[1]Accounts!$B$278)</f>
        <v/>
      </c>
      <c r="C277">
        <f>IF([1]Accounts!$D$278="","",[1]Accounts!$C$278)</f>
        <v/>
      </c>
      <c r="D277">
        <f>IF([1]Accounts!$D$278="","",[1]Accounts!$D$278)</f>
        <v/>
      </c>
      <c r="E277">
        <f>IF([1]Accounts!$D$278="","",[1]Accounts!$J$278)</f>
        <v/>
      </c>
      <c r="F277">
        <f>IF([1]Accounts!$D$278="","",[1]Accounts!$K$278)</f>
        <v/>
      </c>
      <c r="J277">
        <f>IF([2]Entry!$C$280="","",[2]Entry!$C$280)</f>
        <v/>
      </c>
      <c r="K277">
        <f>IF([2]Entry!$D$280="","",[2]Entry!$D$280)</f>
        <v/>
      </c>
      <c r="L277">
        <f>IF([2]Entry!$E$280="","",[2]Entry!$E$280)</f>
        <v/>
      </c>
      <c r="M277">
        <f>IF([2]Entry!$G$280="","",[2]Entry!$G$280)</f>
        <v/>
      </c>
      <c r="N277">
        <f>IF([2]Entry!$M$280="","",[2]Entry!$M$280)</f>
        <v/>
      </c>
      <c r="O277">
        <f>IF([2]Entry!$N$280="","",[2]Entry!$N$280)</f>
        <v/>
      </c>
      <c r="P277">
        <f>IF([2]Entry!$R$280="","",[2]Entry!$R$280)</f>
        <v/>
      </c>
    </row>
    <row r="278">
      <c r="A278">
        <f>IF([1]Accounts!$D$279="","",[1]Accounts!$A$279)</f>
        <v/>
      </c>
      <c r="B278">
        <f>IF([1]Accounts!$D$279="","",[1]Accounts!$B$279)</f>
        <v/>
      </c>
      <c r="C278">
        <f>IF([1]Accounts!$D$279="","",[1]Accounts!$C$279)</f>
        <v/>
      </c>
      <c r="D278">
        <f>IF([1]Accounts!$D$279="","",[1]Accounts!$D$279)</f>
        <v/>
      </c>
      <c r="E278">
        <f>IF([1]Accounts!$D$279="","",[1]Accounts!$J$279)</f>
        <v/>
      </c>
      <c r="F278">
        <f>IF([1]Accounts!$D$279="","",[1]Accounts!$K$279)</f>
        <v/>
      </c>
      <c r="J278">
        <f>IF([2]Entry!$C$281="","",[2]Entry!$C$281)</f>
        <v/>
      </c>
      <c r="K278">
        <f>IF([2]Entry!$D$281="","",[2]Entry!$D$281)</f>
        <v/>
      </c>
      <c r="L278">
        <f>IF([2]Entry!$E$281="","",[2]Entry!$E$281)</f>
        <v/>
      </c>
      <c r="M278">
        <f>IF([2]Entry!$G$281="","",[2]Entry!$G$281)</f>
        <v/>
      </c>
      <c r="N278">
        <f>IF([2]Entry!$M$281="","",[2]Entry!$M$281)</f>
        <v/>
      </c>
      <c r="O278">
        <f>IF([2]Entry!$N$281="","",[2]Entry!$N$281)</f>
        <v/>
      </c>
      <c r="P278">
        <f>IF([2]Entry!$R$281="","",[2]Entry!$R$281)</f>
        <v/>
      </c>
    </row>
    <row r="279">
      <c r="A279">
        <f>IF([1]Accounts!$D$280="","",[1]Accounts!$A$280)</f>
        <v/>
      </c>
      <c r="B279">
        <f>IF([1]Accounts!$D$280="","",[1]Accounts!$B$280)</f>
        <v/>
      </c>
      <c r="C279">
        <f>IF([1]Accounts!$D$280="","",[1]Accounts!$C$280)</f>
        <v/>
      </c>
      <c r="D279">
        <f>IF([1]Accounts!$D$280="","",[1]Accounts!$D$280)</f>
        <v/>
      </c>
      <c r="E279">
        <f>IF([1]Accounts!$D$280="","",[1]Accounts!$J$280)</f>
        <v/>
      </c>
      <c r="F279">
        <f>IF([1]Accounts!$D$280="","",[1]Accounts!$K$280)</f>
        <v/>
      </c>
      <c r="J279">
        <f>IF([2]Entry!$C$282="","",[2]Entry!$C$282)</f>
        <v/>
      </c>
      <c r="K279">
        <f>IF([2]Entry!$D$282="","",[2]Entry!$D$282)</f>
        <v/>
      </c>
      <c r="L279">
        <f>IF([2]Entry!$E$282="","",[2]Entry!$E$282)</f>
        <v/>
      </c>
      <c r="M279">
        <f>IF([2]Entry!$G$282="","",[2]Entry!$G$282)</f>
        <v/>
      </c>
      <c r="N279">
        <f>IF([2]Entry!$M$282="","",[2]Entry!$M$282)</f>
        <v/>
      </c>
      <c r="O279">
        <f>IF([2]Entry!$N$282="","",[2]Entry!$N$282)</f>
        <v/>
      </c>
      <c r="P279">
        <f>IF([2]Entry!$R$282="","",[2]Entry!$R$282)</f>
        <v/>
      </c>
    </row>
    <row r="280">
      <c r="A280">
        <f>IF([1]Accounts!$D$281="","",[1]Accounts!$A$281)</f>
        <v/>
      </c>
      <c r="B280">
        <f>IF([1]Accounts!$D$281="","",[1]Accounts!$B$281)</f>
        <v/>
      </c>
      <c r="C280">
        <f>IF([1]Accounts!$D$281="","",[1]Accounts!$C$281)</f>
        <v/>
      </c>
      <c r="D280">
        <f>IF([1]Accounts!$D$281="","",[1]Accounts!$D$281)</f>
        <v/>
      </c>
      <c r="E280">
        <f>IF([1]Accounts!$D$281="","",[1]Accounts!$J$281)</f>
        <v/>
      </c>
      <c r="F280">
        <f>IF([1]Accounts!$D$281="","",[1]Accounts!$K$281)</f>
        <v/>
      </c>
      <c r="J280">
        <f>IF([2]Entry!$C$283="","",[2]Entry!$C$283)</f>
        <v/>
      </c>
      <c r="K280">
        <f>IF([2]Entry!$D$283="","",[2]Entry!$D$283)</f>
        <v/>
      </c>
      <c r="L280">
        <f>IF([2]Entry!$E$283="","",[2]Entry!$E$283)</f>
        <v/>
      </c>
      <c r="M280">
        <f>IF([2]Entry!$G$283="","",[2]Entry!$G$283)</f>
        <v/>
      </c>
      <c r="N280">
        <f>IF([2]Entry!$M$283="","",[2]Entry!$M$283)</f>
        <v/>
      </c>
      <c r="O280">
        <f>IF([2]Entry!$N$283="","",[2]Entry!$N$283)</f>
        <v/>
      </c>
      <c r="P280">
        <f>IF([2]Entry!$R$283="","",[2]Entry!$R$283)</f>
        <v/>
      </c>
    </row>
    <row r="281">
      <c r="A281">
        <f>IF([1]Accounts!$D$282="","",[1]Accounts!$A$282)</f>
        <v/>
      </c>
      <c r="B281">
        <f>IF([1]Accounts!$D$282="","",[1]Accounts!$B$282)</f>
        <v/>
      </c>
      <c r="C281">
        <f>IF([1]Accounts!$D$282="","",[1]Accounts!$C$282)</f>
        <v/>
      </c>
      <c r="D281">
        <f>IF([1]Accounts!$D$282="","",[1]Accounts!$D$282)</f>
        <v/>
      </c>
      <c r="E281">
        <f>IF([1]Accounts!$D$282="","",[1]Accounts!$J$282)</f>
        <v/>
      </c>
      <c r="F281">
        <f>IF([1]Accounts!$D$282="","",[1]Accounts!$K$282)</f>
        <v/>
      </c>
      <c r="J281">
        <f>IF([2]Entry!$C$284="","",[2]Entry!$C$284)</f>
        <v/>
      </c>
      <c r="K281">
        <f>IF([2]Entry!$D$284="","",[2]Entry!$D$284)</f>
        <v/>
      </c>
      <c r="L281">
        <f>IF([2]Entry!$E$284="","",[2]Entry!$E$284)</f>
        <v/>
      </c>
      <c r="M281">
        <f>IF([2]Entry!$G$284="","",[2]Entry!$G$284)</f>
        <v/>
      </c>
      <c r="N281">
        <f>IF([2]Entry!$M$284="","",[2]Entry!$M$284)</f>
        <v/>
      </c>
      <c r="O281">
        <f>IF([2]Entry!$N$284="","",[2]Entry!$N$284)</f>
        <v/>
      </c>
      <c r="P281">
        <f>IF([2]Entry!$R$284="","",[2]Entry!$R$284)</f>
        <v/>
      </c>
    </row>
    <row r="282">
      <c r="A282">
        <f>IF([1]Accounts!$D$283="","",[1]Accounts!$A$283)</f>
        <v/>
      </c>
      <c r="B282">
        <f>IF([1]Accounts!$D$283="","",[1]Accounts!$B$283)</f>
        <v/>
      </c>
      <c r="C282">
        <f>IF([1]Accounts!$D$283="","",[1]Accounts!$C$283)</f>
        <v/>
      </c>
      <c r="D282">
        <f>IF([1]Accounts!$D$283="","",[1]Accounts!$D$283)</f>
        <v/>
      </c>
      <c r="E282">
        <f>IF([1]Accounts!$D$283="","",[1]Accounts!$J$283)</f>
        <v/>
      </c>
      <c r="F282">
        <f>IF([1]Accounts!$D$283="","",[1]Accounts!$K$283)</f>
        <v/>
      </c>
      <c r="J282">
        <f>IF([2]Entry!$C$285="","",[2]Entry!$C$285)</f>
        <v/>
      </c>
      <c r="K282">
        <f>IF([2]Entry!$D$285="","",[2]Entry!$D$285)</f>
        <v/>
      </c>
      <c r="L282">
        <f>IF([2]Entry!$E$285="","",[2]Entry!$E$285)</f>
        <v/>
      </c>
      <c r="M282">
        <f>IF([2]Entry!$G$285="","",[2]Entry!$G$285)</f>
        <v/>
      </c>
      <c r="N282">
        <f>IF([2]Entry!$M$285="","",[2]Entry!$M$285)</f>
        <v/>
      </c>
      <c r="O282">
        <f>IF([2]Entry!$N$285="","",[2]Entry!$N$285)</f>
        <v/>
      </c>
      <c r="P282">
        <f>IF([2]Entry!$R$285="","",[2]Entry!$R$285)</f>
        <v/>
      </c>
    </row>
    <row r="283">
      <c r="A283">
        <f>IF([1]Accounts!$D$284="","",[1]Accounts!$A$284)</f>
        <v/>
      </c>
      <c r="B283">
        <f>IF([1]Accounts!$D$284="","",[1]Accounts!$B$284)</f>
        <v/>
      </c>
      <c r="C283">
        <f>IF([1]Accounts!$D$284="","",[1]Accounts!$C$284)</f>
        <v/>
      </c>
      <c r="D283">
        <f>IF([1]Accounts!$D$284="","",[1]Accounts!$D$284)</f>
        <v/>
      </c>
      <c r="E283">
        <f>IF([1]Accounts!$D$284="","",[1]Accounts!$J$284)</f>
        <v/>
      </c>
      <c r="F283">
        <f>IF([1]Accounts!$D$284="","",[1]Accounts!$K$284)</f>
        <v/>
      </c>
      <c r="J283">
        <f>IF([2]Entry!$C$286="","",[2]Entry!$C$286)</f>
        <v/>
      </c>
      <c r="K283">
        <f>IF([2]Entry!$D$286="","",[2]Entry!$D$286)</f>
        <v/>
      </c>
      <c r="L283">
        <f>IF([2]Entry!$E$286="","",[2]Entry!$E$286)</f>
        <v/>
      </c>
      <c r="M283">
        <f>IF([2]Entry!$G$286="","",[2]Entry!$G$286)</f>
        <v/>
      </c>
      <c r="N283">
        <f>IF([2]Entry!$M$286="","",[2]Entry!$M$286)</f>
        <v/>
      </c>
      <c r="O283">
        <f>IF([2]Entry!$N$286="","",[2]Entry!$N$286)</f>
        <v/>
      </c>
      <c r="P283">
        <f>IF([2]Entry!$R$286="","",[2]Entry!$R$286)</f>
        <v/>
      </c>
    </row>
    <row r="284">
      <c r="A284">
        <f>IF([1]Accounts!$D$285="","",[1]Accounts!$A$285)</f>
        <v/>
      </c>
      <c r="B284">
        <f>IF([1]Accounts!$D$285="","",[1]Accounts!$B$285)</f>
        <v/>
      </c>
      <c r="C284">
        <f>IF([1]Accounts!$D$285="","",[1]Accounts!$C$285)</f>
        <v/>
      </c>
      <c r="D284">
        <f>IF([1]Accounts!$D$285="","",[1]Accounts!$D$285)</f>
        <v/>
      </c>
      <c r="E284">
        <f>IF([1]Accounts!$D$285="","",[1]Accounts!$J$285)</f>
        <v/>
      </c>
      <c r="F284">
        <f>IF([1]Accounts!$D$285="","",[1]Accounts!$K$285)</f>
        <v/>
      </c>
      <c r="J284">
        <f>IF([2]Entry!$C$287="","",[2]Entry!$C$287)</f>
        <v/>
      </c>
      <c r="K284">
        <f>IF([2]Entry!$D$287="","",[2]Entry!$D$287)</f>
        <v/>
      </c>
      <c r="L284">
        <f>IF([2]Entry!$E$287="","",[2]Entry!$E$287)</f>
        <v/>
      </c>
      <c r="M284">
        <f>IF([2]Entry!$G$287="","",[2]Entry!$G$287)</f>
        <v/>
      </c>
      <c r="N284">
        <f>IF([2]Entry!$M$287="","",[2]Entry!$M$287)</f>
        <v/>
      </c>
      <c r="O284">
        <f>IF([2]Entry!$N$287="","",[2]Entry!$N$287)</f>
        <v/>
      </c>
      <c r="P284">
        <f>IF([2]Entry!$R$287="","",[2]Entry!$R$287)</f>
        <v/>
      </c>
    </row>
    <row r="285">
      <c r="A285">
        <f>IF([1]Accounts!$D$286="","",[1]Accounts!$A$286)</f>
        <v/>
      </c>
      <c r="B285">
        <f>IF([1]Accounts!$D$286="","",[1]Accounts!$B$286)</f>
        <v/>
      </c>
      <c r="C285">
        <f>IF([1]Accounts!$D$286="","",[1]Accounts!$C$286)</f>
        <v/>
      </c>
      <c r="D285">
        <f>IF([1]Accounts!$D$286="","",[1]Accounts!$D$286)</f>
        <v/>
      </c>
      <c r="E285">
        <f>IF([1]Accounts!$D$286="","",[1]Accounts!$J$286)</f>
        <v/>
      </c>
      <c r="F285">
        <f>IF([1]Accounts!$D$286="","",[1]Accounts!$K$286)</f>
        <v/>
      </c>
      <c r="J285">
        <f>IF([2]Entry!$C$288="","",[2]Entry!$C$288)</f>
        <v/>
      </c>
      <c r="K285">
        <f>IF([2]Entry!$D$288="","",[2]Entry!$D$288)</f>
        <v/>
      </c>
      <c r="L285">
        <f>IF([2]Entry!$E$288="","",[2]Entry!$E$288)</f>
        <v/>
      </c>
      <c r="M285">
        <f>IF([2]Entry!$G$288="","",[2]Entry!$G$288)</f>
        <v/>
      </c>
      <c r="N285">
        <f>IF([2]Entry!$M$288="","",[2]Entry!$M$288)</f>
        <v/>
      </c>
      <c r="O285">
        <f>IF([2]Entry!$N$288="","",[2]Entry!$N$288)</f>
        <v/>
      </c>
      <c r="P285">
        <f>IF([2]Entry!$R$288="","",[2]Entry!$R$288)</f>
        <v/>
      </c>
    </row>
    <row r="286">
      <c r="A286">
        <f>IF([1]Accounts!$D$287="","",[1]Accounts!$A$287)</f>
        <v/>
      </c>
      <c r="B286">
        <f>IF([1]Accounts!$D$287="","",[1]Accounts!$B$287)</f>
        <v/>
      </c>
      <c r="C286">
        <f>IF([1]Accounts!$D$287="","",[1]Accounts!$C$287)</f>
        <v/>
      </c>
      <c r="D286">
        <f>IF([1]Accounts!$D$287="","",[1]Accounts!$D$287)</f>
        <v/>
      </c>
      <c r="E286">
        <f>IF([1]Accounts!$D$287="","",[1]Accounts!$J$287)</f>
        <v/>
      </c>
      <c r="F286">
        <f>IF([1]Accounts!$D$287="","",[1]Accounts!$K$287)</f>
        <v/>
      </c>
      <c r="J286">
        <f>IF([2]Entry!$C$289="","",[2]Entry!$C$289)</f>
        <v/>
      </c>
      <c r="K286">
        <f>IF([2]Entry!$D$289="","",[2]Entry!$D$289)</f>
        <v/>
      </c>
      <c r="L286">
        <f>IF([2]Entry!$E$289="","",[2]Entry!$E$289)</f>
        <v/>
      </c>
      <c r="M286">
        <f>IF([2]Entry!$G$289="","",[2]Entry!$G$289)</f>
        <v/>
      </c>
      <c r="N286">
        <f>IF([2]Entry!$M$289="","",[2]Entry!$M$289)</f>
        <v/>
      </c>
      <c r="O286">
        <f>IF([2]Entry!$N$289="","",[2]Entry!$N$289)</f>
        <v/>
      </c>
      <c r="P286">
        <f>IF([2]Entry!$R$289="","",[2]Entry!$R$289)</f>
        <v/>
      </c>
    </row>
    <row r="287">
      <c r="A287">
        <f>IF([1]Accounts!$D$288="","",[1]Accounts!$A$288)</f>
        <v/>
      </c>
      <c r="B287">
        <f>IF([1]Accounts!$D$288="","",[1]Accounts!$B$288)</f>
        <v/>
      </c>
      <c r="C287">
        <f>IF([1]Accounts!$D$288="","",[1]Accounts!$C$288)</f>
        <v/>
      </c>
      <c r="D287">
        <f>IF([1]Accounts!$D$288="","",[1]Accounts!$D$288)</f>
        <v/>
      </c>
      <c r="E287">
        <f>IF([1]Accounts!$D$288="","",[1]Accounts!$J$288)</f>
        <v/>
      </c>
      <c r="F287">
        <f>IF([1]Accounts!$D$288="","",[1]Accounts!$K$288)</f>
        <v/>
      </c>
      <c r="J287">
        <f>IF([2]Entry!$C$290="","",[2]Entry!$C$290)</f>
        <v/>
      </c>
      <c r="K287">
        <f>IF([2]Entry!$D$290="","",[2]Entry!$D$290)</f>
        <v/>
      </c>
      <c r="L287">
        <f>IF([2]Entry!$E$290="","",[2]Entry!$E$290)</f>
        <v/>
      </c>
      <c r="M287">
        <f>IF([2]Entry!$G$290="","",[2]Entry!$G$290)</f>
        <v/>
      </c>
      <c r="N287">
        <f>IF([2]Entry!$M$290="","",[2]Entry!$M$290)</f>
        <v/>
      </c>
      <c r="O287">
        <f>IF([2]Entry!$N$290="","",[2]Entry!$N$290)</f>
        <v/>
      </c>
      <c r="P287">
        <f>IF([2]Entry!$R$290="","",[2]Entry!$R$290)</f>
        <v/>
      </c>
    </row>
    <row r="288">
      <c r="A288">
        <f>IF([1]Accounts!$D$289="","",[1]Accounts!$A$289)</f>
        <v/>
      </c>
      <c r="B288">
        <f>IF([1]Accounts!$D$289="","",[1]Accounts!$B$289)</f>
        <v/>
      </c>
      <c r="C288">
        <f>IF([1]Accounts!$D$289="","",[1]Accounts!$C$289)</f>
        <v/>
      </c>
      <c r="D288">
        <f>IF([1]Accounts!$D$289="","",[1]Accounts!$D$289)</f>
        <v/>
      </c>
      <c r="E288">
        <f>IF([1]Accounts!$D$289="","",[1]Accounts!$J$289)</f>
        <v/>
      </c>
      <c r="F288">
        <f>IF([1]Accounts!$D$289="","",[1]Accounts!$K$289)</f>
        <v/>
      </c>
      <c r="J288">
        <f>IF([2]Entry!$C$291="","",[2]Entry!$C$291)</f>
        <v/>
      </c>
      <c r="K288">
        <f>IF([2]Entry!$D$291="","",[2]Entry!$D$291)</f>
        <v/>
      </c>
      <c r="L288">
        <f>IF([2]Entry!$E$291="","",[2]Entry!$E$291)</f>
        <v/>
      </c>
      <c r="M288">
        <f>IF([2]Entry!$G$291="","",[2]Entry!$G$291)</f>
        <v/>
      </c>
      <c r="N288">
        <f>IF([2]Entry!$M$291="","",[2]Entry!$M$291)</f>
        <v/>
      </c>
      <c r="O288">
        <f>IF([2]Entry!$N$291="","",[2]Entry!$N$291)</f>
        <v/>
      </c>
      <c r="P288">
        <f>IF([2]Entry!$R$291="","",[2]Entry!$R$291)</f>
        <v/>
      </c>
    </row>
    <row r="289">
      <c r="A289">
        <f>IF([1]Accounts!$D$290="","",[1]Accounts!$A$290)</f>
        <v/>
      </c>
      <c r="B289">
        <f>IF([1]Accounts!$D$290="","",[1]Accounts!$B$290)</f>
        <v/>
      </c>
      <c r="C289">
        <f>IF([1]Accounts!$D$290="","",[1]Accounts!$C$290)</f>
        <v/>
      </c>
      <c r="D289">
        <f>IF([1]Accounts!$D$290="","",[1]Accounts!$D$290)</f>
        <v/>
      </c>
      <c r="E289">
        <f>IF([1]Accounts!$D$290="","",[1]Accounts!$J$290)</f>
        <v/>
      </c>
      <c r="F289">
        <f>IF([1]Accounts!$D$290="","",[1]Accounts!$K$290)</f>
        <v/>
      </c>
      <c r="J289">
        <f>IF([2]Entry!$C$292="","",[2]Entry!$C$292)</f>
        <v/>
      </c>
      <c r="K289">
        <f>IF([2]Entry!$D$292="","",[2]Entry!$D$292)</f>
        <v/>
      </c>
      <c r="L289">
        <f>IF([2]Entry!$E$292="","",[2]Entry!$E$292)</f>
        <v/>
      </c>
      <c r="M289">
        <f>IF([2]Entry!$G$292="","",[2]Entry!$G$292)</f>
        <v/>
      </c>
      <c r="N289">
        <f>IF([2]Entry!$M$292="","",[2]Entry!$M$292)</f>
        <v/>
      </c>
      <c r="O289">
        <f>IF([2]Entry!$N$292="","",[2]Entry!$N$292)</f>
        <v/>
      </c>
      <c r="P289">
        <f>IF([2]Entry!$R$292="","",[2]Entry!$R$292)</f>
        <v/>
      </c>
    </row>
    <row r="290">
      <c r="A290">
        <f>IF([1]Accounts!$D$291="","",[1]Accounts!$A$291)</f>
        <v/>
      </c>
      <c r="B290">
        <f>IF([1]Accounts!$D$291="","",[1]Accounts!$B$291)</f>
        <v/>
      </c>
      <c r="C290">
        <f>IF([1]Accounts!$D$291="","",[1]Accounts!$C$291)</f>
        <v/>
      </c>
      <c r="D290">
        <f>IF([1]Accounts!$D$291="","",[1]Accounts!$D$291)</f>
        <v/>
      </c>
      <c r="E290">
        <f>IF([1]Accounts!$D$291="","",[1]Accounts!$J$291)</f>
        <v/>
      </c>
      <c r="F290">
        <f>IF([1]Accounts!$D$291="","",[1]Accounts!$K$291)</f>
        <v/>
      </c>
      <c r="J290">
        <f>IF([2]Entry!$C$293="","",[2]Entry!$C$293)</f>
        <v/>
      </c>
      <c r="K290">
        <f>IF([2]Entry!$D$293="","",[2]Entry!$D$293)</f>
        <v/>
      </c>
      <c r="L290">
        <f>IF([2]Entry!$E$293="","",[2]Entry!$E$293)</f>
        <v/>
      </c>
      <c r="M290">
        <f>IF([2]Entry!$G$293="","",[2]Entry!$G$293)</f>
        <v/>
      </c>
      <c r="N290">
        <f>IF([2]Entry!$M$293="","",[2]Entry!$M$293)</f>
        <v/>
      </c>
      <c r="O290">
        <f>IF([2]Entry!$N$293="","",[2]Entry!$N$293)</f>
        <v/>
      </c>
      <c r="P290">
        <f>IF([2]Entry!$R$293="","",[2]Entry!$R$293)</f>
        <v/>
      </c>
    </row>
    <row r="291">
      <c r="A291">
        <f>IF([1]Accounts!$D$292="","",[1]Accounts!$A$292)</f>
        <v/>
      </c>
      <c r="B291">
        <f>IF([1]Accounts!$D$292="","",[1]Accounts!$B$292)</f>
        <v/>
      </c>
      <c r="C291">
        <f>IF([1]Accounts!$D$292="","",[1]Accounts!$C$292)</f>
        <v/>
      </c>
      <c r="D291">
        <f>IF([1]Accounts!$D$292="","",[1]Accounts!$D$292)</f>
        <v/>
      </c>
      <c r="E291">
        <f>IF([1]Accounts!$D$292="","",[1]Accounts!$J$292)</f>
        <v/>
      </c>
      <c r="F291">
        <f>IF([1]Accounts!$D$292="","",[1]Accounts!$K$292)</f>
        <v/>
      </c>
      <c r="J291">
        <f>IF([2]Entry!$C$294="","",[2]Entry!$C$294)</f>
        <v/>
      </c>
      <c r="K291">
        <f>IF([2]Entry!$D$294="","",[2]Entry!$D$294)</f>
        <v/>
      </c>
      <c r="L291">
        <f>IF([2]Entry!$E$294="","",[2]Entry!$E$294)</f>
        <v/>
      </c>
      <c r="M291">
        <f>IF([2]Entry!$G$294="","",[2]Entry!$G$294)</f>
        <v/>
      </c>
      <c r="N291">
        <f>IF([2]Entry!$M$294="","",[2]Entry!$M$294)</f>
        <v/>
      </c>
      <c r="O291">
        <f>IF([2]Entry!$N$294="","",[2]Entry!$N$294)</f>
        <v/>
      </c>
      <c r="P291">
        <f>IF([2]Entry!$R$294="","",[2]Entry!$R$294)</f>
        <v/>
      </c>
    </row>
    <row r="292">
      <c r="A292">
        <f>IF([1]Accounts!$D$293="","",[1]Accounts!$A$293)</f>
        <v/>
      </c>
      <c r="B292">
        <f>IF([1]Accounts!$D$293="","",[1]Accounts!$B$293)</f>
        <v/>
      </c>
      <c r="C292">
        <f>IF([1]Accounts!$D$293="","",[1]Accounts!$C$293)</f>
        <v/>
      </c>
      <c r="D292">
        <f>IF([1]Accounts!$D$293="","",[1]Accounts!$D$293)</f>
        <v/>
      </c>
      <c r="E292">
        <f>IF([1]Accounts!$D$293="","",[1]Accounts!$J$293)</f>
        <v/>
      </c>
      <c r="F292">
        <f>IF([1]Accounts!$D$293="","",[1]Accounts!$K$293)</f>
        <v/>
      </c>
      <c r="J292">
        <f>IF([2]Entry!$C$295="","",[2]Entry!$C$295)</f>
        <v/>
      </c>
      <c r="K292">
        <f>IF([2]Entry!$D$295="","",[2]Entry!$D$295)</f>
        <v/>
      </c>
      <c r="L292">
        <f>IF([2]Entry!$E$295="","",[2]Entry!$E$295)</f>
        <v/>
      </c>
      <c r="M292">
        <f>IF([2]Entry!$G$295="","",[2]Entry!$G$295)</f>
        <v/>
      </c>
      <c r="N292">
        <f>IF([2]Entry!$M$295="","",[2]Entry!$M$295)</f>
        <v/>
      </c>
      <c r="O292">
        <f>IF([2]Entry!$N$295="","",[2]Entry!$N$295)</f>
        <v/>
      </c>
      <c r="P292">
        <f>IF([2]Entry!$R$295="","",[2]Entry!$R$295)</f>
        <v/>
      </c>
    </row>
    <row r="293">
      <c r="A293">
        <f>IF([1]Accounts!$D$294="","",[1]Accounts!$A$294)</f>
        <v/>
      </c>
      <c r="B293">
        <f>IF([1]Accounts!$D$294="","",[1]Accounts!$B$294)</f>
        <v/>
      </c>
      <c r="C293">
        <f>IF([1]Accounts!$D$294="","",[1]Accounts!$C$294)</f>
        <v/>
      </c>
      <c r="D293">
        <f>IF([1]Accounts!$D$294="","",[1]Accounts!$D$294)</f>
        <v/>
      </c>
      <c r="E293">
        <f>IF([1]Accounts!$D$294="","",[1]Accounts!$J$294)</f>
        <v/>
      </c>
      <c r="F293">
        <f>IF([1]Accounts!$D$294="","",[1]Accounts!$K$294)</f>
        <v/>
      </c>
      <c r="J293">
        <f>IF([2]Entry!$C$296="","",[2]Entry!$C$296)</f>
        <v/>
      </c>
      <c r="K293">
        <f>IF([2]Entry!$D$296="","",[2]Entry!$D$296)</f>
        <v/>
      </c>
      <c r="L293">
        <f>IF([2]Entry!$E$296="","",[2]Entry!$E$296)</f>
        <v/>
      </c>
      <c r="M293">
        <f>IF([2]Entry!$G$296="","",[2]Entry!$G$296)</f>
        <v/>
      </c>
      <c r="N293">
        <f>IF([2]Entry!$M$296="","",[2]Entry!$M$296)</f>
        <v/>
      </c>
      <c r="O293">
        <f>IF([2]Entry!$N$296="","",[2]Entry!$N$296)</f>
        <v/>
      </c>
      <c r="P293">
        <f>IF([2]Entry!$R$296="","",[2]Entry!$R$296)</f>
        <v/>
      </c>
    </row>
    <row r="294">
      <c r="A294">
        <f>IF([1]Accounts!$D$295="","",[1]Accounts!$A$295)</f>
        <v/>
      </c>
      <c r="B294">
        <f>IF([1]Accounts!$D$295="","",[1]Accounts!$B$295)</f>
        <v/>
      </c>
      <c r="C294">
        <f>IF([1]Accounts!$D$295="","",[1]Accounts!$C$295)</f>
        <v/>
      </c>
      <c r="D294">
        <f>IF([1]Accounts!$D$295="","",[1]Accounts!$D$295)</f>
        <v/>
      </c>
      <c r="E294">
        <f>IF([1]Accounts!$D$295="","",[1]Accounts!$J$295)</f>
        <v/>
      </c>
      <c r="F294">
        <f>IF([1]Accounts!$D$295="","",[1]Accounts!$K$295)</f>
        <v/>
      </c>
      <c r="J294">
        <f>IF([2]Entry!$C$297="","",[2]Entry!$C$297)</f>
        <v/>
      </c>
      <c r="K294">
        <f>IF([2]Entry!$D$297="","",[2]Entry!$D$297)</f>
        <v/>
      </c>
      <c r="L294">
        <f>IF([2]Entry!$E$297="","",[2]Entry!$E$297)</f>
        <v/>
      </c>
      <c r="M294">
        <f>IF([2]Entry!$G$297="","",[2]Entry!$G$297)</f>
        <v/>
      </c>
      <c r="N294">
        <f>IF([2]Entry!$M$297="","",[2]Entry!$M$297)</f>
        <v/>
      </c>
      <c r="O294">
        <f>IF([2]Entry!$N$297="","",[2]Entry!$N$297)</f>
        <v/>
      </c>
      <c r="P294">
        <f>IF([2]Entry!$R$297="","",[2]Entry!$R$297)</f>
        <v/>
      </c>
    </row>
    <row r="295">
      <c r="A295">
        <f>IF([1]Accounts!$D$296="","",[1]Accounts!$A$296)</f>
        <v/>
      </c>
      <c r="B295">
        <f>IF([1]Accounts!$D$296="","",[1]Accounts!$B$296)</f>
        <v/>
      </c>
      <c r="C295">
        <f>IF([1]Accounts!$D$296="","",[1]Accounts!$C$296)</f>
        <v/>
      </c>
      <c r="D295">
        <f>IF([1]Accounts!$D$296="","",[1]Accounts!$D$296)</f>
        <v/>
      </c>
      <c r="E295">
        <f>IF([1]Accounts!$D$296="","",[1]Accounts!$J$296)</f>
        <v/>
      </c>
      <c r="F295">
        <f>IF([1]Accounts!$D$296="","",[1]Accounts!$K$296)</f>
        <v/>
      </c>
      <c r="J295">
        <f>IF([2]Entry!$C$298="","",[2]Entry!$C$298)</f>
        <v/>
      </c>
      <c r="K295">
        <f>IF([2]Entry!$D$298="","",[2]Entry!$D$298)</f>
        <v/>
      </c>
      <c r="L295">
        <f>IF([2]Entry!$E$298="","",[2]Entry!$E$298)</f>
        <v/>
      </c>
      <c r="M295">
        <f>IF([2]Entry!$G$298="","",[2]Entry!$G$298)</f>
        <v/>
      </c>
      <c r="N295">
        <f>IF([2]Entry!$M$298="","",[2]Entry!$M$298)</f>
        <v/>
      </c>
      <c r="O295">
        <f>IF([2]Entry!$N$298="","",[2]Entry!$N$298)</f>
        <v/>
      </c>
      <c r="P295">
        <f>IF([2]Entry!$R$298="","",[2]Entry!$R$298)</f>
        <v/>
      </c>
    </row>
    <row r="296">
      <c r="A296">
        <f>IF([1]Accounts!$D$297="","",[1]Accounts!$A$297)</f>
        <v/>
      </c>
      <c r="B296">
        <f>IF([1]Accounts!$D$297="","",[1]Accounts!$B$297)</f>
        <v/>
      </c>
      <c r="C296">
        <f>IF([1]Accounts!$D$297="","",[1]Accounts!$C$297)</f>
        <v/>
      </c>
      <c r="D296">
        <f>IF([1]Accounts!$D$297="","",[1]Accounts!$D$297)</f>
        <v/>
      </c>
      <c r="E296">
        <f>IF([1]Accounts!$D$297="","",[1]Accounts!$J$297)</f>
        <v/>
      </c>
      <c r="F296">
        <f>IF([1]Accounts!$D$297="","",[1]Accounts!$K$297)</f>
        <v/>
      </c>
      <c r="J296">
        <f>IF([2]Entry!$C$299="","",[2]Entry!$C$299)</f>
        <v/>
      </c>
      <c r="K296">
        <f>IF([2]Entry!$D$299="","",[2]Entry!$D$299)</f>
        <v/>
      </c>
      <c r="L296">
        <f>IF([2]Entry!$E$299="","",[2]Entry!$E$299)</f>
        <v/>
      </c>
      <c r="M296">
        <f>IF([2]Entry!$G$299="","",[2]Entry!$G$299)</f>
        <v/>
      </c>
      <c r="N296">
        <f>IF([2]Entry!$M$299="","",[2]Entry!$M$299)</f>
        <v/>
      </c>
      <c r="O296">
        <f>IF([2]Entry!$N$299="","",[2]Entry!$N$299)</f>
        <v/>
      </c>
      <c r="P296">
        <f>IF([2]Entry!$R$299="","",[2]Entry!$R$299)</f>
        <v/>
      </c>
    </row>
    <row r="297">
      <c r="A297">
        <f>IF([1]Accounts!$D$298="","",[1]Accounts!$A$298)</f>
        <v/>
      </c>
      <c r="B297">
        <f>IF([1]Accounts!$D$298="","",[1]Accounts!$B$298)</f>
        <v/>
      </c>
      <c r="C297">
        <f>IF([1]Accounts!$D$298="","",[1]Accounts!$C$298)</f>
        <v/>
      </c>
      <c r="D297">
        <f>IF([1]Accounts!$D$298="","",[1]Accounts!$D$298)</f>
        <v/>
      </c>
      <c r="E297">
        <f>IF([1]Accounts!$D$298="","",[1]Accounts!$J$298)</f>
        <v/>
      </c>
      <c r="F297">
        <f>IF([1]Accounts!$D$298="","",[1]Accounts!$K$298)</f>
        <v/>
      </c>
      <c r="J297">
        <f>IF([2]Entry!$C$300="","",[2]Entry!$C$300)</f>
        <v/>
      </c>
      <c r="K297">
        <f>IF([2]Entry!$D$300="","",[2]Entry!$D$300)</f>
        <v/>
      </c>
      <c r="L297">
        <f>IF([2]Entry!$E$300="","",[2]Entry!$E$300)</f>
        <v/>
      </c>
      <c r="M297">
        <f>IF([2]Entry!$G$300="","",[2]Entry!$G$300)</f>
        <v/>
      </c>
      <c r="N297">
        <f>IF([2]Entry!$M$300="","",[2]Entry!$M$300)</f>
        <v/>
      </c>
      <c r="O297">
        <f>IF([2]Entry!$N$300="","",[2]Entry!$N$300)</f>
        <v/>
      </c>
      <c r="P297">
        <f>IF([2]Entry!$R$300="","",[2]Entry!$R$300)</f>
        <v/>
      </c>
    </row>
    <row r="298">
      <c r="A298">
        <f>IF([1]Accounts!$D$299="","",[1]Accounts!$A$299)</f>
        <v/>
      </c>
      <c r="B298">
        <f>IF([1]Accounts!$D$299="","",[1]Accounts!$B$299)</f>
        <v/>
      </c>
      <c r="C298">
        <f>IF([1]Accounts!$D$299="","",[1]Accounts!$C$299)</f>
        <v/>
      </c>
      <c r="D298">
        <f>IF([1]Accounts!$D$299="","",[1]Accounts!$D$299)</f>
        <v/>
      </c>
      <c r="E298">
        <f>IF([1]Accounts!$D$299="","",[1]Accounts!$J$299)</f>
        <v/>
      </c>
      <c r="F298">
        <f>IF([1]Accounts!$D$299="","",[1]Accounts!$K$299)</f>
        <v/>
      </c>
      <c r="J298">
        <f>IF([2]Entry!$C$301="","",[2]Entry!$C$301)</f>
        <v/>
      </c>
      <c r="K298">
        <f>IF([2]Entry!$D$301="","",[2]Entry!$D$301)</f>
        <v/>
      </c>
      <c r="L298">
        <f>IF([2]Entry!$E$301="","",[2]Entry!$E$301)</f>
        <v/>
      </c>
      <c r="M298">
        <f>IF([2]Entry!$G$301="","",[2]Entry!$G$301)</f>
        <v/>
      </c>
      <c r="N298">
        <f>IF([2]Entry!$M$301="","",[2]Entry!$M$301)</f>
        <v/>
      </c>
      <c r="O298">
        <f>IF([2]Entry!$N$301="","",[2]Entry!$N$301)</f>
        <v/>
      </c>
      <c r="P298">
        <f>IF([2]Entry!$R$301="","",[2]Entry!$R$301)</f>
        <v/>
      </c>
    </row>
    <row r="299">
      <c r="A299">
        <f>IF([1]Accounts!$D$300="","",[1]Accounts!$A$300)</f>
        <v/>
      </c>
      <c r="B299">
        <f>IF([1]Accounts!$D$300="","",[1]Accounts!$B$300)</f>
        <v/>
      </c>
      <c r="C299">
        <f>IF([1]Accounts!$D$300="","",[1]Accounts!$C$300)</f>
        <v/>
      </c>
      <c r="D299">
        <f>IF([1]Accounts!$D$300="","",[1]Accounts!$D$300)</f>
        <v/>
      </c>
      <c r="E299">
        <f>IF([1]Accounts!$D$300="","",[1]Accounts!$J$300)</f>
        <v/>
      </c>
      <c r="F299">
        <f>IF([1]Accounts!$D$300="","",[1]Accounts!$K$300)</f>
        <v/>
      </c>
      <c r="J299">
        <f>IF([2]Entry!$C$302="","",[2]Entry!$C$302)</f>
        <v/>
      </c>
      <c r="K299">
        <f>IF([2]Entry!$D$302="","",[2]Entry!$D$302)</f>
        <v/>
      </c>
      <c r="L299">
        <f>IF([2]Entry!$E$302="","",[2]Entry!$E$302)</f>
        <v/>
      </c>
      <c r="M299">
        <f>IF([2]Entry!$G$302="","",[2]Entry!$G$302)</f>
        <v/>
      </c>
      <c r="N299">
        <f>IF([2]Entry!$M$302="","",[2]Entry!$M$302)</f>
        <v/>
      </c>
      <c r="O299">
        <f>IF([2]Entry!$N$302="","",[2]Entry!$N$302)</f>
        <v/>
      </c>
      <c r="P299">
        <f>IF([2]Entry!$R$302="","",[2]Entry!$R$302)</f>
        <v/>
      </c>
    </row>
    <row r="300">
      <c r="A300">
        <f>IF([1]Accounts!$D$301="","",[1]Accounts!$A$301)</f>
        <v/>
      </c>
      <c r="B300">
        <f>IF([1]Accounts!$D$301="","",[1]Accounts!$B$301)</f>
        <v/>
      </c>
      <c r="C300">
        <f>IF([1]Accounts!$D$301="","",[1]Accounts!$C$301)</f>
        <v/>
      </c>
      <c r="D300">
        <f>IF([1]Accounts!$D$301="","",[1]Accounts!$D$301)</f>
        <v/>
      </c>
      <c r="E300">
        <f>IF([1]Accounts!$D$301="","",[1]Accounts!$J$301)</f>
        <v/>
      </c>
      <c r="F300">
        <f>IF([1]Accounts!$D$301="","",[1]Accounts!$K$301)</f>
        <v/>
      </c>
      <c r="J300">
        <f>IF([2]Entry!$C$303="","",[2]Entry!$C$303)</f>
        <v/>
      </c>
      <c r="K300">
        <f>IF([2]Entry!$D$303="","",[2]Entry!$D$303)</f>
        <v/>
      </c>
      <c r="L300">
        <f>IF([2]Entry!$E$303="","",[2]Entry!$E$303)</f>
        <v/>
      </c>
      <c r="M300">
        <f>IF([2]Entry!$G$303="","",[2]Entry!$G$303)</f>
        <v/>
      </c>
      <c r="N300">
        <f>IF([2]Entry!$M$303="","",[2]Entry!$M$303)</f>
        <v/>
      </c>
      <c r="O300">
        <f>IF([2]Entry!$N$303="","",[2]Entry!$N$303)</f>
        <v/>
      </c>
      <c r="P300">
        <f>IF([2]Entry!$R$303="","",[2]Entry!$R$303)</f>
        <v/>
      </c>
    </row>
    <row r="301">
      <c r="A301">
        <f>IF([1]Accounts!$D$302="","",[1]Accounts!$A$302)</f>
        <v/>
      </c>
      <c r="B301">
        <f>IF([1]Accounts!$D$302="","",[1]Accounts!$B$302)</f>
        <v/>
      </c>
      <c r="C301">
        <f>IF([1]Accounts!$D$302="","",[1]Accounts!$C$302)</f>
        <v/>
      </c>
      <c r="D301">
        <f>IF([1]Accounts!$D$302="","",[1]Accounts!$D$302)</f>
        <v/>
      </c>
      <c r="E301">
        <f>IF([1]Accounts!$D$302="","",[1]Accounts!$J$302)</f>
        <v/>
      </c>
      <c r="F301">
        <f>IF([1]Accounts!$D$302="","",[1]Accounts!$K$302)</f>
        <v/>
      </c>
      <c r="J301">
        <f>IF([2]Entry!$C$304="","",[2]Entry!$C$304)</f>
        <v/>
      </c>
      <c r="K301">
        <f>IF([2]Entry!$D$304="","",[2]Entry!$D$304)</f>
        <v/>
      </c>
      <c r="L301">
        <f>IF([2]Entry!$E$304="","",[2]Entry!$E$304)</f>
        <v/>
      </c>
      <c r="M301">
        <f>IF([2]Entry!$G$304="","",[2]Entry!$G$304)</f>
        <v/>
      </c>
      <c r="N301">
        <f>IF([2]Entry!$M$304="","",[2]Entry!$M$304)</f>
        <v/>
      </c>
      <c r="O301">
        <f>IF([2]Entry!$N$304="","",[2]Entry!$N$304)</f>
        <v/>
      </c>
      <c r="P301">
        <f>IF([2]Entry!$R$304="","",[2]Entry!$R$304)</f>
        <v/>
      </c>
    </row>
    <row r="302">
      <c r="A302">
        <f>IF([1]Accounts!$D$303="","",[1]Accounts!$A$303)</f>
        <v/>
      </c>
      <c r="B302">
        <f>IF([1]Accounts!$D$303="","",[1]Accounts!$B$303)</f>
        <v/>
      </c>
      <c r="C302">
        <f>IF([1]Accounts!$D$303="","",[1]Accounts!$C$303)</f>
        <v/>
      </c>
      <c r="D302">
        <f>IF([1]Accounts!$D$303="","",[1]Accounts!$D$303)</f>
        <v/>
      </c>
      <c r="E302">
        <f>IF([1]Accounts!$D$303="","",[1]Accounts!$J$303)</f>
        <v/>
      </c>
      <c r="F302">
        <f>IF([1]Accounts!$D$303="","",[1]Accounts!$K$303)</f>
        <v/>
      </c>
      <c r="J302">
        <f>IF([2]Entry!$C$305="","",[2]Entry!$C$305)</f>
        <v/>
      </c>
      <c r="K302">
        <f>IF([2]Entry!$D$305="","",[2]Entry!$D$305)</f>
        <v/>
      </c>
      <c r="L302">
        <f>IF([2]Entry!$E$305="","",[2]Entry!$E$305)</f>
        <v/>
      </c>
      <c r="M302">
        <f>IF([2]Entry!$G$305="","",[2]Entry!$G$305)</f>
        <v/>
      </c>
      <c r="N302">
        <f>IF([2]Entry!$M$305="","",[2]Entry!$M$305)</f>
        <v/>
      </c>
      <c r="O302">
        <f>IF([2]Entry!$N$305="","",[2]Entry!$N$305)</f>
        <v/>
      </c>
      <c r="P302">
        <f>IF([2]Entry!$R$305="","",[2]Entry!$R$305)</f>
        <v/>
      </c>
    </row>
    <row r="303">
      <c r="A303">
        <f>IF([1]Accounts!$D$304="","",[1]Accounts!$A$304)</f>
        <v/>
      </c>
      <c r="B303">
        <f>IF([1]Accounts!$D$304="","",[1]Accounts!$B$304)</f>
        <v/>
      </c>
      <c r="C303">
        <f>IF([1]Accounts!$D$304="","",[1]Accounts!$C$304)</f>
        <v/>
      </c>
      <c r="D303">
        <f>IF([1]Accounts!$D$304="","",[1]Accounts!$D$304)</f>
        <v/>
      </c>
      <c r="E303">
        <f>IF([1]Accounts!$D$304="","",[1]Accounts!$J$304)</f>
        <v/>
      </c>
      <c r="F303">
        <f>IF([1]Accounts!$D$304="","",[1]Accounts!$K$304)</f>
        <v/>
      </c>
      <c r="J303">
        <f>IF([2]Entry!$C$306="","",[2]Entry!$C$306)</f>
        <v/>
      </c>
      <c r="K303">
        <f>IF([2]Entry!$D$306="","",[2]Entry!$D$306)</f>
        <v/>
      </c>
      <c r="L303">
        <f>IF([2]Entry!$E$306="","",[2]Entry!$E$306)</f>
        <v/>
      </c>
      <c r="M303">
        <f>IF([2]Entry!$G$306="","",[2]Entry!$G$306)</f>
        <v/>
      </c>
      <c r="N303">
        <f>IF([2]Entry!$M$306="","",[2]Entry!$M$306)</f>
        <v/>
      </c>
      <c r="O303">
        <f>IF([2]Entry!$N$306="","",[2]Entry!$N$306)</f>
        <v/>
      </c>
      <c r="P303">
        <f>IF([2]Entry!$R$306="","",[2]Entry!$R$306)</f>
        <v/>
      </c>
    </row>
    <row r="304">
      <c r="A304">
        <f>IF([1]Accounts!$D$305="","",[1]Accounts!$A$305)</f>
        <v/>
      </c>
      <c r="B304">
        <f>IF([1]Accounts!$D$305="","",[1]Accounts!$B$305)</f>
        <v/>
      </c>
      <c r="C304">
        <f>IF([1]Accounts!$D$305="","",[1]Accounts!$C$305)</f>
        <v/>
      </c>
      <c r="D304">
        <f>IF([1]Accounts!$D$305="","",[1]Accounts!$D$305)</f>
        <v/>
      </c>
      <c r="E304">
        <f>IF([1]Accounts!$D$305="","",[1]Accounts!$J$305)</f>
        <v/>
      </c>
      <c r="F304">
        <f>IF([1]Accounts!$D$305="","",[1]Accounts!$K$305)</f>
        <v/>
      </c>
      <c r="J304">
        <f>IF([2]Entry!$C$307="","",[2]Entry!$C$307)</f>
        <v/>
      </c>
      <c r="K304">
        <f>IF([2]Entry!$D$307="","",[2]Entry!$D$307)</f>
        <v/>
      </c>
      <c r="L304">
        <f>IF([2]Entry!$E$307="","",[2]Entry!$E$307)</f>
        <v/>
      </c>
      <c r="M304">
        <f>IF([2]Entry!$G$307="","",[2]Entry!$G$307)</f>
        <v/>
      </c>
      <c r="N304">
        <f>IF([2]Entry!$M$307="","",[2]Entry!$M$307)</f>
        <v/>
      </c>
      <c r="O304">
        <f>IF([2]Entry!$N$307="","",[2]Entry!$N$307)</f>
        <v/>
      </c>
      <c r="P304">
        <f>IF([2]Entry!$R$307="","",[2]Entry!$R$307)</f>
        <v/>
      </c>
    </row>
    <row r="305">
      <c r="A305">
        <f>IF([1]Accounts!$D$306="","",[1]Accounts!$A$306)</f>
        <v/>
      </c>
      <c r="B305">
        <f>IF([1]Accounts!$D$306="","",[1]Accounts!$B$306)</f>
        <v/>
      </c>
      <c r="C305">
        <f>IF([1]Accounts!$D$306="","",[1]Accounts!$C$306)</f>
        <v/>
      </c>
      <c r="D305">
        <f>IF([1]Accounts!$D$306="","",[1]Accounts!$D$306)</f>
        <v/>
      </c>
      <c r="E305">
        <f>IF([1]Accounts!$D$306="","",[1]Accounts!$J$306)</f>
        <v/>
      </c>
      <c r="F305">
        <f>IF([1]Accounts!$D$306="","",[1]Accounts!$K$306)</f>
        <v/>
      </c>
      <c r="J305">
        <f>IF([2]Entry!$C$308="","",[2]Entry!$C$308)</f>
        <v/>
      </c>
      <c r="K305">
        <f>IF([2]Entry!$D$308="","",[2]Entry!$D$308)</f>
        <v/>
      </c>
      <c r="L305">
        <f>IF([2]Entry!$E$308="","",[2]Entry!$E$308)</f>
        <v/>
      </c>
      <c r="M305">
        <f>IF([2]Entry!$G$308="","",[2]Entry!$G$308)</f>
        <v/>
      </c>
      <c r="N305">
        <f>IF([2]Entry!$M$308="","",[2]Entry!$M$308)</f>
        <v/>
      </c>
      <c r="O305">
        <f>IF([2]Entry!$N$308="","",[2]Entry!$N$308)</f>
        <v/>
      </c>
      <c r="P305">
        <f>IF([2]Entry!$R$308="","",[2]Entry!$R$308)</f>
        <v/>
      </c>
    </row>
    <row r="306">
      <c r="A306">
        <f>IF([1]Accounts!$D$307="","",[1]Accounts!$A$307)</f>
        <v/>
      </c>
      <c r="B306">
        <f>IF([1]Accounts!$D$307="","",[1]Accounts!$B$307)</f>
        <v/>
      </c>
      <c r="C306">
        <f>IF([1]Accounts!$D$307="","",[1]Accounts!$C$307)</f>
        <v/>
      </c>
      <c r="D306">
        <f>IF([1]Accounts!$D$307="","",[1]Accounts!$D$307)</f>
        <v/>
      </c>
      <c r="E306">
        <f>IF([1]Accounts!$D$307="","",[1]Accounts!$J$307)</f>
        <v/>
      </c>
      <c r="F306">
        <f>IF([1]Accounts!$D$307="","",[1]Accounts!$K$307)</f>
        <v/>
      </c>
      <c r="J306">
        <f>IF([2]Entry!$C$309="","",[2]Entry!$C$309)</f>
        <v/>
      </c>
      <c r="K306">
        <f>IF([2]Entry!$D$309="","",[2]Entry!$D$309)</f>
        <v/>
      </c>
      <c r="L306">
        <f>IF([2]Entry!$E$309="","",[2]Entry!$E$309)</f>
        <v/>
      </c>
      <c r="M306">
        <f>IF([2]Entry!$G$309="","",[2]Entry!$G$309)</f>
        <v/>
      </c>
      <c r="N306">
        <f>IF([2]Entry!$M$309="","",[2]Entry!$M$309)</f>
        <v/>
      </c>
      <c r="O306">
        <f>IF([2]Entry!$N$309="","",[2]Entry!$N$309)</f>
        <v/>
      </c>
      <c r="P306">
        <f>IF([2]Entry!$R$309="","",[2]Entry!$R$309)</f>
        <v/>
      </c>
    </row>
    <row r="307">
      <c r="A307">
        <f>IF([1]Accounts!$D$308="","",[1]Accounts!$A$308)</f>
        <v/>
      </c>
      <c r="B307">
        <f>IF([1]Accounts!$D$308="","",[1]Accounts!$B$308)</f>
        <v/>
      </c>
      <c r="C307">
        <f>IF([1]Accounts!$D$308="","",[1]Accounts!$C$308)</f>
        <v/>
      </c>
      <c r="D307">
        <f>IF([1]Accounts!$D$308="","",[1]Accounts!$D$308)</f>
        <v/>
      </c>
      <c r="E307">
        <f>IF([1]Accounts!$D$308="","",[1]Accounts!$J$308)</f>
        <v/>
      </c>
      <c r="F307">
        <f>IF([1]Accounts!$D$308="","",[1]Accounts!$K$308)</f>
        <v/>
      </c>
      <c r="J307">
        <f>IF([2]Entry!$C$310="","",[2]Entry!$C$310)</f>
        <v/>
      </c>
      <c r="K307">
        <f>IF([2]Entry!$D$310="","",[2]Entry!$D$310)</f>
        <v/>
      </c>
      <c r="L307">
        <f>IF([2]Entry!$E$310="","",[2]Entry!$E$310)</f>
        <v/>
      </c>
      <c r="M307">
        <f>IF([2]Entry!$G$310="","",[2]Entry!$G$310)</f>
        <v/>
      </c>
      <c r="N307">
        <f>IF([2]Entry!$M$310="","",[2]Entry!$M$310)</f>
        <v/>
      </c>
      <c r="O307">
        <f>IF([2]Entry!$N$310="","",[2]Entry!$N$310)</f>
        <v/>
      </c>
      <c r="P307">
        <f>IF([2]Entry!$R$310="","",[2]Entry!$R$310)</f>
        <v/>
      </c>
    </row>
    <row r="308">
      <c r="A308">
        <f>IF([1]Accounts!$D$309="","",[1]Accounts!$A$309)</f>
        <v/>
      </c>
      <c r="B308">
        <f>IF([1]Accounts!$D$309="","",[1]Accounts!$B$309)</f>
        <v/>
      </c>
      <c r="C308">
        <f>IF([1]Accounts!$D$309="","",[1]Accounts!$C$309)</f>
        <v/>
      </c>
      <c r="D308">
        <f>IF([1]Accounts!$D$309="","",[1]Accounts!$D$309)</f>
        <v/>
      </c>
      <c r="E308">
        <f>IF([1]Accounts!$D$309="","",[1]Accounts!$J$309)</f>
        <v/>
      </c>
      <c r="F308">
        <f>IF([1]Accounts!$D$309="","",[1]Accounts!$K$309)</f>
        <v/>
      </c>
      <c r="J308">
        <f>IF([2]Entry!$C$311="","",[2]Entry!$C$311)</f>
        <v/>
      </c>
      <c r="K308">
        <f>IF([2]Entry!$D$311="","",[2]Entry!$D$311)</f>
        <v/>
      </c>
      <c r="L308">
        <f>IF([2]Entry!$E$311="","",[2]Entry!$E$311)</f>
        <v/>
      </c>
      <c r="M308">
        <f>IF([2]Entry!$G$311="","",[2]Entry!$G$311)</f>
        <v/>
      </c>
      <c r="N308">
        <f>IF([2]Entry!$M$311="","",[2]Entry!$M$311)</f>
        <v/>
      </c>
      <c r="O308">
        <f>IF([2]Entry!$N$311="","",[2]Entry!$N$311)</f>
        <v/>
      </c>
      <c r="P308">
        <f>IF([2]Entry!$R$311="","",[2]Entry!$R$311)</f>
        <v/>
      </c>
    </row>
    <row r="309">
      <c r="A309">
        <f>IF([1]Accounts!$D$310="","",[1]Accounts!$A$310)</f>
        <v/>
      </c>
      <c r="B309">
        <f>IF([1]Accounts!$D$310="","",[1]Accounts!$B$310)</f>
        <v/>
      </c>
      <c r="C309">
        <f>IF([1]Accounts!$D$310="","",[1]Accounts!$C$310)</f>
        <v/>
      </c>
      <c r="D309">
        <f>IF([1]Accounts!$D$310="","",[1]Accounts!$D$310)</f>
        <v/>
      </c>
      <c r="E309">
        <f>IF([1]Accounts!$D$310="","",[1]Accounts!$J$310)</f>
        <v/>
      </c>
      <c r="F309">
        <f>IF([1]Accounts!$D$310="","",[1]Accounts!$K$310)</f>
        <v/>
      </c>
      <c r="J309">
        <f>IF([2]Entry!$C$312="","",[2]Entry!$C$312)</f>
        <v/>
      </c>
      <c r="K309">
        <f>IF([2]Entry!$D$312="","",[2]Entry!$D$312)</f>
        <v/>
      </c>
      <c r="L309">
        <f>IF([2]Entry!$E$312="","",[2]Entry!$E$312)</f>
        <v/>
      </c>
      <c r="M309">
        <f>IF([2]Entry!$G$312="","",[2]Entry!$G$312)</f>
        <v/>
      </c>
      <c r="N309">
        <f>IF([2]Entry!$M$312="","",[2]Entry!$M$312)</f>
        <v/>
      </c>
      <c r="O309">
        <f>IF([2]Entry!$N$312="","",[2]Entry!$N$312)</f>
        <v/>
      </c>
      <c r="P309">
        <f>IF([2]Entry!$R$312="","",[2]Entry!$R$312)</f>
        <v/>
      </c>
    </row>
    <row r="310">
      <c r="A310">
        <f>IF([1]Accounts!$D$311="","",[1]Accounts!$A$311)</f>
        <v/>
      </c>
      <c r="B310">
        <f>IF([1]Accounts!$D$311="","",[1]Accounts!$B$311)</f>
        <v/>
      </c>
      <c r="C310">
        <f>IF([1]Accounts!$D$311="","",[1]Accounts!$C$311)</f>
        <v/>
      </c>
      <c r="D310">
        <f>IF([1]Accounts!$D$311="","",[1]Accounts!$D$311)</f>
        <v/>
      </c>
      <c r="E310">
        <f>IF([1]Accounts!$D$311="","",[1]Accounts!$J$311)</f>
        <v/>
      </c>
      <c r="F310">
        <f>IF([1]Accounts!$D$311="","",[1]Accounts!$K$311)</f>
        <v/>
      </c>
      <c r="J310">
        <f>IF([2]Entry!$C$313="","",[2]Entry!$C$313)</f>
        <v/>
      </c>
      <c r="K310">
        <f>IF([2]Entry!$D$313="","",[2]Entry!$D$313)</f>
        <v/>
      </c>
      <c r="L310">
        <f>IF([2]Entry!$E$313="","",[2]Entry!$E$313)</f>
        <v/>
      </c>
      <c r="M310">
        <f>IF([2]Entry!$G$313="","",[2]Entry!$G$313)</f>
        <v/>
      </c>
      <c r="N310">
        <f>IF([2]Entry!$M$313="","",[2]Entry!$M$313)</f>
        <v/>
      </c>
      <c r="O310">
        <f>IF([2]Entry!$N$313="","",[2]Entry!$N$313)</f>
        <v/>
      </c>
      <c r="P310">
        <f>IF([2]Entry!$R$313="","",[2]Entry!$R$313)</f>
        <v/>
      </c>
    </row>
    <row r="311">
      <c r="A311">
        <f>IF([1]Accounts!$D$312="","",[1]Accounts!$A$312)</f>
        <v/>
      </c>
      <c r="B311">
        <f>IF([1]Accounts!$D$312="","",[1]Accounts!$B$312)</f>
        <v/>
      </c>
      <c r="C311">
        <f>IF([1]Accounts!$D$312="","",[1]Accounts!$C$312)</f>
        <v/>
      </c>
      <c r="D311">
        <f>IF([1]Accounts!$D$312="","",[1]Accounts!$D$312)</f>
        <v/>
      </c>
      <c r="E311">
        <f>IF([1]Accounts!$D$312="","",[1]Accounts!$J$312)</f>
        <v/>
      </c>
      <c r="F311">
        <f>IF([1]Accounts!$D$312="","",[1]Accounts!$K$312)</f>
        <v/>
      </c>
      <c r="J311">
        <f>IF([2]Entry!$C$314="","",[2]Entry!$C$314)</f>
        <v/>
      </c>
      <c r="K311">
        <f>IF([2]Entry!$D$314="","",[2]Entry!$D$314)</f>
        <v/>
      </c>
      <c r="L311">
        <f>IF([2]Entry!$E$314="","",[2]Entry!$E$314)</f>
        <v/>
      </c>
      <c r="M311">
        <f>IF([2]Entry!$G$314="","",[2]Entry!$G$314)</f>
        <v/>
      </c>
      <c r="N311">
        <f>IF([2]Entry!$M$314="","",[2]Entry!$M$314)</f>
        <v/>
      </c>
      <c r="O311">
        <f>IF([2]Entry!$N$314="","",[2]Entry!$N$314)</f>
        <v/>
      </c>
      <c r="P311">
        <f>IF([2]Entry!$R$314="","",[2]Entry!$R$314)</f>
        <v/>
      </c>
    </row>
    <row r="312">
      <c r="A312">
        <f>IF([1]Accounts!$D$313="","",[1]Accounts!$A$313)</f>
        <v/>
      </c>
      <c r="B312">
        <f>IF([1]Accounts!$D$313="","",[1]Accounts!$B$313)</f>
        <v/>
      </c>
      <c r="C312">
        <f>IF([1]Accounts!$D$313="","",[1]Accounts!$C$313)</f>
        <v/>
      </c>
      <c r="D312">
        <f>IF([1]Accounts!$D$313="","",[1]Accounts!$D$313)</f>
        <v/>
      </c>
      <c r="E312">
        <f>IF([1]Accounts!$D$313="","",[1]Accounts!$J$313)</f>
        <v/>
      </c>
      <c r="F312">
        <f>IF([1]Accounts!$D$313="","",[1]Accounts!$K$313)</f>
        <v/>
      </c>
      <c r="J312">
        <f>IF([2]Entry!$C$315="","",[2]Entry!$C$315)</f>
        <v/>
      </c>
      <c r="K312">
        <f>IF([2]Entry!$D$315="","",[2]Entry!$D$315)</f>
        <v/>
      </c>
      <c r="L312">
        <f>IF([2]Entry!$E$315="","",[2]Entry!$E$315)</f>
        <v/>
      </c>
      <c r="M312">
        <f>IF([2]Entry!$G$315="","",[2]Entry!$G$315)</f>
        <v/>
      </c>
      <c r="N312">
        <f>IF([2]Entry!$M$315="","",[2]Entry!$M$315)</f>
        <v/>
      </c>
      <c r="O312">
        <f>IF([2]Entry!$N$315="","",[2]Entry!$N$315)</f>
        <v/>
      </c>
      <c r="P312">
        <f>IF([2]Entry!$R$315="","",[2]Entry!$R$315)</f>
        <v/>
      </c>
    </row>
    <row r="313">
      <c r="A313">
        <f>IF([1]Accounts!$D$314="","",[1]Accounts!$A$314)</f>
        <v/>
      </c>
      <c r="B313">
        <f>IF([1]Accounts!$D$314="","",[1]Accounts!$B$314)</f>
        <v/>
      </c>
      <c r="C313">
        <f>IF([1]Accounts!$D$314="","",[1]Accounts!$C$314)</f>
        <v/>
      </c>
      <c r="D313">
        <f>IF([1]Accounts!$D$314="","",[1]Accounts!$D$314)</f>
        <v/>
      </c>
      <c r="E313">
        <f>IF([1]Accounts!$D$314="","",[1]Accounts!$J$314)</f>
        <v/>
      </c>
      <c r="F313">
        <f>IF([1]Accounts!$D$314="","",[1]Accounts!$K$314)</f>
        <v/>
      </c>
      <c r="J313">
        <f>IF([2]Entry!$C$316="","",[2]Entry!$C$316)</f>
        <v/>
      </c>
      <c r="K313">
        <f>IF([2]Entry!$D$316="","",[2]Entry!$D$316)</f>
        <v/>
      </c>
      <c r="L313">
        <f>IF([2]Entry!$E$316="","",[2]Entry!$E$316)</f>
        <v/>
      </c>
      <c r="M313">
        <f>IF([2]Entry!$G$316="","",[2]Entry!$G$316)</f>
        <v/>
      </c>
      <c r="N313">
        <f>IF([2]Entry!$M$316="","",[2]Entry!$M$316)</f>
        <v/>
      </c>
      <c r="O313">
        <f>IF([2]Entry!$N$316="","",[2]Entry!$N$316)</f>
        <v/>
      </c>
      <c r="P313">
        <f>IF([2]Entry!$R$316="","",[2]Entry!$R$316)</f>
        <v/>
      </c>
    </row>
    <row r="314">
      <c r="A314">
        <f>IF([1]Accounts!$D$315="","",[1]Accounts!$A$315)</f>
        <v/>
      </c>
      <c r="B314">
        <f>IF([1]Accounts!$D$315="","",[1]Accounts!$B$315)</f>
        <v/>
      </c>
      <c r="C314">
        <f>IF([1]Accounts!$D$315="","",[1]Accounts!$C$315)</f>
        <v/>
      </c>
      <c r="D314">
        <f>IF([1]Accounts!$D$315="","",[1]Accounts!$D$315)</f>
        <v/>
      </c>
      <c r="E314">
        <f>IF([1]Accounts!$D$315="","",[1]Accounts!$J$315)</f>
        <v/>
      </c>
      <c r="F314">
        <f>IF([1]Accounts!$D$315="","",[1]Accounts!$K$315)</f>
        <v/>
      </c>
      <c r="J314">
        <f>IF([2]Entry!$C$317="","",[2]Entry!$C$317)</f>
        <v/>
      </c>
      <c r="K314">
        <f>IF([2]Entry!$D$317="","",[2]Entry!$D$317)</f>
        <v/>
      </c>
      <c r="L314">
        <f>IF([2]Entry!$E$317="","",[2]Entry!$E$317)</f>
        <v/>
      </c>
      <c r="M314">
        <f>IF([2]Entry!$G$317="","",[2]Entry!$G$317)</f>
        <v/>
      </c>
      <c r="N314">
        <f>IF([2]Entry!$M$317="","",[2]Entry!$M$317)</f>
        <v/>
      </c>
      <c r="O314">
        <f>IF([2]Entry!$N$317="","",[2]Entry!$N$317)</f>
        <v/>
      </c>
      <c r="P314">
        <f>IF([2]Entry!$R$317="","",[2]Entry!$R$317)</f>
        <v/>
      </c>
    </row>
    <row r="315">
      <c r="A315">
        <f>IF([1]Accounts!$D$316="","",[1]Accounts!$A$316)</f>
        <v/>
      </c>
      <c r="B315">
        <f>IF([1]Accounts!$D$316="","",[1]Accounts!$B$316)</f>
        <v/>
      </c>
      <c r="C315">
        <f>IF([1]Accounts!$D$316="","",[1]Accounts!$C$316)</f>
        <v/>
      </c>
      <c r="D315">
        <f>IF([1]Accounts!$D$316="","",[1]Accounts!$D$316)</f>
        <v/>
      </c>
      <c r="E315">
        <f>IF([1]Accounts!$D$316="","",[1]Accounts!$J$316)</f>
        <v/>
      </c>
      <c r="F315">
        <f>IF([1]Accounts!$D$316="","",[1]Accounts!$K$316)</f>
        <v/>
      </c>
      <c r="J315">
        <f>IF([2]Entry!$C$318="","",[2]Entry!$C$318)</f>
        <v/>
      </c>
      <c r="K315">
        <f>IF([2]Entry!$D$318="","",[2]Entry!$D$318)</f>
        <v/>
      </c>
      <c r="L315">
        <f>IF([2]Entry!$E$318="","",[2]Entry!$E$318)</f>
        <v/>
      </c>
      <c r="M315">
        <f>IF([2]Entry!$G$318="","",[2]Entry!$G$318)</f>
        <v/>
      </c>
      <c r="N315">
        <f>IF([2]Entry!$M$318="","",[2]Entry!$M$318)</f>
        <v/>
      </c>
      <c r="O315">
        <f>IF([2]Entry!$N$318="","",[2]Entry!$N$318)</f>
        <v/>
      </c>
      <c r="P315">
        <f>IF([2]Entry!$R$318="","",[2]Entry!$R$318)</f>
        <v/>
      </c>
    </row>
    <row r="316">
      <c r="A316">
        <f>IF([1]Accounts!$D$317="","",[1]Accounts!$A$317)</f>
        <v/>
      </c>
      <c r="B316">
        <f>IF([1]Accounts!$D$317="","",[1]Accounts!$B$317)</f>
        <v/>
      </c>
      <c r="C316">
        <f>IF([1]Accounts!$D$317="","",[1]Accounts!$C$317)</f>
        <v/>
      </c>
      <c r="D316">
        <f>IF([1]Accounts!$D$317="","",[1]Accounts!$D$317)</f>
        <v/>
      </c>
      <c r="E316">
        <f>IF([1]Accounts!$D$317="","",[1]Accounts!$J$317)</f>
        <v/>
      </c>
      <c r="F316">
        <f>IF([1]Accounts!$D$317="","",[1]Accounts!$K$317)</f>
        <v/>
      </c>
      <c r="J316">
        <f>IF([2]Entry!$C$319="","",[2]Entry!$C$319)</f>
        <v/>
      </c>
      <c r="K316">
        <f>IF([2]Entry!$D$319="","",[2]Entry!$D$319)</f>
        <v/>
      </c>
      <c r="L316">
        <f>IF([2]Entry!$E$319="","",[2]Entry!$E$319)</f>
        <v/>
      </c>
      <c r="M316">
        <f>IF([2]Entry!$G$319="","",[2]Entry!$G$319)</f>
        <v/>
      </c>
      <c r="N316">
        <f>IF([2]Entry!$M$319="","",[2]Entry!$M$319)</f>
        <v/>
      </c>
      <c r="O316">
        <f>IF([2]Entry!$N$319="","",[2]Entry!$N$319)</f>
        <v/>
      </c>
      <c r="P316">
        <f>IF([2]Entry!$R$319="","",[2]Entry!$R$319)</f>
        <v/>
      </c>
    </row>
    <row r="317">
      <c r="A317">
        <f>IF([1]Accounts!$D$318="","",[1]Accounts!$A$318)</f>
        <v/>
      </c>
      <c r="B317">
        <f>IF([1]Accounts!$D$318="","",[1]Accounts!$B$318)</f>
        <v/>
      </c>
      <c r="C317">
        <f>IF([1]Accounts!$D$318="","",[1]Accounts!$C$318)</f>
        <v/>
      </c>
      <c r="D317">
        <f>IF([1]Accounts!$D$318="","",[1]Accounts!$D$318)</f>
        <v/>
      </c>
      <c r="E317">
        <f>IF([1]Accounts!$D$318="","",[1]Accounts!$J$318)</f>
        <v/>
      </c>
      <c r="F317">
        <f>IF([1]Accounts!$D$318="","",[1]Accounts!$K$318)</f>
        <v/>
      </c>
      <c r="J317">
        <f>IF([2]Entry!$C$320="","",[2]Entry!$C$320)</f>
        <v/>
      </c>
      <c r="K317">
        <f>IF([2]Entry!$D$320="","",[2]Entry!$D$320)</f>
        <v/>
      </c>
      <c r="L317">
        <f>IF([2]Entry!$E$320="","",[2]Entry!$E$320)</f>
        <v/>
      </c>
      <c r="M317">
        <f>IF([2]Entry!$G$320="","",[2]Entry!$G$320)</f>
        <v/>
      </c>
      <c r="N317">
        <f>IF([2]Entry!$M$320="","",[2]Entry!$M$320)</f>
        <v/>
      </c>
      <c r="O317">
        <f>IF([2]Entry!$N$320="","",[2]Entry!$N$320)</f>
        <v/>
      </c>
      <c r="P317">
        <f>IF([2]Entry!$R$320="","",[2]Entry!$R$320)</f>
        <v/>
      </c>
    </row>
    <row r="318">
      <c r="A318">
        <f>IF([1]Accounts!$D$319="","",[1]Accounts!$A$319)</f>
        <v/>
      </c>
      <c r="B318">
        <f>IF([1]Accounts!$D$319="","",[1]Accounts!$B$319)</f>
        <v/>
      </c>
      <c r="C318">
        <f>IF([1]Accounts!$D$319="","",[1]Accounts!$C$319)</f>
        <v/>
      </c>
      <c r="D318">
        <f>IF([1]Accounts!$D$319="","",[1]Accounts!$D$319)</f>
        <v/>
      </c>
      <c r="E318">
        <f>IF([1]Accounts!$D$319="","",[1]Accounts!$J$319)</f>
        <v/>
      </c>
      <c r="F318">
        <f>IF([1]Accounts!$D$319="","",[1]Accounts!$K$319)</f>
        <v/>
      </c>
      <c r="J318">
        <f>IF([2]Entry!$C$321="","",[2]Entry!$C$321)</f>
        <v/>
      </c>
      <c r="K318">
        <f>IF([2]Entry!$D$321="","",[2]Entry!$D$321)</f>
        <v/>
      </c>
      <c r="L318">
        <f>IF([2]Entry!$E$321="","",[2]Entry!$E$321)</f>
        <v/>
      </c>
      <c r="M318">
        <f>IF([2]Entry!$G$321="","",[2]Entry!$G$321)</f>
        <v/>
      </c>
      <c r="N318">
        <f>IF([2]Entry!$M$321="","",[2]Entry!$M$321)</f>
        <v/>
      </c>
      <c r="O318">
        <f>IF([2]Entry!$N$321="","",[2]Entry!$N$321)</f>
        <v/>
      </c>
      <c r="P318">
        <f>IF([2]Entry!$R$321="","",[2]Entry!$R$321)</f>
        <v/>
      </c>
    </row>
    <row r="319">
      <c r="A319">
        <f>IF([1]Accounts!$D$320="","",[1]Accounts!$A$320)</f>
        <v/>
      </c>
      <c r="B319">
        <f>IF([1]Accounts!$D$320="","",[1]Accounts!$B$320)</f>
        <v/>
      </c>
      <c r="C319">
        <f>IF([1]Accounts!$D$320="","",[1]Accounts!$C$320)</f>
        <v/>
      </c>
      <c r="D319">
        <f>IF([1]Accounts!$D$320="","",[1]Accounts!$D$320)</f>
        <v/>
      </c>
      <c r="E319">
        <f>IF([1]Accounts!$D$320="","",[1]Accounts!$J$320)</f>
        <v/>
      </c>
      <c r="F319">
        <f>IF([1]Accounts!$D$320="","",[1]Accounts!$K$320)</f>
        <v/>
      </c>
      <c r="J319">
        <f>IF([2]Entry!$C$322="","",[2]Entry!$C$322)</f>
        <v/>
      </c>
      <c r="K319">
        <f>IF([2]Entry!$D$322="","",[2]Entry!$D$322)</f>
        <v/>
      </c>
      <c r="L319">
        <f>IF([2]Entry!$E$322="","",[2]Entry!$E$322)</f>
        <v/>
      </c>
      <c r="M319">
        <f>IF([2]Entry!$G$322="","",[2]Entry!$G$322)</f>
        <v/>
      </c>
      <c r="N319">
        <f>IF([2]Entry!$M$322="","",[2]Entry!$M$322)</f>
        <v/>
      </c>
      <c r="O319">
        <f>IF([2]Entry!$N$322="","",[2]Entry!$N$322)</f>
        <v/>
      </c>
      <c r="P319">
        <f>IF([2]Entry!$R$322="","",[2]Entry!$R$322)</f>
        <v/>
      </c>
    </row>
    <row r="320">
      <c r="A320">
        <f>IF([1]Accounts!$D$321="","",[1]Accounts!$A$321)</f>
        <v/>
      </c>
      <c r="B320">
        <f>IF([1]Accounts!$D$321="","",[1]Accounts!$B$321)</f>
        <v/>
      </c>
      <c r="C320">
        <f>IF([1]Accounts!$D$321="","",[1]Accounts!$C$321)</f>
        <v/>
      </c>
      <c r="D320">
        <f>IF([1]Accounts!$D$321="","",[1]Accounts!$D$321)</f>
        <v/>
      </c>
      <c r="E320">
        <f>IF([1]Accounts!$D$321="","",[1]Accounts!$J$321)</f>
        <v/>
      </c>
      <c r="F320">
        <f>IF([1]Accounts!$D$321="","",[1]Accounts!$K$321)</f>
        <v/>
      </c>
      <c r="J320">
        <f>IF([2]Entry!$C$323="","",[2]Entry!$C$323)</f>
        <v/>
      </c>
      <c r="K320">
        <f>IF([2]Entry!$D$323="","",[2]Entry!$D$323)</f>
        <v/>
      </c>
      <c r="L320">
        <f>IF([2]Entry!$E$323="","",[2]Entry!$E$323)</f>
        <v/>
      </c>
      <c r="M320">
        <f>IF([2]Entry!$G$323="","",[2]Entry!$G$323)</f>
        <v/>
      </c>
      <c r="N320">
        <f>IF([2]Entry!$M$323="","",[2]Entry!$M$323)</f>
        <v/>
      </c>
      <c r="O320">
        <f>IF([2]Entry!$N$323="","",[2]Entry!$N$323)</f>
        <v/>
      </c>
      <c r="P320">
        <f>IF([2]Entry!$R$323="","",[2]Entry!$R$323)</f>
        <v/>
      </c>
    </row>
    <row r="321">
      <c r="A321">
        <f>IF([1]Accounts!$D$322="","",[1]Accounts!$A$322)</f>
        <v/>
      </c>
      <c r="B321">
        <f>IF([1]Accounts!$D$322="","",[1]Accounts!$B$322)</f>
        <v/>
      </c>
      <c r="C321">
        <f>IF([1]Accounts!$D$322="","",[1]Accounts!$C$322)</f>
        <v/>
      </c>
      <c r="D321">
        <f>IF([1]Accounts!$D$322="","",[1]Accounts!$D$322)</f>
        <v/>
      </c>
      <c r="E321">
        <f>IF([1]Accounts!$D$322="","",[1]Accounts!$J$322)</f>
        <v/>
      </c>
      <c r="F321">
        <f>IF([1]Accounts!$D$322="","",[1]Accounts!$K$322)</f>
        <v/>
      </c>
      <c r="J321">
        <f>IF([2]Entry!$C$324="","",[2]Entry!$C$324)</f>
        <v/>
      </c>
      <c r="K321">
        <f>IF([2]Entry!$D$324="","",[2]Entry!$D$324)</f>
        <v/>
      </c>
      <c r="L321">
        <f>IF([2]Entry!$E$324="","",[2]Entry!$E$324)</f>
        <v/>
      </c>
      <c r="M321">
        <f>IF([2]Entry!$G$324="","",[2]Entry!$G$324)</f>
        <v/>
      </c>
      <c r="N321">
        <f>IF([2]Entry!$M$324="","",[2]Entry!$M$324)</f>
        <v/>
      </c>
      <c r="O321">
        <f>IF([2]Entry!$N$324="","",[2]Entry!$N$324)</f>
        <v/>
      </c>
      <c r="P321">
        <f>IF([2]Entry!$R$324="","",[2]Entry!$R$324)</f>
        <v/>
      </c>
    </row>
    <row r="322">
      <c r="A322">
        <f>IF([1]Accounts!$D$323="","",[1]Accounts!$A$323)</f>
        <v/>
      </c>
      <c r="B322">
        <f>IF([1]Accounts!$D$323="","",[1]Accounts!$B$323)</f>
        <v/>
      </c>
      <c r="C322">
        <f>IF([1]Accounts!$D$323="","",[1]Accounts!$C$323)</f>
        <v/>
      </c>
      <c r="D322">
        <f>IF([1]Accounts!$D$323="","",[1]Accounts!$D$323)</f>
        <v/>
      </c>
      <c r="E322">
        <f>IF([1]Accounts!$D$323="","",[1]Accounts!$J$323)</f>
        <v/>
      </c>
      <c r="F322">
        <f>IF([1]Accounts!$D$323="","",[1]Accounts!$K$323)</f>
        <v/>
      </c>
      <c r="J322">
        <f>IF([2]Entry!$C$325="","",[2]Entry!$C$325)</f>
        <v/>
      </c>
      <c r="K322">
        <f>IF([2]Entry!$D$325="","",[2]Entry!$D$325)</f>
        <v/>
      </c>
      <c r="L322">
        <f>IF([2]Entry!$E$325="","",[2]Entry!$E$325)</f>
        <v/>
      </c>
      <c r="M322">
        <f>IF([2]Entry!$G$325="","",[2]Entry!$G$325)</f>
        <v/>
      </c>
      <c r="N322">
        <f>IF([2]Entry!$M$325="","",[2]Entry!$M$325)</f>
        <v/>
      </c>
      <c r="O322">
        <f>IF([2]Entry!$N$325="","",[2]Entry!$N$325)</f>
        <v/>
      </c>
      <c r="P322">
        <f>IF([2]Entry!$R$325="","",[2]Entry!$R$325)</f>
        <v/>
      </c>
    </row>
    <row r="323">
      <c r="A323">
        <f>IF([1]Accounts!$D$324="","",[1]Accounts!$A$324)</f>
        <v/>
      </c>
      <c r="B323">
        <f>IF([1]Accounts!$D$324="","",[1]Accounts!$B$324)</f>
        <v/>
      </c>
      <c r="C323">
        <f>IF([1]Accounts!$D$324="","",[1]Accounts!$C$324)</f>
        <v/>
      </c>
      <c r="D323">
        <f>IF([1]Accounts!$D$324="","",[1]Accounts!$D$324)</f>
        <v/>
      </c>
      <c r="E323">
        <f>IF([1]Accounts!$D$324="","",[1]Accounts!$J$324)</f>
        <v/>
      </c>
      <c r="F323">
        <f>IF([1]Accounts!$D$324="","",[1]Accounts!$K$324)</f>
        <v/>
      </c>
      <c r="J323">
        <f>IF([2]Entry!$C$326="","",[2]Entry!$C$326)</f>
        <v/>
      </c>
      <c r="K323">
        <f>IF([2]Entry!$D$326="","",[2]Entry!$D$326)</f>
        <v/>
      </c>
      <c r="L323">
        <f>IF([2]Entry!$E$326="","",[2]Entry!$E$326)</f>
        <v/>
      </c>
      <c r="M323">
        <f>IF([2]Entry!$G$326="","",[2]Entry!$G$326)</f>
        <v/>
      </c>
      <c r="N323">
        <f>IF([2]Entry!$M$326="","",[2]Entry!$M$326)</f>
        <v/>
      </c>
      <c r="O323">
        <f>IF([2]Entry!$N$326="","",[2]Entry!$N$326)</f>
        <v/>
      </c>
      <c r="P323">
        <f>IF([2]Entry!$R$326="","",[2]Entry!$R$326)</f>
        <v/>
      </c>
    </row>
    <row r="324">
      <c r="A324">
        <f>IF([1]Accounts!$D$325="","",[1]Accounts!$A$325)</f>
        <v/>
      </c>
      <c r="B324">
        <f>IF([1]Accounts!$D$325="","",[1]Accounts!$B$325)</f>
        <v/>
      </c>
      <c r="C324">
        <f>IF([1]Accounts!$D$325="","",[1]Accounts!$C$325)</f>
        <v/>
      </c>
      <c r="D324">
        <f>IF([1]Accounts!$D$325="","",[1]Accounts!$D$325)</f>
        <v/>
      </c>
      <c r="E324">
        <f>IF([1]Accounts!$D$325="","",[1]Accounts!$J$325)</f>
        <v/>
      </c>
      <c r="F324">
        <f>IF([1]Accounts!$D$325="","",[1]Accounts!$K$325)</f>
        <v/>
      </c>
      <c r="J324">
        <f>IF([2]Entry!$C$327="","",[2]Entry!$C$327)</f>
        <v/>
      </c>
      <c r="K324">
        <f>IF([2]Entry!$D$327="","",[2]Entry!$D$327)</f>
        <v/>
      </c>
      <c r="L324">
        <f>IF([2]Entry!$E$327="","",[2]Entry!$E$327)</f>
        <v/>
      </c>
      <c r="M324">
        <f>IF([2]Entry!$G$327="","",[2]Entry!$G$327)</f>
        <v/>
      </c>
      <c r="N324">
        <f>IF([2]Entry!$M$327="","",[2]Entry!$M$327)</f>
        <v/>
      </c>
      <c r="O324">
        <f>IF([2]Entry!$N$327="","",[2]Entry!$N$327)</f>
        <v/>
      </c>
      <c r="P324">
        <f>IF([2]Entry!$R$327="","",[2]Entry!$R$327)</f>
        <v/>
      </c>
    </row>
    <row r="325">
      <c r="A325">
        <f>IF([1]Accounts!$D$326="","",[1]Accounts!$A$326)</f>
        <v/>
      </c>
      <c r="B325">
        <f>IF([1]Accounts!$D$326="","",[1]Accounts!$B$326)</f>
        <v/>
      </c>
      <c r="C325">
        <f>IF([1]Accounts!$D$326="","",[1]Accounts!$C$326)</f>
        <v/>
      </c>
      <c r="D325">
        <f>IF([1]Accounts!$D$326="","",[1]Accounts!$D$326)</f>
        <v/>
      </c>
      <c r="E325">
        <f>IF([1]Accounts!$D$326="","",[1]Accounts!$J$326)</f>
        <v/>
      </c>
      <c r="F325">
        <f>IF([1]Accounts!$D$326="","",[1]Accounts!$K$326)</f>
        <v/>
      </c>
      <c r="J325">
        <f>IF([2]Entry!$C$328="","",[2]Entry!$C$328)</f>
        <v/>
      </c>
      <c r="K325">
        <f>IF([2]Entry!$D$328="","",[2]Entry!$D$328)</f>
        <v/>
      </c>
      <c r="L325">
        <f>IF([2]Entry!$E$328="","",[2]Entry!$E$328)</f>
        <v/>
      </c>
      <c r="M325">
        <f>IF([2]Entry!$G$328="","",[2]Entry!$G$328)</f>
        <v/>
      </c>
      <c r="N325">
        <f>IF([2]Entry!$M$328="","",[2]Entry!$M$328)</f>
        <v/>
      </c>
      <c r="O325">
        <f>IF([2]Entry!$N$328="","",[2]Entry!$N$328)</f>
        <v/>
      </c>
      <c r="P325">
        <f>IF([2]Entry!$R$328="","",[2]Entry!$R$328)</f>
        <v/>
      </c>
    </row>
    <row r="326">
      <c r="A326">
        <f>IF([1]Accounts!$D$327="","",[1]Accounts!$A$327)</f>
        <v/>
      </c>
      <c r="B326">
        <f>IF([1]Accounts!$D$327="","",[1]Accounts!$B$327)</f>
        <v/>
      </c>
      <c r="C326">
        <f>IF([1]Accounts!$D$327="","",[1]Accounts!$C$327)</f>
        <v/>
      </c>
      <c r="D326">
        <f>IF([1]Accounts!$D$327="","",[1]Accounts!$D$327)</f>
        <v/>
      </c>
      <c r="E326">
        <f>IF([1]Accounts!$D$327="","",[1]Accounts!$J$327)</f>
        <v/>
      </c>
      <c r="F326">
        <f>IF([1]Accounts!$D$327="","",[1]Accounts!$K$327)</f>
        <v/>
      </c>
      <c r="J326">
        <f>IF([2]Entry!$C$329="","",[2]Entry!$C$329)</f>
        <v/>
      </c>
      <c r="K326">
        <f>IF([2]Entry!$D$329="","",[2]Entry!$D$329)</f>
        <v/>
      </c>
      <c r="L326">
        <f>IF([2]Entry!$E$329="","",[2]Entry!$E$329)</f>
        <v/>
      </c>
      <c r="M326">
        <f>IF([2]Entry!$G$329="","",[2]Entry!$G$329)</f>
        <v/>
      </c>
      <c r="N326">
        <f>IF([2]Entry!$M$329="","",[2]Entry!$M$329)</f>
        <v/>
      </c>
      <c r="O326">
        <f>IF([2]Entry!$N$329="","",[2]Entry!$N$329)</f>
        <v/>
      </c>
      <c r="P326">
        <f>IF([2]Entry!$R$329="","",[2]Entry!$R$329)</f>
        <v/>
      </c>
    </row>
    <row r="327">
      <c r="A327">
        <f>IF([1]Accounts!$D$328="","",[1]Accounts!$A$328)</f>
        <v/>
      </c>
      <c r="B327">
        <f>IF([1]Accounts!$D$328="","",[1]Accounts!$B$328)</f>
        <v/>
      </c>
      <c r="C327">
        <f>IF([1]Accounts!$D$328="","",[1]Accounts!$C$328)</f>
        <v/>
      </c>
      <c r="D327">
        <f>IF([1]Accounts!$D$328="","",[1]Accounts!$D$328)</f>
        <v/>
      </c>
      <c r="E327">
        <f>IF([1]Accounts!$D$328="","",[1]Accounts!$J$328)</f>
        <v/>
      </c>
      <c r="F327">
        <f>IF([1]Accounts!$D$328="","",[1]Accounts!$K$328)</f>
        <v/>
      </c>
      <c r="J327">
        <f>IF([2]Entry!$C$330="","",[2]Entry!$C$330)</f>
        <v/>
      </c>
      <c r="K327">
        <f>IF([2]Entry!$D$330="","",[2]Entry!$D$330)</f>
        <v/>
      </c>
      <c r="L327">
        <f>IF([2]Entry!$E$330="","",[2]Entry!$E$330)</f>
        <v/>
      </c>
      <c r="M327">
        <f>IF([2]Entry!$G$330="","",[2]Entry!$G$330)</f>
        <v/>
      </c>
      <c r="N327">
        <f>IF([2]Entry!$M$330="","",[2]Entry!$M$330)</f>
        <v/>
      </c>
      <c r="O327">
        <f>IF([2]Entry!$N$330="","",[2]Entry!$N$330)</f>
        <v/>
      </c>
      <c r="P327">
        <f>IF([2]Entry!$R$330="","",[2]Entry!$R$330)</f>
        <v/>
      </c>
    </row>
    <row r="328">
      <c r="A328">
        <f>IF([1]Accounts!$D$329="","",[1]Accounts!$A$329)</f>
        <v/>
      </c>
      <c r="B328">
        <f>IF([1]Accounts!$D$329="","",[1]Accounts!$B$329)</f>
        <v/>
      </c>
      <c r="C328">
        <f>IF([1]Accounts!$D$329="","",[1]Accounts!$C$329)</f>
        <v/>
      </c>
      <c r="D328">
        <f>IF([1]Accounts!$D$329="","",[1]Accounts!$D$329)</f>
        <v/>
      </c>
      <c r="E328">
        <f>IF([1]Accounts!$D$329="","",[1]Accounts!$J$329)</f>
        <v/>
      </c>
      <c r="F328">
        <f>IF([1]Accounts!$D$329="","",[1]Accounts!$K$329)</f>
        <v/>
      </c>
      <c r="J328">
        <f>IF([2]Entry!$C$331="","",[2]Entry!$C$331)</f>
        <v/>
      </c>
      <c r="K328">
        <f>IF([2]Entry!$D$331="","",[2]Entry!$D$331)</f>
        <v/>
      </c>
      <c r="L328">
        <f>IF([2]Entry!$E$331="","",[2]Entry!$E$331)</f>
        <v/>
      </c>
      <c r="M328">
        <f>IF([2]Entry!$G$331="","",[2]Entry!$G$331)</f>
        <v/>
      </c>
      <c r="N328">
        <f>IF([2]Entry!$M$331="","",[2]Entry!$M$331)</f>
        <v/>
      </c>
      <c r="O328">
        <f>IF([2]Entry!$N$331="","",[2]Entry!$N$331)</f>
        <v/>
      </c>
      <c r="P328">
        <f>IF([2]Entry!$R$331="","",[2]Entry!$R$331)</f>
        <v/>
      </c>
    </row>
    <row r="329">
      <c r="A329">
        <f>IF([1]Accounts!$D$330="","",[1]Accounts!$A$330)</f>
        <v/>
      </c>
      <c r="B329">
        <f>IF([1]Accounts!$D$330="","",[1]Accounts!$B$330)</f>
        <v/>
      </c>
      <c r="C329">
        <f>IF([1]Accounts!$D$330="","",[1]Accounts!$C$330)</f>
        <v/>
      </c>
      <c r="D329">
        <f>IF([1]Accounts!$D$330="","",[1]Accounts!$D$330)</f>
        <v/>
      </c>
      <c r="E329">
        <f>IF([1]Accounts!$D$330="","",[1]Accounts!$J$330)</f>
        <v/>
      </c>
      <c r="F329">
        <f>IF([1]Accounts!$D$330="","",[1]Accounts!$K$330)</f>
        <v/>
      </c>
      <c r="J329">
        <f>IF([2]Entry!$C$332="","",[2]Entry!$C$332)</f>
        <v/>
      </c>
      <c r="K329">
        <f>IF([2]Entry!$D$332="","",[2]Entry!$D$332)</f>
        <v/>
      </c>
      <c r="L329">
        <f>IF([2]Entry!$E$332="","",[2]Entry!$E$332)</f>
        <v/>
      </c>
      <c r="M329">
        <f>IF([2]Entry!$G$332="","",[2]Entry!$G$332)</f>
        <v/>
      </c>
      <c r="N329">
        <f>IF([2]Entry!$M$332="","",[2]Entry!$M$332)</f>
        <v/>
      </c>
      <c r="O329">
        <f>IF([2]Entry!$N$332="","",[2]Entry!$N$332)</f>
        <v/>
      </c>
      <c r="P329">
        <f>IF([2]Entry!$R$332="","",[2]Entry!$R$332)</f>
        <v/>
      </c>
    </row>
    <row r="330">
      <c r="A330">
        <f>IF([1]Accounts!$D$331="","",[1]Accounts!$A$331)</f>
        <v/>
      </c>
      <c r="B330">
        <f>IF([1]Accounts!$D$331="","",[1]Accounts!$B$331)</f>
        <v/>
      </c>
      <c r="C330">
        <f>IF([1]Accounts!$D$331="","",[1]Accounts!$C$331)</f>
        <v/>
      </c>
      <c r="D330">
        <f>IF([1]Accounts!$D$331="","",[1]Accounts!$D$331)</f>
        <v/>
      </c>
      <c r="E330">
        <f>IF([1]Accounts!$D$331="","",[1]Accounts!$J$331)</f>
        <v/>
      </c>
      <c r="F330">
        <f>IF([1]Accounts!$D$331="","",[1]Accounts!$K$331)</f>
        <v/>
      </c>
      <c r="J330">
        <f>IF([2]Entry!$C$333="","",[2]Entry!$C$333)</f>
        <v/>
      </c>
      <c r="K330">
        <f>IF([2]Entry!$D$333="","",[2]Entry!$D$333)</f>
        <v/>
      </c>
      <c r="L330">
        <f>IF([2]Entry!$E$333="","",[2]Entry!$E$333)</f>
        <v/>
      </c>
      <c r="M330">
        <f>IF([2]Entry!$G$333="","",[2]Entry!$G$333)</f>
        <v/>
      </c>
      <c r="N330">
        <f>IF([2]Entry!$M$333="","",[2]Entry!$M$333)</f>
        <v/>
      </c>
      <c r="O330">
        <f>IF([2]Entry!$N$333="","",[2]Entry!$N$333)</f>
        <v/>
      </c>
      <c r="P330">
        <f>IF([2]Entry!$R$333="","",[2]Entry!$R$333)</f>
        <v/>
      </c>
    </row>
    <row r="331">
      <c r="A331">
        <f>IF([1]Accounts!$D$332="","",[1]Accounts!$A$332)</f>
        <v/>
      </c>
      <c r="B331">
        <f>IF([1]Accounts!$D$332="","",[1]Accounts!$B$332)</f>
        <v/>
      </c>
      <c r="C331">
        <f>IF([1]Accounts!$D$332="","",[1]Accounts!$C$332)</f>
        <v/>
      </c>
      <c r="D331">
        <f>IF([1]Accounts!$D$332="","",[1]Accounts!$D$332)</f>
        <v/>
      </c>
      <c r="E331">
        <f>IF([1]Accounts!$D$332="","",[1]Accounts!$J$332)</f>
        <v/>
      </c>
      <c r="F331">
        <f>IF([1]Accounts!$D$332="","",[1]Accounts!$K$332)</f>
        <v/>
      </c>
      <c r="J331">
        <f>IF([2]Entry!$C$334="","",[2]Entry!$C$334)</f>
        <v/>
      </c>
      <c r="K331">
        <f>IF([2]Entry!$D$334="","",[2]Entry!$D$334)</f>
        <v/>
      </c>
      <c r="L331">
        <f>IF([2]Entry!$E$334="","",[2]Entry!$E$334)</f>
        <v/>
      </c>
      <c r="M331">
        <f>IF([2]Entry!$G$334="","",[2]Entry!$G$334)</f>
        <v/>
      </c>
      <c r="N331">
        <f>IF([2]Entry!$M$334="","",[2]Entry!$M$334)</f>
        <v/>
      </c>
      <c r="O331">
        <f>IF([2]Entry!$N$334="","",[2]Entry!$N$334)</f>
        <v/>
      </c>
      <c r="P331">
        <f>IF([2]Entry!$R$334="","",[2]Entry!$R$334)</f>
        <v/>
      </c>
    </row>
    <row r="332">
      <c r="A332">
        <f>IF([1]Accounts!$D$333="","",[1]Accounts!$A$333)</f>
        <v/>
      </c>
      <c r="B332">
        <f>IF([1]Accounts!$D$333="","",[1]Accounts!$B$333)</f>
        <v/>
      </c>
      <c r="C332">
        <f>IF([1]Accounts!$D$333="","",[1]Accounts!$C$333)</f>
        <v/>
      </c>
      <c r="D332">
        <f>IF([1]Accounts!$D$333="","",[1]Accounts!$D$333)</f>
        <v/>
      </c>
      <c r="E332">
        <f>IF([1]Accounts!$D$333="","",[1]Accounts!$J$333)</f>
        <v/>
      </c>
      <c r="F332">
        <f>IF([1]Accounts!$D$333="","",[1]Accounts!$K$333)</f>
        <v/>
      </c>
      <c r="J332">
        <f>IF([2]Entry!$C$335="","",[2]Entry!$C$335)</f>
        <v/>
      </c>
      <c r="K332">
        <f>IF([2]Entry!$D$335="","",[2]Entry!$D$335)</f>
        <v/>
      </c>
      <c r="L332">
        <f>IF([2]Entry!$E$335="","",[2]Entry!$E$335)</f>
        <v/>
      </c>
      <c r="M332">
        <f>IF([2]Entry!$G$335="","",[2]Entry!$G$335)</f>
        <v/>
      </c>
      <c r="N332">
        <f>IF([2]Entry!$M$335="","",[2]Entry!$M$335)</f>
        <v/>
      </c>
      <c r="O332">
        <f>IF([2]Entry!$N$335="","",[2]Entry!$N$335)</f>
        <v/>
      </c>
      <c r="P332">
        <f>IF([2]Entry!$R$335="","",[2]Entry!$R$335)</f>
        <v/>
      </c>
    </row>
    <row r="333">
      <c r="A333">
        <f>IF([1]Accounts!$D$334="","",[1]Accounts!$A$334)</f>
        <v/>
      </c>
      <c r="B333">
        <f>IF([1]Accounts!$D$334="","",[1]Accounts!$B$334)</f>
        <v/>
      </c>
      <c r="C333">
        <f>IF([1]Accounts!$D$334="","",[1]Accounts!$C$334)</f>
        <v/>
      </c>
      <c r="D333">
        <f>IF([1]Accounts!$D$334="","",[1]Accounts!$D$334)</f>
        <v/>
      </c>
      <c r="E333">
        <f>IF([1]Accounts!$D$334="","",[1]Accounts!$J$334)</f>
        <v/>
      </c>
      <c r="F333">
        <f>IF([1]Accounts!$D$334="","",[1]Accounts!$K$334)</f>
        <v/>
      </c>
      <c r="J333">
        <f>IF([2]Entry!$C$336="","",[2]Entry!$C$336)</f>
        <v/>
      </c>
      <c r="K333">
        <f>IF([2]Entry!$D$336="","",[2]Entry!$D$336)</f>
        <v/>
      </c>
      <c r="L333">
        <f>IF([2]Entry!$E$336="","",[2]Entry!$E$336)</f>
        <v/>
      </c>
      <c r="M333">
        <f>IF([2]Entry!$G$336="","",[2]Entry!$G$336)</f>
        <v/>
      </c>
      <c r="N333">
        <f>IF([2]Entry!$M$336="","",[2]Entry!$M$336)</f>
        <v/>
      </c>
      <c r="O333">
        <f>IF([2]Entry!$N$336="","",[2]Entry!$N$336)</f>
        <v/>
      </c>
      <c r="P333">
        <f>IF([2]Entry!$R$336="","",[2]Entry!$R$336)</f>
        <v/>
      </c>
    </row>
    <row r="334">
      <c r="A334">
        <f>IF([1]Accounts!$D$335="","",[1]Accounts!$A$335)</f>
        <v/>
      </c>
      <c r="B334">
        <f>IF([1]Accounts!$D$335="","",[1]Accounts!$B$335)</f>
        <v/>
      </c>
      <c r="C334">
        <f>IF([1]Accounts!$D$335="","",[1]Accounts!$C$335)</f>
        <v/>
      </c>
      <c r="D334">
        <f>IF([1]Accounts!$D$335="","",[1]Accounts!$D$335)</f>
        <v/>
      </c>
      <c r="E334">
        <f>IF([1]Accounts!$D$335="","",[1]Accounts!$J$335)</f>
        <v/>
      </c>
      <c r="F334">
        <f>IF([1]Accounts!$D$335="","",[1]Accounts!$K$335)</f>
        <v/>
      </c>
      <c r="J334">
        <f>IF([2]Entry!$C$337="","",[2]Entry!$C$337)</f>
        <v/>
      </c>
      <c r="K334">
        <f>IF([2]Entry!$D$337="","",[2]Entry!$D$337)</f>
        <v/>
      </c>
      <c r="L334">
        <f>IF([2]Entry!$E$337="","",[2]Entry!$E$337)</f>
        <v/>
      </c>
      <c r="M334">
        <f>IF([2]Entry!$G$337="","",[2]Entry!$G$337)</f>
        <v/>
      </c>
      <c r="N334">
        <f>IF([2]Entry!$M$337="","",[2]Entry!$M$337)</f>
        <v/>
      </c>
      <c r="O334">
        <f>IF([2]Entry!$N$337="","",[2]Entry!$N$337)</f>
        <v/>
      </c>
      <c r="P334">
        <f>IF([2]Entry!$R$337="","",[2]Entry!$R$337)</f>
        <v/>
      </c>
    </row>
    <row r="335">
      <c r="A335">
        <f>IF([1]Accounts!$D$336="","",[1]Accounts!$A$336)</f>
        <v/>
      </c>
      <c r="B335">
        <f>IF([1]Accounts!$D$336="","",[1]Accounts!$B$336)</f>
        <v/>
      </c>
      <c r="C335">
        <f>IF([1]Accounts!$D$336="","",[1]Accounts!$C$336)</f>
        <v/>
      </c>
      <c r="D335">
        <f>IF([1]Accounts!$D$336="","",[1]Accounts!$D$336)</f>
        <v/>
      </c>
      <c r="E335">
        <f>IF([1]Accounts!$D$336="","",[1]Accounts!$J$336)</f>
        <v/>
      </c>
      <c r="F335">
        <f>IF([1]Accounts!$D$336="","",[1]Accounts!$K$336)</f>
        <v/>
      </c>
      <c r="J335">
        <f>IF([2]Entry!$C$338="","",[2]Entry!$C$338)</f>
        <v/>
      </c>
      <c r="K335">
        <f>IF([2]Entry!$D$338="","",[2]Entry!$D$338)</f>
        <v/>
      </c>
      <c r="L335">
        <f>IF([2]Entry!$E$338="","",[2]Entry!$E$338)</f>
        <v/>
      </c>
      <c r="M335">
        <f>IF([2]Entry!$G$338="","",[2]Entry!$G$338)</f>
        <v/>
      </c>
      <c r="N335">
        <f>IF([2]Entry!$M$338="","",[2]Entry!$M$338)</f>
        <v/>
      </c>
      <c r="O335">
        <f>IF([2]Entry!$N$338="","",[2]Entry!$N$338)</f>
        <v/>
      </c>
      <c r="P335">
        <f>IF([2]Entry!$R$338="","",[2]Entry!$R$338)</f>
        <v/>
      </c>
    </row>
    <row r="336">
      <c r="A336">
        <f>IF([1]Accounts!$D$337="","",[1]Accounts!$A$337)</f>
        <v/>
      </c>
      <c r="B336">
        <f>IF([1]Accounts!$D$337="","",[1]Accounts!$B$337)</f>
        <v/>
      </c>
      <c r="C336">
        <f>IF([1]Accounts!$D$337="","",[1]Accounts!$C$337)</f>
        <v/>
      </c>
      <c r="D336">
        <f>IF([1]Accounts!$D$337="","",[1]Accounts!$D$337)</f>
        <v/>
      </c>
      <c r="E336">
        <f>IF([1]Accounts!$D$337="","",[1]Accounts!$J$337)</f>
        <v/>
      </c>
      <c r="F336">
        <f>IF([1]Accounts!$D$337="","",[1]Accounts!$K$337)</f>
        <v/>
      </c>
      <c r="J336">
        <f>IF([2]Entry!$C$339="","",[2]Entry!$C$339)</f>
        <v/>
      </c>
      <c r="K336">
        <f>IF([2]Entry!$D$339="","",[2]Entry!$D$339)</f>
        <v/>
      </c>
      <c r="L336">
        <f>IF([2]Entry!$E$339="","",[2]Entry!$E$339)</f>
        <v/>
      </c>
      <c r="M336">
        <f>IF([2]Entry!$G$339="","",[2]Entry!$G$339)</f>
        <v/>
      </c>
      <c r="N336">
        <f>IF([2]Entry!$M$339="","",[2]Entry!$M$339)</f>
        <v/>
      </c>
      <c r="O336">
        <f>IF([2]Entry!$N$339="","",[2]Entry!$N$339)</f>
        <v/>
      </c>
      <c r="P336">
        <f>IF([2]Entry!$R$339="","",[2]Entry!$R$339)</f>
        <v/>
      </c>
    </row>
    <row r="337">
      <c r="A337">
        <f>IF([1]Accounts!$D$338="","",[1]Accounts!$A$338)</f>
        <v/>
      </c>
      <c r="B337">
        <f>IF([1]Accounts!$D$338="","",[1]Accounts!$B$338)</f>
        <v/>
      </c>
      <c r="C337">
        <f>IF([1]Accounts!$D$338="","",[1]Accounts!$C$338)</f>
        <v/>
      </c>
      <c r="D337">
        <f>IF([1]Accounts!$D$338="","",[1]Accounts!$D$338)</f>
        <v/>
      </c>
      <c r="E337">
        <f>IF([1]Accounts!$D$338="","",[1]Accounts!$J$338)</f>
        <v/>
      </c>
      <c r="F337">
        <f>IF([1]Accounts!$D$338="","",[1]Accounts!$K$338)</f>
        <v/>
      </c>
      <c r="J337">
        <f>IF([2]Entry!$C$340="","",[2]Entry!$C$340)</f>
        <v/>
      </c>
      <c r="K337">
        <f>IF([2]Entry!$D$340="","",[2]Entry!$D$340)</f>
        <v/>
      </c>
      <c r="L337">
        <f>IF([2]Entry!$E$340="","",[2]Entry!$E$340)</f>
        <v/>
      </c>
      <c r="M337">
        <f>IF([2]Entry!$G$340="","",[2]Entry!$G$340)</f>
        <v/>
      </c>
      <c r="N337">
        <f>IF([2]Entry!$M$340="","",[2]Entry!$M$340)</f>
        <v/>
      </c>
      <c r="O337">
        <f>IF([2]Entry!$N$340="","",[2]Entry!$N$340)</f>
        <v/>
      </c>
      <c r="P337">
        <f>IF([2]Entry!$R$340="","",[2]Entry!$R$340)</f>
        <v/>
      </c>
    </row>
    <row r="338">
      <c r="A338">
        <f>IF([1]Accounts!$D$339="","",[1]Accounts!$A$339)</f>
        <v/>
      </c>
      <c r="B338">
        <f>IF([1]Accounts!$D$339="","",[1]Accounts!$B$339)</f>
        <v/>
      </c>
      <c r="C338">
        <f>IF([1]Accounts!$D$339="","",[1]Accounts!$C$339)</f>
        <v/>
      </c>
      <c r="D338">
        <f>IF([1]Accounts!$D$339="","",[1]Accounts!$D$339)</f>
        <v/>
      </c>
      <c r="E338">
        <f>IF([1]Accounts!$D$339="","",[1]Accounts!$J$339)</f>
        <v/>
      </c>
      <c r="F338">
        <f>IF([1]Accounts!$D$339="","",[1]Accounts!$K$339)</f>
        <v/>
      </c>
      <c r="J338">
        <f>IF([2]Entry!$C$341="","",[2]Entry!$C$341)</f>
        <v/>
      </c>
      <c r="K338">
        <f>IF([2]Entry!$D$341="","",[2]Entry!$D$341)</f>
        <v/>
      </c>
      <c r="L338">
        <f>IF([2]Entry!$E$341="","",[2]Entry!$E$341)</f>
        <v/>
      </c>
      <c r="M338">
        <f>IF([2]Entry!$G$341="","",[2]Entry!$G$341)</f>
        <v/>
      </c>
      <c r="N338">
        <f>IF([2]Entry!$M$341="","",[2]Entry!$M$341)</f>
        <v/>
      </c>
      <c r="O338">
        <f>IF([2]Entry!$N$341="","",[2]Entry!$N$341)</f>
        <v/>
      </c>
      <c r="P338">
        <f>IF([2]Entry!$R$341="","",[2]Entry!$R$341)</f>
        <v/>
      </c>
    </row>
    <row r="339">
      <c r="A339">
        <f>IF([1]Accounts!$D$340="","",[1]Accounts!$A$340)</f>
        <v/>
      </c>
      <c r="B339">
        <f>IF([1]Accounts!$D$340="","",[1]Accounts!$B$340)</f>
        <v/>
      </c>
      <c r="C339">
        <f>IF([1]Accounts!$D$340="","",[1]Accounts!$C$340)</f>
        <v/>
      </c>
      <c r="D339">
        <f>IF([1]Accounts!$D$340="","",[1]Accounts!$D$340)</f>
        <v/>
      </c>
      <c r="E339">
        <f>IF([1]Accounts!$D$340="","",[1]Accounts!$J$340)</f>
        <v/>
      </c>
      <c r="F339">
        <f>IF([1]Accounts!$D$340="","",[1]Accounts!$K$340)</f>
        <v/>
      </c>
      <c r="J339">
        <f>IF([2]Entry!$C$342="","",[2]Entry!$C$342)</f>
        <v/>
      </c>
      <c r="K339">
        <f>IF([2]Entry!$D$342="","",[2]Entry!$D$342)</f>
        <v/>
      </c>
      <c r="L339">
        <f>IF([2]Entry!$E$342="","",[2]Entry!$E$342)</f>
        <v/>
      </c>
      <c r="M339">
        <f>IF([2]Entry!$G$342="","",[2]Entry!$G$342)</f>
        <v/>
      </c>
      <c r="N339">
        <f>IF([2]Entry!$M$342="","",[2]Entry!$M$342)</f>
        <v/>
      </c>
      <c r="O339">
        <f>IF([2]Entry!$N$342="","",[2]Entry!$N$342)</f>
        <v/>
      </c>
      <c r="P339">
        <f>IF([2]Entry!$R$342="","",[2]Entry!$R$342)</f>
        <v/>
      </c>
    </row>
    <row r="340">
      <c r="A340">
        <f>IF([1]Accounts!$D$341="","",[1]Accounts!$A$341)</f>
        <v/>
      </c>
      <c r="B340">
        <f>IF([1]Accounts!$D$341="","",[1]Accounts!$B$341)</f>
        <v/>
      </c>
      <c r="C340">
        <f>IF([1]Accounts!$D$341="","",[1]Accounts!$C$341)</f>
        <v/>
      </c>
      <c r="D340">
        <f>IF([1]Accounts!$D$341="","",[1]Accounts!$D$341)</f>
        <v/>
      </c>
      <c r="E340">
        <f>IF([1]Accounts!$D$341="","",[1]Accounts!$J$341)</f>
        <v/>
      </c>
      <c r="F340">
        <f>IF([1]Accounts!$D$341="","",[1]Accounts!$K$341)</f>
        <v/>
      </c>
      <c r="J340">
        <f>IF([2]Entry!$C$343="","",[2]Entry!$C$343)</f>
        <v/>
      </c>
      <c r="K340">
        <f>IF([2]Entry!$D$343="","",[2]Entry!$D$343)</f>
        <v/>
      </c>
      <c r="L340">
        <f>IF([2]Entry!$E$343="","",[2]Entry!$E$343)</f>
        <v/>
      </c>
      <c r="M340">
        <f>IF([2]Entry!$G$343="","",[2]Entry!$G$343)</f>
        <v/>
      </c>
      <c r="N340">
        <f>IF([2]Entry!$M$343="","",[2]Entry!$M$343)</f>
        <v/>
      </c>
      <c r="O340">
        <f>IF([2]Entry!$N$343="","",[2]Entry!$N$343)</f>
        <v/>
      </c>
      <c r="P340">
        <f>IF([2]Entry!$R$343="","",[2]Entry!$R$343)</f>
        <v/>
      </c>
    </row>
    <row r="341">
      <c r="A341">
        <f>IF([1]Accounts!$D$342="","",[1]Accounts!$A$342)</f>
        <v/>
      </c>
      <c r="B341">
        <f>IF([1]Accounts!$D$342="","",[1]Accounts!$B$342)</f>
        <v/>
      </c>
      <c r="C341">
        <f>IF([1]Accounts!$D$342="","",[1]Accounts!$C$342)</f>
        <v/>
      </c>
      <c r="D341">
        <f>IF([1]Accounts!$D$342="","",[1]Accounts!$D$342)</f>
        <v/>
      </c>
      <c r="E341">
        <f>IF([1]Accounts!$D$342="","",[1]Accounts!$J$342)</f>
        <v/>
      </c>
      <c r="F341">
        <f>IF([1]Accounts!$D$342="","",[1]Accounts!$K$342)</f>
        <v/>
      </c>
      <c r="J341">
        <f>IF([2]Entry!$C$344="","",[2]Entry!$C$344)</f>
        <v/>
      </c>
      <c r="K341">
        <f>IF([2]Entry!$D$344="","",[2]Entry!$D$344)</f>
        <v/>
      </c>
      <c r="L341">
        <f>IF([2]Entry!$E$344="","",[2]Entry!$E$344)</f>
        <v/>
      </c>
      <c r="M341">
        <f>IF([2]Entry!$G$344="","",[2]Entry!$G$344)</f>
        <v/>
      </c>
      <c r="N341">
        <f>IF([2]Entry!$M$344="","",[2]Entry!$M$344)</f>
        <v/>
      </c>
      <c r="O341">
        <f>IF([2]Entry!$N$344="","",[2]Entry!$N$344)</f>
        <v/>
      </c>
      <c r="P341">
        <f>IF([2]Entry!$R$344="","",[2]Entry!$R$344)</f>
        <v/>
      </c>
    </row>
    <row r="342">
      <c r="A342">
        <f>IF([1]Accounts!$D$343="","",[1]Accounts!$A$343)</f>
        <v/>
      </c>
      <c r="B342">
        <f>IF([1]Accounts!$D$343="","",[1]Accounts!$B$343)</f>
        <v/>
      </c>
      <c r="C342">
        <f>IF([1]Accounts!$D$343="","",[1]Accounts!$C$343)</f>
        <v/>
      </c>
      <c r="D342">
        <f>IF([1]Accounts!$D$343="","",[1]Accounts!$D$343)</f>
        <v/>
      </c>
      <c r="E342">
        <f>IF([1]Accounts!$D$343="","",[1]Accounts!$J$343)</f>
        <v/>
      </c>
      <c r="F342">
        <f>IF([1]Accounts!$D$343="","",[1]Accounts!$K$343)</f>
        <v/>
      </c>
      <c r="J342">
        <f>IF([2]Entry!$C$345="","",[2]Entry!$C$345)</f>
        <v/>
      </c>
      <c r="K342">
        <f>IF([2]Entry!$D$345="","",[2]Entry!$D$345)</f>
        <v/>
      </c>
      <c r="L342">
        <f>IF([2]Entry!$E$345="","",[2]Entry!$E$345)</f>
        <v/>
      </c>
      <c r="M342">
        <f>IF([2]Entry!$G$345="","",[2]Entry!$G$345)</f>
        <v/>
      </c>
      <c r="N342">
        <f>IF([2]Entry!$M$345="","",[2]Entry!$M$345)</f>
        <v/>
      </c>
      <c r="O342">
        <f>IF([2]Entry!$N$345="","",[2]Entry!$N$345)</f>
        <v/>
      </c>
      <c r="P342">
        <f>IF([2]Entry!$R$345="","",[2]Entry!$R$345)</f>
        <v/>
      </c>
    </row>
    <row r="343">
      <c r="A343">
        <f>IF([1]Accounts!$D$344="","",[1]Accounts!$A$344)</f>
        <v/>
      </c>
      <c r="B343">
        <f>IF([1]Accounts!$D$344="","",[1]Accounts!$B$344)</f>
        <v/>
      </c>
      <c r="C343">
        <f>IF([1]Accounts!$D$344="","",[1]Accounts!$C$344)</f>
        <v/>
      </c>
      <c r="D343">
        <f>IF([1]Accounts!$D$344="","",[1]Accounts!$D$344)</f>
        <v/>
      </c>
      <c r="E343">
        <f>IF([1]Accounts!$D$344="","",[1]Accounts!$J$344)</f>
        <v/>
      </c>
      <c r="F343">
        <f>IF([1]Accounts!$D$344="","",[1]Accounts!$K$344)</f>
        <v/>
      </c>
      <c r="J343">
        <f>IF([2]Entry!$C$346="","",[2]Entry!$C$346)</f>
        <v/>
      </c>
      <c r="K343">
        <f>IF([2]Entry!$D$346="","",[2]Entry!$D$346)</f>
        <v/>
      </c>
      <c r="L343">
        <f>IF([2]Entry!$E$346="","",[2]Entry!$E$346)</f>
        <v/>
      </c>
      <c r="M343">
        <f>IF([2]Entry!$G$346="","",[2]Entry!$G$346)</f>
        <v/>
      </c>
      <c r="N343">
        <f>IF([2]Entry!$M$346="","",[2]Entry!$M$346)</f>
        <v/>
      </c>
      <c r="O343">
        <f>IF([2]Entry!$N$346="","",[2]Entry!$N$346)</f>
        <v/>
      </c>
      <c r="P343">
        <f>IF([2]Entry!$R$346="","",[2]Entry!$R$346)</f>
        <v/>
      </c>
    </row>
    <row r="344">
      <c r="A344">
        <f>IF([1]Accounts!$D$345="","",[1]Accounts!$A$345)</f>
        <v/>
      </c>
      <c r="B344">
        <f>IF([1]Accounts!$D$345="","",[1]Accounts!$B$345)</f>
        <v/>
      </c>
      <c r="C344">
        <f>IF([1]Accounts!$D$345="","",[1]Accounts!$C$345)</f>
        <v/>
      </c>
      <c r="D344">
        <f>IF([1]Accounts!$D$345="","",[1]Accounts!$D$345)</f>
        <v/>
      </c>
      <c r="E344">
        <f>IF([1]Accounts!$D$345="","",[1]Accounts!$J$345)</f>
        <v/>
      </c>
      <c r="F344">
        <f>IF([1]Accounts!$D$345="","",[1]Accounts!$K$345)</f>
        <v/>
      </c>
      <c r="J344">
        <f>IF([2]Entry!$C$347="","",[2]Entry!$C$347)</f>
        <v/>
      </c>
      <c r="K344">
        <f>IF([2]Entry!$D$347="","",[2]Entry!$D$347)</f>
        <v/>
      </c>
      <c r="L344">
        <f>IF([2]Entry!$E$347="","",[2]Entry!$E$347)</f>
        <v/>
      </c>
      <c r="M344">
        <f>IF([2]Entry!$G$347="","",[2]Entry!$G$347)</f>
        <v/>
      </c>
      <c r="N344">
        <f>IF([2]Entry!$M$347="","",[2]Entry!$M$347)</f>
        <v/>
      </c>
      <c r="O344">
        <f>IF([2]Entry!$N$347="","",[2]Entry!$N$347)</f>
        <v/>
      </c>
      <c r="P344">
        <f>IF([2]Entry!$R$347="","",[2]Entry!$R$347)</f>
        <v/>
      </c>
    </row>
    <row r="345">
      <c r="A345">
        <f>IF([1]Accounts!$D$346="","",[1]Accounts!$A$346)</f>
        <v/>
      </c>
      <c r="B345">
        <f>IF([1]Accounts!$D$346="","",[1]Accounts!$B$346)</f>
        <v/>
      </c>
      <c r="C345">
        <f>IF([1]Accounts!$D$346="","",[1]Accounts!$C$346)</f>
        <v/>
      </c>
      <c r="D345">
        <f>IF([1]Accounts!$D$346="","",[1]Accounts!$D$346)</f>
        <v/>
      </c>
      <c r="E345">
        <f>IF([1]Accounts!$D$346="","",[1]Accounts!$J$346)</f>
        <v/>
      </c>
      <c r="F345">
        <f>IF([1]Accounts!$D$346="","",[1]Accounts!$K$346)</f>
        <v/>
      </c>
      <c r="J345">
        <f>IF([2]Entry!$C$348="","",[2]Entry!$C$348)</f>
        <v/>
      </c>
      <c r="K345">
        <f>IF([2]Entry!$D$348="","",[2]Entry!$D$348)</f>
        <v/>
      </c>
      <c r="L345">
        <f>IF([2]Entry!$E$348="","",[2]Entry!$E$348)</f>
        <v/>
      </c>
      <c r="M345">
        <f>IF([2]Entry!$G$348="","",[2]Entry!$G$348)</f>
        <v/>
      </c>
      <c r="N345">
        <f>IF([2]Entry!$M$348="","",[2]Entry!$M$348)</f>
        <v/>
      </c>
      <c r="O345">
        <f>IF([2]Entry!$N$348="","",[2]Entry!$N$348)</f>
        <v/>
      </c>
      <c r="P345">
        <f>IF([2]Entry!$R$348="","",[2]Entry!$R$348)</f>
        <v/>
      </c>
    </row>
    <row r="346">
      <c r="A346">
        <f>IF([1]Accounts!$D$347="","",[1]Accounts!$A$347)</f>
        <v/>
      </c>
      <c r="B346">
        <f>IF([1]Accounts!$D$347="","",[1]Accounts!$B$347)</f>
        <v/>
      </c>
      <c r="C346">
        <f>IF([1]Accounts!$D$347="","",[1]Accounts!$C$347)</f>
        <v/>
      </c>
      <c r="D346">
        <f>IF([1]Accounts!$D$347="","",[1]Accounts!$D$347)</f>
        <v/>
      </c>
      <c r="E346">
        <f>IF([1]Accounts!$D$347="","",[1]Accounts!$J$347)</f>
        <v/>
      </c>
      <c r="F346">
        <f>IF([1]Accounts!$D$347="","",[1]Accounts!$K$347)</f>
        <v/>
      </c>
      <c r="J346">
        <f>IF([2]Entry!$C$349="","",[2]Entry!$C$349)</f>
        <v/>
      </c>
      <c r="K346">
        <f>IF([2]Entry!$D$349="","",[2]Entry!$D$349)</f>
        <v/>
      </c>
      <c r="L346">
        <f>IF([2]Entry!$E$349="","",[2]Entry!$E$349)</f>
        <v/>
      </c>
      <c r="M346">
        <f>IF([2]Entry!$G$349="","",[2]Entry!$G$349)</f>
        <v/>
      </c>
      <c r="N346">
        <f>IF([2]Entry!$M$349="","",[2]Entry!$M$349)</f>
        <v/>
      </c>
      <c r="O346">
        <f>IF([2]Entry!$N$349="","",[2]Entry!$N$349)</f>
        <v/>
      </c>
      <c r="P346">
        <f>IF([2]Entry!$R$349="","",[2]Entry!$R$349)</f>
        <v/>
      </c>
    </row>
    <row r="347">
      <c r="A347">
        <f>IF([1]Accounts!$D$348="","",[1]Accounts!$A$348)</f>
        <v/>
      </c>
      <c r="B347">
        <f>IF([1]Accounts!$D$348="","",[1]Accounts!$B$348)</f>
        <v/>
      </c>
      <c r="C347">
        <f>IF([1]Accounts!$D$348="","",[1]Accounts!$C$348)</f>
        <v/>
      </c>
      <c r="D347">
        <f>IF([1]Accounts!$D$348="","",[1]Accounts!$D$348)</f>
        <v/>
      </c>
      <c r="E347">
        <f>IF([1]Accounts!$D$348="","",[1]Accounts!$J$348)</f>
        <v/>
      </c>
      <c r="F347">
        <f>IF([1]Accounts!$D$348="","",[1]Accounts!$K$348)</f>
        <v/>
      </c>
      <c r="J347">
        <f>IF([2]Entry!$C$350="","",[2]Entry!$C$350)</f>
        <v/>
      </c>
      <c r="K347">
        <f>IF([2]Entry!$D$350="","",[2]Entry!$D$350)</f>
        <v/>
      </c>
      <c r="L347">
        <f>IF([2]Entry!$E$350="","",[2]Entry!$E$350)</f>
        <v/>
      </c>
      <c r="M347">
        <f>IF([2]Entry!$G$350="","",[2]Entry!$G$350)</f>
        <v/>
      </c>
      <c r="N347">
        <f>IF([2]Entry!$M$350="","",[2]Entry!$M$350)</f>
        <v/>
      </c>
      <c r="O347">
        <f>IF([2]Entry!$N$350="","",[2]Entry!$N$350)</f>
        <v/>
      </c>
      <c r="P347">
        <f>IF([2]Entry!$R$350="","",[2]Entry!$R$350)</f>
        <v/>
      </c>
    </row>
    <row r="348">
      <c r="A348">
        <f>IF([1]Accounts!$D$349="","",[1]Accounts!$A$349)</f>
        <v/>
      </c>
      <c r="B348">
        <f>IF([1]Accounts!$D$349="","",[1]Accounts!$B$349)</f>
        <v/>
      </c>
      <c r="C348">
        <f>IF([1]Accounts!$D$349="","",[1]Accounts!$C$349)</f>
        <v/>
      </c>
      <c r="D348">
        <f>IF([1]Accounts!$D$349="","",[1]Accounts!$D$349)</f>
        <v/>
      </c>
      <c r="E348">
        <f>IF([1]Accounts!$D$349="","",[1]Accounts!$J$349)</f>
        <v/>
      </c>
      <c r="F348">
        <f>IF([1]Accounts!$D$349="","",[1]Accounts!$K$349)</f>
        <v/>
      </c>
      <c r="J348">
        <f>IF([2]Entry!$C$351="","",[2]Entry!$C$351)</f>
        <v/>
      </c>
      <c r="K348">
        <f>IF([2]Entry!$D$351="","",[2]Entry!$D$351)</f>
        <v/>
      </c>
      <c r="L348">
        <f>IF([2]Entry!$E$351="","",[2]Entry!$E$351)</f>
        <v/>
      </c>
      <c r="M348">
        <f>IF([2]Entry!$G$351="","",[2]Entry!$G$351)</f>
        <v/>
      </c>
      <c r="N348">
        <f>IF([2]Entry!$M$351="","",[2]Entry!$M$351)</f>
        <v/>
      </c>
      <c r="O348">
        <f>IF([2]Entry!$N$351="","",[2]Entry!$N$351)</f>
        <v/>
      </c>
      <c r="P348">
        <f>IF([2]Entry!$R$351="","",[2]Entry!$R$351)</f>
        <v/>
      </c>
    </row>
    <row r="349">
      <c r="A349">
        <f>IF([1]Accounts!$D$350="","",[1]Accounts!$A$350)</f>
        <v/>
      </c>
      <c r="B349">
        <f>IF([1]Accounts!$D$350="","",[1]Accounts!$B$350)</f>
        <v/>
      </c>
      <c r="C349">
        <f>IF([1]Accounts!$D$350="","",[1]Accounts!$C$350)</f>
        <v/>
      </c>
      <c r="D349">
        <f>IF([1]Accounts!$D$350="","",[1]Accounts!$D$350)</f>
        <v/>
      </c>
      <c r="E349">
        <f>IF([1]Accounts!$D$350="","",[1]Accounts!$J$350)</f>
        <v/>
      </c>
      <c r="F349">
        <f>IF([1]Accounts!$D$350="","",[1]Accounts!$K$350)</f>
        <v/>
      </c>
      <c r="J349">
        <f>IF([2]Entry!$C$352="","",[2]Entry!$C$352)</f>
        <v/>
      </c>
      <c r="K349">
        <f>IF([2]Entry!$D$352="","",[2]Entry!$D$352)</f>
        <v/>
      </c>
      <c r="L349">
        <f>IF([2]Entry!$E$352="","",[2]Entry!$E$352)</f>
        <v/>
      </c>
      <c r="M349">
        <f>IF([2]Entry!$G$352="","",[2]Entry!$G$352)</f>
        <v/>
      </c>
      <c r="N349">
        <f>IF([2]Entry!$M$352="","",[2]Entry!$M$352)</f>
        <v/>
      </c>
      <c r="O349">
        <f>IF([2]Entry!$N$352="","",[2]Entry!$N$352)</f>
        <v/>
      </c>
      <c r="P349">
        <f>IF([2]Entry!$R$352="","",[2]Entry!$R$352)</f>
        <v/>
      </c>
    </row>
    <row r="350">
      <c r="A350">
        <f>IF([1]Accounts!$D$351="","",[1]Accounts!$A$351)</f>
        <v/>
      </c>
      <c r="B350">
        <f>IF([1]Accounts!$D$351="","",[1]Accounts!$B$351)</f>
        <v/>
      </c>
      <c r="C350">
        <f>IF([1]Accounts!$D$351="","",[1]Accounts!$C$351)</f>
        <v/>
      </c>
      <c r="D350">
        <f>IF([1]Accounts!$D$351="","",[1]Accounts!$D$351)</f>
        <v/>
      </c>
      <c r="E350">
        <f>IF([1]Accounts!$D$351="","",[1]Accounts!$J$351)</f>
        <v/>
      </c>
      <c r="F350">
        <f>IF([1]Accounts!$D$351="","",[1]Accounts!$K$351)</f>
        <v/>
      </c>
      <c r="J350">
        <f>IF([2]Entry!$C$353="","",[2]Entry!$C$353)</f>
        <v/>
      </c>
      <c r="K350">
        <f>IF([2]Entry!$D$353="","",[2]Entry!$D$353)</f>
        <v/>
      </c>
      <c r="L350">
        <f>IF([2]Entry!$E$353="","",[2]Entry!$E$353)</f>
        <v/>
      </c>
      <c r="M350">
        <f>IF([2]Entry!$G$353="","",[2]Entry!$G$353)</f>
        <v/>
      </c>
      <c r="N350">
        <f>IF([2]Entry!$M$353="","",[2]Entry!$M$353)</f>
        <v/>
      </c>
      <c r="O350">
        <f>IF([2]Entry!$N$353="","",[2]Entry!$N$353)</f>
        <v/>
      </c>
      <c r="P350">
        <f>IF([2]Entry!$R$353="","",[2]Entry!$R$353)</f>
        <v/>
      </c>
    </row>
    <row r="351">
      <c r="A351">
        <f>IF([1]Accounts!$D$352="","",[1]Accounts!$A$352)</f>
        <v/>
      </c>
      <c r="B351">
        <f>IF([1]Accounts!$D$352="","",[1]Accounts!$B$352)</f>
        <v/>
      </c>
      <c r="C351">
        <f>IF([1]Accounts!$D$352="","",[1]Accounts!$C$352)</f>
        <v/>
      </c>
      <c r="D351">
        <f>IF([1]Accounts!$D$352="","",[1]Accounts!$D$352)</f>
        <v/>
      </c>
      <c r="E351">
        <f>IF([1]Accounts!$D$352="","",[1]Accounts!$J$352)</f>
        <v/>
      </c>
      <c r="F351">
        <f>IF([1]Accounts!$D$352="","",[1]Accounts!$K$352)</f>
        <v/>
      </c>
      <c r="J351">
        <f>IF([2]Entry!$C$354="","",[2]Entry!$C$354)</f>
        <v/>
      </c>
      <c r="K351">
        <f>IF([2]Entry!$D$354="","",[2]Entry!$D$354)</f>
        <v/>
      </c>
      <c r="L351">
        <f>IF([2]Entry!$E$354="","",[2]Entry!$E$354)</f>
        <v/>
      </c>
      <c r="M351">
        <f>IF([2]Entry!$G$354="","",[2]Entry!$G$354)</f>
        <v/>
      </c>
      <c r="N351">
        <f>IF([2]Entry!$M$354="","",[2]Entry!$M$354)</f>
        <v/>
      </c>
      <c r="O351">
        <f>IF([2]Entry!$N$354="","",[2]Entry!$N$354)</f>
        <v/>
      </c>
      <c r="P351">
        <f>IF([2]Entry!$R$354="","",[2]Entry!$R$354)</f>
        <v/>
      </c>
    </row>
    <row r="352">
      <c r="A352">
        <f>IF([1]Accounts!$D$353="","",[1]Accounts!$A$353)</f>
        <v/>
      </c>
      <c r="B352">
        <f>IF([1]Accounts!$D$353="","",[1]Accounts!$B$353)</f>
        <v/>
      </c>
      <c r="C352">
        <f>IF([1]Accounts!$D$353="","",[1]Accounts!$C$353)</f>
        <v/>
      </c>
      <c r="D352">
        <f>IF([1]Accounts!$D$353="","",[1]Accounts!$D$353)</f>
        <v/>
      </c>
      <c r="E352">
        <f>IF([1]Accounts!$D$353="","",[1]Accounts!$J$353)</f>
        <v/>
      </c>
      <c r="F352">
        <f>IF([1]Accounts!$D$353="","",[1]Accounts!$K$353)</f>
        <v/>
      </c>
      <c r="J352">
        <f>IF([2]Entry!$C$355="","",[2]Entry!$C$355)</f>
        <v/>
      </c>
      <c r="K352">
        <f>IF([2]Entry!$D$355="","",[2]Entry!$D$355)</f>
        <v/>
      </c>
      <c r="L352">
        <f>IF([2]Entry!$E$355="","",[2]Entry!$E$355)</f>
        <v/>
      </c>
      <c r="M352">
        <f>IF([2]Entry!$G$355="","",[2]Entry!$G$355)</f>
        <v/>
      </c>
      <c r="N352">
        <f>IF([2]Entry!$M$355="","",[2]Entry!$M$355)</f>
        <v/>
      </c>
      <c r="O352">
        <f>IF([2]Entry!$N$355="","",[2]Entry!$N$355)</f>
        <v/>
      </c>
      <c r="P352">
        <f>IF([2]Entry!$R$355="","",[2]Entry!$R$355)</f>
        <v/>
      </c>
    </row>
    <row r="353">
      <c r="A353">
        <f>IF([1]Accounts!$D$354="","",[1]Accounts!$A$354)</f>
        <v/>
      </c>
      <c r="B353">
        <f>IF([1]Accounts!$D$354="","",[1]Accounts!$B$354)</f>
        <v/>
      </c>
      <c r="C353">
        <f>IF([1]Accounts!$D$354="","",[1]Accounts!$C$354)</f>
        <v/>
      </c>
      <c r="D353">
        <f>IF([1]Accounts!$D$354="","",[1]Accounts!$D$354)</f>
        <v/>
      </c>
      <c r="E353">
        <f>IF([1]Accounts!$D$354="","",[1]Accounts!$J$354)</f>
        <v/>
      </c>
      <c r="F353">
        <f>IF([1]Accounts!$D$354="","",[1]Accounts!$K$354)</f>
        <v/>
      </c>
      <c r="J353">
        <f>IF([2]Entry!$C$356="","",[2]Entry!$C$356)</f>
        <v/>
      </c>
      <c r="K353">
        <f>IF([2]Entry!$D$356="","",[2]Entry!$D$356)</f>
        <v/>
      </c>
      <c r="L353">
        <f>IF([2]Entry!$E$356="","",[2]Entry!$E$356)</f>
        <v/>
      </c>
      <c r="M353">
        <f>IF([2]Entry!$G$356="","",[2]Entry!$G$356)</f>
        <v/>
      </c>
      <c r="N353">
        <f>IF([2]Entry!$M$356="","",[2]Entry!$M$356)</f>
        <v/>
      </c>
      <c r="O353">
        <f>IF([2]Entry!$N$356="","",[2]Entry!$N$356)</f>
        <v/>
      </c>
      <c r="P353">
        <f>IF([2]Entry!$R$356="","",[2]Entry!$R$356)</f>
        <v/>
      </c>
    </row>
    <row r="354">
      <c r="A354">
        <f>IF([1]Accounts!$D$355="","",[1]Accounts!$A$355)</f>
        <v/>
      </c>
      <c r="B354">
        <f>IF([1]Accounts!$D$355="","",[1]Accounts!$B$355)</f>
        <v/>
      </c>
      <c r="C354">
        <f>IF([1]Accounts!$D$355="","",[1]Accounts!$C$355)</f>
        <v/>
      </c>
      <c r="D354">
        <f>IF([1]Accounts!$D$355="","",[1]Accounts!$D$355)</f>
        <v/>
      </c>
      <c r="E354">
        <f>IF([1]Accounts!$D$355="","",[1]Accounts!$J$355)</f>
        <v/>
      </c>
      <c r="F354">
        <f>IF([1]Accounts!$D$355="","",[1]Accounts!$K$355)</f>
        <v/>
      </c>
      <c r="J354">
        <f>IF([2]Entry!$C$357="","",[2]Entry!$C$357)</f>
        <v/>
      </c>
      <c r="K354">
        <f>IF([2]Entry!$D$357="","",[2]Entry!$D$357)</f>
        <v/>
      </c>
      <c r="L354">
        <f>IF([2]Entry!$E$357="","",[2]Entry!$E$357)</f>
        <v/>
      </c>
      <c r="M354">
        <f>IF([2]Entry!$G$357="","",[2]Entry!$G$357)</f>
        <v/>
      </c>
      <c r="N354">
        <f>IF([2]Entry!$M$357="","",[2]Entry!$M$357)</f>
        <v/>
      </c>
      <c r="O354">
        <f>IF([2]Entry!$N$357="","",[2]Entry!$N$357)</f>
        <v/>
      </c>
      <c r="P354">
        <f>IF([2]Entry!$R$357="","",[2]Entry!$R$357)</f>
        <v/>
      </c>
    </row>
    <row r="355">
      <c r="A355">
        <f>IF([1]Accounts!$D$356="","",[1]Accounts!$A$356)</f>
        <v/>
      </c>
      <c r="B355">
        <f>IF([1]Accounts!$D$356="","",[1]Accounts!$B$356)</f>
        <v/>
      </c>
      <c r="C355">
        <f>IF([1]Accounts!$D$356="","",[1]Accounts!$C$356)</f>
        <v/>
      </c>
      <c r="D355">
        <f>IF([1]Accounts!$D$356="","",[1]Accounts!$D$356)</f>
        <v/>
      </c>
      <c r="E355">
        <f>IF([1]Accounts!$D$356="","",[1]Accounts!$J$356)</f>
        <v/>
      </c>
      <c r="F355">
        <f>IF([1]Accounts!$D$356="","",[1]Accounts!$K$356)</f>
        <v/>
      </c>
      <c r="J355">
        <f>IF([2]Entry!$C$358="","",[2]Entry!$C$358)</f>
        <v/>
      </c>
      <c r="K355">
        <f>IF([2]Entry!$D$358="","",[2]Entry!$D$358)</f>
        <v/>
      </c>
      <c r="L355">
        <f>IF([2]Entry!$E$358="","",[2]Entry!$E$358)</f>
        <v/>
      </c>
      <c r="M355">
        <f>IF([2]Entry!$G$358="","",[2]Entry!$G$358)</f>
        <v/>
      </c>
      <c r="N355">
        <f>IF([2]Entry!$M$358="","",[2]Entry!$M$358)</f>
        <v/>
      </c>
      <c r="O355">
        <f>IF([2]Entry!$N$358="","",[2]Entry!$N$358)</f>
        <v/>
      </c>
      <c r="P355">
        <f>IF([2]Entry!$R$358="","",[2]Entry!$R$358)</f>
        <v/>
      </c>
    </row>
    <row r="356">
      <c r="A356">
        <f>IF([1]Accounts!$D$357="","",[1]Accounts!$A$357)</f>
        <v/>
      </c>
      <c r="B356">
        <f>IF([1]Accounts!$D$357="","",[1]Accounts!$B$357)</f>
        <v/>
      </c>
      <c r="C356">
        <f>IF([1]Accounts!$D$357="","",[1]Accounts!$C$357)</f>
        <v/>
      </c>
      <c r="D356">
        <f>IF([1]Accounts!$D$357="","",[1]Accounts!$D$357)</f>
        <v/>
      </c>
      <c r="E356">
        <f>IF([1]Accounts!$D$357="","",[1]Accounts!$J$357)</f>
        <v/>
      </c>
      <c r="F356">
        <f>IF([1]Accounts!$D$357="","",[1]Accounts!$K$357)</f>
        <v/>
      </c>
      <c r="J356">
        <f>IF([2]Entry!$C$359="","",[2]Entry!$C$359)</f>
        <v/>
      </c>
      <c r="K356">
        <f>IF([2]Entry!$D$359="","",[2]Entry!$D$359)</f>
        <v/>
      </c>
      <c r="L356">
        <f>IF([2]Entry!$E$359="","",[2]Entry!$E$359)</f>
        <v/>
      </c>
      <c r="M356">
        <f>IF([2]Entry!$G$359="","",[2]Entry!$G$359)</f>
        <v/>
      </c>
      <c r="N356">
        <f>IF([2]Entry!$M$359="","",[2]Entry!$M$359)</f>
        <v/>
      </c>
      <c r="O356">
        <f>IF([2]Entry!$N$359="","",[2]Entry!$N$359)</f>
        <v/>
      </c>
      <c r="P356">
        <f>IF([2]Entry!$R$359="","",[2]Entry!$R$359)</f>
        <v/>
      </c>
    </row>
    <row r="357">
      <c r="A357">
        <f>IF([1]Accounts!$D$358="","",[1]Accounts!$A$358)</f>
        <v/>
      </c>
      <c r="B357">
        <f>IF([1]Accounts!$D$358="","",[1]Accounts!$B$358)</f>
        <v/>
      </c>
      <c r="C357">
        <f>IF([1]Accounts!$D$358="","",[1]Accounts!$C$358)</f>
        <v/>
      </c>
      <c r="D357">
        <f>IF([1]Accounts!$D$358="","",[1]Accounts!$D$358)</f>
        <v/>
      </c>
      <c r="E357">
        <f>IF([1]Accounts!$D$358="","",[1]Accounts!$J$358)</f>
        <v/>
      </c>
      <c r="F357">
        <f>IF([1]Accounts!$D$358="","",[1]Accounts!$K$358)</f>
        <v/>
      </c>
      <c r="J357">
        <f>IF([2]Entry!$C$360="","",[2]Entry!$C$360)</f>
        <v/>
      </c>
      <c r="K357">
        <f>IF([2]Entry!$D$360="","",[2]Entry!$D$360)</f>
        <v/>
      </c>
      <c r="L357">
        <f>IF([2]Entry!$E$360="","",[2]Entry!$E$360)</f>
        <v/>
      </c>
      <c r="M357">
        <f>IF([2]Entry!$G$360="","",[2]Entry!$G$360)</f>
        <v/>
      </c>
      <c r="N357">
        <f>IF([2]Entry!$M$360="","",[2]Entry!$M$360)</f>
        <v/>
      </c>
      <c r="O357">
        <f>IF([2]Entry!$N$360="","",[2]Entry!$N$360)</f>
        <v/>
      </c>
      <c r="P357">
        <f>IF([2]Entry!$R$360="","",[2]Entry!$R$360)</f>
        <v/>
      </c>
    </row>
    <row r="358">
      <c r="A358">
        <f>IF([1]Accounts!$D$359="","",[1]Accounts!$A$359)</f>
        <v/>
      </c>
      <c r="B358">
        <f>IF([1]Accounts!$D$359="","",[1]Accounts!$B$359)</f>
        <v/>
      </c>
      <c r="C358">
        <f>IF([1]Accounts!$D$359="","",[1]Accounts!$C$359)</f>
        <v/>
      </c>
      <c r="D358">
        <f>IF([1]Accounts!$D$359="","",[1]Accounts!$D$359)</f>
        <v/>
      </c>
      <c r="E358">
        <f>IF([1]Accounts!$D$359="","",[1]Accounts!$J$359)</f>
        <v/>
      </c>
      <c r="F358">
        <f>IF([1]Accounts!$D$359="","",[1]Accounts!$K$359)</f>
        <v/>
      </c>
      <c r="J358">
        <f>IF([2]Entry!$C$361="","",[2]Entry!$C$361)</f>
        <v/>
      </c>
      <c r="K358">
        <f>IF([2]Entry!$D$361="","",[2]Entry!$D$361)</f>
        <v/>
      </c>
      <c r="L358">
        <f>IF([2]Entry!$E$361="","",[2]Entry!$E$361)</f>
        <v/>
      </c>
      <c r="M358">
        <f>IF([2]Entry!$G$361="","",[2]Entry!$G$361)</f>
        <v/>
      </c>
      <c r="N358">
        <f>IF([2]Entry!$M$361="","",[2]Entry!$M$361)</f>
        <v/>
      </c>
      <c r="O358">
        <f>IF([2]Entry!$N$361="","",[2]Entry!$N$361)</f>
        <v/>
      </c>
      <c r="P358">
        <f>IF([2]Entry!$R$361="","",[2]Entry!$R$361)</f>
        <v/>
      </c>
    </row>
    <row r="359">
      <c r="A359">
        <f>IF([1]Accounts!$D$360="","",[1]Accounts!$A$360)</f>
        <v/>
      </c>
      <c r="B359">
        <f>IF([1]Accounts!$D$360="","",[1]Accounts!$B$360)</f>
        <v/>
      </c>
      <c r="C359">
        <f>IF([1]Accounts!$D$360="","",[1]Accounts!$C$360)</f>
        <v/>
      </c>
      <c r="D359">
        <f>IF([1]Accounts!$D$360="","",[1]Accounts!$D$360)</f>
        <v/>
      </c>
      <c r="E359">
        <f>IF([1]Accounts!$D$360="","",[1]Accounts!$J$360)</f>
        <v/>
      </c>
      <c r="F359">
        <f>IF([1]Accounts!$D$360="","",[1]Accounts!$K$360)</f>
        <v/>
      </c>
      <c r="J359">
        <f>IF([2]Entry!$C$362="","",[2]Entry!$C$362)</f>
        <v/>
      </c>
      <c r="K359">
        <f>IF([2]Entry!$D$362="","",[2]Entry!$D$362)</f>
        <v/>
      </c>
      <c r="L359">
        <f>IF([2]Entry!$E$362="","",[2]Entry!$E$362)</f>
        <v/>
      </c>
      <c r="M359">
        <f>IF([2]Entry!$G$362="","",[2]Entry!$G$362)</f>
        <v/>
      </c>
      <c r="N359">
        <f>IF([2]Entry!$M$362="","",[2]Entry!$M$362)</f>
        <v/>
      </c>
      <c r="O359">
        <f>IF([2]Entry!$N$362="","",[2]Entry!$N$362)</f>
        <v/>
      </c>
      <c r="P359">
        <f>IF([2]Entry!$R$362="","",[2]Entry!$R$362)</f>
        <v/>
      </c>
    </row>
    <row r="360">
      <c r="A360">
        <f>IF([1]Accounts!$D$361="","",[1]Accounts!$A$361)</f>
        <v/>
      </c>
      <c r="B360">
        <f>IF([1]Accounts!$D$361="","",[1]Accounts!$B$361)</f>
        <v/>
      </c>
      <c r="C360">
        <f>IF([1]Accounts!$D$361="","",[1]Accounts!$C$361)</f>
        <v/>
      </c>
      <c r="D360">
        <f>IF([1]Accounts!$D$361="","",[1]Accounts!$D$361)</f>
        <v/>
      </c>
      <c r="E360">
        <f>IF([1]Accounts!$D$361="","",[1]Accounts!$J$361)</f>
        <v/>
      </c>
      <c r="F360">
        <f>IF([1]Accounts!$D$361="","",[1]Accounts!$K$361)</f>
        <v/>
      </c>
      <c r="J360">
        <f>IF([2]Entry!$C$363="","",[2]Entry!$C$363)</f>
        <v/>
      </c>
      <c r="K360">
        <f>IF([2]Entry!$D$363="","",[2]Entry!$D$363)</f>
        <v/>
      </c>
      <c r="L360">
        <f>IF([2]Entry!$E$363="","",[2]Entry!$E$363)</f>
        <v/>
      </c>
      <c r="M360">
        <f>IF([2]Entry!$G$363="","",[2]Entry!$G$363)</f>
        <v/>
      </c>
      <c r="N360">
        <f>IF([2]Entry!$M$363="","",[2]Entry!$M$363)</f>
        <v/>
      </c>
      <c r="O360">
        <f>IF([2]Entry!$N$363="","",[2]Entry!$N$363)</f>
        <v/>
      </c>
      <c r="P360">
        <f>IF([2]Entry!$R$363="","",[2]Entry!$R$363)</f>
        <v/>
      </c>
    </row>
    <row r="361">
      <c r="A361">
        <f>IF([1]Accounts!$D$362="","",[1]Accounts!$A$362)</f>
        <v/>
      </c>
      <c r="B361">
        <f>IF([1]Accounts!$D$362="","",[1]Accounts!$B$362)</f>
        <v/>
      </c>
      <c r="C361">
        <f>IF([1]Accounts!$D$362="","",[1]Accounts!$C$362)</f>
        <v/>
      </c>
      <c r="D361">
        <f>IF([1]Accounts!$D$362="","",[1]Accounts!$D$362)</f>
        <v/>
      </c>
      <c r="E361">
        <f>IF([1]Accounts!$D$362="","",[1]Accounts!$J$362)</f>
        <v/>
      </c>
      <c r="F361">
        <f>IF([1]Accounts!$D$362="","",[1]Accounts!$K$362)</f>
        <v/>
      </c>
      <c r="J361">
        <f>IF([2]Entry!$C$364="","",[2]Entry!$C$364)</f>
        <v/>
      </c>
      <c r="K361">
        <f>IF([2]Entry!$D$364="","",[2]Entry!$D$364)</f>
        <v/>
      </c>
      <c r="L361">
        <f>IF([2]Entry!$E$364="","",[2]Entry!$E$364)</f>
        <v/>
      </c>
      <c r="M361">
        <f>IF([2]Entry!$G$364="","",[2]Entry!$G$364)</f>
        <v/>
      </c>
      <c r="N361">
        <f>IF([2]Entry!$M$364="","",[2]Entry!$M$364)</f>
        <v/>
      </c>
      <c r="O361">
        <f>IF([2]Entry!$N$364="","",[2]Entry!$N$364)</f>
        <v/>
      </c>
      <c r="P361">
        <f>IF([2]Entry!$R$364="","",[2]Entry!$R$364)</f>
        <v/>
      </c>
    </row>
    <row r="362">
      <c r="A362">
        <f>IF([1]Accounts!$D$363="","",[1]Accounts!$A$363)</f>
        <v/>
      </c>
      <c r="B362">
        <f>IF([1]Accounts!$D$363="","",[1]Accounts!$B$363)</f>
        <v/>
      </c>
      <c r="C362">
        <f>IF([1]Accounts!$D$363="","",[1]Accounts!$C$363)</f>
        <v/>
      </c>
      <c r="D362">
        <f>IF([1]Accounts!$D$363="","",[1]Accounts!$D$363)</f>
        <v/>
      </c>
      <c r="E362">
        <f>IF([1]Accounts!$D$363="","",[1]Accounts!$J$363)</f>
        <v/>
      </c>
      <c r="F362">
        <f>IF([1]Accounts!$D$363="","",[1]Accounts!$K$363)</f>
        <v/>
      </c>
      <c r="J362">
        <f>IF([2]Entry!$C$365="","",[2]Entry!$C$365)</f>
        <v/>
      </c>
      <c r="K362">
        <f>IF([2]Entry!$D$365="","",[2]Entry!$D$365)</f>
        <v/>
      </c>
      <c r="L362">
        <f>IF([2]Entry!$E$365="","",[2]Entry!$E$365)</f>
        <v/>
      </c>
      <c r="M362">
        <f>IF([2]Entry!$G$365="","",[2]Entry!$G$365)</f>
        <v/>
      </c>
      <c r="N362">
        <f>IF([2]Entry!$M$365="","",[2]Entry!$M$365)</f>
        <v/>
      </c>
      <c r="O362">
        <f>IF([2]Entry!$N$365="","",[2]Entry!$N$365)</f>
        <v/>
      </c>
      <c r="P362">
        <f>IF([2]Entry!$R$365="","",[2]Entry!$R$365)</f>
        <v/>
      </c>
    </row>
    <row r="363">
      <c r="A363">
        <f>IF([1]Accounts!$D$364="","",[1]Accounts!$A$364)</f>
        <v/>
      </c>
      <c r="B363">
        <f>IF([1]Accounts!$D$364="","",[1]Accounts!$B$364)</f>
        <v/>
      </c>
      <c r="C363">
        <f>IF([1]Accounts!$D$364="","",[1]Accounts!$C$364)</f>
        <v/>
      </c>
      <c r="D363">
        <f>IF([1]Accounts!$D$364="","",[1]Accounts!$D$364)</f>
        <v/>
      </c>
      <c r="E363">
        <f>IF([1]Accounts!$D$364="","",[1]Accounts!$J$364)</f>
        <v/>
      </c>
      <c r="F363">
        <f>IF([1]Accounts!$D$364="","",[1]Accounts!$K$364)</f>
        <v/>
      </c>
      <c r="J363">
        <f>IF([2]Entry!$C$366="","",[2]Entry!$C$366)</f>
        <v/>
      </c>
      <c r="K363">
        <f>IF([2]Entry!$D$366="","",[2]Entry!$D$366)</f>
        <v/>
      </c>
      <c r="L363">
        <f>IF([2]Entry!$E$366="","",[2]Entry!$E$366)</f>
        <v/>
      </c>
      <c r="M363">
        <f>IF([2]Entry!$G$366="","",[2]Entry!$G$366)</f>
        <v/>
      </c>
      <c r="N363">
        <f>IF([2]Entry!$M$366="","",[2]Entry!$M$366)</f>
        <v/>
      </c>
      <c r="O363">
        <f>IF([2]Entry!$N$366="","",[2]Entry!$N$366)</f>
        <v/>
      </c>
      <c r="P363">
        <f>IF([2]Entry!$R$366="","",[2]Entry!$R$366)</f>
        <v/>
      </c>
    </row>
    <row r="364">
      <c r="A364">
        <f>IF([1]Accounts!$D$365="","",[1]Accounts!$A$365)</f>
        <v/>
      </c>
      <c r="B364">
        <f>IF([1]Accounts!$D$365="","",[1]Accounts!$B$365)</f>
        <v/>
      </c>
      <c r="C364">
        <f>IF([1]Accounts!$D$365="","",[1]Accounts!$C$365)</f>
        <v/>
      </c>
      <c r="D364">
        <f>IF([1]Accounts!$D$365="","",[1]Accounts!$D$365)</f>
        <v/>
      </c>
      <c r="E364">
        <f>IF([1]Accounts!$D$365="","",[1]Accounts!$J$365)</f>
        <v/>
      </c>
      <c r="F364">
        <f>IF([1]Accounts!$D$365="","",[1]Accounts!$K$365)</f>
        <v/>
      </c>
      <c r="J364">
        <f>IF([2]Entry!$C$367="","",[2]Entry!$C$367)</f>
        <v/>
      </c>
      <c r="K364">
        <f>IF([2]Entry!$D$367="","",[2]Entry!$D$367)</f>
        <v/>
      </c>
      <c r="L364">
        <f>IF([2]Entry!$E$367="","",[2]Entry!$E$367)</f>
        <v/>
      </c>
      <c r="M364">
        <f>IF([2]Entry!$G$367="","",[2]Entry!$G$367)</f>
        <v/>
      </c>
      <c r="N364">
        <f>IF([2]Entry!$M$367="","",[2]Entry!$M$367)</f>
        <v/>
      </c>
      <c r="O364">
        <f>IF([2]Entry!$N$367="","",[2]Entry!$N$367)</f>
        <v/>
      </c>
      <c r="P364">
        <f>IF([2]Entry!$R$367="","",[2]Entry!$R$367)</f>
        <v/>
      </c>
    </row>
    <row r="365">
      <c r="A365">
        <f>IF([1]Accounts!$D$366="","",[1]Accounts!$A$366)</f>
        <v/>
      </c>
      <c r="B365">
        <f>IF([1]Accounts!$D$366="","",[1]Accounts!$B$366)</f>
        <v/>
      </c>
      <c r="C365">
        <f>IF([1]Accounts!$D$366="","",[1]Accounts!$C$366)</f>
        <v/>
      </c>
      <c r="D365">
        <f>IF([1]Accounts!$D$366="","",[1]Accounts!$D$366)</f>
        <v/>
      </c>
      <c r="E365">
        <f>IF([1]Accounts!$D$366="","",[1]Accounts!$J$366)</f>
        <v/>
      </c>
      <c r="F365">
        <f>IF([1]Accounts!$D$366="","",[1]Accounts!$K$366)</f>
        <v/>
      </c>
      <c r="J365">
        <f>IF([2]Entry!$C$368="","",[2]Entry!$C$368)</f>
        <v/>
      </c>
      <c r="K365">
        <f>IF([2]Entry!$D$368="","",[2]Entry!$D$368)</f>
        <v/>
      </c>
      <c r="L365">
        <f>IF([2]Entry!$E$368="","",[2]Entry!$E$368)</f>
        <v/>
      </c>
      <c r="M365">
        <f>IF([2]Entry!$G$368="","",[2]Entry!$G$368)</f>
        <v/>
      </c>
      <c r="N365">
        <f>IF([2]Entry!$M$368="","",[2]Entry!$M$368)</f>
        <v/>
      </c>
      <c r="O365">
        <f>IF([2]Entry!$N$368="","",[2]Entry!$N$368)</f>
        <v/>
      </c>
      <c r="P365">
        <f>IF([2]Entry!$R$368="","",[2]Entry!$R$368)</f>
        <v/>
      </c>
    </row>
    <row r="366">
      <c r="A366">
        <f>IF([1]Accounts!$D$367="","",[1]Accounts!$A$367)</f>
        <v/>
      </c>
      <c r="B366">
        <f>IF([1]Accounts!$D$367="","",[1]Accounts!$B$367)</f>
        <v/>
      </c>
      <c r="C366">
        <f>IF([1]Accounts!$D$367="","",[1]Accounts!$C$367)</f>
        <v/>
      </c>
      <c r="D366">
        <f>IF([1]Accounts!$D$367="","",[1]Accounts!$D$367)</f>
        <v/>
      </c>
      <c r="E366">
        <f>IF([1]Accounts!$D$367="","",[1]Accounts!$J$367)</f>
        <v/>
      </c>
      <c r="F366">
        <f>IF([1]Accounts!$D$367="","",[1]Accounts!$K$367)</f>
        <v/>
      </c>
      <c r="J366">
        <f>IF([2]Entry!$C$369="","",[2]Entry!$C$369)</f>
        <v/>
      </c>
      <c r="K366">
        <f>IF([2]Entry!$D$369="","",[2]Entry!$D$369)</f>
        <v/>
      </c>
      <c r="L366">
        <f>IF([2]Entry!$E$369="","",[2]Entry!$E$369)</f>
        <v/>
      </c>
      <c r="M366">
        <f>IF([2]Entry!$G$369="","",[2]Entry!$G$369)</f>
        <v/>
      </c>
      <c r="N366">
        <f>IF([2]Entry!$M$369="","",[2]Entry!$M$369)</f>
        <v/>
      </c>
      <c r="O366">
        <f>IF([2]Entry!$N$369="","",[2]Entry!$N$369)</f>
        <v/>
      </c>
      <c r="P366">
        <f>IF([2]Entry!$R$369="","",[2]Entry!$R$369)</f>
        <v/>
      </c>
    </row>
    <row r="367">
      <c r="A367">
        <f>IF([1]Accounts!$D$368="","",[1]Accounts!$A$368)</f>
        <v/>
      </c>
      <c r="B367">
        <f>IF([1]Accounts!$D$368="","",[1]Accounts!$B$368)</f>
        <v/>
      </c>
      <c r="C367">
        <f>IF([1]Accounts!$D$368="","",[1]Accounts!$C$368)</f>
        <v/>
      </c>
      <c r="D367">
        <f>IF([1]Accounts!$D$368="","",[1]Accounts!$D$368)</f>
        <v/>
      </c>
      <c r="E367">
        <f>IF([1]Accounts!$D$368="","",[1]Accounts!$J$368)</f>
        <v/>
      </c>
      <c r="F367">
        <f>IF([1]Accounts!$D$368="","",[1]Accounts!$K$368)</f>
        <v/>
      </c>
      <c r="J367">
        <f>IF([2]Entry!$C$370="","",[2]Entry!$C$370)</f>
        <v/>
      </c>
      <c r="K367">
        <f>IF([2]Entry!$D$370="","",[2]Entry!$D$370)</f>
        <v/>
      </c>
      <c r="L367">
        <f>IF([2]Entry!$E$370="","",[2]Entry!$E$370)</f>
        <v/>
      </c>
      <c r="M367">
        <f>IF([2]Entry!$G$370="","",[2]Entry!$G$370)</f>
        <v/>
      </c>
      <c r="N367">
        <f>IF([2]Entry!$M$370="","",[2]Entry!$M$370)</f>
        <v/>
      </c>
      <c r="O367">
        <f>IF([2]Entry!$N$370="","",[2]Entry!$N$370)</f>
        <v/>
      </c>
      <c r="P367">
        <f>IF([2]Entry!$R$370="","",[2]Entry!$R$370)</f>
        <v/>
      </c>
    </row>
    <row r="368">
      <c r="A368">
        <f>IF([1]Accounts!$D$369="","",[1]Accounts!$A$369)</f>
        <v/>
      </c>
      <c r="B368">
        <f>IF([1]Accounts!$D$369="","",[1]Accounts!$B$369)</f>
        <v/>
      </c>
      <c r="C368">
        <f>IF([1]Accounts!$D$369="","",[1]Accounts!$C$369)</f>
        <v/>
      </c>
      <c r="D368">
        <f>IF([1]Accounts!$D$369="","",[1]Accounts!$D$369)</f>
        <v/>
      </c>
      <c r="E368">
        <f>IF([1]Accounts!$D$369="","",[1]Accounts!$J$369)</f>
        <v/>
      </c>
      <c r="F368">
        <f>IF([1]Accounts!$D$369="","",[1]Accounts!$K$369)</f>
        <v/>
      </c>
      <c r="J368">
        <f>IF([2]Entry!$C$371="","",[2]Entry!$C$371)</f>
        <v/>
      </c>
      <c r="K368">
        <f>IF([2]Entry!$D$371="","",[2]Entry!$D$371)</f>
        <v/>
      </c>
      <c r="L368">
        <f>IF([2]Entry!$E$371="","",[2]Entry!$E$371)</f>
        <v/>
      </c>
      <c r="M368">
        <f>IF([2]Entry!$G$371="","",[2]Entry!$G$371)</f>
        <v/>
      </c>
      <c r="N368">
        <f>IF([2]Entry!$M$371="","",[2]Entry!$M$371)</f>
        <v/>
      </c>
      <c r="O368">
        <f>IF([2]Entry!$N$371="","",[2]Entry!$N$371)</f>
        <v/>
      </c>
      <c r="P368">
        <f>IF([2]Entry!$R$371="","",[2]Entry!$R$371)</f>
        <v/>
      </c>
    </row>
    <row r="369">
      <c r="A369">
        <f>IF([1]Accounts!$D$370="","",[1]Accounts!$A$370)</f>
        <v/>
      </c>
      <c r="B369">
        <f>IF([1]Accounts!$D$370="","",[1]Accounts!$B$370)</f>
        <v/>
      </c>
      <c r="C369">
        <f>IF([1]Accounts!$D$370="","",[1]Accounts!$C$370)</f>
        <v/>
      </c>
      <c r="D369">
        <f>IF([1]Accounts!$D$370="","",[1]Accounts!$D$370)</f>
        <v/>
      </c>
      <c r="E369">
        <f>IF([1]Accounts!$D$370="","",[1]Accounts!$J$370)</f>
        <v/>
      </c>
      <c r="F369">
        <f>IF([1]Accounts!$D$370="","",[1]Accounts!$K$370)</f>
        <v/>
      </c>
      <c r="J369">
        <f>IF([2]Entry!$C$372="","",[2]Entry!$C$372)</f>
        <v/>
      </c>
      <c r="K369">
        <f>IF([2]Entry!$D$372="","",[2]Entry!$D$372)</f>
        <v/>
      </c>
      <c r="L369">
        <f>IF([2]Entry!$E$372="","",[2]Entry!$E$372)</f>
        <v/>
      </c>
      <c r="M369">
        <f>IF([2]Entry!$G$372="","",[2]Entry!$G$372)</f>
        <v/>
      </c>
      <c r="N369">
        <f>IF([2]Entry!$M$372="","",[2]Entry!$M$372)</f>
        <v/>
      </c>
      <c r="O369">
        <f>IF([2]Entry!$N$372="","",[2]Entry!$N$372)</f>
        <v/>
      </c>
      <c r="P369">
        <f>IF([2]Entry!$R$372="","",[2]Entry!$R$372)</f>
        <v/>
      </c>
    </row>
    <row r="370">
      <c r="A370">
        <f>IF([1]Accounts!$D$371="","",[1]Accounts!$A$371)</f>
        <v/>
      </c>
      <c r="B370">
        <f>IF([1]Accounts!$D$371="","",[1]Accounts!$B$371)</f>
        <v/>
      </c>
      <c r="C370">
        <f>IF([1]Accounts!$D$371="","",[1]Accounts!$C$371)</f>
        <v/>
      </c>
      <c r="D370">
        <f>IF([1]Accounts!$D$371="","",[1]Accounts!$D$371)</f>
        <v/>
      </c>
      <c r="E370">
        <f>IF([1]Accounts!$D$371="","",[1]Accounts!$J$371)</f>
        <v/>
      </c>
      <c r="F370">
        <f>IF([1]Accounts!$D$371="","",[1]Accounts!$K$371)</f>
        <v/>
      </c>
      <c r="J370">
        <f>IF([2]Entry!$C$373="","",[2]Entry!$C$373)</f>
        <v/>
      </c>
      <c r="K370">
        <f>IF([2]Entry!$D$373="","",[2]Entry!$D$373)</f>
        <v/>
      </c>
      <c r="L370">
        <f>IF([2]Entry!$E$373="","",[2]Entry!$E$373)</f>
        <v/>
      </c>
      <c r="M370">
        <f>IF([2]Entry!$G$373="","",[2]Entry!$G$373)</f>
        <v/>
      </c>
      <c r="N370">
        <f>IF([2]Entry!$M$373="","",[2]Entry!$M$373)</f>
        <v/>
      </c>
      <c r="O370">
        <f>IF([2]Entry!$N$373="","",[2]Entry!$N$373)</f>
        <v/>
      </c>
      <c r="P370">
        <f>IF([2]Entry!$R$373="","",[2]Entry!$R$373)</f>
        <v/>
      </c>
    </row>
    <row r="371">
      <c r="A371">
        <f>IF([1]Accounts!$D$372="","",[1]Accounts!$A$372)</f>
        <v/>
      </c>
      <c r="B371">
        <f>IF([1]Accounts!$D$372="","",[1]Accounts!$B$372)</f>
        <v/>
      </c>
      <c r="C371">
        <f>IF([1]Accounts!$D$372="","",[1]Accounts!$C$372)</f>
        <v/>
      </c>
      <c r="D371">
        <f>IF([1]Accounts!$D$372="","",[1]Accounts!$D$372)</f>
        <v/>
      </c>
      <c r="E371">
        <f>IF([1]Accounts!$D$372="","",[1]Accounts!$J$372)</f>
        <v/>
      </c>
      <c r="F371">
        <f>IF([1]Accounts!$D$372="","",[1]Accounts!$K$372)</f>
        <v/>
      </c>
      <c r="J371">
        <f>IF([2]Entry!$C$374="","",[2]Entry!$C$374)</f>
        <v/>
      </c>
      <c r="K371">
        <f>IF([2]Entry!$D$374="","",[2]Entry!$D$374)</f>
        <v/>
      </c>
      <c r="L371">
        <f>IF([2]Entry!$E$374="","",[2]Entry!$E$374)</f>
        <v/>
      </c>
      <c r="M371">
        <f>IF([2]Entry!$G$374="","",[2]Entry!$G$374)</f>
        <v/>
      </c>
      <c r="N371">
        <f>IF([2]Entry!$M$374="","",[2]Entry!$M$374)</f>
        <v/>
      </c>
      <c r="O371">
        <f>IF([2]Entry!$N$374="","",[2]Entry!$N$374)</f>
        <v/>
      </c>
      <c r="P371">
        <f>IF([2]Entry!$R$374="","",[2]Entry!$R$374)</f>
        <v/>
      </c>
    </row>
    <row r="372">
      <c r="A372">
        <f>IF([1]Accounts!$D$373="","",[1]Accounts!$A$373)</f>
        <v/>
      </c>
      <c r="B372">
        <f>IF([1]Accounts!$D$373="","",[1]Accounts!$B$373)</f>
        <v/>
      </c>
      <c r="C372">
        <f>IF([1]Accounts!$D$373="","",[1]Accounts!$C$373)</f>
        <v/>
      </c>
      <c r="D372">
        <f>IF([1]Accounts!$D$373="","",[1]Accounts!$D$373)</f>
        <v/>
      </c>
      <c r="E372">
        <f>IF([1]Accounts!$D$373="","",[1]Accounts!$J$373)</f>
        <v/>
      </c>
      <c r="F372">
        <f>IF([1]Accounts!$D$373="","",[1]Accounts!$K$373)</f>
        <v/>
      </c>
      <c r="J372">
        <f>IF([2]Entry!$C$375="","",[2]Entry!$C$375)</f>
        <v/>
      </c>
      <c r="K372">
        <f>IF([2]Entry!$D$375="","",[2]Entry!$D$375)</f>
        <v/>
      </c>
      <c r="L372">
        <f>IF([2]Entry!$E$375="","",[2]Entry!$E$375)</f>
        <v/>
      </c>
      <c r="M372">
        <f>IF([2]Entry!$G$375="","",[2]Entry!$G$375)</f>
        <v/>
      </c>
      <c r="N372">
        <f>IF([2]Entry!$M$375="","",[2]Entry!$M$375)</f>
        <v/>
      </c>
      <c r="O372">
        <f>IF([2]Entry!$N$375="","",[2]Entry!$N$375)</f>
        <v/>
      </c>
      <c r="P372">
        <f>IF([2]Entry!$R$375="","",[2]Entry!$R$375)</f>
        <v/>
      </c>
    </row>
    <row r="373">
      <c r="A373">
        <f>IF([1]Accounts!$D$374="","",[1]Accounts!$A$374)</f>
        <v/>
      </c>
      <c r="B373">
        <f>IF([1]Accounts!$D$374="","",[1]Accounts!$B$374)</f>
        <v/>
      </c>
      <c r="C373">
        <f>IF([1]Accounts!$D$374="","",[1]Accounts!$C$374)</f>
        <v/>
      </c>
      <c r="D373">
        <f>IF([1]Accounts!$D$374="","",[1]Accounts!$D$374)</f>
        <v/>
      </c>
      <c r="E373">
        <f>IF([1]Accounts!$D$374="","",[1]Accounts!$J$374)</f>
        <v/>
      </c>
      <c r="F373">
        <f>IF([1]Accounts!$D$374="","",[1]Accounts!$K$374)</f>
        <v/>
      </c>
      <c r="J373">
        <f>IF([2]Entry!$C$376="","",[2]Entry!$C$376)</f>
        <v/>
      </c>
      <c r="K373">
        <f>IF([2]Entry!$D$376="","",[2]Entry!$D$376)</f>
        <v/>
      </c>
      <c r="L373">
        <f>IF([2]Entry!$E$376="","",[2]Entry!$E$376)</f>
        <v/>
      </c>
      <c r="M373">
        <f>IF([2]Entry!$G$376="","",[2]Entry!$G$376)</f>
        <v/>
      </c>
      <c r="N373">
        <f>IF([2]Entry!$M$376="","",[2]Entry!$M$376)</f>
        <v/>
      </c>
      <c r="O373">
        <f>IF([2]Entry!$N$376="","",[2]Entry!$N$376)</f>
        <v/>
      </c>
      <c r="P373">
        <f>IF([2]Entry!$R$376="","",[2]Entry!$R$376)</f>
        <v/>
      </c>
    </row>
    <row r="374">
      <c r="A374">
        <f>IF([1]Accounts!$D$375="","",[1]Accounts!$A$375)</f>
        <v/>
      </c>
      <c r="B374">
        <f>IF([1]Accounts!$D$375="","",[1]Accounts!$B$375)</f>
        <v/>
      </c>
      <c r="C374">
        <f>IF([1]Accounts!$D$375="","",[1]Accounts!$C$375)</f>
        <v/>
      </c>
      <c r="D374">
        <f>IF([1]Accounts!$D$375="","",[1]Accounts!$D$375)</f>
        <v/>
      </c>
      <c r="E374">
        <f>IF([1]Accounts!$D$375="","",[1]Accounts!$J$375)</f>
        <v/>
      </c>
      <c r="F374">
        <f>IF([1]Accounts!$D$375="","",[1]Accounts!$K$375)</f>
        <v/>
      </c>
      <c r="J374">
        <f>IF([2]Entry!$C$377="","",[2]Entry!$C$377)</f>
        <v/>
      </c>
      <c r="K374">
        <f>IF([2]Entry!$D$377="","",[2]Entry!$D$377)</f>
        <v/>
      </c>
      <c r="L374">
        <f>IF([2]Entry!$E$377="","",[2]Entry!$E$377)</f>
        <v/>
      </c>
      <c r="M374">
        <f>IF([2]Entry!$G$377="","",[2]Entry!$G$377)</f>
        <v/>
      </c>
      <c r="N374">
        <f>IF([2]Entry!$M$377="","",[2]Entry!$M$377)</f>
        <v/>
      </c>
      <c r="O374">
        <f>IF([2]Entry!$N$377="","",[2]Entry!$N$377)</f>
        <v/>
      </c>
      <c r="P374">
        <f>IF([2]Entry!$R$377="","",[2]Entry!$R$377)</f>
        <v/>
      </c>
    </row>
    <row r="375">
      <c r="A375">
        <f>IF([1]Accounts!$D$376="","",[1]Accounts!$A$376)</f>
        <v/>
      </c>
      <c r="B375">
        <f>IF([1]Accounts!$D$376="","",[1]Accounts!$B$376)</f>
        <v/>
      </c>
      <c r="C375">
        <f>IF([1]Accounts!$D$376="","",[1]Accounts!$C$376)</f>
        <v/>
      </c>
      <c r="D375">
        <f>IF([1]Accounts!$D$376="","",[1]Accounts!$D$376)</f>
        <v/>
      </c>
      <c r="E375">
        <f>IF([1]Accounts!$D$376="","",[1]Accounts!$J$376)</f>
        <v/>
      </c>
      <c r="F375">
        <f>IF([1]Accounts!$D$376="","",[1]Accounts!$K$376)</f>
        <v/>
      </c>
      <c r="J375">
        <f>IF([2]Entry!$C$378="","",[2]Entry!$C$378)</f>
        <v/>
      </c>
      <c r="K375">
        <f>IF([2]Entry!$D$378="","",[2]Entry!$D$378)</f>
        <v/>
      </c>
      <c r="L375">
        <f>IF([2]Entry!$E$378="","",[2]Entry!$E$378)</f>
        <v/>
      </c>
      <c r="M375">
        <f>IF([2]Entry!$G$378="","",[2]Entry!$G$378)</f>
        <v/>
      </c>
      <c r="N375">
        <f>IF([2]Entry!$M$378="","",[2]Entry!$M$378)</f>
        <v/>
      </c>
      <c r="O375">
        <f>IF([2]Entry!$N$378="","",[2]Entry!$N$378)</f>
        <v/>
      </c>
      <c r="P375">
        <f>IF([2]Entry!$R$378="","",[2]Entry!$R$378)</f>
        <v/>
      </c>
    </row>
    <row r="376">
      <c r="A376">
        <f>IF([1]Accounts!$D$377="","",[1]Accounts!$A$377)</f>
        <v/>
      </c>
      <c r="B376">
        <f>IF([1]Accounts!$D$377="","",[1]Accounts!$B$377)</f>
        <v/>
      </c>
      <c r="C376">
        <f>IF([1]Accounts!$D$377="","",[1]Accounts!$C$377)</f>
        <v/>
      </c>
      <c r="D376">
        <f>IF([1]Accounts!$D$377="","",[1]Accounts!$D$377)</f>
        <v/>
      </c>
      <c r="E376">
        <f>IF([1]Accounts!$D$377="","",[1]Accounts!$J$377)</f>
        <v/>
      </c>
      <c r="F376">
        <f>IF([1]Accounts!$D$377="","",[1]Accounts!$K$377)</f>
        <v/>
      </c>
      <c r="J376">
        <f>IF([2]Entry!$C$379="","",[2]Entry!$C$379)</f>
        <v/>
      </c>
      <c r="K376">
        <f>IF([2]Entry!$D$379="","",[2]Entry!$D$379)</f>
        <v/>
      </c>
      <c r="L376">
        <f>IF([2]Entry!$E$379="","",[2]Entry!$E$379)</f>
        <v/>
      </c>
      <c r="M376">
        <f>IF([2]Entry!$G$379="","",[2]Entry!$G$379)</f>
        <v/>
      </c>
      <c r="N376">
        <f>IF([2]Entry!$M$379="","",[2]Entry!$M$379)</f>
        <v/>
      </c>
      <c r="O376">
        <f>IF([2]Entry!$N$379="","",[2]Entry!$N$379)</f>
        <v/>
      </c>
      <c r="P376">
        <f>IF([2]Entry!$R$379="","",[2]Entry!$R$379)</f>
        <v/>
      </c>
    </row>
    <row r="377">
      <c r="A377">
        <f>IF([1]Accounts!$D$378="","",[1]Accounts!$A$378)</f>
        <v/>
      </c>
      <c r="B377">
        <f>IF([1]Accounts!$D$378="","",[1]Accounts!$B$378)</f>
        <v/>
      </c>
      <c r="C377">
        <f>IF([1]Accounts!$D$378="","",[1]Accounts!$C$378)</f>
        <v/>
      </c>
      <c r="D377">
        <f>IF([1]Accounts!$D$378="","",[1]Accounts!$D$378)</f>
        <v/>
      </c>
      <c r="E377">
        <f>IF([1]Accounts!$D$378="","",[1]Accounts!$J$378)</f>
        <v/>
      </c>
      <c r="F377">
        <f>IF([1]Accounts!$D$378="","",[1]Accounts!$K$378)</f>
        <v/>
      </c>
      <c r="J377">
        <f>IF([2]Entry!$C$380="","",[2]Entry!$C$380)</f>
        <v/>
      </c>
      <c r="K377">
        <f>IF([2]Entry!$D$380="","",[2]Entry!$D$380)</f>
        <v/>
      </c>
      <c r="L377">
        <f>IF([2]Entry!$E$380="","",[2]Entry!$E$380)</f>
        <v/>
      </c>
      <c r="M377">
        <f>IF([2]Entry!$G$380="","",[2]Entry!$G$380)</f>
        <v/>
      </c>
      <c r="N377">
        <f>IF([2]Entry!$M$380="","",[2]Entry!$M$380)</f>
        <v/>
      </c>
      <c r="O377">
        <f>IF([2]Entry!$N$380="","",[2]Entry!$N$380)</f>
        <v/>
      </c>
      <c r="P377">
        <f>IF([2]Entry!$R$380="","",[2]Entry!$R$380)</f>
        <v/>
      </c>
    </row>
    <row r="378">
      <c r="A378">
        <f>IF([1]Accounts!$D$379="","",[1]Accounts!$A$379)</f>
        <v/>
      </c>
      <c r="B378">
        <f>IF([1]Accounts!$D$379="","",[1]Accounts!$B$379)</f>
        <v/>
      </c>
      <c r="C378">
        <f>IF([1]Accounts!$D$379="","",[1]Accounts!$C$379)</f>
        <v/>
      </c>
      <c r="D378">
        <f>IF([1]Accounts!$D$379="","",[1]Accounts!$D$379)</f>
        <v/>
      </c>
      <c r="E378">
        <f>IF([1]Accounts!$D$379="","",[1]Accounts!$J$379)</f>
        <v/>
      </c>
      <c r="F378">
        <f>IF([1]Accounts!$D$379="","",[1]Accounts!$K$379)</f>
        <v/>
      </c>
      <c r="J378">
        <f>IF([2]Entry!$C$381="","",[2]Entry!$C$381)</f>
        <v/>
      </c>
      <c r="K378">
        <f>IF([2]Entry!$D$381="","",[2]Entry!$D$381)</f>
        <v/>
      </c>
      <c r="L378">
        <f>IF([2]Entry!$E$381="","",[2]Entry!$E$381)</f>
        <v/>
      </c>
      <c r="M378">
        <f>IF([2]Entry!$G$381="","",[2]Entry!$G$381)</f>
        <v/>
      </c>
      <c r="N378">
        <f>IF([2]Entry!$M$381="","",[2]Entry!$M$381)</f>
        <v/>
      </c>
      <c r="O378">
        <f>IF([2]Entry!$N$381="","",[2]Entry!$N$381)</f>
        <v/>
      </c>
      <c r="P378">
        <f>IF([2]Entry!$R$381="","",[2]Entry!$R$381)</f>
        <v/>
      </c>
    </row>
    <row r="379">
      <c r="A379">
        <f>IF([1]Accounts!$D$380="","",[1]Accounts!$A$380)</f>
        <v/>
      </c>
      <c r="B379">
        <f>IF([1]Accounts!$D$380="","",[1]Accounts!$B$380)</f>
        <v/>
      </c>
      <c r="C379">
        <f>IF([1]Accounts!$D$380="","",[1]Accounts!$C$380)</f>
        <v/>
      </c>
      <c r="D379">
        <f>IF([1]Accounts!$D$380="","",[1]Accounts!$D$380)</f>
        <v/>
      </c>
      <c r="E379">
        <f>IF([1]Accounts!$D$380="","",[1]Accounts!$J$380)</f>
        <v/>
      </c>
      <c r="F379">
        <f>IF([1]Accounts!$D$380="","",[1]Accounts!$K$380)</f>
        <v/>
      </c>
      <c r="J379">
        <f>IF([2]Entry!$C$382="","",[2]Entry!$C$382)</f>
        <v/>
      </c>
      <c r="K379">
        <f>IF([2]Entry!$D$382="","",[2]Entry!$D$382)</f>
        <v/>
      </c>
      <c r="L379">
        <f>IF([2]Entry!$E$382="","",[2]Entry!$E$382)</f>
        <v/>
      </c>
      <c r="M379">
        <f>IF([2]Entry!$G$382="","",[2]Entry!$G$382)</f>
        <v/>
      </c>
      <c r="N379">
        <f>IF([2]Entry!$M$382="","",[2]Entry!$M$382)</f>
        <v/>
      </c>
      <c r="O379">
        <f>IF([2]Entry!$N$382="","",[2]Entry!$N$382)</f>
        <v/>
      </c>
      <c r="P379">
        <f>IF([2]Entry!$R$382="","",[2]Entry!$R$382)</f>
        <v/>
      </c>
    </row>
    <row r="380">
      <c r="A380">
        <f>IF([1]Accounts!$D$381="","",[1]Accounts!$A$381)</f>
        <v/>
      </c>
      <c r="B380">
        <f>IF([1]Accounts!$D$381="","",[1]Accounts!$B$381)</f>
        <v/>
      </c>
      <c r="C380">
        <f>IF([1]Accounts!$D$381="","",[1]Accounts!$C$381)</f>
        <v/>
      </c>
      <c r="D380">
        <f>IF([1]Accounts!$D$381="","",[1]Accounts!$D$381)</f>
        <v/>
      </c>
      <c r="E380">
        <f>IF([1]Accounts!$D$381="","",[1]Accounts!$J$381)</f>
        <v/>
      </c>
      <c r="F380">
        <f>IF([1]Accounts!$D$381="","",[1]Accounts!$K$381)</f>
        <v/>
      </c>
      <c r="J380">
        <f>IF([2]Entry!$C$383="","",[2]Entry!$C$383)</f>
        <v/>
      </c>
      <c r="K380">
        <f>IF([2]Entry!$D$383="","",[2]Entry!$D$383)</f>
        <v/>
      </c>
      <c r="L380">
        <f>IF([2]Entry!$E$383="","",[2]Entry!$E$383)</f>
        <v/>
      </c>
      <c r="M380">
        <f>IF([2]Entry!$G$383="","",[2]Entry!$G$383)</f>
        <v/>
      </c>
      <c r="N380">
        <f>IF([2]Entry!$M$383="","",[2]Entry!$M$383)</f>
        <v/>
      </c>
      <c r="O380">
        <f>IF([2]Entry!$N$383="","",[2]Entry!$N$383)</f>
        <v/>
      </c>
      <c r="P380">
        <f>IF([2]Entry!$R$383="","",[2]Entry!$R$383)</f>
        <v/>
      </c>
    </row>
    <row r="381">
      <c r="A381">
        <f>IF([1]Accounts!$D$382="","",[1]Accounts!$A$382)</f>
        <v/>
      </c>
      <c r="B381">
        <f>IF([1]Accounts!$D$382="","",[1]Accounts!$B$382)</f>
        <v/>
      </c>
      <c r="C381">
        <f>IF([1]Accounts!$D$382="","",[1]Accounts!$C$382)</f>
        <v/>
      </c>
      <c r="D381">
        <f>IF([1]Accounts!$D$382="","",[1]Accounts!$D$382)</f>
        <v/>
      </c>
      <c r="E381">
        <f>IF([1]Accounts!$D$382="","",[1]Accounts!$J$382)</f>
        <v/>
      </c>
      <c r="F381">
        <f>IF([1]Accounts!$D$382="","",[1]Accounts!$K$382)</f>
        <v/>
      </c>
      <c r="J381">
        <f>IF([2]Entry!$C$384="","",[2]Entry!$C$384)</f>
        <v/>
      </c>
      <c r="K381">
        <f>IF([2]Entry!$D$384="","",[2]Entry!$D$384)</f>
        <v/>
      </c>
      <c r="L381">
        <f>IF([2]Entry!$E$384="","",[2]Entry!$E$384)</f>
        <v/>
      </c>
      <c r="M381">
        <f>IF([2]Entry!$G$384="","",[2]Entry!$G$384)</f>
        <v/>
      </c>
      <c r="N381">
        <f>IF([2]Entry!$M$384="","",[2]Entry!$M$384)</f>
        <v/>
      </c>
      <c r="O381">
        <f>IF([2]Entry!$N$384="","",[2]Entry!$N$384)</f>
        <v/>
      </c>
      <c r="P381">
        <f>IF([2]Entry!$R$384="","",[2]Entry!$R$384)</f>
        <v/>
      </c>
    </row>
    <row r="382">
      <c r="A382">
        <f>IF([1]Accounts!$D$383="","",[1]Accounts!$A$383)</f>
        <v/>
      </c>
      <c r="B382">
        <f>IF([1]Accounts!$D$383="","",[1]Accounts!$B$383)</f>
        <v/>
      </c>
      <c r="C382">
        <f>IF([1]Accounts!$D$383="","",[1]Accounts!$C$383)</f>
        <v/>
      </c>
      <c r="D382">
        <f>IF([1]Accounts!$D$383="","",[1]Accounts!$D$383)</f>
        <v/>
      </c>
      <c r="E382">
        <f>IF([1]Accounts!$D$383="","",[1]Accounts!$J$383)</f>
        <v/>
      </c>
      <c r="F382">
        <f>IF([1]Accounts!$D$383="","",[1]Accounts!$K$383)</f>
        <v/>
      </c>
      <c r="J382">
        <f>IF([2]Entry!$C$385="","",[2]Entry!$C$385)</f>
        <v/>
      </c>
      <c r="K382">
        <f>IF([2]Entry!$D$385="","",[2]Entry!$D$385)</f>
        <v/>
      </c>
      <c r="L382">
        <f>IF([2]Entry!$E$385="","",[2]Entry!$E$385)</f>
        <v/>
      </c>
      <c r="M382">
        <f>IF([2]Entry!$G$385="","",[2]Entry!$G$385)</f>
        <v/>
      </c>
      <c r="N382">
        <f>IF([2]Entry!$M$385="","",[2]Entry!$M$385)</f>
        <v/>
      </c>
      <c r="O382">
        <f>IF([2]Entry!$N$385="","",[2]Entry!$N$385)</f>
        <v/>
      </c>
      <c r="P382">
        <f>IF([2]Entry!$R$385="","",[2]Entry!$R$385)</f>
        <v/>
      </c>
    </row>
    <row r="383">
      <c r="A383">
        <f>IF([1]Accounts!$D$384="","",[1]Accounts!$A$384)</f>
        <v/>
      </c>
      <c r="B383">
        <f>IF([1]Accounts!$D$384="","",[1]Accounts!$B$384)</f>
        <v/>
      </c>
      <c r="C383">
        <f>IF([1]Accounts!$D$384="","",[1]Accounts!$C$384)</f>
        <v/>
      </c>
      <c r="D383">
        <f>IF([1]Accounts!$D$384="","",[1]Accounts!$D$384)</f>
        <v/>
      </c>
      <c r="E383">
        <f>IF([1]Accounts!$D$384="","",[1]Accounts!$J$384)</f>
        <v/>
      </c>
      <c r="F383">
        <f>IF([1]Accounts!$D$384="","",[1]Accounts!$K$384)</f>
        <v/>
      </c>
      <c r="J383">
        <f>IF([2]Entry!$C$386="","",[2]Entry!$C$386)</f>
        <v/>
      </c>
      <c r="K383">
        <f>IF([2]Entry!$D$386="","",[2]Entry!$D$386)</f>
        <v/>
      </c>
      <c r="L383">
        <f>IF([2]Entry!$E$386="","",[2]Entry!$E$386)</f>
        <v/>
      </c>
      <c r="M383">
        <f>IF([2]Entry!$G$386="","",[2]Entry!$G$386)</f>
        <v/>
      </c>
      <c r="N383">
        <f>IF([2]Entry!$M$386="","",[2]Entry!$M$386)</f>
        <v/>
      </c>
      <c r="O383">
        <f>IF([2]Entry!$N$386="","",[2]Entry!$N$386)</f>
        <v/>
      </c>
      <c r="P383">
        <f>IF([2]Entry!$R$386="","",[2]Entry!$R$386)</f>
        <v/>
      </c>
    </row>
    <row r="384">
      <c r="A384">
        <f>IF([1]Accounts!$D$385="","",[1]Accounts!$A$385)</f>
        <v/>
      </c>
      <c r="B384">
        <f>IF([1]Accounts!$D$385="","",[1]Accounts!$B$385)</f>
        <v/>
      </c>
      <c r="C384">
        <f>IF([1]Accounts!$D$385="","",[1]Accounts!$C$385)</f>
        <v/>
      </c>
      <c r="D384">
        <f>IF([1]Accounts!$D$385="","",[1]Accounts!$D$385)</f>
        <v/>
      </c>
      <c r="E384">
        <f>IF([1]Accounts!$D$385="","",[1]Accounts!$J$385)</f>
        <v/>
      </c>
      <c r="F384">
        <f>IF([1]Accounts!$D$385="","",[1]Accounts!$K$385)</f>
        <v/>
      </c>
      <c r="J384">
        <f>IF([2]Entry!$C$387="","",[2]Entry!$C$387)</f>
        <v/>
      </c>
      <c r="K384">
        <f>IF([2]Entry!$D$387="","",[2]Entry!$D$387)</f>
        <v/>
      </c>
      <c r="L384">
        <f>IF([2]Entry!$E$387="","",[2]Entry!$E$387)</f>
        <v/>
      </c>
      <c r="M384">
        <f>IF([2]Entry!$G$387="","",[2]Entry!$G$387)</f>
        <v/>
      </c>
      <c r="N384">
        <f>IF([2]Entry!$M$387="","",[2]Entry!$M$387)</f>
        <v/>
      </c>
      <c r="O384">
        <f>IF([2]Entry!$N$387="","",[2]Entry!$N$387)</f>
        <v/>
      </c>
      <c r="P384">
        <f>IF([2]Entry!$R$387="","",[2]Entry!$R$387)</f>
        <v/>
      </c>
    </row>
    <row r="385">
      <c r="A385">
        <f>IF([1]Accounts!$D$386="","",[1]Accounts!$A$386)</f>
        <v/>
      </c>
      <c r="B385">
        <f>IF([1]Accounts!$D$386="","",[1]Accounts!$B$386)</f>
        <v/>
      </c>
      <c r="C385">
        <f>IF([1]Accounts!$D$386="","",[1]Accounts!$C$386)</f>
        <v/>
      </c>
      <c r="D385">
        <f>IF([1]Accounts!$D$386="","",[1]Accounts!$D$386)</f>
        <v/>
      </c>
      <c r="E385">
        <f>IF([1]Accounts!$D$386="","",[1]Accounts!$J$386)</f>
        <v/>
      </c>
      <c r="F385">
        <f>IF([1]Accounts!$D$386="","",[1]Accounts!$K$386)</f>
        <v/>
      </c>
      <c r="J385">
        <f>IF([2]Entry!$C$388="","",[2]Entry!$C$388)</f>
        <v/>
      </c>
      <c r="K385">
        <f>IF([2]Entry!$D$388="","",[2]Entry!$D$388)</f>
        <v/>
      </c>
      <c r="L385">
        <f>IF([2]Entry!$E$388="","",[2]Entry!$E$388)</f>
        <v/>
      </c>
      <c r="M385">
        <f>IF([2]Entry!$G$388="","",[2]Entry!$G$388)</f>
        <v/>
      </c>
      <c r="N385">
        <f>IF([2]Entry!$M$388="","",[2]Entry!$M$388)</f>
        <v/>
      </c>
      <c r="O385">
        <f>IF([2]Entry!$N$388="","",[2]Entry!$N$388)</f>
        <v/>
      </c>
      <c r="P385">
        <f>IF([2]Entry!$R$388="","",[2]Entry!$R$388)</f>
        <v/>
      </c>
    </row>
    <row r="386">
      <c r="A386">
        <f>IF([1]Accounts!$D$387="","",[1]Accounts!$A$387)</f>
        <v/>
      </c>
      <c r="B386">
        <f>IF([1]Accounts!$D$387="","",[1]Accounts!$B$387)</f>
        <v/>
      </c>
      <c r="C386">
        <f>IF([1]Accounts!$D$387="","",[1]Accounts!$C$387)</f>
        <v/>
      </c>
      <c r="D386">
        <f>IF([1]Accounts!$D$387="","",[1]Accounts!$D$387)</f>
        <v/>
      </c>
      <c r="E386">
        <f>IF([1]Accounts!$D$387="","",[1]Accounts!$J$387)</f>
        <v/>
      </c>
      <c r="F386">
        <f>IF([1]Accounts!$D$387="","",[1]Accounts!$K$387)</f>
        <v/>
      </c>
      <c r="J386">
        <f>IF([2]Entry!$C$389="","",[2]Entry!$C$389)</f>
        <v/>
      </c>
      <c r="K386">
        <f>IF([2]Entry!$D$389="","",[2]Entry!$D$389)</f>
        <v/>
      </c>
      <c r="L386">
        <f>IF([2]Entry!$E$389="","",[2]Entry!$E$389)</f>
        <v/>
      </c>
      <c r="M386">
        <f>IF([2]Entry!$G$389="","",[2]Entry!$G$389)</f>
        <v/>
      </c>
      <c r="N386">
        <f>IF([2]Entry!$M$389="","",[2]Entry!$M$389)</f>
        <v/>
      </c>
      <c r="O386">
        <f>IF([2]Entry!$N$389="","",[2]Entry!$N$389)</f>
        <v/>
      </c>
      <c r="P386">
        <f>IF([2]Entry!$R$389="","",[2]Entry!$R$389)</f>
        <v/>
      </c>
    </row>
    <row r="387">
      <c r="A387">
        <f>IF([1]Accounts!$D$388="","",[1]Accounts!$A$388)</f>
        <v/>
      </c>
      <c r="B387">
        <f>IF([1]Accounts!$D$388="","",[1]Accounts!$B$388)</f>
        <v/>
      </c>
      <c r="C387">
        <f>IF([1]Accounts!$D$388="","",[1]Accounts!$C$388)</f>
        <v/>
      </c>
      <c r="D387">
        <f>IF([1]Accounts!$D$388="","",[1]Accounts!$D$388)</f>
        <v/>
      </c>
      <c r="E387">
        <f>IF([1]Accounts!$D$388="","",[1]Accounts!$J$388)</f>
        <v/>
      </c>
      <c r="F387">
        <f>IF([1]Accounts!$D$388="","",[1]Accounts!$K$388)</f>
        <v/>
      </c>
      <c r="J387">
        <f>IF([2]Entry!$C$390="","",[2]Entry!$C$390)</f>
        <v/>
      </c>
      <c r="K387">
        <f>IF([2]Entry!$D$390="","",[2]Entry!$D$390)</f>
        <v/>
      </c>
      <c r="L387">
        <f>IF([2]Entry!$E$390="","",[2]Entry!$E$390)</f>
        <v/>
      </c>
      <c r="M387">
        <f>IF([2]Entry!$G$390="","",[2]Entry!$G$390)</f>
        <v/>
      </c>
      <c r="N387">
        <f>IF([2]Entry!$M$390="","",[2]Entry!$M$390)</f>
        <v/>
      </c>
      <c r="O387">
        <f>IF([2]Entry!$N$390="","",[2]Entry!$N$390)</f>
        <v/>
      </c>
      <c r="P387">
        <f>IF([2]Entry!$R$390="","",[2]Entry!$R$390)</f>
        <v/>
      </c>
    </row>
    <row r="388">
      <c r="A388">
        <f>IF([1]Accounts!$D$389="","",[1]Accounts!$A$389)</f>
        <v/>
      </c>
      <c r="B388">
        <f>IF([1]Accounts!$D$389="","",[1]Accounts!$B$389)</f>
        <v/>
      </c>
      <c r="C388">
        <f>IF([1]Accounts!$D$389="","",[1]Accounts!$C$389)</f>
        <v/>
      </c>
      <c r="D388">
        <f>IF([1]Accounts!$D$389="","",[1]Accounts!$D$389)</f>
        <v/>
      </c>
      <c r="E388">
        <f>IF([1]Accounts!$D$389="","",[1]Accounts!$J$389)</f>
        <v/>
      </c>
      <c r="F388">
        <f>IF([1]Accounts!$D$389="","",[1]Accounts!$K$389)</f>
        <v/>
      </c>
      <c r="J388">
        <f>IF([2]Entry!$C$391="","",[2]Entry!$C$391)</f>
        <v/>
      </c>
      <c r="K388">
        <f>IF([2]Entry!$D$391="","",[2]Entry!$D$391)</f>
        <v/>
      </c>
      <c r="L388">
        <f>IF([2]Entry!$E$391="","",[2]Entry!$E$391)</f>
        <v/>
      </c>
      <c r="M388">
        <f>IF([2]Entry!$G$391="","",[2]Entry!$G$391)</f>
        <v/>
      </c>
      <c r="N388">
        <f>IF([2]Entry!$M$391="","",[2]Entry!$M$391)</f>
        <v/>
      </c>
      <c r="O388">
        <f>IF([2]Entry!$N$391="","",[2]Entry!$N$391)</f>
        <v/>
      </c>
      <c r="P388">
        <f>IF([2]Entry!$R$391="","",[2]Entry!$R$391)</f>
        <v/>
      </c>
    </row>
    <row r="389">
      <c r="A389">
        <f>IF([1]Accounts!$D$390="","",[1]Accounts!$A$390)</f>
        <v/>
      </c>
      <c r="B389">
        <f>IF([1]Accounts!$D$390="","",[1]Accounts!$B$390)</f>
        <v/>
      </c>
      <c r="C389">
        <f>IF([1]Accounts!$D$390="","",[1]Accounts!$C$390)</f>
        <v/>
      </c>
      <c r="D389">
        <f>IF([1]Accounts!$D$390="","",[1]Accounts!$D$390)</f>
        <v/>
      </c>
      <c r="E389">
        <f>IF([1]Accounts!$D$390="","",[1]Accounts!$J$390)</f>
        <v/>
      </c>
      <c r="F389">
        <f>IF([1]Accounts!$D$390="","",[1]Accounts!$K$390)</f>
        <v/>
      </c>
      <c r="J389">
        <f>IF([2]Entry!$C$392="","",[2]Entry!$C$392)</f>
        <v/>
      </c>
      <c r="K389">
        <f>IF([2]Entry!$D$392="","",[2]Entry!$D$392)</f>
        <v/>
      </c>
      <c r="L389">
        <f>IF([2]Entry!$E$392="","",[2]Entry!$E$392)</f>
        <v/>
      </c>
      <c r="M389">
        <f>IF([2]Entry!$G$392="","",[2]Entry!$G$392)</f>
        <v/>
      </c>
      <c r="N389">
        <f>IF([2]Entry!$M$392="","",[2]Entry!$M$392)</f>
        <v/>
      </c>
      <c r="O389">
        <f>IF([2]Entry!$N$392="","",[2]Entry!$N$392)</f>
        <v/>
      </c>
      <c r="P389">
        <f>IF([2]Entry!$R$392="","",[2]Entry!$R$392)</f>
        <v/>
      </c>
    </row>
    <row r="390">
      <c r="A390">
        <f>IF([1]Accounts!$D$391="","",[1]Accounts!$A$391)</f>
        <v/>
      </c>
      <c r="B390">
        <f>IF([1]Accounts!$D$391="","",[1]Accounts!$B$391)</f>
        <v/>
      </c>
      <c r="C390">
        <f>IF([1]Accounts!$D$391="","",[1]Accounts!$C$391)</f>
        <v/>
      </c>
      <c r="D390">
        <f>IF([1]Accounts!$D$391="","",[1]Accounts!$D$391)</f>
        <v/>
      </c>
      <c r="E390">
        <f>IF([1]Accounts!$D$391="","",[1]Accounts!$J$391)</f>
        <v/>
      </c>
      <c r="F390">
        <f>IF([1]Accounts!$D$391="","",[1]Accounts!$K$391)</f>
        <v/>
      </c>
      <c r="J390">
        <f>IF([2]Entry!$C$393="","",[2]Entry!$C$393)</f>
        <v/>
      </c>
      <c r="K390">
        <f>IF([2]Entry!$D$393="","",[2]Entry!$D$393)</f>
        <v/>
      </c>
      <c r="L390">
        <f>IF([2]Entry!$E$393="","",[2]Entry!$E$393)</f>
        <v/>
      </c>
      <c r="M390">
        <f>IF([2]Entry!$G$393="","",[2]Entry!$G$393)</f>
        <v/>
      </c>
      <c r="N390">
        <f>IF([2]Entry!$M$393="","",[2]Entry!$M$393)</f>
        <v/>
      </c>
      <c r="O390">
        <f>IF([2]Entry!$N$393="","",[2]Entry!$N$393)</f>
        <v/>
      </c>
      <c r="P390">
        <f>IF([2]Entry!$R$393="","",[2]Entry!$R$393)</f>
        <v/>
      </c>
    </row>
    <row r="391">
      <c r="A391">
        <f>IF([1]Accounts!$D$392="","",[1]Accounts!$A$392)</f>
        <v/>
      </c>
      <c r="B391">
        <f>IF([1]Accounts!$D$392="","",[1]Accounts!$B$392)</f>
        <v/>
      </c>
      <c r="C391">
        <f>IF([1]Accounts!$D$392="","",[1]Accounts!$C$392)</f>
        <v/>
      </c>
      <c r="D391">
        <f>IF([1]Accounts!$D$392="","",[1]Accounts!$D$392)</f>
        <v/>
      </c>
      <c r="E391">
        <f>IF([1]Accounts!$D$392="","",[1]Accounts!$J$392)</f>
        <v/>
      </c>
      <c r="F391">
        <f>IF([1]Accounts!$D$392="","",[1]Accounts!$K$392)</f>
        <v/>
      </c>
      <c r="J391">
        <f>IF([2]Entry!$C$394="","",[2]Entry!$C$394)</f>
        <v/>
      </c>
      <c r="K391">
        <f>IF([2]Entry!$D$394="","",[2]Entry!$D$394)</f>
        <v/>
      </c>
      <c r="L391">
        <f>IF([2]Entry!$E$394="","",[2]Entry!$E$394)</f>
        <v/>
      </c>
      <c r="M391">
        <f>IF([2]Entry!$G$394="","",[2]Entry!$G$394)</f>
        <v/>
      </c>
      <c r="N391">
        <f>IF([2]Entry!$M$394="","",[2]Entry!$M$394)</f>
        <v/>
      </c>
      <c r="O391">
        <f>IF([2]Entry!$N$394="","",[2]Entry!$N$394)</f>
        <v/>
      </c>
      <c r="P391">
        <f>IF([2]Entry!$R$394="","",[2]Entry!$R$394)</f>
        <v/>
      </c>
    </row>
    <row r="392">
      <c r="A392">
        <f>IF([1]Accounts!$D$393="","",[1]Accounts!$A$393)</f>
        <v/>
      </c>
      <c r="B392">
        <f>IF([1]Accounts!$D$393="","",[1]Accounts!$B$393)</f>
        <v/>
      </c>
      <c r="C392">
        <f>IF([1]Accounts!$D$393="","",[1]Accounts!$C$393)</f>
        <v/>
      </c>
      <c r="D392">
        <f>IF([1]Accounts!$D$393="","",[1]Accounts!$D$393)</f>
        <v/>
      </c>
      <c r="E392">
        <f>IF([1]Accounts!$D$393="","",[1]Accounts!$J$393)</f>
        <v/>
      </c>
      <c r="F392">
        <f>IF([1]Accounts!$D$393="","",[1]Accounts!$K$393)</f>
        <v/>
      </c>
      <c r="J392">
        <f>IF([2]Entry!$C$395="","",[2]Entry!$C$395)</f>
        <v/>
      </c>
      <c r="K392">
        <f>IF([2]Entry!$D$395="","",[2]Entry!$D$395)</f>
        <v/>
      </c>
      <c r="L392">
        <f>IF([2]Entry!$E$395="","",[2]Entry!$E$395)</f>
        <v/>
      </c>
      <c r="M392">
        <f>IF([2]Entry!$G$395="","",[2]Entry!$G$395)</f>
        <v/>
      </c>
      <c r="N392">
        <f>IF([2]Entry!$M$395="","",[2]Entry!$M$395)</f>
        <v/>
      </c>
      <c r="O392">
        <f>IF([2]Entry!$N$395="","",[2]Entry!$N$395)</f>
        <v/>
      </c>
      <c r="P392">
        <f>IF([2]Entry!$R$395="","",[2]Entry!$R$395)</f>
        <v/>
      </c>
    </row>
    <row r="393">
      <c r="A393">
        <f>IF([1]Accounts!$D$394="","",[1]Accounts!$A$394)</f>
        <v/>
      </c>
      <c r="B393">
        <f>IF([1]Accounts!$D$394="","",[1]Accounts!$B$394)</f>
        <v/>
      </c>
      <c r="C393">
        <f>IF([1]Accounts!$D$394="","",[1]Accounts!$C$394)</f>
        <v/>
      </c>
      <c r="D393">
        <f>IF([1]Accounts!$D$394="","",[1]Accounts!$D$394)</f>
        <v/>
      </c>
      <c r="E393">
        <f>IF([1]Accounts!$D$394="","",[1]Accounts!$J$394)</f>
        <v/>
      </c>
      <c r="F393">
        <f>IF([1]Accounts!$D$394="","",[1]Accounts!$K$394)</f>
        <v/>
      </c>
      <c r="J393">
        <f>IF([2]Entry!$C$396="","",[2]Entry!$C$396)</f>
        <v/>
      </c>
      <c r="K393">
        <f>IF([2]Entry!$D$396="","",[2]Entry!$D$396)</f>
        <v/>
      </c>
      <c r="L393">
        <f>IF([2]Entry!$E$396="","",[2]Entry!$E$396)</f>
        <v/>
      </c>
      <c r="M393">
        <f>IF([2]Entry!$G$396="","",[2]Entry!$G$396)</f>
        <v/>
      </c>
      <c r="N393">
        <f>IF([2]Entry!$M$396="","",[2]Entry!$M$396)</f>
        <v/>
      </c>
      <c r="O393">
        <f>IF([2]Entry!$N$396="","",[2]Entry!$N$396)</f>
        <v/>
      </c>
      <c r="P393">
        <f>IF([2]Entry!$R$396="","",[2]Entry!$R$396)</f>
        <v/>
      </c>
    </row>
    <row r="394">
      <c r="A394">
        <f>IF([1]Accounts!$D$395="","",[1]Accounts!$A$395)</f>
        <v/>
      </c>
      <c r="B394">
        <f>IF([1]Accounts!$D$395="","",[1]Accounts!$B$395)</f>
        <v/>
      </c>
      <c r="C394">
        <f>IF([1]Accounts!$D$395="","",[1]Accounts!$C$395)</f>
        <v/>
      </c>
      <c r="D394">
        <f>IF([1]Accounts!$D$395="","",[1]Accounts!$D$395)</f>
        <v/>
      </c>
      <c r="E394">
        <f>IF([1]Accounts!$D$395="","",[1]Accounts!$J$395)</f>
        <v/>
      </c>
      <c r="F394">
        <f>IF([1]Accounts!$D$395="","",[1]Accounts!$K$395)</f>
        <v/>
      </c>
      <c r="J394">
        <f>IF([2]Entry!$C$397="","",[2]Entry!$C$397)</f>
        <v/>
      </c>
      <c r="K394">
        <f>IF([2]Entry!$D$397="","",[2]Entry!$D$397)</f>
        <v/>
      </c>
      <c r="L394">
        <f>IF([2]Entry!$E$397="","",[2]Entry!$E$397)</f>
        <v/>
      </c>
      <c r="M394">
        <f>IF([2]Entry!$G$397="","",[2]Entry!$G$397)</f>
        <v/>
      </c>
      <c r="N394">
        <f>IF([2]Entry!$M$397="","",[2]Entry!$M$397)</f>
        <v/>
      </c>
      <c r="O394">
        <f>IF([2]Entry!$N$397="","",[2]Entry!$N$397)</f>
        <v/>
      </c>
      <c r="P394">
        <f>IF([2]Entry!$R$397="","",[2]Entry!$R$397)</f>
        <v/>
      </c>
    </row>
    <row r="395">
      <c r="A395">
        <f>IF([1]Accounts!$D$396="","",[1]Accounts!$A$396)</f>
        <v/>
      </c>
      <c r="B395">
        <f>IF([1]Accounts!$D$396="","",[1]Accounts!$B$396)</f>
        <v/>
      </c>
      <c r="C395">
        <f>IF([1]Accounts!$D$396="","",[1]Accounts!$C$396)</f>
        <v/>
      </c>
      <c r="D395">
        <f>IF([1]Accounts!$D$396="","",[1]Accounts!$D$396)</f>
        <v/>
      </c>
      <c r="E395">
        <f>IF([1]Accounts!$D$396="","",[1]Accounts!$J$396)</f>
        <v/>
      </c>
      <c r="F395">
        <f>IF([1]Accounts!$D$396="","",[1]Accounts!$K$396)</f>
        <v/>
      </c>
      <c r="J395">
        <f>IF([2]Entry!$C$398="","",[2]Entry!$C$398)</f>
        <v/>
      </c>
      <c r="K395">
        <f>IF([2]Entry!$D$398="","",[2]Entry!$D$398)</f>
        <v/>
      </c>
      <c r="L395">
        <f>IF([2]Entry!$E$398="","",[2]Entry!$E$398)</f>
        <v/>
      </c>
      <c r="M395">
        <f>IF([2]Entry!$G$398="","",[2]Entry!$G$398)</f>
        <v/>
      </c>
      <c r="N395">
        <f>IF([2]Entry!$M$398="","",[2]Entry!$M$398)</f>
        <v/>
      </c>
      <c r="O395">
        <f>IF([2]Entry!$N$398="","",[2]Entry!$N$398)</f>
        <v/>
      </c>
      <c r="P395">
        <f>IF([2]Entry!$R$398="","",[2]Entry!$R$398)</f>
        <v/>
      </c>
    </row>
    <row r="396">
      <c r="A396">
        <f>IF([1]Accounts!$D$397="","",[1]Accounts!$A$397)</f>
        <v/>
      </c>
      <c r="B396">
        <f>IF([1]Accounts!$D$397="","",[1]Accounts!$B$397)</f>
        <v/>
      </c>
      <c r="C396">
        <f>IF([1]Accounts!$D$397="","",[1]Accounts!$C$397)</f>
        <v/>
      </c>
      <c r="D396">
        <f>IF([1]Accounts!$D$397="","",[1]Accounts!$D$397)</f>
        <v/>
      </c>
      <c r="E396">
        <f>IF([1]Accounts!$D$397="","",[1]Accounts!$J$397)</f>
        <v/>
      </c>
      <c r="F396">
        <f>IF([1]Accounts!$D$397="","",[1]Accounts!$K$397)</f>
        <v/>
      </c>
      <c r="J396">
        <f>IF([2]Entry!$C$399="","",[2]Entry!$C$399)</f>
        <v/>
      </c>
      <c r="K396">
        <f>IF([2]Entry!$D$399="","",[2]Entry!$D$399)</f>
        <v/>
      </c>
      <c r="L396">
        <f>IF([2]Entry!$E$399="","",[2]Entry!$E$399)</f>
        <v/>
      </c>
      <c r="M396">
        <f>IF([2]Entry!$G$399="","",[2]Entry!$G$399)</f>
        <v/>
      </c>
      <c r="N396">
        <f>IF([2]Entry!$M$399="","",[2]Entry!$M$399)</f>
        <v/>
      </c>
      <c r="O396">
        <f>IF([2]Entry!$N$399="","",[2]Entry!$N$399)</f>
        <v/>
      </c>
      <c r="P396">
        <f>IF([2]Entry!$R$399="","",[2]Entry!$R$399)</f>
        <v/>
      </c>
    </row>
    <row r="397">
      <c r="A397">
        <f>IF([1]Accounts!$D$398="","",[1]Accounts!$A$398)</f>
        <v/>
      </c>
      <c r="B397">
        <f>IF([1]Accounts!$D$398="","",[1]Accounts!$B$398)</f>
        <v/>
      </c>
      <c r="C397">
        <f>IF([1]Accounts!$D$398="","",[1]Accounts!$C$398)</f>
        <v/>
      </c>
      <c r="D397">
        <f>IF([1]Accounts!$D$398="","",[1]Accounts!$D$398)</f>
        <v/>
      </c>
      <c r="E397">
        <f>IF([1]Accounts!$D$398="","",[1]Accounts!$J$398)</f>
        <v/>
      </c>
      <c r="F397">
        <f>IF([1]Accounts!$D$398="","",[1]Accounts!$K$398)</f>
        <v/>
      </c>
      <c r="J397">
        <f>IF([2]Entry!$C$400="","",[2]Entry!$C$400)</f>
        <v/>
      </c>
      <c r="K397">
        <f>IF([2]Entry!$D$400="","",[2]Entry!$D$400)</f>
        <v/>
      </c>
      <c r="L397">
        <f>IF([2]Entry!$E$400="","",[2]Entry!$E$400)</f>
        <v/>
      </c>
      <c r="M397">
        <f>IF([2]Entry!$G$400="","",[2]Entry!$G$400)</f>
        <v/>
      </c>
      <c r="N397">
        <f>IF([2]Entry!$M$400="","",[2]Entry!$M$400)</f>
        <v/>
      </c>
      <c r="O397">
        <f>IF([2]Entry!$N$400="","",[2]Entry!$N$400)</f>
        <v/>
      </c>
      <c r="P397">
        <f>IF([2]Entry!$R$400="","",[2]Entry!$R$400)</f>
        <v/>
      </c>
    </row>
    <row r="398">
      <c r="A398">
        <f>IF([1]Accounts!$D$399="","",[1]Accounts!$A$399)</f>
        <v/>
      </c>
      <c r="B398">
        <f>IF([1]Accounts!$D$399="","",[1]Accounts!$B$399)</f>
        <v/>
      </c>
      <c r="C398">
        <f>IF([1]Accounts!$D$399="","",[1]Accounts!$C$399)</f>
        <v/>
      </c>
      <c r="D398">
        <f>IF([1]Accounts!$D$399="","",[1]Accounts!$D$399)</f>
        <v/>
      </c>
      <c r="E398">
        <f>IF([1]Accounts!$D$399="","",[1]Accounts!$J$399)</f>
        <v/>
      </c>
      <c r="F398">
        <f>IF([1]Accounts!$D$399="","",[1]Accounts!$K$399)</f>
        <v/>
      </c>
      <c r="J398">
        <f>IF([2]Entry!$C$401="","",[2]Entry!$C$401)</f>
        <v/>
      </c>
      <c r="K398">
        <f>IF([2]Entry!$D$401="","",[2]Entry!$D$401)</f>
        <v/>
      </c>
      <c r="L398">
        <f>IF([2]Entry!$E$401="","",[2]Entry!$E$401)</f>
        <v/>
      </c>
      <c r="M398">
        <f>IF([2]Entry!$G$401="","",[2]Entry!$G$401)</f>
        <v/>
      </c>
      <c r="N398">
        <f>IF([2]Entry!$M$401="","",[2]Entry!$M$401)</f>
        <v/>
      </c>
      <c r="O398">
        <f>IF([2]Entry!$N$401="","",[2]Entry!$N$401)</f>
        <v/>
      </c>
      <c r="P398">
        <f>IF([2]Entry!$R$401="","",[2]Entry!$R$401)</f>
        <v/>
      </c>
    </row>
    <row r="399">
      <c r="A399">
        <f>IF([1]Accounts!$D$400="","",[1]Accounts!$A$400)</f>
        <v/>
      </c>
      <c r="B399">
        <f>IF([1]Accounts!$D$400="","",[1]Accounts!$B$400)</f>
        <v/>
      </c>
      <c r="C399">
        <f>IF([1]Accounts!$D$400="","",[1]Accounts!$C$400)</f>
        <v/>
      </c>
      <c r="D399">
        <f>IF([1]Accounts!$D$400="","",[1]Accounts!$D$400)</f>
        <v/>
      </c>
      <c r="E399">
        <f>IF([1]Accounts!$D$400="","",[1]Accounts!$J$400)</f>
        <v/>
      </c>
      <c r="F399">
        <f>IF([1]Accounts!$D$400="","",[1]Accounts!$K$400)</f>
        <v/>
      </c>
      <c r="J399">
        <f>IF([2]Entry!$C$402="","",[2]Entry!$C$402)</f>
        <v/>
      </c>
      <c r="K399">
        <f>IF([2]Entry!$D$402="","",[2]Entry!$D$402)</f>
        <v/>
      </c>
      <c r="L399">
        <f>IF([2]Entry!$E$402="","",[2]Entry!$E$402)</f>
        <v/>
      </c>
      <c r="M399">
        <f>IF([2]Entry!$G$402="","",[2]Entry!$G$402)</f>
        <v/>
      </c>
      <c r="N399">
        <f>IF([2]Entry!$M$402="","",[2]Entry!$M$402)</f>
        <v/>
      </c>
      <c r="O399">
        <f>IF([2]Entry!$N$402="","",[2]Entry!$N$402)</f>
        <v/>
      </c>
      <c r="P399">
        <f>IF([2]Entry!$R$402="","",[2]Entry!$R$402)</f>
        <v/>
      </c>
    </row>
    <row r="400">
      <c r="A400">
        <f>IF([1]Accounts!$D$401="","",[1]Accounts!$A$401)</f>
        <v/>
      </c>
      <c r="B400">
        <f>IF([1]Accounts!$D$401="","",[1]Accounts!$B$401)</f>
        <v/>
      </c>
      <c r="C400">
        <f>IF([1]Accounts!$D$401="","",[1]Accounts!$C$401)</f>
        <v/>
      </c>
      <c r="D400">
        <f>IF([1]Accounts!$D$401="","",[1]Accounts!$D$401)</f>
        <v/>
      </c>
      <c r="E400">
        <f>IF([1]Accounts!$D$401="","",[1]Accounts!$J$401)</f>
        <v/>
      </c>
      <c r="F400">
        <f>IF([1]Accounts!$D$401="","",[1]Accounts!$K$401)</f>
        <v/>
      </c>
      <c r="J400">
        <f>IF([2]Entry!$C$403="","",[2]Entry!$C$403)</f>
        <v/>
      </c>
      <c r="K400">
        <f>IF([2]Entry!$D$403="","",[2]Entry!$D$403)</f>
        <v/>
      </c>
      <c r="L400">
        <f>IF([2]Entry!$E$403="","",[2]Entry!$E$403)</f>
        <v/>
      </c>
      <c r="M400">
        <f>IF([2]Entry!$G$403="","",[2]Entry!$G$403)</f>
        <v/>
      </c>
      <c r="N400">
        <f>IF([2]Entry!$M$403="","",[2]Entry!$M$403)</f>
        <v/>
      </c>
      <c r="O400">
        <f>IF([2]Entry!$N$403="","",[2]Entry!$N$403)</f>
        <v/>
      </c>
      <c r="P400">
        <f>IF([2]Entry!$R$403="","",[2]Entry!$R$403)</f>
        <v/>
      </c>
    </row>
    <row r="401">
      <c r="A401">
        <f>IF([1]Accounts!$D$402="","",[1]Accounts!$A$402)</f>
        <v/>
      </c>
      <c r="B401">
        <f>IF([1]Accounts!$D$402="","",[1]Accounts!$B$402)</f>
        <v/>
      </c>
      <c r="C401">
        <f>IF([1]Accounts!$D$402="","",[1]Accounts!$C$402)</f>
        <v/>
      </c>
      <c r="D401">
        <f>IF([1]Accounts!$D$402="","",[1]Accounts!$D$402)</f>
        <v/>
      </c>
      <c r="E401">
        <f>IF([1]Accounts!$D$402="","",[1]Accounts!$J$402)</f>
        <v/>
      </c>
      <c r="F401">
        <f>IF([1]Accounts!$D$402="","",[1]Accounts!$K$402)</f>
        <v/>
      </c>
      <c r="J401">
        <f>IF([2]Entry!$C$404="","",[2]Entry!$C$404)</f>
        <v/>
      </c>
      <c r="K401">
        <f>IF([2]Entry!$D$404="","",[2]Entry!$D$404)</f>
        <v/>
      </c>
      <c r="L401">
        <f>IF([2]Entry!$E$404="","",[2]Entry!$E$404)</f>
        <v/>
      </c>
      <c r="M401">
        <f>IF([2]Entry!$G$404="","",[2]Entry!$G$404)</f>
        <v/>
      </c>
      <c r="N401">
        <f>IF([2]Entry!$M$404="","",[2]Entry!$M$404)</f>
        <v/>
      </c>
      <c r="O401">
        <f>IF([2]Entry!$N$404="","",[2]Entry!$N$404)</f>
        <v/>
      </c>
      <c r="P401">
        <f>IF([2]Entry!$R$404="","",[2]Entry!$R$404)</f>
        <v/>
      </c>
    </row>
    <row r="402">
      <c r="A402">
        <f>IF([1]Accounts!$D$403="","",[1]Accounts!$A$403)</f>
        <v/>
      </c>
      <c r="B402">
        <f>IF([1]Accounts!$D$403="","",[1]Accounts!$B$403)</f>
        <v/>
      </c>
      <c r="C402">
        <f>IF([1]Accounts!$D$403="","",[1]Accounts!$C$403)</f>
        <v/>
      </c>
      <c r="D402">
        <f>IF([1]Accounts!$D$403="","",[1]Accounts!$D$403)</f>
        <v/>
      </c>
      <c r="E402">
        <f>IF([1]Accounts!$D$403="","",[1]Accounts!$J$403)</f>
        <v/>
      </c>
      <c r="F402">
        <f>IF([1]Accounts!$D$403="","",[1]Accounts!$K$403)</f>
        <v/>
      </c>
      <c r="J402">
        <f>IF([2]Entry!$C$405="","",[2]Entry!$C$405)</f>
        <v/>
      </c>
      <c r="K402">
        <f>IF([2]Entry!$D$405="","",[2]Entry!$D$405)</f>
        <v/>
      </c>
      <c r="L402">
        <f>IF([2]Entry!$E$405="","",[2]Entry!$E$405)</f>
        <v/>
      </c>
      <c r="M402">
        <f>IF([2]Entry!$G$405="","",[2]Entry!$G$405)</f>
        <v/>
      </c>
      <c r="N402">
        <f>IF([2]Entry!$M$405="","",[2]Entry!$M$405)</f>
        <v/>
      </c>
      <c r="O402">
        <f>IF([2]Entry!$N$405="","",[2]Entry!$N$405)</f>
        <v/>
      </c>
      <c r="P402">
        <f>IF([2]Entry!$R$405="","",[2]Entry!$R$405)</f>
        <v/>
      </c>
    </row>
    <row r="403">
      <c r="A403">
        <f>IF([1]Accounts!$D$404="","",[1]Accounts!$A$404)</f>
        <v/>
      </c>
      <c r="B403">
        <f>IF([1]Accounts!$D$404="","",[1]Accounts!$B$404)</f>
        <v/>
      </c>
      <c r="C403">
        <f>IF([1]Accounts!$D$404="","",[1]Accounts!$C$404)</f>
        <v/>
      </c>
      <c r="D403">
        <f>IF([1]Accounts!$D$404="","",[1]Accounts!$D$404)</f>
        <v/>
      </c>
      <c r="E403">
        <f>IF([1]Accounts!$D$404="","",[1]Accounts!$J$404)</f>
        <v/>
      </c>
      <c r="F403">
        <f>IF([1]Accounts!$D$404="","",[1]Accounts!$K$404)</f>
        <v/>
      </c>
      <c r="J403">
        <f>IF([2]Entry!$C$406="","",[2]Entry!$C$406)</f>
        <v/>
      </c>
      <c r="K403">
        <f>IF([2]Entry!$D$406="","",[2]Entry!$D$406)</f>
        <v/>
      </c>
      <c r="L403">
        <f>IF([2]Entry!$E$406="","",[2]Entry!$E$406)</f>
        <v/>
      </c>
      <c r="M403">
        <f>IF([2]Entry!$G$406="","",[2]Entry!$G$406)</f>
        <v/>
      </c>
      <c r="N403">
        <f>IF([2]Entry!$M$406="","",[2]Entry!$M$406)</f>
        <v/>
      </c>
      <c r="O403">
        <f>IF([2]Entry!$N$406="","",[2]Entry!$N$406)</f>
        <v/>
      </c>
      <c r="P403">
        <f>IF([2]Entry!$R$406="","",[2]Entry!$R$406)</f>
        <v/>
      </c>
    </row>
    <row r="404">
      <c r="A404">
        <f>IF([1]Accounts!$D$405="","",[1]Accounts!$A$405)</f>
        <v/>
      </c>
      <c r="B404">
        <f>IF([1]Accounts!$D$405="","",[1]Accounts!$B$405)</f>
        <v/>
      </c>
      <c r="C404">
        <f>IF([1]Accounts!$D$405="","",[1]Accounts!$C$405)</f>
        <v/>
      </c>
      <c r="D404">
        <f>IF([1]Accounts!$D$405="","",[1]Accounts!$D$405)</f>
        <v/>
      </c>
      <c r="E404">
        <f>IF([1]Accounts!$D$405="","",[1]Accounts!$J$405)</f>
        <v/>
      </c>
      <c r="F404">
        <f>IF([1]Accounts!$D$405="","",[1]Accounts!$K$405)</f>
        <v/>
      </c>
      <c r="J404">
        <f>IF([2]Entry!$C$407="","",[2]Entry!$C$407)</f>
        <v/>
      </c>
      <c r="K404">
        <f>IF([2]Entry!$D$407="","",[2]Entry!$D$407)</f>
        <v/>
      </c>
      <c r="L404">
        <f>IF([2]Entry!$E$407="","",[2]Entry!$E$407)</f>
        <v/>
      </c>
      <c r="M404">
        <f>IF([2]Entry!$G$407="","",[2]Entry!$G$407)</f>
        <v/>
      </c>
      <c r="N404">
        <f>IF([2]Entry!$M$407="","",[2]Entry!$M$407)</f>
        <v/>
      </c>
      <c r="O404">
        <f>IF([2]Entry!$N$407="","",[2]Entry!$N$407)</f>
        <v/>
      </c>
      <c r="P404">
        <f>IF([2]Entry!$R$407="","",[2]Entry!$R$407)</f>
        <v/>
      </c>
    </row>
    <row r="405">
      <c r="A405">
        <f>IF([1]Accounts!$D$406="","",[1]Accounts!$A$406)</f>
        <v/>
      </c>
      <c r="B405">
        <f>IF([1]Accounts!$D$406="","",[1]Accounts!$B$406)</f>
        <v/>
      </c>
      <c r="C405">
        <f>IF([1]Accounts!$D$406="","",[1]Accounts!$C$406)</f>
        <v/>
      </c>
      <c r="D405">
        <f>IF([1]Accounts!$D$406="","",[1]Accounts!$D$406)</f>
        <v/>
      </c>
      <c r="E405">
        <f>IF([1]Accounts!$D$406="","",[1]Accounts!$J$406)</f>
        <v/>
      </c>
      <c r="F405">
        <f>IF([1]Accounts!$D$406="","",[1]Accounts!$K$406)</f>
        <v/>
      </c>
      <c r="J405">
        <f>IF([2]Entry!$C$408="","",[2]Entry!$C$408)</f>
        <v/>
      </c>
      <c r="K405">
        <f>IF([2]Entry!$D$408="","",[2]Entry!$D$408)</f>
        <v/>
      </c>
      <c r="L405">
        <f>IF([2]Entry!$E$408="","",[2]Entry!$E$408)</f>
        <v/>
      </c>
      <c r="M405">
        <f>IF([2]Entry!$G$408="","",[2]Entry!$G$408)</f>
        <v/>
      </c>
      <c r="N405">
        <f>IF([2]Entry!$M$408="","",[2]Entry!$M$408)</f>
        <v/>
      </c>
      <c r="O405">
        <f>IF([2]Entry!$N$408="","",[2]Entry!$N$408)</f>
        <v/>
      </c>
      <c r="P405">
        <f>IF([2]Entry!$R$408="","",[2]Entry!$R$408)</f>
        <v/>
      </c>
    </row>
    <row r="406">
      <c r="A406">
        <f>IF([1]Accounts!$D$407="","",[1]Accounts!$A$407)</f>
        <v/>
      </c>
      <c r="B406">
        <f>IF([1]Accounts!$D$407="","",[1]Accounts!$B$407)</f>
        <v/>
      </c>
      <c r="C406">
        <f>IF([1]Accounts!$D$407="","",[1]Accounts!$C$407)</f>
        <v/>
      </c>
      <c r="D406">
        <f>IF([1]Accounts!$D$407="","",[1]Accounts!$D$407)</f>
        <v/>
      </c>
      <c r="E406">
        <f>IF([1]Accounts!$D$407="","",[1]Accounts!$J$407)</f>
        <v/>
      </c>
      <c r="F406">
        <f>IF([1]Accounts!$D$407="","",[1]Accounts!$K$407)</f>
        <v/>
      </c>
      <c r="J406">
        <f>IF([2]Entry!$C$409="","",[2]Entry!$C$409)</f>
        <v/>
      </c>
      <c r="K406">
        <f>IF([2]Entry!$D$409="","",[2]Entry!$D$409)</f>
        <v/>
      </c>
      <c r="L406">
        <f>IF([2]Entry!$E$409="","",[2]Entry!$E$409)</f>
        <v/>
      </c>
      <c r="M406">
        <f>IF([2]Entry!$G$409="","",[2]Entry!$G$409)</f>
        <v/>
      </c>
      <c r="N406">
        <f>IF([2]Entry!$M$409="","",[2]Entry!$M$409)</f>
        <v/>
      </c>
      <c r="O406">
        <f>IF([2]Entry!$N$409="","",[2]Entry!$N$409)</f>
        <v/>
      </c>
      <c r="P406">
        <f>IF([2]Entry!$R$409="","",[2]Entry!$R$409)</f>
        <v/>
      </c>
    </row>
    <row r="407">
      <c r="A407">
        <f>IF([1]Accounts!$D$408="","",[1]Accounts!$A$408)</f>
        <v/>
      </c>
      <c r="B407">
        <f>IF([1]Accounts!$D$408="","",[1]Accounts!$B$408)</f>
        <v/>
      </c>
      <c r="C407">
        <f>IF([1]Accounts!$D$408="","",[1]Accounts!$C$408)</f>
        <v/>
      </c>
      <c r="D407">
        <f>IF([1]Accounts!$D$408="","",[1]Accounts!$D$408)</f>
        <v/>
      </c>
      <c r="E407">
        <f>IF([1]Accounts!$D$408="","",[1]Accounts!$J$408)</f>
        <v/>
      </c>
      <c r="F407">
        <f>IF([1]Accounts!$D$408="","",[1]Accounts!$K$408)</f>
        <v/>
      </c>
      <c r="J407">
        <f>IF([2]Entry!$C$410="","",[2]Entry!$C$410)</f>
        <v/>
      </c>
      <c r="K407">
        <f>IF([2]Entry!$D$410="","",[2]Entry!$D$410)</f>
        <v/>
      </c>
      <c r="L407">
        <f>IF([2]Entry!$E$410="","",[2]Entry!$E$410)</f>
        <v/>
      </c>
      <c r="M407">
        <f>IF([2]Entry!$G$410="","",[2]Entry!$G$410)</f>
        <v/>
      </c>
      <c r="N407">
        <f>IF([2]Entry!$M$410="","",[2]Entry!$M$410)</f>
        <v/>
      </c>
      <c r="O407">
        <f>IF([2]Entry!$N$410="","",[2]Entry!$N$410)</f>
        <v/>
      </c>
      <c r="P407">
        <f>IF([2]Entry!$R$410="","",[2]Entry!$R$410)</f>
        <v/>
      </c>
    </row>
    <row r="408">
      <c r="A408">
        <f>IF([1]Accounts!$D$409="","",[1]Accounts!$A$409)</f>
        <v/>
      </c>
      <c r="B408">
        <f>IF([1]Accounts!$D$409="","",[1]Accounts!$B$409)</f>
        <v/>
      </c>
      <c r="C408">
        <f>IF([1]Accounts!$D$409="","",[1]Accounts!$C$409)</f>
        <v/>
      </c>
      <c r="D408">
        <f>IF([1]Accounts!$D$409="","",[1]Accounts!$D$409)</f>
        <v/>
      </c>
      <c r="E408">
        <f>IF([1]Accounts!$D$409="","",[1]Accounts!$J$409)</f>
        <v/>
      </c>
      <c r="F408">
        <f>IF([1]Accounts!$D$409="","",[1]Accounts!$K$409)</f>
        <v/>
      </c>
      <c r="J408">
        <f>IF([2]Entry!$C$411="","",[2]Entry!$C$411)</f>
        <v/>
      </c>
      <c r="K408">
        <f>IF([2]Entry!$D$411="","",[2]Entry!$D$411)</f>
        <v/>
      </c>
      <c r="L408">
        <f>IF([2]Entry!$E$411="","",[2]Entry!$E$411)</f>
        <v/>
      </c>
      <c r="M408">
        <f>IF([2]Entry!$G$411="","",[2]Entry!$G$411)</f>
        <v/>
      </c>
      <c r="N408">
        <f>IF([2]Entry!$M$411="","",[2]Entry!$M$411)</f>
        <v/>
      </c>
      <c r="O408">
        <f>IF([2]Entry!$N$411="","",[2]Entry!$N$411)</f>
        <v/>
      </c>
      <c r="P408">
        <f>IF([2]Entry!$R$411="","",[2]Entry!$R$411)</f>
        <v/>
      </c>
    </row>
    <row r="409">
      <c r="A409">
        <f>IF([1]Accounts!$D$410="","",[1]Accounts!$A$410)</f>
        <v/>
      </c>
      <c r="B409">
        <f>IF([1]Accounts!$D$410="","",[1]Accounts!$B$410)</f>
        <v/>
      </c>
      <c r="C409">
        <f>IF([1]Accounts!$D$410="","",[1]Accounts!$C$410)</f>
        <v/>
      </c>
      <c r="D409">
        <f>IF([1]Accounts!$D$410="","",[1]Accounts!$D$410)</f>
        <v/>
      </c>
      <c r="E409">
        <f>IF([1]Accounts!$D$410="","",[1]Accounts!$J$410)</f>
        <v/>
      </c>
      <c r="F409">
        <f>IF([1]Accounts!$D$410="","",[1]Accounts!$K$410)</f>
        <v/>
      </c>
      <c r="J409">
        <f>IF([2]Entry!$C$412="","",[2]Entry!$C$412)</f>
        <v/>
      </c>
      <c r="K409">
        <f>IF([2]Entry!$D$412="","",[2]Entry!$D$412)</f>
        <v/>
      </c>
      <c r="L409">
        <f>IF([2]Entry!$E$412="","",[2]Entry!$E$412)</f>
        <v/>
      </c>
      <c r="M409">
        <f>IF([2]Entry!$G$412="","",[2]Entry!$G$412)</f>
        <v/>
      </c>
      <c r="N409">
        <f>IF([2]Entry!$M$412="","",[2]Entry!$M$412)</f>
        <v/>
      </c>
      <c r="O409">
        <f>IF([2]Entry!$N$412="","",[2]Entry!$N$412)</f>
        <v/>
      </c>
      <c r="P409">
        <f>IF([2]Entry!$R$412="","",[2]Entry!$R$412)</f>
        <v/>
      </c>
    </row>
    <row r="410">
      <c r="A410">
        <f>IF([1]Accounts!$D$411="","",[1]Accounts!$A$411)</f>
        <v/>
      </c>
      <c r="B410">
        <f>IF([1]Accounts!$D$411="","",[1]Accounts!$B$411)</f>
        <v/>
      </c>
      <c r="C410">
        <f>IF([1]Accounts!$D$411="","",[1]Accounts!$C$411)</f>
        <v/>
      </c>
      <c r="D410">
        <f>IF([1]Accounts!$D$411="","",[1]Accounts!$D$411)</f>
        <v/>
      </c>
      <c r="E410">
        <f>IF([1]Accounts!$D$411="","",[1]Accounts!$J$411)</f>
        <v/>
      </c>
      <c r="F410">
        <f>IF([1]Accounts!$D$411="","",[1]Accounts!$K$411)</f>
        <v/>
      </c>
      <c r="J410">
        <f>IF([2]Entry!$C$413="","",[2]Entry!$C$413)</f>
        <v/>
      </c>
      <c r="K410">
        <f>IF([2]Entry!$D$413="","",[2]Entry!$D$413)</f>
        <v/>
      </c>
      <c r="L410">
        <f>IF([2]Entry!$E$413="","",[2]Entry!$E$413)</f>
        <v/>
      </c>
      <c r="M410">
        <f>IF([2]Entry!$G$413="","",[2]Entry!$G$413)</f>
        <v/>
      </c>
      <c r="N410">
        <f>IF([2]Entry!$M$413="","",[2]Entry!$M$413)</f>
        <v/>
      </c>
      <c r="O410">
        <f>IF([2]Entry!$N$413="","",[2]Entry!$N$413)</f>
        <v/>
      </c>
      <c r="P410">
        <f>IF([2]Entry!$R$413="","",[2]Entry!$R$413)</f>
        <v/>
      </c>
    </row>
    <row r="411">
      <c r="A411">
        <f>IF([1]Accounts!$D$412="","",[1]Accounts!$A$412)</f>
        <v/>
      </c>
      <c r="B411">
        <f>IF([1]Accounts!$D$412="","",[1]Accounts!$B$412)</f>
        <v/>
      </c>
      <c r="C411">
        <f>IF([1]Accounts!$D$412="","",[1]Accounts!$C$412)</f>
        <v/>
      </c>
      <c r="D411">
        <f>IF([1]Accounts!$D$412="","",[1]Accounts!$D$412)</f>
        <v/>
      </c>
      <c r="E411">
        <f>IF([1]Accounts!$D$412="","",[1]Accounts!$J$412)</f>
        <v/>
      </c>
      <c r="F411">
        <f>IF([1]Accounts!$D$412="","",[1]Accounts!$K$412)</f>
        <v/>
      </c>
      <c r="J411">
        <f>IF([2]Entry!$C$414="","",[2]Entry!$C$414)</f>
        <v/>
      </c>
      <c r="K411">
        <f>IF([2]Entry!$D$414="","",[2]Entry!$D$414)</f>
        <v/>
      </c>
      <c r="L411">
        <f>IF([2]Entry!$E$414="","",[2]Entry!$E$414)</f>
        <v/>
      </c>
      <c r="M411">
        <f>IF([2]Entry!$G$414="","",[2]Entry!$G$414)</f>
        <v/>
      </c>
      <c r="N411">
        <f>IF([2]Entry!$M$414="","",[2]Entry!$M$414)</f>
        <v/>
      </c>
      <c r="O411">
        <f>IF([2]Entry!$N$414="","",[2]Entry!$N$414)</f>
        <v/>
      </c>
      <c r="P411">
        <f>IF([2]Entry!$R$414="","",[2]Entry!$R$414)</f>
        <v/>
      </c>
    </row>
    <row r="412">
      <c r="A412">
        <f>IF([1]Accounts!$D$413="","",[1]Accounts!$A$413)</f>
        <v/>
      </c>
      <c r="B412">
        <f>IF([1]Accounts!$D$413="","",[1]Accounts!$B$413)</f>
        <v/>
      </c>
      <c r="C412">
        <f>IF([1]Accounts!$D$413="","",[1]Accounts!$C$413)</f>
        <v/>
      </c>
      <c r="D412">
        <f>IF([1]Accounts!$D$413="","",[1]Accounts!$D$413)</f>
        <v/>
      </c>
      <c r="E412">
        <f>IF([1]Accounts!$D$413="","",[1]Accounts!$J$413)</f>
        <v/>
      </c>
      <c r="F412">
        <f>IF([1]Accounts!$D$413="","",[1]Accounts!$K$413)</f>
        <v/>
      </c>
      <c r="J412">
        <f>IF([2]Entry!$C$415="","",[2]Entry!$C$415)</f>
        <v/>
      </c>
      <c r="K412">
        <f>IF([2]Entry!$D$415="","",[2]Entry!$D$415)</f>
        <v/>
      </c>
      <c r="L412">
        <f>IF([2]Entry!$E$415="","",[2]Entry!$E$415)</f>
        <v/>
      </c>
      <c r="M412">
        <f>IF([2]Entry!$G$415="","",[2]Entry!$G$415)</f>
        <v/>
      </c>
      <c r="N412">
        <f>IF([2]Entry!$M$415="","",[2]Entry!$M$415)</f>
        <v/>
      </c>
      <c r="O412">
        <f>IF([2]Entry!$N$415="","",[2]Entry!$N$415)</f>
        <v/>
      </c>
      <c r="P412">
        <f>IF([2]Entry!$R$415="","",[2]Entry!$R$415)</f>
        <v/>
      </c>
    </row>
    <row r="413">
      <c r="A413">
        <f>IF([1]Accounts!$D$414="","",[1]Accounts!$A$414)</f>
        <v/>
      </c>
      <c r="B413">
        <f>IF([1]Accounts!$D$414="","",[1]Accounts!$B$414)</f>
        <v/>
      </c>
      <c r="C413">
        <f>IF([1]Accounts!$D$414="","",[1]Accounts!$C$414)</f>
        <v/>
      </c>
      <c r="D413">
        <f>IF([1]Accounts!$D$414="","",[1]Accounts!$D$414)</f>
        <v/>
      </c>
      <c r="E413">
        <f>IF([1]Accounts!$D$414="","",[1]Accounts!$J$414)</f>
        <v/>
      </c>
      <c r="F413">
        <f>IF([1]Accounts!$D$414="","",[1]Accounts!$K$414)</f>
        <v/>
      </c>
      <c r="J413">
        <f>IF([2]Entry!$C$416="","",[2]Entry!$C$416)</f>
        <v/>
      </c>
      <c r="K413">
        <f>IF([2]Entry!$D$416="","",[2]Entry!$D$416)</f>
        <v/>
      </c>
      <c r="L413">
        <f>IF([2]Entry!$E$416="","",[2]Entry!$E$416)</f>
        <v/>
      </c>
      <c r="M413">
        <f>IF([2]Entry!$G$416="","",[2]Entry!$G$416)</f>
        <v/>
      </c>
      <c r="N413">
        <f>IF([2]Entry!$M$416="","",[2]Entry!$M$416)</f>
        <v/>
      </c>
      <c r="O413">
        <f>IF([2]Entry!$N$416="","",[2]Entry!$N$416)</f>
        <v/>
      </c>
      <c r="P413">
        <f>IF([2]Entry!$R$416="","",[2]Entry!$R$416)</f>
        <v/>
      </c>
    </row>
    <row r="414">
      <c r="A414">
        <f>IF([1]Accounts!$D$415="","",[1]Accounts!$A$415)</f>
        <v/>
      </c>
      <c r="B414">
        <f>IF([1]Accounts!$D$415="","",[1]Accounts!$B$415)</f>
        <v/>
      </c>
      <c r="C414">
        <f>IF([1]Accounts!$D$415="","",[1]Accounts!$C$415)</f>
        <v/>
      </c>
      <c r="D414">
        <f>IF([1]Accounts!$D$415="","",[1]Accounts!$D$415)</f>
        <v/>
      </c>
      <c r="E414">
        <f>IF([1]Accounts!$D$415="","",[1]Accounts!$J$415)</f>
        <v/>
      </c>
      <c r="F414">
        <f>IF([1]Accounts!$D$415="","",[1]Accounts!$K$415)</f>
        <v/>
      </c>
      <c r="J414">
        <f>IF([2]Entry!$C$417="","",[2]Entry!$C$417)</f>
        <v/>
      </c>
      <c r="K414">
        <f>IF([2]Entry!$D$417="","",[2]Entry!$D$417)</f>
        <v/>
      </c>
      <c r="L414">
        <f>IF([2]Entry!$E$417="","",[2]Entry!$E$417)</f>
        <v/>
      </c>
      <c r="M414">
        <f>IF([2]Entry!$G$417="","",[2]Entry!$G$417)</f>
        <v/>
      </c>
      <c r="N414">
        <f>IF([2]Entry!$M$417="","",[2]Entry!$M$417)</f>
        <v/>
      </c>
      <c r="O414">
        <f>IF([2]Entry!$N$417="","",[2]Entry!$N$417)</f>
        <v/>
      </c>
      <c r="P414">
        <f>IF([2]Entry!$R$417="","",[2]Entry!$R$417)</f>
        <v/>
      </c>
    </row>
    <row r="415">
      <c r="A415">
        <f>IF([1]Accounts!$D$416="","",[1]Accounts!$A$416)</f>
        <v/>
      </c>
      <c r="B415">
        <f>IF([1]Accounts!$D$416="","",[1]Accounts!$B$416)</f>
        <v/>
      </c>
      <c r="C415">
        <f>IF([1]Accounts!$D$416="","",[1]Accounts!$C$416)</f>
        <v/>
      </c>
      <c r="D415">
        <f>IF([1]Accounts!$D$416="","",[1]Accounts!$D$416)</f>
        <v/>
      </c>
      <c r="E415">
        <f>IF([1]Accounts!$D$416="","",[1]Accounts!$J$416)</f>
        <v/>
      </c>
      <c r="F415">
        <f>IF([1]Accounts!$D$416="","",[1]Accounts!$K$416)</f>
        <v/>
      </c>
      <c r="J415">
        <f>IF([2]Entry!$C$418="","",[2]Entry!$C$418)</f>
        <v/>
      </c>
      <c r="K415">
        <f>IF([2]Entry!$D$418="","",[2]Entry!$D$418)</f>
        <v/>
      </c>
      <c r="L415">
        <f>IF([2]Entry!$E$418="","",[2]Entry!$E$418)</f>
        <v/>
      </c>
      <c r="M415">
        <f>IF([2]Entry!$G$418="","",[2]Entry!$G$418)</f>
        <v/>
      </c>
      <c r="N415">
        <f>IF([2]Entry!$M$418="","",[2]Entry!$M$418)</f>
        <v/>
      </c>
      <c r="O415">
        <f>IF([2]Entry!$N$418="","",[2]Entry!$N$418)</f>
        <v/>
      </c>
      <c r="P415">
        <f>IF([2]Entry!$R$418="","",[2]Entry!$R$418)</f>
        <v/>
      </c>
    </row>
    <row r="416">
      <c r="A416">
        <f>IF([1]Accounts!$D$417="","",[1]Accounts!$A$417)</f>
        <v/>
      </c>
      <c r="B416">
        <f>IF([1]Accounts!$D$417="","",[1]Accounts!$B$417)</f>
        <v/>
      </c>
      <c r="C416">
        <f>IF([1]Accounts!$D$417="","",[1]Accounts!$C$417)</f>
        <v/>
      </c>
      <c r="D416">
        <f>IF([1]Accounts!$D$417="","",[1]Accounts!$D$417)</f>
        <v/>
      </c>
      <c r="E416">
        <f>IF([1]Accounts!$D$417="","",[1]Accounts!$J$417)</f>
        <v/>
      </c>
      <c r="F416">
        <f>IF([1]Accounts!$D$417="","",[1]Accounts!$K$417)</f>
        <v/>
      </c>
      <c r="J416">
        <f>IF([2]Entry!$C$419="","",[2]Entry!$C$419)</f>
        <v/>
      </c>
      <c r="K416">
        <f>IF([2]Entry!$D$419="","",[2]Entry!$D$419)</f>
        <v/>
      </c>
      <c r="L416">
        <f>IF([2]Entry!$E$419="","",[2]Entry!$E$419)</f>
        <v/>
      </c>
      <c r="M416">
        <f>IF([2]Entry!$G$419="","",[2]Entry!$G$419)</f>
        <v/>
      </c>
      <c r="N416">
        <f>IF([2]Entry!$M$419="","",[2]Entry!$M$419)</f>
        <v/>
      </c>
      <c r="O416">
        <f>IF([2]Entry!$N$419="","",[2]Entry!$N$419)</f>
        <v/>
      </c>
      <c r="P416">
        <f>IF([2]Entry!$R$419="","",[2]Entry!$R$419)</f>
        <v/>
      </c>
    </row>
    <row r="417">
      <c r="A417">
        <f>IF([1]Accounts!$D$418="","",[1]Accounts!$A$418)</f>
        <v/>
      </c>
      <c r="B417">
        <f>IF([1]Accounts!$D$418="","",[1]Accounts!$B$418)</f>
        <v/>
      </c>
      <c r="C417">
        <f>IF([1]Accounts!$D$418="","",[1]Accounts!$C$418)</f>
        <v/>
      </c>
      <c r="D417">
        <f>IF([1]Accounts!$D$418="","",[1]Accounts!$D$418)</f>
        <v/>
      </c>
      <c r="E417">
        <f>IF([1]Accounts!$D$418="","",[1]Accounts!$J$418)</f>
        <v/>
      </c>
      <c r="F417">
        <f>IF([1]Accounts!$D$418="","",[1]Accounts!$K$418)</f>
        <v/>
      </c>
      <c r="J417">
        <f>IF([2]Entry!$C$420="","",[2]Entry!$C$420)</f>
        <v/>
      </c>
      <c r="K417">
        <f>IF([2]Entry!$D$420="","",[2]Entry!$D$420)</f>
        <v/>
      </c>
      <c r="L417">
        <f>IF([2]Entry!$E$420="","",[2]Entry!$E$420)</f>
        <v/>
      </c>
      <c r="M417">
        <f>IF([2]Entry!$G$420="","",[2]Entry!$G$420)</f>
        <v/>
      </c>
      <c r="N417">
        <f>IF([2]Entry!$M$420="","",[2]Entry!$M$420)</f>
        <v/>
      </c>
      <c r="O417">
        <f>IF([2]Entry!$N$420="","",[2]Entry!$N$420)</f>
        <v/>
      </c>
      <c r="P417">
        <f>IF([2]Entry!$R$420="","",[2]Entry!$R$420)</f>
        <v/>
      </c>
    </row>
    <row r="418">
      <c r="A418">
        <f>IF([1]Accounts!$D$419="","",[1]Accounts!$A$419)</f>
        <v/>
      </c>
      <c r="B418">
        <f>IF([1]Accounts!$D$419="","",[1]Accounts!$B$419)</f>
        <v/>
      </c>
      <c r="C418">
        <f>IF([1]Accounts!$D$419="","",[1]Accounts!$C$419)</f>
        <v/>
      </c>
      <c r="D418">
        <f>IF([1]Accounts!$D$419="","",[1]Accounts!$D$419)</f>
        <v/>
      </c>
      <c r="E418">
        <f>IF([1]Accounts!$D$419="","",[1]Accounts!$J$419)</f>
        <v/>
      </c>
      <c r="F418">
        <f>IF([1]Accounts!$D$419="","",[1]Accounts!$K$419)</f>
        <v/>
      </c>
      <c r="J418">
        <f>IF([2]Entry!$C$421="","",[2]Entry!$C$421)</f>
        <v/>
      </c>
      <c r="K418">
        <f>IF([2]Entry!$D$421="","",[2]Entry!$D$421)</f>
        <v/>
      </c>
      <c r="L418">
        <f>IF([2]Entry!$E$421="","",[2]Entry!$E$421)</f>
        <v/>
      </c>
      <c r="M418">
        <f>IF([2]Entry!$G$421="","",[2]Entry!$G$421)</f>
        <v/>
      </c>
      <c r="N418">
        <f>IF([2]Entry!$M$421="","",[2]Entry!$M$421)</f>
        <v/>
      </c>
      <c r="O418">
        <f>IF([2]Entry!$N$421="","",[2]Entry!$N$421)</f>
        <v/>
      </c>
      <c r="P418">
        <f>IF([2]Entry!$R$421="","",[2]Entry!$R$421)</f>
        <v/>
      </c>
    </row>
    <row r="419">
      <c r="A419">
        <f>IF([1]Accounts!$D$420="","",[1]Accounts!$A$420)</f>
        <v/>
      </c>
      <c r="B419">
        <f>IF([1]Accounts!$D$420="","",[1]Accounts!$B$420)</f>
        <v/>
      </c>
      <c r="C419">
        <f>IF([1]Accounts!$D$420="","",[1]Accounts!$C$420)</f>
        <v/>
      </c>
      <c r="D419">
        <f>IF([1]Accounts!$D$420="","",[1]Accounts!$D$420)</f>
        <v/>
      </c>
      <c r="E419">
        <f>IF([1]Accounts!$D$420="","",[1]Accounts!$J$420)</f>
        <v/>
      </c>
      <c r="F419">
        <f>IF([1]Accounts!$D$420="","",[1]Accounts!$K$420)</f>
        <v/>
      </c>
      <c r="J419">
        <f>IF([2]Entry!$C$422="","",[2]Entry!$C$422)</f>
        <v/>
      </c>
      <c r="K419">
        <f>IF([2]Entry!$D$422="","",[2]Entry!$D$422)</f>
        <v/>
      </c>
      <c r="L419">
        <f>IF([2]Entry!$E$422="","",[2]Entry!$E$422)</f>
        <v/>
      </c>
      <c r="M419">
        <f>IF([2]Entry!$G$422="","",[2]Entry!$G$422)</f>
        <v/>
      </c>
      <c r="N419">
        <f>IF([2]Entry!$M$422="","",[2]Entry!$M$422)</f>
        <v/>
      </c>
      <c r="O419">
        <f>IF([2]Entry!$N$422="","",[2]Entry!$N$422)</f>
        <v/>
      </c>
      <c r="P419">
        <f>IF([2]Entry!$R$422="","",[2]Entry!$R$422)</f>
        <v/>
      </c>
    </row>
    <row r="420">
      <c r="A420">
        <f>IF([1]Accounts!$D$421="","",[1]Accounts!$A$421)</f>
        <v/>
      </c>
      <c r="B420">
        <f>IF([1]Accounts!$D$421="","",[1]Accounts!$B$421)</f>
        <v/>
      </c>
      <c r="C420">
        <f>IF([1]Accounts!$D$421="","",[1]Accounts!$C$421)</f>
        <v/>
      </c>
      <c r="D420">
        <f>IF([1]Accounts!$D$421="","",[1]Accounts!$D$421)</f>
        <v/>
      </c>
      <c r="E420">
        <f>IF([1]Accounts!$D$421="","",[1]Accounts!$J$421)</f>
        <v/>
      </c>
      <c r="F420">
        <f>IF([1]Accounts!$D$421="","",[1]Accounts!$K$421)</f>
        <v/>
      </c>
      <c r="J420">
        <f>IF([2]Entry!$C$423="","",[2]Entry!$C$423)</f>
        <v/>
      </c>
      <c r="K420">
        <f>IF([2]Entry!$D$423="","",[2]Entry!$D$423)</f>
        <v/>
      </c>
      <c r="L420">
        <f>IF([2]Entry!$E$423="","",[2]Entry!$E$423)</f>
        <v/>
      </c>
      <c r="M420">
        <f>IF([2]Entry!$G$423="","",[2]Entry!$G$423)</f>
        <v/>
      </c>
      <c r="N420">
        <f>IF([2]Entry!$M$423="","",[2]Entry!$M$423)</f>
        <v/>
      </c>
      <c r="O420">
        <f>IF([2]Entry!$N$423="","",[2]Entry!$N$423)</f>
        <v/>
      </c>
      <c r="P420">
        <f>IF([2]Entry!$R$423="","",[2]Entry!$R$423)</f>
        <v/>
      </c>
    </row>
    <row r="421">
      <c r="A421">
        <f>IF([1]Accounts!$D$422="","",[1]Accounts!$A$422)</f>
        <v/>
      </c>
      <c r="B421">
        <f>IF([1]Accounts!$D$422="","",[1]Accounts!$B$422)</f>
        <v/>
      </c>
      <c r="C421">
        <f>IF([1]Accounts!$D$422="","",[1]Accounts!$C$422)</f>
        <v/>
      </c>
      <c r="D421">
        <f>IF([1]Accounts!$D$422="","",[1]Accounts!$D$422)</f>
        <v/>
      </c>
      <c r="E421">
        <f>IF([1]Accounts!$D$422="","",[1]Accounts!$J$422)</f>
        <v/>
      </c>
      <c r="F421">
        <f>IF([1]Accounts!$D$422="","",[1]Accounts!$K$422)</f>
        <v/>
      </c>
      <c r="J421">
        <f>IF([2]Entry!$C$424="","",[2]Entry!$C$424)</f>
        <v/>
      </c>
      <c r="K421">
        <f>IF([2]Entry!$D$424="","",[2]Entry!$D$424)</f>
        <v/>
      </c>
      <c r="L421">
        <f>IF([2]Entry!$E$424="","",[2]Entry!$E$424)</f>
        <v/>
      </c>
      <c r="M421">
        <f>IF([2]Entry!$G$424="","",[2]Entry!$G$424)</f>
        <v/>
      </c>
      <c r="N421">
        <f>IF([2]Entry!$M$424="","",[2]Entry!$M$424)</f>
        <v/>
      </c>
      <c r="O421">
        <f>IF([2]Entry!$N$424="","",[2]Entry!$N$424)</f>
        <v/>
      </c>
      <c r="P421">
        <f>IF([2]Entry!$R$424="","",[2]Entry!$R$424)</f>
        <v/>
      </c>
    </row>
    <row r="422">
      <c r="A422">
        <f>IF([1]Accounts!$D$423="","",[1]Accounts!$A$423)</f>
        <v/>
      </c>
      <c r="B422">
        <f>IF([1]Accounts!$D$423="","",[1]Accounts!$B$423)</f>
        <v/>
      </c>
      <c r="C422">
        <f>IF([1]Accounts!$D$423="","",[1]Accounts!$C$423)</f>
        <v/>
      </c>
      <c r="D422">
        <f>IF([1]Accounts!$D$423="","",[1]Accounts!$D$423)</f>
        <v/>
      </c>
      <c r="E422">
        <f>IF([1]Accounts!$D$423="","",[1]Accounts!$J$423)</f>
        <v/>
      </c>
      <c r="F422">
        <f>IF([1]Accounts!$D$423="","",[1]Accounts!$K$423)</f>
        <v/>
      </c>
      <c r="J422">
        <f>IF([2]Entry!$C$425="","",[2]Entry!$C$425)</f>
        <v/>
      </c>
      <c r="K422">
        <f>IF([2]Entry!$D$425="","",[2]Entry!$D$425)</f>
        <v/>
      </c>
      <c r="L422">
        <f>IF([2]Entry!$E$425="","",[2]Entry!$E$425)</f>
        <v/>
      </c>
      <c r="M422">
        <f>IF([2]Entry!$G$425="","",[2]Entry!$G$425)</f>
        <v/>
      </c>
      <c r="N422">
        <f>IF([2]Entry!$M$425="","",[2]Entry!$M$425)</f>
        <v/>
      </c>
      <c r="O422">
        <f>IF([2]Entry!$N$425="","",[2]Entry!$N$425)</f>
        <v/>
      </c>
      <c r="P422">
        <f>IF([2]Entry!$R$425="","",[2]Entry!$R$425)</f>
        <v/>
      </c>
    </row>
    <row r="423">
      <c r="A423">
        <f>IF([1]Accounts!$D$424="","",[1]Accounts!$A$424)</f>
        <v/>
      </c>
      <c r="B423">
        <f>IF([1]Accounts!$D$424="","",[1]Accounts!$B$424)</f>
        <v/>
      </c>
      <c r="C423">
        <f>IF([1]Accounts!$D$424="","",[1]Accounts!$C$424)</f>
        <v/>
      </c>
      <c r="D423">
        <f>IF([1]Accounts!$D$424="","",[1]Accounts!$D$424)</f>
        <v/>
      </c>
      <c r="E423">
        <f>IF([1]Accounts!$D$424="","",[1]Accounts!$J$424)</f>
        <v/>
      </c>
      <c r="F423">
        <f>IF([1]Accounts!$D$424="","",[1]Accounts!$K$424)</f>
        <v/>
      </c>
      <c r="J423">
        <f>IF([2]Entry!$C$426="","",[2]Entry!$C$426)</f>
        <v/>
      </c>
      <c r="K423">
        <f>IF([2]Entry!$D$426="","",[2]Entry!$D$426)</f>
        <v/>
      </c>
      <c r="L423">
        <f>IF([2]Entry!$E$426="","",[2]Entry!$E$426)</f>
        <v/>
      </c>
      <c r="M423">
        <f>IF([2]Entry!$G$426="","",[2]Entry!$G$426)</f>
        <v/>
      </c>
      <c r="N423">
        <f>IF([2]Entry!$M$426="","",[2]Entry!$M$426)</f>
        <v/>
      </c>
      <c r="O423">
        <f>IF([2]Entry!$N$426="","",[2]Entry!$N$426)</f>
        <v/>
      </c>
      <c r="P423">
        <f>IF([2]Entry!$R$426="","",[2]Entry!$R$426)</f>
        <v/>
      </c>
    </row>
    <row r="424">
      <c r="A424">
        <f>IF([1]Accounts!$D$425="","",[1]Accounts!$A$425)</f>
        <v/>
      </c>
      <c r="B424">
        <f>IF([1]Accounts!$D$425="","",[1]Accounts!$B$425)</f>
        <v/>
      </c>
      <c r="C424">
        <f>IF([1]Accounts!$D$425="","",[1]Accounts!$C$425)</f>
        <v/>
      </c>
      <c r="D424">
        <f>IF([1]Accounts!$D$425="","",[1]Accounts!$D$425)</f>
        <v/>
      </c>
      <c r="E424">
        <f>IF([1]Accounts!$D$425="","",[1]Accounts!$J$425)</f>
        <v/>
      </c>
      <c r="F424">
        <f>IF([1]Accounts!$D$425="","",[1]Accounts!$K$425)</f>
        <v/>
      </c>
      <c r="J424">
        <f>IF([2]Entry!$C$427="","",[2]Entry!$C$427)</f>
        <v/>
      </c>
      <c r="K424">
        <f>IF([2]Entry!$D$427="","",[2]Entry!$D$427)</f>
        <v/>
      </c>
      <c r="L424">
        <f>IF([2]Entry!$E$427="","",[2]Entry!$E$427)</f>
        <v/>
      </c>
      <c r="M424">
        <f>IF([2]Entry!$G$427="","",[2]Entry!$G$427)</f>
        <v/>
      </c>
      <c r="N424">
        <f>IF([2]Entry!$M$427="","",[2]Entry!$M$427)</f>
        <v/>
      </c>
      <c r="O424">
        <f>IF([2]Entry!$N$427="","",[2]Entry!$N$427)</f>
        <v/>
      </c>
      <c r="P424">
        <f>IF([2]Entry!$R$427="","",[2]Entry!$R$427)</f>
        <v/>
      </c>
    </row>
    <row r="425">
      <c r="A425">
        <f>IF([1]Accounts!$D$426="","",[1]Accounts!$A$426)</f>
        <v/>
      </c>
      <c r="B425">
        <f>IF([1]Accounts!$D$426="","",[1]Accounts!$B$426)</f>
        <v/>
      </c>
      <c r="C425">
        <f>IF([1]Accounts!$D$426="","",[1]Accounts!$C$426)</f>
        <v/>
      </c>
      <c r="D425">
        <f>IF([1]Accounts!$D$426="","",[1]Accounts!$D$426)</f>
        <v/>
      </c>
      <c r="E425">
        <f>IF([1]Accounts!$D$426="","",[1]Accounts!$J$426)</f>
        <v/>
      </c>
      <c r="F425">
        <f>IF([1]Accounts!$D$426="","",[1]Accounts!$K$426)</f>
        <v/>
      </c>
      <c r="J425">
        <f>IF([2]Entry!$C$428="","",[2]Entry!$C$428)</f>
        <v/>
      </c>
      <c r="K425">
        <f>IF([2]Entry!$D$428="","",[2]Entry!$D$428)</f>
        <v/>
      </c>
      <c r="L425">
        <f>IF([2]Entry!$E$428="","",[2]Entry!$E$428)</f>
        <v/>
      </c>
      <c r="M425">
        <f>IF([2]Entry!$G$428="","",[2]Entry!$G$428)</f>
        <v/>
      </c>
      <c r="N425">
        <f>IF([2]Entry!$M$428="","",[2]Entry!$M$428)</f>
        <v/>
      </c>
      <c r="O425">
        <f>IF([2]Entry!$N$428="","",[2]Entry!$N$428)</f>
        <v/>
      </c>
      <c r="P425">
        <f>IF([2]Entry!$R$428="","",[2]Entry!$R$428)</f>
        <v/>
      </c>
    </row>
    <row r="426">
      <c r="A426">
        <f>IF([1]Accounts!$D$427="","",[1]Accounts!$A$427)</f>
        <v/>
      </c>
      <c r="B426">
        <f>IF([1]Accounts!$D$427="","",[1]Accounts!$B$427)</f>
        <v/>
      </c>
      <c r="C426">
        <f>IF([1]Accounts!$D$427="","",[1]Accounts!$C$427)</f>
        <v/>
      </c>
      <c r="D426">
        <f>IF([1]Accounts!$D$427="","",[1]Accounts!$D$427)</f>
        <v/>
      </c>
      <c r="E426">
        <f>IF([1]Accounts!$D$427="","",[1]Accounts!$J$427)</f>
        <v/>
      </c>
      <c r="F426">
        <f>IF([1]Accounts!$D$427="","",[1]Accounts!$K$427)</f>
        <v/>
      </c>
      <c r="J426">
        <f>IF([2]Entry!$C$429="","",[2]Entry!$C$429)</f>
        <v/>
      </c>
      <c r="K426">
        <f>IF([2]Entry!$D$429="","",[2]Entry!$D$429)</f>
        <v/>
      </c>
      <c r="L426">
        <f>IF([2]Entry!$E$429="","",[2]Entry!$E$429)</f>
        <v/>
      </c>
      <c r="M426">
        <f>IF([2]Entry!$G$429="","",[2]Entry!$G$429)</f>
        <v/>
      </c>
      <c r="N426">
        <f>IF([2]Entry!$M$429="","",[2]Entry!$M$429)</f>
        <v/>
      </c>
      <c r="O426">
        <f>IF([2]Entry!$N$429="","",[2]Entry!$N$429)</f>
        <v/>
      </c>
      <c r="P426">
        <f>IF([2]Entry!$R$429="","",[2]Entry!$R$429)</f>
        <v/>
      </c>
    </row>
    <row r="427">
      <c r="A427">
        <f>IF([1]Accounts!$D$428="","",[1]Accounts!$A$428)</f>
        <v/>
      </c>
      <c r="B427">
        <f>IF([1]Accounts!$D$428="","",[1]Accounts!$B$428)</f>
        <v/>
      </c>
      <c r="C427">
        <f>IF([1]Accounts!$D$428="","",[1]Accounts!$C$428)</f>
        <v/>
      </c>
      <c r="D427">
        <f>IF([1]Accounts!$D$428="","",[1]Accounts!$D$428)</f>
        <v/>
      </c>
      <c r="E427">
        <f>IF([1]Accounts!$D$428="","",[1]Accounts!$J$428)</f>
        <v/>
      </c>
      <c r="F427">
        <f>IF([1]Accounts!$D$428="","",[1]Accounts!$K$428)</f>
        <v/>
      </c>
      <c r="J427">
        <f>IF([2]Entry!$C$430="","",[2]Entry!$C$430)</f>
        <v/>
      </c>
      <c r="K427">
        <f>IF([2]Entry!$D$430="","",[2]Entry!$D$430)</f>
        <v/>
      </c>
      <c r="L427">
        <f>IF([2]Entry!$E$430="","",[2]Entry!$E$430)</f>
        <v/>
      </c>
      <c r="M427">
        <f>IF([2]Entry!$G$430="","",[2]Entry!$G$430)</f>
        <v/>
      </c>
      <c r="N427">
        <f>IF([2]Entry!$M$430="","",[2]Entry!$M$430)</f>
        <v/>
      </c>
      <c r="O427">
        <f>IF([2]Entry!$N$430="","",[2]Entry!$N$430)</f>
        <v/>
      </c>
      <c r="P427">
        <f>IF([2]Entry!$R$430="","",[2]Entry!$R$430)</f>
        <v/>
      </c>
    </row>
    <row r="428">
      <c r="A428">
        <f>IF([1]Accounts!$D$429="","",[1]Accounts!$A$429)</f>
        <v/>
      </c>
      <c r="B428">
        <f>IF([1]Accounts!$D$429="","",[1]Accounts!$B$429)</f>
        <v/>
      </c>
      <c r="C428">
        <f>IF([1]Accounts!$D$429="","",[1]Accounts!$C$429)</f>
        <v/>
      </c>
      <c r="D428">
        <f>IF([1]Accounts!$D$429="","",[1]Accounts!$D$429)</f>
        <v/>
      </c>
      <c r="E428">
        <f>IF([1]Accounts!$D$429="","",[1]Accounts!$J$429)</f>
        <v/>
      </c>
      <c r="F428">
        <f>IF([1]Accounts!$D$429="","",[1]Accounts!$K$429)</f>
        <v/>
      </c>
      <c r="J428">
        <f>IF([2]Entry!$C$431="","",[2]Entry!$C$431)</f>
        <v/>
      </c>
      <c r="K428">
        <f>IF([2]Entry!$D$431="","",[2]Entry!$D$431)</f>
        <v/>
      </c>
      <c r="L428">
        <f>IF([2]Entry!$E$431="","",[2]Entry!$E$431)</f>
        <v/>
      </c>
      <c r="M428">
        <f>IF([2]Entry!$G$431="","",[2]Entry!$G$431)</f>
        <v/>
      </c>
      <c r="N428">
        <f>IF([2]Entry!$M$431="","",[2]Entry!$M$431)</f>
        <v/>
      </c>
      <c r="O428">
        <f>IF([2]Entry!$N$431="","",[2]Entry!$N$431)</f>
        <v/>
      </c>
      <c r="P428">
        <f>IF([2]Entry!$R$431="","",[2]Entry!$R$431)</f>
        <v/>
      </c>
    </row>
    <row r="429">
      <c r="A429">
        <f>IF([1]Accounts!$D$430="","",[1]Accounts!$A$430)</f>
        <v/>
      </c>
      <c r="B429">
        <f>IF([1]Accounts!$D$430="","",[1]Accounts!$B$430)</f>
        <v/>
      </c>
      <c r="C429">
        <f>IF([1]Accounts!$D$430="","",[1]Accounts!$C$430)</f>
        <v/>
      </c>
      <c r="D429">
        <f>IF([1]Accounts!$D$430="","",[1]Accounts!$D$430)</f>
        <v/>
      </c>
      <c r="E429">
        <f>IF([1]Accounts!$D$430="","",[1]Accounts!$J$430)</f>
        <v/>
      </c>
      <c r="F429">
        <f>IF([1]Accounts!$D$430="","",[1]Accounts!$K$430)</f>
        <v/>
      </c>
      <c r="J429">
        <f>IF([2]Entry!$C$432="","",[2]Entry!$C$432)</f>
        <v/>
      </c>
      <c r="K429">
        <f>IF([2]Entry!$D$432="","",[2]Entry!$D$432)</f>
        <v/>
      </c>
      <c r="L429">
        <f>IF([2]Entry!$E$432="","",[2]Entry!$E$432)</f>
        <v/>
      </c>
      <c r="M429">
        <f>IF([2]Entry!$G$432="","",[2]Entry!$G$432)</f>
        <v/>
      </c>
      <c r="N429">
        <f>IF([2]Entry!$M$432="","",[2]Entry!$M$432)</f>
        <v/>
      </c>
      <c r="O429">
        <f>IF([2]Entry!$N$432="","",[2]Entry!$N$432)</f>
        <v/>
      </c>
      <c r="P429">
        <f>IF([2]Entry!$R$432="","",[2]Entry!$R$432)</f>
        <v/>
      </c>
    </row>
    <row r="430">
      <c r="A430">
        <f>IF([1]Accounts!$D$431="","",[1]Accounts!$A$431)</f>
        <v/>
      </c>
      <c r="B430">
        <f>IF([1]Accounts!$D$431="","",[1]Accounts!$B$431)</f>
        <v/>
      </c>
      <c r="C430">
        <f>IF([1]Accounts!$D$431="","",[1]Accounts!$C$431)</f>
        <v/>
      </c>
      <c r="D430">
        <f>IF([1]Accounts!$D$431="","",[1]Accounts!$D$431)</f>
        <v/>
      </c>
      <c r="E430">
        <f>IF([1]Accounts!$D$431="","",[1]Accounts!$J$431)</f>
        <v/>
      </c>
      <c r="F430">
        <f>IF([1]Accounts!$D$431="","",[1]Accounts!$K$431)</f>
        <v/>
      </c>
      <c r="J430">
        <f>IF([2]Entry!$C$433="","",[2]Entry!$C$433)</f>
        <v/>
      </c>
      <c r="K430">
        <f>IF([2]Entry!$D$433="","",[2]Entry!$D$433)</f>
        <v/>
      </c>
      <c r="L430">
        <f>IF([2]Entry!$E$433="","",[2]Entry!$E$433)</f>
        <v/>
      </c>
      <c r="M430">
        <f>IF([2]Entry!$G$433="","",[2]Entry!$G$433)</f>
        <v/>
      </c>
      <c r="N430">
        <f>IF([2]Entry!$M$433="","",[2]Entry!$M$433)</f>
        <v/>
      </c>
      <c r="O430">
        <f>IF([2]Entry!$N$433="","",[2]Entry!$N$433)</f>
        <v/>
      </c>
      <c r="P430">
        <f>IF([2]Entry!$R$433="","",[2]Entry!$R$433)</f>
        <v/>
      </c>
    </row>
    <row r="431">
      <c r="A431">
        <f>IF([1]Accounts!$D$432="","",[1]Accounts!$A$432)</f>
        <v/>
      </c>
      <c r="B431">
        <f>IF([1]Accounts!$D$432="","",[1]Accounts!$B$432)</f>
        <v/>
      </c>
      <c r="C431">
        <f>IF([1]Accounts!$D$432="","",[1]Accounts!$C$432)</f>
        <v/>
      </c>
      <c r="D431">
        <f>IF([1]Accounts!$D$432="","",[1]Accounts!$D$432)</f>
        <v/>
      </c>
      <c r="E431">
        <f>IF([1]Accounts!$D$432="","",[1]Accounts!$J$432)</f>
        <v/>
      </c>
      <c r="F431">
        <f>IF([1]Accounts!$D$432="","",[1]Accounts!$K$432)</f>
        <v/>
      </c>
      <c r="J431">
        <f>IF([2]Entry!$C$434="","",[2]Entry!$C$434)</f>
        <v/>
      </c>
      <c r="K431">
        <f>IF([2]Entry!$D$434="","",[2]Entry!$D$434)</f>
        <v/>
      </c>
      <c r="L431">
        <f>IF([2]Entry!$E$434="","",[2]Entry!$E$434)</f>
        <v/>
      </c>
      <c r="M431">
        <f>IF([2]Entry!$G$434="","",[2]Entry!$G$434)</f>
        <v/>
      </c>
      <c r="N431">
        <f>IF([2]Entry!$M$434="","",[2]Entry!$M$434)</f>
        <v/>
      </c>
      <c r="O431">
        <f>IF([2]Entry!$N$434="","",[2]Entry!$N$434)</f>
        <v/>
      </c>
      <c r="P431">
        <f>IF([2]Entry!$R$434="","",[2]Entry!$R$434)</f>
        <v/>
      </c>
    </row>
    <row r="432">
      <c r="A432">
        <f>IF([1]Accounts!$D$433="","",[1]Accounts!$A$433)</f>
        <v/>
      </c>
      <c r="B432">
        <f>IF([1]Accounts!$D$433="","",[1]Accounts!$B$433)</f>
        <v/>
      </c>
      <c r="C432">
        <f>IF([1]Accounts!$D$433="","",[1]Accounts!$C$433)</f>
        <v/>
      </c>
      <c r="D432">
        <f>IF([1]Accounts!$D$433="","",[1]Accounts!$D$433)</f>
        <v/>
      </c>
      <c r="E432">
        <f>IF([1]Accounts!$D$433="","",[1]Accounts!$J$433)</f>
        <v/>
      </c>
      <c r="F432">
        <f>IF([1]Accounts!$D$433="","",[1]Accounts!$K$433)</f>
        <v/>
      </c>
      <c r="J432">
        <f>IF([2]Entry!$C$435="","",[2]Entry!$C$435)</f>
        <v/>
      </c>
      <c r="K432">
        <f>IF([2]Entry!$D$435="","",[2]Entry!$D$435)</f>
        <v/>
      </c>
      <c r="L432">
        <f>IF([2]Entry!$E$435="","",[2]Entry!$E$435)</f>
        <v/>
      </c>
      <c r="M432">
        <f>IF([2]Entry!$G$435="","",[2]Entry!$G$435)</f>
        <v/>
      </c>
      <c r="N432">
        <f>IF([2]Entry!$M$435="","",[2]Entry!$M$435)</f>
        <v/>
      </c>
      <c r="O432">
        <f>IF([2]Entry!$N$435="","",[2]Entry!$N$435)</f>
        <v/>
      </c>
      <c r="P432">
        <f>IF([2]Entry!$R$435="","",[2]Entry!$R$435)</f>
        <v/>
      </c>
    </row>
    <row r="433">
      <c r="A433">
        <f>IF([1]Accounts!$D$434="","",[1]Accounts!$A$434)</f>
        <v/>
      </c>
      <c r="B433">
        <f>IF([1]Accounts!$D$434="","",[1]Accounts!$B$434)</f>
        <v/>
      </c>
      <c r="C433">
        <f>IF([1]Accounts!$D$434="","",[1]Accounts!$C$434)</f>
        <v/>
      </c>
      <c r="D433">
        <f>IF([1]Accounts!$D$434="","",[1]Accounts!$D$434)</f>
        <v/>
      </c>
      <c r="E433">
        <f>IF([1]Accounts!$D$434="","",[1]Accounts!$J$434)</f>
        <v/>
      </c>
      <c r="F433">
        <f>IF([1]Accounts!$D$434="","",[1]Accounts!$K$434)</f>
        <v/>
      </c>
      <c r="J433">
        <f>IF([2]Entry!$C$436="","",[2]Entry!$C$436)</f>
        <v/>
      </c>
      <c r="K433">
        <f>IF([2]Entry!$D$436="","",[2]Entry!$D$436)</f>
        <v/>
      </c>
      <c r="L433">
        <f>IF([2]Entry!$E$436="","",[2]Entry!$E$436)</f>
        <v/>
      </c>
      <c r="M433">
        <f>IF([2]Entry!$G$436="","",[2]Entry!$G$436)</f>
        <v/>
      </c>
      <c r="N433">
        <f>IF([2]Entry!$M$436="","",[2]Entry!$M$436)</f>
        <v/>
      </c>
      <c r="O433">
        <f>IF([2]Entry!$N$436="","",[2]Entry!$N$436)</f>
        <v/>
      </c>
      <c r="P433">
        <f>IF([2]Entry!$R$436="","",[2]Entry!$R$436)</f>
        <v/>
      </c>
    </row>
    <row r="434">
      <c r="A434">
        <f>IF([1]Accounts!$D$435="","",[1]Accounts!$A$435)</f>
        <v/>
      </c>
      <c r="B434">
        <f>IF([1]Accounts!$D$435="","",[1]Accounts!$B$435)</f>
        <v/>
      </c>
      <c r="C434">
        <f>IF([1]Accounts!$D$435="","",[1]Accounts!$C$435)</f>
        <v/>
      </c>
      <c r="D434">
        <f>IF([1]Accounts!$D$435="","",[1]Accounts!$D$435)</f>
        <v/>
      </c>
      <c r="E434">
        <f>IF([1]Accounts!$D$435="","",[1]Accounts!$J$435)</f>
        <v/>
      </c>
      <c r="F434">
        <f>IF([1]Accounts!$D$435="","",[1]Accounts!$K$435)</f>
        <v/>
      </c>
      <c r="J434">
        <f>IF([2]Entry!$C$437="","",[2]Entry!$C$437)</f>
        <v/>
      </c>
      <c r="K434">
        <f>IF([2]Entry!$D$437="","",[2]Entry!$D$437)</f>
        <v/>
      </c>
      <c r="L434">
        <f>IF([2]Entry!$E$437="","",[2]Entry!$E$437)</f>
        <v/>
      </c>
      <c r="M434">
        <f>IF([2]Entry!$G$437="","",[2]Entry!$G$437)</f>
        <v/>
      </c>
      <c r="N434">
        <f>IF([2]Entry!$M$437="","",[2]Entry!$M$437)</f>
        <v/>
      </c>
      <c r="O434">
        <f>IF([2]Entry!$N$437="","",[2]Entry!$N$437)</f>
        <v/>
      </c>
      <c r="P434">
        <f>IF([2]Entry!$R$437="","",[2]Entry!$R$437)</f>
        <v/>
      </c>
    </row>
    <row r="435">
      <c r="A435">
        <f>IF([1]Accounts!$D$436="","",[1]Accounts!$A$436)</f>
        <v/>
      </c>
      <c r="B435">
        <f>IF([1]Accounts!$D$436="","",[1]Accounts!$B$436)</f>
        <v/>
      </c>
      <c r="C435">
        <f>IF([1]Accounts!$D$436="","",[1]Accounts!$C$436)</f>
        <v/>
      </c>
      <c r="D435">
        <f>IF([1]Accounts!$D$436="","",[1]Accounts!$D$436)</f>
        <v/>
      </c>
      <c r="E435">
        <f>IF([1]Accounts!$D$436="","",[1]Accounts!$J$436)</f>
        <v/>
      </c>
      <c r="F435">
        <f>IF([1]Accounts!$D$436="","",[1]Accounts!$K$436)</f>
        <v/>
      </c>
      <c r="J435">
        <f>IF([2]Entry!$C$438="","",[2]Entry!$C$438)</f>
        <v/>
      </c>
      <c r="K435">
        <f>IF([2]Entry!$D$438="","",[2]Entry!$D$438)</f>
        <v/>
      </c>
      <c r="L435">
        <f>IF([2]Entry!$E$438="","",[2]Entry!$E$438)</f>
        <v/>
      </c>
      <c r="M435">
        <f>IF([2]Entry!$G$438="","",[2]Entry!$G$438)</f>
        <v/>
      </c>
      <c r="N435">
        <f>IF([2]Entry!$M$438="","",[2]Entry!$M$438)</f>
        <v/>
      </c>
      <c r="O435">
        <f>IF([2]Entry!$N$438="","",[2]Entry!$N$438)</f>
        <v/>
      </c>
      <c r="P435">
        <f>IF([2]Entry!$R$438="","",[2]Entry!$R$438)</f>
        <v/>
      </c>
    </row>
    <row r="436">
      <c r="A436">
        <f>IF([1]Accounts!$D$437="","",[1]Accounts!$A$437)</f>
        <v/>
      </c>
      <c r="B436">
        <f>IF([1]Accounts!$D$437="","",[1]Accounts!$B$437)</f>
        <v/>
      </c>
      <c r="C436">
        <f>IF([1]Accounts!$D$437="","",[1]Accounts!$C$437)</f>
        <v/>
      </c>
      <c r="D436">
        <f>IF([1]Accounts!$D$437="","",[1]Accounts!$D$437)</f>
        <v/>
      </c>
      <c r="E436">
        <f>IF([1]Accounts!$D$437="","",[1]Accounts!$J$437)</f>
        <v/>
      </c>
      <c r="F436">
        <f>IF([1]Accounts!$D$437="","",[1]Accounts!$K$437)</f>
        <v/>
      </c>
      <c r="J436">
        <f>IF([2]Entry!$C$439="","",[2]Entry!$C$439)</f>
        <v/>
      </c>
      <c r="K436">
        <f>IF([2]Entry!$D$439="","",[2]Entry!$D$439)</f>
        <v/>
      </c>
      <c r="L436">
        <f>IF([2]Entry!$E$439="","",[2]Entry!$E$439)</f>
        <v/>
      </c>
      <c r="M436">
        <f>IF([2]Entry!$G$439="","",[2]Entry!$G$439)</f>
        <v/>
      </c>
      <c r="N436">
        <f>IF([2]Entry!$M$439="","",[2]Entry!$M$439)</f>
        <v/>
      </c>
      <c r="O436">
        <f>IF([2]Entry!$N$439="","",[2]Entry!$N$439)</f>
        <v/>
      </c>
      <c r="P436">
        <f>IF([2]Entry!$R$439="","",[2]Entry!$R$439)</f>
        <v/>
      </c>
    </row>
    <row r="437">
      <c r="A437">
        <f>IF([1]Accounts!$D$438="","",[1]Accounts!$A$438)</f>
        <v/>
      </c>
      <c r="B437">
        <f>IF([1]Accounts!$D$438="","",[1]Accounts!$B$438)</f>
        <v/>
      </c>
      <c r="C437">
        <f>IF([1]Accounts!$D$438="","",[1]Accounts!$C$438)</f>
        <v/>
      </c>
      <c r="D437">
        <f>IF([1]Accounts!$D$438="","",[1]Accounts!$D$438)</f>
        <v/>
      </c>
      <c r="E437">
        <f>IF([1]Accounts!$D$438="","",[1]Accounts!$J$438)</f>
        <v/>
      </c>
      <c r="F437">
        <f>IF([1]Accounts!$D$438="","",[1]Accounts!$K$438)</f>
        <v/>
      </c>
      <c r="J437">
        <f>IF([2]Entry!$C$440="","",[2]Entry!$C$440)</f>
        <v/>
      </c>
      <c r="K437">
        <f>IF([2]Entry!$D$440="","",[2]Entry!$D$440)</f>
        <v/>
      </c>
      <c r="L437">
        <f>IF([2]Entry!$E$440="","",[2]Entry!$E$440)</f>
        <v/>
      </c>
      <c r="M437">
        <f>IF([2]Entry!$G$440="","",[2]Entry!$G$440)</f>
        <v/>
      </c>
      <c r="N437">
        <f>IF([2]Entry!$M$440="","",[2]Entry!$M$440)</f>
        <v/>
      </c>
      <c r="O437">
        <f>IF([2]Entry!$N$440="","",[2]Entry!$N$440)</f>
        <v/>
      </c>
      <c r="P437">
        <f>IF([2]Entry!$R$440="","",[2]Entry!$R$440)</f>
        <v/>
      </c>
    </row>
    <row r="438">
      <c r="A438">
        <f>IF([1]Accounts!$D$439="","",[1]Accounts!$A$439)</f>
        <v/>
      </c>
      <c r="B438">
        <f>IF([1]Accounts!$D$439="","",[1]Accounts!$B$439)</f>
        <v/>
      </c>
      <c r="C438">
        <f>IF([1]Accounts!$D$439="","",[1]Accounts!$C$439)</f>
        <v/>
      </c>
      <c r="D438">
        <f>IF([1]Accounts!$D$439="","",[1]Accounts!$D$439)</f>
        <v/>
      </c>
      <c r="E438">
        <f>IF([1]Accounts!$D$439="","",[1]Accounts!$J$439)</f>
        <v/>
      </c>
      <c r="F438">
        <f>IF([1]Accounts!$D$439="","",[1]Accounts!$K$439)</f>
        <v/>
      </c>
      <c r="J438">
        <f>IF([2]Entry!$C$441="","",[2]Entry!$C$441)</f>
        <v/>
      </c>
      <c r="K438">
        <f>IF([2]Entry!$D$441="","",[2]Entry!$D$441)</f>
        <v/>
      </c>
      <c r="L438">
        <f>IF([2]Entry!$E$441="","",[2]Entry!$E$441)</f>
        <v/>
      </c>
      <c r="M438">
        <f>IF([2]Entry!$G$441="","",[2]Entry!$G$441)</f>
        <v/>
      </c>
      <c r="N438">
        <f>IF([2]Entry!$M$441="","",[2]Entry!$M$441)</f>
        <v/>
      </c>
      <c r="O438">
        <f>IF([2]Entry!$N$441="","",[2]Entry!$N$441)</f>
        <v/>
      </c>
      <c r="P438">
        <f>IF([2]Entry!$R$441="","",[2]Entry!$R$441)</f>
        <v/>
      </c>
    </row>
    <row r="439">
      <c r="A439">
        <f>IF([1]Accounts!$D$440="","",[1]Accounts!$A$440)</f>
        <v/>
      </c>
      <c r="B439">
        <f>IF([1]Accounts!$D$440="","",[1]Accounts!$B$440)</f>
        <v/>
      </c>
      <c r="C439">
        <f>IF([1]Accounts!$D$440="","",[1]Accounts!$C$440)</f>
        <v/>
      </c>
      <c r="D439">
        <f>IF([1]Accounts!$D$440="","",[1]Accounts!$D$440)</f>
        <v/>
      </c>
      <c r="E439">
        <f>IF([1]Accounts!$D$440="","",[1]Accounts!$J$440)</f>
        <v/>
      </c>
      <c r="F439">
        <f>IF([1]Accounts!$D$440="","",[1]Accounts!$K$440)</f>
        <v/>
      </c>
      <c r="J439">
        <f>IF([2]Entry!$C$442="","",[2]Entry!$C$442)</f>
        <v/>
      </c>
      <c r="K439">
        <f>IF([2]Entry!$D$442="","",[2]Entry!$D$442)</f>
        <v/>
      </c>
      <c r="L439">
        <f>IF([2]Entry!$E$442="","",[2]Entry!$E$442)</f>
        <v/>
      </c>
      <c r="M439">
        <f>IF([2]Entry!$G$442="","",[2]Entry!$G$442)</f>
        <v/>
      </c>
      <c r="N439">
        <f>IF([2]Entry!$M$442="","",[2]Entry!$M$442)</f>
        <v/>
      </c>
      <c r="O439">
        <f>IF([2]Entry!$N$442="","",[2]Entry!$N$442)</f>
        <v/>
      </c>
      <c r="P439">
        <f>IF([2]Entry!$R$442="","",[2]Entry!$R$442)</f>
        <v/>
      </c>
    </row>
    <row r="440">
      <c r="A440">
        <f>IF([1]Accounts!$D$441="","",[1]Accounts!$A$441)</f>
        <v/>
      </c>
      <c r="B440">
        <f>IF([1]Accounts!$D$441="","",[1]Accounts!$B$441)</f>
        <v/>
      </c>
      <c r="C440">
        <f>IF([1]Accounts!$D$441="","",[1]Accounts!$C$441)</f>
        <v/>
      </c>
      <c r="D440">
        <f>IF([1]Accounts!$D$441="","",[1]Accounts!$D$441)</f>
        <v/>
      </c>
      <c r="E440">
        <f>IF([1]Accounts!$D$441="","",[1]Accounts!$J$441)</f>
        <v/>
      </c>
      <c r="F440">
        <f>IF([1]Accounts!$D$441="","",[1]Accounts!$K$441)</f>
        <v/>
      </c>
      <c r="J440">
        <f>IF([2]Entry!$C$443="","",[2]Entry!$C$443)</f>
        <v/>
      </c>
      <c r="K440">
        <f>IF([2]Entry!$D$443="","",[2]Entry!$D$443)</f>
        <v/>
      </c>
      <c r="L440">
        <f>IF([2]Entry!$E$443="","",[2]Entry!$E$443)</f>
        <v/>
      </c>
      <c r="M440">
        <f>IF([2]Entry!$G$443="","",[2]Entry!$G$443)</f>
        <v/>
      </c>
      <c r="N440">
        <f>IF([2]Entry!$M$443="","",[2]Entry!$M$443)</f>
        <v/>
      </c>
      <c r="O440">
        <f>IF([2]Entry!$N$443="","",[2]Entry!$N$443)</f>
        <v/>
      </c>
      <c r="P440">
        <f>IF([2]Entry!$R$443="","",[2]Entry!$R$443)</f>
        <v/>
      </c>
    </row>
    <row r="441">
      <c r="A441">
        <f>IF([1]Accounts!$D$442="","",[1]Accounts!$A$442)</f>
        <v/>
      </c>
      <c r="B441">
        <f>IF([1]Accounts!$D$442="","",[1]Accounts!$B$442)</f>
        <v/>
      </c>
      <c r="C441">
        <f>IF([1]Accounts!$D$442="","",[1]Accounts!$C$442)</f>
        <v/>
      </c>
      <c r="D441">
        <f>IF([1]Accounts!$D$442="","",[1]Accounts!$D$442)</f>
        <v/>
      </c>
      <c r="E441">
        <f>IF([1]Accounts!$D$442="","",[1]Accounts!$J$442)</f>
        <v/>
      </c>
      <c r="F441">
        <f>IF([1]Accounts!$D$442="","",[1]Accounts!$K$442)</f>
        <v/>
      </c>
      <c r="J441">
        <f>IF([2]Entry!$C$444="","",[2]Entry!$C$444)</f>
        <v/>
      </c>
      <c r="K441">
        <f>IF([2]Entry!$D$444="","",[2]Entry!$D$444)</f>
        <v/>
      </c>
      <c r="L441">
        <f>IF([2]Entry!$E$444="","",[2]Entry!$E$444)</f>
        <v/>
      </c>
      <c r="M441">
        <f>IF([2]Entry!$G$444="","",[2]Entry!$G$444)</f>
        <v/>
      </c>
      <c r="N441">
        <f>IF([2]Entry!$M$444="","",[2]Entry!$M$444)</f>
        <v/>
      </c>
      <c r="O441">
        <f>IF([2]Entry!$N$444="","",[2]Entry!$N$444)</f>
        <v/>
      </c>
      <c r="P441">
        <f>IF([2]Entry!$R$444="","",[2]Entry!$R$444)</f>
        <v/>
      </c>
    </row>
    <row r="442">
      <c r="A442">
        <f>IF([1]Accounts!$D$443="","",[1]Accounts!$A$443)</f>
        <v/>
      </c>
      <c r="B442">
        <f>IF([1]Accounts!$D$443="","",[1]Accounts!$B$443)</f>
        <v/>
      </c>
      <c r="C442">
        <f>IF([1]Accounts!$D$443="","",[1]Accounts!$C$443)</f>
        <v/>
      </c>
      <c r="D442">
        <f>IF([1]Accounts!$D$443="","",[1]Accounts!$D$443)</f>
        <v/>
      </c>
      <c r="E442">
        <f>IF([1]Accounts!$D$443="","",[1]Accounts!$J$443)</f>
        <v/>
      </c>
      <c r="F442">
        <f>IF([1]Accounts!$D$443="","",[1]Accounts!$K$443)</f>
        <v/>
      </c>
      <c r="J442">
        <f>IF([2]Entry!$C$445="","",[2]Entry!$C$445)</f>
        <v/>
      </c>
      <c r="K442">
        <f>IF([2]Entry!$D$445="","",[2]Entry!$D$445)</f>
        <v/>
      </c>
      <c r="L442">
        <f>IF([2]Entry!$E$445="","",[2]Entry!$E$445)</f>
        <v/>
      </c>
      <c r="M442">
        <f>IF([2]Entry!$G$445="","",[2]Entry!$G$445)</f>
        <v/>
      </c>
      <c r="N442">
        <f>IF([2]Entry!$M$445="","",[2]Entry!$M$445)</f>
        <v/>
      </c>
      <c r="O442">
        <f>IF([2]Entry!$N$445="","",[2]Entry!$N$445)</f>
        <v/>
      </c>
      <c r="P442">
        <f>IF([2]Entry!$R$445="","",[2]Entry!$R$445)</f>
        <v/>
      </c>
    </row>
    <row r="443">
      <c r="A443">
        <f>IF([1]Accounts!$D$444="","",[1]Accounts!$A$444)</f>
        <v/>
      </c>
      <c r="B443">
        <f>IF([1]Accounts!$D$444="","",[1]Accounts!$B$444)</f>
        <v/>
      </c>
      <c r="C443">
        <f>IF([1]Accounts!$D$444="","",[1]Accounts!$C$444)</f>
        <v/>
      </c>
      <c r="D443">
        <f>IF([1]Accounts!$D$444="","",[1]Accounts!$D$444)</f>
        <v/>
      </c>
      <c r="E443">
        <f>IF([1]Accounts!$D$444="","",[1]Accounts!$J$444)</f>
        <v/>
      </c>
      <c r="F443">
        <f>IF([1]Accounts!$D$444="","",[1]Accounts!$K$444)</f>
        <v/>
      </c>
      <c r="J443">
        <f>IF([2]Entry!$C$446="","",[2]Entry!$C$446)</f>
        <v/>
      </c>
      <c r="K443">
        <f>IF([2]Entry!$D$446="","",[2]Entry!$D$446)</f>
        <v/>
      </c>
      <c r="L443">
        <f>IF([2]Entry!$E$446="","",[2]Entry!$E$446)</f>
        <v/>
      </c>
      <c r="M443">
        <f>IF([2]Entry!$G$446="","",[2]Entry!$G$446)</f>
        <v/>
      </c>
      <c r="N443">
        <f>IF([2]Entry!$M$446="","",[2]Entry!$M$446)</f>
        <v/>
      </c>
      <c r="O443">
        <f>IF([2]Entry!$N$446="","",[2]Entry!$N$446)</f>
        <v/>
      </c>
      <c r="P443">
        <f>IF([2]Entry!$R$446="","",[2]Entry!$R$446)</f>
        <v/>
      </c>
    </row>
    <row r="444">
      <c r="A444">
        <f>IF([1]Accounts!$D$445="","",[1]Accounts!$A$445)</f>
        <v/>
      </c>
      <c r="B444">
        <f>IF([1]Accounts!$D$445="","",[1]Accounts!$B$445)</f>
        <v/>
      </c>
      <c r="C444">
        <f>IF([1]Accounts!$D$445="","",[1]Accounts!$C$445)</f>
        <v/>
      </c>
      <c r="D444">
        <f>IF([1]Accounts!$D$445="","",[1]Accounts!$D$445)</f>
        <v/>
      </c>
      <c r="E444">
        <f>IF([1]Accounts!$D$445="","",[1]Accounts!$J$445)</f>
        <v/>
      </c>
      <c r="F444">
        <f>IF([1]Accounts!$D$445="","",[1]Accounts!$K$445)</f>
        <v/>
      </c>
      <c r="J444">
        <f>IF([2]Entry!$C$447="","",[2]Entry!$C$447)</f>
        <v/>
      </c>
      <c r="K444">
        <f>IF([2]Entry!$D$447="","",[2]Entry!$D$447)</f>
        <v/>
      </c>
      <c r="L444">
        <f>IF([2]Entry!$E$447="","",[2]Entry!$E$447)</f>
        <v/>
      </c>
      <c r="M444">
        <f>IF([2]Entry!$G$447="","",[2]Entry!$G$447)</f>
        <v/>
      </c>
      <c r="N444">
        <f>IF([2]Entry!$M$447="","",[2]Entry!$M$447)</f>
        <v/>
      </c>
      <c r="O444">
        <f>IF([2]Entry!$N$447="","",[2]Entry!$N$447)</f>
        <v/>
      </c>
      <c r="P444">
        <f>IF([2]Entry!$R$447="","",[2]Entry!$R$447)</f>
        <v/>
      </c>
    </row>
    <row r="445">
      <c r="A445">
        <f>IF([1]Accounts!$D$446="","",[1]Accounts!$A$446)</f>
        <v/>
      </c>
      <c r="B445">
        <f>IF([1]Accounts!$D$446="","",[1]Accounts!$B$446)</f>
        <v/>
      </c>
      <c r="C445">
        <f>IF([1]Accounts!$D$446="","",[1]Accounts!$C$446)</f>
        <v/>
      </c>
      <c r="D445">
        <f>IF([1]Accounts!$D$446="","",[1]Accounts!$D$446)</f>
        <v/>
      </c>
      <c r="E445">
        <f>IF([1]Accounts!$D$446="","",[1]Accounts!$J$446)</f>
        <v/>
      </c>
      <c r="F445">
        <f>IF([1]Accounts!$D$446="","",[1]Accounts!$K$446)</f>
        <v/>
      </c>
      <c r="J445">
        <f>IF([2]Entry!$C$448="","",[2]Entry!$C$448)</f>
        <v/>
      </c>
      <c r="K445">
        <f>IF([2]Entry!$D$448="","",[2]Entry!$D$448)</f>
        <v/>
      </c>
      <c r="L445">
        <f>IF([2]Entry!$E$448="","",[2]Entry!$E$448)</f>
        <v/>
      </c>
      <c r="M445">
        <f>IF([2]Entry!$G$448="","",[2]Entry!$G$448)</f>
        <v/>
      </c>
      <c r="N445">
        <f>IF([2]Entry!$M$448="","",[2]Entry!$M$448)</f>
        <v/>
      </c>
      <c r="O445">
        <f>IF([2]Entry!$N$448="","",[2]Entry!$N$448)</f>
        <v/>
      </c>
      <c r="P445">
        <f>IF([2]Entry!$R$448="","",[2]Entry!$R$448)</f>
        <v/>
      </c>
    </row>
    <row r="446">
      <c r="A446">
        <f>IF([1]Accounts!$D$447="","",[1]Accounts!$A$447)</f>
        <v/>
      </c>
      <c r="B446">
        <f>IF([1]Accounts!$D$447="","",[1]Accounts!$B$447)</f>
        <v/>
      </c>
      <c r="C446">
        <f>IF([1]Accounts!$D$447="","",[1]Accounts!$C$447)</f>
        <v/>
      </c>
      <c r="D446">
        <f>IF([1]Accounts!$D$447="","",[1]Accounts!$D$447)</f>
        <v/>
      </c>
      <c r="E446">
        <f>IF([1]Accounts!$D$447="","",[1]Accounts!$J$447)</f>
        <v/>
      </c>
      <c r="F446">
        <f>IF([1]Accounts!$D$447="","",[1]Accounts!$K$447)</f>
        <v/>
      </c>
      <c r="J446">
        <f>IF([2]Entry!$C$449="","",[2]Entry!$C$449)</f>
        <v/>
      </c>
      <c r="K446">
        <f>IF([2]Entry!$D$449="","",[2]Entry!$D$449)</f>
        <v/>
      </c>
      <c r="L446">
        <f>IF([2]Entry!$E$449="","",[2]Entry!$E$449)</f>
        <v/>
      </c>
      <c r="M446">
        <f>IF([2]Entry!$G$449="","",[2]Entry!$G$449)</f>
        <v/>
      </c>
      <c r="N446">
        <f>IF([2]Entry!$M$449="","",[2]Entry!$M$449)</f>
        <v/>
      </c>
      <c r="O446">
        <f>IF([2]Entry!$N$449="","",[2]Entry!$N$449)</f>
        <v/>
      </c>
      <c r="P446">
        <f>IF([2]Entry!$R$449="","",[2]Entry!$R$449)</f>
        <v/>
      </c>
    </row>
    <row r="447">
      <c r="A447">
        <f>IF([1]Accounts!$D$448="","",[1]Accounts!$A$448)</f>
        <v/>
      </c>
      <c r="B447">
        <f>IF([1]Accounts!$D$448="","",[1]Accounts!$B$448)</f>
        <v/>
      </c>
      <c r="C447">
        <f>IF([1]Accounts!$D$448="","",[1]Accounts!$C$448)</f>
        <v/>
      </c>
      <c r="D447">
        <f>IF([1]Accounts!$D$448="","",[1]Accounts!$D$448)</f>
        <v/>
      </c>
      <c r="E447">
        <f>IF([1]Accounts!$D$448="","",[1]Accounts!$J$448)</f>
        <v/>
      </c>
      <c r="F447">
        <f>IF([1]Accounts!$D$448="","",[1]Accounts!$K$448)</f>
        <v/>
      </c>
      <c r="J447">
        <f>IF([2]Entry!$C$450="","",[2]Entry!$C$450)</f>
        <v/>
      </c>
      <c r="K447">
        <f>IF([2]Entry!$D$450="","",[2]Entry!$D$450)</f>
        <v/>
      </c>
      <c r="L447">
        <f>IF([2]Entry!$E$450="","",[2]Entry!$E$450)</f>
        <v/>
      </c>
      <c r="M447">
        <f>IF([2]Entry!$G$450="","",[2]Entry!$G$450)</f>
        <v/>
      </c>
      <c r="N447">
        <f>IF([2]Entry!$M$450="","",[2]Entry!$M$450)</f>
        <v/>
      </c>
      <c r="O447">
        <f>IF([2]Entry!$N$450="","",[2]Entry!$N$450)</f>
        <v/>
      </c>
      <c r="P447">
        <f>IF([2]Entry!$R$450="","",[2]Entry!$R$450)</f>
        <v/>
      </c>
    </row>
    <row r="448">
      <c r="A448">
        <f>IF([1]Accounts!$D$449="","",[1]Accounts!$A$449)</f>
        <v/>
      </c>
      <c r="B448">
        <f>IF([1]Accounts!$D$449="","",[1]Accounts!$B$449)</f>
        <v/>
      </c>
      <c r="C448">
        <f>IF([1]Accounts!$D$449="","",[1]Accounts!$C$449)</f>
        <v/>
      </c>
      <c r="D448">
        <f>IF([1]Accounts!$D$449="","",[1]Accounts!$D$449)</f>
        <v/>
      </c>
      <c r="E448">
        <f>IF([1]Accounts!$D$449="","",[1]Accounts!$J$449)</f>
        <v/>
      </c>
      <c r="F448">
        <f>IF([1]Accounts!$D$449="","",[1]Accounts!$K$449)</f>
        <v/>
      </c>
      <c r="J448">
        <f>IF([2]Entry!$C$451="","",[2]Entry!$C$451)</f>
        <v/>
      </c>
      <c r="K448">
        <f>IF([2]Entry!$D$451="","",[2]Entry!$D$451)</f>
        <v/>
      </c>
      <c r="L448">
        <f>IF([2]Entry!$E$451="","",[2]Entry!$E$451)</f>
        <v/>
      </c>
      <c r="M448">
        <f>IF([2]Entry!$G$451="","",[2]Entry!$G$451)</f>
        <v/>
      </c>
      <c r="N448">
        <f>IF([2]Entry!$M$451="","",[2]Entry!$M$451)</f>
        <v/>
      </c>
      <c r="O448">
        <f>IF([2]Entry!$N$451="","",[2]Entry!$N$451)</f>
        <v/>
      </c>
      <c r="P448">
        <f>IF([2]Entry!$R$451="","",[2]Entry!$R$451)</f>
        <v/>
      </c>
    </row>
    <row r="449">
      <c r="A449">
        <f>IF([1]Accounts!$D$450="","",[1]Accounts!$A$450)</f>
        <v/>
      </c>
      <c r="B449">
        <f>IF([1]Accounts!$D$450="","",[1]Accounts!$B$450)</f>
        <v/>
      </c>
      <c r="C449">
        <f>IF([1]Accounts!$D$450="","",[1]Accounts!$C$450)</f>
        <v/>
      </c>
      <c r="D449">
        <f>IF([1]Accounts!$D$450="","",[1]Accounts!$D$450)</f>
        <v/>
      </c>
      <c r="E449">
        <f>IF([1]Accounts!$D$450="","",[1]Accounts!$J$450)</f>
        <v/>
      </c>
      <c r="F449">
        <f>IF([1]Accounts!$D$450="","",[1]Accounts!$K$450)</f>
        <v/>
      </c>
      <c r="J449">
        <f>IF([2]Entry!$C$452="","",[2]Entry!$C$452)</f>
        <v/>
      </c>
      <c r="K449">
        <f>IF([2]Entry!$D$452="","",[2]Entry!$D$452)</f>
        <v/>
      </c>
      <c r="L449">
        <f>IF([2]Entry!$E$452="","",[2]Entry!$E$452)</f>
        <v/>
      </c>
      <c r="M449">
        <f>IF([2]Entry!$G$452="","",[2]Entry!$G$452)</f>
        <v/>
      </c>
      <c r="N449">
        <f>IF([2]Entry!$M$452="","",[2]Entry!$M$452)</f>
        <v/>
      </c>
      <c r="O449">
        <f>IF([2]Entry!$N$452="","",[2]Entry!$N$452)</f>
        <v/>
      </c>
      <c r="P449">
        <f>IF([2]Entry!$R$452="","",[2]Entry!$R$452)</f>
        <v/>
      </c>
    </row>
    <row r="450">
      <c r="A450">
        <f>IF([1]Accounts!$D$451="","",[1]Accounts!$A$451)</f>
        <v/>
      </c>
      <c r="B450">
        <f>IF([1]Accounts!$D$451="","",[1]Accounts!$B$451)</f>
        <v/>
      </c>
      <c r="C450">
        <f>IF([1]Accounts!$D$451="","",[1]Accounts!$C$451)</f>
        <v/>
      </c>
      <c r="D450">
        <f>IF([1]Accounts!$D$451="","",[1]Accounts!$D$451)</f>
        <v/>
      </c>
      <c r="E450">
        <f>IF([1]Accounts!$D$451="","",[1]Accounts!$J$451)</f>
        <v/>
      </c>
      <c r="F450">
        <f>IF([1]Accounts!$D$451="","",[1]Accounts!$K$451)</f>
        <v/>
      </c>
      <c r="J450">
        <f>IF([2]Entry!$C$453="","",[2]Entry!$C$453)</f>
        <v/>
      </c>
      <c r="K450">
        <f>IF([2]Entry!$D$453="","",[2]Entry!$D$453)</f>
        <v/>
      </c>
      <c r="L450">
        <f>IF([2]Entry!$E$453="","",[2]Entry!$E$453)</f>
        <v/>
      </c>
      <c r="M450">
        <f>IF([2]Entry!$G$453="","",[2]Entry!$G$453)</f>
        <v/>
      </c>
      <c r="N450">
        <f>IF([2]Entry!$M$453="","",[2]Entry!$M$453)</f>
        <v/>
      </c>
      <c r="O450">
        <f>IF([2]Entry!$N$453="","",[2]Entry!$N$453)</f>
        <v/>
      </c>
      <c r="P450">
        <f>IF([2]Entry!$R$453="","",[2]Entry!$R$453)</f>
        <v/>
      </c>
    </row>
    <row r="451">
      <c r="A451">
        <f>IF([1]Accounts!$D$452="","",[1]Accounts!$A$452)</f>
        <v/>
      </c>
      <c r="B451">
        <f>IF([1]Accounts!$D$452="","",[1]Accounts!$B$452)</f>
        <v/>
      </c>
      <c r="C451">
        <f>IF([1]Accounts!$D$452="","",[1]Accounts!$C$452)</f>
        <v/>
      </c>
      <c r="D451">
        <f>IF([1]Accounts!$D$452="","",[1]Accounts!$D$452)</f>
        <v/>
      </c>
      <c r="E451">
        <f>IF([1]Accounts!$D$452="","",[1]Accounts!$J$452)</f>
        <v/>
      </c>
      <c r="F451">
        <f>IF([1]Accounts!$D$452="","",[1]Accounts!$K$452)</f>
        <v/>
      </c>
      <c r="J451">
        <f>IF([2]Entry!$C$454="","",[2]Entry!$C$454)</f>
        <v/>
      </c>
      <c r="K451">
        <f>IF([2]Entry!$D$454="","",[2]Entry!$D$454)</f>
        <v/>
      </c>
      <c r="L451">
        <f>IF([2]Entry!$E$454="","",[2]Entry!$E$454)</f>
        <v/>
      </c>
      <c r="M451">
        <f>IF([2]Entry!$G$454="","",[2]Entry!$G$454)</f>
        <v/>
      </c>
      <c r="N451">
        <f>IF([2]Entry!$M$454="","",[2]Entry!$M$454)</f>
        <v/>
      </c>
      <c r="O451">
        <f>IF([2]Entry!$N$454="","",[2]Entry!$N$454)</f>
        <v/>
      </c>
      <c r="P451">
        <f>IF([2]Entry!$R$454="","",[2]Entry!$R$454)</f>
        <v/>
      </c>
    </row>
    <row r="452">
      <c r="A452">
        <f>IF([1]Accounts!$D$453="","",[1]Accounts!$A$453)</f>
        <v/>
      </c>
      <c r="B452">
        <f>IF([1]Accounts!$D$453="","",[1]Accounts!$B$453)</f>
        <v/>
      </c>
      <c r="C452">
        <f>IF([1]Accounts!$D$453="","",[1]Accounts!$C$453)</f>
        <v/>
      </c>
      <c r="D452">
        <f>IF([1]Accounts!$D$453="","",[1]Accounts!$D$453)</f>
        <v/>
      </c>
      <c r="E452">
        <f>IF([1]Accounts!$D$453="","",[1]Accounts!$J$453)</f>
        <v/>
      </c>
      <c r="F452">
        <f>IF([1]Accounts!$D$453="","",[1]Accounts!$K$453)</f>
        <v/>
      </c>
      <c r="J452">
        <f>IF([2]Entry!$C$455="","",[2]Entry!$C$455)</f>
        <v/>
      </c>
      <c r="K452">
        <f>IF([2]Entry!$D$455="","",[2]Entry!$D$455)</f>
        <v/>
      </c>
      <c r="L452">
        <f>IF([2]Entry!$E$455="","",[2]Entry!$E$455)</f>
        <v/>
      </c>
      <c r="M452">
        <f>IF([2]Entry!$G$455="","",[2]Entry!$G$455)</f>
        <v/>
      </c>
      <c r="N452">
        <f>IF([2]Entry!$M$455="","",[2]Entry!$M$455)</f>
        <v/>
      </c>
      <c r="O452">
        <f>IF([2]Entry!$N$455="","",[2]Entry!$N$455)</f>
        <v/>
      </c>
      <c r="P452">
        <f>IF([2]Entry!$R$455="","",[2]Entry!$R$455)</f>
        <v/>
      </c>
    </row>
    <row r="453">
      <c r="A453">
        <f>IF([1]Accounts!$D$454="","",[1]Accounts!$A$454)</f>
        <v/>
      </c>
      <c r="B453">
        <f>IF([1]Accounts!$D$454="","",[1]Accounts!$B$454)</f>
        <v/>
      </c>
      <c r="C453">
        <f>IF([1]Accounts!$D$454="","",[1]Accounts!$C$454)</f>
        <v/>
      </c>
      <c r="D453">
        <f>IF([1]Accounts!$D$454="","",[1]Accounts!$D$454)</f>
        <v/>
      </c>
      <c r="E453">
        <f>IF([1]Accounts!$D$454="","",[1]Accounts!$J$454)</f>
        <v/>
      </c>
      <c r="F453">
        <f>IF([1]Accounts!$D$454="","",[1]Accounts!$K$454)</f>
        <v/>
      </c>
      <c r="J453">
        <f>IF([2]Entry!$C$456="","",[2]Entry!$C$456)</f>
        <v/>
      </c>
      <c r="K453">
        <f>IF([2]Entry!$D$456="","",[2]Entry!$D$456)</f>
        <v/>
      </c>
      <c r="L453">
        <f>IF([2]Entry!$E$456="","",[2]Entry!$E$456)</f>
        <v/>
      </c>
      <c r="M453">
        <f>IF([2]Entry!$G$456="","",[2]Entry!$G$456)</f>
        <v/>
      </c>
      <c r="N453">
        <f>IF([2]Entry!$M$456="","",[2]Entry!$M$456)</f>
        <v/>
      </c>
      <c r="O453">
        <f>IF([2]Entry!$N$456="","",[2]Entry!$N$456)</f>
        <v/>
      </c>
      <c r="P453">
        <f>IF([2]Entry!$R$456="","",[2]Entry!$R$456)</f>
        <v/>
      </c>
    </row>
    <row r="454">
      <c r="A454">
        <f>IF([1]Accounts!$D$455="","",[1]Accounts!$A$455)</f>
        <v/>
      </c>
      <c r="B454">
        <f>IF([1]Accounts!$D$455="","",[1]Accounts!$B$455)</f>
        <v/>
      </c>
      <c r="C454">
        <f>IF([1]Accounts!$D$455="","",[1]Accounts!$C$455)</f>
        <v/>
      </c>
      <c r="D454">
        <f>IF([1]Accounts!$D$455="","",[1]Accounts!$D$455)</f>
        <v/>
      </c>
      <c r="E454">
        <f>IF([1]Accounts!$D$455="","",[1]Accounts!$J$455)</f>
        <v/>
      </c>
      <c r="F454">
        <f>IF([1]Accounts!$D$455="","",[1]Accounts!$K$455)</f>
        <v/>
      </c>
      <c r="J454">
        <f>IF([2]Entry!$C$457="","",[2]Entry!$C$457)</f>
        <v/>
      </c>
      <c r="K454">
        <f>IF([2]Entry!$D$457="","",[2]Entry!$D$457)</f>
        <v/>
      </c>
      <c r="L454">
        <f>IF([2]Entry!$E$457="","",[2]Entry!$E$457)</f>
        <v/>
      </c>
      <c r="M454">
        <f>IF([2]Entry!$G$457="","",[2]Entry!$G$457)</f>
        <v/>
      </c>
      <c r="N454">
        <f>IF([2]Entry!$M$457="","",[2]Entry!$M$457)</f>
        <v/>
      </c>
      <c r="O454">
        <f>IF([2]Entry!$N$457="","",[2]Entry!$N$457)</f>
        <v/>
      </c>
      <c r="P454">
        <f>IF([2]Entry!$R$457="","",[2]Entry!$R$457)</f>
        <v/>
      </c>
    </row>
    <row r="455">
      <c r="A455">
        <f>IF([1]Accounts!$D$456="","",[1]Accounts!$A$456)</f>
        <v/>
      </c>
      <c r="B455">
        <f>IF([1]Accounts!$D$456="","",[1]Accounts!$B$456)</f>
        <v/>
      </c>
      <c r="C455">
        <f>IF([1]Accounts!$D$456="","",[1]Accounts!$C$456)</f>
        <v/>
      </c>
      <c r="D455">
        <f>IF([1]Accounts!$D$456="","",[1]Accounts!$D$456)</f>
        <v/>
      </c>
      <c r="E455">
        <f>IF([1]Accounts!$D$456="","",[1]Accounts!$J$456)</f>
        <v/>
      </c>
      <c r="F455">
        <f>IF([1]Accounts!$D$456="","",[1]Accounts!$K$456)</f>
        <v/>
      </c>
      <c r="J455">
        <f>IF([2]Entry!$C$458="","",[2]Entry!$C$458)</f>
        <v/>
      </c>
      <c r="K455">
        <f>IF([2]Entry!$D$458="","",[2]Entry!$D$458)</f>
        <v/>
      </c>
      <c r="L455">
        <f>IF([2]Entry!$E$458="","",[2]Entry!$E$458)</f>
        <v/>
      </c>
      <c r="M455">
        <f>IF([2]Entry!$G$458="","",[2]Entry!$G$458)</f>
        <v/>
      </c>
      <c r="N455">
        <f>IF([2]Entry!$M$458="","",[2]Entry!$M$458)</f>
        <v/>
      </c>
      <c r="O455">
        <f>IF([2]Entry!$N$458="","",[2]Entry!$N$458)</f>
        <v/>
      </c>
      <c r="P455">
        <f>IF([2]Entry!$R$458="","",[2]Entry!$R$458)</f>
        <v/>
      </c>
    </row>
    <row r="456">
      <c r="A456">
        <f>IF([1]Accounts!$D$457="","",[1]Accounts!$A$457)</f>
        <v/>
      </c>
      <c r="B456">
        <f>IF([1]Accounts!$D$457="","",[1]Accounts!$B$457)</f>
        <v/>
      </c>
      <c r="C456">
        <f>IF([1]Accounts!$D$457="","",[1]Accounts!$C$457)</f>
        <v/>
      </c>
      <c r="D456">
        <f>IF([1]Accounts!$D$457="","",[1]Accounts!$D$457)</f>
        <v/>
      </c>
      <c r="E456">
        <f>IF([1]Accounts!$D$457="","",[1]Accounts!$J$457)</f>
        <v/>
      </c>
      <c r="F456">
        <f>IF([1]Accounts!$D$457="","",[1]Accounts!$K$457)</f>
        <v/>
      </c>
      <c r="J456">
        <f>IF([2]Entry!$C$459="","",[2]Entry!$C$459)</f>
        <v/>
      </c>
      <c r="K456">
        <f>IF([2]Entry!$D$459="","",[2]Entry!$D$459)</f>
        <v/>
      </c>
      <c r="L456">
        <f>IF([2]Entry!$E$459="","",[2]Entry!$E$459)</f>
        <v/>
      </c>
      <c r="M456">
        <f>IF([2]Entry!$G$459="","",[2]Entry!$G$459)</f>
        <v/>
      </c>
      <c r="N456">
        <f>IF([2]Entry!$M$459="","",[2]Entry!$M$459)</f>
        <v/>
      </c>
      <c r="O456">
        <f>IF([2]Entry!$N$459="","",[2]Entry!$N$459)</f>
        <v/>
      </c>
      <c r="P456">
        <f>IF([2]Entry!$R$459="","",[2]Entry!$R$459)</f>
        <v/>
      </c>
    </row>
    <row r="457">
      <c r="A457">
        <f>IF([1]Accounts!$D$458="","",[1]Accounts!$A$458)</f>
        <v/>
      </c>
      <c r="B457">
        <f>IF([1]Accounts!$D$458="","",[1]Accounts!$B$458)</f>
        <v/>
      </c>
      <c r="C457">
        <f>IF([1]Accounts!$D$458="","",[1]Accounts!$C$458)</f>
        <v/>
      </c>
      <c r="D457">
        <f>IF([1]Accounts!$D$458="","",[1]Accounts!$D$458)</f>
        <v/>
      </c>
      <c r="E457">
        <f>IF([1]Accounts!$D$458="","",[1]Accounts!$J$458)</f>
        <v/>
      </c>
      <c r="F457">
        <f>IF([1]Accounts!$D$458="","",[1]Accounts!$K$458)</f>
        <v/>
      </c>
      <c r="J457">
        <f>IF([2]Entry!$C$460="","",[2]Entry!$C$460)</f>
        <v/>
      </c>
      <c r="K457">
        <f>IF([2]Entry!$D$460="","",[2]Entry!$D$460)</f>
        <v/>
      </c>
      <c r="L457">
        <f>IF([2]Entry!$E$460="","",[2]Entry!$E$460)</f>
        <v/>
      </c>
      <c r="M457">
        <f>IF([2]Entry!$G$460="","",[2]Entry!$G$460)</f>
        <v/>
      </c>
      <c r="N457">
        <f>IF([2]Entry!$M$460="","",[2]Entry!$M$460)</f>
        <v/>
      </c>
      <c r="O457">
        <f>IF([2]Entry!$N$460="","",[2]Entry!$N$460)</f>
        <v/>
      </c>
      <c r="P457">
        <f>IF([2]Entry!$R$460="","",[2]Entry!$R$460)</f>
        <v/>
      </c>
    </row>
    <row r="458">
      <c r="A458">
        <f>IF([1]Accounts!$D$459="","",[1]Accounts!$A$459)</f>
        <v/>
      </c>
      <c r="B458">
        <f>IF([1]Accounts!$D$459="","",[1]Accounts!$B$459)</f>
        <v/>
      </c>
      <c r="C458">
        <f>IF([1]Accounts!$D$459="","",[1]Accounts!$C$459)</f>
        <v/>
      </c>
      <c r="D458">
        <f>IF([1]Accounts!$D$459="","",[1]Accounts!$D$459)</f>
        <v/>
      </c>
      <c r="E458">
        <f>IF([1]Accounts!$D$459="","",[1]Accounts!$J$459)</f>
        <v/>
      </c>
      <c r="F458">
        <f>IF([1]Accounts!$D$459="","",[1]Accounts!$K$459)</f>
        <v/>
      </c>
      <c r="J458">
        <f>IF([2]Entry!$C$461="","",[2]Entry!$C$461)</f>
        <v/>
      </c>
      <c r="K458">
        <f>IF([2]Entry!$D$461="","",[2]Entry!$D$461)</f>
        <v/>
      </c>
      <c r="L458">
        <f>IF([2]Entry!$E$461="","",[2]Entry!$E$461)</f>
        <v/>
      </c>
      <c r="M458">
        <f>IF([2]Entry!$G$461="","",[2]Entry!$G$461)</f>
        <v/>
      </c>
      <c r="N458">
        <f>IF([2]Entry!$M$461="","",[2]Entry!$M$461)</f>
        <v/>
      </c>
      <c r="O458">
        <f>IF([2]Entry!$N$461="","",[2]Entry!$N$461)</f>
        <v/>
      </c>
      <c r="P458">
        <f>IF([2]Entry!$R$461="","",[2]Entry!$R$461)</f>
        <v/>
      </c>
    </row>
    <row r="459">
      <c r="A459">
        <f>IF([1]Accounts!$D$460="","",[1]Accounts!$A$460)</f>
        <v/>
      </c>
      <c r="B459">
        <f>IF([1]Accounts!$D$460="","",[1]Accounts!$B$460)</f>
        <v/>
      </c>
      <c r="C459">
        <f>IF([1]Accounts!$D$460="","",[1]Accounts!$C$460)</f>
        <v/>
      </c>
      <c r="D459">
        <f>IF([1]Accounts!$D$460="","",[1]Accounts!$D$460)</f>
        <v/>
      </c>
      <c r="E459">
        <f>IF([1]Accounts!$D$460="","",[1]Accounts!$J$460)</f>
        <v/>
      </c>
      <c r="F459">
        <f>IF([1]Accounts!$D$460="","",[1]Accounts!$K$460)</f>
        <v/>
      </c>
      <c r="J459">
        <f>IF([2]Entry!$C$462="","",[2]Entry!$C$462)</f>
        <v/>
      </c>
      <c r="K459">
        <f>IF([2]Entry!$D$462="","",[2]Entry!$D$462)</f>
        <v/>
      </c>
      <c r="L459">
        <f>IF([2]Entry!$E$462="","",[2]Entry!$E$462)</f>
        <v/>
      </c>
      <c r="M459">
        <f>IF([2]Entry!$G$462="","",[2]Entry!$G$462)</f>
        <v/>
      </c>
      <c r="N459">
        <f>IF([2]Entry!$M$462="","",[2]Entry!$M$462)</f>
        <v/>
      </c>
      <c r="O459">
        <f>IF([2]Entry!$N$462="","",[2]Entry!$N$462)</f>
        <v/>
      </c>
      <c r="P459">
        <f>IF([2]Entry!$R$462="","",[2]Entry!$R$462)</f>
        <v/>
      </c>
    </row>
    <row r="460">
      <c r="A460">
        <f>IF([1]Accounts!$D$461="","",[1]Accounts!$A$461)</f>
        <v/>
      </c>
      <c r="B460">
        <f>IF([1]Accounts!$D$461="","",[1]Accounts!$B$461)</f>
        <v/>
      </c>
      <c r="C460">
        <f>IF([1]Accounts!$D$461="","",[1]Accounts!$C$461)</f>
        <v/>
      </c>
      <c r="D460">
        <f>IF([1]Accounts!$D$461="","",[1]Accounts!$D$461)</f>
        <v/>
      </c>
      <c r="E460">
        <f>IF([1]Accounts!$D$461="","",[1]Accounts!$J$461)</f>
        <v/>
      </c>
      <c r="F460">
        <f>IF([1]Accounts!$D$461="","",[1]Accounts!$K$461)</f>
        <v/>
      </c>
      <c r="J460">
        <f>IF([2]Entry!$C$463="","",[2]Entry!$C$463)</f>
        <v/>
      </c>
      <c r="K460">
        <f>IF([2]Entry!$D$463="","",[2]Entry!$D$463)</f>
        <v/>
      </c>
      <c r="L460">
        <f>IF([2]Entry!$E$463="","",[2]Entry!$E$463)</f>
        <v/>
      </c>
      <c r="M460">
        <f>IF([2]Entry!$G$463="","",[2]Entry!$G$463)</f>
        <v/>
      </c>
      <c r="N460">
        <f>IF([2]Entry!$M$463="","",[2]Entry!$M$463)</f>
        <v/>
      </c>
      <c r="O460">
        <f>IF([2]Entry!$N$463="","",[2]Entry!$N$463)</f>
        <v/>
      </c>
      <c r="P460">
        <f>IF([2]Entry!$R$463="","",[2]Entry!$R$463)</f>
        <v/>
      </c>
    </row>
    <row r="461">
      <c r="A461">
        <f>IF([1]Accounts!$D$462="","",[1]Accounts!$A$462)</f>
        <v/>
      </c>
      <c r="B461">
        <f>IF([1]Accounts!$D$462="","",[1]Accounts!$B$462)</f>
        <v/>
      </c>
      <c r="C461">
        <f>IF([1]Accounts!$D$462="","",[1]Accounts!$C$462)</f>
        <v/>
      </c>
      <c r="D461">
        <f>IF([1]Accounts!$D$462="","",[1]Accounts!$D$462)</f>
        <v/>
      </c>
      <c r="E461">
        <f>IF([1]Accounts!$D$462="","",[1]Accounts!$J$462)</f>
        <v/>
      </c>
      <c r="F461">
        <f>IF([1]Accounts!$D$462="","",[1]Accounts!$K$462)</f>
        <v/>
      </c>
      <c r="J461">
        <f>IF([2]Entry!$C$464="","",[2]Entry!$C$464)</f>
        <v/>
      </c>
      <c r="K461">
        <f>IF([2]Entry!$D$464="","",[2]Entry!$D$464)</f>
        <v/>
      </c>
      <c r="L461">
        <f>IF([2]Entry!$E$464="","",[2]Entry!$E$464)</f>
        <v/>
      </c>
      <c r="M461">
        <f>IF([2]Entry!$G$464="","",[2]Entry!$G$464)</f>
        <v/>
      </c>
      <c r="N461">
        <f>IF([2]Entry!$M$464="","",[2]Entry!$M$464)</f>
        <v/>
      </c>
      <c r="O461">
        <f>IF([2]Entry!$N$464="","",[2]Entry!$N$464)</f>
        <v/>
      </c>
      <c r="P461">
        <f>IF([2]Entry!$R$464="","",[2]Entry!$R$464)</f>
        <v/>
      </c>
    </row>
    <row r="462">
      <c r="A462">
        <f>IF([1]Accounts!$D$463="","",[1]Accounts!$A$463)</f>
        <v/>
      </c>
      <c r="B462">
        <f>IF([1]Accounts!$D$463="","",[1]Accounts!$B$463)</f>
        <v/>
      </c>
      <c r="C462">
        <f>IF([1]Accounts!$D$463="","",[1]Accounts!$C$463)</f>
        <v/>
      </c>
      <c r="D462">
        <f>IF([1]Accounts!$D$463="","",[1]Accounts!$D$463)</f>
        <v/>
      </c>
      <c r="E462">
        <f>IF([1]Accounts!$D$463="","",[1]Accounts!$J$463)</f>
        <v/>
      </c>
      <c r="F462">
        <f>IF([1]Accounts!$D$463="","",[1]Accounts!$K$463)</f>
        <v/>
      </c>
      <c r="J462">
        <f>IF([2]Entry!$C$465="","",[2]Entry!$C$465)</f>
        <v/>
      </c>
      <c r="K462">
        <f>IF([2]Entry!$D$465="","",[2]Entry!$D$465)</f>
        <v/>
      </c>
      <c r="L462">
        <f>IF([2]Entry!$E$465="","",[2]Entry!$E$465)</f>
        <v/>
      </c>
      <c r="M462">
        <f>IF([2]Entry!$G$465="","",[2]Entry!$G$465)</f>
        <v/>
      </c>
      <c r="N462">
        <f>IF([2]Entry!$M$465="","",[2]Entry!$M$465)</f>
        <v/>
      </c>
      <c r="O462">
        <f>IF([2]Entry!$N$465="","",[2]Entry!$N$465)</f>
        <v/>
      </c>
      <c r="P462">
        <f>IF([2]Entry!$R$465="","",[2]Entry!$R$465)</f>
        <v/>
      </c>
    </row>
    <row r="463">
      <c r="A463">
        <f>IF([1]Accounts!$D$464="","",[1]Accounts!$A$464)</f>
        <v/>
      </c>
      <c r="B463">
        <f>IF([1]Accounts!$D$464="","",[1]Accounts!$B$464)</f>
        <v/>
      </c>
      <c r="C463">
        <f>IF([1]Accounts!$D$464="","",[1]Accounts!$C$464)</f>
        <v/>
      </c>
      <c r="D463">
        <f>IF([1]Accounts!$D$464="","",[1]Accounts!$D$464)</f>
        <v/>
      </c>
      <c r="E463">
        <f>IF([1]Accounts!$D$464="","",[1]Accounts!$J$464)</f>
        <v/>
      </c>
      <c r="F463">
        <f>IF([1]Accounts!$D$464="","",[1]Accounts!$K$464)</f>
        <v/>
      </c>
      <c r="J463">
        <f>IF([2]Entry!$C$466="","",[2]Entry!$C$466)</f>
        <v/>
      </c>
      <c r="K463">
        <f>IF([2]Entry!$D$466="","",[2]Entry!$D$466)</f>
        <v/>
      </c>
      <c r="L463">
        <f>IF([2]Entry!$E$466="","",[2]Entry!$E$466)</f>
        <v/>
      </c>
      <c r="M463">
        <f>IF([2]Entry!$G$466="","",[2]Entry!$G$466)</f>
        <v/>
      </c>
      <c r="N463">
        <f>IF([2]Entry!$M$466="","",[2]Entry!$M$466)</f>
        <v/>
      </c>
      <c r="O463">
        <f>IF([2]Entry!$N$466="","",[2]Entry!$N$466)</f>
        <v/>
      </c>
      <c r="P463">
        <f>IF([2]Entry!$R$466="","",[2]Entry!$R$466)</f>
        <v/>
      </c>
    </row>
    <row r="464">
      <c r="A464">
        <f>IF([1]Accounts!$D$465="","",[1]Accounts!$A$465)</f>
        <v/>
      </c>
      <c r="B464">
        <f>IF([1]Accounts!$D$465="","",[1]Accounts!$B$465)</f>
        <v/>
      </c>
      <c r="C464">
        <f>IF([1]Accounts!$D$465="","",[1]Accounts!$C$465)</f>
        <v/>
      </c>
      <c r="D464">
        <f>IF([1]Accounts!$D$465="","",[1]Accounts!$D$465)</f>
        <v/>
      </c>
      <c r="E464">
        <f>IF([1]Accounts!$D$465="","",[1]Accounts!$J$465)</f>
        <v/>
      </c>
      <c r="F464">
        <f>IF([1]Accounts!$D$465="","",[1]Accounts!$K$465)</f>
        <v/>
      </c>
      <c r="J464">
        <f>IF([2]Entry!$C$467="","",[2]Entry!$C$467)</f>
        <v/>
      </c>
      <c r="K464">
        <f>IF([2]Entry!$D$467="","",[2]Entry!$D$467)</f>
        <v/>
      </c>
      <c r="L464">
        <f>IF([2]Entry!$E$467="","",[2]Entry!$E$467)</f>
        <v/>
      </c>
      <c r="M464">
        <f>IF([2]Entry!$G$467="","",[2]Entry!$G$467)</f>
        <v/>
      </c>
      <c r="N464">
        <f>IF([2]Entry!$M$467="","",[2]Entry!$M$467)</f>
        <v/>
      </c>
      <c r="O464">
        <f>IF([2]Entry!$N$467="","",[2]Entry!$N$467)</f>
        <v/>
      </c>
      <c r="P464">
        <f>IF([2]Entry!$R$467="","",[2]Entry!$R$467)</f>
        <v/>
      </c>
    </row>
    <row r="465">
      <c r="A465">
        <f>IF([1]Accounts!$D$466="","",[1]Accounts!$A$466)</f>
        <v/>
      </c>
      <c r="B465">
        <f>IF([1]Accounts!$D$466="","",[1]Accounts!$B$466)</f>
        <v/>
      </c>
      <c r="C465">
        <f>IF([1]Accounts!$D$466="","",[1]Accounts!$C$466)</f>
        <v/>
      </c>
      <c r="D465">
        <f>IF([1]Accounts!$D$466="","",[1]Accounts!$D$466)</f>
        <v/>
      </c>
      <c r="E465">
        <f>IF([1]Accounts!$D$466="","",[1]Accounts!$J$466)</f>
        <v/>
      </c>
      <c r="F465">
        <f>IF([1]Accounts!$D$466="","",[1]Accounts!$K$466)</f>
        <v/>
      </c>
      <c r="J465">
        <f>IF([2]Entry!$C$468="","",[2]Entry!$C$468)</f>
        <v/>
      </c>
      <c r="K465">
        <f>IF([2]Entry!$D$468="","",[2]Entry!$D$468)</f>
        <v/>
      </c>
      <c r="L465">
        <f>IF([2]Entry!$E$468="","",[2]Entry!$E$468)</f>
        <v/>
      </c>
      <c r="M465">
        <f>IF([2]Entry!$G$468="","",[2]Entry!$G$468)</f>
        <v/>
      </c>
      <c r="N465">
        <f>IF([2]Entry!$M$468="","",[2]Entry!$M$468)</f>
        <v/>
      </c>
      <c r="O465">
        <f>IF([2]Entry!$N$468="","",[2]Entry!$N$468)</f>
        <v/>
      </c>
      <c r="P465">
        <f>IF([2]Entry!$R$468="","",[2]Entry!$R$468)</f>
        <v/>
      </c>
    </row>
    <row r="466">
      <c r="A466">
        <f>IF([1]Accounts!$D$467="","",[1]Accounts!$A$467)</f>
        <v/>
      </c>
      <c r="B466">
        <f>IF([1]Accounts!$D$467="","",[1]Accounts!$B$467)</f>
        <v/>
      </c>
      <c r="C466">
        <f>IF([1]Accounts!$D$467="","",[1]Accounts!$C$467)</f>
        <v/>
      </c>
      <c r="D466">
        <f>IF([1]Accounts!$D$467="","",[1]Accounts!$D$467)</f>
        <v/>
      </c>
      <c r="E466">
        <f>IF([1]Accounts!$D$467="","",[1]Accounts!$J$467)</f>
        <v/>
      </c>
      <c r="F466">
        <f>IF([1]Accounts!$D$467="","",[1]Accounts!$K$467)</f>
        <v/>
      </c>
      <c r="J466">
        <f>IF([2]Entry!$C$469="","",[2]Entry!$C$469)</f>
        <v/>
      </c>
      <c r="K466">
        <f>IF([2]Entry!$D$469="","",[2]Entry!$D$469)</f>
        <v/>
      </c>
      <c r="L466">
        <f>IF([2]Entry!$E$469="","",[2]Entry!$E$469)</f>
        <v/>
      </c>
      <c r="M466">
        <f>IF([2]Entry!$G$469="","",[2]Entry!$G$469)</f>
        <v/>
      </c>
      <c r="N466">
        <f>IF([2]Entry!$M$469="","",[2]Entry!$M$469)</f>
        <v/>
      </c>
      <c r="O466">
        <f>IF([2]Entry!$N$469="","",[2]Entry!$N$469)</f>
        <v/>
      </c>
      <c r="P466">
        <f>IF([2]Entry!$R$469="","",[2]Entry!$R$469)</f>
        <v/>
      </c>
    </row>
    <row r="467">
      <c r="A467">
        <f>IF([1]Accounts!$D$468="","",[1]Accounts!$A$468)</f>
        <v/>
      </c>
      <c r="B467">
        <f>IF([1]Accounts!$D$468="","",[1]Accounts!$B$468)</f>
        <v/>
      </c>
      <c r="C467">
        <f>IF([1]Accounts!$D$468="","",[1]Accounts!$C$468)</f>
        <v/>
      </c>
      <c r="D467">
        <f>IF([1]Accounts!$D$468="","",[1]Accounts!$D$468)</f>
        <v/>
      </c>
      <c r="E467">
        <f>IF([1]Accounts!$D$468="","",[1]Accounts!$J$468)</f>
        <v/>
      </c>
      <c r="F467">
        <f>IF([1]Accounts!$D$468="","",[1]Accounts!$K$468)</f>
        <v/>
      </c>
      <c r="J467">
        <f>IF([2]Entry!$C$470="","",[2]Entry!$C$470)</f>
        <v/>
      </c>
      <c r="K467">
        <f>IF([2]Entry!$D$470="","",[2]Entry!$D$470)</f>
        <v/>
      </c>
      <c r="L467">
        <f>IF([2]Entry!$E$470="","",[2]Entry!$E$470)</f>
        <v/>
      </c>
      <c r="M467">
        <f>IF([2]Entry!$G$470="","",[2]Entry!$G$470)</f>
        <v/>
      </c>
      <c r="N467">
        <f>IF([2]Entry!$M$470="","",[2]Entry!$M$470)</f>
        <v/>
      </c>
      <c r="O467">
        <f>IF([2]Entry!$N$470="","",[2]Entry!$N$470)</f>
        <v/>
      </c>
      <c r="P467">
        <f>IF([2]Entry!$R$470="","",[2]Entry!$R$470)</f>
        <v/>
      </c>
    </row>
    <row r="468">
      <c r="A468">
        <f>IF([1]Accounts!$D$469="","",[1]Accounts!$A$469)</f>
        <v/>
      </c>
      <c r="B468">
        <f>IF([1]Accounts!$D$469="","",[1]Accounts!$B$469)</f>
        <v/>
      </c>
      <c r="C468">
        <f>IF([1]Accounts!$D$469="","",[1]Accounts!$C$469)</f>
        <v/>
      </c>
      <c r="D468">
        <f>IF([1]Accounts!$D$469="","",[1]Accounts!$D$469)</f>
        <v/>
      </c>
      <c r="E468">
        <f>IF([1]Accounts!$D$469="","",[1]Accounts!$J$469)</f>
        <v/>
      </c>
      <c r="F468">
        <f>IF([1]Accounts!$D$469="","",[1]Accounts!$K$469)</f>
        <v/>
      </c>
      <c r="J468">
        <f>IF([2]Entry!$C$471="","",[2]Entry!$C$471)</f>
        <v/>
      </c>
      <c r="K468">
        <f>IF([2]Entry!$D$471="","",[2]Entry!$D$471)</f>
        <v/>
      </c>
      <c r="L468">
        <f>IF([2]Entry!$E$471="","",[2]Entry!$E$471)</f>
        <v/>
      </c>
      <c r="M468">
        <f>IF([2]Entry!$G$471="","",[2]Entry!$G$471)</f>
        <v/>
      </c>
      <c r="N468">
        <f>IF([2]Entry!$M$471="","",[2]Entry!$M$471)</f>
        <v/>
      </c>
      <c r="O468">
        <f>IF([2]Entry!$N$471="","",[2]Entry!$N$471)</f>
        <v/>
      </c>
      <c r="P468">
        <f>IF([2]Entry!$R$471="","",[2]Entry!$R$471)</f>
        <v/>
      </c>
    </row>
    <row r="469">
      <c r="A469">
        <f>IF([1]Accounts!$D$470="","",[1]Accounts!$A$470)</f>
        <v/>
      </c>
      <c r="B469">
        <f>IF([1]Accounts!$D$470="","",[1]Accounts!$B$470)</f>
        <v/>
      </c>
      <c r="C469">
        <f>IF([1]Accounts!$D$470="","",[1]Accounts!$C$470)</f>
        <v/>
      </c>
      <c r="D469">
        <f>IF([1]Accounts!$D$470="","",[1]Accounts!$D$470)</f>
        <v/>
      </c>
      <c r="E469">
        <f>IF([1]Accounts!$D$470="","",[1]Accounts!$J$470)</f>
        <v/>
      </c>
      <c r="F469">
        <f>IF([1]Accounts!$D$470="","",[1]Accounts!$K$470)</f>
        <v/>
      </c>
      <c r="J469">
        <f>IF([2]Entry!$C$472="","",[2]Entry!$C$472)</f>
        <v/>
      </c>
      <c r="K469">
        <f>IF([2]Entry!$D$472="","",[2]Entry!$D$472)</f>
        <v/>
      </c>
      <c r="L469">
        <f>IF([2]Entry!$E$472="","",[2]Entry!$E$472)</f>
        <v/>
      </c>
      <c r="M469">
        <f>IF([2]Entry!$G$472="","",[2]Entry!$G$472)</f>
        <v/>
      </c>
      <c r="N469">
        <f>IF([2]Entry!$M$472="","",[2]Entry!$M$472)</f>
        <v/>
      </c>
      <c r="O469">
        <f>IF([2]Entry!$N$472="","",[2]Entry!$N$472)</f>
        <v/>
      </c>
      <c r="P469">
        <f>IF([2]Entry!$R$472="","",[2]Entry!$R$472)</f>
        <v/>
      </c>
    </row>
    <row r="470">
      <c r="A470">
        <f>IF([1]Accounts!$D$471="","",[1]Accounts!$A$471)</f>
        <v/>
      </c>
      <c r="B470">
        <f>IF([1]Accounts!$D$471="","",[1]Accounts!$B$471)</f>
        <v/>
      </c>
      <c r="C470">
        <f>IF([1]Accounts!$D$471="","",[1]Accounts!$C$471)</f>
        <v/>
      </c>
      <c r="D470">
        <f>IF([1]Accounts!$D$471="","",[1]Accounts!$D$471)</f>
        <v/>
      </c>
      <c r="E470">
        <f>IF([1]Accounts!$D$471="","",[1]Accounts!$J$471)</f>
        <v/>
      </c>
      <c r="F470">
        <f>IF([1]Accounts!$D$471="","",[1]Accounts!$K$471)</f>
        <v/>
      </c>
      <c r="J470">
        <f>IF([2]Entry!$C$473="","",[2]Entry!$C$473)</f>
        <v/>
      </c>
      <c r="K470">
        <f>IF([2]Entry!$D$473="","",[2]Entry!$D$473)</f>
        <v/>
      </c>
      <c r="L470">
        <f>IF([2]Entry!$E$473="","",[2]Entry!$E$473)</f>
        <v/>
      </c>
      <c r="M470">
        <f>IF([2]Entry!$G$473="","",[2]Entry!$G$473)</f>
        <v/>
      </c>
      <c r="N470">
        <f>IF([2]Entry!$M$473="","",[2]Entry!$M$473)</f>
        <v/>
      </c>
      <c r="O470">
        <f>IF([2]Entry!$N$473="","",[2]Entry!$N$473)</f>
        <v/>
      </c>
      <c r="P470">
        <f>IF([2]Entry!$R$473="","",[2]Entry!$R$473)</f>
        <v/>
      </c>
    </row>
    <row r="471">
      <c r="A471">
        <f>IF([1]Accounts!$D$472="","",[1]Accounts!$A$472)</f>
        <v/>
      </c>
      <c r="B471">
        <f>IF([1]Accounts!$D$472="","",[1]Accounts!$B$472)</f>
        <v/>
      </c>
      <c r="C471">
        <f>IF([1]Accounts!$D$472="","",[1]Accounts!$C$472)</f>
        <v/>
      </c>
      <c r="D471">
        <f>IF([1]Accounts!$D$472="","",[1]Accounts!$D$472)</f>
        <v/>
      </c>
      <c r="E471">
        <f>IF([1]Accounts!$D$472="","",[1]Accounts!$J$472)</f>
        <v/>
      </c>
      <c r="F471">
        <f>IF([1]Accounts!$D$472="","",[1]Accounts!$K$472)</f>
        <v/>
      </c>
      <c r="J471">
        <f>IF([2]Entry!$C$474="","",[2]Entry!$C$474)</f>
        <v/>
      </c>
      <c r="K471">
        <f>IF([2]Entry!$D$474="","",[2]Entry!$D$474)</f>
        <v/>
      </c>
      <c r="L471">
        <f>IF([2]Entry!$E$474="","",[2]Entry!$E$474)</f>
        <v/>
      </c>
      <c r="M471">
        <f>IF([2]Entry!$G$474="","",[2]Entry!$G$474)</f>
        <v/>
      </c>
      <c r="N471">
        <f>IF([2]Entry!$M$474="","",[2]Entry!$M$474)</f>
        <v/>
      </c>
      <c r="O471">
        <f>IF([2]Entry!$N$474="","",[2]Entry!$N$474)</f>
        <v/>
      </c>
      <c r="P471">
        <f>IF([2]Entry!$R$474="","",[2]Entry!$R$474)</f>
        <v/>
      </c>
    </row>
    <row r="472">
      <c r="A472">
        <f>IF([1]Accounts!$D$473="","",[1]Accounts!$A$473)</f>
        <v/>
      </c>
      <c r="B472">
        <f>IF([1]Accounts!$D$473="","",[1]Accounts!$B$473)</f>
        <v/>
      </c>
      <c r="C472">
        <f>IF([1]Accounts!$D$473="","",[1]Accounts!$C$473)</f>
        <v/>
      </c>
      <c r="D472">
        <f>IF([1]Accounts!$D$473="","",[1]Accounts!$D$473)</f>
        <v/>
      </c>
      <c r="E472">
        <f>IF([1]Accounts!$D$473="","",[1]Accounts!$J$473)</f>
        <v/>
      </c>
      <c r="F472">
        <f>IF([1]Accounts!$D$473="","",[1]Accounts!$K$473)</f>
        <v/>
      </c>
      <c r="J472">
        <f>IF([2]Entry!$C$475="","",[2]Entry!$C$475)</f>
        <v/>
      </c>
      <c r="K472">
        <f>IF([2]Entry!$D$475="","",[2]Entry!$D$475)</f>
        <v/>
      </c>
      <c r="L472">
        <f>IF([2]Entry!$E$475="","",[2]Entry!$E$475)</f>
        <v/>
      </c>
      <c r="M472">
        <f>IF([2]Entry!$G$475="","",[2]Entry!$G$475)</f>
        <v/>
      </c>
      <c r="N472">
        <f>IF([2]Entry!$M$475="","",[2]Entry!$M$475)</f>
        <v/>
      </c>
      <c r="O472">
        <f>IF([2]Entry!$N$475="","",[2]Entry!$N$475)</f>
        <v/>
      </c>
      <c r="P472">
        <f>IF([2]Entry!$R$475="","",[2]Entry!$R$475)</f>
        <v/>
      </c>
    </row>
    <row r="473">
      <c r="A473">
        <f>IF([1]Accounts!$D$474="","",[1]Accounts!$A$474)</f>
        <v/>
      </c>
      <c r="B473">
        <f>IF([1]Accounts!$D$474="","",[1]Accounts!$B$474)</f>
        <v/>
      </c>
      <c r="C473">
        <f>IF([1]Accounts!$D$474="","",[1]Accounts!$C$474)</f>
        <v/>
      </c>
      <c r="D473">
        <f>IF([1]Accounts!$D$474="","",[1]Accounts!$D$474)</f>
        <v/>
      </c>
      <c r="E473">
        <f>IF([1]Accounts!$D$474="","",[1]Accounts!$J$474)</f>
        <v/>
      </c>
      <c r="F473">
        <f>IF([1]Accounts!$D$474="","",[1]Accounts!$K$474)</f>
        <v/>
      </c>
      <c r="J473">
        <f>IF([2]Entry!$C$476="","",[2]Entry!$C$476)</f>
        <v/>
      </c>
      <c r="K473">
        <f>IF([2]Entry!$D$476="","",[2]Entry!$D$476)</f>
        <v/>
      </c>
      <c r="L473">
        <f>IF([2]Entry!$E$476="","",[2]Entry!$E$476)</f>
        <v/>
      </c>
      <c r="M473">
        <f>IF([2]Entry!$G$476="","",[2]Entry!$G$476)</f>
        <v/>
      </c>
      <c r="N473">
        <f>IF([2]Entry!$M$476="","",[2]Entry!$M$476)</f>
        <v/>
      </c>
      <c r="O473">
        <f>IF([2]Entry!$N$476="","",[2]Entry!$N$476)</f>
        <v/>
      </c>
      <c r="P473">
        <f>IF([2]Entry!$R$476="","",[2]Entry!$R$476)</f>
        <v/>
      </c>
    </row>
    <row r="474">
      <c r="A474">
        <f>IF([1]Accounts!$D$475="","",[1]Accounts!$A$475)</f>
        <v/>
      </c>
      <c r="B474">
        <f>IF([1]Accounts!$D$475="","",[1]Accounts!$B$475)</f>
        <v/>
      </c>
      <c r="C474">
        <f>IF([1]Accounts!$D$475="","",[1]Accounts!$C$475)</f>
        <v/>
      </c>
      <c r="D474">
        <f>IF([1]Accounts!$D$475="","",[1]Accounts!$D$475)</f>
        <v/>
      </c>
      <c r="E474">
        <f>IF([1]Accounts!$D$475="","",[1]Accounts!$J$475)</f>
        <v/>
      </c>
      <c r="F474">
        <f>IF([1]Accounts!$D$475="","",[1]Accounts!$K$475)</f>
        <v/>
      </c>
      <c r="J474">
        <f>IF([2]Entry!$C$477="","",[2]Entry!$C$477)</f>
        <v/>
      </c>
      <c r="K474">
        <f>IF([2]Entry!$D$477="","",[2]Entry!$D$477)</f>
        <v/>
      </c>
      <c r="L474">
        <f>IF([2]Entry!$E$477="","",[2]Entry!$E$477)</f>
        <v/>
      </c>
      <c r="M474">
        <f>IF([2]Entry!$G$477="","",[2]Entry!$G$477)</f>
        <v/>
      </c>
      <c r="N474">
        <f>IF([2]Entry!$M$477="","",[2]Entry!$M$477)</f>
        <v/>
      </c>
      <c r="O474">
        <f>IF([2]Entry!$N$477="","",[2]Entry!$N$477)</f>
        <v/>
      </c>
      <c r="P474">
        <f>IF([2]Entry!$R$477="","",[2]Entry!$R$477)</f>
        <v/>
      </c>
    </row>
    <row r="475">
      <c r="A475">
        <f>IF([1]Accounts!$D$476="","",[1]Accounts!$A$476)</f>
        <v/>
      </c>
      <c r="B475">
        <f>IF([1]Accounts!$D$476="","",[1]Accounts!$B$476)</f>
        <v/>
      </c>
      <c r="C475">
        <f>IF([1]Accounts!$D$476="","",[1]Accounts!$C$476)</f>
        <v/>
      </c>
      <c r="D475">
        <f>IF([1]Accounts!$D$476="","",[1]Accounts!$D$476)</f>
        <v/>
      </c>
      <c r="E475">
        <f>IF([1]Accounts!$D$476="","",[1]Accounts!$J$476)</f>
        <v/>
      </c>
      <c r="F475">
        <f>IF([1]Accounts!$D$476="","",[1]Accounts!$K$476)</f>
        <v/>
      </c>
      <c r="J475">
        <f>IF([2]Entry!$C$478="","",[2]Entry!$C$478)</f>
        <v/>
      </c>
      <c r="K475">
        <f>IF([2]Entry!$D$478="","",[2]Entry!$D$478)</f>
        <v/>
      </c>
      <c r="L475">
        <f>IF([2]Entry!$E$478="","",[2]Entry!$E$478)</f>
        <v/>
      </c>
      <c r="M475">
        <f>IF([2]Entry!$G$478="","",[2]Entry!$G$478)</f>
        <v/>
      </c>
      <c r="N475">
        <f>IF([2]Entry!$M$478="","",[2]Entry!$M$478)</f>
        <v/>
      </c>
      <c r="O475">
        <f>IF([2]Entry!$N$478="","",[2]Entry!$N$478)</f>
        <v/>
      </c>
      <c r="P475">
        <f>IF([2]Entry!$R$478="","",[2]Entry!$R$478)</f>
        <v/>
      </c>
    </row>
    <row r="476">
      <c r="A476">
        <f>IF([1]Accounts!$D$477="","",[1]Accounts!$A$477)</f>
        <v/>
      </c>
      <c r="B476">
        <f>IF([1]Accounts!$D$477="","",[1]Accounts!$B$477)</f>
        <v/>
      </c>
      <c r="C476">
        <f>IF([1]Accounts!$D$477="","",[1]Accounts!$C$477)</f>
        <v/>
      </c>
      <c r="D476">
        <f>IF([1]Accounts!$D$477="","",[1]Accounts!$D$477)</f>
        <v/>
      </c>
      <c r="E476">
        <f>IF([1]Accounts!$D$477="","",[1]Accounts!$J$477)</f>
        <v/>
      </c>
      <c r="F476">
        <f>IF([1]Accounts!$D$477="","",[1]Accounts!$K$477)</f>
        <v/>
      </c>
      <c r="J476">
        <f>IF([2]Entry!$C$479="","",[2]Entry!$C$479)</f>
        <v/>
      </c>
      <c r="K476">
        <f>IF([2]Entry!$D$479="","",[2]Entry!$D$479)</f>
        <v/>
      </c>
      <c r="L476">
        <f>IF([2]Entry!$E$479="","",[2]Entry!$E$479)</f>
        <v/>
      </c>
      <c r="M476">
        <f>IF([2]Entry!$G$479="","",[2]Entry!$G$479)</f>
        <v/>
      </c>
      <c r="N476">
        <f>IF([2]Entry!$M$479="","",[2]Entry!$M$479)</f>
        <v/>
      </c>
      <c r="O476">
        <f>IF([2]Entry!$N$479="","",[2]Entry!$N$479)</f>
        <v/>
      </c>
      <c r="P476">
        <f>IF([2]Entry!$R$479="","",[2]Entry!$R$479)</f>
        <v/>
      </c>
    </row>
    <row r="477">
      <c r="A477">
        <f>IF([1]Accounts!$D$478="","",[1]Accounts!$A$478)</f>
        <v/>
      </c>
      <c r="B477">
        <f>IF([1]Accounts!$D$478="","",[1]Accounts!$B$478)</f>
        <v/>
      </c>
      <c r="C477">
        <f>IF([1]Accounts!$D$478="","",[1]Accounts!$C$478)</f>
        <v/>
      </c>
      <c r="D477">
        <f>IF([1]Accounts!$D$478="","",[1]Accounts!$D$478)</f>
        <v/>
      </c>
      <c r="E477">
        <f>IF([1]Accounts!$D$478="","",[1]Accounts!$J$478)</f>
        <v/>
      </c>
      <c r="F477">
        <f>IF([1]Accounts!$D$478="","",[1]Accounts!$K$478)</f>
        <v/>
      </c>
      <c r="J477">
        <f>IF([2]Entry!$C$480="","",[2]Entry!$C$480)</f>
        <v/>
      </c>
      <c r="K477">
        <f>IF([2]Entry!$D$480="","",[2]Entry!$D$480)</f>
        <v/>
      </c>
      <c r="L477">
        <f>IF([2]Entry!$E$480="","",[2]Entry!$E$480)</f>
        <v/>
      </c>
      <c r="M477">
        <f>IF([2]Entry!$G$480="","",[2]Entry!$G$480)</f>
        <v/>
      </c>
      <c r="N477">
        <f>IF([2]Entry!$M$480="","",[2]Entry!$M$480)</f>
        <v/>
      </c>
      <c r="O477">
        <f>IF([2]Entry!$N$480="","",[2]Entry!$N$480)</f>
        <v/>
      </c>
      <c r="P477">
        <f>IF([2]Entry!$R$480="","",[2]Entry!$R$480)</f>
        <v/>
      </c>
    </row>
    <row r="478">
      <c r="A478">
        <f>IF([1]Accounts!$D$479="","",[1]Accounts!$A$479)</f>
        <v/>
      </c>
      <c r="B478">
        <f>IF([1]Accounts!$D$479="","",[1]Accounts!$B$479)</f>
        <v/>
      </c>
      <c r="C478">
        <f>IF([1]Accounts!$D$479="","",[1]Accounts!$C$479)</f>
        <v/>
      </c>
      <c r="D478">
        <f>IF([1]Accounts!$D$479="","",[1]Accounts!$D$479)</f>
        <v/>
      </c>
      <c r="E478">
        <f>IF([1]Accounts!$D$479="","",[1]Accounts!$J$479)</f>
        <v/>
      </c>
      <c r="F478">
        <f>IF([1]Accounts!$D$479="","",[1]Accounts!$K$479)</f>
        <v/>
      </c>
      <c r="J478">
        <f>IF([2]Entry!$C$481="","",[2]Entry!$C$481)</f>
        <v/>
      </c>
      <c r="K478">
        <f>IF([2]Entry!$D$481="","",[2]Entry!$D$481)</f>
        <v/>
      </c>
      <c r="L478">
        <f>IF([2]Entry!$E$481="","",[2]Entry!$E$481)</f>
        <v/>
      </c>
      <c r="M478">
        <f>IF([2]Entry!$G$481="","",[2]Entry!$G$481)</f>
        <v/>
      </c>
      <c r="N478">
        <f>IF([2]Entry!$M$481="","",[2]Entry!$M$481)</f>
        <v/>
      </c>
      <c r="O478">
        <f>IF([2]Entry!$N$481="","",[2]Entry!$N$481)</f>
        <v/>
      </c>
      <c r="P478">
        <f>IF([2]Entry!$R$481="","",[2]Entry!$R$481)</f>
        <v/>
      </c>
    </row>
    <row r="479">
      <c r="A479">
        <f>IF([1]Accounts!$D$480="","",[1]Accounts!$A$480)</f>
        <v/>
      </c>
      <c r="B479">
        <f>IF([1]Accounts!$D$480="","",[1]Accounts!$B$480)</f>
        <v/>
      </c>
      <c r="C479">
        <f>IF([1]Accounts!$D$480="","",[1]Accounts!$C$480)</f>
        <v/>
      </c>
      <c r="D479">
        <f>IF([1]Accounts!$D$480="","",[1]Accounts!$D$480)</f>
        <v/>
      </c>
      <c r="E479">
        <f>IF([1]Accounts!$D$480="","",[1]Accounts!$J$480)</f>
        <v/>
      </c>
      <c r="F479">
        <f>IF([1]Accounts!$D$480="","",[1]Accounts!$K$480)</f>
        <v/>
      </c>
      <c r="J479">
        <f>IF([2]Entry!$C$482="","",[2]Entry!$C$482)</f>
        <v/>
      </c>
      <c r="K479">
        <f>IF([2]Entry!$D$482="","",[2]Entry!$D$482)</f>
        <v/>
      </c>
      <c r="L479">
        <f>IF([2]Entry!$E$482="","",[2]Entry!$E$482)</f>
        <v/>
      </c>
      <c r="M479">
        <f>IF([2]Entry!$G$482="","",[2]Entry!$G$482)</f>
        <v/>
      </c>
      <c r="N479">
        <f>IF([2]Entry!$M$482="","",[2]Entry!$M$482)</f>
        <v/>
      </c>
      <c r="O479">
        <f>IF([2]Entry!$N$482="","",[2]Entry!$N$482)</f>
        <v/>
      </c>
      <c r="P479">
        <f>IF([2]Entry!$R$482="","",[2]Entry!$R$482)</f>
        <v/>
      </c>
    </row>
    <row r="480">
      <c r="A480">
        <f>IF([1]Accounts!$D$481="","",[1]Accounts!$A$481)</f>
        <v/>
      </c>
      <c r="B480">
        <f>IF([1]Accounts!$D$481="","",[1]Accounts!$B$481)</f>
        <v/>
      </c>
      <c r="C480">
        <f>IF([1]Accounts!$D$481="","",[1]Accounts!$C$481)</f>
        <v/>
      </c>
      <c r="D480">
        <f>IF([1]Accounts!$D$481="","",[1]Accounts!$D$481)</f>
        <v/>
      </c>
      <c r="E480">
        <f>IF([1]Accounts!$D$481="","",[1]Accounts!$J$481)</f>
        <v/>
      </c>
      <c r="F480">
        <f>IF([1]Accounts!$D$481="","",[1]Accounts!$K$481)</f>
        <v/>
      </c>
      <c r="J480">
        <f>IF([2]Entry!$C$483="","",[2]Entry!$C$483)</f>
        <v/>
      </c>
      <c r="K480">
        <f>IF([2]Entry!$D$483="","",[2]Entry!$D$483)</f>
        <v/>
      </c>
      <c r="L480">
        <f>IF([2]Entry!$E$483="","",[2]Entry!$E$483)</f>
        <v/>
      </c>
      <c r="M480">
        <f>IF([2]Entry!$G$483="","",[2]Entry!$G$483)</f>
        <v/>
      </c>
      <c r="N480">
        <f>IF([2]Entry!$M$483="","",[2]Entry!$M$483)</f>
        <v/>
      </c>
      <c r="O480">
        <f>IF([2]Entry!$N$483="","",[2]Entry!$N$483)</f>
        <v/>
      </c>
      <c r="P480">
        <f>IF([2]Entry!$R$483="","",[2]Entry!$R$483)</f>
        <v/>
      </c>
    </row>
    <row r="481">
      <c r="A481">
        <f>IF([1]Accounts!$D$482="","",[1]Accounts!$A$482)</f>
        <v/>
      </c>
      <c r="B481">
        <f>IF([1]Accounts!$D$482="","",[1]Accounts!$B$482)</f>
        <v/>
      </c>
      <c r="C481">
        <f>IF([1]Accounts!$D$482="","",[1]Accounts!$C$482)</f>
        <v/>
      </c>
      <c r="D481">
        <f>IF([1]Accounts!$D$482="","",[1]Accounts!$D$482)</f>
        <v/>
      </c>
      <c r="E481">
        <f>IF([1]Accounts!$D$482="","",[1]Accounts!$J$482)</f>
        <v/>
      </c>
      <c r="F481">
        <f>IF([1]Accounts!$D$482="","",[1]Accounts!$K$482)</f>
        <v/>
      </c>
      <c r="J481">
        <f>IF([2]Entry!$C$484="","",[2]Entry!$C$484)</f>
        <v/>
      </c>
      <c r="K481">
        <f>IF([2]Entry!$D$484="","",[2]Entry!$D$484)</f>
        <v/>
      </c>
      <c r="L481">
        <f>IF([2]Entry!$E$484="","",[2]Entry!$E$484)</f>
        <v/>
      </c>
      <c r="M481">
        <f>IF([2]Entry!$G$484="","",[2]Entry!$G$484)</f>
        <v/>
      </c>
      <c r="N481">
        <f>IF([2]Entry!$M$484="","",[2]Entry!$M$484)</f>
        <v/>
      </c>
      <c r="O481">
        <f>IF([2]Entry!$N$484="","",[2]Entry!$N$484)</f>
        <v/>
      </c>
      <c r="P481">
        <f>IF([2]Entry!$R$484="","",[2]Entry!$R$484)</f>
        <v/>
      </c>
    </row>
    <row r="482">
      <c r="A482">
        <f>IF([1]Accounts!$D$483="","",[1]Accounts!$A$483)</f>
        <v/>
      </c>
      <c r="B482">
        <f>IF([1]Accounts!$D$483="","",[1]Accounts!$B$483)</f>
        <v/>
      </c>
      <c r="C482">
        <f>IF([1]Accounts!$D$483="","",[1]Accounts!$C$483)</f>
        <v/>
      </c>
      <c r="D482">
        <f>IF([1]Accounts!$D$483="","",[1]Accounts!$D$483)</f>
        <v/>
      </c>
      <c r="E482">
        <f>IF([1]Accounts!$D$483="","",[1]Accounts!$J$483)</f>
        <v/>
      </c>
      <c r="F482">
        <f>IF([1]Accounts!$D$483="","",[1]Accounts!$K$483)</f>
        <v/>
      </c>
      <c r="J482">
        <f>IF([2]Entry!$C$485="","",[2]Entry!$C$485)</f>
        <v/>
      </c>
      <c r="K482">
        <f>IF([2]Entry!$D$485="","",[2]Entry!$D$485)</f>
        <v/>
      </c>
      <c r="L482">
        <f>IF([2]Entry!$E$485="","",[2]Entry!$E$485)</f>
        <v/>
      </c>
      <c r="M482">
        <f>IF([2]Entry!$G$485="","",[2]Entry!$G$485)</f>
        <v/>
      </c>
      <c r="N482">
        <f>IF([2]Entry!$M$485="","",[2]Entry!$M$485)</f>
        <v/>
      </c>
      <c r="O482">
        <f>IF([2]Entry!$N$485="","",[2]Entry!$N$485)</f>
        <v/>
      </c>
      <c r="P482">
        <f>IF([2]Entry!$R$485="","",[2]Entry!$R$485)</f>
        <v/>
      </c>
    </row>
    <row r="483">
      <c r="A483">
        <f>IF([1]Accounts!$D$484="","",[1]Accounts!$A$484)</f>
        <v/>
      </c>
      <c r="B483">
        <f>IF([1]Accounts!$D$484="","",[1]Accounts!$B$484)</f>
        <v/>
      </c>
      <c r="C483">
        <f>IF([1]Accounts!$D$484="","",[1]Accounts!$C$484)</f>
        <v/>
      </c>
      <c r="D483">
        <f>IF([1]Accounts!$D$484="","",[1]Accounts!$D$484)</f>
        <v/>
      </c>
      <c r="E483">
        <f>IF([1]Accounts!$D$484="","",[1]Accounts!$J$484)</f>
        <v/>
      </c>
      <c r="F483">
        <f>IF([1]Accounts!$D$484="","",[1]Accounts!$K$484)</f>
        <v/>
      </c>
      <c r="J483">
        <f>IF([2]Entry!$C$486="","",[2]Entry!$C$486)</f>
        <v/>
      </c>
      <c r="K483">
        <f>IF([2]Entry!$D$486="","",[2]Entry!$D$486)</f>
        <v/>
      </c>
      <c r="L483">
        <f>IF([2]Entry!$E$486="","",[2]Entry!$E$486)</f>
        <v/>
      </c>
      <c r="M483">
        <f>IF([2]Entry!$G$486="","",[2]Entry!$G$486)</f>
        <v/>
      </c>
      <c r="N483">
        <f>IF([2]Entry!$M$486="","",[2]Entry!$M$486)</f>
        <v/>
      </c>
      <c r="O483">
        <f>IF([2]Entry!$N$486="","",[2]Entry!$N$486)</f>
        <v/>
      </c>
      <c r="P483">
        <f>IF([2]Entry!$R$486="","",[2]Entry!$R$486)</f>
        <v/>
      </c>
    </row>
    <row r="484">
      <c r="A484">
        <f>IF([1]Accounts!$D$485="","",[1]Accounts!$A$485)</f>
        <v/>
      </c>
      <c r="B484">
        <f>IF([1]Accounts!$D$485="","",[1]Accounts!$B$485)</f>
        <v/>
      </c>
      <c r="C484">
        <f>IF([1]Accounts!$D$485="","",[1]Accounts!$C$485)</f>
        <v/>
      </c>
      <c r="D484">
        <f>IF([1]Accounts!$D$485="","",[1]Accounts!$D$485)</f>
        <v/>
      </c>
      <c r="E484">
        <f>IF([1]Accounts!$D$485="","",[1]Accounts!$J$485)</f>
        <v/>
      </c>
      <c r="F484">
        <f>IF([1]Accounts!$D$485="","",[1]Accounts!$K$485)</f>
        <v/>
      </c>
      <c r="J484">
        <f>IF([2]Entry!$C$487="","",[2]Entry!$C$487)</f>
        <v/>
      </c>
      <c r="K484">
        <f>IF([2]Entry!$D$487="","",[2]Entry!$D$487)</f>
        <v/>
      </c>
      <c r="L484">
        <f>IF([2]Entry!$E$487="","",[2]Entry!$E$487)</f>
        <v/>
      </c>
      <c r="M484">
        <f>IF([2]Entry!$G$487="","",[2]Entry!$G$487)</f>
        <v/>
      </c>
      <c r="N484">
        <f>IF([2]Entry!$M$487="","",[2]Entry!$M$487)</f>
        <v/>
      </c>
      <c r="O484">
        <f>IF([2]Entry!$N$487="","",[2]Entry!$N$487)</f>
        <v/>
      </c>
      <c r="P484">
        <f>IF([2]Entry!$R$487="","",[2]Entry!$R$487)</f>
        <v/>
      </c>
    </row>
    <row r="485">
      <c r="A485">
        <f>IF([1]Accounts!$D$486="","",[1]Accounts!$A$486)</f>
        <v/>
      </c>
      <c r="B485">
        <f>IF([1]Accounts!$D$486="","",[1]Accounts!$B$486)</f>
        <v/>
      </c>
      <c r="C485">
        <f>IF([1]Accounts!$D$486="","",[1]Accounts!$C$486)</f>
        <v/>
      </c>
      <c r="D485">
        <f>IF([1]Accounts!$D$486="","",[1]Accounts!$D$486)</f>
        <v/>
      </c>
      <c r="E485">
        <f>IF([1]Accounts!$D$486="","",[1]Accounts!$J$486)</f>
        <v/>
      </c>
      <c r="F485">
        <f>IF([1]Accounts!$D$486="","",[1]Accounts!$K$486)</f>
        <v/>
      </c>
      <c r="J485">
        <f>IF([2]Entry!$C$488="","",[2]Entry!$C$488)</f>
        <v/>
      </c>
      <c r="K485">
        <f>IF([2]Entry!$D$488="","",[2]Entry!$D$488)</f>
        <v/>
      </c>
      <c r="L485">
        <f>IF([2]Entry!$E$488="","",[2]Entry!$E$488)</f>
        <v/>
      </c>
      <c r="M485">
        <f>IF([2]Entry!$G$488="","",[2]Entry!$G$488)</f>
        <v/>
      </c>
      <c r="N485">
        <f>IF([2]Entry!$M$488="","",[2]Entry!$M$488)</f>
        <v/>
      </c>
      <c r="O485">
        <f>IF([2]Entry!$N$488="","",[2]Entry!$N$488)</f>
        <v/>
      </c>
      <c r="P485">
        <f>IF([2]Entry!$R$488="","",[2]Entry!$R$488)</f>
        <v/>
      </c>
    </row>
    <row r="486">
      <c r="A486">
        <f>IF([1]Accounts!$D$487="","",[1]Accounts!$A$487)</f>
        <v/>
      </c>
      <c r="B486">
        <f>IF([1]Accounts!$D$487="","",[1]Accounts!$B$487)</f>
        <v/>
      </c>
      <c r="C486">
        <f>IF([1]Accounts!$D$487="","",[1]Accounts!$C$487)</f>
        <v/>
      </c>
      <c r="D486">
        <f>IF([1]Accounts!$D$487="","",[1]Accounts!$D$487)</f>
        <v/>
      </c>
      <c r="E486">
        <f>IF([1]Accounts!$D$487="","",[1]Accounts!$J$487)</f>
        <v/>
      </c>
      <c r="F486">
        <f>IF([1]Accounts!$D$487="","",[1]Accounts!$K$487)</f>
        <v/>
      </c>
      <c r="J486">
        <f>IF([2]Entry!$C$489="","",[2]Entry!$C$489)</f>
        <v/>
      </c>
      <c r="K486">
        <f>IF([2]Entry!$D$489="","",[2]Entry!$D$489)</f>
        <v/>
      </c>
      <c r="L486">
        <f>IF([2]Entry!$E$489="","",[2]Entry!$E$489)</f>
        <v/>
      </c>
      <c r="M486">
        <f>IF([2]Entry!$G$489="","",[2]Entry!$G$489)</f>
        <v/>
      </c>
      <c r="N486">
        <f>IF([2]Entry!$M$489="","",[2]Entry!$M$489)</f>
        <v/>
      </c>
      <c r="O486">
        <f>IF([2]Entry!$N$489="","",[2]Entry!$N$489)</f>
        <v/>
      </c>
      <c r="P486">
        <f>IF([2]Entry!$R$489="","",[2]Entry!$R$489)</f>
        <v/>
      </c>
    </row>
    <row r="487">
      <c r="A487">
        <f>IF([1]Accounts!$D$488="","",[1]Accounts!$A$488)</f>
        <v/>
      </c>
      <c r="B487">
        <f>IF([1]Accounts!$D$488="","",[1]Accounts!$B$488)</f>
        <v/>
      </c>
      <c r="C487">
        <f>IF([1]Accounts!$D$488="","",[1]Accounts!$C$488)</f>
        <v/>
      </c>
      <c r="D487">
        <f>IF([1]Accounts!$D$488="","",[1]Accounts!$D$488)</f>
        <v/>
      </c>
      <c r="E487">
        <f>IF([1]Accounts!$D$488="","",[1]Accounts!$J$488)</f>
        <v/>
      </c>
      <c r="F487">
        <f>IF([1]Accounts!$D$488="","",[1]Accounts!$K$488)</f>
        <v/>
      </c>
      <c r="J487">
        <f>IF([2]Entry!$C$490="","",[2]Entry!$C$490)</f>
        <v/>
      </c>
      <c r="K487">
        <f>IF([2]Entry!$D$490="","",[2]Entry!$D$490)</f>
        <v/>
      </c>
      <c r="L487">
        <f>IF([2]Entry!$E$490="","",[2]Entry!$E$490)</f>
        <v/>
      </c>
      <c r="M487">
        <f>IF([2]Entry!$G$490="","",[2]Entry!$G$490)</f>
        <v/>
      </c>
      <c r="N487">
        <f>IF([2]Entry!$M$490="","",[2]Entry!$M$490)</f>
        <v/>
      </c>
      <c r="O487">
        <f>IF([2]Entry!$N$490="","",[2]Entry!$N$490)</f>
        <v/>
      </c>
      <c r="P487">
        <f>IF([2]Entry!$R$490="","",[2]Entry!$R$490)</f>
        <v/>
      </c>
    </row>
    <row r="488">
      <c r="A488">
        <f>IF([1]Accounts!$D$489="","",[1]Accounts!$A$489)</f>
        <v/>
      </c>
      <c r="B488">
        <f>IF([1]Accounts!$D$489="","",[1]Accounts!$B$489)</f>
        <v/>
      </c>
      <c r="C488">
        <f>IF([1]Accounts!$D$489="","",[1]Accounts!$C$489)</f>
        <v/>
      </c>
      <c r="D488">
        <f>IF([1]Accounts!$D$489="","",[1]Accounts!$D$489)</f>
        <v/>
      </c>
      <c r="E488">
        <f>IF([1]Accounts!$D$489="","",[1]Accounts!$J$489)</f>
        <v/>
      </c>
      <c r="F488">
        <f>IF([1]Accounts!$D$489="","",[1]Accounts!$K$489)</f>
        <v/>
      </c>
      <c r="J488">
        <f>IF([2]Entry!$C$491="","",[2]Entry!$C$491)</f>
        <v/>
      </c>
      <c r="K488">
        <f>IF([2]Entry!$D$491="","",[2]Entry!$D$491)</f>
        <v/>
      </c>
      <c r="L488">
        <f>IF([2]Entry!$E$491="","",[2]Entry!$E$491)</f>
        <v/>
      </c>
      <c r="M488">
        <f>IF([2]Entry!$G$491="","",[2]Entry!$G$491)</f>
        <v/>
      </c>
      <c r="N488">
        <f>IF([2]Entry!$M$491="","",[2]Entry!$M$491)</f>
        <v/>
      </c>
      <c r="O488">
        <f>IF([2]Entry!$N$491="","",[2]Entry!$N$491)</f>
        <v/>
      </c>
      <c r="P488">
        <f>IF([2]Entry!$R$491="","",[2]Entry!$R$491)</f>
        <v/>
      </c>
    </row>
    <row r="489">
      <c r="A489">
        <f>IF([1]Accounts!$D$490="","",[1]Accounts!$A$490)</f>
        <v/>
      </c>
      <c r="B489">
        <f>IF([1]Accounts!$D$490="","",[1]Accounts!$B$490)</f>
        <v/>
      </c>
      <c r="C489">
        <f>IF([1]Accounts!$D$490="","",[1]Accounts!$C$490)</f>
        <v/>
      </c>
      <c r="D489">
        <f>IF([1]Accounts!$D$490="","",[1]Accounts!$D$490)</f>
        <v/>
      </c>
      <c r="E489">
        <f>IF([1]Accounts!$D$490="","",[1]Accounts!$J$490)</f>
        <v/>
      </c>
      <c r="F489">
        <f>IF([1]Accounts!$D$490="","",[1]Accounts!$K$490)</f>
        <v/>
      </c>
      <c r="J489">
        <f>IF([2]Entry!$C$492="","",[2]Entry!$C$492)</f>
        <v/>
      </c>
      <c r="K489">
        <f>IF([2]Entry!$D$492="","",[2]Entry!$D$492)</f>
        <v/>
      </c>
      <c r="L489">
        <f>IF([2]Entry!$E$492="","",[2]Entry!$E$492)</f>
        <v/>
      </c>
      <c r="M489">
        <f>IF([2]Entry!$G$492="","",[2]Entry!$G$492)</f>
        <v/>
      </c>
      <c r="N489">
        <f>IF([2]Entry!$M$492="","",[2]Entry!$M$492)</f>
        <v/>
      </c>
      <c r="O489">
        <f>IF([2]Entry!$N$492="","",[2]Entry!$N$492)</f>
        <v/>
      </c>
      <c r="P489">
        <f>IF([2]Entry!$R$492="","",[2]Entry!$R$492)</f>
        <v/>
      </c>
    </row>
    <row r="490">
      <c r="A490">
        <f>IF([1]Accounts!$D$491="","",[1]Accounts!$A$491)</f>
        <v/>
      </c>
      <c r="B490">
        <f>IF([1]Accounts!$D$491="","",[1]Accounts!$B$491)</f>
        <v/>
      </c>
      <c r="C490">
        <f>IF([1]Accounts!$D$491="","",[1]Accounts!$C$491)</f>
        <v/>
      </c>
      <c r="D490">
        <f>IF([1]Accounts!$D$491="","",[1]Accounts!$D$491)</f>
        <v/>
      </c>
      <c r="E490">
        <f>IF([1]Accounts!$D$491="","",[1]Accounts!$J$491)</f>
        <v/>
      </c>
      <c r="F490">
        <f>IF([1]Accounts!$D$491="","",[1]Accounts!$K$491)</f>
        <v/>
      </c>
      <c r="J490">
        <f>IF([2]Entry!$C$493="","",[2]Entry!$C$493)</f>
        <v/>
      </c>
      <c r="K490">
        <f>IF([2]Entry!$D$493="","",[2]Entry!$D$493)</f>
        <v/>
      </c>
      <c r="L490">
        <f>IF([2]Entry!$E$493="","",[2]Entry!$E$493)</f>
        <v/>
      </c>
      <c r="M490">
        <f>IF([2]Entry!$G$493="","",[2]Entry!$G$493)</f>
        <v/>
      </c>
      <c r="N490">
        <f>IF([2]Entry!$M$493="","",[2]Entry!$M$493)</f>
        <v/>
      </c>
      <c r="O490">
        <f>IF([2]Entry!$N$493="","",[2]Entry!$N$493)</f>
        <v/>
      </c>
      <c r="P490">
        <f>IF([2]Entry!$R$493="","",[2]Entry!$R$493)</f>
        <v/>
      </c>
    </row>
    <row r="491">
      <c r="A491">
        <f>IF([1]Accounts!$D$492="","",[1]Accounts!$A$492)</f>
        <v/>
      </c>
      <c r="B491">
        <f>IF([1]Accounts!$D$492="","",[1]Accounts!$B$492)</f>
        <v/>
      </c>
      <c r="C491">
        <f>IF([1]Accounts!$D$492="","",[1]Accounts!$C$492)</f>
        <v/>
      </c>
      <c r="D491">
        <f>IF([1]Accounts!$D$492="","",[1]Accounts!$D$492)</f>
        <v/>
      </c>
      <c r="E491">
        <f>IF([1]Accounts!$D$492="","",[1]Accounts!$J$492)</f>
        <v/>
      </c>
      <c r="F491">
        <f>IF([1]Accounts!$D$492="","",[1]Accounts!$K$492)</f>
        <v/>
      </c>
      <c r="J491">
        <f>IF([2]Entry!$C$494="","",[2]Entry!$C$494)</f>
        <v/>
      </c>
      <c r="K491">
        <f>IF([2]Entry!$D$494="","",[2]Entry!$D$494)</f>
        <v/>
      </c>
      <c r="L491">
        <f>IF([2]Entry!$E$494="","",[2]Entry!$E$494)</f>
        <v/>
      </c>
      <c r="M491">
        <f>IF([2]Entry!$G$494="","",[2]Entry!$G$494)</f>
        <v/>
      </c>
      <c r="N491">
        <f>IF([2]Entry!$M$494="","",[2]Entry!$M$494)</f>
        <v/>
      </c>
      <c r="O491">
        <f>IF([2]Entry!$N$494="","",[2]Entry!$N$494)</f>
        <v/>
      </c>
      <c r="P491">
        <f>IF([2]Entry!$R$494="","",[2]Entry!$R$494)</f>
        <v/>
      </c>
    </row>
    <row r="492">
      <c r="A492">
        <f>IF([1]Accounts!$D$493="","",[1]Accounts!$A$493)</f>
        <v/>
      </c>
      <c r="B492">
        <f>IF([1]Accounts!$D$493="","",[1]Accounts!$B$493)</f>
        <v/>
      </c>
      <c r="C492">
        <f>IF([1]Accounts!$D$493="","",[1]Accounts!$C$493)</f>
        <v/>
      </c>
      <c r="D492">
        <f>IF([1]Accounts!$D$493="","",[1]Accounts!$D$493)</f>
        <v/>
      </c>
      <c r="E492">
        <f>IF([1]Accounts!$D$493="","",[1]Accounts!$J$493)</f>
        <v/>
      </c>
      <c r="F492">
        <f>IF([1]Accounts!$D$493="","",[1]Accounts!$K$493)</f>
        <v/>
      </c>
      <c r="J492">
        <f>IF([2]Entry!$C$495="","",[2]Entry!$C$495)</f>
        <v/>
      </c>
      <c r="K492">
        <f>IF([2]Entry!$D$495="","",[2]Entry!$D$495)</f>
        <v/>
      </c>
      <c r="L492">
        <f>IF([2]Entry!$E$495="","",[2]Entry!$E$495)</f>
        <v/>
      </c>
      <c r="M492">
        <f>IF([2]Entry!$G$495="","",[2]Entry!$G$495)</f>
        <v/>
      </c>
      <c r="N492">
        <f>IF([2]Entry!$M$495="","",[2]Entry!$M$495)</f>
        <v/>
      </c>
      <c r="O492">
        <f>IF([2]Entry!$N$495="","",[2]Entry!$N$495)</f>
        <v/>
      </c>
      <c r="P492">
        <f>IF([2]Entry!$R$495="","",[2]Entry!$R$495)</f>
        <v/>
      </c>
    </row>
    <row r="493">
      <c r="A493">
        <f>IF([1]Accounts!$D$494="","",[1]Accounts!$A$494)</f>
        <v/>
      </c>
      <c r="B493">
        <f>IF([1]Accounts!$D$494="","",[1]Accounts!$B$494)</f>
        <v/>
      </c>
      <c r="C493">
        <f>IF([1]Accounts!$D$494="","",[1]Accounts!$C$494)</f>
        <v/>
      </c>
      <c r="D493">
        <f>IF([1]Accounts!$D$494="","",[1]Accounts!$D$494)</f>
        <v/>
      </c>
      <c r="E493">
        <f>IF([1]Accounts!$D$494="","",[1]Accounts!$J$494)</f>
        <v/>
      </c>
      <c r="F493">
        <f>IF([1]Accounts!$D$494="","",[1]Accounts!$K$494)</f>
        <v/>
      </c>
      <c r="J493">
        <f>IF([2]Entry!$C$496="","",[2]Entry!$C$496)</f>
        <v/>
      </c>
      <c r="K493">
        <f>IF([2]Entry!$D$496="","",[2]Entry!$D$496)</f>
        <v/>
      </c>
      <c r="L493">
        <f>IF([2]Entry!$E$496="","",[2]Entry!$E$496)</f>
        <v/>
      </c>
      <c r="M493">
        <f>IF([2]Entry!$G$496="","",[2]Entry!$G$496)</f>
        <v/>
      </c>
      <c r="N493">
        <f>IF([2]Entry!$M$496="","",[2]Entry!$M$496)</f>
        <v/>
      </c>
      <c r="O493">
        <f>IF([2]Entry!$N$496="","",[2]Entry!$N$496)</f>
        <v/>
      </c>
      <c r="P493">
        <f>IF([2]Entry!$R$496="","",[2]Entry!$R$496)</f>
        <v/>
      </c>
    </row>
    <row r="494">
      <c r="A494">
        <f>IF([1]Accounts!$D$495="","",[1]Accounts!$A$495)</f>
        <v/>
      </c>
      <c r="B494">
        <f>IF([1]Accounts!$D$495="","",[1]Accounts!$B$495)</f>
        <v/>
      </c>
      <c r="C494">
        <f>IF([1]Accounts!$D$495="","",[1]Accounts!$C$495)</f>
        <v/>
      </c>
      <c r="D494">
        <f>IF([1]Accounts!$D$495="","",[1]Accounts!$D$495)</f>
        <v/>
      </c>
      <c r="E494">
        <f>IF([1]Accounts!$D$495="","",[1]Accounts!$J$495)</f>
        <v/>
      </c>
      <c r="F494">
        <f>IF([1]Accounts!$D$495="","",[1]Accounts!$K$495)</f>
        <v/>
      </c>
      <c r="J494">
        <f>IF([2]Entry!$C$497="","",[2]Entry!$C$497)</f>
        <v/>
      </c>
      <c r="K494">
        <f>IF([2]Entry!$D$497="","",[2]Entry!$D$497)</f>
        <v/>
      </c>
      <c r="L494">
        <f>IF([2]Entry!$E$497="","",[2]Entry!$E$497)</f>
        <v/>
      </c>
      <c r="M494">
        <f>IF([2]Entry!$G$497="","",[2]Entry!$G$497)</f>
        <v/>
      </c>
      <c r="N494">
        <f>IF([2]Entry!$M$497="","",[2]Entry!$M$497)</f>
        <v/>
      </c>
      <c r="O494">
        <f>IF([2]Entry!$N$497="","",[2]Entry!$N$497)</f>
        <v/>
      </c>
      <c r="P494">
        <f>IF([2]Entry!$R$497="","",[2]Entry!$R$497)</f>
        <v/>
      </c>
    </row>
    <row r="495">
      <c r="A495">
        <f>IF([1]Accounts!$D$496="","",[1]Accounts!$A$496)</f>
        <v/>
      </c>
      <c r="B495">
        <f>IF([1]Accounts!$D$496="","",[1]Accounts!$B$496)</f>
        <v/>
      </c>
      <c r="C495">
        <f>IF([1]Accounts!$D$496="","",[1]Accounts!$C$496)</f>
        <v/>
      </c>
      <c r="D495">
        <f>IF([1]Accounts!$D$496="","",[1]Accounts!$D$496)</f>
        <v/>
      </c>
      <c r="E495">
        <f>IF([1]Accounts!$D$496="","",[1]Accounts!$J$496)</f>
        <v/>
      </c>
      <c r="F495">
        <f>IF([1]Accounts!$D$496="","",[1]Accounts!$K$496)</f>
        <v/>
      </c>
      <c r="J495">
        <f>IF([2]Entry!$C$498="","",[2]Entry!$C$498)</f>
        <v/>
      </c>
      <c r="K495">
        <f>IF([2]Entry!$D$498="","",[2]Entry!$D$498)</f>
        <v/>
      </c>
      <c r="L495">
        <f>IF([2]Entry!$E$498="","",[2]Entry!$E$498)</f>
        <v/>
      </c>
      <c r="M495">
        <f>IF([2]Entry!$G$498="","",[2]Entry!$G$498)</f>
        <v/>
      </c>
      <c r="N495">
        <f>IF([2]Entry!$M$498="","",[2]Entry!$M$498)</f>
        <v/>
      </c>
      <c r="O495">
        <f>IF([2]Entry!$N$498="","",[2]Entry!$N$498)</f>
        <v/>
      </c>
      <c r="P495">
        <f>IF([2]Entry!$R$498="","",[2]Entry!$R$498)</f>
        <v/>
      </c>
    </row>
    <row r="496">
      <c r="A496">
        <f>IF([1]Accounts!$D$497="","",[1]Accounts!$A$497)</f>
        <v/>
      </c>
      <c r="B496">
        <f>IF([1]Accounts!$D$497="","",[1]Accounts!$B$497)</f>
        <v/>
      </c>
      <c r="C496">
        <f>IF([1]Accounts!$D$497="","",[1]Accounts!$C$497)</f>
        <v/>
      </c>
      <c r="D496">
        <f>IF([1]Accounts!$D$497="","",[1]Accounts!$D$497)</f>
        <v/>
      </c>
      <c r="E496">
        <f>IF([1]Accounts!$D$497="","",[1]Accounts!$J$497)</f>
        <v/>
      </c>
      <c r="F496">
        <f>IF([1]Accounts!$D$497="","",[1]Accounts!$K$497)</f>
        <v/>
      </c>
      <c r="J496">
        <f>IF([2]Entry!$C$499="","",[2]Entry!$C$499)</f>
        <v/>
      </c>
      <c r="K496">
        <f>IF([2]Entry!$D$499="","",[2]Entry!$D$499)</f>
        <v/>
      </c>
      <c r="L496">
        <f>IF([2]Entry!$E$499="","",[2]Entry!$E$499)</f>
        <v/>
      </c>
      <c r="M496">
        <f>IF([2]Entry!$G$499="","",[2]Entry!$G$499)</f>
        <v/>
      </c>
      <c r="N496">
        <f>IF([2]Entry!$M$499="","",[2]Entry!$M$499)</f>
        <v/>
      </c>
      <c r="O496">
        <f>IF([2]Entry!$N$499="","",[2]Entry!$N$499)</f>
        <v/>
      </c>
      <c r="P496">
        <f>IF([2]Entry!$R$499="","",[2]Entry!$R$499)</f>
        <v/>
      </c>
    </row>
    <row r="497">
      <c r="A497">
        <f>IF([1]Accounts!$D$498="","",[1]Accounts!$A$498)</f>
        <v/>
      </c>
      <c r="B497">
        <f>IF([1]Accounts!$D$498="","",[1]Accounts!$B$498)</f>
        <v/>
      </c>
      <c r="C497">
        <f>IF([1]Accounts!$D$498="","",[1]Accounts!$C$498)</f>
        <v/>
      </c>
      <c r="D497">
        <f>IF([1]Accounts!$D$498="","",[1]Accounts!$D$498)</f>
        <v/>
      </c>
      <c r="E497">
        <f>IF([1]Accounts!$D$498="","",[1]Accounts!$J$498)</f>
        <v/>
      </c>
      <c r="F497">
        <f>IF([1]Accounts!$D$498="","",[1]Accounts!$K$498)</f>
        <v/>
      </c>
      <c r="J497">
        <f>IF([2]Entry!$C$500="","",[2]Entry!$C$500)</f>
        <v/>
      </c>
      <c r="K497">
        <f>IF([2]Entry!$D$500="","",[2]Entry!$D$500)</f>
        <v/>
      </c>
      <c r="L497">
        <f>IF([2]Entry!$E$500="","",[2]Entry!$E$500)</f>
        <v/>
      </c>
      <c r="M497">
        <f>IF([2]Entry!$G$500="","",[2]Entry!$G$500)</f>
        <v/>
      </c>
      <c r="N497">
        <f>IF([2]Entry!$M$500="","",[2]Entry!$M$500)</f>
        <v/>
      </c>
      <c r="O497">
        <f>IF([2]Entry!$N$500="","",[2]Entry!$N$500)</f>
        <v/>
      </c>
      <c r="P497">
        <f>IF([2]Entry!$R$500="","",[2]Entry!$R$500)</f>
        <v/>
      </c>
    </row>
    <row r="498">
      <c r="A498">
        <f>IF([1]Accounts!$D$499="","",[1]Accounts!$A$499)</f>
        <v/>
      </c>
      <c r="B498">
        <f>IF([1]Accounts!$D$499="","",[1]Accounts!$B$499)</f>
        <v/>
      </c>
      <c r="C498">
        <f>IF([1]Accounts!$D$499="","",[1]Accounts!$C$499)</f>
        <v/>
      </c>
      <c r="D498">
        <f>IF([1]Accounts!$D$499="","",[1]Accounts!$D$499)</f>
        <v/>
      </c>
      <c r="E498">
        <f>IF([1]Accounts!$D$499="","",[1]Accounts!$J$499)</f>
        <v/>
      </c>
      <c r="F498">
        <f>IF([1]Accounts!$D$499="","",[1]Accounts!$K$499)</f>
        <v/>
      </c>
      <c r="J498">
        <f>IF([2]Entry!$C$501="","",[2]Entry!$C$501)</f>
        <v/>
      </c>
      <c r="K498">
        <f>IF([2]Entry!$D$501="","",[2]Entry!$D$501)</f>
        <v/>
      </c>
      <c r="L498">
        <f>IF([2]Entry!$E$501="","",[2]Entry!$E$501)</f>
        <v/>
      </c>
      <c r="M498">
        <f>IF([2]Entry!$G$501="","",[2]Entry!$G$501)</f>
        <v/>
      </c>
      <c r="N498">
        <f>IF([2]Entry!$M$501="","",[2]Entry!$M$501)</f>
        <v/>
      </c>
      <c r="O498">
        <f>IF([2]Entry!$N$501="","",[2]Entry!$N$501)</f>
        <v/>
      </c>
      <c r="P498">
        <f>IF([2]Entry!$R$501="","",[2]Entry!$R$501)</f>
        <v/>
      </c>
    </row>
    <row r="499">
      <c r="A499">
        <f>IF([1]Accounts!$D$500="","",[1]Accounts!$A$500)</f>
        <v/>
      </c>
      <c r="B499">
        <f>IF([1]Accounts!$D$500="","",[1]Accounts!$B$500)</f>
        <v/>
      </c>
      <c r="C499">
        <f>IF([1]Accounts!$D$500="","",[1]Accounts!$C$500)</f>
        <v/>
      </c>
      <c r="D499">
        <f>IF([1]Accounts!$D$500="","",[1]Accounts!$D$500)</f>
        <v/>
      </c>
      <c r="E499">
        <f>IF([1]Accounts!$D$500="","",[1]Accounts!$J$500)</f>
        <v/>
      </c>
      <c r="F499">
        <f>IF([1]Accounts!$D$500="","",[1]Accounts!$K$500)</f>
        <v/>
      </c>
      <c r="J499">
        <f>IF([2]Entry!$C$502="","",[2]Entry!$C$502)</f>
        <v/>
      </c>
      <c r="K499">
        <f>IF([2]Entry!$D$502="","",[2]Entry!$D$502)</f>
        <v/>
      </c>
      <c r="L499">
        <f>IF([2]Entry!$E$502="","",[2]Entry!$E$502)</f>
        <v/>
      </c>
      <c r="M499">
        <f>IF([2]Entry!$G$502="","",[2]Entry!$G$502)</f>
        <v/>
      </c>
      <c r="N499">
        <f>IF([2]Entry!$M$502="","",[2]Entry!$M$502)</f>
        <v/>
      </c>
      <c r="O499">
        <f>IF([2]Entry!$N$502="","",[2]Entry!$N$502)</f>
        <v/>
      </c>
      <c r="P499">
        <f>IF([2]Entry!$R$502="","",[2]Entry!$R$502)</f>
        <v/>
      </c>
    </row>
    <row r="500">
      <c r="A500">
        <f>IF([1]Accounts!$D$501="","",[1]Accounts!$A$501)</f>
        <v/>
      </c>
      <c r="B500">
        <f>IF([1]Accounts!$D$501="","",[1]Accounts!$B$501)</f>
        <v/>
      </c>
      <c r="C500">
        <f>IF([1]Accounts!$D$501="","",[1]Accounts!$C$501)</f>
        <v/>
      </c>
      <c r="D500">
        <f>IF([1]Accounts!$D$501="","",[1]Accounts!$D$501)</f>
        <v/>
      </c>
      <c r="E500">
        <f>IF([1]Accounts!$D$501="","",[1]Accounts!$J$501)</f>
        <v/>
      </c>
      <c r="F500">
        <f>IF([1]Accounts!$D$501="","",[1]Accounts!$K$501)</f>
        <v/>
      </c>
      <c r="J500">
        <f>IF([2]Entry!$C$503="","",[2]Entry!$C$503)</f>
        <v/>
      </c>
      <c r="K500">
        <f>IF([2]Entry!$D$503="","",[2]Entry!$D$503)</f>
        <v/>
      </c>
      <c r="L500">
        <f>IF([2]Entry!$E$503="","",[2]Entry!$E$503)</f>
        <v/>
      </c>
      <c r="M500">
        <f>IF([2]Entry!$G$503="","",[2]Entry!$G$503)</f>
        <v/>
      </c>
      <c r="N500">
        <f>IF([2]Entry!$M$503="","",[2]Entry!$M$503)</f>
        <v/>
      </c>
      <c r="O500">
        <f>IF([2]Entry!$N$503="","",[2]Entry!$N$503)</f>
        <v/>
      </c>
      <c r="P500">
        <f>IF([2]Entry!$R$503="","",[2]Entry!$R$503)</f>
        <v/>
      </c>
    </row>
    <row r="501">
      <c r="A501">
        <f>IF([1]Accounts!$D$502="","",[1]Accounts!$A$502)</f>
        <v/>
      </c>
      <c r="B501">
        <f>IF([1]Accounts!$D$502="","",[1]Accounts!$B$502)</f>
        <v/>
      </c>
      <c r="C501">
        <f>IF([1]Accounts!$D$502="","",[1]Accounts!$C$502)</f>
        <v/>
      </c>
      <c r="D501">
        <f>IF([1]Accounts!$D$502="","",[1]Accounts!$D$502)</f>
        <v/>
      </c>
      <c r="E501">
        <f>IF([1]Accounts!$D$502="","",[1]Accounts!$J$502)</f>
        <v/>
      </c>
      <c r="F501">
        <f>IF([1]Accounts!$D$502="","",[1]Accounts!$K$502)</f>
        <v/>
      </c>
      <c r="J501">
        <f>IF([2]Entry!$C$504="","",[2]Entry!$C$504)</f>
        <v/>
      </c>
      <c r="K501">
        <f>IF([2]Entry!$D$504="","",[2]Entry!$D$504)</f>
        <v/>
      </c>
      <c r="L501">
        <f>IF([2]Entry!$E$504="","",[2]Entry!$E$504)</f>
        <v/>
      </c>
      <c r="M501">
        <f>IF([2]Entry!$G$504="","",[2]Entry!$G$504)</f>
        <v/>
      </c>
      <c r="N501">
        <f>IF([2]Entry!$M$504="","",[2]Entry!$M$504)</f>
        <v/>
      </c>
      <c r="O501">
        <f>IF([2]Entry!$N$504="","",[2]Entry!$N$504)</f>
        <v/>
      </c>
      <c r="P501">
        <f>IF([2]Entry!$R$504="","",[2]Entry!$R$504)</f>
        <v/>
      </c>
    </row>
    <row r="502">
      <c r="A502">
        <f>IF([1]Accounts!$D$503="","",[1]Accounts!$A$503)</f>
        <v/>
      </c>
      <c r="B502">
        <f>IF([1]Accounts!$D$503="","",[1]Accounts!$B$503)</f>
        <v/>
      </c>
      <c r="C502">
        <f>IF([1]Accounts!$D$503="","",[1]Accounts!$C$503)</f>
        <v/>
      </c>
      <c r="D502">
        <f>IF([1]Accounts!$D$503="","",[1]Accounts!$D$503)</f>
        <v/>
      </c>
      <c r="E502">
        <f>IF([1]Accounts!$D$503="","",[1]Accounts!$J$503)</f>
        <v/>
      </c>
      <c r="F502">
        <f>IF([1]Accounts!$D$503="","",[1]Accounts!$K$503)</f>
        <v/>
      </c>
      <c r="J502">
        <f>IF([2]Entry!$C$505="","",[2]Entry!$C$505)</f>
        <v/>
      </c>
      <c r="K502">
        <f>IF([2]Entry!$D$505="","",[2]Entry!$D$505)</f>
        <v/>
      </c>
      <c r="L502">
        <f>IF([2]Entry!$E$505="","",[2]Entry!$E$505)</f>
        <v/>
      </c>
      <c r="M502">
        <f>IF([2]Entry!$G$505="","",[2]Entry!$G$505)</f>
        <v/>
      </c>
      <c r="N502">
        <f>IF([2]Entry!$M$505="","",[2]Entry!$M$505)</f>
        <v/>
      </c>
      <c r="O502">
        <f>IF([2]Entry!$N$505="","",[2]Entry!$N$505)</f>
        <v/>
      </c>
      <c r="P502">
        <f>IF([2]Entry!$R$505="","",[2]Entry!$R$505)</f>
        <v/>
      </c>
    </row>
    <row r="503">
      <c r="A503">
        <f>IF([1]Accounts!$D$504="","",[1]Accounts!$A$504)</f>
        <v/>
      </c>
      <c r="B503">
        <f>IF([1]Accounts!$D$504="","",[1]Accounts!$B$504)</f>
        <v/>
      </c>
      <c r="C503">
        <f>IF([1]Accounts!$D$504="","",[1]Accounts!$C$504)</f>
        <v/>
      </c>
      <c r="D503">
        <f>IF([1]Accounts!$D$504="","",[1]Accounts!$D$504)</f>
        <v/>
      </c>
      <c r="E503">
        <f>IF([1]Accounts!$D$504="","",[1]Accounts!$J$504)</f>
        <v/>
      </c>
      <c r="F503">
        <f>IF([1]Accounts!$D$504="","",[1]Accounts!$K$504)</f>
        <v/>
      </c>
      <c r="J503">
        <f>IF([2]Entry!$C$506="","",[2]Entry!$C$506)</f>
        <v/>
      </c>
      <c r="K503">
        <f>IF([2]Entry!$D$506="","",[2]Entry!$D$506)</f>
        <v/>
      </c>
      <c r="L503">
        <f>IF([2]Entry!$E$506="","",[2]Entry!$E$506)</f>
        <v/>
      </c>
      <c r="M503">
        <f>IF([2]Entry!$G$506="","",[2]Entry!$G$506)</f>
        <v/>
      </c>
      <c r="N503">
        <f>IF([2]Entry!$M$506="","",[2]Entry!$M$506)</f>
        <v/>
      </c>
      <c r="O503">
        <f>IF([2]Entry!$N$506="","",[2]Entry!$N$506)</f>
        <v/>
      </c>
      <c r="P503">
        <f>IF([2]Entry!$R$506="","",[2]Entry!$R$506)</f>
        <v/>
      </c>
    </row>
    <row r="504">
      <c r="A504">
        <f>IF([1]Accounts!$D$505="","",[1]Accounts!$A$505)</f>
        <v/>
      </c>
      <c r="B504">
        <f>IF([1]Accounts!$D$505="","",[1]Accounts!$B$505)</f>
        <v/>
      </c>
      <c r="C504">
        <f>IF([1]Accounts!$D$505="","",[1]Accounts!$C$505)</f>
        <v/>
      </c>
      <c r="D504">
        <f>IF([1]Accounts!$D$505="","",[1]Accounts!$D$505)</f>
        <v/>
      </c>
      <c r="E504">
        <f>IF([1]Accounts!$D$505="","",[1]Accounts!$J$505)</f>
        <v/>
      </c>
      <c r="F504">
        <f>IF([1]Accounts!$D$505="","",[1]Accounts!$K$505)</f>
        <v/>
      </c>
      <c r="J504">
        <f>IF([2]Entry!$C$507="","",[2]Entry!$C$507)</f>
        <v/>
      </c>
      <c r="K504">
        <f>IF([2]Entry!$D$507="","",[2]Entry!$D$507)</f>
        <v/>
      </c>
      <c r="L504">
        <f>IF([2]Entry!$E$507="","",[2]Entry!$E$507)</f>
        <v/>
      </c>
      <c r="M504">
        <f>IF([2]Entry!$G$507="","",[2]Entry!$G$507)</f>
        <v/>
      </c>
      <c r="N504">
        <f>IF([2]Entry!$M$507="","",[2]Entry!$M$507)</f>
        <v/>
      </c>
      <c r="O504">
        <f>IF([2]Entry!$N$507="","",[2]Entry!$N$507)</f>
        <v/>
      </c>
      <c r="P504">
        <f>IF([2]Entry!$R$507="","",[2]Entry!$R$507)</f>
        <v/>
      </c>
    </row>
    <row r="505">
      <c r="A505">
        <f>IF([1]Accounts!$D$506="","",[1]Accounts!$A$506)</f>
        <v/>
      </c>
      <c r="B505">
        <f>IF([1]Accounts!$D$506="","",[1]Accounts!$B$506)</f>
        <v/>
      </c>
      <c r="C505">
        <f>IF([1]Accounts!$D$506="","",[1]Accounts!$C$506)</f>
        <v/>
      </c>
      <c r="D505">
        <f>IF([1]Accounts!$D$506="","",[1]Accounts!$D$506)</f>
        <v/>
      </c>
      <c r="E505">
        <f>IF([1]Accounts!$D$506="","",[1]Accounts!$J$506)</f>
        <v/>
      </c>
      <c r="F505">
        <f>IF([1]Accounts!$D$506="","",[1]Accounts!$K$506)</f>
        <v/>
      </c>
      <c r="J505">
        <f>IF([2]Entry!$C$508="","",[2]Entry!$C$508)</f>
        <v/>
      </c>
      <c r="K505">
        <f>IF([2]Entry!$D$508="","",[2]Entry!$D$508)</f>
        <v/>
      </c>
      <c r="L505">
        <f>IF([2]Entry!$E$508="","",[2]Entry!$E$508)</f>
        <v/>
      </c>
      <c r="M505">
        <f>IF([2]Entry!$G$508="","",[2]Entry!$G$508)</f>
        <v/>
      </c>
      <c r="N505">
        <f>IF([2]Entry!$M$508="","",[2]Entry!$M$508)</f>
        <v/>
      </c>
      <c r="O505">
        <f>IF([2]Entry!$N$508="","",[2]Entry!$N$508)</f>
        <v/>
      </c>
      <c r="P505">
        <f>IF([2]Entry!$R$508="","",[2]Entry!$R$508)</f>
        <v/>
      </c>
    </row>
    <row r="506">
      <c r="A506">
        <f>IF([1]Accounts!$D$507="","",[1]Accounts!$A$507)</f>
        <v/>
      </c>
      <c r="B506">
        <f>IF([1]Accounts!$D$507="","",[1]Accounts!$B$507)</f>
        <v/>
      </c>
      <c r="C506">
        <f>IF([1]Accounts!$D$507="","",[1]Accounts!$C$507)</f>
        <v/>
      </c>
      <c r="D506">
        <f>IF([1]Accounts!$D$507="","",[1]Accounts!$D$507)</f>
        <v/>
      </c>
      <c r="E506">
        <f>IF([1]Accounts!$D$507="","",[1]Accounts!$J$507)</f>
        <v/>
      </c>
      <c r="F506">
        <f>IF([1]Accounts!$D$507="","",[1]Accounts!$K$507)</f>
        <v/>
      </c>
      <c r="J506">
        <f>IF([2]Entry!$C$509="","",[2]Entry!$C$509)</f>
        <v/>
      </c>
      <c r="K506">
        <f>IF([2]Entry!$D$509="","",[2]Entry!$D$509)</f>
        <v/>
      </c>
      <c r="L506">
        <f>IF([2]Entry!$E$509="","",[2]Entry!$E$509)</f>
        <v/>
      </c>
      <c r="M506">
        <f>IF([2]Entry!$G$509="","",[2]Entry!$G$509)</f>
        <v/>
      </c>
      <c r="N506">
        <f>IF([2]Entry!$M$509="","",[2]Entry!$M$509)</f>
        <v/>
      </c>
      <c r="O506">
        <f>IF([2]Entry!$N$509="","",[2]Entry!$N$509)</f>
        <v/>
      </c>
      <c r="P506">
        <f>IF([2]Entry!$R$509="","",[2]Entry!$R$509)</f>
        <v/>
      </c>
    </row>
    <row r="507">
      <c r="A507">
        <f>IF([1]Accounts!$D$508="","",[1]Accounts!$A$508)</f>
        <v/>
      </c>
      <c r="B507">
        <f>IF([1]Accounts!$D$508="","",[1]Accounts!$B$508)</f>
        <v/>
      </c>
      <c r="C507">
        <f>IF([1]Accounts!$D$508="","",[1]Accounts!$C$508)</f>
        <v/>
      </c>
      <c r="D507">
        <f>IF([1]Accounts!$D$508="","",[1]Accounts!$D$508)</f>
        <v/>
      </c>
      <c r="E507">
        <f>IF([1]Accounts!$D$508="","",[1]Accounts!$J$508)</f>
        <v/>
      </c>
      <c r="F507">
        <f>IF([1]Accounts!$D$508="","",[1]Accounts!$K$508)</f>
        <v/>
      </c>
      <c r="J507">
        <f>IF([2]Entry!$C$510="","",[2]Entry!$C$510)</f>
        <v/>
      </c>
      <c r="K507">
        <f>IF([2]Entry!$D$510="","",[2]Entry!$D$510)</f>
        <v/>
      </c>
      <c r="L507">
        <f>IF([2]Entry!$E$510="","",[2]Entry!$E$510)</f>
        <v/>
      </c>
      <c r="M507">
        <f>IF([2]Entry!$G$510="","",[2]Entry!$G$510)</f>
        <v/>
      </c>
      <c r="N507">
        <f>IF([2]Entry!$M$510="","",[2]Entry!$M$510)</f>
        <v/>
      </c>
      <c r="O507">
        <f>IF([2]Entry!$N$510="","",[2]Entry!$N$510)</f>
        <v/>
      </c>
      <c r="P507">
        <f>IF([2]Entry!$R$510="","",[2]Entry!$R$510)</f>
        <v/>
      </c>
    </row>
    <row r="508">
      <c r="A508">
        <f>IF([1]Accounts!$D$509="","",[1]Accounts!$A$509)</f>
        <v/>
      </c>
      <c r="B508">
        <f>IF([1]Accounts!$D$509="","",[1]Accounts!$B$509)</f>
        <v/>
      </c>
      <c r="C508">
        <f>IF([1]Accounts!$D$509="","",[1]Accounts!$C$509)</f>
        <v/>
      </c>
      <c r="D508">
        <f>IF([1]Accounts!$D$509="","",[1]Accounts!$D$509)</f>
        <v/>
      </c>
      <c r="E508">
        <f>IF([1]Accounts!$D$509="","",[1]Accounts!$J$509)</f>
        <v/>
      </c>
      <c r="F508">
        <f>IF([1]Accounts!$D$509="","",[1]Accounts!$K$509)</f>
        <v/>
      </c>
      <c r="J508">
        <f>IF([2]Entry!$C$511="","",[2]Entry!$C$511)</f>
        <v/>
      </c>
      <c r="K508">
        <f>IF([2]Entry!$D$511="","",[2]Entry!$D$511)</f>
        <v/>
      </c>
      <c r="L508">
        <f>IF([2]Entry!$E$511="","",[2]Entry!$E$511)</f>
        <v/>
      </c>
      <c r="M508">
        <f>IF([2]Entry!$G$511="","",[2]Entry!$G$511)</f>
        <v/>
      </c>
      <c r="N508">
        <f>IF([2]Entry!$M$511="","",[2]Entry!$M$511)</f>
        <v/>
      </c>
      <c r="O508">
        <f>IF([2]Entry!$N$511="","",[2]Entry!$N$511)</f>
        <v/>
      </c>
      <c r="P508">
        <f>IF([2]Entry!$R$511="","",[2]Entry!$R$511)</f>
        <v/>
      </c>
    </row>
    <row r="509">
      <c r="A509">
        <f>IF([1]Accounts!$D$510="","",[1]Accounts!$A$510)</f>
        <v/>
      </c>
      <c r="B509">
        <f>IF([1]Accounts!$D$510="","",[1]Accounts!$B$510)</f>
        <v/>
      </c>
      <c r="C509">
        <f>IF([1]Accounts!$D$510="","",[1]Accounts!$C$510)</f>
        <v/>
      </c>
      <c r="D509">
        <f>IF([1]Accounts!$D$510="","",[1]Accounts!$D$510)</f>
        <v/>
      </c>
      <c r="E509">
        <f>IF([1]Accounts!$D$510="","",[1]Accounts!$J$510)</f>
        <v/>
      </c>
      <c r="F509">
        <f>IF([1]Accounts!$D$510="","",[1]Accounts!$K$510)</f>
        <v/>
      </c>
      <c r="J509">
        <f>IF([2]Entry!$C$512="","",[2]Entry!$C$512)</f>
        <v/>
      </c>
      <c r="K509">
        <f>IF([2]Entry!$D$512="","",[2]Entry!$D$512)</f>
        <v/>
      </c>
      <c r="L509">
        <f>IF([2]Entry!$E$512="","",[2]Entry!$E$512)</f>
        <v/>
      </c>
      <c r="M509">
        <f>IF([2]Entry!$G$512="","",[2]Entry!$G$512)</f>
        <v/>
      </c>
      <c r="N509">
        <f>IF([2]Entry!$M$512="","",[2]Entry!$M$512)</f>
        <v/>
      </c>
      <c r="O509">
        <f>IF([2]Entry!$N$512="","",[2]Entry!$N$512)</f>
        <v/>
      </c>
      <c r="P509">
        <f>IF([2]Entry!$R$512="","",[2]Entry!$R$512)</f>
        <v/>
      </c>
    </row>
    <row r="510">
      <c r="A510">
        <f>IF([1]Accounts!$D$511="","",[1]Accounts!$A$511)</f>
        <v/>
      </c>
      <c r="B510">
        <f>IF([1]Accounts!$D$511="","",[1]Accounts!$B$511)</f>
        <v/>
      </c>
      <c r="C510">
        <f>IF([1]Accounts!$D$511="","",[1]Accounts!$C$511)</f>
        <v/>
      </c>
      <c r="D510">
        <f>IF([1]Accounts!$D$511="","",[1]Accounts!$D$511)</f>
        <v/>
      </c>
      <c r="E510">
        <f>IF([1]Accounts!$D$511="","",[1]Accounts!$J$511)</f>
        <v/>
      </c>
      <c r="F510">
        <f>IF([1]Accounts!$D$511="","",[1]Accounts!$K$511)</f>
        <v/>
      </c>
      <c r="J510">
        <f>IF([2]Entry!$C$513="","",[2]Entry!$C$513)</f>
        <v/>
      </c>
      <c r="K510">
        <f>IF([2]Entry!$D$513="","",[2]Entry!$D$513)</f>
        <v/>
      </c>
      <c r="L510">
        <f>IF([2]Entry!$E$513="","",[2]Entry!$E$513)</f>
        <v/>
      </c>
      <c r="M510">
        <f>IF([2]Entry!$G$513="","",[2]Entry!$G$513)</f>
        <v/>
      </c>
      <c r="N510">
        <f>IF([2]Entry!$M$513="","",[2]Entry!$M$513)</f>
        <v/>
      </c>
      <c r="O510">
        <f>IF([2]Entry!$N$513="","",[2]Entry!$N$513)</f>
        <v/>
      </c>
      <c r="P510">
        <f>IF([2]Entry!$R$513="","",[2]Entry!$R$513)</f>
        <v/>
      </c>
    </row>
    <row r="511">
      <c r="A511">
        <f>IF([1]Accounts!$D$512="","",[1]Accounts!$A$512)</f>
        <v/>
      </c>
      <c r="B511">
        <f>IF([1]Accounts!$D$512="","",[1]Accounts!$B$512)</f>
        <v/>
      </c>
      <c r="C511">
        <f>IF([1]Accounts!$D$512="","",[1]Accounts!$C$512)</f>
        <v/>
      </c>
      <c r="D511">
        <f>IF([1]Accounts!$D$512="","",[1]Accounts!$D$512)</f>
        <v/>
      </c>
      <c r="E511">
        <f>IF([1]Accounts!$D$512="","",[1]Accounts!$J$512)</f>
        <v/>
      </c>
      <c r="F511">
        <f>IF([1]Accounts!$D$512="","",[1]Accounts!$K$512)</f>
        <v/>
      </c>
      <c r="J511">
        <f>IF([2]Entry!$C$514="","",[2]Entry!$C$514)</f>
        <v/>
      </c>
      <c r="K511">
        <f>IF([2]Entry!$D$514="","",[2]Entry!$D$514)</f>
        <v/>
      </c>
      <c r="L511">
        <f>IF([2]Entry!$E$514="","",[2]Entry!$E$514)</f>
        <v/>
      </c>
      <c r="M511">
        <f>IF([2]Entry!$G$514="","",[2]Entry!$G$514)</f>
        <v/>
      </c>
      <c r="N511">
        <f>IF([2]Entry!$M$514="","",[2]Entry!$M$514)</f>
        <v/>
      </c>
      <c r="O511">
        <f>IF([2]Entry!$N$514="","",[2]Entry!$N$514)</f>
        <v/>
      </c>
      <c r="P511">
        <f>IF([2]Entry!$R$514="","",[2]Entry!$R$514)</f>
        <v/>
      </c>
    </row>
    <row r="512">
      <c r="A512">
        <f>IF([1]Accounts!$D$513="","",[1]Accounts!$A$513)</f>
        <v/>
      </c>
      <c r="B512">
        <f>IF([1]Accounts!$D$513="","",[1]Accounts!$B$513)</f>
        <v/>
      </c>
      <c r="C512">
        <f>IF([1]Accounts!$D$513="","",[1]Accounts!$C$513)</f>
        <v/>
      </c>
      <c r="D512">
        <f>IF([1]Accounts!$D$513="","",[1]Accounts!$D$513)</f>
        <v/>
      </c>
      <c r="E512">
        <f>IF([1]Accounts!$D$513="","",[1]Accounts!$J$513)</f>
        <v/>
      </c>
      <c r="F512">
        <f>IF([1]Accounts!$D$513="","",[1]Accounts!$K$513)</f>
        <v/>
      </c>
      <c r="J512">
        <f>IF([2]Entry!$C$515="","",[2]Entry!$C$515)</f>
        <v/>
      </c>
      <c r="K512">
        <f>IF([2]Entry!$D$515="","",[2]Entry!$D$515)</f>
        <v/>
      </c>
      <c r="L512">
        <f>IF([2]Entry!$E$515="","",[2]Entry!$E$515)</f>
        <v/>
      </c>
      <c r="M512">
        <f>IF([2]Entry!$G$515="","",[2]Entry!$G$515)</f>
        <v/>
      </c>
      <c r="N512">
        <f>IF([2]Entry!$M$515="","",[2]Entry!$M$515)</f>
        <v/>
      </c>
      <c r="O512">
        <f>IF([2]Entry!$N$515="","",[2]Entry!$N$515)</f>
        <v/>
      </c>
      <c r="P512">
        <f>IF([2]Entry!$R$515="","",[2]Entry!$R$515)</f>
        <v/>
      </c>
    </row>
    <row r="513">
      <c r="A513">
        <f>IF([1]Accounts!$D$514="","",[1]Accounts!$A$514)</f>
        <v/>
      </c>
      <c r="B513">
        <f>IF([1]Accounts!$D$514="","",[1]Accounts!$B$514)</f>
        <v/>
      </c>
      <c r="C513">
        <f>IF([1]Accounts!$D$514="","",[1]Accounts!$C$514)</f>
        <v/>
      </c>
      <c r="D513">
        <f>IF([1]Accounts!$D$514="","",[1]Accounts!$D$514)</f>
        <v/>
      </c>
      <c r="E513">
        <f>IF([1]Accounts!$D$514="","",[1]Accounts!$J$514)</f>
        <v/>
      </c>
      <c r="F513">
        <f>IF([1]Accounts!$D$514="","",[1]Accounts!$K$514)</f>
        <v/>
      </c>
      <c r="J513">
        <f>IF([2]Entry!$C$516="","",[2]Entry!$C$516)</f>
        <v/>
      </c>
      <c r="K513">
        <f>IF([2]Entry!$D$516="","",[2]Entry!$D$516)</f>
        <v/>
      </c>
      <c r="L513">
        <f>IF([2]Entry!$E$516="","",[2]Entry!$E$516)</f>
        <v/>
      </c>
      <c r="M513">
        <f>IF([2]Entry!$G$516="","",[2]Entry!$G$516)</f>
        <v/>
      </c>
      <c r="N513">
        <f>IF([2]Entry!$M$516="","",[2]Entry!$M$516)</f>
        <v/>
      </c>
      <c r="O513">
        <f>IF([2]Entry!$N$516="","",[2]Entry!$N$516)</f>
        <v/>
      </c>
      <c r="P513">
        <f>IF([2]Entry!$R$516="","",[2]Entry!$R$516)</f>
        <v/>
      </c>
    </row>
    <row r="514">
      <c r="A514">
        <f>IF([1]Accounts!$D$515="","",[1]Accounts!$A$515)</f>
        <v/>
      </c>
      <c r="B514">
        <f>IF([1]Accounts!$D$515="","",[1]Accounts!$B$515)</f>
        <v/>
      </c>
      <c r="C514">
        <f>IF([1]Accounts!$D$515="","",[1]Accounts!$C$515)</f>
        <v/>
      </c>
      <c r="D514">
        <f>IF([1]Accounts!$D$515="","",[1]Accounts!$D$515)</f>
        <v/>
      </c>
      <c r="E514">
        <f>IF([1]Accounts!$D$515="","",[1]Accounts!$J$515)</f>
        <v/>
      </c>
      <c r="F514">
        <f>IF([1]Accounts!$D$515="","",[1]Accounts!$K$515)</f>
        <v/>
      </c>
      <c r="J514">
        <f>IF([2]Entry!$C$517="","",[2]Entry!$C$517)</f>
        <v/>
      </c>
      <c r="K514">
        <f>IF([2]Entry!$D$517="","",[2]Entry!$D$517)</f>
        <v/>
      </c>
      <c r="L514">
        <f>IF([2]Entry!$E$517="","",[2]Entry!$E$517)</f>
        <v/>
      </c>
      <c r="M514">
        <f>IF([2]Entry!$G$517="","",[2]Entry!$G$517)</f>
        <v/>
      </c>
      <c r="N514">
        <f>IF([2]Entry!$M$517="","",[2]Entry!$M$517)</f>
        <v/>
      </c>
      <c r="O514">
        <f>IF([2]Entry!$N$517="","",[2]Entry!$N$517)</f>
        <v/>
      </c>
      <c r="P514">
        <f>IF([2]Entry!$R$517="","",[2]Entry!$R$517)</f>
        <v/>
      </c>
    </row>
    <row r="515">
      <c r="A515">
        <f>IF([1]Accounts!$D$516="","",[1]Accounts!$A$516)</f>
        <v/>
      </c>
      <c r="B515">
        <f>IF([1]Accounts!$D$516="","",[1]Accounts!$B$516)</f>
        <v/>
      </c>
      <c r="C515">
        <f>IF([1]Accounts!$D$516="","",[1]Accounts!$C$516)</f>
        <v/>
      </c>
      <c r="D515">
        <f>IF([1]Accounts!$D$516="","",[1]Accounts!$D$516)</f>
        <v/>
      </c>
      <c r="E515">
        <f>IF([1]Accounts!$D$516="","",[1]Accounts!$J$516)</f>
        <v/>
      </c>
      <c r="F515">
        <f>IF([1]Accounts!$D$516="","",[1]Accounts!$K$516)</f>
        <v/>
      </c>
      <c r="J515">
        <f>IF([2]Entry!$C$518="","",[2]Entry!$C$518)</f>
        <v/>
      </c>
      <c r="K515">
        <f>IF([2]Entry!$D$518="","",[2]Entry!$D$518)</f>
        <v/>
      </c>
      <c r="L515">
        <f>IF([2]Entry!$E$518="","",[2]Entry!$E$518)</f>
        <v/>
      </c>
      <c r="M515">
        <f>IF([2]Entry!$G$518="","",[2]Entry!$G$518)</f>
        <v/>
      </c>
      <c r="N515">
        <f>IF([2]Entry!$M$518="","",[2]Entry!$M$518)</f>
        <v/>
      </c>
      <c r="O515">
        <f>IF([2]Entry!$N$518="","",[2]Entry!$N$518)</f>
        <v/>
      </c>
      <c r="P515">
        <f>IF([2]Entry!$R$518="","",[2]Entry!$R$518)</f>
        <v/>
      </c>
    </row>
    <row r="516">
      <c r="A516">
        <f>IF([1]Accounts!$D$517="","",[1]Accounts!$A$517)</f>
        <v/>
      </c>
      <c r="B516">
        <f>IF([1]Accounts!$D$517="","",[1]Accounts!$B$517)</f>
        <v/>
      </c>
      <c r="C516">
        <f>IF([1]Accounts!$D$517="","",[1]Accounts!$C$517)</f>
        <v/>
      </c>
      <c r="D516">
        <f>IF([1]Accounts!$D$517="","",[1]Accounts!$D$517)</f>
        <v/>
      </c>
      <c r="E516">
        <f>IF([1]Accounts!$D$517="","",[1]Accounts!$J$517)</f>
        <v/>
      </c>
      <c r="F516">
        <f>IF([1]Accounts!$D$517="","",[1]Accounts!$K$517)</f>
        <v/>
      </c>
      <c r="J516">
        <f>IF([2]Entry!$C$519="","",[2]Entry!$C$519)</f>
        <v/>
      </c>
      <c r="K516">
        <f>IF([2]Entry!$D$519="","",[2]Entry!$D$519)</f>
        <v/>
      </c>
      <c r="L516">
        <f>IF([2]Entry!$E$519="","",[2]Entry!$E$519)</f>
        <v/>
      </c>
      <c r="M516">
        <f>IF([2]Entry!$G$519="","",[2]Entry!$G$519)</f>
        <v/>
      </c>
      <c r="N516">
        <f>IF([2]Entry!$M$519="","",[2]Entry!$M$519)</f>
        <v/>
      </c>
      <c r="O516">
        <f>IF([2]Entry!$N$519="","",[2]Entry!$N$519)</f>
        <v/>
      </c>
      <c r="P516">
        <f>IF([2]Entry!$R$519="","",[2]Entry!$R$519)</f>
        <v/>
      </c>
    </row>
    <row r="517">
      <c r="A517">
        <f>IF([1]Accounts!$D$518="","",[1]Accounts!$A$518)</f>
        <v/>
      </c>
      <c r="B517">
        <f>IF([1]Accounts!$D$518="","",[1]Accounts!$B$518)</f>
        <v/>
      </c>
      <c r="C517">
        <f>IF([1]Accounts!$D$518="","",[1]Accounts!$C$518)</f>
        <v/>
      </c>
      <c r="D517">
        <f>IF([1]Accounts!$D$518="","",[1]Accounts!$D$518)</f>
        <v/>
      </c>
      <c r="E517">
        <f>IF([1]Accounts!$D$518="","",[1]Accounts!$J$518)</f>
        <v/>
      </c>
      <c r="F517">
        <f>IF([1]Accounts!$D$518="","",[1]Accounts!$K$518)</f>
        <v/>
      </c>
      <c r="J517">
        <f>IF([2]Entry!$C$520="","",[2]Entry!$C$520)</f>
        <v/>
      </c>
      <c r="K517">
        <f>IF([2]Entry!$D$520="","",[2]Entry!$D$520)</f>
        <v/>
      </c>
      <c r="L517">
        <f>IF([2]Entry!$E$520="","",[2]Entry!$E$520)</f>
        <v/>
      </c>
      <c r="M517">
        <f>IF([2]Entry!$G$520="","",[2]Entry!$G$520)</f>
        <v/>
      </c>
      <c r="N517">
        <f>IF([2]Entry!$M$520="","",[2]Entry!$M$520)</f>
        <v/>
      </c>
      <c r="O517">
        <f>IF([2]Entry!$N$520="","",[2]Entry!$N$520)</f>
        <v/>
      </c>
      <c r="P517">
        <f>IF([2]Entry!$R$520="","",[2]Entry!$R$520)</f>
        <v/>
      </c>
    </row>
    <row r="518">
      <c r="A518">
        <f>IF([1]Accounts!$D$519="","",[1]Accounts!$A$519)</f>
        <v/>
      </c>
      <c r="B518">
        <f>IF([1]Accounts!$D$519="","",[1]Accounts!$B$519)</f>
        <v/>
      </c>
      <c r="C518">
        <f>IF([1]Accounts!$D$519="","",[1]Accounts!$C$519)</f>
        <v/>
      </c>
      <c r="D518">
        <f>IF([1]Accounts!$D$519="","",[1]Accounts!$D$519)</f>
        <v/>
      </c>
      <c r="E518">
        <f>IF([1]Accounts!$D$519="","",[1]Accounts!$J$519)</f>
        <v/>
      </c>
      <c r="F518">
        <f>IF([1]Accounts!$D$519="","",[1]Accounts!$K$519)</f>
        <v/>
      </c>
      <c r="J518">
        <f>IF([2]Entry!$C$521="","",[2]Entry!$C$521)</f>
        <v/>
      </c>
      <c r="K518">
        <f>IF([2]Entry!$D$521="","",[2]Entry!$D$521)</f>
        <v/>
      </c>
      <c r="L518">
        <f>IF([2]Entry!$E$521="","",[2]Entry!$E$521)</f>
        <v/>
      </c>
      <c r="M518">
        <f>IF([2]Entry!$G$521="","",[2]Entry!$G$521)</f>
        <v/>
      </c>
      <c r="N518">
        <f>IF([2]Entry!$M$521="","",[2]Entry!$M$521)</f>
        <v/>
      </c>
      <c r="O518">
        <f>IF([2]Entry!$N$521="","",[2]Entry!$N$521)</f>
        <v/>
      </c>
      <c r="P518">
        <f>IF([2]Entry!$R$521="","",[2]Entry!$R$521)</f>
        <v/>
      </c>
    </row>
    <row r="519">
      <c r="A519">
        <f>IF([1]Accounts!$D$520="","",[1]Accounts!$A$520)</f>
        <v/>
      </c>
      <c r="B519">
        <f>IF([1]Accounts!$D$520="","",[1]Accounts!$B$520)</f>
        <v/>
      </c>
      <c r="C519">
        <f>IF([1]Accounts!$D$520="","",[1]Accounts!$C$520)</f>
        <v/>
      </c>
      <c r="D519">
        <f>IF([1]Accounts!$D$520="","",[1]Accounts!$D$520)</f>
        <v/>
      </c>
      <c r="E519">
        <f>IF([1]Accounts!$D$520="","",[1]Accounts!$J$520)</f>
        <v/>
      </c>
      <c r="F519">
        <f>IF([1]Accounts!$D$520="","",[1]Accounts!$K$520)</f>
        <v/>
      </c>
      <c r="J519">
        <f>IF([2]Entry!$C$522="","",[2]Entry!$C$522)</f>
        <v/>
      </c>
      <c r="K519">
        <f>IF([2]Entry!$D$522="","",[2]Entry!$D$522)</f>
        <v/>
      </c>
      <c r="L519">
        <f>IF([2]Entry!$E$522="","",[2]Entry!$E$522)</f>
        <v/>
      </c>
      <c r="M519">
        <f>IF([2]Entry!$G$522="","",[2]Entry!$G$522)</f>
        <v/>
      </c>
      <c r="N519">
        <f>IF([2]Entry!$M$522="","",[2]Entry!$M$522)</f>
        <v/>
      </c>
      <c r="O519">
        <f>IF([2]Entry!$N$522="","",[2]Entry!$N$522)</f>
        <v/>
      </c>
      <c r="P519">
        <f>IF([2]Entry!$R$522="","",[2]Entry!$R$522)</f>
        <v/>
      </c>
    </row>
    <row r="520">
      <c r="A520">
        <f>IF([1]Accounts!$D$521="","",[1]Accounts!$A$521)</f>
        <v/>
      </c>
      <c r="B520">
        <f>IF([1]Accounts!$D$521="","",[1]Accounts!$B$521)</f>
        <v/>
      </c>
      <c r="C520">
        <f>IF([1]Accounts!$D$521="","",[1]Accounts!$C$521)</f>
        <v/>
      </c>
      <c r="D520">
        <f>IF([1]Accounts!$D$521="","",[1]Accounts!$D$521)</f>
        <v/>
      </c>
      <c r="E520">
        <f>IF([1]Accounts!$D$521="","",[1]Accounts!$J$521)</f>
        <v/>
      </c>
      <c r="F520">
        <f>IF([1]Accounts!$D$521="","",[1]Accounts!$K$521)</f>
        <v/>
      </c>
      <c r="J520">
        <f>IF([2]Entry!$C$523="","",[2]Entry!$C$523)</f>
        <v/>
      </c>
      <c r="K520">
        <f>IF([2]Entry!$D$523="","",[2]Entry!$D$523)</f>
        <v/>
      </c>
      <c r="L520">
        <f>IF([2]Entry!$E$523="","",[2]Entry!$E$523)</f>
        <v/>
      </c>
      <c r="M520">
        <f>IF([2]Entry!$G$523="","",[2]Entry!$G$523)</f>
        <v/>
      </c>
      <c r="N520">
        <f>IF([2]Entry!$M$523="","",[2]Entry!$M$523)</f>
        <v/>
      </c>
      <c r="O520">
        <f>IF([2]Entry!$N$523="","",[2]Entry!$N$523)</f>
        <v/>
      </c>
      <c r="P520">
        <f>IF([2]Entry!$R$523="","",[2]Entry!$R$523)</f>
        <v/>
      </c>
    </row>
    <row r="521">
      <c r="A521">
        <f>IF([1]Accounts!$D$522="","",[1]Accounts!$A$522)</f>
        <v/>
      </c>
      <c r="B521">
        <f>IF([1]Accounts!$D$522="","",[1]Accounts!$B$522)</f>
        <v/>
      </c>
      <c r="C521">
        <f>IF([1]Accounts!$D$522="","",[1]Accounts!$C$522)</f>
        <v/>
      </c>
      <c r="D521">
        <f>IF([1]Accounts!$D$522="","",[1]Accounts!$D$522)</f>
        <v/>
      </c>
      <c r="E521">
        <f>IF([1]Accounts!$D$522="","",[1]Accounts!$J$522)</f>
        <v/>
      </c>
      <c r="F521">
        <f>IF([1]Accounts!$D$522="","",[1]Accounts!$K$522)</f>
        <v/>
      </c>
      <c r="J521">
        <f>IF([2]Entry!$C$524="","",[2]Entry!$C$524)</f>
        <v/>
      </c>
      <c r="K521">
        <f>IF([2]Entry!$D$524="","",[2]Entry!$D$524)</f>
        <v/>
      </c>
      <c r="L521">
        <f>IF([2]Entry!$E$524="","",[2]Entry!$E$524)</f>
        <v/>
      </c>
      <c r="M521">
        <f>IF([2]Entry!$G$524="","",[2]Entry!$G$524)</f>
        <v/>
      </c>
      <c r="N521">
        <f>IF([2]Entry!$M$524="","",[2]Entry!$M$524)</f>
        <v/>
      </c>
      <c r="O521">
        <f>IF([2]Entry!$N$524="","",[2]Entry!$N$524)</f>
        <v/>
      </c>
      <c r="P521">
        <f>IF([2]Entry!$R$524="","",[2]Entry!$R$524)</f>
        <v/>
      </c>
    </row>
    <row r="522">
      <c r="A522">
        <f>IF([1]Accounts!$D$523="","",[1]Accounts!$A$523)</f>
        <v/>
      </c>
      <c r="B522">
        <f>IF([1]Accounts!$D$523="","",[1]Accounts!$B$523)</f>
        <v/>
      </c>
      <c r="C522">
        <f>IF([1]Accounts!$D$523="","",[1]Accounts!$C$523)</f>
        <v/>
      </c>
      <c r="D522">
        <f>IF([1]Accounts!$D$523="","",[1]Accounts!$D$523)</f>
        <v/>
      </c>
      <c r="E522">
        <f>IF([1]Accounts!$D$523="","",[1]Accounts!$J$523)</f>
        <v/>
      </c>
      <c r="F522">
        <f>IF([1]Accounts!$D$523="","",[1]Accounts!$K$523)</f>
        <v/>
      </c>
      <c r="J522">
        <f>IF([2]Entry!$C$525="","",[2]Entry!$C$525)</f>
        <v/>
      </c>
      <c r="K522">
        <f>IF([2]Entry!$D$525="","",[2]Entry!$D$525)</f>
        <v/>
      </c>
      <c r="L522">
        <f>IF([2]Entry!$E$525="","",[2]Entry!$E$525)</f>
        <v/>
      </c>
      <c r="M522">
        <f>IF([2]Entry!$G$525="","",[2]Entry!$G$525)</f>
        <v/>
      </c>
      <c r="N522">
        <f>IF([2]Entry!$M$525="","",[2]Entry!$M$525)</f>
        <v/>
      </c>
      <c r="O522">
        <f>IF([2]Entry!$N$525="","",[2]Entry!$N$525)</f>
        <v/>
      </c>
      <c r="P522">
        <f>IF([2]Entry!$R$525="","",[2]Entry!$R$525)</f>
        <v/>
      </c>
    </row>
    <row r="523">
      <c r="A523">
        <f>IF([1]Accounts!$D$524="","",[1]Accounts!$A$524)</f>
        <v/>
      </c>
      <c r="B523">
        <f>IF([1]Accounts!$D$524="","",[1]Accounts!$B$524)</f>
        <v/>
      </c>
      <c r="C523">
        <f>IF([1]Accounts!$D$524="","",[1]Accounts!$C$524)</f>
        <v/>
      </c>
      <c r="D523">
        <f>IF([1]Accounts!$D$524="","",[1]Accounts!$D$524)</f>
        <v/>
      </c>
      <c r="E523">
        <f>IF([1]Accounts!$D$524="","",[1]Accounts!$J$524)</f>
        <v/>
      </c>
      <c r="F523">
        <f>IF([1]Accounts!$D$524="","",[1]Accounts!$K$524)</f>
        <v/>
      </c>
      <c r="J523">
        <f>IF([2]Entry!$C$526="","",[2]Entry!$C$526)</f>
        <v/>
      </c>
      <c r="K523">
        <f>IF([2]Entry!$D$526="","",[2]Entry!$D$526)</f>
        <v/>
      </c>
      <c r="L523">
        <f>IF([2]Entry!$E$526="","",[2]Entry!$E$526)</f>
        <v/>
      </c>
      <c r="M523">
        <f>IF([2]Entry!$G$526="","",[2]Entry!$G$526)</f>
        <v/>
      </c>
      <c r="N523">
        <f>IF([2]Entry!$M$526="","",[2]Entry!$M$526)</f>
        <v/>
      </c>
      <c r="O523">
        <f>IF([2]Entry!$N$526="","",[2]Entry!$N$526)</f>
        <v/>
      </c>
      <c r="P523">
        <f>IF([2]Entry!$R$526="","",[2]Entry!$R$526)</f>
        <v/>
      </c>
    </row>
    <row r="524">
      <c r="A524">
        <f>IF([1]Accounts!$D$525="","",[1]Accounts!$A$525)</f>
        <v/>
      </c>
      <c r="B524">
        <f>IF([1]Accounts!$D$525="","",[1]Accounts!$B$525)</f>
        <v/>
      </c>
      <c r="C524">
        <f>IF([1]Accounts!$D$525="","",[1]Accounts!$C$525)</f>
        <v/>
      </c>
      <c r="D524">
        <f>IF([1]Accounts!$D$525="","",[1]Accounts!$D$525)</f>
        <v/>
      </c>
      <c r="E524">
        <f>IF([1]Accounts!$D$525="","",[1]Accounts!$J$525)</f>
        <v/>
      </c>
      <c r="F524">
        <f>IF([1]Accounts!$D$525="","",[1]Accounts!$K$525)</f>
        <v/>
      </c>
      <c r="J524">
        <f>IF([2]Entry!$C$527="","",[2]Entry!$C$527)</f>
        <v/>
      </c>
      <c r="K524">
        <f>IF([2]Entry!$D$527="","",[2]Entry!$D$527)</f>
        <v/>
      </c>
      <c r="L524">
        <f>IF([2]Entry!$E$527="","",[2]Entry!$E$527)</f>
        <v/>
      </c>
      <c r="M524">
        <f>IF([2]Entry!$G$527="","",[2]Entry!$G$527)</f>
        <v/>
      </c>
      <c r="N524">
        <f>IF([2]Entry!$M$527="","",[2]Entry!$M$527)</f>
        <v/>
      </c>
      <c r="O524">
        <f>IF([2]Entry!$N$527="","",[2]Entry!$N$527)</f>
        <v/>
      </c>
      <c r="P524">
        <f>IF([2]Entry!$R$527="","",[2]Entry!$R$527)</f>
        <v/>
      </c>
    </row>
    <row r="525">
      <c r="A525">
        <f>IF([1]Accounts!$D$526="","",[1]Accounts!$A$526)</f>
        <v/>
      </c>
      <c r="B525">
        <f>IF([1]Accounts!$D$526="","",[1]Accounts!$B$526)</f>
        <v/>
      </c>
      <c r="C525">
        <f>IF([1]Accounts!$D$526="","",[1]Accounts!$C$526)</f>
        <v/>
      </c>
      <c r="D525">
        <f>IF([1]Accounts!$D$526="","",[1]Accounts!$D$526)</f>
        <v/>
      </c>
      <c r="E525">
        <f>IF([1]Accounts!$D$526="","",[1]Accounts!$J$526)</f>
        <v/>
      </c>
      <c r="F525">
        <f>IF([1]Accounts!$D$526="","",[1]Accounts!$K$526)</f>
        <v/>
      </c>
      <c r="J525">
        <f>IF([2]Entry!$C$528="","",[2]Entry!$C$528)</f>
        <v/>
      </c>
      <c r="K525">
        <f>IF([2]Entry!$D$528="","",[2]Entry!$D$528)</f>
        <v/>
      </c>
      <c r="L525">
        <f>IF([2]Entry!$E$528="","",[2]Entry!$E$528)</f>
        <v/>
      </c>
      <c r="M525">
        <f>IF([2]Entry!$G$528="","",[2]Entry!$G$528)</f>
        <v/>
      </c>
      <c r="N525">
        <f>IF([2]Entry!$M$528="","",[2]Entry!$M$528)</f>
        <v/>
      </c>
      <c r="O525">
        <f>IF([2]Entry!$N$528="","",[2]Entry!$N$528)</f>
        <v/>
      </c>
      <c r="P525">
        <f>IF([2]Entry!$R$528="","",[2]Entry!$R$528)</f>
        <v/>
      </c>
    </row>
    <row r="526">
      <c r="A526">
        <f>IF([1]Accounts!$D$527="","",[1]Accounts!$A$527)</f>
        <v/>
      </c>
      <c r="B526">
        <f>IF([1]Accounts!$D$527="","",[1]Accounts!$B$527)</f>
        <v/>
      </c>
      <c r="C526">
        <f>IF([1]Accounts!$D$527="","",[1]Accounts!$C$527)</f>
        <v/>
      </c>
      <c r="D526">
        <f>IF([1]Accounts!$D$527="","",[1]Accounts!$D$527)</f>
        <v/>
      </c>
      <c r="E526">
        <f>IF([1]Accounts!$D$527="","",[1]Accounts!$J$527)</f>
        <v/>
      </c>
      <c r="F526">
        <f>IF([1]Accounts!$D$527="","",[1]Accounts!$K$527)</f>
        <v/>
      </c>
      <c r="J526">
        <f>IF([2]Entry!$C$529="","",[2]Entry!$C$529)</f>
        <v/>
      </c>
      <c r="K526">
        <f>IF([2]Entry!$D$529="","",[2]Entry!$D$529)</f>
        <v/>
      </c>
      <c r="L526">
        <f>IF([2]Entry!$E$529="","",[2]Entry!$E$529)</f>
        <v/>
      </c>
      <c r="M526">
        <f>IF([2]Entry!$G$529="","",[2]Entry!$G$529)</f>
        <v/>
      </c>
      <c r="N526">
        <f>IF([2]Entry!$M$529="","",[2]Entry!$M$529)</f>
        <v/>
      </c>
      <c r="O526">
        <f>IF([2]Entry!$N$529="","",[2]Entry!$N$529)</f>
        <v/>
      </c>
      <c r="P526">
        <f>IF([2]Entry!$R$529="","",[2]Entry!$R$529)</f>
        <v/>
      </c>
    </row>
    <row r="527">
      <c r="A527">
        <f>IF([1]Accounts!$D$528="","",[1]Accounts!$A$528)</f>
        <v/>
      </c>
      <c r="B527">
        <f>IF([1]Accounts!$D$528="","",[1]Accounts!$B$528)</f>
        <v/>
      </c>
      <c r="C527">
        <f>IF([1]Accounts!$D$528="","",[1]Accounts!$C$528)</f>
        <v/>
      </c>
      <c r="D527">
        <f>IF([1]Accounts!$D$528="","",[1]Accounts!$D$528)</f>
        <v/>
      </c>
      <c r="E527">
        <f>IF([1]Accounts!$D$528="","",[1]Accounts!$J$528)</f>
        <v/>
      </c>
      <c r="F527">
        <f>IF([1]Accounts!$D$528="","",[1]Accounts!$K$528)</f>
        <v/>
      </c>
      <c r="J527">
        <f>IF([2]Entry!$C$530="","",[2]Entry!$C$530)</f>
        <v/>
      </c>
      <c r="K527">
        <f>IF([2]Entry!$D$530="","",[2]Entry!$D$530)</f>
        <v/>
      </c>
      <c r="L527">
        <f>IF([2]Entry!$E$530="","",[2]Entry!$E$530)</f>
        <v/>
      </c>
      <c r="M527">
        <f>IF([2]Entry!$G$530="","",[2]Entry!$G$530)</f>
        <v/>
      </c>
      <c r="N527">
        <f>IF([2]Entry!$M$530="","",[2]Entry!$M$530)</f>
        <v/>
      </c>
      <c r="O527">
        <f>IF([2]Entry!$N$530="","",[2]Entry!$N$530)</f>
        <v/>
      </c>
      <c r="P527">
        <f>IF([2]Entry!$R$530="","",[2]Entry!$R$530)</f>
        <v/>
      </c>
    </row>
    <row r="528">
      <c r="A528">
        <f>IF([1]Accounts!$D$529="","",[1]Accounts!$A$529)</f>
        <v/>
      </c>
      <c r="B528">
        <f>IF([1]Accounts!$D$529="","",[1]Accounts!$B$529)</f>
        <v/>
      </c>
      <c r="C528">
        <f>IF([1]Accounts!$D$529="","",[1]Accounts!$C$529)</f>
        <v/>
      </c>
      <c r="D528">
        <f>IF([1]Accounts!$D$529="","",[1]Accounts!$D$529)</f>
        <v/>
      </c>
      <c r="E528">
        <f>IF([1]Accounts!$D$529="","",[1]Accounts!$J$529)</f>
        <v/>
      </c>
      <c r="F528">
        <f>IF([1]Accounts!$D$529="","",[1]Accounts!$K$529)</f>
        <v/>
      </c>
      <c r="J528">
        <f>IF([2]Entry!$C$531="","",[2]Entry!$C$531)</f>
        <v/>
      </c>
      <c r="K528">
        <f>IF([2]Entry!$D$531="","",[2]Entry!$D$531)</f>
        <v/>
      </c>
      <c r="L528">
        <f>IF([2]Entry!$E$531="","",[2]Entry!$E$531)</f>
        <v/>
      </c>
      <c r="M528">
        <f>IF([2]Entry!$G$531="","",[2]Entry!$G$531)</f>
        <v/>
      </c>
      <c r="N528">
        <f>IF([2]Entry!$M$531="","",[2]Entry!$M$531)</f>
        <v/>
      </c>
      <c r="O528">
        <f>IF([2]Entry!$N$531="","",[2]Entry!$N$531)</f>
        <v/>
      </c>
      <c r="P528">
        <f>IF([2]Entry!$R$531="","",[2]Entry!$R$531)</f>
        <v/>
      </c>
    </row>
    <row r="529">
      <c r="A529">
        <f>IF([1]Accounts!$D$530="","",[1]Accounts!$A$530)</f>
        <v/>
      </c>
      <c r="B529">
        <f>IF([1]Accounts!$D$530="","",[1]Accounts!$B$530)</f>
        <v/>
      </c>
      <c r="C529">
        <f>IF([1]Accounts!$D$530="","",[1]Accounts!$C$530)</f>
        <v/>
      </c>
      <c r="D529">
        <f>IF([1]Accounts!$D$530="","",[1]Accounts!$D$530)</f>
        <v/>
      </c>
      <c r="E529">
        <f>IF([1]Accounts!$D$530="","",[1]Accounts!$J$530)</f>
        <v/>
      </c>
      <c r="F529">
        <f>IF([1]Accounts!$D$530="","",[1]Accounts!$K$530)</f>
        <v/>
      </c>
      <c r="J529">
        <f>IF([2]Entry!$C$532="","",[2]Entry!$C$532)</f>
        <v/>
      </c>
      <c r="K529">
        <f>IF([2]Entry!$D$532="","",[2]Entry!$D$532)</f>
        <v/>
      </c>
      <c r="L529">
        <f>IF([2]Entry!$E$532="","",[2]Entry!$E$532)</f>
        <v/>
      </c>
      <c r="M529">
        <f>IF([2]Entry!$G$532="","",[2]Entry!$G$532)</f>
        <v/>
      </c>
      <c r="N529">
        <f>IF([2]Entry!$M$532="","",[2]Entry!$M$532)</f>
        <v/>
      </c>
      <c r="O529">
        <f>IF([2]Entry!$N$532="","",[2]Entry!$N$532)</f>
        <v/>
      </c>
      <c r="P529">
        <f>IF([2]Entry!$R$532="","",[2]Entry!$R$532)</f>
        <v/>
      </c>
    </row>
    <row r="530">
      <c r="A530">
        <f>IF([1]Accounts!$D$531="","",[1]Accounts!$A$531)</f>
        <v/>
      </c>
      <c r="B530">
        <f>IF([1]Accounts!$D$531="","",[1]Accounts!$B$531)</f>
        <v/>
      </c>
      <c r="C530">
        <f>IF([1]Accounts!$D$531="","",[1]Accounts!$C$531)</f>
        <v/>
      </c>
      <c r="D530">
        <f>IF([1]Accounts!$D$531="","",[1]Accounts!$D$531)</f>
        <v/>
      </c>
      <c r="E530">
        <f>IF([1]Accounts!$D$531="","",[1]Accounts!$J$531)</f>
        <v/>
      </c>
      <c r="F530">
        <f>IF([1]Accounts!$D$531="","",[1]Accounts!$K$531)</f>
        <v/>
      </c>
      <c r="J530">
        <f>IF([2]Entry!$C$533="","",[2]Entry!$C$533)</f>
        <v/>
      </c>
      <c r="K530">
        <f>IF([2]Entry!$D$533="","",[2]Entry!$D$533)</f>
        <v/>
      </c>
      <c r="L530">
        <f>IF([2]Entry!$E$533="","",[2]Entry!$E$533)</f>
        <v/>
      </c>
      <c r="M530">
        <f>IF([2]Entry!$G$533="","",[2]Entry!$G$533)</f>
        <v/>
      </c>
      <c r="N530">
        <f>IF([2]Entry!$M$533="","",[2]Entry!$M$533)</f>
        <v/>
      </c>
      <c r="O530">
        <f>IF([2]Entry!$N$533="","",[2]Entry!$N$533)</f>
        <v/>
      </c>
      <c r="P530">
        <f>IF([2]Entry!$R$533="","",[2]Entry!$R$533)</f>
        <v/>
      </c>
    </row>
    <row r="531">
      <c r="A531">
        <f>IF([1]Accounts!$D$532="","",[1]Accounts!$A$532)</f>
        <v/>
      </c>
      <c r="B531">
        <f>IF([1]Accounts!$D$532="","",[1]Accounts!$B$532)</f>
        <v/>
      </c>
      <c r="C531">
        <f>IF([1]Accounts!$D$532="","",[1]Accounts!$C$532)</f>
        <v/>
      </c>
      <c r="D531">
        <f>IF([1]Accounts!$D$532="","",[1]Accounts!$D$532)</f>
        <v/>
      </c>
      <c r="E531">
        <f>IF([1]Accounts!$D$532="","",[1]Accounts!$J$532)</f>
        <v/>
      </c>
      <c r="F531">
        <f>IF([1]Accounts!$D$532="","",[1]Accounts!$K$532)</f>
        <v/>
      </c>
      <c r="J531">
        <f>IF([2]Entry!$C$534="","",[2]Entry!$C$534)</f>
        <v/>
      </c>
      <c r="K531">
        <f>IF([2]Entry!$D$534="","",[2]Entry!$D$534)</f>
        <v/>
      </c>
      <c r="L531">
        <f>IF([2]Entry!$E$534="","",[2]Entry!$E$534)</f>
        <v/>
      </c>
      <c r="M531">
        <f>IF([2]Entry!$G$534="","",[2]Entry!$G$534)</f>
        <v/>
      </c>
      <c r="N531">
        <f>IF([2]Entry!$M$534="","",[2]Entry!$M$534)</f>
        <v/>
      </c>
      <c r="O531">
        <f>IF([2]Entry!$N$534="","",[2]Entry!$N$534)</f>
        <v/>
      </c>
      <c r="P531">
        <f>IF([2]Entry!$R$534="","",[2]Entry!$R$534)</f>
        <v/>
      </c>
    </row>
    <row r="532">
      <c r="A532">
        <f>IF([1]Accounts!$D$533="","",[1]Accounts!$A$533)</f>
        <v/>
      </c>
      <c r="B532">
        <f>IF([1]Accounts!$D$533="","",[1]Accounts!$B$533)</f>
        <v/>
      </c>
      <c r="C532">
        <f>IF([1]Accounts!$D$533="","",[1]Accounts!$C$533)</f>
        <v/>
      </c>
      <c r="D532">
        <f>IF([1]Accounts!$D$533="","",[1]Accounts!$D$533)</f>
        <v/>
      </c>
      <c r="E532">
        <f>IF([1]Accounts!$D$533="","",[1]Accounts!$J$533)</f>
        <v/>
      </c>
      <c r="F532">
        <f>IF([1]Accounts!$D$533="","",[1]Accounts!$K$533)</f>
        <v/>
      </c>
      <c r="J532">
        <f>IF([2]Entry!$C$535="","",[2]Entry!$C$535)</f>
        <v/>
      </c>
      <c r="K532">
        <f>IF([2]Entry!$D$535="","",[2]Entry!$D$535)</f>
        <v/>
      </c>
      <c r="L532">
        <f>IF([2]Entry!$E$535="","",[2]Entry!$E$535)</f>
        <v/>
      </c>
      <c r="M532">
        <f>IF([2]Entry!$G$535="","",[2]Entry!$G$535)</f>
        <v/>
      </c>
      <c r="N532">
        <f>IF([2]Entry!$M$535="","",[2]Entry!$M$535)</f>
        <v/>
      </c>
      <c r="O532">
        <f>IF([2]Entry!$N$535="","",[2]Entry!$N$535)</f>
        <v/>
      </c>
      <c r="P532">
        <f>IF([2]Entry!$R$535="","",[2]Entry!$R$535)</f>
        <v/>
      </c>
    </row>
    <row r="533">
      <c r="A533">
        <f>IF([1]Accounts!$D$534="","",[1]Accounts!$A$534)</f>
        <v/>
      </c>
      <c r="B533">
        <f>IF([1]Accounts!$D$534="","",[1]Accounts!$B$534)</f>
        <v/>
      </c>
      <c r="C533">
        <f>IF([1]Accounts!$D$534="","",[1]Accounts!$C$534)</f>
        <v/>
      </c>
      <c r="D533">
        <f>IF([1]Accounts!$D$534="","",[1]Accounts!$D$534)</f>
        <v/>
      </c>
      <c r="E533">
        <f>IF([1]Accounts!$D$534="","",[1]Accounts!$J$534)</f>
        <v/>
      </c>
      <c r="F533">
        <f>IF([1]Accounts!$D$534="","",[1]Accounts!$K$534)</f>
        <v/>
      </c>
      <c r="J533">
        <f>IF([2]Entry!$C$536="","",[2]Entry!$C$536)</f>
        <v/>
      </c>
      <c r="K533">
        <f>IF([2]Entry!$D$536="","",[2]Entry!$D$536)</f>
        <v/>
      </c>
      <c r="L533">
        <f>IF([2]Entry!$E$536="","",[2]Entry!$E$536)</f>
        <v/>
      </c>
      <c r="M533">
        <f>IF([2]Entry!$G$536="","",[2]Entry!$G$536)</f>
        <v/>
      </c>
      <c r="N533">
        <f>IF([2]Entry!$M$536="","",[2]Entry!$M$536)</f>
        <v/>
      </c>
      <c r="O533">
        <f>IF([2]Entry!$N$536="","",[2]Entry!$N$536)</f>
        <v/>
      </c>
      <c r="P533">
        <f>IF([2]Entry!$R$536="","",[2]Entry!$R$536)</f>
        <v/>
      </c>
    </row>
    <row r="534">
      <c r="A534">
        <f>IF([1]Accounts!$D$535="","",[1]Accounts!$A$535)</f>
        <v/>
      </c>
      <c r="B534">
        <f>IF([1]Accounts!$D$535="","",[1]Accounts!$B$535)</f>
        <v/>
      </c>
      <c r="C534">
        <f>IF([1]Accounts!$D$535="","",[1]Accounts!$C$535)</f>
        <v/>
      </c>
      <c r="D534">
        <f>IF([1]Accounts!$D$535="","",[1]Accounts!$D$535)</f>
        <v/>
      </c>
      <c r="E534">
        <f>IF([1]Accounts!$D$535="","",[1]Accounts!$J$535)</f>
        <v/>
      </c>
      <c r="F534">
        <f>IF([1]Accounts!$D$535="","",[1]Accounts!$K$535)</f>
        <v/>
      </c>
      <c r="J534">
        <f>IF([2]Entry!$C$537="","",[2]Entry!$C$537)</f>
        <v/>
      </c>
      <c r="K534">
        <f>IF([2]Entry!$D$537="","",[2]Entry!$D$537)</f>
        <v/>
      </c>
      <c r="L534">
        <f>IF([2]Entry!$E$537="","",[2]Entry!$E$537)</f>
        <v/>
      </c>
      <c r="M534">
        <f>IF([2]Entry!$G$537="","",[2]Entry!$G$537)</f>
        <v/>
      </c>
      <c r="N534">
        <f>IF([2]Entry!$M$537="","",[2]Entry!$M$537)</f>
        <v/>
      </c>
      <c r="O534">
        <f>IF([2]Entry!$N$537="","",[2]Entry!$N$537)</f>
        <v/>
      </c>
      <c r="P534">
        <f>IF([2]Entry!$R$537="","",[2]Entry!$R$537)</f>
        <v/>
      </c>
    </row>
    <row r="535">
      <c r="A535">
        <f>IF([1]Accounts!$D$536="","",[1]Accounts!$A$536)</f>
        <v/>
      </c>
      <c r="B535">
        <f>IF([1]Accounts!$D$536="","",[1]Accounts!$B$536)</f>
        <v/>
      </c>
      <c r="C535">
        <f>IF([1]Accounts!$D$536="","",[1]Accounts!$C$536)</f>
        <v/>
      </c>
      <c r="D535">
        <f>IF([1]Accounts!$D$536="","",[1]Accounts!$D$536)</f>
        <v/>
      </c>
      <c r="E535">
        <f>IF([1]Accounts!$D$536="","",[1]Accounts!$J$536)</f>
        <v/>
      </c>
      <c r="F535">
        <f>IF([1]Accounts!$D$536="","",[1]Accounts!$K$536)</f>
        <v/>
      </c>
      <c r="J535">
        <f>IF([2]Entry!$C$538="","",[2]Entry!$C$538)</f>
        <v/>
      </c>
      <c r="K535">
        <f>IF([2]Entry!$D$538="","",[2]Entry!$D$538)</f>
        <v/>
      </c>
      <c r="L535">
        <f>IF([2]Entry!$E$538="","",[2]Entry!$E$538)</f>
        <v/>
      </c>
      <c r="M535">
        <f>IF([2]Entry!$G$538="","",[2]Entry!$G$538)</f>
        <v/>
      </c>
      <c r="N535">
        <f>IF([2]Entry!$M$538="","",[2]Entry!$M$538)</f>
        <v/>
      </c>
      <c r="O535">
        <f>IF([2]Entry!$N$538="","",[2]Entry!$N$538)</f>
        <v/>
      </c>
      <c r="P535">
        <f>IF([2]Entry!$R$538="","",[2]Entry!$R$538)</f>
        <v/>
      </c>
    </row>
    <row r="536">
      <c r="A536">
        <f>IF([1]Accounts!$D$537="","",[1]Accounts!$A$537)</f>
        <v/>
      </c>
      <c r="B536">
        <f>IF([1]Accounts!$D$537="","",[1]Accounts!$B$537)</f>
        <v/>
      </c>
      <c r="C536">
        <f>IF([1]Accounts!$D$537="","",[1]Accounts!$C$537)</f>
        <v/>
      </c>
      <c r="D536">
        <f>IF([1]Accounts!$D$537="","",[1]Accounts!$D$537)</f>
        <v/>
      </c>
      <c r="E536">
        <f>IF([1]Accounts!$D$537="","",[1]Accounts!$J$537)</f>
        <v/>
      </c>
      <c r="F536">
        <f>IF([1]Accounts!$D$537="","",[1]Accounts!$K$537)</f>
        <v/>
      </c>
      <c r="J536">
        <f>IF([2]Entry!$C$539="","",[2]Entry!$C$539)</f>
        <v/>
      </c>
      <c r="K536">
        <f>IF([2]Entry!$D$539="","",[2]Entry!$D$539)</f>
        <v/>
      </c>
      <c r="L536">
        <f>IF([2]Entry!$E$539="","",[2]Entry!$E$539)</f>
        <v/>
      </c>
      <c r="M536">
        <f>IF([2]Entry!$G$539="","",[2]Entry!$G$539)</f>
        <v/>
      </c>
      <c r="N536">
        <f>IF([2]Entry!$M$539="","",[2]Entry!$M$539)</f>
        <v/>
      </c>
      <c r="O536">
        <f>IF([2]Entry!$N$539="","",[2]Entry!$N$539)</f>
        <v/>
      </c>
      <c r="P536">
        <f>IF([2]Entry!$R$539="","",[2]Entry!$R$539)</f>
        <v/>
      </c>
    </row>
    <row r="537">
      <c r="A537">
        <f>IF([1]Accounts!$D$538="","",[1]Accounts!$A$538)</f>
        <v/>
      </c>
      <c r="B537">
        <f>IF([1]Accounts!$D$538="","",[1]Accounts!$B$538)</f>
        <v/>
      </c>
      <c r="C537">
        <f>IF([1]Accounts!$D$538="","",[1]Accounts!$C$538)</f>
        <v/>
      </c>
      <c r="D537">
        <f>IF([1]Accounts!$D$538="","",[1]Accounts!$D$538)</f>
        <v/>
      </c>
      <c r="E537">
        <f>IF([1]Accounts!$D$538="","",[1]Accounts!$J$538)</f>
        <v/>
      </c>
      <c r="F537">
        <f>IF([1]Accounts!$D$538="","",[1]Accounts!$K$538)</f>
        <v/>
      </c>
      <c r="J537">
        <f>IF([2]Entry!$C$540="","",[2]Entry!$C$540)</f>
        <v/>
      </c>
      <c r="K537">
        <f>IF([2]Entry!$D$540="","",[2]Entry!$D$540)</f>
        <v/>
      </c>
      <c r="L537">
        <f>IF([2]Entry!$E$540="","",[2]Entry!$E$540)</f>
        <v/>
      </c>
      <c r="M537">
        <f>IF([2]Entry!$G$540="","",[2]Entry!$G$540)</f>
        <v/>
      </c>
      <c r="N537">
        <f>IF([2]Entry!$M$540="","",[2]Entry!$M$540)</f>
        <v/>
      </c>
      <c r="O537">
        <f>IF([2]Entry!$N$540="","",[2]Entry!$N$540)</f>
        <v/>
      </c>
      <c r="P537">
        <f>IF([2]Entry!$R$540="","",[2]Entry!$R$540)</f>
        <v/>
      </c>
    </row>
    <row r="538">
      <c r="A538">
        <f>IF([1]Accounts!$D$539="","",[1]Accounts!$A$539)</f>
        <v/>
      </c>
      <c r="B538">
        <f>IF([1]Accounts!$D$539="","",[1]Accounts!$B$539)</f>
        <v/>
      </c>
      <c r="C538">
        <f>IF([1]Accounts!$D$539="","",[1]Accounts!$C$539)</f>
        <v/>
      </c>
      <c r="D538">
        <f>IF([1]Accounts!$D$539="","",[1]Accounts!$D$539)</f>
        <v/>
      </c>
      <c r="E538">
        <f>IF([1]Accounts!$D$539="","",[1]Accounts!$J$539)</f>
        <v/>
      </c>
      <c r="F538">
        <f>IF([1]Accounts!$D$539="","",[1]Accounts!$K$539)</f>
        <v/>
      </c>
      <c r="J538">
        <f>IF([2]Entry!$C$541="","",[2]Entry!$C$541)</f>
        <v/>
      </c>
      <c r="K538">
        <f>IF([2]Entry!$D$541="","",[2]Entry!$D$541)</f>
        <v/>
      </c>
      <c r="L538">
        <f>IF([2]Entry!$E$541="","",[2]Entry!$E$541)</f>
        <v/>
      </c>
      <c r="M538">
        <f>IF([2]Entry!$G$541="","",[2]Entry!$G$541)</f>
        <v/>
      </c>
      <c r="N538">
        <f>IF([2]Entry!$M$541="","",[2]Entry!$M$541)</f>
        <v/>
      </c>
      <c r="O538">
        <f>IF([2]Entry!$N$541="","",[2]Entry!$N$541)</f>
        <v/>
      </c>
      <c r="P538">
        <f>IF([2]Entry!$R$541="","",[2]Entry!$R$541)</f>
        <v/>
      </c>
    </row>
    <row r="539">
      <c r="A539">
        <f>IF([1]Accounts!$D$540="","",[1]Accounts!$A$540)</f>
        <v/>
      </c>
      <c r="B539">
        <f>IF([1]Accounts!$D$540="","",[1]Accounts!$B$540)</f>
        <v/>
      </c>
      <c r="C539">
        <f>IF([1]Accounts!$D$540="","",[1]Accounts!$C$540)</f>
        <v/>
      </c>
      <c r="D539">
        <f>IF([1]Accounts!$D$540="","",[1]Accounts!$D$540)</f>
        <v/>
      </c>
      <c r="E539">
        <f>IF([1]Accounts!$D$540="","",[1]Accounts!$J$540)</f>
        <v/>
      </c>
      <c r="F539">
        <f>IF([1]Accounts!$D$540="","",[1]Accounts!$K$540)</f>
        <v/>
      </c>
      <c r="J539">
        <f>IF([2]Entry!$C$542="","",[2]Entry!$C$542)</f>
        <v/>
      </c>
      <c r="K539">
        <f>IF([2]Entry!$D$542="","",[2]Entry!$D$542)</f>
        <v/>
      </c>
      <c r="L539">
        <f>IF([2]Entry!$E$542="","",[2]Entry!$E$542)</f>
        <v/>
      </c>
      <c r="M539">
        <f>IF([2]Entry!$G$542="","",[2]Entry!$G$542)</f>
        <v/>
      </c>
      <c r="N539">
        <f>IF([2]Entry!$M$542="","",[2]Entry!$M$542)</f>
        <v/>
      </c>
      <c r="O539">
        <f>IF([2]Entry!$N$542="","",[2]Entry!$N$542)</f>
        <v/>
      </c>
      <c r="P539">
        <f>IF([2]Entry!$R$542="","",[2]Entry!$R$542)</f>
        <v/>
      </c>
    </row>
    <row r="540">
      <c r="A540">
        <f>IF([1]Accounts!$D$541="","",[1]Accounts!$A$541)</f>
        <v/>
      </c>
      <c r="B540">
        <f>IF([1]Accounts!$D$541="","",[1]Accounts!$B$541)</f>
        <v/>
      </c>
      <c r="C540">
        <f>IF([1]Accounts!$D$541="","",[1]Accounts!$C$541)</f>
        <v/>
      </c>
      <c r="D540">
        <f>IF([1]Accounts!$D$541="","",[1]Accounts!$D$541)</f>
        <v/>
      </c>
      <c r="E540">
        <f>IF([1]Accounts!$D$541="","",[1]Accounts!$J$541)</f>
        <v/>
      </c>
      <c r="F540">
        <f>IF([1]Accounts!$D$541="","",[1]Accounts!$K$541)</f>
        <v/>
      </c>
      <c r="J540">
        <f>IF([2]Entry!$C$543="","",[2]Entry!$C$543)</f>
        <v/>
      </c>
      <c r="K540">
        <f>IF([2]Entry!$D$543="","",[2]Entry!$D$543)</f>
        <v/>
      </c>
      <c r="L540">
        <f>IF([2]Entry!$E$543="","",[2]Entry!$E$543)</f>
        <v/>
      </c>
      <c r="M540">
        <f>IF([2]Entry!$G$543="","",[2]Entry!$G$543)</f>
        <v/>
      </c>
      <c r="N540">
        <f>IF([2]Entry!$M$543="","",[2]Entry!$M$543)</f>
        <v/>
      </c>
      <c r="O540">
        <f>IF([2]Entry!$N$543="","",[2]Entry!$N$543)</f>
        <v/>
      </c>
      <c r="P540">
        <f>IF([2]Entry!$R$543="","",[2]Entry!$R$543)</f>
        <v/>
      </c>
    </row>
    <row r="541">
      <c r="A541">
        <f>IF([1]Accounts!$D$542="","",[1]Accounts!$A$542)</f>
        <v/>
      </c>
      <c r="B541">
        <f>IF([1]Accounts!$D$542="","",[1]Accounts!$B$542)</f>
        <v/>
      </c>
      <c r="C541">
        <f>IF([1]Accounts!$D$542="","",[1]Accounts!$C$542)</f>
        <v/>
      </c>
      <c r="D541">
        <f>IF([1]Accounts!$D$542="","",[1]Accounts!$D$542)</f>
        <v/>
      </c>
      <c r="E541">
        <f>IF([1]Accounts!$D$542="","",[1]Accounts!$J$542)</f>
        <v/>
      </c>
      <c r="F541">
        <f>IF([1]Accounts!$D$542="","",[1]Accounts!$K$542)</f>
        <v/>
      </c>
      <c r="J541">
        <f>IF([2]Entry!$C$544="","",[2]Entry!$C$544)</f>
        <v/>
      </c>
      <c r="K541">
        <f>IF([2]Entry!$D$544="","",[2]Entry!$D$544)</f>
        <v/>
      </c>
      <c r="L541">
        <f>IF([2]Entry!$E$544="","",[2]Entry!$E$544)</f>
        <v/>
      </c>
      <c r="M541">
        <f>IF([2]Entry!$G$544="","",[2]Entry!$G$544)</f>
        <v/>
      </c>
      <c r="N541">
        <f>IF([2]Entry!$M$544="","",[2]Entry!$M$544)</f>
        <v/>
      </c>
      <c r="O541">
        <f>IF([2]Entry!$N$544="","",[2]Entry!$N$544)</f>
        <v/>
      </c>
      <c r="P541">
        <f>IF([2]Entry!$R$544="","",[2]Entry!$R$544)</f>
        <v/>
      </c>
    </row>
    <row r="542">
      <c r="A542">
        <f>IF([1]Accounts!$D$543="","",[1]Accounts!$A$543)</f>
        <v/>
      </c>
      <c r="B542">
        <f>IF([1]Accounts!$D$543="","",[1]Accounts!$B$543)</f>
        <v/>
      </c>
      <c r="C542">
        <f>IF([1]Accounts!$D$543="","",[1]Accounts!$C$543)</f>
        <v/>
      </c>
      <c r="D542">
        <f>IF([1]Accounts!$D$543="","",[1]Accounts!$D$543)</f>
        <v/>
      </c>
      <c r="E542">
        <f>IF([1]Accounts!$D$543="","",[1]Accounts!$J$543)</f>
        <v/>
      </c>
      <c r="F542">
        <f>IF([1]Accounts!$D$543="","",[1]Accounts!$K$543)</f>
        <v/>
      </c>
      <c r="J542">
        <f>IF([2]Entry!$C$545="","",[2]Entry!$C$545)</f>
        <v/>
      </c>
      <c r="K542">
        <f>IF([2]Entry!$D$545="","",[2]Entry!$D$545)</f>
        <v/>
      </c>
      <c r="L542">
        <f>IF([2]Entry!$E$545="","",[2]Entry!$E$545)</f>
        <v/>
      </c>
      <c r="M542">
        <f>IF([2]Entry!$G$545="","",[2]Entry!$G$545)</f>
        <v/>
      </c>
      <c r="N542">
        <f>IF([2]Entry!$M$545="","",[2]Entry!$M$545)</f>
        <v/>
      </c>
      <c r="O542">
        <f>IF([2]Entry!$N$545="","",[2]Entry!$N$545)</f>
        <v/>
      </c>
      <c r="P542">
        <f>IF([2]Entry!$R$545="","",[2]Entry!$R$545)</f>
        <v/>
      </c>
    </row>
    <row r="543">
      <c r="A543">
        <f>IF([1]Accounts!$D$544="","",[1]Accounts!$A$544)</f>
        <v/>
      </c>
      <c r="B543">
        <f>IF([1]Accounts!$D$544="","",[1]Accounts!$B$544)</f>
        <v/>
      </c>
      <c r="C543">
        <f>IF([1]Accounts!$D$544="","",[1]Accounts!$C$544)</f>
        <v/>
      </c>
      <c r="D543">
        <f>IF([1]Accounts!$D$544="","",[1]Accounts!$D$544)</f>
        <v/>
      </c>
      <c r="E543">
        <f>IF([1]Accounts!$D$544="","",[1]Accounts!$J$544)</f>
        <v/>
      </c>
      <c r="F543">
        <f>IF([1]Accounts!$D$544="","",[1]Accounts!$K$544)</f>
        <v/>
      </c>
      <c r="J543">
        <f>IF([2]Entry!$C$546="","",[2]Entry!$C$546)</f>
        <v/>
      </c>
      <c r="K543">
        <f>IF([2]Entry!$D$546="","",[2]Entry!$D$546)</f>
        <v/>
      </c>
      <c r="L543">
        <f>IF([2]Entry!$E$546="","",[2]Entry!$E$546)</f>
        <v/>
      </c>
      <c r="M543">
        <f>IF([2]Entry!$G$546="","",[2]Entry!$G$546)</f>
        <v/>
      </c>
      <c r="N543">
        <f>IF([2]Entry!$M$546="","",[2]Entry!$M$546)</f>
        <v/>
      </c>
      <c r="O543">
        <f>IF([2]Entry!$N$546="","",[2]Entry!$N$546)</f>
        <v/>
      </c>
      <c r="P543">
        <f>IF([2]Entry!$R$546="","",[2]Entry!$R$546)</f>
        <v/>
      </c>
    </row>
    <row r="544">
      <c r="A544">
        <f>IF([1]Accounts!$D$545="","",[1]Accounts!$A$545)</f>
        <v/>
      </c>
      <c r="B544">
        <f>IF([1]Accounts!$D$545="","",[1]Accounts!$B$545)</f>
        <v/>
      </c>
      <c r="C544">
        <f>IF([1]Accounts!$D$545="","",[1]Accounts!$C$545)</f>
        <v/>
      </c>
      <c r="D544">
        <f>IF([1]Accounts!$D$545="","",[1]Accounts!$D$545)</f>
        <v/>
      </c>
      <c r="E544">
        <f>IF([1]Accounts!$D$545="","",[1]Accounts!$J$545)</f>
        <v/>
      </c>
      <c r="F544">
        <f>IF([1]Accounts!$D$545="","",[1]Accounts!$K$545)</f>
        <v/>
      </c>
      <c r="J544">
        <f>IF([2]Entry!$C$547="","",[2]Entry!$C$547)</f>
        <v/>
      </c>
      <c r="K544">
        <f>IF([2]Entry!$D$547="","",[2]Entry!$D$547)</f>
        <v/>
      </c>
      <c r="L544">
        <f>IF([2]Entry!$E$547="","",[2]Entry!$E$547)</f>
        <v/>
      </c>
      <c r="M544">
        <f>IF([2]Entry!$G$547="","",[2]Entry!$G$547)</f>
        <v/>
      </c>
      <c r="N544">
        <f>IF([2]Entry!$M$547="","",[2]Entry!$M$547)</f>
        <v/>
      </c>
      <c r="O544">
        <f>IF([2]Entry!$N$547="","",[2]Entry!$N$547)</f>
        <v/>
      </c>
      <c r="P544">
        <f>IF([2]Entry!$R$547="","",[2]Entry!$R$547)</f>
        <v/>
      </c>
    </row>
    <row r="545">
      <c r="A545">
        <f>IF([1]Accounts!$D$546="","",[1]Accounts!$A$546)</f>
        <v/>
      </c>
      <c r="B545">
        <f>IF([1]Accounts!$D$546="","",[1]Accounts!$B$546)</f>
        <v/>
      </c>
      <c r="C545">
        <f>IF([1]Accounts!$D$546="","",[1]Accounts!$C$546)</f>
        <v/>
      </c>
      <c r="D545">
        <f>IF([1]Accounts!$D$546="","",[1]Accounts!$D$546)</f>
        <v/>
      </c>
      <c r="E545">
        <f>IF([1]Accounts!$D$546="","",[1]Accounts!$J$546)</f>
        <v/>
      </c>
      <c r="F545">
        <f>IF([1]Accounts!$D$546="","",[1]Accounts!$K$546)</f>
        <v/>
      </c>
      <c r="J545">
        <f>IF([2]Entry!$C$548="","",[2]Entry!$C$548)</f>
        <v/>
      </c>
      <c r="K545">
        <f>IF([2]Entry!$D$548="","",[2]Entry!$D$548)</f>
        <v/>
      </c>
      <c r="L545">
        <f>IF([2]Entry!$E$548="","",[2]Entry!$E$548)</f>
        <v/>
      </c>
      <c r="M545">
        <f>IF([2]Entry!$G$548="","",[2]Entry!$G$548)</f>
        <v/>
      </c>
      <c r="N545">
        <f>IF([2]Entry!$M$548="","",[2]Entry!$M$548)</f>
        <v/>
      </c>
      <c r="O545">
        <f>IF([2]Entry!$N$548="","",[2]Entry!$N$548)</f>
        <v/>
      </c>
      <c r="P545">
        <f>IF([2]Entry!$R$548="","",[2]Entry!$R$548)</f>
        <v/>
      </c>
    </row>
    <row r="546">
      <c r="A546">
        <f>IF([1]Accounts!$D$547="","",[1]Accounts!$A$547)</f>
        <v/>
      </c>
      <c r="B546">
        <f>IF([1]Accounts!$D$547="","",[1]Accounts!$B$547)</f>
        <v/>
      </c>
      <c r="C546">
        <f>IF([1]Accounts!$D$547="","",[1]Accounts!$C$547)</f>
        <v/>
      </c>
      <c r="D546">
        <f>IF([1]Accounts!$D$547="","",[1]Accounts!$D$547)</f>
        <v/>
      </c>
      <c r="E546">
        <f>IF([1]Accounts!$D$547="","",[1]Accounts!$J$547)</f>
        <v/>
      </c>
      <c r="F546">
        <f>IF([1]Accounts!$D$547="","",[1]Accounts!$K$547)</f>
        <v/>
      </c>
      <c r="J546">
        <f>IF([2]Entry!$C$549="","",[2]Entry!$C$549)</f>
        <v/>
      </c>
      <c r="K546">
        <f>IF([2]Entry!$D$549="","",[2]Entry!$D$549)</f>
        <v/>
      </c>
      <c r="L546">
        <f>IF([2]Entry!$E$549="","",[2]Entry!$E$549)</f>
        <v/>
      </c>
      <c r="M546">
        <f>IF([2]Entry!$G$549="","",[2]Entry!$G$549)</f>
        <v/>
      </c>
      <c r="N546">
        <f>IF([2]Entry!$M$549="","",[2]Entry!$M$549)</f>
        <v/>
      </c>
      <c r="O546">
        <f>IF([2]Entry!$N$549="","",[2]Entry!$N$549)</f>
        <v/>
      </c>
      <c r="P546">
        <f>IF([2]Entry!$R$549="","",[2]Entry!$R$549)</f>
        <v/>
      </c>
    </row>
    <row r="547">
      <c r="A547">
        <f>IF([1]Accounts!$D$548="","",[1]Accounts!$A$548)</f>
        <v/>
      </c>
      <c r="B547">
        <f>IF([1]Accounts!$D$548="","",[1]Accounts!$B$548)</f>
        <v/>
      </c>
      <c r="C547">
        <f>IF([1]Accounts!$D$548="","",[1]Accounts!$C$548)</f>
        <v/>
      </c>
      <c r="D547">
        <f>IF([1]Accounts!$D$548="","",[1]Accounts!$D$548)</f>
        <v/>
      </c>
      <c r="E547">
        <f>IF([1]Accounts!$D$548="","",[1]Accounts!$J$548)</f>
        <v/>
      </c>
      <c r="F547">
        <f>IF([1]Accounts!$D$548="","",[1]Accounts!$K$548)</f>
        <v/>
      </c>
      <c r="J547">
        <f>IF([2]Entry!$C$550="","",[2]Entry!$C$550)</f>
        <v/>
      </c>
      <c r="K547">
        <f>IF([2]Entry!$D$550="","",[2]Entry!$D$550)</f>
        <v/>
      </c>
      <c r="L547">
        <f>IF([2]Entry!$E$550="","",[2]Entry!$E$550)</f>
        <v/>
      </c>
      <c r="M547">
        <f>IF([2]Entry!$G$550="","",[2]Entry!$G$550)</f>
        <v/>
      </c>
      <c r="N547">
        <f>IF([2]Entry!$M$550="","",[2]Entry!$M$550)</f>
        <v/>
      </c>
      <c r="O547">
        <f>IF([2]Entry!$N$550="","",[2]Entry!$N$550)</f>
        <v/>
      </c>
      <c r="P547">
        <f>IF([2]Entry!$R$550="","",[2]Entry!$R$550)</f>
        <v/>
      </c>
    </row>
    <row r="548">
      <c r="A548">
        <f>IF([1]Accounts!$D$549="","",[1]Accounts!$A$549)</f>
        <v/>
      </c>
      <c r="B548">
        <f>IF([1]Accounts!$D$549="","",[1]Accounts!$B$549)</f>
        <v/>
      </c>
      <c r="C548">
        <f>IF([1]Accounts!$D$549="","",[1]Accounts!$C$549)</f>
        <v/>
      </c>
      <c r="D548">
        <f>IF([1]Accounts!$D$549="","",[1]Accounts!$D$549)</f>
        <v/>
      </c>
      <c r="E548">
        <f>IF([1]Accounts!$D$549="","",[1]Accounts!$J$549)</f>
        <v/>
      </c>
      <c r="F548">
        <f>IF([1]Accounts!$D$549="","",[1]Accounts!$K$549)</f>
        <v/>
      </c>
      <c r="J548">
        <f>IF([2]Entry!$C$551="","",[2]Entry!$C$551)</f>
        <v/>
      </c>
      <c r="K548">
        <f>IF([2]Entry!$D$551="","",[2]Entry!$D$551)</f>
        <v/>
      </c>
      <c r="L548">
        <f>IF([2]Entry!$E$551="","",[2]Entry!$E$551)</f>
        <v/>
      </c>
      <c r="M548">
        <f>IF([2]Entry!$G$551="","",[2]Entry!$G$551)</f>
        <v/>
      </c>
      <c r="N548">
        <f>IF([2]Entry!$M$551="","",[2]Entry!$M$551)</f>
        <v/>
      </c>
      <c r="O548">
        <f>IF([2]Entry!$N$551="","",[2]Entry!$N$551)</f>
        <v/>
      </c>
      <c r="P548">
        <f>IF([2]Entry!$R$551="","",[2]Entry!$R$551)</f>
        <v/>
      </c>
    </row>
    <row r="549">
      <c r="A549">
        <f>IF([1]Accounts!$D$550="","",[1]Accounts!$A$550)</f>
        <v/>
      </c>
      <c r="B549">
        <f>IF([1]Accounts!$D$550="","",[1]Accounts!$B$550)</f>
        <v/>
      </c>
      <c r="C549">
        <f>IF([1]Accounts!$D$550="","",[1]Accounts!$C$550)</f>
        <v/>
      </c>
      <c r="D549">
        <f>IF([1]Accounts!$D$550="","",[1]Accounts!$D$550)</f>
        <v/>
      </c>
      <c r="E549">
        <f>IF([1]Accounts!$D$550="","",[1]Accounts!$J$550)</f>
        <v/>
      </c>
      <c r="F549">
        <f>IF([1]Accounts!$D$550="","",[1]Accounts!$K$550)</f>
        <v/>
      </c>
      <c r="J549">
        <f>IF([2]Entry!$C$552="","",[2]Entry!$C$552)</f>
        <v/>
      </c>
      <c r="K549">
        <f>IF([2]Entry!$D$552="","",[2]Entry!$D$552)</f>
        <v/>
      </c>
      <c r="L549">
        <f>IF([2]Entry!$E$552="","",[2]Entry!$E$552)</f>
        <v/>
      </c>
      <c r="M549">
        <f>IF([2]Entry!$G$552="","",[2]Entry!$G$552)</f>
        <v/>
      </c>
      <c r="N549">
        <f>IF([2]Entry!$M$552="","",[2]Entry!$M$552)</f>
        <v/>
      </c>
      <c r="O549">
        <f>IF([2]Entry!$N$552="","",[2]Entry!$N$552)</f>
        <v/>
      </c>
      <c r="P549">
        <f>IF([2]Entry!$R$552="","",[2]Entry!$R$552)</f>
        <v/>
      </c>
    </row>
    <row r="550">
      <c r="A550">
        <f>IF([1]Accounts!$D$551="","",[1]Accounts!$A$551)</f>
        <v/>
      </c>
      <c r="B550">
        <f>IF([1]Accounts!$D$551="","",[1]Accounts!$B$551)</f>
        <v/>
      </c>
      <c r="C550">
        <f>IF([1]Accounts!$D$551="","",[1]Accounts!$C$551)</f>
        <v/>
      </c>
      <c r="D550">
        <f>IF([1]Accounts!$D$551="","",[1]Accounts!$D$551)</f>
        <v/>
      </c>
      <c r="E550">
        <f>IF([1]Accounts!$D$551="","",[1]Accounts!$J$551)</f>
        <v/>
      </c>
      <c r="F550">
        <f>IF([1]Accounts!$D$551="","",[1]Accounts!$K$551)</f>
        <v/>
      </c>
      <c r="J550">
        <f>IF([2]Entry!$C$553="","",[2]Entry!$C$553)</f>
        <v/>
      </c>
      <c r="K550">
        <f>IF([2]Entry!$D$553="","",[2]Entry!$D$553)</f>
        <v/>
      </c>
      <c r="L550">
        <f>IF([2]Entry!$E$553="","",[2]Entry!$E$553)</f>
        <v/>
      </c>
      <c r="M550">
        <f>IF([2]Entry!$G$553="","",[2]Entry!$G$553)</f>
        <v/>
      </c>
      <c r="N550">
        <f>IF([2]Entry!$M$553="","",[2]Entry!$M$553)</f>
        <v/>
      </c>
      <c r="O550">
        <f>IF([2]Entry!$N$553="","",[2]Entry!$N$553)</f>
        <v/>
      </c>
      <c r="P550">
        <f>IF([2]Entry!$R$553="","",[2]Entry!$R$553)</f>
        <v/>
      </c>
    </row>
    <row r="551">
      <c r="A551">
        <f>IF([1]Accounts!$D$552="","",[1]Accounts!$A$552)</f>
        <v/>
      </c>
      <c r="B551">
        <f>IF([1]Accounts!$D$552="","",[1]Accounts!$B$552)</f>
        <v/>
      </c>
      <c r="C551">
        <f>IF([1]Accounts!$D$552="","",[1]Accounts!$C$552)</f>
        <v/>
      </c>
      <c r="D551">
        <f>IF([1]Accounts!$D$552="","",[1]Accounts!$D$552)</f>
        <v/>
      </c>
      <c r="E551">
        <f>IF([1]Accounts!$D$552="","",[1]Accounts!$J$552)</f>
        <v/>
      </c>
      <c r="F551">
        <f>IF([1]Accounts!$D$552="","",[1]Accounts!$K$552)</f>
        <v/>
      </c>
      <c r="J551">
        <f>IF([2]Entry!$C$554="","",[2]Entry!$C$554)</f>
        <v/>
      </c>
      <c r="K551">
        <f>IF([2]Entry!$D$554="","",[2]Entry!$D$554)</f>
        <v/>
      </c>
      <c r="L551">
        <f>IF([2]Entry!$E$554="","",[2]Entry!$E$554)</f>
        <v/>
      </c>
      <c r="M551">
        <f>IF([2]Entry!$G$554="","",[2]Entry!$G$554)</f>
        <v/>
      </c>
      <c r="N551">
        <f>IF([2]Entry!$M$554="","",[2]Entry!$M$554)</f>
        <v/>
      </c>
      <c r="O551">
        <f>IF([2]Entry!$N$554="","",[2]Entry!$N$554)</f>
        <v/>
      </c>
      <c r="P551">
        <f>IF([2]Entry!$R$554="","",[2]Entry!$R$554)</f>
        <v/>
      </c>
    </row>
    <row r="552">
      <c r="A552">
        <f>IF([1]Accounts!$D$553="","",[1]Accounts!$A$553)</f>
        <v/>
      </c>
      <c r="B552">
        <f>IF([1]Accounts!$D$553="","",[1]Accounts!$B$553)</f>
        <v/>
      </c>
      <c r="C552">
        <f>IF([1]Accounts!$D$553="","",[1]Accounts!$C$553)</f>
        <v/>
      </c>
      <c r="D552">
        <f>IF([1]Accounts!$D$553="","",[1]Accounts!$D$553)</f>
        <v/>
      </c>
      <c r="E552">
        <f>IF([1]Accounts!$D$553="","",[1]Accounts!$J$553)</f>
        <v/>
      </c>
      <c r="F552">
        <f>IF([1]Accounts!$D$553="","",[1]Accounts!$K$553)</f>
        <v/>
      </c>
      <c r="J552">
        <f>IF([2]Entry!$C$555="","",[2]Entry!$C$555)</f>
        <v/>
      </c>
      <c r="K552">
        <f>IF([2]Entry!$D$555="","",[2]Entry!$D$555)</f>
        <v/>
      </c>
      <c r="L552">
        <f>IF([2]Entry!$E$555="","",[2]Entry!$E$555)</f>
        <v/>
      </c>
      <c r="M552">
        <f>IF([2]Entry!$G$555="","",[2]Entry!$G$555)</f>
        <v/>
      </c>
      <c r="N552">
        <f>IF([2]Entry!$M$555="","",[2]Entry!$M$555)</f>
        <v/>
      </c>
      <c r="O552">
        <f>IF([2]Entry!$N$555="","",[2]Entry!$N$555)</f>
        <v/>
      </c>
      <c r="P552">
        <f>IF([2]Entry!$R$555="","",[2]Entry!$R$555)</f>
        <v/>
      </c>
    </row>
    <row r="553">
      <c r="A553">
        <f>IF([1]Accounts!$D$554="","",[1]Accounts!$A$554)</f>
        <v/>
      </c>
      <c r="B553">
        <f>IF([1]Accounts!$D$554="","",[1]Accounts!$B$554)</f>
        <v/>
      </c>
      <c r="C553">
        <f>IF([1]Accounts!$D$554="","",[1]Accounts!$C$554)</f>
        <v/>
      </c>
      <c r="D553">
        <f>IF([1]Accounts!$D$554="","",[1]Accounts!$D$554)</f>
        <v/>
      </c>
      <c r="E553">
        <f>IF([1]Accounts!$D$554="","",[1]Accounts!$J$554)</f>
        <v/>
      </c>
      <c r="F553">
        <f>IF([1]Accounts!$D$554="","",[1]Accounts!$K$554)</f>
        <v/>
      </c>
      <c r="J553">
        <f>IF([2]Entry!$C$556="","",[2]Entry!$C$556)</f>
        <v/>
      </c>
      <c r="K553">
        <f>IF([2]Entry!$D$556="","",[2]Entry!$D$556)</f>
        <v/>
      </c>
      <c r="L553">
        <f>IF([2]Entry!$E$556="","",[2]Entry!$E$556)</f>
        <v/>
      </c>
      <c r="M553">
        <f>IF([2]Entry!$G$556="","",[2]Entry!$G$556)</f>
        <v/>
      </c>
      <c r="N553">
        <f>IF([2]Entry!$M$556="","",[2]Entry!$M$556)</f>
        <v/>
      </c>
      <c r="O553">
        <f>IF([2]Entry!$N$556="","",[2]Entry!$N$556)</f>
        <v/>
      </c>
      <c r="P553">
        <f>IF([2]Entry!$R$556="","",[2]Entry!$R$556)</f>
        <v/>
      </c>
    </row>
    <row r="554">
      <c r="A554">
        <f>IF([1]Accounts!$D$555="","",[1]Accounts!$A$555)</f>
        <v/>
      </c>
      <c r="B554">
        <f>IF([1]Accounts!$D$555="","",[1]Accounts!$B$555)</f>
        <v/>
      </c>
      <c r="C554">
        <f>IF([1]Accounts!$D$555="","",[1]Accounts!$C$555)</f>
        <v/>
      </c>
      <c r="D554">
        <f>IF([1]Accounts!$D$555="","",[1]Accounts!$D$555)</f>
        <v/>
      </c>
      <c r="E554">
        <f>IF([1]Accounts!$D$555="","",[1]Accounts!$J$555)</f>
        <v/>
      </c>
      <c r="F554">
        <f>IF([1]Accounts!$D$555="","",[1]Accounts!$K$555)</f>
        <v/>
      </c>
      <c r="J554">
        <f>IF([2]Entry!$C$557="","",[2]Entry!$C$557)</f>
        <v/>
      </c>
      <c r="K554">
        <f>IF([2]Entry!$D$557="","",[2]Entry!$D$557)</f>
        <v/>
      </c>
      <c r="L554">
        <f>IF([2]Entry!$E$557="","",[2]Entry!$E$557)</f>
        <v/>
      </c>
      <c r="M554">
        <f>IF([2]Entry!$G$557="","",[2]Entry!$G$557)</f>
        <v/>
      </c>
      <c r="N554">
        <f>IF([2]Entry!$M$557="","",[2]Entry!$M$557)</f>
        <v/>
      </c>
      <c r="O554">
        <f>IF([2]Entry!$N$557="","",[2]Entry!$N$557)</f>
        <v/>
      </c>
      <c r="P554">
        <f>IF([2]Entry!$R$557="","",[2]Entry!$R$557)</f>
        <v/>
      </c>
    </row>
    <row r="555">
      <c r="A555">
        <f>IF([1]Accounts!$D$556="","",[1]Accounts!$A$556)</f>
        <v/>
      </c>
      <c r="B555">
        <f>IF([1]Accounts!$D$556="","",[1]Accounts!$B$556)</f>
        <v/>
      </c>
      <c r="C555">
        <f>IF([1]Accounts!$D$556="","",[1]Accounts!$C$556)</f>
        <v/>
      </c>
      <c r="D555">
        <f>IF([1]Accounts!$D$556="","",[1]Accounts!$D$556)</f>
        <v/>
      </c>
      <c r="E555">
        <f>IF([1]Accounts!$D$556="","",[1]Accounts!$J$556)</f>
        <v/>
      </c>
      <c r="F555">
        <f>IF([1]Accounts!$D$556="","",[1]Accounts!$K$556)</f>
        <v/>
      </c>
      <c r="J555">
        <f>IF([2]Entry!$C$558="","",[2]Entry!$C$558)</f>
        <v/>
      </c>
      <c r="K555">
        <f>IF([2]Entry!$D$558="","",[2]Entry!$D$558)</f>
        <v/>
      </c>
      <c r="L555">
        <f>IF([2]Entry!$E$558="","",[2]Entry!$E$558)</f>
        <v/>
      </c>
      <c r="M555">
        <f>IF([2]Entry!$G$558="","",[2]Entry!$G$558)</f>
        <v/>
      </c>
      <c r="N555">
        <f>IF([2]Entry!$M$558="","",[2]Entry!$M$558)</f>
        <v/>
      </c>
      <c r="O555">
        <f>IF([2]Entry!$N$558="","",[2]Entry!$N$558)</f>
        <v/>
      </c>
      <c r="P555">
        <f>IF([2]Entry!$R$558="","",[2]Entry!$R$558)</f>
        <v/>
      </c>
    </row>
    <row r="556">
      <c r="A556">
        <f>IF([1]Accounts!$D$557="","",[1]Accounts!$A$557)</f>
        <v/>
      </c>
      <c r="B556">
        <f>IF([1]Accounts!$D$557="","",[1]Accounts!$B$557)</f>
        <v/>
      </c>
      <c r="C556">
        <f>IF([1]Accounts!$D$557="","",[1]Accounts!$C$557)</f>
        <v/>
      </c>
      <c r="D556">
        <f>IF([1]Accounts!$D$557="","",[1]Accounts!$D$557)</f>
        <v/>
      </c>
      <c r="E556">
        <f>IF([1]Accounts!$D$557="","",[1]Accounts!$J$557)</f>
        <v/>
      </c>
      <c r="F556">
        <f>IF([1]Accounts!$D$557="","",[1]Accounts!$K$557)</f>
        <v/>
      </c>
      <c r="J556">
        <f>IF([2]Entry!$C$559="","",[2]Entry!$C$559)</f>
        <v/>
      </c>
      <c r="K556">
        <f>IF([2]Entry!$D$559="","",[2]Entry!$D$559)</f>
        <v/>
      </c>
      <c r="L556">
        <f>IF([2]Entry!$E$559="","",[2]Entry!$E$559)</f>
        <v/>
      </c>
      <c r="M556">
        <f>IF([2]Entry!$G$559="","",[2]Entry!$G$559)</f>
        <v/>
      </c>
      <c r="N556">
        <f>IF([2]Entry!$M$559="","",[2]Entry!$M$559)</f>
        <v/>
      </c>
      <c r="O556">
        <f>IF([2]Entry!$N$559="","",[2]Entry!$N$559)</f>
        <v/>
      </c>
      <c r="P556">
        <f>IF([2]Entry!$R$559="","",[2]Entry!$R$559)</f>
        <v/>
      </c>
    </row>
    <row r="557">
      <c r="A557">
        <f>IF([1]Accounts!$D$558="","",[1]Accounts!$A$558)</f>
        <v/>
      </c>
      <c r="B557">
        <f>IF([1]Accounts!$D$558="","",[1]Accounts!$B$558)</f>
        <v/>
      </c>
      <c r="C557">
        <f>IF([1]Accounts!$D$558="","",[1]Accounts!$C$558)</f>
        <v/>
      </c>
      <c r="D557">
        <f>IF([1]Accounts!$D$558="","",[1]Accounts!$D$558)</f>
        <v/>
      </c>
      <c r="E557">
        <f>IF([1]Accounts!$D$558="","",[1]Accounts!$J$558)</f>
        <v/>
      </c>
      <c r="F557">
        <f>IF([1]Accounts!$D$558="","",[1]Accounts!$K$558)</f>
        <v/>
      </c>
      <c r="J557">
        <f>IF([2]Entry!$C$560="","",[2]Entry!$C$560)</f>
        <v/>
      </c>
      <c r="K557">
        <f>IF([2]Entry!$D$560="","",[2]Entry!$D$560)</f>
        <v/>
      </c>
      <c r="L557">
        <f>IF([2]Entry!$E$560="","",[2]Entry!$E$560)</f>
        <v/>
      </c>
      <c r="M557">
        <f>IF([2]Entry!$G$560="","",[2]Entry!$G$560)</f>
        <v/>
      </c>
      <c r="N557">
        <f>IF([2]Entry!$M$560="","",[2]Entry!$M$560)</f>
        <v/>
      </c>
      <c r="O557">
        <f>IF([2]Entry!$N$560="","",[2]Entry!$N$560)</f>
        <v/>
      </c>
      <c r="P557">
        <f>IF([2]Entry!$R$560="","",[2]Entry!$R$560)</f>
        <v/>
      </c>
    </row>
    <row r="558">
      <c r="A558">
        <f>IF([1]Accounts!$D$559="","",[1]Accounts!$A$559)</f>
        <v/>
      </c>
      <c r="B558">
        <f>IF([1]Accounts!$D$559="","",[1]Accounts!$B$559)</f>
        <v/>
      </c>
      <c r="C558">
        <f>IF([1]Accounts!$D$559="","",[1]Accounts!$C$559)</f>
        <v/>
      </c>
      <c r="D558">
        <f>IF([1]Accounts!$D$559="","",[1]Accounts!$D$559)</f>
        <v/>
      </c>
      <c r="E558">
        <f>IF([1]Accounts!$D$559="","",[1]Accounts!$J$559)</f>
        <v/>
      </c>
      <c r="F558">
        <f>IF([1]Accounts!$D$559="","",[1]Accounts!$K$559)</f>
        <v/>
      </c>
      <c r="J558">
        <f>IF([2]Entry!$C$561="","",[2]Entry!$C$561)</f>
        <v/>
      </c>
      <c r="K558">
        <f>IF([2]Entry!$D$561="","",[2]Entry!$D$561)</f>
        <v/>
      </c>
      <c r="L558">
        <f>IF([2]Entry!$E$561="","",[2]Entry!$E$561)</f>
        <v/>
      </c>
      <c r="M558">
        <f>IF([2]Entry!$G$561="","",[2]Entry!$G$561)</f>
        <v/>
      </c>
      <c r="N558">
        <f>IF([2]Entry!$M$561="","",[2]Entry!$M$561)</f>
        <v/>
      </c>
      <c r="O558">
        <f>IF([2]Entry!$N$561="","",[2]Entry!$N$561)</f>
        <v/>
      </c>
      <c r="P558">
        <f>IF([2]Entry!$R$561="","",[2]Entry!$R$561)</f>
        <v/>
      </c>
    </row>
    <row r="559">
      <c r="A559">
        <f>IF([1]Accounts!$D$560="","",[1]Accounts!$A$560)</f>
        <v/>
      </c>
      <c r="B559">
        <f>IF([1]Accounts!$D$560="","",[1]Accounts!$B$560)</f>
        <v/>
      </c>
      <c r="C559">
        <f>IF([1]Accounts!$D$560="","",[1]Accounts!$C$560)</f>
        <v/>
      </c>
      <c r="D559">
        <f>IF([1]Accounts!$D$560="","",[1]Accounts!$D$560)</f>
        <v/>
      </c>
      <c r="E559">
        <f>IF([1]Accounts!$D$560="","",[1]Accounts!$J$560)</f>
        <v/>
      </c>
      <c r="F559">
        <f>IF([1]Accounts!$D$560="","",[1]Accounts!$K$560)</f>
        <v/>
      </c>
      <c r="J559">
        <f>IF([2]Entry!$C$562="","",[2]Entry!$C$562)</f>
        <v/>
      </c>
      <c r="K559">
        <f>IF([2]Entry!$D$562="","",[2]Entry!$D$562)</f>
        <v/>
      </c>
      <c r="L559">
        <f>IF([2]Entry!$E$562="","",[2]Entry!$E$562)</f>
        <v/>
      </c>
      <c r="M559">
        <f>IF([2]Entry!$G$562="","",[2]Entry!$G$562)</f>
        <v/>
      </c>
      <c r="N559">
        <f>IF([2]Entry!$M$562="","",[2]Entry!$M$562)</f>
        <v/>
      </c>
      <c r="O559">
        <f>IF([2]Entry!$N$562="","",[2]Entry!$N$562)</f>
        <v/>
      </c>
      <c r="P559">
        <f>IF([2]Entry!$R$562="","",[2]Entry!$R$562)</f>
        <v/>
      </c>
    </row>
    <row r="560">
      <c r="A560">
        <f>IF([1]Accounts!$D$561="","",[1]Accounts!$A$561)</f>
        <v/>
      </c>
      <c r="B560">
        <f>IF([1]Accounts!$D$561="","",[1]Accounts!$B$561)</f>
        <v/>
      </c>
      <c r="C560">
        <f>IF([1]Accounts!$D$561="","",[1]Accounts!$C$561)</f>
        <v/>
      </c>
      <c r="D560">
        <f>IF([1]Accounts!$D$561="","",[1]Accounts!$D$561)</f>
        <v/>
      </c>
      <c r="E560">
        <f>IF([1]Accounts!$D$561="","",[1]Accounts!$J$561)</f>
        <v/>
      </c>
      <c r="F560">
        <f>IF([1]Accounts!$D$561="","",[1]Accounts!$K$561)</f>
        <v/>
      </c>
      <c r="J560">
        <f>IF([2]Entry!$C$563="","",[2]Entry!$C$563)</f>
        <v/>
      </c>
      <c r="K560">
        <f>IF([2]Entry!$D$563="","",[2]Entry!$D$563)</f>
        <v/>
      </c>
      <c r="L560">
        <f>IF([2]Entry!$E$563="","",[2]Entry!$E$563)</f>
        <v/>
      </c>
      <c r="M560">
        <f>IF([2]Entry!$G$563="","",[2]Entry!$G$563)</f>
        <v/>
      </c>
      <c r="N560">
        <f>IF([2]Entry!$M$563="","",[2]Entry!$M$563)</f>
        <v/>
      </c>
      <c r="O560">
        <f>IF([2]Entry!$N$563="","",[2]Entry!$N$563)</f>
        <v/>
      </c>
      <c r="P560">
        <f>IF([2]Entry!$R$563="","",[2]Entry!$R$563)</f>
        <v/>
      </c>
    </row>
    <row r="561">
      <c r="A561">
        <f>IF([1]Accounts!$D$562="","",[1]Accounts!$A$562)</f>
        <v/>
      </c>
      <c r="B561">
        <f>IF([1]Accounts!$D$562="","",[1]Accounts!$B$562)</f>
        <v/>
      </c>
      <c r="C561">
        <f>IF([1]Accounts!$D$562="","",[1]Accounts!$C$562)</f>
        <v/>
      </c>
      <c r="D561">
        <f>IF([1]Accounts!$D$562="","",[1]Accounts!$D$562)</f>
        <v/>
      </c>
      <c r="E561">
        <f>IF([1]Accounts!$D$562="","",[1]Accounts!$J$562)</f>
        <v/>
      </c>
      <c r="F561">
        <f>IF([1]Accounts!$D$562="","",[1]Accounts!$K$562)</f>
        <v/>
      </c>
      <c r="J561">
        <f>IF([2]Entry!$C$564="","",[2]Entry!$C$564)</f>
        <v/>
      </c>
      <c r="K561">
        <f>IF([2]Entry!$D$564="","",[2]Entry!$D$564)</f>
        <v/>
      </c>
      <c r="L561">
        <f>IF([2]Entry!$E$564="","",[2]Entry!$E$564)</f>
        <v/>
      </c>
      <c r="M561">
        <f>IF([2]Entry!$G$564="","",[2]Entry!$G$564)</f>
        <v/>
      </c>
      <c r="N561">
        <f>IF([2]Entry!$M$564="","",[2]Entry!$M$564)</f>
        <v/>
      </c>
      <c r="O561">
        <f>IF([2]Entry!$N$564="","",[2]Entry!$N$564)</f>
        <v/>
      </c>
      <c r="P561">
        <f>IF([2]Entry!$R$564="","",[2]Entry!$R$564)</f>
        <v/>
      </c>
    </row>
    <row r="562">
      <c r="A562">
        <f>IF([1]Accounts!$D$563="","",[1]Accounts!$A$563)</f>
        <v/>
      </c>
      <c r="B562">
        <f>IF([1]Accounts!$D$563="","",[1]Accounts!$B$563)</f>
        <v/>
      </c>
      <c r="C562">
        <f>IF([1]Accounts!$D$563="","",[1]Accounts!$C$563)</f>
        <v/>
      </c>
      <c r="D562">
        <f>IF([1]Accounts!$D$563="","",[1]Accounts!$D$563)</f>
        <v/>
      </c>
      <c r="E562">
        <f>IF([1]Accounts!$D$563="","",[1]Accounts!$J$563)</f>
        <v/>
      </c>
      <c r="F562">
        <f>IF([1]Accounts!$D$563="","",[1]Accounts!$K$563)</f>
        <v/>
      </c>
      <c r="J562">
        <f>IF([2]Entry!$C$565="","",[2]Entry!$C$565)</f>
        <v/>
      </c>
      <c r="K562">
        <f>IF([2]Entry!$D$565="","",[2]Entry!$D$565)</f>
        <v/>
      </c>
      <c r="L562">
        <f>IF([2]Entry!$E$565="","",[2]Entry!$E$565)</f>
        <v/>
      </c>
      <c r="M562">
        <f>IF([2]Entry!$G$565="","",[2]Entry!$G$565)</f>
        <v/>
      </c>
      <c r="N562">
        <f>IF([2]Entry!$M$565="","",[2]Entry!$M$565)</f>
        <v/>
      </c>
      <c r="O562">
        <f>IF([2]Entry!$N$565="","",[2]Entry!$N$565)</f>
        <v/>
      </c>
      <c r="P562">
        <f>IF([2]Entry!$R$565="","",[2]Entry!$R$565)</f>
        <v/>
      </c>
    </row>
    <row r="563">
      <c r="A563">
        <f>IF([1]Accounts!$D$564="","",[1]Accounts!$A$564)</f>
        <v/>
      </c>
      <c r="B563">
        <f>IF([1]Accounts!$D$564="","",[1]Accounts!$B$564)</f>
        <v/>
      </c>
      <c r="C563">
        <f>IF([1]Accounts!$D$564="","",[1]Accounts!$C$564)</f>
        <v/>
      </c>
      <c r="D563">
        <f>IF([1]Accounts!$D$564="","",[1]Accounts!$D$564)</f>
        <v/>
      </c>
      <c r="E563">
        <f>IF([1]Accounts!$D$564="","",[1]Accounts!$J$564)</f>
        <v/>
      </c>
      <c r="F563">
        <f>IF([1]Accounts!$D$564="","",[1]Accounts!$K$564)</f>
        <v/>
      </c>
      <c r="J563">
        <f>IF([2]Entry!$C$566="","",[2]Entry!$C$566)</f>
        <v/>
      </c>
      <c r="K563">
        <f>IF([2]Entry!$D$566="","",[2]Entry!$D$566)</f>
        <v/>
      </c>
      <c r="L563">
        <f>IF([2]Entry!$E$566="","",[2]Entry!$E$566)</f>
        <v/>
      </c>
      <c r="M563">
        <f>IF([2]Entry!$G$566="","",[2]Entry!$G$566)</f>
        <v/>
      </c>
      <c r="N563">
        <f>IF([2]Entry!$M$566="","",[2]Entry!$M$566)</f>
        <v/>
      </c>
      <c r="O563">
        <f>IF([2]Entry!$N$566="","",[2]Entry!$N$566)</f>
        <v/>
      </c>
      <c r="P563">
        <f>IF([2]Entry!$R$566="","",[2]Entry!$R$566)</f>
        <v/>
      </c>
    </row>
    <row r="564">
      <c r="A564">
        <f>IF([1]Accounts!$D$565="","",[1]Accounts!$A$565)</f>
        <v/>
      </c>
      <c r="B564">
        <f>IF([1]Accounts!$D$565="","",[1]Accounts!$B$565)</f>
        <v/>
      </c>
      <c r="C564">
        <f>IF([1]Accounts!$D$565="","",[1]Accounts!$C$565)</f>
        <v/>
      </c>
      <c r="D564">
        <f>IF([1]Accounts!$D$565="","",[1]Accounts!$D$565)</f>
        <v/>
      </c>
      <c r="E564">
        <f>IF([1]Accounts!$D$565="","",[1]Accounts!$J$565)</f>
        <v/>
      </c>
      <c r="F564">
        <f>IF([1]Accounts!$D$565="","",[1]Accounts!$K$565)</f>
        <v/>
      </c>
      <c r="J564">
        <f>IF([2]Entry!$C$567="","",[2]Entry!$C$567)</f>
        <v/>
      </c>
      <c r="K564">
        <f>IF([2]Entry!$D$567="","",[2]Entry!$D$567)</f>
        <v/>
      </c>
      <c r="L564">
        <f>IF([2]Entry!$E$567="","",[2]Entry!$E$567)</f>
        <v/>
      </c>
      <c r="M564">
        <f>IF([2]Entry!$G$567="","",[2]Entry!$G$567)</f>
        <v/>
      </c>
      <c r="N564">
        <f>IF([2]Entry!$M$567="","",[2]Entry!$M$567)</f>
        <v/>
      </c>
      <c r="O564">
        <f>IF([2]Entry!$N$567="","",[2]Entry!$N$567)</f>
        <v/>
      </c>
      <c r="P564">
        <f>IF([2]Entry!$R$567="","",[2]Entry!$R$567)</f>
        <v/>
      </c>
    </row>
    <row r="565">
      <c r="A565">
        <f>IF([1]Accounts!$D$566="","",[1]Accounts!$A$566)</f>
        <v/>
      </c>
      <c r="B565">
        <f>IF([1]Accounts!$D$566="","",[1]Accounts!$B$566)</f>
        <v/>
      </c>
      <c r="C565">
        <f>IF([1]Accounts!$D$566="","",[1]Accounts!$C$566)</f>
        <v/>
      </c>
      <c r="D565">
        <f>IF([1]Accounts!$D$566="","",[1]Accounts!$D$566)</f>
        <v/>
      </c>
      <c r="E565">
        <f>IF([1]Accounts!$D$566="","",[1]Accounts!$J$566)</f>
        <v/>
      </c>
      <c r="F565">
        <f>IF([1]Accounts!$D$566="","",[1]Accounts!$K$566)</f>
        <v/>
      </c>
      <c r="J565">
        <f>IF([2]Entry!$C$568="","",[2]Entry!$C$568)</f>
        <v/>
      </c>
      <c r="K565">
        <f>IF([2]Entry!$D$568="","",[2]Entry!$D$568)</f>
        <v/>
      </c>
      <c r="L565">
        <f>IF([2]Entry!$E$568="","",[2]Entry!$E$568)</f>
        <v/>
      </c>
      <c r="M565">
        <f>IF([2]Entry!$G$568="","",[2]Entry!$G$568)</f>
        <v/>
      </c>
      <c r="N565">
        <f>IF([2]Entry!$M$568="","",[2]Entry!$M$568)</f>
        <v/>
      </c>
      <c r="O565">
        <f>IF([2]Entry!$N$568="","",[2]Entry!$N$568)</f>
        <v/>
      </c>
      <c r="P565">
        <f>IF([2]Entry!$R$568="","",[2]Entry!$R$568)</f>
        <v/>
      </c>
    </row>
    <row r="566">
      <c r="J566">
        <f>IF([2]Entry!$C$569="","",[2]Entry!$C$569)</f>
        <v/>
      </c>
      <c r="K566">
        <f>IF([2]Entry!$D$569="","",[2]Entry!$D$569)</f>
        <v/>
      </c>
      <c r="L566">
        <f>IF([2]Entry!$E$569="","",[2]Entry!$E$569)</f>
        <v/>
      </c>
      <c r="M566">
        <f>IF([2]Entry!$G$569="","",[2]Entry!$G$569)</f>
        <v/>
      </c>
      <c r="N566">
        <f>IF([2]Entry!$M$569="","",[2]Entry!$M$569)</f>
        <v/>
      </c>
      <c r="O566">
        <f>IF([2]Entry!$N$569="","",[2]Entry!$N$569)</f>
        <v/>
      </c>
      <c r="P566">
        <f>IF([2]Entry!$R$569="","",[2]Entry!$R$569)</f>
        <v/>
      </c>
    </row>
    <row r="567">
      <c r="J567">
        <f>IF([2]Entry!$C$570="","",[2]Entry!$C$570)</f>
        <v/>
      </c>
      <c r="K567">
        <f>IF([2]Entry!$D$570="","",[2]Entry!$D$570)</f>
        <v/>
      </c>
      <c r="L567">
        <f>IF([2]Entry!$E$570="","",[2]Entry!$E$570)</f>
        <v/>
      </c>
      <c r="M567">
        <f>IF([2]Entry!$G$570="","",[2]Entry!$G$570)</f>
        <v/>
      </c>
      <c r="N567">
        <f>IF([2]Entry!$M$570="","",[2]Entry!$M$570)</f>
        <v/>
      </c>
      <c r="O567">
        <f>IF([2]Entry!$N$570="","",[2]Entry!$N$570)</f>
        <v/>
      </c>
      <c r="P567">
        <f>IF([2]Entry!$R$570="","",[2]Entry!$R$570)</f>
        <v/>
      </c>
    </row>
    <row r="568">
      <c r="J568">
        <f>IF([2]Entry!$C$571="","",[2]Entry!$C$571)</f>
        <v/>
      </c>
      <c r="K568">
        <f>IF([2]Entry!$D$571="","",[2]Entry!$D$571)</f>
        <v/>
      </c>
      <c r="L568">
        <f>IF([2]Entry!$E$571="","",[2]Entry!$E$571)</f>
        <v/>
      </c>
      <c r="M568">
        <f>IF([2]Entry!$G$571="","",[2]Entry!$G$571)</f>
        <v/>
      </c>
      <c r="N568">
        <f>IF([2]Entry!$M$571="","",[2]Entry!$M$571)</f>
        <v/>
      </c>
      <c r="O568">
        <f>IF([2]Entry!$N$571="","",[2]Entry!$N$571)</f>
        <v/>
      </c>
      <c r="P568">
        <f>IF([2]Entry!$R$571="","",[2]Entry!$R$571)</f>
        <v/>
      </c>
    </row>
    <row r="569">
      <c r="J569">
        <f>IF([2]Entry!$C$572="","",[2]Entry!$C$572)</f>
        <v/>
      </c>
      <c r="K569">
        <f>IF([2]Entry!$D$572="","",[2]Entry!$D$572)</f>
        <v/>
      </c>
      <c r="L569">
        <f>IF([2]Entry!$E$572="","",[2]Entry!$E$572)</f>
        <v/>
      </c>
      <c r="M569">
        <f>IF([2]Entry!$G$572="","",[2]Entry!$G$572)</f>
        <v/>
      </c>
      <c r="N569">
        <f>IF([2]Entry!$M$572="","",[2]Entry!$M$572)</f>
        <v/>
      </c>
      <c r="O569">
        <f>IF([2]Entry!$N$572="","",[2]Entry!$N$572)</f>
        <v/>
      </c>
      <c r="P569">
        <f>IF([2]Entry!$R$572="","",[2]Entry!$R$572)</f>
        <v/>
      </c>
    </row>
    <row r="570">
      <c r="J570">
        <f>IF([2]Entry!$C$573="","",[2]Entry!$C$573)</f>
        <v/>
      </c>
      <c r="K570">
        <f>IF([2]Entry!$D$573="","",[2]Entry!$D$573)</f>
        <v/>
      </c>
      <c r="L570">
        <f>IF([2]Entry!$E$573="","",[2]Entry!$E$573)</f>
        <v/>
      </c>
      <c r="M570">
        <f>IF([2]Entry!$G$573="","",[2]Entry!$G$573)</f>
        <v/>
      </c>
      <c r="N570">
        <f>IF([2]Entry!$M$573="","",[2]Entry!$M$573)</f>
        <v/>
      </c>
      <c r="O570">
        <f>IF([2]Entry!$N$573="","",[2]Entry!$N$573)</f>
        <v/>
      </c>
      <c r="P570">
        <f>IF([2]Entry!$R$573="","",[2]Entry!$R$573)</f>
        <v/>
      </c>
    </row>
    <row r="571">
      <c r="J571">
        <f>IF([2]Entry!$C$574="","",[2]Entry!$C$574)</f>
        <v/>
      </c>
      <c r="K571">
        <f>IF([2]Entry!$D$574="","",[2]Entry!$D$574)</f>
        <v/>
      </c>
      <c r="L571">
        <f>IF([2]Entry!$E$574="","",[2]Entry!$E$574)</f>
        <v/>
      </c>
      <c r="M571">
        <f>IF([2]Entry!$G$574="","",[2]Entry!$G$574)</f>
        <v/>
      </c>
      <c r="N571">
        <f>IF([2]Entry!$M$574="","",[2]Entry!$M$574)</f>
        <v/>
      </c>
      <c r="O571">
        <f>IF([2]Entry!$N$574="","",[2]Entry!$N$574)</f>
        <v/>
      </c>
      <c r="P571">
        <f>IF([2]Entry!$R$574="","",[2]Entry!$R$574)</f>
        <v/>
      </c>
    </row>
    <row r="572">
      <c r="J572">
        <f>IF([2]Entry!$C$575="","",[2]Entry!$C$575)</f>
        <v/>
      </c>
      <c r="K572">
        <f>IF([2]Entry!$D$575="","",[2]Entry!$D$575)</f>
        <v/>
      </c>
      <c r="L572">
        <f>IF([2]Entry!$E$575="","",[2]Entry!$E$575)</f>
        <v/>
      </c>
      <c r="M572">
        <f>IF([2]Entry!$G$575="","",[2]Entry!$G$575)</f>
        <v/>
      </c>
      <c r="N572">
        <f>IF([2]Entry!$M$575="","",[2]Entry!$M$575)</f>
        <v/>
      </c>
      <c r="O572">
        <f>IF([2]Entry!$N$575="","",[2]Entry!$N$575)</f>
        <v/>
      </c>
      <c r="P572">
        <f>IF([2]Entry!$R$575="","",[2]Entry!$R$575)</f>
        <v/>
      </c>
    </row>
    <row r="573">
      <c r="J573">
        <f>IF([2]Entry!$C$576="","",[2]Entry!$C$576)</f>
        <v/>
      </c>
      <c r="K573">
        <f>IF([2]Entry!$D$576="","",[2]Entry!$D$576)</f>
        <v/>
      </c>
      <c r="L573">
        <f>IF([2]Entry!$E$576="","",[2]Entry!$E$576)</f>
        <v/>
      </c>
      <c r="M573">
        <f>IF([2]Entry!$G$576="","",[2]Entry!$G$576)</f>
        <v/>
      </c>
      <c r="N573">
        <f>IF([2]Entry!$M$576="","",[2]Entry!$M$576)</f>
        <v/>
      </c>
      <c r="O573">
        <f>IF([2]Entry!$N$576="","",[2]Entry!$N$576)</f>
        <v/>
      </c>
      <c r="P573">
        <f>IF([2]Entry!$R$576="","",[2]Entry!$R$576)</f>
        <v/>
      </c>
    </row>
    <row r="574">
      <c r="J574">
        <f>IF([2]Entry!$C$577="","",[2]Entry!$C$577)</f>
        <v/>
      </c>
      <c r="K574">
        <f>IF([2]Entry!$D$577="","",[2]Entry!$D$577)</f>
        <v/>
      </c>
      <c r="L574">
        <f>IF([2]Entry!$E$577="","",[2]Entry!$E$577)</f>
        <v/>
      </c>
      <c r="M574">
        <f>IF([2]Entry!$G$577="","",[2]Entry!$G$577)</f>
        <v/>
      </c>
      <c r="N574">
        <f>IF([2]Entry!$M$577="","",[2]Entry!$M$577)</f>
        <v/>
      </c>
      <c r="O574">
        <f>IF([2]Entry!$N$577="","",[2]Entry!$N$577)</f>
        <v/>
      </c>
      <c r="P574">
        <f>IF([2]Entry!$R$577="","",[2]Entry!$R$577)</f>
        <v/>
      </c>
    </row>
    <row r="575">
      <c r="J575">
        <f>IF([2]Entry!$C$578="","",[2]Entry!$C$578)</f>
        <v/>
      </c>
      <c r="K575">
        <f>IF([2]Entry!$D$578="","",[2]Entry!$D$578)</f>
        <v/>
      </c>
      <c r="L575">
        <f>IF([2]Entry!$E$578="","",[2]Entry!$E$578)</f>
        <v/>
      </c>
      <c r="M575">
        <f>IF([2]Entry!$G$578="","",[2]Entry!$G$578)</f>
        <v/>
      </c>
      <c r="N575">
        <f>IF([2]Entry!$M$578="","",[2]Entry!$M$578)</f>
        <v/>
      </c>
      <c r="O575">
        <f>IF([2]Entry!$N$578="","",[2]Entry!$N$578)</f>
        <v/>
      </c>
      <c r="P575">
        <f>IF([2]Entry!$R$578="","",[2]Entry!$R$578)</f>
        <v/>
      </c>
    </row>
    <row r="576">
      <c r="J576">
        <f>IF([2]Entry!$C$579="","",[2]Entry!$C$579)</f>
        <v/>
      </c>
      <c r="K576">
        <f>IF([2]Entry!$D$579="","",[2]Entry!$D$579)</f>
        <v/>
      </c>
      <c r="L576">
        <f>IF([2]Entry!$E$579="","",[2]Entry!$E$579)</f>
        <v/>
      </c>
      <c r="M576">
        <f>IF([2]Entry!$G$579="","",[2]Entry!$G$579)</f>
        <v/>
      </c>
      <c r="N576">
        <f>IF([2]Entry!$M$579="","",[2]Entry!$M$579)</f>
        <v/>
      </c>
      <c r="O576">
        <f>IF([2]Entry!$N$579="","",[2]Entry!$N$579)</f>
        <v/>
      </c>
      <c r="P576">
        <f>IF([2]Entry!$R$579="","",[2]Entry!$R$579)</f>
        <v/>
      </c>
    </row>
    <row r="577">
      <c r="J577">
        <f>IF([2]Entry!$C$580="","",[2]Entry!$C$580)</f>
        <v/>
      </c>
      <c r="K577">
        <f>IF([2]Entry!$D$580="","",[2]Entry!$D$580)</f>
        <v/>
      </c>
      <c r="L577">
        <f>IF([2]Entry!$E$580="","",[2]Entry!$E$580)</f>
        <v/>
      </c>
      <c r="M577">
        <f>IF([2]Entry!$G$580="","",[2]Entry!$G$580)</f>
        <v/>
      </c>
      <c r="N577">
        <f>IF([2]Entry!$M$580="","",[2]Entry!$M$580)</f>
        <v/>
      </c>
      <c r="O577">
        <f>IF([2]Entry!$N$580="","",[2]Entry!$N$580)</f>
        <v/>
      </c>
      <c r="P577">
        <f>IF([2]Entry!$R$580="","",[2]Entry!$R$580)</f>
        <v/>
      </c>
    </row>
    <row r="578">
      <c r="J578">
        <f>IF([2]Entry!$C$581="","",[2]Entry!$C$581)</f>
        <v/>
      </c>
      <c r="K578">
        <f>IF([2]Entry!$D$581="","",[2]Entry!$D$581)</f>
        <v/>
      </c>
      <c r="L578">
        <f>IF([2]Entry!$E$581="","",[2]Entry!$E$581)</f>
        <v/>
      </c>
      <c r="M578">
        <f>IF([2]Entry!$G$581="","",[2]Entry!$G$581)</f>
        <v/>
      </c>
      <c r="N578">
        <f>IF([2]Entry!$M$581="","",[2]Entry!$M$581)</f>
        <v/>
      </c>
      <c r="O578">
        <f>IF([2]Entry!$N$581="","",[2]Entry!$N$581)</f>
        <v/>
      </c>
      <c r="P578">
        <f>IF([2]Entry!$R$581="","",[2]Entry!$R$581)</f>
        <v/>
      </c>
    </row>
    <row r="579">
      <c r="J579">
        <f>IF([2]Entry!$C$582="","",[2]Entry!$C$582)</f>
        <v/>
      </c>
      <c r="K579">
        <f>IF([2]Entry!$D$582="","",[2]Entry!$D$582)</f>
        <v/>
      </c>
      <c r="L579">
        <f>IF([2]Entry!$E$582="","",[2]Entry!$E$582)</f>
        <v/>
      </c>
      <c r="M579">
        <f>IF([2]Entry!$G$582="","",[2]Entry!$G$582)</f>
        <v/>
      </c>
      <c r="N579">
        <f>IF([2]Entry!$M$582="","",[2]Entry!$M$582)</f>
        <v/>
      </c>
      <c r="O579">
        <f>IF([2]Entry!$N$582="","",[2]Entry!$N$582)</f>
        <v/>
      </c>
      <c r="P579">
        <f>IF([2]Entry!$R$582="","",[2]Entry!$R$582)</f>
        <v/>
      </c>
    </row>
    <row r="580">
      <c r="J580">
        <f>IF([2]Entry!$C$583="","",[2]Entry!$C$583)</f>
        <v/>
      </c>
      <c r="K580">
        <f>IF([2]Entry!$D$583="","",[2]Entry!$D$583)</f>
        <v/>
      </c>
      <c r="L580">
        <f>IF([2]Entry!$E$583="","",[2]Entry!$E$583)</f>
        <v/>
      </c>
      <c r="M580">
        <f>IF([2]Entry!$G$583="","",[2]Entry!$G$583)</f>
        <v/>
      </c>
      <c r="N580">
        <f>IF([2]Entry!$M$583="","",[2]Entry!$M$583)</f>
        <v/>
      </c>
      <c r="O580">
        <f>IF([2]Entry!$N$583="","",[2]Entry!$N$583)</f>
        <v/>
      </c>
      <c r="P580">
        <f>IF([2]Entry!$R$583="","",[2]Entry!$R$583)</f>
        <v/>
      </c>
    </row>
    <row r="581">
      <c r="J581">
        <f>IF([2]Entry!$C$584="","",[2]Entry!$C$584)</f>
        <v/>
      </c>
      <c r="K581">
        <f>IF([2]Entry!$D$584="","",[2]Entry!$D$584)</f>
        <v/>
      </c>
      <c r="L581">
        <f>IF([2]Entry!$E$584="","",[2]Entry!$E$584)</f>
        <v/>
      </c>
      <c r="M581">
        <f>IF([2]Entry!$G$584="","",[2]Entry!$G$584)</f>
        <v/>
      </c>
      <c r="N581">
        <f>IF([2]Entry!$M$584="","",[2]Entry!$M$584)</f>
        <v/>
      </c>
      <c r="O581">
        <f>IF([2]Entry!$N$584="","",[2]Entry!$N$584)</f>
        <v/>
      </c>
      <c r="P581">
        <f>IF([2]Entry!$R$584="","",[2]Entry!$R$584)</f>
        <v/>
      </c>
    </row>
    <row r="582">
      <c r="J582">
        <f>IF([2]Entry!$C$585="","",[2]Entry!$C$585)</f>
        <v/>
      </c>
      <c r="K582">
        <f>IF([2]Entry!$D$585="","",[2]Entry!$D$585)</f>
        <v/>
      </c>
      <c r="L582">
        <f>IF([2]Entry!$E$585="","",[2]Entry!$E$585)</f>
        <v/>
      </c>
      <c r="M582">
        <f>IF([2]Entry!$G$585="","",[2]Entry!$G$585)</f>
        <v/>
      </c>
      <c r="N582">
        <f>IF([2]Entry!$M$585="","",[2]Entry!$M$585)</f>
        <v/>
      </c>
      <c r="O582">
        <f>IF([2]Entry!$N$585="","",[2]Entry!$N$585)</f>
        <v/>
      </c>
      <c r="P582">
        <f>IF([2]Entry!$R$585="","",[2]Entry!$R$585)</f>
        <v/>
      </c>
    </row>
    <row r="583">
      <c r="J583">
        <f>IF([2]Entry!$C$586="","",[2]Entry!$C$586)</f>
        <v/>
      </c>
      <c r="K583">
        <f>IF([2]Entry!$D$586="","",[2]Entry!$D$586)</f>
        <v/>
      </c>
      <c r="L583">
        <f>IF([2]Entry!$E$586="","",[2]Entry!$E$586)</f>
        <v/>
      </c>
      <c r="M583">
        <f>IF([2]Entry!$G$586="","",[2]Entry!$G$586)</f>
        <v/>
      </c>
      <c r="N583">
        <f>IF([2]Entry!$M$586="","",[2]Entry!$M$586)</f>
        <v/>
      </c>
      <c r="O583">
        <f>IF([2]Entry!$N$586="","",[2]Entry!$N$586)</f>
        <v/>
      </c>
      <c r="P583">
        <f>IF([2]Entry!$R$586="","",[2]Entry!$R$586)</f>
        <v/>
      </c>
    </row>
    <row r="584">
      <c r="J584">
        <f>IF([2]Entry!$C$587="","",[2]Entry!$C$587)</f>
        <v/>
      </c>
      <c r="K584">
        <f>IF([2]Entry!$D$587="","",[2]Entry!$D$587)</f>
        <v/>
      </c>
      <c r="L584">
        <f>IF([2]Entry!$E$587="","",[2]Entry!$E$587)</f>
        <v/>
      </c>
      <c r="M584">
        <f>IF([2]Entry!$G$587="","",[2]Entry!$G$587)</f>
        <v/>
      </c>
      <c r="N584">
        <f>IF([2]Entry!$M$587="","",[2]Entry!$M$587)</f>
        <v/>
      </c>
      <c r="O584">
        <f>IF([2]Entry!$N$587="","",[2]Entry!$N$587)</f>
        <v/>
      </c>
      <c r="P584">
        <f>IF([2]Entry!$R$587="","",[2]Entry!$R$587)</f>
        <v/>
      </c>
    </row>
    <row r="585">
      <c r="J585">
        <f>IF([2]Entry!$C$588="","",[2]Entry!$C$588)</f>
        <v/>
      </c>
      <c r="K585">
        <f>IF([2]Entry!$D$588="","",[2]Entry!$D$588)</f>
        <v/>
      </c>
      <c r="L585">
        <f>IF([2]Entry!$E$588="","",[2]Entry!$E$588)</f>
        <v/>
      </c>
      <c r="M585">
        <f>IF([2]Entry!$G$588="","",[2]Entry!$G$588)</f>
        <v/>
      </c>
      <c r="N585">
        <f>IF([2]Entry!$M$588="","",[2]Entry!$M$588)</f>
        <v/>
      </c>
      <c r="O585">
        <f>IF([2]Entry!$N$588="","",[2]Entry!$N$588)</f>
        <v/>
      </c>
      <c r="P585">
        <f>IF([2]Entry!$R$588="","",[2]Entry!$R$588)</f>
        <v/>
      </c>
    </row>
    <row r="586">
      <c r="J586">
        <f>IF([2]Entry!$C$589="","",[2]Entry!$C$589)</f>
        <v/>
      </c>
      <c r="K586">
        <f>IF([2]Entry!$D$589="","",[2]Entry!$D$589)</f>
        <v/>
      </c>
      <c r="L586">
        <f>IF([2]Entry!$E$589="","",[2]Entry!$E$589)</f>
        <v/>
      </c>
      <c r="M586">
        <f>IF([2]Entry!$G$589="","",[2]Entry!$G$589)</f>
        <v/>
      </c>
      <c r="N586">
        <f>IF([2]Entry!$M$589="","",[2]Entry!$M$589)</f>
        <v/>
      </c>
      <c r="O586">
        <f>IF([2]Entry!$N$589="","",[2]Entry!$N$589)</f>
        <v/>
      </c>
      <c r="P586">
        <f>IF([2]Entry!$R$589="","",[2]Entry!$R$589)</f>
        <v/>
      </c>
    </row>
    <row r="587">
      <c r="J587">
        <f>IF([2]Entry!$C$590="","",[2]Entry!$C$590)</f>
        <v/>
      </c>
      <c r="K587">
        <f>IF([2]Entry!$D$590="","",[2]Entry!$D$590)</f>
        <v/>
      </c>
      <c r="L587">
        <f>IF([2]Entry!$E$590="","",[2]Entry!$E$590)</f>
        <v/>
      </c>
      <c r="M587">
        <f>IF([2]Entry!$G$590="","",[2]Entry!$G$590)</f>
        <v/>
      </c>
      <c r="N587">
        <f>IF([2]Entry!$M$590="","",[2]Entry!$M$590)</f>
        <v/>
      </c>
      <c r="O587">
        <f>IF([2]Entry!$N$590="","",[2]Entry!$N$590)</f>
        <v/>
      </c>
      <c r="P587">
        <f>IF([2]Entry!$R$590="","",[2]Entry!$R$590)</f>
        <v/>
      </c>
    </row>
    <row r="588">
      <c r="J588">
        <f>IF([2]Entry!$C$591="","",[2]Entry!$C$591)</f>
        <v/>
      </c>
      <c r="K588">
        <f>IF([2]Entry!$D$591="","",[2]Entry!$D$591)</f>
        <v/>
      </c>
      <c r="L588">
        <f>IF([2]Entry!$E$591="","",[2]Entry!$E$591)</f>
        <v/>
      </c>
      <c r="M588">
        <f>IF([2]Entry!$G$591="","",[2]Entry!$G$591)</f>
        <v/>
      </c>
      <c r="N588">
        <f>IF([2]Entry!$M$591="","",[2]Entry!$M$591)</f>
        <v/>
      </c>
      <c r="O588">
        <f>IF([2]Entry!$N$591="","",[2]Entry!$N$591)</f>
        <v/>
      </c>
      <c r="P588">
        <f>IF([2]Entry!$R$591="","",[2]Entry!$R$591)</f>
        <v/>
      </c>
    </row>
    <row r="589">
      <c r="J589">
        <f>IF([2]Entry!$C$592="","",[2]Entry!$C$592)</f>
        <v/>
      </c>
      <c r="K589">
        <f>IF([2]Entry!$D$592="","",[2]Entry!$D$592)</f>
        <v/>
      </c>
      <c r="L589">
        <f>IF([2]Entry!$E$592="","",[2]Entry!$E$592)</f>
        <v/>
      </c>
      <c r="M589">
        <f>IF([2]Entry!$G$592="","",[2]Entry!$G$592)</f>
        <v/>
      </c>
      <c r="N589">
        <f>IF([2]Entry!$M$592="","",[2]Entry!$M$592)</f>
        <v/>
      </c>
      <c r="O589">
        <f>IF([2]Entry!$N$592="","",[2]Entry!$N$592)</f>
        <v/>
      </c>
      <c r="P589">
        <f>IF([2]Entry!$R$592="","",[2]Entry!$R$592)</f>
        <v/>
      </c>
    </row>
    <row r="590">
      <c r="J590">
        <f>IF([2]Entry!$C$593="","",[2]Entry!$C$593)</f>
        <v/>
      </c>
      <c r="K590">
        <f>IF([2]Entry!$D$593="","",[2]Entry!$D$593)</f>
        <v/>
      </c>
      <c r="L590">
        <f>IF([2]Entry!$E$593="","",[2]Entry!$E$593)</f>
        <v/>
      </c>
      <c r="M590">
        <f>IF([2]Entry!$G$593="","",[2]Entry!$G$593)</f>
        <v/>
      </c>
      <c r="N590">
        <f>IF([2]Entry!$M$593="","",[2]Entry!$M$593)</f>
        <v/>
      </c>
      <c r="O590">
        <f>IF([2]Entry!$N$593="","",[2]Entry!$N$593)</f>
        <v/>
      </c>
      <c r="P590">
        <f>IF([2]Entry!$R$593="","",[2]Entry!$R$593)</f>
        <v/>
      </c>
    </row>
    <row r="591">
      <c r="J591">
        <f>IF([2]Entry!$C$594="","",[2]Entry!$C$594)</f>
        <v/>
      </c>
      <c r="K591">
        <f>IF([2]Entry!$D$594="","",[2]Entry!$D$594)</f>
        <v/>
      </c>
      <c r="L591">
        <f>IF([2]Entry!$E$594="","",[2]Entry!$E$594)</f>
        <v/>
      </c>
      <c r="M591">
        <f>IF([2]Entry!$G$594="","",[2]Entry!$G$594)</f>
        <v/>
      </c>
      <c r="N591">
        <f>IF([2]Entry!$M$594="","",[2]Entry!$M$594)</f>
        <v/>
      </c>
      <c r="O591">
        <f>IF([2]Entry!$N$594="","",[2]Entry!$N$594)</f>
        <v/>
      </c>
      <c r="P591">
        <f>IF([2]Entry!$R$594="","",[2]Entry!$R$594)</f>
        <v/>
      </c>
    </row>
    <row r="592">
      <c r="J592">
        <f>IF([2]Entry!$C$595="","",[2]Entry!$C$595)</f>
        <v/>
      </c>
      <c r="K592">
        <f>IF([2]Entry!$D$595="","",[2]Entry!$D$595)</f>
        <v/>
      </c>
      <c r="L592">
        <f>IF([2]Entry!$E$595="","",[2]Entry!$E$595)</f>
        <v/>
      </c>
      <c r="M592">
        <f>IF([2]Entry!$G$595="","",[2]Entry!$G$595)</f>
        <v/>
      </c>
      <c r="N592">
        <f>IF([2]Entry!$M$595="","",[2]Entry!$M$595)</f>
        <v/>
      </c>
      <c r="O592">
        <f>IF([2]Entry!$N$595="","",[2]Entry!$N$595)</f>
        <v/>
      </c>
      <c r="P592">
        <f>IF([2]Entry!$R$595="","",[2]Entry!$R$595)</f>
        <v/>
      </c>
    </row>
    <row r="593">
      <c r="J593">
        <f>IF([2]Entry!$C$596="","",[2]Entry!$C$596)</f>
        <v/>
      </c>
      <c r="K593">
        <f>IF([2]Entry!$D$596="","",[2]Entry!$D$596)</f>
        <v/>
      </c>
      <c r="L593">
        <f>IF([2]Entry!$E$596="","",[2]Entry!$E$596)</f>
        <v/>
      </c>
      <c r="M593">
        <f>IF([2]Entry!$G$596="","",[2]Entry!$G$596)</f>
        <v/>
      </c>
      <c r="N593">
        <f>IF([2]Entry!$M$596="","",[2]Entry!$M$596)</f>
        <v/>
      </c>
      <c r="O593">
        <f>IF([2]Entry!$N$596="","",[2]Entry!$N$596)</f>
        <v/>
      </c>
      <c r="P593">
        <f>IF([2]Entry!$R$596="","",[2]Entry!$R$596)</f>
        <v/>
      </c>
    </row>
    <row r="594">
      <c r="J594">
        <f>IF([2]Entry!$C$597="","",[2]Entry!$C$597)</f>
        <v/>
      </c>
      <c r="K594">
        <f>IF([2]Entry!$D$597="","",[2]Entry!$D$597)</f>
        <v/>
      </c>
      <c r="L594">
        <f>IF([2]Entry!$E$597="","",[2]Entry!$E$597)</f>
        <v/>
      </c>
      <c r="M594">
        <f>IF([2]Entry!$G$597="","",[2]Entry!$G$597)</f>
        <v/>
      </c>
      <c r="N594">
        <f>IF([2]Entry!$M$597="","",[2]Entry!$M$597)</f>
        <v/>
      </c>
      <c r="O594">
        <f>IF([2]Entry!$N$597="","",[2]Entry!$N$597)</f>
        <v/>
      </c>
      <c r="P594">
        <f>IF([2]Entry!$R$597="","",[2]Entry!$R$597)</f>
        <v/>
      </c>
    </row>
    <row r="595">
      <c r="J595">
        <f>IF([2]Entry!$C$598="","",[2]Entry!$C$598)</f>
        <v/>
      </c>
      <c r="K595">
        <f>IF([2]Entry!$D$598="","",[2]Entry!$D$598)</f>
        <v/>
      </c>
      <c r="L595">
        <f>IF([2]Entry!$E$598="","",[2]Entry!$E$598)</f>
        <v/>
      </c>
      <c r="M595">
        <f>IF([2]Entry!$G$598="","",[2]Entry!$G$598)</f>
        <v/>
      </c>
      <c r="N595">
        <f>IF([2]Entry!$M$598="","",[2]Entry!$M$598)</f>
        <v/>
      </c>
      <c r="O595">
        <f>IF([2]Entry!$N$598="","",[2]Entry!$N$598)</f>
        <v/>
      </c>
      <c r="P595">
        <f>IF([2]Entry!$R$598="","",[2]Entry!$R$598)</f>
        <v/>
      </c>
    </row>
    <row r="596">
      <c r="J596">
        <f>IF([2]Entry!$C$599="","",[2]Entry!$C$599)</f>
        <v/>
      </c>
      <c r="K596">
        <f>IF([2]Entry!$D$599="","",[2]Entry!$D$599)</f>
        <v/>
      </c>
      <c r="L596">
        <f>IF([2]Entry!$E$599="","",[2]Entry!$E$599)</f>
        <v/>
      </c>
      <c r="M596">
        <f>IF([2]Entry!$G$599="","",[2]Entry!$G$599)</f>
        <v/>
      </c>
      <c r="N596">
        <f>IF([2]Entry!$M$599="","",[2]Entry!$M$599)</f>
        <v/>
      </c>
      <c r="O596">
        <f>IF([2]Entry!$N$599="","",[2]Entry!$N$599)</f>
        <v/>
      </c>
      <c r="P596">
        <f>IF([2]Entry!$R$599="","",[2]Entry!$R$599)</f>
        <v/>
      </c>
    </row>
    <row r="597">
      <c r="J597">
        <f>IF([2]Entry!$C$600="","",[2]Entry!$C$600)</f>
        <v/>
      </c>
      <c r="K597">
        <f>IF([2]Entry!$D$600="","",[2]Entry!$D$600)</f>
        <v/>
      </c>
      <c r="L597">
        <f>IF([2]Entry!$E$600="","",[2]Entry!$E$600)</f>
        <v/>
      </c>
      <c r="M597">
        <f>IF([2]Entry!$G$600="","",[2]Entry!$G$600)</f>
        <v/>
      </c>
      <c r="N597">
        <f>IF([2]Entry!$M$600="","",[2]Entry!$M$600)</f>
        <v/>
      </c>
      <c r="O597">
        <f>IF([2]Entry!$N$600="","",[2]Entry!$N$600)</f>
        <v/>
      </c>
      <c r="P597">
        <f>IF([2]Entry!$R$600="","",[2]Entry!$R$600)</f>
        <v/>
      </c>
    </row>
    <row r="598">
      <c r="J598">
        <f>IF([2]Entry!$C$601="","",[2]Entry!$C$601)</f>
        <v/>
      </c>
      <c r="K598">
        <f>IF([2]Entry!$D$601="","",[2]Entry!$D$601)</f>
        <v/>
      </c>
      <c r="L598">
        <f>IF([2]Entry!$E$601="","",[2]Entry!$E$601)</f>
        <v/>
      </c>
      <c r="M598">
        <f>IF([2]Entry!$G$601="","",[2]Entry!$G$601)</f>
        <v/>
      </c>
      <c r="N598">
        <f>IF([2]Entry!$M$601="","",[2]Entry!$M$601)</f>
        <v/>
      </c>
      <c r="O598">
        <f>IF([2]Entry!$N$601="","",[2]Entry!$N$601)</f>
        <v/>
      </c>
      <c r="P598">
        <f>IF([2]Entry!$R$601="","",[2]Entry!$R$601)</f>
        <v/>
      </c>
    </row>
    <row r="599">
      <c r="J599">
        <f>IF([2]Entry!$C$602="","",[2]Entry!$C$602)</f>
        <v/>
      </c>
      <c r="K599">
        <f>IF([2]Entry!$D$602="","",[2]Entry!$D$602)</f>
        <v/>
      </c>
      <c r="L599">
        <f>IF([2]Entry!$E$602="","",[2]Entry!$E$602)</f>
        <v/>
      </c>
      <c r="M599">
        <f>IF([2]Entry!$G$602="","",[2]Entry!$G$602)</f>
        <v/>
      </c>
      <c r="N599">
        <f>IF([2]Entry!$M$602="","",[2]Entry!$M$602)</f>
        <v/>
      </c>
      <c r="O599">
        <f>IF([2]Entry!$N$602="","",[2]Entry!$N$602)</f>
        <v/>
      </c>
      <c r="P599">
        <f>IF([2]Entry!$R$602="","",[2]Entry!$R$602)</f>
        <v/>
      </c>
    </row>
    <row r="600">
      <c r="J600">
        <f>IF([2]Entry!$C$603="","",[2]Entry!$C$603)</f>
        <v/>
      </c>
      <c r="K600">
        <f>IF([2]Entry!$D$603="","",[2]Entry!$D$603)</f>
        <v/>
      </c>
      <c r="L600">
        <f>IF([2]Entry!$E$603="","",[2]Entry!$E$603)</f>
        <v/>
      </c>
      <c r="M600">
        <f>IF([2]Entry!$G$603="","",[2]Entry!$G$603)</f>
        <v/>
      </c>
      <c r="N600">
        <f>IF([2]Entry!$M$603="","",[2]Entry!$M$603)</f>
        <v/>
      </c>
      <c r="O600">
        <f>IF([2]Entry!$N$603="","",[2]Entry!$N$603)</f>
        <v/>
      </c>
      <c r="P600">
        <f>IF([2]Entry!$R$603="","",[2]Entry!$R$603)</f>
        <v/>
      </c>
    </row>
    <row r="601">
      <c r="J601">
        <f>IF([2]Entry!$C$604="","",[2]Entry!$C$604)</f>
        <v/>
      </c>
      <c r="K601">
        <f>IF([2]Entry!$D$604="","",[2]Entry!$D$604)</f>
        <v/>
      </c>
      <c r="L601">
        <f>IF([2]Entry!$E$604="","",[2]Entry!$E$604)</f>
        <v/>
      </c>
      <c r="M601">
        <f>IF([2]Entry!$G$604="","",[2]Entry!$G$604)</f>
        <v/>
      </c>
      <c r="N601">
        <f>IF([2]Entry!$M$604="","",[2]Entry!$M$604)</f>
        <v/>
      </c>
      <c r="O601">
        <f>IF([2]Entry!$N$604="","",[2]Entry!$N$604)</f>
        <v/>
      </c>
      <c r="P601">
        <f>IF([2]Entry!$R$604="","",[2]Entry!$R$604)</f>
        <v/>
      </c>
    </row>
    <row r="602">
      <c r="J602">
        <f>IF([2]Entry!$C$605="","",[2]Entry!$C$605)</f>
        <v/>
      </c>
      <c r="K602">
        <f>IF([2]Entry!$D$605="","",[2]Entry!$D$605)</f>
        <v/>
      </c>
      <c r="L602">
        <f>IF([2]Entry!$E$605="","",[2]Entry!$E$605)</f>
        <v/>
      </c>
      <c r="M602">
        <f>IF([2]Entry!$G$605="","",[2]Entry!$G$605)</f>
        <v/>
      </c>
      <c r="N602">
        <f>IF([2]Entry!$M$605="","",[2]Entry!$M$605)</f>
        <v/>
      </c>
      <c r="O602">
        <f>IF([2]Entry!$N$605="","",[2]Entry!$N$605)</f>
        <v/>
      </c>
      <c r="P602">
        <f>IF([2]Entry!$R$605="","",[2]Entry!$R$605)</f>
        <v/>
      </c>
    </row>
    <row r="603">
      <c r="J603">
        <f>IF([2]Entry!$C$606="","",[2]Entry!$C$606)</f>
        <v/>
      </c>
      <c r="K603">
        <f>IF([2]Entry!$D$606="","",[2]Entry!$D$606)</f>
        <v/>
      </c>
      <c r="L603">
        <f>IF([2]Entry!$E$606="","",[2]Entry!$E$606)</f>
        <v/>
      </c>
      <c r="M603">
        <f>IF([2]Entry!$G$606="","",[2]Entry!$G$606)</f>
        <v/>
      </c>
      <c r="N603">
        <f>IF([2]Entry!$M$606="","",[2]Entry!$M$606)</f>
        <v/>
      </c>
      <c r="O603">
        <f>IF([2]Entry!$N$606="","",[2]Entry!$N$606)</f>
        <v/>
      </c>
      <c r="P603">
        <f>IF([2]Entry!$R$606="","",[2]Entry!$R$606)</f>
        <v/>
      </c>
    </row>
    <row r="604">
      <c r="J604">
        <f>IF([2]Entry!$C$607="","",[2]Entry!$C$607)</f>
        <v/>
      </c>
      <c r="K604">
        <f>IF([2]Entry!$D$607="","",[2]Entry!$D$607)</f>
        <v/>
      </c>
      <c r="L604">
        <f>IF([2]Entry!$E$607="","",[2]Entry!$E$607)</f>
        <v/>
      </c>
      <c r="M604">
        <f>IF([2]Entry!$G$607="","",[2]Entry!$G$607)</f>
        <v/>
      </c>
      <c r="N604">
        <f>IF([2]Entry!$M$607="","",[2]Entry!$M$607)</f>
        <v/>
      </c>
      <c r="O604">
        <f>IF([2]Entry!$N$607="","",[2]Entry!$N$607)</f>
        <v/>
      </c>
      <c r="P604">
        <f>IF([2]Entry!$R$607="","",[2]Entry!$R$607)</f>
        <v/>
      </c>
    </row>
    <row r="605">
      <c r="J605">
        <f>IF([2]Entry!$C$608="","",[2]Entry!$C$608)</f>
        <v/>
      </c>
      <c r="K605">
        <f>IF([2]Entry!$D$608="","",[2]Entry!$D$608)</f>
        <v/>
      </c>
      <c r="L605">
        <f>IF([2]Entry!$E$608="","",[2]Entry!$E$608)</f>
        <v/>
      </c>
      <c r="M605">
        <f>IF([2]Entry!$G$608="","",[2]Entry!$G$608)</f>
        <v/>
      </c>
      <c r="N605">
        <f>IF([2]Entry!$M$608="","",[2]Entry!$M$608)</f>
        <v/>
      </c>
      <c r="O605">
        <f>IF([2]Entry!$N$608="","",[2]Entry!$N$608)</f>
        <v/>
      </c>
      <c r="P605">
        <f>IF([2]Entry!$R$608="","",[2]Entry!$R$608)</f>
        <v/>
      </c>
    </row>
    <row r="606">
      <c r="J606">
        <f>IF([2]Entry!$C$609="","",[2]Entry!$C$609)</f>
        <v/>
      </c>
      <c r="K606">
        <f>IF([2]Entry!$D$609="","",[2]Entry!$D$609)</f>
        <v/>
      </c>
      <c r="L606">
        <f>IF([2]Entry!$E$609="","",[2]Entry!$E$609)</f>
        <v/>
      </c>
      <c r="M606">
        <f>IF([2]Entry!$G$609="","",[2]Entry!$G$609)</f>
        <v/>
      </c>
      <c r="N606">
        <f>IF([2]Entry!$M$609="","",[2]Entry!$M$609)</f>
        <v/>
      </c>
      <c r="O606">
        <f>IF([2]Entry!$N$609="","",[2]Entry!$N$609)</f>
        <v/>
      </c>
      <c r="P606">
        <f>IF([2]Entry!$R$609="","",[2]Entry!$R$609)</f>
        <v/>
      </c>
    </row>
    <row r="607">
      <c r="J607">
        <f>IF([2]Entry!$C$610="","",[2]Entry!$C$610)</f>
        <v/>
      </c>
      <c r="K607">
        <f>IF([2]Entry!$D$610="","",[2]Entry!$D$610)</f>
        <v/>
      </c>
      <c r="L607">
        <f>IF([2]Entry!$E$610="","",[2]Entry!$E$610)</f>
        <v/>
      </c>
      <c r="M607">
        <f>IF([2]Entry!$G$610="","",[2]Entry!$G$610)</f>
        <v/>
      </c>
      <c r="N607">
        <f>IF([2]Entry!$M$610="","",[2]Entry!$M$610)</f>
        <v/>
      </c>
      <c r="O607">
        <f>IF([2]Entry!$N$610="","",[2]Entry!$N$610)</f>
        <v/>
      </c>
      <c r="P607">
        <f>IF([2]Entry!$R$610="","",[2]Entry!$R$610)</f>
        <v/>
      </c>
    </row>
    <row r="608">
      <c r="J608">
        <f>IF([2]Entry!$C$611="","",[2]Entry!$C$611)</f>
        <v/>
      </c>
      <c r="K608">
        <f>IF([2]Entry!$D$611="","",[2]Entry!$D$611)</f>
        <v/>
      </c>
      <c r="L608">
        <f>IF([2]Entry!$E$611="","",[2]Entry!$E$611)</f>
        <v/>
      </c>
      <c r="M608">
        <f>IF([2]Entry!$G$611="","",[2]Entry!$G$611)</f>
        <v/>
      </c>
      <c r="N608">
        <f>IF([2]Entry!$M$611="","",[2]Entry!$M$611)</f>
        <v/>
      </c>
      <c r="O608">
        <f>IF([2]Entry!$N$611="","",[2]Entry!$N$611)</f>
        <v/>
      </c>
      <c r="P608">
        <f>IF([2]Entry!$R$611="","",[2]Entry!$R$611)</f>
        <v/>
      </c>
    </row>
    <row r="609">
      <c r="J609">
        <f>IF([2]Entry!$C$612="","",[2]Entry!$C$612)</f>
        <v/>
      </c>
      <c r="K609">
        <f>IF([2]Entry!$D$612="","",[2]Entry!$D$612)</f>
        <v/>
      </c>
      <c r="L609">
        <f>IF([2]Entry!$E$612="","",[2]Entry!$E$612)</f>
        <v/>
      </c>
      <c r="M609">
        <f>IF([2]Entry!$G$612="","",[2]Entry!$G$612)</f>
        <v/>
      </c>
      <c r="N609">
        <f>IF([2]Entry!$M$612="","",[2]Entry!$M$612)</f>
        <v/>
      </c>
      <c r="O609">
        <f>IF([2]Entry!$N$612="","",[2]Entry!$N$612)</f>
        <v/>
      </c>
      <c r="P609">
        <f>IF([2]Entry!$R$612="","",[2]Entry!$R$612)</f>
        <v/>
      </c>
    </row>
    <row r="610">
      <c r="J610">
        <f>IF([2]Entry!$C$613="","",[2]Entry!$C$613)</f>
        <v/>
      </c>
      <c r="K610">
        <f>IF([2]Entry!$D$613="","",[2]Entry!$D$613)</f>
        <v/>
      </c>
      <c r="L610">
        <f>IF([2]Entry!$E$613="","",[2]Entry!$E$613)</f>
        <v/>
      </c>
      <c r="M610">
        <f>IF([2]Entry!$G$613="","",[2]Entry!$G$613)</f>
        <v/>
      </c>
      <c r="N610">
        <f>IF([2]Entry!$M$613="","",[2]Entry!$M$613)</f>
        <v/>
      </c>
      <c r="O610">
        <f>IF([2]Entry!$N$613="","",[2]Entry!$N$613)</f>
        <v/>
      </c>
      <c r="P610">
        <f>IF([2]Entry!$R$613="","",[2]Entry!$R$613)</f>
        <v/>
      </c>
    </row>
    <row r="611">
      <c r="J611">
        <f>IF([2]Entry!$C$614="","",[2]Entry!$C$614)</f>
        <v/>
      </c>
      <c r="K611">
        <f>IF([2]Entry!$D$614="","",[2]Entry!$D$614)</f>
        <v/>
      </c>
      <c r="L611">
        <f>IF([2]Entry!$E$614="","",[2]Entry!$E$614)</f>
        <v/>
      </c>
      <c r="M611">
        <f>IF([2]Entry!$G$614="","",[2]Entry!$G$614)</f>
        <v/>
      </c>
      <c r="N611">
        <f>IF([2]Entry!$M$614="","",[2]Entry!$M$614)</f>
        <v/>
      </c>
      <c r="O611">
        <f>IF([2]Entry!$N$614="","",[2]Entry!$N$614)</f>
        <v/>
      </c>
      <c r="P611">
        <f>IF([2]Entry!$R$614="","",[2]Entry!$R$614)</f>
        <v/>
      </c>
    </row>
    <row r="612">
      <c r="J612">
        <f>IF([2]Entry!$C$615="","",[2]Entry!$C$615)</f>
        <v/>
      </c>
      <c r="K612">
        <f>IF([2]Entry!$D$615="","",[2]Entry!$D$615)</f>
        <v/>
      </c>
      <c r="L612">
        <f>IF([2]Entry!$E$615="","",[2]Entry!$E$615)</f>
        <v/>
      </c>
      <c r="M612">
        <f>IF([2]Entry!$G$615="","",[2]Entry!$G$615)</f>
        <v/>
      </c>
      <c r="N612">
        <f>IF([2]Entry!$M$615="","",[2]Entry!$M$615)</f>
        <v/>
      </c>
      <c r="O612">
        <f>IF([2]Entry!$N$615="","",[2]Entry!$N$615)</f>
        <v/>
      </c>
      <c r="P612">
        <f>IF([2]Entry!$R$615="","",[2]Entry!$R$615)</f>
        <v/>
      </c>
    </row>
    <row r="613">
      <c r="J613">
        <f>IF([2]Entry!$C$616="","",[2]Entry!$C$616)</f>
        <v/>
      </c>
      <c r="K613">
        <f>IF([2]Entry!$D$616="","",[2]Entry!$D$616)</f>
        <v/>
      </c>
      <c r="L613">
        <f>IF([2]Entry!$E$616="","",[2]Entry!$E$616)</f>
        <v/>
      </c>
      <c r="M613">
        <f>IF([2]Entry!$G$616="","",[2]Entry!$G$616)</f>
        <v/>
      </c>
      <c r="N613">
        <f>IF([2]Entry!$M$616="","",[2]Entry!$M$616)</f>
        <v/>
      </c>
      <c r="O613">
        <f>IF([2]Entry!$N$616="","",[2]Entry!$N$616)</f>
        <v/>
      </c>
      <c r="P613">
        <f>IF([2]Entry!$R$616="","",[2]Entry!$R$616)</f>
        <v/>
      </c>
    </row>
    <row r="614">
      <c r="J614">
        <f>IF([2]Entry!$C$617="","",[2]Entry!$C$617)</f>
        <v/>
      </c>
      <c r="K614">
        <f>IF([2]Entry!$D$617="","",[2]Entry!$D$617)</f>
        <v/>
      </c>
      <c r="L614">
        <f>IF([2]Entry!$E$617="","",[2]Entry!$E$617)</f>
        <v/>
      </c>
      <c r="M614">
        <f>IF([2]Entry!$G$617="","",[2]Entry!$G$617)</f>
        <v/>
      </c>
      <c r="N614">
        <f>IF([2]Entry!$M$617="","",[2]Entry!$M$617)</f>
        <v/>
      </c>
      <c r="O614">
        <f>IF([2]Entry!$N$617="","",[2]Entry!$N$617)</f>
        <v/>
      </c>
      <c r="P614">
        <f>IF([2]Entry!$R$617="","",[2]Entry!$R$617)</f>
        <v/>
      </c>
    </row>
    <row r="615">
      <c r="J615">
        <f>IF([2]Entry!$C$618="","",[2]Entry!$C$618)</f>
        <v/>
      </c>
      <c r="K615">
        <f>IF([2]Entry!$D$618="","",[2]Entry!$D$618)</f>
        <v/>
      </c>
      <c r="L615">
        <f>IF([2]Entry!$E$618="","",[2]Entry!$E$618)</f>
        <v/>
      </c>
      <c r="M615">
        <f>IF([2]Entry!$G$618="","",[2]Entry!$G$618)</f>
        <v/>
      </c>
      <c r="N615">
        <f>IF([2]Entry!$M$618="","",[2]Entry!$M$618)</f>
        <v/>
      </c>
      <c r="O615">
        <f>IF([2]Entry!$N$618="","",[2]Entry!$N$618)</f>
        <v/>
      </c>
      <c r="P615">
        <f>IF([2]Entry!$R$618="","",[2]Entry!$R$618)</f>
        <v/>
      </c>
    </row>
    <row r="616">
      <c r="J616">
        <f>IF([2]Entry!$C$619="","",[2]Entry!$C$619)</f>
        <v/>
      </c>
      <c r="K616">
        <f>IF([2]Entry!$D$619="","",[2]Entry!$D$619)</f>
        <v/>
      </c>
      <c r="L616">
        <f>IF([2]Entry!$E$619="","",[2]Entry!$E$619)</f>
        <v/>
      </c>
      <c r="M616">
        <f>IF([2]Entry!$G$619="","",[2]Entry!$G$619)</f>
        <v/>
      </c>
      <c r="N616">
        <f>IF([2]Entry!$M$619="","",[2]Entry!$M$619)</f>
        <v/>
      </c>
      <c r="O616">
        <f>IF([2]Entry!$N$619="","",[2]Entry!$N$619)</f>
        <v/>
      </c>
      <c r="P616">
        <f>IF([2]Entry!$R$619="","",[2]Entry!$R$619)</f>
        <v/>
      </c>
    </row>
    <row r="617">
      <c r="J617">
        <f>IF([2]Entry!$C$620="","",[2]Entry!$C$620)</f>
        <v/>
      </c>
      <c r="K617">
        <f>IF([2]Entry!$D$620="","",[2]Entry!$D$620)</f>
        <v/>
      </c>
      <c r="L617">
        <f>IF([2]Entry!$E$620="","",[2]Entry!$E$620)</f>
        <v/>
      </c>
      <c r="M617">
        <f>IF([2]Entry!$G$620="","",[2]Entry!$G$620)</f>
        <v/>
      </c>
      <c r="N617">
        <f>IF([2]Entry!$M$620="","",[2]Entry!$M$620)</f>
        <v/>
      </c>
      <c r="O617">
        <f>IF([2]Entry!$N$620="","",[2]Entry!$N$620)</f>
        <v/>
      </c>
      <c r="P617">
        <f>IF([2]Entry!$R$620="","",[2]Entry!$R$620)</f>
        <v/>
      </c>
    </row>
    <row r="618">
      <c r="J618">
        <f>IF([2]Entry!$C$621="","",[2]Entry!$C$621)</f>
        <v/>
      </c>
      <c r="K618">
        <f>IF([2]Entry!$D$621="","",[2]Entry!$D$621)</f>
        <v/>
      </c>
      <c r="L618">
        <f>IF([2]Entry!$E$621="","",[2]Entry!$E$621)</f>
        <v/>
      </c>
      <c r="M618">
        <f>IF([2]Entry!$G$621="","",[2]Entry!$G$621)</f>
        <v/>
      </c>
      <c r="N618">
        <f>IF([2]Entry!$M$621="","",[2]Entry!$M$621)</f>
        <v/>
      </c>
      <c r="O618">
        <f>IF([2]Entry!$N$621="","",[2]Entry!$N$621)</f>
        <v/>
      </c>
      <c r="P618">
        <f>IF([2]Entry!$R$621="","",[2]Entry!$R$621)</f>
        <v/>
      </c>
    </row>
    <row r="619">
      <c r="J619">
        <f>IF([2]Entry!$C$622="","",[2]Entry!$C$622)</f>
        <v/>
      </c>
      <c r="K619">
        <f>IF([2]Entry!$D$622="","",[2]Entry!$D$622)</f>
        <v/>
      </c>
      <c r="L619">
        <f>IF([2]Entry!$E$622="","",[2]Entry!$E$622)</f>
        <v/>
      </c>
      <c r="M619">
        <f>IF([2]Entry!$G$622="","",[2]Entry!$G$622)</f>
        <v/>
      </c>
      <c r="N619">
        <f>IF([2]Entry!$M$622="","",[2]Entry!$M$622)</f>
        <v/>
      </c>
      <c r="O619">
        <f>IF([2]Entry!$N$622="","",[2]Entry!$N$622)</f>
        <v/>
      </c>
      <c r="P619">
        <f>IF([2]Entry!$R$622="","",[2]Entry!$R$622)</f>
        <v/>
      </c>
    </row>
    <row r="620">
      <c r="J620">
        <f>IF([2]Entry!$C$623="","",[2]Entry!$C$623)</f>
        <v/>
      </c>
      <c r="K620">
        <f>IF([2]Entry!$D$623="","",[2]Entry!$D$623)</f>
        <v/>
      </c>
      <c r="L620">
        <f>IF([2]Entry!$E$623="","",[2]Entry!$E$623)</f>
        <v/>
      </c>
      <c r="M620">
        <f>IF([2]Entry!$G$623="","",[2]Entry!$G$623)</f>
        <v/>
      </c>
      <c r="N620">
        <f>IF([2]Entry!$M$623="","",[2]Entry!$M$623)</f>
        <v/>
      </c>
      <c r="O620">
        <f>IF([2]Entry!$N$623="","",[2]Entry!$N$623)</f>
        <v/>
      </c>
      <c r="P620">
        <f>IF([2]Entry!$R$623="","",[2]Entry!$R$623)</f>
        <v/>
      </c>
    </row>
    <row r="621">
      <c r="J621">
        <f>IF([2]Entry!$C$624="","",[2]Entry!$C$624)</f>
        <v/>
      </c>
      <c r="K621">
        <f>IF([2]Entry!$D$624="","",[2]Entry!$D$624)</f>
        <v/>
      </c>
      <c r="L621">
        <f>IF([2]Entry!$E$624="","",[2]Entry!$E$624)</f>
        <v/>
      </c>
      <c r="M621">
        <f>IF([2]Entry!$G$624="","",[2]Entry!$G$624)</f>
        <v/>
      </c>
      <c r="N621">
        <f>IF([2]Entry!$M$624="","",[2]Entry!$M$624)</f>
        <v/>
      </c>
      <c r="O621">
        <f>IF([2]Entry!$N$624="","",[2]Entry!$N$624)</f>
        <v/>
      </c>
      <c r="P621">
        <f>IF([2]Entry!$R$624="","",[2]Entry!$R$624)</f>
        <v/>
      </c>
    </row>
    <row r="622">
      <c r="J622">
        <f>IF([2]Entry!$C$625="","",[2]Entry!$C$625)</f>
        <v/>
      </c>
      <c r="K622">
        <f>IF([2]Entry!$D$625="","",[2]Entry!$D$625)</f>
        <v/>
      </c>
      <c r="L622">
        <f>IF([2]Entry!$E$625="","",[2]Entry!$E$625)</f>
        <v/>
      </c>
      <c r="M622">
        <f>IF([2]Entry!$G$625="","",[2]Entry!$G$625)</f>
        <v/>
      </c>
      <c r="N622">
        <f>IF([2]Entry!$M$625="","",[2]Entry!$M$625)</f>
        <v/>
      </c>
      <c r="O622">
        <f>IF([2]Entry!$N$625="","",[2]Entry!$N$625)</f>
        <v/>
      </c>
      <c r="P622">
        <f>IF([2]Entry!$R$625="","",[2]Entry!$R$625)</f>
        <v/>
      </c>
    </row>
    <row r="623">
      <c r="J623">
        <f>IF([2]Entry!$C$626="","",[2]Entry!$C$626)</f>
        <v/>
      </c>
      <c r="K623">
        <f>IF([2]Entry!$D$626="","",[2]Entry!$D$626)</f>
        <v/>
      </c>
      <c r="L623">
        <f>IF([2]Entry!$E$626="","",[2]Entry!$E$626)</f>
        <v/>
      </c>
      <c r="M623">
        <f>IF([2]Entry!$G$626="","",[2]Entry!$G$626)</f>
        <v/>
      </c>
      <c r="N623">
        <f>IF([2]Entry!$M$626="","",[2]Entry!$M$626)</f>
        <v/>
      </c>
      <c r="O623">
        <f>IF([2]Entry!$N$626="","",[2]Entry!$N$626)</f>
        <v/>
      </c>
      <c r="P623">
        <f>IF([2]Entry!$R$626="","",[2]Entry!$R$626)</f>
        <v/>
      </c>
    </row>
    <row r="624">
      <c r="J624">
        <f>IF([2]Entry!$C$627="","",[2]Entry!$C$627)</f>
        <v/>
      </c>
      <c r="K624">
        <f>IF([2]Entry!$D$627="","",[2]Entry!$D$627)</f>
        <v/>
      </c>
      <c r="L624">
        <f>IF([2]Entry!$E$627="","",[2]Entry!$E$627)</f>
        <v/>
      </c>
      <c r="M624">
        <f>IF([2]Entry!$G$627="","",[2]Entry!$G$627)</f>
        <v/>
      </c>
      <c r="N624">
        <f>IF([2]Entry!$M$627="","",[2]Entry!$M$627)</f>
        <v/>
      </c>
      <c r="O624">
        <f>IF([2]Entry!$N$627="","",[2]Entry!$N$627)</f>
        <v/>
      </c>
      <c r="P624">
        <f>IF([2]Entry!$R$627="","",[2]Entry!$R$627)</f>
        <v/>
      </c>
    </row>
    <row r="625">
      <c r="J625">
        <f>IF([2]Entry!$C$628="","",[2]Entry!$C$628)</f>
        <v/>
      </c>
      <c r="K625">
        <f>IF([2]Entry!$D$628="","",[2]Entry!$D$628)</f>
        <v/>
      </c>
      <c r="L625">
        <f>IF([2]Entry!$E$628="","",[2]Entry!$E$628)</f>
        <v/>
      </c>
      <c r="M625">
        <f>IF([2]Entry!$G$628="","",[2]Entry!$G$628)</f>
        <v/>
      </c>
      <c r="N625">
        <f>IF([2]Entry!$M$628="","",[2]Entry!$M$628)</f>
        <v/>
      </c>
      <c r="O625">
        <f>IF([2]Entry!$N$628="","",[2]Entry!$N$628)</f>
        <v/>
      </c>
      <c r="P625">
        <f>IF([2]Entry!$R$628="","",[2]Entry!$R$628)</f>
        <v/>
      </c>
    </row>
    <row r="626">
      <c r="J626">
        <f>IF([2]Entry!$C$629="","",[2]Entry!$C$629)</f>
        <v/>
      </c>
      <c r="K626">
        <f>IF([2]Entry!$D$629="","",[2]Entry!$D$629)</f>
        <v/>
      </c>
      <c r="L626">
        <f>IF([2]Entry!$E$629="","",[2]Entry!$E$629)</f>
        <v/>
      </c>
      <c r="M626">
        <f>IF([2]Entry!$G$629="","",[2]Entry!$G$629)</f>
        <v/>
      </c>
      <c r="N626">
        <f>IF([2]Entry!$M$629="","",[2]Entry!$M$629)</f>
        <v/>
      </c>
      <c r="O626">
        <f>IF([2]Entry!$N$629="","",[2]Entry!$N$629)</f>
        <v/>
      </c>
      <c r="P626">
        <f>IF([2]Entry!$R$629="","",[2]Entry!$R$629)</f>
        <v/>
      </c>
    </row>
    <row r="627">
      <c r="J627">
        <f>IF([2]Entry!$C$630="","",[2]Entry!$C$630)</f>
        <v/>
      </c>
      <c r="K627">
        <f>IF([2]Entry!$D$630="","",[2]Entry!$D$630)</f>
        <v/>
      </c>
      <c r="L627">
        <f>IF([2]Entry!$E$630="","",[2]Entry!$E$630)</f>
        <v/>
      </c>
      <c r="M627">
        <f>IF([2]Entry!$G$630="","",[2]Entry!$G$630)</f>
        <v/>
      </c>
      <c r="N627">
        <f>IF([2]Entry!$M$630="","",[2]Entry!$M$630)</f>
        <v/>
      </c>
      <c r="O627">
        <f>IF([2]Entry!$N$630="","",[2]Entry!$N$630)</f>
        <v/>
      </c>
      <c r="P627">
        <f>IF([2]Entry!$R$630="","",[2]Entry!$R$630)</f>
        <v/>
      </c>
    </row>
    <row r="628">
      <c r="J628">
        <f>IF([2]Entry!$C$631="","",[2]Entry!$C$631)</f>
        <v/>
      </c>
      <c r="K628">
        <f>IF([2]Entry!$D$631="","",[2]Entry!$D$631)</f>
        <v/>
      </c>
      <c r="L628">
        <f>IF([2]Entry!$E$631="","",[2]Entry!$E$631)</f>
        <v/>
      </c>
      <c r="M628">
        <f>IF([2]Entry!$G$631="","",[2]Entry!$G$631)</f>
        <v/>
      </c>
      <c r="N628">
        <f>IF([2]Entry!$M$631="","",[2]Entry!$M$631)</f>
        <v/>
      </c>
      <c r="O628">
        <f>IF([2]Entry!$N$631="","",[2]Entry!$N$631)</f>
        <v/>
      </c>
      <c r="P628">
        <f>IF([2]Entry!$R$631="","",[2]Entry!$R$631)</f>
        <v/>
      </c>
    </row>
    <row r="629">
      <c r="J629">
        <f>IF([2]Entry!$C$632="","",[2]Entry!$C$632)</f>
        <v/>
      </c>
      <c r="K629">
        <f>IF([2]Entry!$D$632="","",[2]Entry!$D$632)</f>
        <v/>
      </c>
      <c r="L629">
        <f>IF([2]Entry!$E$632="","",[2]Entry!$E$632)</f>
        <v/>
      </c>
      <c r="M629">
        <f>IF([2]Entry!$G$632="","",[2]Entry!$G$632)</f>
        <v/>
      </c>
      <c r="N629">
        <f>IF([2]Entry!$M$632="","",[2]Entry!$M$632)</f>
        <v/>
      </c>
      <c r="O629">
        <f>IF([2]Entry!$N$632="","",[2]Entry!$N$632)</f>
        <v/>
      </c>
      <c r="P629">
        <f>IF([2]Entry!$R$632="","",[2]Entry!$R$632)</f>
        <v/>
      </c>
    </row>
    <row r="630">
      <c r="J630">
        <f>IF([2]Entry!$C$633="","",[2]Entry!$C$633)</f>
        <v/>
      </c>
      <c r="K630">
        <f>IF([2]Entry!$D$633="","",[2]Entry!$D$633)</f>
        <v/>
      </c>
      <c r="L630">
        <f>IF([2]Entry!$E$633="","",[2]Entry!$E$633)</f>
        <v/>
      </c>
      <c r="M630">
        <f>IF([2]Entry!$G$633="","",[2]Entry!$G$633)</f>
        <v/>
      </c>
      <c r="N630">
        <f>IF([2]Entry!$M$633="","",[2]Entry!$M$633)</f>
        <v/>
      </c>
      <c r="O630">
        <f>IF([2]Entry!$N$633="","",[2]Entry!$N$633)</f>
        <v/>
      </c>
      <c r="P630">
        <f>IF([2]Entry!$R$633="","",[2]Entry!$R$633)</f>
        <v/>
      </c>
    </row>
    <row r="631">
      <c r="J631">
        <f>IF([2]Entry!$C$634="","",[2]Entry!$C$634)</f>
        <v/>
      </c>
      <c r="K631">
        <f>IF([2]Entry!$D$634="","",[2]Entry!$D$634)</f>
        <v/>
      </c>
      <c r="L631">
        <f>IF([2]Entry!$E$634="","",[2]Entry!$E$634)</f>
        <v/>
      </c>
      <c r="M631">
        <f>IF([2]Entry!$G$634="","",[2]Entry!$G$634)</f>
        <v/>
      </c>
      <c r="N631">
        <f>IF([2]Entry!$M$634="","",[2]Entry!$M$634)</f>
        <v/>
      </c>
      <c r="O631">
        <f>IF([2]Entry!$N$634="","",[2]Entry!$N$634)</f>
        <v/>
      </c>
      <c r="P631">
        <f>IF([2]Entry!$R$634="","",[2]Entry!$R$634)</f>
        <v/>
      </c>
    </row>
    <row r="632">
      <c r="J632">
        <f>IF([2]Entry!$C$635="","",[2]Entry!$C$635)</f>
        <v/>
      </c>
      <c r="K632">
        <f>IF([2]Entry!$D$635="","",[2]Entry!$D$635)</f>
        <v/>
      </c>
      <c r="L632">
        <f>IF([2]Entry!$E$635="","",[2]Entry!$E$635)</f>
        <v/>
      </c>
      <c r="M632">
        <f>IF([2]Entry!$G$635="","",[2]Entry!$G$635)</f>
        <v/>
      </c>
      <c r="N632">
        <f>IF([2]Entry!$M$635="","",[2]Entry!$M$635)</f>
        <v/>
      </c>
      <c r="O632">
        <f>IF([2]Entry!$N$635="","",[2]Entry!$N$635)</f>
        <v/>
      </c>
      <c r="P632">
        <f>IF([2]Entry!$R$635="","",[2]Entry!$R$635)</f>
        <v/>
      </c>
    </row>
    <row r="633">
      <c r="J633">
        <f>IF([2]Entry!$C$636="","",[2]Entry!$C$636)</f>
        <v/>
      </c>
      <c r="K633">
        <f>IF([2]Entry!$D$636="","",[2]Entry!$D$636)</f>
        <v/>
      </c>
      <c r="L633">
        <f>IF([2]Entry!$E$636="","",[2]Entry!$E$636)</f>
        <v/>
      </c>
      <c r="M633">
        <f>IF([2]Entry!$G$636="","",[2]Entry!$G$636)</f>
        <v/>
      </c>
      <c r="N633">
        <f>IF([2]Entry!$M$636="","",[2]Entry!$M$636)</f>
        <v/>
      </c>
      <c r="O633">
        <f>IF([2]Entry!$N$636="","",[2]Entry!$N$636)</f>
        <v/>
      </c>
      <c r="P633">
        <f>IF([2]Entry!$R$636="","",[2]Entry!$R$636)</f>
        <v/>
      </c>
    </row>
    <row r="634">
      <c r="J634">
        <f>IF([2]Entry!$C$637="","",[2]Entry!$C$637)</f>
        <v/>
      </c>
      <c r="K634">
        <f>IF([2]Entry!$D$637="","",[2]Entry!$D$637)</f>
        <v/>
      </c>
      <c r="L634">
        <f>IF([2]Entry!$E$637="","",[2]Entry!$E$637)</f>
        <v/>
      </c>
      <c r="M634">
        <f>IF([2]Entry!$G$637="","",[2]Entry!$G$637)</f>
        <v/>
      </c>
      <c r="N634">
        <f>IF([2]Entry!$M$637="","",[2]Entry!$M$637)</f>
        <v/>
      </c>
      <c r="O634">
        <f>IF([2]Entry!$N$637="","",[2]Entry!$N$637)</f>
        <v/>
      </c>
      <c r="P634">
        <f>IF([2]Entry!$R$637="","",[2]Entry!$R$637)</f>
        <v/>
      </c>
    </row>
    <row r="635">
      <c r="J635">
        <f>IF([2]Entry!$C$638="","",[2]Entry!$C$638)</f>
        <v/>
      </c>
      <c r="K635">
        <f>IF([2]Entry!$D$638="","",[2]Entry!$D$638)</f>
        <v/>
      </c>
      <c r="L635">
        <f>IF([2]Entry!$E$638="","",[2]Entry!$E$638)</f>
        <v/>
      </c>
      <c r="M635">
        <f>IF([2]Entry!$G$638="","",[2]Entry!$G$638)</f>
        <v/>
      </c>
      <c r="N635">
        <f>IF([2]Entry!$M$638="","",[2]Entry!$M$638)</f>
        <v/>
      </c>
      <c r="O635">
        <f>IF([2]Entry!$N$638="","",[2]Entry!$N$638)</f>
        <v/>
      </c>
      <c r="P635">
        <f>IF([2]Entry!$R$638="","",[2]Entry!$R$638)</f>
        <v/>
      </c>
    </row>
    <row r="636">
      <c r="J636">
        <f>IF([2]Entry!$C$639="","",[2]Entry!$C$639)</f>
        <v/>
      </c>
      <c r="K636">
        <f>IF([2]Entry!$D$639="","",[2]Entry!$D$639)</f>
        <v/>
      </c>
      <c r="L636">
        <f>IF([2]Entry!$E$639="","",[2]Entry!$E$639)</f>
        <v/>
      </c>
      <c r="M636">
        <f>IF([2]Entry!$G$639="","",[2]Entry!$G$639)</f>
        <v/>
      </c>
      <c r="N636">
        <f>IF([2]Entry!$M$639="","",[2]Entry!$M$639)</f>
        <v/>
      </c>
      <c r="O636">
        <f>IF([2]Entry!$N$639="","",[2]Entry!$N$639)</f>
        <v/>
      </c>
      <c r="P636">
        <f>IF([2]Entry!$R$639="","",[2]Entry!$R$639)</f>
        <v/>
      </c>
    </row>
    <row r="637">
      <c r="J637">
        <f>IF([2]Entry!$C$640="","",[2]Entry!$C$640)</f>
        <v/>
      </c>
      <c r="K637">
        <f>IF([2]Entry!$D$640="","",[2]Entry!$D$640)</f>
        <v/>
      </c>
      <c r="L637">
        <f>IF([2]Entry!$E$640="","",[2]Entry!$E$640)</f>
        <v/>
      </c>
      <c r="M637">
        <f>IF([2]Entry!$G$640="","",[2]Entry!$G$640)</f>
        <v/>
      </c>
      <c r="N637">
        <f>IF([2]Entry!$M$640="","",[2]Entry!$M$640)</f>
        <v/>
      </c>
      <c r="O637">
        <f>IF([2]Entry!$N$640="","",[2]Entry!$N$640)</f>
        <v/>
      </c>
      <c r="P637">
        <f>IF([2]Entry!$R$640="","",[2]Entry!$R$640)</f>
        <v/>
      </c>
    </row>
    <row r="638">
      <c r="J638">
        <f>IF([2]Entry!$C$641="","",[2]Entry!$C$641)</f>
        <v/>
      </c>
      <c r="K638">
        <f>IF([2]Entry!$D$641="","",[2]Entry!$D$641)</f>
        <v/>
      </c>
      <c r="L638">
        <f>IF([2]Entry!$E$641="","",[2]Entry!$E$641)</f>
        <v/>
      </c>
      <c r="M638">
        <f>IF([2]Entry!$G$641="","",[2]Entry!$G$641)</f>
        <v/>
      </c>
      <c r="N638">
        <f>IF([2]Entry!$M$641="","",[2]Entry!$M$641)</f>
        <v/>
      </c>
      <c r="O638">
        <f>IF([2]Entry!$N$641="","",[2]Entry!$N$641)</f>
        <v/>
      </c>
      <c r="P638">
        <f>IF([2]Entry!$R$641="","",[2]Entry!$R$641)</f>
        <v/>
      </c>
    </row>
    <row r="639">
      <c r="J639">
        <f>IF([2]Entry!$C$642="","",[2]Entry!$C$642)</f>
        <v/>
      </c>
      <c r="K639">
        <f>IF([2]Entry!$D$642="","",[2]Entry!$D$642)</f>
        <v/>
      </c>
      <c r="L639">
        <f>IF([2]Entry!$E$642="","",[2]Entry!$E$642)</f>
        <v/>
      </c>
      <c r="M639">
        <f>IF([2]Entry!$G$642="","",[2]Entry!$G$642)</f>
        <v/>
      </c>
      <c r="N639">
        <f>IF([2]Entry!$M$642="","",[2]Entry!$M$642)</f>
        <v/>
      </c>
      <c r="O639">
        <f>IF([2]Entry!$N$642="","",[2]Entry!$N$642)</f>
        <v/>
      </c>
      <c r="P639">
        <f>IF([2]Entry!$R$642="","",[2]Entry!$R$642)</f>
        <v/>
      </c>
    </row>
    <row r="640">
      <c r="J640">
        <f>IF([2]Entry!$C$643="","",[2]Entry!$C$643)</f>
        <v/>
      </c>
      <c r="K640">
        <f>IF([2]Entry!$D$643="","",[2]Entry!$D$643)</f>
        <v/>
      </c>
      <c r="L640">
        <f>IF([2]Entry!$E$643="","",[2]Entry!$E$643)</f>
        <v/>
      </c>
      <c r="M640">
        <f>IF([2]Entry!$G$643="","",[2]Entry!$G$643)</f>
        <v/>
      </c>
      <c r="N640">
        <f>IF([2]Entry!$M$643="","",[2]Entry!$M$643)</f>
        <v/>
      </c>
      <c r="O640">
        <f>IF([2]Entry!$N$643="","",[2]Entry!$N$643)</f>
        <v/>
      </c>
      <c r="P640">
        <f>IF([2]Entry!$R$643="","",[2]Entry!$R$643)</f>
        <v/>
      </c>
    </row>
    <row r="641">
      <c r="J641">
        <f>IF([2]Entry!$C$644="","",[2]Entry!$C$644)</f>
        <v/>
      </c>
      <c r="K641">
        <f>IF([2]Entry!$D$644="","",[2]Entry!$D$644)</f>
        <v/>
      </c>
      <c r="L641">
        <f>IF([2]Entry!$E$644="","",[2]Entry!$E$644)</f>
        <v/>
      </c>
      <c r="M641">
        <f>IF([2]Entry!$G$644="","",[2]Entry!$G$644)</f>
        <v/>
      </c>
      <c r="N641">
        <f>IF([2]Entry!$M$644="","",[2]Entry!$M$644)</f>
        <v/>
      </c>
      <c r="O641">
        <f>IF([2]Entry!$N$644="","",[2]Entry!$N$644)</f>
        <v/>
      </c>
      <c r="P641">
        <f>IF([2]Entry!$R$644="","",[2]Entry!$R$644)</f>
        <v/>
      </c>
    </row>
    <row r="642">
      <c r="J642">
        <f>IF([2]Entry!$C$645="","",[2]Entry!$C$645)</f>
        <v/>
      </c>
      <c r="K642">
        <f>IF([2]Entry!$D$645="","",[2]Entry!$D$645)</f>
        <v/>
      </c>
      <c r="L642">
        <f>IF([2]Entry!$E$645="","",[2]Entry!$E$645)</f>
        <v/>
      </c>
      <c r="M642">
        <f>IF([2]Entry!$G$645="","",[2]Entry!$G$645)</f>
        <v/>
      </c>
      <c r="N642">
        <f>IF([2]Entry!$M$645="","",[2]Entry!$M$645)</f>
        <v/>
      </c>
      <c r="O642">
        <f>IF([2]Entry!$N$645="","",[2]Entry!$N$645)</f>
        <v/>
      </c>
      <c r="P642">
        <f>IF([2]Entry!$R$645="","",[2]Entry!$R$645)</f>
        <v/>
      </c>
    </row>
    <row r="643">
      <c r="J643">
        <f>IF([2]Entry!$C$646="","",[2]Entry!$C$646)</f>
        <v/>
      </c>
      <c r="K643">
        <f>IF([2]Entry!$D$646="","",[2]Entry!$D$646)</f>
        <v/>
      </c>
      <c r="L643">
        <f>IF([2]Entry!$E$646="","",[2]Entry!$E$646)</f>
        <v/>
      </c>
      <c r="M643">
        <f>IF([2]Entry!$G$646="","",[2]Entry!$G$646)</f>
        <v/>
      </c>
      <c r="N643">
        <f>IF([2]Entry!$M$646="","",[2]Entry!$M$646)</f>
        <v/>
      </c>
      <c r="O643">
        <f>IF([2]Entry!$N$646="","",[2]Entry!$N$646)</f>
        <v/>
      </c>
      <c r="P643">
        <f>IF([2]Entry!$R$646="","",[2]Entry!$R$646)</f>
        <v/>
      </c>
    </row>
    <row r="644">
      <c r="J644">
        <f>IF([2]Entry!$C$647="","",[2]Entry!$C$647)</f>
        <v/>
      </c>
      <c r="K644">
        <f>IF([2]Entry!$D$647="","",[2]Entry!$D$647)</f>
        <v/>
      </c>
      <c r="L644">
        <f>IF([2]Entry!$E$647="","",[2]Entry!$E$647)</f>
        <v/>
      </c>
      <c r="M644">
        <f>IF([2]Entry!$G$647="","",[2]Entry!$G$647)</f>
        <v/>
      </c>
      <c r="N644">
        <f>IF([2]Entry!$M$647="","",[2]Entry!$M$647)</f>
        <v/>
      </c>
      <c r="O644">
        <f>IF([2]Entry!$N$647="","",[2]Entry!$N$647)</f>
        <v/>
      </c>
      <c r="P644">
        <f>IF([2]Entry!$R$647="","",[2]Entry!$R$647)</f>
        <v/>
      </c>
    </row>
    <row r="645">
      <c r="J645">
        <f>IF([2]Entry!$C$648="","",[2]Entry!$C$648)</f>
        <v/>
      </c>
      <c r="K645">
        <f>IF([2]Entry!$D$648="","",[2]Entry!$D$648)</f>
        <v/>
      </c>
      <c r="L645">
        <f>IF([2]Entry!$E$648="","",[2]Entry!$E$648)</f>
        <v/>
      </c>
      <c r="M645">
        <f>IF([2]Entry!$G$648="","",[2]Entry!$G$648)</f>
        <v/>
      </c>
      <c r="N645">
        <f>IF([2]Entry!$M$648="","",[2]Entry!$M$648)</f>
        <v/>
      </c>
      <c r="O645">
        <f>IF([2]Entry!$N$648="","",[2]Entry!$N$648)</f>
        <v/>
      </c>
      <c r="P645">
        <f>IF([2]Entry!$R$648="","",[2]Entry!$R$648)</f>
        <v/>
      </c>
    </row>
    <row r="646">
      <c r="J646">
        <f>IF([2]Entry!$C$649="","",[2]Entry!$C$649)</f>
        <v/>
      </c>
      <c r="K646">
        <f>IF([2]Entry!$D$649="","",[2]Entry!$D$649)</f>
        <v/>
      </c>
      <c r="L646">
        <f>IF([2]Entry!$E$649="","",[2]Entry!$E$649)</f>
        <v/>
      </c>
      <c r="M646">
        <f>IF([2]Entry!$G$649="","",[2]Entry!$G$649)</f>
        <v/>
      </c>
      <c r="N646">
        <f>IF([2]Entry!$M$649="","",[2]Entry!$M$649)</f>
        <v/>
      </c>
      <c r="O646">
        <f>IF([2]Entry!$N$649="","",[2]Entry!$N$649)</f>
        <v/>
      </c>
      <c r="P646">
        <f>IF([2]Entry!$R$649="","",[2]Entry!$R$649)</f>
        <v/>
      </c>
    </row>
    <row r="647">
      <c r="J647">
        <f>IF([2]Entry!$C$650="","",[2]Entry!$C$650)</f>
        <v/>
      </c>
      <c r="K647">
        <f>IF([2]Entry!$D$650="","",[2]Entry!$D$650)</f>
        <v/>
      </c>
      <c r="L647">
        <f>IF([2]Entry!$E$650="","",[2]Entry!$E$650)</f>
        <v/>
      </c>
      <c r="M647">
        <f>IF([2]Entry!$G$650="","",[2]Entry!$G$650)</f>
        <v/>
      </c>
      <c r="N647">
        <f>IF([2]Entry!$M$650="","",[2]Entry!$M$650)</f>
        <v/>
      </c>
      <c r="O647">
        <f>IF([2]Entry!$N$650="","",[2]Entry!$N$650)</f>
        <v/>
      </c>
      <c r="P647">
        <f>IF([2]Entry!$R$650="","",[2]Entry!$R$650)</f>
        <v/>
      </c>
    </row>
    <row r="648">
      <c r="J648">
        <f>IF([2]Entry!$C$651="","",[2]Entry!$C$651)</f>
        <v/>
      </c>
      <c r="K648">
        <f>IF([2]Entry!$D$651="","",[2]Entry!$D$651)</f>
        <v/>
      </c>
      <c r="L648">
        <f>IF([2]Entry!$E$651="","",[2]Entry!$E$651)</f>
        <v/>
      </c>
      <c r="M648">
        <f>IF([2]Entry!$G$651="","",[2]Entry!$G$651)</f>
        <v/>
      </c>
      <c r="N648">
        <f>IF([2]Entry!$M$651="","",[2]Entry!$M$651)</f>
        <v/>
      </c>
      <c r="O648">
        <f>IF([2]Entry!$N$651="","",[2]Entry!$N$651)</f>
        <v/>
      </c>
      <c r="P648">
        <f>IF([2]Entry!$R$651="","",[2]Entry!$R$651)</f>
        <v/>
      </c>
    </row>
    <row r="649">
      <c r="J649">
        <f>IF([2]Entry!$C$652="","",[2]Entry!$C$652)</f>
        <v/>
      </c>
      <c r="K649">
        <f>IF([2]Entry!$D$652="","",[2]Entry!$D$652)</f>
        <v/>
      </c>
      <c r="L649">
        <f>IF([2]Entry!$E$652="","",[2]Entry!$E$652)</f>
        <v/>
      </c>
      <c r="M649">
        <f>IF([2]Entry!$G$652="","",[2]Entry!$G$652)</f>
        <v/>
      </c>
      <c r="N649">
        <f>IF([2]Entry!$M$652="","",[2]Entry!$M$652)</f>
        <v/>
      </c>
      <c r="O649">
        <f>IF([2]Entry!$N$652="","",[2]Entry!$N$652)</f>
        <v/>
      </c>
      <c r="P649">
        <f>IF([2]Entry!$R$652="","",[2]Entry!$R$652)</f>
        <v/>
      </c>
    </row>
    <row r="650">
      <c r="J650">
        <f>IF([2]Entry!$C$653="","",[2]Entry!$C$653)</f>
        <v/>
      </c>
      <c r="K650">
        <f>IF([2]Entry!$D$653="","",[2]Entry!$D$653)</f>
        <v/>
      </c>
      <c r="L650">
        <f>IF([2]Entry!$E$653="","",[2]Entry!$E$653)</f>
        <v/>
      </c>
      <c r="M650">
        <f>IF([2]Entry!$G$653="","",[2]Entry!$G$653)</f>
        <v/>
      </c>
      <c r="N650">
        <f>IF([2]Entry!$M$653="","",[2]Entry!$M$653)</f>
        <v/>
      </c>
      <c r="O650">
        <f>IF([2]Entry!$N$653="","",[2]Entry!$N$653)</f>
        <v/>
      </c>
      <c r="P650">
        <f>IF([2]Entry!$R$653="","",[2]Entry!$R$653)</f>
        <v/>
      </c>
    </row>
    <row r="651">
      <c r="J651">
        <f>IF([2]Entry!$C$654="","",[2]Entry!$C$654)</f>
        <v/>
      </c>
      <c r="K651">
        <f>IF([2]Entry!$D$654="","",[2]Entry!$D$654)</f>
        <v/>
      </c>
      <c r="L651">
        <f>IF([2]Entry!$E$654="","",[2]Entry!$E$654)</f>
        <v/>
      </c>
      <c r="M651">
        <f>IF([2]Entry!$G$654="","",[2]Entry!$G$654)</f>
        <v/>
      </c>
      <c r="N651">
        <f>IF([2]Entry!$M$654="","",[2]Entry!$M$654)</f>
        <v/>
      </c>
      <c r="O651">
        <f>IF([2]Entry!$N$654="","",[2]Entry!$N$654)</f>
        <v/>
      </c>
      <c r="P651">
        <f>IF([2]Entry!$R$654="","",[2]Entry!$R$654)</f>
        <v/>
      </c>
    </row>
    <row r="652">
      <c r="J652">
        <f>IF([2]Entry!$C$655="","",[2]Entry!$C$655)</f>
        <v/>
      </c>
      <c r="K652">
        <f>IF([2]Entry!$D$655="","",[2]Entry!$D$655)</f>
        <v/>
      </c>
      <c r="L652">
        <f>IF([2]Entry!$E$655="","",[2]Entry!$E$655)</f>
        <v/>
      </c>
      <c r="M652">
        <f>IF([2]Entry!$G$655="","",[2]Entry!$G$655)</f>
        <v/>
      </c>
      <c r="N652">
        <f>IF([2]Entry!$M$655="","",[2]Entry!$M$655)</f>
        <v/>
      </c>
      <c r="O652">
        <f>IF([2]Entry!$N$655="","",[2]Entry!$N$655)</f>
        <v/>
      </c>
      <c r="P652">
        <f>IF([2]Entry!$R$655="","",[2]Entry!$R$655)</f>
        <v/>
      </c>
    </row>
    <row r="653">
      <c r="J653">
        <f>IF([2]Entry!$C$656="","",[2]Entry!$C$656)</f>
        <v/>
      </c>
      <c r="K653">
        <f>IF([2]Entry!$D$656="","",[2]Entry!$D$656)</f>
        <v/>
      </c>
      <c r="L653">
        <f>IF([2]Entry!$E$656="","",[2]Entry!$E$656)</f>
        <v/>
      </c>
      <c r="M653">
        <f>IF([2]Entry!$G$656="","",[2]Entry!$G$656)</f>
        <v/>
      </c>
      <c r="N653">
        <f>IF([2]Entry!$M$656="","",[2]Entry!$M$656)</f>
        <v/>
      </c>
      <c r="O653">
        <f>IF([2]Entry!$N$656="","",[2]Entry!$N$656)</f>
        <v/>
      </c>
      <c r="P653">
        <f>IF([2]Entry!$R$656="","",[2]Entry!$R$656)</f>
        <v/>
      </c>
    </row>
    <row r="654">
      <c r="J654">
        <f>IF([2]Entry!$C$657="","",[2]Entry!$C$657)</f>
        <v/>
      </c>
      <c r="K654">
        <f>IF([2]Entry!$D$657="","",[2]Entry!$D$657)</f>
        <v/>
      </c>
      <c r="L654">
        <f>IF([2]Entry!$E$657="","",[2]Entry!$E$657)</f>
        <v/>
      </c>
      <c r="M654">
        <f>IF([2]Entry!$G$657="","",[2]Entry!$G$657)</f>
        <v/>
      </c>
      <c r="N654">
        <f>IF([2]Entry!$M$657="","",[2]Entry!$M$657)</f>
        <v/>
      </c>
      <c r="O654">
        <f>IF([2]Entry!$N$657="","",[2]Entry!$N$657)</f>
        <v/>
      </c>
      <c r="P654">
        <f>IF([2]Entry!$R$657="","",[2]Entry!$R$657)</f>
        <v/>
      </c>
    </row>
    <row r="655">
      <c r="J655">
        <f>IF([2]Entry!$C$658="","",[2]Entry!$C$658)</f>
        <v/>
      </c>
      <c r="K655">
        <f>IF([2]Entry!$D$658="","",[2]Entry!$D$658)</f>
        <v/>
      </c>
      <c r="L655">
        <f>IF([2]Entry!$E$658="","",[2]Entry!$E$658)</f>
        <v/>
      </c>
      <c r="M655">
        <f>IF([2]Entry!$G$658="","",[2]Entry!$G$658)</f>
        <v/>
      </c>
      <c r="N655">
        <f>IF([2]Entry!$M$658="","",[2]Entry!$M$658)</f>
        <v/>
      </c>
      <c r="O655">
        <f>IF([2]Entry!$N$658="","",[2]Entry!$N$658)</f>
        <v/>
      </c>
      <c r="P655">
        <f>IF([2]Entry!$R$658="","",[2]Entry!$R$658)</f>
        <v/>
      </c>
    </row>
    <row r="656">
      <c r="J656">
        <f>IF([2]Entry!$C$659="","",[2]Entry!$C$659)</f>
        <v/>
      </c>
      <c r="K656">
        <f>IF([2]Entry!$D$659="","",[2]Entry!$D$659)</f>
        <v/>
      </c>
      <c r="L656">
        <f>IF([2]Entry!$E$659="","",[2]Entry!$E$659)</f>
        <v/>
      </c>
      <c r="M656">
        <f>IF([2]Entry!$G$659="","",[2]Entry!$G$659)</f>
        <v/>
      </c>
      <c r="N656">
        <f>IF([2]Entry!$M$659="","",[2]Entry!$M$659)</f>
        <v/>
      </c>
      <c r="O656">
        <f>IF([2]Entry!$N$659="","",[2]Entry!$N$659)</f>
        <v/>
      </c>
      <c r="P656">
        <f>IF([2]Entry!$R$659="","",[2]Entry!$R$659)</f>
        <v/>
      </c>
    </row>
    <row r="657">
      <c r="J657">
        <f>IF([2]Entry!$C$660="","",[2]Entry!$C$660)</f>
        <v/>
      </c>
      <c r="K657">
        <f>IF([2]Entry!$D$660="","",[2]Entry!$D$660)</f>
        <v/>
      </c>
      <c r="L657">
        <f>IF([2]Entry!$E$660="","",[2]Entry!$E$660)</f>
        <v/>
      </c>
      <c r="M657">
        <f>IF([2]Entry!$G$660="","",[2]Entry!$G$660)</f>
        <v/>
      </c>
      <c r="N657">
        <f>IF([2]Entry!$M$660="","",[2]Entry!$M$660)</f>
        <v/>
      </c>
      <c r="O657">
        <f>IF([2]Entry!$N$660="","",[2]Entry!$N$660)</f>
        <v/>
      </c>
      <c r="P657">
        <f>IF([2]Entry!$R$660="","",[2]Entry!$R$660)</f>
        <v/>
      </c>
    </row>
    <row r="658">
      <c r="J658">
        <f>IF([2]Entry!$C$661="","",[2]Entry!$C$661)</f>
        <v/>
      </c>
      <c r="K658">
        <f>IF([2]Entry!$D$661="","",[2]Entry!$D$661)</f>
        <v/>
      </c>
      <c r="L658">
        <f>IF([2]Entry!$E$661="","",[2]Entry!$E$661)</f>
        <v/>
      </c>
      <c r="M658">
        <f>IF([2]Entry!$G$661="","",[2]Entry!$G$661)</f>
        <v/>
      </c>
      <c r="N658">
        <f>IF([2]Entry!$M$661="","",[2]Entry!$M$661)</f>
        <v/>
      </c>
      <c r="O658">
        <f>IF([2]Entry!$N$661="","",[2]Entry!$N$661)</f>
        <v/>
      </c>
      <c r="P658">
        <f>IF([2]Entry!$R$661="","",[2]Entry!$R$661)</f>
        <v/>
      </c>
    </row>
    <row r="659">
      <c r="J659">
        <f>IF([2]Entry!$C$662="","",[2]Entry!$C$662)</f>
        <v/>
      </c>
      <c r="K659">
        <f>IF([2]Entry!$D$662="","",[2]Entry!$D$662)</f>
        <v/>
      </c>
      <c r="L659">
        <f>IF([2]Entry!$E$662="","",[2]Entry!$E$662)</f>
        <v/>
      </c>
      <c r="M659">
        <f>IF([2]Entry!$G$662="","",[2]Entry!$G$662)</f>
        <v/>
      </c>
      <c r="N659">
        <f>IF([2]Entry!$M$662="","",[2]Entry!$M$662)</f>
        <v/>
      </c>
      <c r="O659">
        <f>IF([2]Entry!$N$662="","",[2]Entry!$N$662)</f>
        <v/>
      </c>
      <c r="P659">
        <f>IF([2]Entry!$R$662="","",[2]Entry!$R$662)</f>
        <v/>
      </c>
    </row>
    <row r="660">
      <c r="J660">
        <f>IF([2]Entry!$C$663="","",[2]Entry!$C$663)</f>
        <v/>
      </c>
      <c r="K660">
        <f>IF([2]Entry!$D$663="","",[2]Entry!$D$663)</f>
        <v/>
      </c>
      <c r="L660">
        <f>IF([2]Entry!$E$663="","",[2]Entry!$E$663)</f>
        <v/>
      </c>
      <c r="M660">
        <f>IF([2]Entry!$G$663="","",[2]Entry!$G$663)</f>
        <v/>
      </c>
      <c r="N660">
        <f>IF([2]Entry!$M$663="","",[2]Entry!$M$663)</f>
        <v/>
      </c>
      <c r="O660">
        <f>IF([2]Entry!$N$663="","",[2]Entry!$N$663)</f>
        <v/>
      </c>
      <c r="P660">
        <f>IF([2]Entry!$R$663="","",[2]Entry!$R$663)</f>
        <v/>
      </c>
    </row>
    <row r="661">
      <c r="J661">
        <f>IF([2]Entry!$C$664="","",[2]Entry!$C$664)</f>
        <v/>
      </c>
      <c r="K661">
        <f>IF([2]Entry!$D$664="","",[2]Entry!$D$664)</f>
        <v/>
      </c>
      <c r="L661">
        <f>IF([2]Entry!$E$664="","",[2]Entry!$E$664)</f>
        <v/>
      </c>
      <c r="M661">
        <f>IF([2]Entry!$G$664="","",[2]Entry!$G$664)</f>
        <v/>
      </c>
      <c r="N661">
        <f>IF([2]Entry!$M$664="","",[2]Entry!$M$664)</f>
        <v/>
      </c>
      <c r="O661">
        <f>IF([2]Entry!$N$664="","",[2]Entry!$N$664)</f>
        <v/>
      </c>
      <c r="P661">
        <f>IF([2]Entry!$R$664="","",[2]Entry!$R$664)</f>
        <v/>
      </c>
    </row>
    <row r="662">
      <c r="J662">
        <f>IF([2]Entry!$C$665="","",[2]Entry!$C$665)</f>
        <v/>
      </c>
      <c r="K662">
        <f>IF([2]Entry!$D$665="","",[2]Entry!$D$665)</f>
        <v/>
      </c>
      <c r="L662">
        <f>IF([2]Entry!$E$665="","",[2]Entry!$E$665)</f>
        <v/>
      </c>
      <c r="M662">
        <f>IF([2]Entry!$G$665="","",[2]Entry!$G$665)</f>
        <v/>
      </c>
      <c r="N662">
        <f>IF([2]Entry!$M$665="","",[2]Entry!$M$665)</f>
        <v/>
      </c>
      <c r="O662">
        <f>IF([2]Entry!$N$665="","",[2]Entry!$N$665)</f>
        <v/>
      </c>
      <c r="P662">
        <f>IF([2]Entry!$R$665="","",[2]Entry!$R$665)</f>
        <v/>
      </c>
    </row>
    <row r="663">
      <c r="J663">
        <f>IF([2]Entry!$C$666="","",[2]Entry!$C$666)</f>
        <v/>
      </c>
      <c r="K663">
        <f>IF([2]Entry!$D$666="","",[2]Entry!$D$666)</f>
        <v/>
      </c>
      <c r="L663">
        <f>IF([2]Entry!$E$666="","",[2]Entry!$E$666)</f>
        <v/>
      </c>
      <c r="M663">
        <f>IF([2]Entry!$G$666="","",[2]Entry!$G$666)</f>
        <v/>
      </c>
      <c r="N663">
        <f>IF([2]Entry!$M$666="","",[2]Entry!$M$666)</f>
        <v/>
      </c>
      <c r="O663">
        <f>IF([2]Entry!$N$666="","",[2]Entry!$N$666)</f>
        <v/>
      </c>
      <c r="P663">
        <f>IF([2]Entry!$R$666="","",[2]Entry!$R$666)</f>
        <v/>
      </c>
    </row>
    <row r="664">
      <c r="J664">
        <f>IF([2]Entry!$C$667="","",[2]Entry!$C$667)</f>
        <v/>
      </c>
      <c r="K664">
        <f>IF([2]Entry!$D$667="","",[2]Entry!$D$667)</f>
        <v/>
      </c>
      <c r="L664">
        <f>IF([2]Entry!$E$667="","",[2]Entry!$E$667)</f>
        <v/>
      </c>
      <c r="M664">
        <f>IF([2]Entry!$G$667="","",[2]Entry!$G$667)</f>
        <v/>
      </c>
      <c r="N664">
        <f>IF([2]Entry!$M$667="","",[2]Entry!$M$667)</f>
        <v/>
      </c>
      <c r="O664">
        <f>IF([2]Entry!$N$667="","",[2]Entry!$N$667)</f>
        <v/>
      </c>
      <c r="P664">
        <f>IF([2]Entry!$R$667="","",[2]Entry!$R$667)</f>
        <v/>
      </c>
    </row>
    <row r="665">
      <c r="J665">
        <f>IF([2]Entry!$C$668="","",[2]Entry!$C$668)</f>
        <v/>
      </c>
      <c r="K665">
        <f>IF([2]Entry!$D$668="","",[2]Entry!$D$668)</f>
        <v/>
      </c>
      <c r="L665">
        <f>IF([2]Entry!$E$668="","",[2]Entry!$E$668)</f>
        <v/>
      </c>
      <c r="M665">
        <f>IF([2]Entry!$G$668="","",[2]Entry!$G$668)</f>
        <v/>
      </c>
      <c r="N665">
        <f>IF([2]Entry!$M$668="","",[2]Entry!$M$668)</f>
        <v/>
      </c>
      <c r="O665">
        <f>IF([2]Entry!$N$668="","",[2]Entry!$N$668)</f>
        <v/>
      </c>
      <c r="P665">
        <f>IF([2]Entry!$R$668="","",[2]Entry!$R$668)</f>
        <v/>
      </c>
    </row>
    <row r="666">
      <c r="J666">
        <f>IF([2]Entry!$C$669="","",[2]Entry!$C$669)</f>
        <v/>
      </c>
      <c r="K666">
        <f>IF([2]Entry!$D$669="","",[2]Entry!$D$669)</f>
        <v/>
      </c>
      <c r="L666">
        <f>IF([2]Entry!$E$669="","",[2]Entry!$E$669)</f>
        <v/>
      </c>
      <c r="M666">
        <f>IF([2]Entry!$G$669="","",[2]Entry!$G$669)</f>
        <v/>
      </c>
      <c r="N666">
        <f>IF([2]Entry!$M$669="","",[2]Entry!$M$669)</f>
        <v/>
      </c>
      <c r="O666">
        <f>IF([2]Entry!$N$669="","",[2]Entry!$N$669)</f>
        <v/>
      </c>
      <c r="P666">
        <f>IF([2]Entry!$R$669="","",[2]Entry!$R$669)</f>
        <v/>
      </c>
    </row>
    <row r="667">
      <c r="J667">
        <f>IF([2]Entry!$C$670="","",[2]Entry!$C$670)</f>
        <v/>
      </c>
      <c r="K667">
        <f>IF([2]Entry!$D$670="","",[2]Entry!$D$670)</f>
        <v/>
      </c>
      <c r="L667">
        <f>IF([2]Entry!$E$670="","",[2]Entry!$E$670)</f>
        <v/>
      </c>
      <c r="M667">
        <f>IF([2]Entry!$G$670="","",[2]Entry!$G$670)</f>
        <v/>
      </c>
      <c r="N667">
        <f>IF([2]Entry!$M$670="","",[2]Entry!$M$670)</f>
        <v/>
      </c>
      <c r="O667">
        <f>IF([2]Entry!$N$670="","",[2]Entry!$N$670)</f>
        <v/>
      </c>
      <c r="P667">
        <f>IF([2]Entry!$R$670="","",[2]Entry!$R$670)</f>
        <v/>
      </c>
    </row>
    <row r="668">
      <c r="J668">
        <f>IF([2]Entry!$C$671="","",[2]Entry!$C$671)</f>
        <v/>
      </c>
      <c r="K668">
        <f>IF([2]Entry!$D$671="","",[2]Entry!$D$671)</f>
        <v/>
      </c>
      <c r="L668">
        <f>IF([2]Entry!$E$671="","",[2]Entry!$E$671)</f>
        <v/>
      </c>
      <c r="M668">
        <f>IF([2]Entry!$G$671="","",[2]Entry!$G$671)</f>
        <v/>
      </c>
      <c r="N668">
        <f>IF([2]Entry!$M$671="","",[2]Entry!$M$671)</f>
        <v/>
      </c>
      <c r="O668">
        <f>IF([2]Entry!$N$671="","",[2]Entry!$N$671)</f>
        <v/>
      </c>
      <c r="P668">
        <f>IF([2]Entry!$R$671="","",[2]Entry!$R$671)</f>
        <v/>
      </c>
    </row>
    <row r="669">
      <c r="J669">
        <f>IF([2]Entry!$C$672="","",[2]Entry!$C$672)</f>
        <v/>
      </c>
      <c r="K669">
        <f>IF([2]Entry!$D$672="","",[2]Entry!$D$672)</f>
        <v/>
      </c>
      <c r="L669">
        <f>IF([2]Entry!$E$672="","",[2]Entry!$E$672)</f>
        <v/>
      </c>
      <c r="M669">
        <f>IF([2]Entry!$G$672="","",[2]Entry!$G$672)</f>
        <v/>
      </c>
      <c r="N669">
        <f>IF([2]Entry!$M$672="","",[2]Entry!$M$672)</f>
        <v/>
      </c>
      <c r="O669">
        <f>IF([2]Entry!$N$672="","",[2]Entry!$N$672)</f>
        <v/>
      </c>
      <c r="P669">
        <f>IF([2]Entry!$R$672="","",[2]Entry!$R$672)</f>
        <v/>
      </c>
    </row>
    <row r="670">
      <c r="J670">
        <f>IF([2]Entry!$C$673="","",[2]Entry!$C$673)</f>
        <v/>
      </c>
      <c r="K670">
        <f>IF([2]Entry!$D$673="","",[2]Entry!$D$673)</f>
        <v/>
      </c>
      <c r="L670">
        <f>IF([2]Entry!$E$673="","",[2]Entry!$E$673)</f>
        <v/>
      </c>
      <c r="M670">
        <f>IF([2]Entry!$G$673="","",[2]Entry!$G$673)</f>
        <v/>
      </c>
      <c r="N670">
        <f>IF([2]Entry!$M$673="","",[2]Entry!$M$673)</f>
        <v/>
      </c>
      <c r="O670">
        <f>IF([2]Entry!$N$673="","",[2]Entry!$N$673)</f>
        <v/>
      </c>
      <c r="P670">
        <f>IF([2]Entry!$R$673="","",[2]Entry!$R$673)</f>
        <v/>
      </c>
    </row>
    <row r="671">
      <c r="J671">
        <f>IF([2]Entry!$C$674="","",[2]Entry!$C$674)</f>
        <v/>
      </c>
      <c r="K671">
        <f>IF([2]Entry!$D$674="","",[2]Entry!$D$674)</f>
        <v/>
      </c>
      <c r="L671">
        <f>IF([2]Entry!$E$674="","",[2]Entry!$E$674)</f>
        <v/>
      </c>
      <c r="M671">
        <f>IF([2]Entry!$G$674="","",[2]Entry!$G$674)</f>
        <v/>
      </c>
      <c r="N671">
        <f>IF([2]Entry!$M$674="","",[2]Entry!$M$674)</f>
        <v/>
      </c>
      <c r="O671">
        <f>IF([2]Entry!$N$674="","",[2]Entry!$N$674)</f>
        <v/>
      </c>
      <c r="P671">
        <f>IF([2]Entry!$R$674="","",[2]Entry!$R$674)</f>
        <v/>
      </c>
    </row>
    <row r="672">
      <c r="J672">
        <f>IF([2]Entry!$C$675="","",[2]Entry!$C$675)</f>
        <v/>
      </c>
      <c r="K672">
        <f>IF([2]Entry!$D$675="","",[2]Entry!$D$675)</f>
        <v/>
      </c>
      <c r="L672">
        <f>IF([2]Entry!$E$675="","",[2]Entry!$E$675)</f>
        <v/>
      </c>
      <c r="M672">
        <f>IF([2]Entry!$G$675="","",[2]Entry!$G$675)</f>
        <v/>
      </c>
      <c r="N672">
        <f>IF([2]Entry!$M$675="","",[2]Entry!$M$675)</f>
        <v/>
      </c>
      <c r="O672">
        <f>IF([2]Entry!$N$675="","",[2]Entry!$N$675)</f>
        <v/>
      </c>
      <c r="P672">
        <f>IF([2]Entry!$R$675="","",[2]Entry!$R$675)</f>
        <v/>
      </c>
    </row>
    <row r="673">
      <c r="J673">
        <f>IF([2]Entry!$C$676="","",[2]Entry!$C$676)</f>
        <v/>
      </c>
      <c r="K673">
        <f>IF([2]Entry!$D$676="","",[2]Entry!$D$676)</f>
        <v/>
      </c>
      <c r="L673">
        <f>IF([2]Entry!$E$676="","",[2]Entry!$E$676)</f>
        <v/>
      </c>
      <c r="M673">
        <f>IF([2]Entry!$G$676="","",[2]Entry!$G$676)</f>
        <v/>
      </c>
      <c r="N673">
        <f>IF([2]Entry!$M$676="","",[2]Entry!$M$676)</f>
        <v/>
      </c>
      <c r="O673">
        <f>IF([2]Entry!$N$676="","",[2]Entry!$N$676)</f>
        <v/>
      </c>
      <c r="P673">
        <f>IF([2]Entry!$R$676="","",[2]Entry!$R$676)</f>
        <v/>
      </c>
    </row>
    <row r="674">
      <c r="J674">
        <f>IF([2]Entry!$C$677="","",[2]Entry!$C$677)</f>
        <v/>
      </c>
      <c r="K674">
        <f>IF([2]Entry!$D$677="","",[2]Entry!$D$677)</f>
        <v/>
      </c>
      <c r="L674">
        <f>IF([2]Entry!$E$677="","",[2]Entry!$E$677)</f>
        <v/>
      </c>
      <c r="M674">
        <f>IF([2]Entry!$G$677="","",[2]Entry!$G$677)</f>
        <v/>
      </c>
      <c r="N674">
        <f>IF([2]Entry!$M$677="","",[2]Entry!$M$677)</f>
        <v/>
      </c>
      <c r="O674">
        <f>IF([2]Entry!$N$677="","",[2]Entry!$N$677)</f>
        <v/>
      </c>
      <c r="P674">
        <f>IF([2]Entry!$R$677="","",[2]Entry!$R$677)</f>
        <v/>
      </c>
    </row>
    <row r="675">
      <c r="J675">
        <f>IF([2]Entry!$C$678="","",[2]Entry!$C$678)</f>
        <v/>
      </c>
      <c r="K675">
        <f>IF([2]Entry!$D$678="","",[2]Entry!$D$678)</f>
        <v/>
      </c>
      <c r="L675">
        <f>IF([2]Entry!$E$678="","",[2]Entry!$E$678)</f>
        <v/>
      </c>
      <c r="M675">
        <f>IF([2]Entry!$G$678="","",[2]Entry!$G$678)</f>
        <v/>
      </c>
      <c r="N675">
        <f>IF([2]Entry!$M$678="","",[2]Entry!$M$678)</f>
        <v/>
      </c>
      <c r="O675">
        <f>IF([2]Entry!$N$678="","",[2]Entry!$N$678)</f>
        <v/>
      </c>
      <c r="P675">
        <f>IF([2]Entry!$R$678="","",[2]Entry!$R$678)</f>
        <v/>
      </c>
    </row>
    <row r="676">
      <c r="J676">
        <f>IF([2]Entry!$C$679="","",[2]Entry!$C$679)</f>
        <v/>
      </c>
      <c r="K676">
        <f>IF([2]Entry!$D$679="","",[2]Entry!$D$679)</f>
        <v/>
      </c>
      <c r="L676">
        <f>IF([2]Entry!$E$679="","",[2]Entry!$E$679)</f>
        <v/>
      </c>
      <c r="M676">
        <f>IF([2]Entry!$G$679="","",[2]Entry!$G$679)</f>
        <v/>
      </c>
      <c r="N676">
        <f>IF([2]Entry!$M$679="","",[2]Entry!$M$679)</f>
        <v/>
      </c>
      <c r="O676">
        <f>IF([2]Entry!$N$679="","",[2]Entry!$N$679)</f>
        <v/>
      </c>
      <c r="P676">
        <f>IF([2]Entry!$R$679="","",[2]Entry!$R$679)</f>
        <v/>
      </c>
    </row>
    <row r="677">
      <c r="J677">
        <f>IF([2]Entry!$C$680="","",[2]Entry!$C$680)</f>
        <v/>
      </c>
      <c r="K677">
        <f>IF([2]Entry!$D$680="","",[2]Entry!$D$680)</f>
        <v/>
      </c>
      <c r="L677">
        <f>IF([2]Entry!$E$680="","",[2]Entry!$E$680)</f>
        <v/>
      </c>
      <c r="M677">
        <f>IF([2]Entry!$G$680="","",[2]Entry!$G$680)</f>
        <v/>
      </c>
      <c r="N677">
        <f>IF([2]Entry!$M$680="","",[2]Entry!$M$680)</f>
        <v/>
      </c>
      <c r="O677">
        <f>IF([2]Entry!$N$680="","",[2]Entry!$N$680)</f>
        <v/>
      </c>
      <c r="P677">
        <f>IF([2]Entry!$R$680="","",[2]Entry!$R$680)</f>
        <v/>
      </c>
    </row>
    <row r="678">
      <c r="J678">
        <f>IF([2]Entry!$C$681="","",[2]Entry!$C$681)</f>
        <v/>
      </c>
      <c r="K678">
        <f>IF([2]Entry!$D$681="","",[2]Entry!$D$681)</f>
        <v/>
      </c>
      <c r="L678">
        <f>IF([2]Entry!$E$681="","",[2]Entry!$E$681)</f>
        <v/>
      </c>
      <c r="M678">
        <f>IF([2]Entry!$G$681="","",[2]Entry!$G$681)</f>
        <v/>
      </c>
      <c r="N678">
        <f>IF([2]Entry!$M$681="","",[2]Entry!$M$681)</f>
        <v/>
      </c>
      <c r="O678">
        <f>IF([2]Entry!$N$681="","",[2]Entry!$N$681)</f>
        <v/>
      </c>
      <c r="P678">
        <f>IF([2]Entry!$R$681="","",[2]Entry!$R$681)</f>
        <v/>
      </c>
    </row>
    <row r="679">
      <c r="J679">
        <f>IF([2]Entry!$C$682="","",[2]Entry!$C$682)</f>
        <v/>
      </c>
      <c r="K679">
        <f>IF([2]Entry!$D$682="","",[2]Entry!$D$682)</f>
        <v/>
      </c>
      <c r="L679">
        <f>IF([2]Entry!$E$682="","",[2]Entry!$E$682)</f>
        <v/>
      </c>
      <c r="M679">
        <f>IF([2]Entry!$G$682="","",[2]Entry!$G$682)</f>
        <v/>
      </c>
      <c r="N679">
        <f>IF([2]Entry!$M$682="","",[2]Entry!$M$682)</f>
        <v/>
      </c>
      <c r="O679">
        <f>IF([2]Entry!$N$682="","",[2]Entry!$N$682)</f>
        <v/>
      </c>
      <c r="P679">
        <f>IF([2]Entry!$R$682="","",[2]Entry!$R$682)</f>
        <v/>
      </c>
    </row>
    <row r="680">
      <c r="J680">
        <f>IF([2]Entry!$C$683="","",[2]Entry!$C$683)</f>
        <v/>
      </c>
      <c r="K680">
        <f>IF([2]Entry!$D$683="","",[2]Entry!$D$683)</f>
        <v/>
      </c>
      <c r="L680">
        <f>IF([2]Entry!$E$683="","",[2]Entry!$E$683)</f>
        <v/>
      </c>
      <c r="M680">
        <f>IF([2]Entry!$G$683="","",[2]Entry!$G$683)</f>
        <v/>
      </c>
      <c r="N680">
        <f>IF([2]Entry!$M$683="","",[2]Entry!$M$683)</f>
        <v/>
      </c>
      <c r="O680">
        <f>IF([2]Entry!$N$683="","",[2]Entry!$N$683)</f>
        <v/>
      </c>
      <c r="P680">
        <f>IF([2]Entry!$R$683="","",[2]Entry!$R$683)</f>
        <v/>
      </c>
    </row>
    <row r="681">
      <c r="J681">
        <f>IF([2]Entry!$C$684="","",[2]Entry!$C$684)</f>
        <v/>
      </c>
      <c r="K681">
        <f>IF([2]Entry!$D$684="","",[2]Entry!$D$684)</f>
        <v/>
      </c>
      <c r="L681">
        <f>IF([2]Entry!$E$684="","",[2]Entry!$E$684)</f>
        <v/>
      </c>
      <c r="M681">
        <f>IF([2]Entry!$G$684="","",[2]Entry!$G$684)</f>
        <v/>
      </c>
      <c r="N681">
        <f>IF([2]Entry!$M$684="","",[2]Entry!$M$684)</f>
        <v/>
      </c>
      <c r="O681">
        <f>IF([2]Entry!$N$684="","",[2]Entry!$N$684)</f>
        <v/>
      </c>
      <c r="P681">
        <f>IF([2]Entry!$R$684="","",[2]Entry!$R$684)</f>
        <v/>
      </c>
    </row>
    <row r="682">
      <c r="J682">
        <f>IF([2]Entry!$C$685="","",[2]Entry!$C$685)</f>
        <v/>
      </c>
      <c r="K682">
        <f>IF([2]Entry!$D$685="","",[2]Entry!$D$685)</f>
        <v/>
      </c>
      <c r="L682">
        <f>IF([2]Entry!$E$685="","",[2]Entry!$E$685)</f>
        <v/>
      </c>
      <c r="M682">
        <f>IF([2]Entry!$G$685="","",[2]Entry!$G$685)</f>
        <v/>
      </c>
      <c r="N682">
        <f>IF([2]Entry!$M$685="","",[2]Entry!$M$685)</f>
        <v/>
      </c>
      <c r="O682">
        <f>IF([2]Entry!$N$685="","",[2]Entry!$N$685)</f>
        <v/>
      </c>
      <c r="P682">
        <f>IF([2]Entry!$R$685="","",[2]Entry!$R$685)</f>
        <v/>
      </c>
    </row>
    <row r="683">
      <c r="J683">
        <f>IF([2]Entry!$C$686="","",[2]Entry!$C$686)</f>
        <v/>
      </c>
      <c r="K683">
        <f>IF([2]Entry!$D$686="","",[2]Entry!$D$686)</f>
        <v/>
      </c>
      <c r="L683">
        <f>IF([2]Entry!$E$686="","",[2]Entry!$E$686)</f>
        <v/>
      </c>
      <c r="M683">
        <f>IF([2]Entry!$G$686="","",[2]Entry!$G$686)</f>
        <v/>
      </c>
      <c r="N683">
        <f>IF([2]Entry!$M$686="","",[2]Entry!$M$686)</f>
        <v/>
      </c>
      <c r="O683">
        <f>IF([2]Entry!$N$686="","",[2]Entry!$N$686)</f>
        <v/>
      </c>
      <c r="P683">
        <f>IF([2]Entry!$R$686="","",[2]Entry!$R$686)</f>
        <v/>
      </c>
    </row>
    <row r="684">
      <c r="J684">
        <f>IF([2]Entry!$C$687="","",[2]Entry!$C$687)</f>
        <v/>
      </c>
      <c r="K684">
        <f>IF([2]Entry!$D$687="","",[2]Entry!$D$687)</f>
        <v/>
      </c>
      <c r="L684">
        <f>IF([2]Entry!$E$687="","",[2]Entry!$E$687)</f>
        <v/>
      </c>
      <c r="M684">
        <f>IF([2]Entry!$G$687="","",[2]Entry!$G$687)</f>
        <v/>
      </c>
      <c r="N684">
        <f>IF([2]Entry!$M$687="","",[2]Entry!$M$687)</f>
        <v/>
      </c>
      <c r="O684">
        <f>IF([2]Entry!$N$687="","",[2]Entry!$N$687)</f>
        <v/>
      </c>
      <c r="P684">
        <f>IF([2]Entry!$R$687="","",[2]Entry!$R$687)</f>
        <v/>
      </c>
    </row>
    <row r="685">
      <c r="J685">
        <f>IF([2]Entry!$C$688="","",[2]Entry!$C$688)</f>
        <v/>
      </c>
      <c r="K685">
        <f>IF([2]Entry!$D$688="","",[2]Entry!$D$688)</f>
        <v/>
      </c>
      <c r="L685">
        <f>IF([2]Entry!$E$688="","",[2]Entry!$E$688)</f>
        <v/>
      </c>
      <c r="M685">
        <f>IF([2]Entry!$G$688="","",[2]Entry!$G$688)</f>
        <v/>
      </c>
      <c r="N685">
        <f>IF([2]Entry!$M$688="","",[2]Entry!$M$688)</f>
        <v/>
      </c>
      <c r="O685">
        <f>IF([2]Entry!$N$688="","",[2]Entry!$N$688)</f>
        <v/>
      </c>
      <c r="P685">
        <f>IF([2]Entry!$R$688="","",[2]Entry!$R$688)</f>
        <v/>
      </c>
    </row>
    <row r="686">
      <c r="J686">
        <f>IF([2]Entry!$C$689="","",[2]Entry!$C$689)</f>
        <v/>
      </c>
      <c r="K686">
        <f>IF([2]Entry!$D$689="","",[2]Entry!$D$689)</f>
        <v/>
      </c>
      <c r="L686">
        <f>IF([2]Entry!$E$689="","",[2]Entry!$E$689)</f>
        <v/>
      </c>
      <c r="M686">
        <f>IF([2]Entry!$G$689="","",[2]Entry!$G$689)</f>
        <v/>
      </c>
      <c r="N686">
        <f>IF([2]Entry!$M$689="","",[2]Entry!$M$689)</f>
        <v/>
      </c>
      <c r="O686">
        <f>IF([2]Entry!$N$689="","",[2]Entry!$N$689)</f>
        <v/>
      </c>
      <c r="P686">
        <f>IF([2]Entry!$R$689="","",[2]Entry!$R$689)</f>
        <v/>
      </c>
    </row>
    <row r="687">
      <c r="J687">
        <f>IF([2]Entry!$C$690="","",[2]Entry!$C$690)</f>
        <v/>
      </c>
      <c r="K687">
        <f>IF([2]Entry!$D$690="","",[2]Entry!$D$690)</f>
        <v/>
      </c>
      <c r="L687">
        <f>IF([2]Entry!$E$690="","",[2]Entry!$E$690)</f>
        <v/>
      </c>
      <c r="M687">
        <f>IF([2]Entry!$G$690="","",[2]Entry!$G$690)</f>
        <v/>
      </c>
      <c r="N687">
        <f>IF([2]Entry!$M$690="","",[2]Entry!$M$690)</f>
        <v/>
      </c>
      <c r="O687">
        <f>IF([2]Entry!$N$690="","",[2]Entry!$N$690)</f>
        <v/>
      </c>
      <c r="P687">
        <f>IF([2]Entry!$R$690="","",[2]Entry!$R$690)</f>
        <v/>
      </c>
    </row>
    <row r="688">
      <c r="J688">
        <f>IF([2]Entry!$C$691="","",[2]Entry!$C$691)</f>
        <v/>
      </c>
      <c r="K688">
        <f>IF([2]Entry!$D$691="","",[2]Entry!$D$691)</f>
        <v/>
      </c>
      <c r="L688">
        <f>IF([2]Entry!$E$691="","",[2]Entry!$E$691)</f>
        <v/>
      </c>
      <c r="M688">
        <f>IF([2]Entry!$G$691="","",[2]Entry!$G$691)</f>
        <v/>
      </c>
      <c r="N688">
        <f>IF([2]Entry!$M$691="","",[2]Entry!$M$691)</f>
        <v/>
      </c>
      <c r="O688">
        <f>IF([2]Entry!$N$691="","",[2]Entry!$N$691)</f>
        <v/>
      </c>
      <c r="P688">
        <f>IF([2]Entry!$R$691="","",[2]Entry!$R$691)</f>
        <v/>
      </c>
    </row>
    <row r="689">
      <c r="J689">
        <f>IF([2]Entry!$C$692="","",[2]Entry!$C$692)</f>
        <v/>
      </c>
      <c r="K689">
        <f>IF([2]Entry!$D$692="","",[2]Entry!$D$692)</f>
        <v/>
      </c>
      <c r="L689">
        <f>IF([2]Entry!$E$692="","",[2]Entry!$E$692)</f>
        <v/>
      </c>
      <c r="M689">
        <f>IF([2]Entry!$G$692="","",[2]Entry!$G$692)</f>
        <v/>
      </c>
      <c r="N689">
        <f>IF([2]Entry!$M$692="","",[2]Entry!$M$692)</f>
        <v/>
      </c>
      <c r="O689">
        <f>IF([2]Entry!$N$692="","",[2]Entry!$N$692)</f>
        <v/>
      </c>
      <c r="P689">
        <f>IF([2]Entry!$R$692="","",[2]Entry!$R$692)</f>
        <v/>
      </c>
    </row>
    <row r="690">
      <c r="J690">
        <f>IF([2]Entry!$C$693="","",[2]Entry!$C$693)</f>
        <v/>
      </c>
      <c r="K690">
        <f>IF([2]Entry!$D$693="","",[2]Entry!$D$693)</f>
        <v/>
      </c>
      <c r="L690">
        <f>IF([2]Entry!$E$693="","",[2]Entry!$E$693)</f>
        <v/>
      </c>
      <c r="M690">
        <f>IF([2]Entry!$G$693="","",[2]Entry!$G$693)</f>
        <v/>
      </c>
      <c r="N690">
        <f>IF([2]Entry!$M$693="","",[2]Entry!$M$693)</f>
        <v/>
      </c>
      <c r="O690">
        <f>IF([2]Entry!$N$693="","",[2]Entry!$N$693)</f>
        <v/>
      </c>
      <c r="P690">
        <f>IF([2]Entry!$R$693="","",[2]Entry!$R$693)</f>
        <v/>
      </c>
    </row>
    <row r="691">
      <c r="J691">
        <f>IF([2]Entry!$C$694="","",[2]Entry!$C$694)</f>
        <v/>
      </c>
      <c r="K691">
        <f>IF([2]Entry!$D$694="","",[2]Entry!$D$694)</f>
        <v/>
      </c>
      <c r="L691">
        <f>IF([2]Entry!$E$694="","",[2]Entry!$E$694)</f>
        <v/>
      </c>
      <c r="M691">
        <f>IF([2]Entry!$G$694="","",[2]Entry!$G$694)</f>
        <v/>
      </c>
      <c r="N691">
        <f>IF([2]Entry!$M$694="","",[2]Entry!$M$694)</f>
        <v/>
      </c>
      <c r="O691">
        <f>IF([2]Entry!$N$694="","",[2]Entry!$N$694)</f>
        <v/>
      </c>
      <c r="P691">
        <f>IF([2]Entry!$R$694="","",[2]Entry!$R$694)</f>
        <v/>
      </c>
    </row>
    <row r="692">
      <c r="J692">
        <f>IF([2]Entry!$C$695="","",[2]Entry!$C$695)</f>
        <v/>
      </c>
      <c r="K692">
        <f>IF([2]Entry!$D$695="","",[2]Entry!$D$695)</f>
        <v/>
      </c>
      <c r="L692">
        <f>IF([2]Entry!$E$695="","",[2]Entry!$E$695)</f>
        <v/>
      </c>
      <c r="M692">
        <f>IF([2]Entry!$G$695="","",[2]Entry!$G$695)</f>
        <v/>
      </c>
      <c r="N692">
        <f>IF([2]Entry!$M$695="","",[2]Entry!$M$695)</f>
        <v/>
      </c>
      <c r="O692">
        <f>IF([2]Entry!$N$695="","",[2]Entry!$N$695)</f>
        <v/>
      </c>
      <c r="P692">
        <f>IF([2]Entry!$R$695="","",[2]Entry!$R$695)</f>
        <v/>
      </c>
    </row>
    <row r="693">
      <c r="J693">
        <f>IF([2]Entry!$C$696="","",[2]Entry!$C$696)</f>
        <v/>
      </c>
      <c r="K693">
        <f>IF([2]Entry!$D$696="","",[2]Entry!$D$696)</f>
        <v/>
      </c>
      <c r="L693">
        <f>IF([2]Entry!$E$696="","",[2]Entry!$E$696)</f>
        <v/>
      </c>
      <c r="M693">
        <f>IF([2]Entry!$G$696="","",[2]Entry!$G$696)</f>
        <v/>
      </c>
      <c r="N693">
        <f>IF([2]Entry!$M$696="","",[2]Entry!$M$696)</f>
        <v/>
      </c>
      <c r="O693">
        <f>IF([2]Entry!$N$696="","",[2]Entry!$N$696)</f>
        <v/>
      </c>
      <c r="P693">
        <f>IF([2]Entry!$R$696="","",[2]Entry!$R$696)</f>
        <v/>
      </c>
    </row>
    <row r="694">
      <c r="J694">
        <f>IF([2]Entry!$C$697="","",[2]Entry!$C$697)</f>
        <v/>
      </c>
      <c r="K694">
        <f>IF([2]Entry!$D$697="","",[2]Entry!$D$697)</f>
        <v/>
      </c>
      <c r="L694">
        <f>IF([2]Entry!$E$697="","",[2]Entry!$E$697)</f>
        <v/>
      </c>
      <c r="M694">
        <f>IF([2]Entry!$G$697="","",[2]Entry!$G$697)</f>
        <v/>
      </c>
      <c r="N694">
        <f>IF([2]Entry!$M$697="","",[2]Entry!$M$697)</f>
        <v/>
      </c>
      <c r="O694">
        <f>IF([2]Entry!$N$697="","",[2]Entry!$N$697)</f>
        <v/>
      </c>
      <c r="P694">
        <f>IF([2]Entry!$R$697="","",[2]Entry!$R$697)</f>
        <v/>
      </c>
    </row>
    <row r="695">
      <c r="J695">
        <f>IF([2]Entry!$C$698="","",[2]Entry!$C$698)</f>
        <v/>
      </c>
      <c r="K695">
        <f>IF([2]Entry!$D$698="","",[2]Entry!$D$698)</f>
        <v/>
      </c>
      <c r="L695">
        <f>IF([2]Entry!$E$698="","",[2]Entry!$E$698)</f>
        <v/>
      </c>
      <c r="M695">
        <f>IF([2]Entry!$G$698="","",[2]Entry!$G$698)</f>
        <v/>
      </c>
      <c r="N695">
        <f>IF([2]Entry!$M$698="","",[2]Entry!$M$698)</f>
        <v/>
      </c>
      <c r="O695">
        <f>IF([2]Entry!$N$698="","",[2]Entry!$N$698)</f>
        <v/>
      </c>
      <c r="P695">
        <f>IF([2]Entry!$R$698="","",[2]Entry!$R$698)</f>
        <v/>
      </c>
    </row>
    <row r="696">
      <c r="J696">
        <f>IF([2]Entry!$C$699="","",[2]Entry!$C$699)</f>
        <v/>
      </c>
      <c r="K696">
        <f>IF([2]Entry!$D$699="","",[2]Entry!$D$699)</f>
        <v/>
      </c>
      <c r="L696">
        <f>IF([2]Entry!$E$699="","",[2]Entry!$E$699)</f>
        <v/>
      </c>
      <c r="M696">
        <f>IF([2]Entry!$G$699="","",[2]Entry!$G$699)</f>
        <v/>
      </c>
      <c r="N696">
        <f>IF([2]Entry!$M$699="","",[2]Entry!$M$699)</f>
        <v/>
      </c>
      <c r="O696">
        <f>IF([2]Entry!$N$699="","",[2]Entry!$N$699)</f>
        <v/>
      </c>
      <c r="P696">
        <f>IF([2]Entry!$R$699="","",[2]Entry!$R$699)</f>
        <v/>
      </c>
    </row>
    <row r="697">
      <c r="J697">
        <f>IF([2]Entry!$C$700="","",[2]Entry!$C$700)</f>
        <v/>
      </c>
      <c r="K697">
        <f>IF([2]Entry!$D$700="","",[2]Entry!$D$700)</f>
        <v/>
      </c>
      <c r="L697">
        <f>IF([2]Entry!$E$700="","",[2]Entry!$E$700)</f>
        <v/>
      </c>
      <c r="M697">
        <f>IF([2]Entry!$G$700="","",[2]Entry!$G$700)</f>
        <v/>
      </c>
      <c r="N697">
        <f>IF([2]Entry!$M$700="","",[2]Entry!$M$700)</f>
        <v/>
      </c>
      <c r="O697">
        <f>IF([2]Entry!$N$700="","",[2]Entry!$N$700)</f>
        <v/>
      </c>
      <c r="P697">
        <f>IF([2]Entry!$R$700="","",[2]Entry!$R$700)</f>
        <v/>
      </c>
    </row>
    <row r="698">
      <c r="J698">
        <f>IF([2]Entry!$C$701="","",[2]Entry!$C$701)</f>
        <v/>
      </c>
      <c r="K698">
        <f>IF([2]Entry!$D$701="","",[2]Entry!$D$701)</f>
        <v/>
      </c>
      <c r="L698">
        <f>IF([2]Entry!$E$701="","",[2]Entry!$E$701)</f>
        <v/>
      </c>
      <c r="M698">
        <f>IF([2]Entry!$G$701="","",[2]Entry!$G$701)</f>
        <v/>
      </c>
      <c r="N698">
        <f>IF([2]Entry!$M$701="","",[2]Entry!$M$701)</f>
        <v/>
      </c>
      <c r="O698">
        <f>IF([2]Entry!$N$701="","",[2]Entry!$N$701)</f>
        <v/>
      </c>
      <c r="P698">
        <f>IF([2]Entry!$R$701="","",[2]Entry!$R$701)</f>
        <v/>
      </c>
    </row>
    <row r="699">
      <c r="J699">
        <f>IF([2]Entry!$C$702="","",[2]Entry!$C$702)</f>
        <v/>
      </c>
      <c r="K699">
        <f>IF([2]Entry!$D$702="","",[2]Entry!$D$702)</f>
        <v/>
      </c>
      <c r="L699">
        <f>IF([2]Entry!$E$702="","",[2]Entry!$E$702)</f>
        <v/>
      </c>
      <c r="M699">
        <f>IF([2]Entry!$G$702="","",[2]Entry!$G$702)</f>
        <v/>
      </c>
      <c r="N699">
        <f>IF([2]Entry!$M$702="","",[2]Entry!$M$702)</f>
        <v/>
      </c>
      <c r="O699">
        <f>IF([2]Entry!$N$702="","",[2]Entry!$N$702)</f>
        <v/>
      </c>
      <c r="P699">
        <f>IF([2]Entry!$R$702="","",[2]Entry!$R$702)</f>
        <v/>
      </c>
    </row>
    <row r="700">
      <c r="J700">
        <f>IF([2]Entry!$C$703="","",[2]Entry!$C$703)</f>
        <v/>
      </c>
      <c r="K700">
        <f>IF([2]Entry!$D$703="","",[2]Entry!$D$703)</f>
        <v/>
      </c>
      <c r="L700">
        <f>IF([2]Entry!$E$703="","",[2]Entry!$E$703)</f>
        <v/>
      </c>
      <c r="M700">
        <f>IF([2]Entry!$G$703="","",[2]Entry!$G$703)</f>
        <v/>
      </c>
      <c r="N700">
        <f>IF([2]Entry!$M$703="","",[2]Entry!$M$703)</f>
        <v/>
      </c>
      <c r="O700">
        <f>IF([2]Entry!$N$703="","",[2]Entry!$N$703)</f>
        <v/>
      </c>
      <c r="P700">
        <f>IF([2]Entry!$R$703="","",[2]Entry!$R$703)</f>
        <v/>
      </c>
    </row>
    <row r="701">
      <c r="J701">
        <f>IF([2]Entry!$C$704="","",[2]Entry!$C$704)</f>
        <v/>
      </c>
      <c r="K701">
        <f>IF([2]Entry!$D$704="","",[2]Entry!$D$704)</f>
        <v/>
      </c>
      <c r="L701">
        <f>IF([2]Entry!$E$704="","",[2]Entry!$E$704)</f>
        <v/>
      </c>
      <c r="M701">
        <f>IF([2]Entry!$G$704="","",[2]Entry!$G$704)</f>
        <v/>
      </c>
      <c r="N701">
        <f>IF([2]Entry!$M$704="","",[2]Entry!$M$704)</f>
        <v/>
      </c>
      <c r="O701">
        <f>IF([2]Entry!$N$704="","",[2]Entry!$N$704)</f>
        <v/>
      </c>
      <c r="P701">
        <f>IF([2]Entry!$R$704="","",[2]Entry!$R$704)</f>
        <v/>
      </c>
    </row>
    <row r="702">
      <c r="J702">
        <f>IF([2]Entry!$C$705="","",[2]Entry!$C$705)</f>
        <v/>
      </c>
      <c r="K702">
        <f>IF([2]Entry!$D$705="","",[2]Entry!$D$705)</f>
        <v/>
      </c>
      <c r="L702">
        <f>IF([2]Entry!$E$705="","",[2]Entry!$E$705)</f>
        <v/>
      </c>
      <c r="M702">
        <f>IF([2]Entry!$G$705="","",[2]Entry!$G$705)</f>
        <v/>
      </c>
      <c r="N702">
        <f>IF([2]Entry!$M$705="","",[2]Entry!$M$705)</f>
        <v/>
      </c>
      <c r="O702">
        <f>IF([2]Entry!$N$705="","",[2]Entry!$N$705)</f>
        <v/>
      </c>
      <c r="P702">
        <f>IF([2]Entry!$R$705="","",[2]Entry!$R$705)</f>
        <v/>
      </c>
    </row>
    <row r="703">
      <c r="J703">
        <f>IF([2]Entry!$C$706="","",[2]Entry!$C$706)</f>
        <v/>
      </c>
      <c r="K703">
        <f>IF([2]Entry!$D$706="","",[2]Entry!$D$706)</f>
        <v/>
      </c>
      <c r="L703">
        <f>IF([2]Entry!$E$706="","",[2]Entry!$E$706)</f>
        <v/>
      </c>
      <c r="M703">
        <f>IF([2]Entry!$G$706="","",[2]Entry!$G$706)</f>
        <v/>
      </c>
      <c r="N703">
        <f>IF([2]Entry!$M$706="","",[2]Entry!$M$706)</f>
        <v/>
      </c>
      <c r="O703">
        <f>IF([2]Entry!$N$706="","",[2]Entry!$N$706)</f>
        <v/>
      </c>
      <c r="P703">
        <f>IF([2]Entry!$R$706="","",[2]Entry!$R$706)</f>
        <v/>
      </c>
    </row>
    <row r="704">
      <c r="J704">
        <f>IF([2]Entry!$C$707="","",[2]Entry!$C$707)</f>
        <v/>
      </c>
      <c r="K704">
        <f>IF([2]Entry!$D$707="","",[2]Entry!$D$707)</f>
        <v/>
      </c>
      <c r="L704">
        <f>IF([2]Entry!$E$707="","",[2]Entry!$E$707)</f>
        <v/>
      </c>
      <c r="M704">
        <f>IF([2]Entry!$G$707="","",[2]Entry!$G$707)</f>
        <v/>
      </c>
      <c r="N704">
        <f>IF([2]Entry!$M$707="","",[2]Entry!$M$707)</f>
        <v/>
      </c>
      <c r="O704">
        <f>IF([2]Entry!$N$707="","",[2]Entry!$N$707)</f>
        <v/>
      </c>
      <c r="P704">
        <f>IF([2]Entry!$R$707="","",[2]Entry!$R$707)</f>
        <v/>
      </c>
    </row>
    <row r="705">
      <c r="J705">
        <f>IF([2]Entry!$C$708="","",[2]Entry!$C$708)</f>
        <v/>
      </c>
      <c r="K705">
        <f>IF([2]Entry!$D$708="","",[2]Entry!$D$708)</f>
        <v/>
      </c>
      <c r="L705">
        <f>IF([2]Entry!$E$708="","",[2]Entry!$E$708)</f>
        <v/>
      </c>
      <c r="M705">
        <f>IF([2]Entry!$G$708="","",[2]Entry!$G$708)</f>
        <v/>
      </c>
      <c r="N705">
        <f>IF([2]Entry!$M$708="","",[2]Entry!$M$708)</f>
        <v/>
      </c>
      <c r="O705">
        <f>IF([2]Entry!$N$708="","",[2]Entry!$N$708)</f>
        <v/>
      </c>
      <c r="P705">
        <f>IF([2]Entry!$R$708="","",[2]Entry!$R$708)</f>
        <v/>
      </c>
    </row>
    <row r="706">
      <c r="J706">
        <f>IF([2]Entry!$C$709="","",[2]Entry!$C$709)</f>
        <v/>
      </c>
      <c r="K706">
        <f>IF([2]Entry!$D$709="","",[2]Entry!$D$709)</f>
        <v/>
      </c>
      <c r="L706">
        <f>IF([2]Entry!$E$709="","",[2]Entry!$E$709)</f>
        <v/>
      </c>
      <c r="M706">
        <f>IF([2]Entry!$G$709="","",[2]Entry!$G$709)</f>
        <v/>
      </c>
      <c r="N706">
        <f>IF([2]Entry!$M$709="","",[2]Entry!$M$709)</f>
        <v/>
      </c>
      <c r="O706">
        <f>IF([2]Entry!$N$709="","",[2]Entry!$N$709)</f>
        <v/>
      </c>
      <c r="P706">
        <f>IF([2]Entry!$R$709="","",[2]Entry!$R$709)</f>
        <v/>
      </c>
    </row>
    <row r="707">
      <c r="J707">
        <f>IF([2]Entry!$C$710="","",[2]Entry!$C$710)</f>
        <v/>
      </c>
      <c r="K707">
        <f>IF([2]Entry!$D$710="","",[2]Entry!$D$710)</f>
        <v/>
      </c>
      <c r="L707">
        <f>IF([2]Entry!$E$710="","",[2]Entry!$E$710)</f>
        <v/>
      </c>
      <c r="M707">
        <f>IF([2]Entry!$G$710="","",[2]Entry!$G$710)</f>
        <v/>
      </c>
      <c r="N707">
        <f>IF([2]Entry!$M$710="","",[2]Entry!$M$710)</f>
        <v/>
      </c>
      <c r="O707">
        <f>IF([2]Entry!$N$710="","",[2]Entry!$N$710)</f>
        <v/>
      </c>
      <c r="P707">
        <f>IF([2]Entry!$R$710="","",[2]Entry!$R$710)</f>
        <v/>
      </c>
    </row>
    <row r="708">
      <c r="J708">
        <f>IF([2]Entry!$C$711="","",[2]Entry!$C$711)</f>
        <v/>
      </c>
      <c r="K708">
        <f>IF([2]Entry!$D$711="","",[2]Entry!$D$711)</f>
        <v/>
      </c>
      <c r="L708">
        <f>IF([2]Entry!$E$711="","",[2]Entry!$E$711)</f>
        <v/>
      </c>
      <c r="M708">
        <f>IF([2]Entry!$G$711="","",[2]Entry!$G$711)</f>
        <v/>
      </c>
      <c r="N708">
        <f>IF([2]Entry!$M$711="","",[2]Entry!$M$711)</f>
        <v/>
      </c>
      <c r="O708">
        <f>IF([2]Entry!$N$711="","",[2]Entry!$N$711)</f>
        <v/>
      </c>
      <c r="P708">
        <f>IF([2]Entry!$R$711="","",[2]Entry!$R$711)</f>
        <v/>
      </c>
    </row>
    <row r="709">
      <c r="J709">
        <f>IF([2]Entry!$C$712="","",[2]Entry!$C$712)</f>
        <v/>
      </c>
      <c r="K709">
        <f>IF([2]Entry!$D$712="","",[2]Entry!$D$712)</f>
        <v/>
      </c>
      <c r="L709">
        <f>IF([2]Entry!$E$712="","",[2]Entry!$E$712)</f>
        <v/>
      </c>
      <c r="M709">
        <f>IF([2]Entry!$G$712="","",[2]Entry!$G$712)</f>
        <v/>
      </c>
      <c r="N709">
        <f>IF([2]Entry!$M$712="","",[2]Entry!$M$712)</f>
        <v/>
      </c>
      <c r="O709">
        <f>IF([2]Entry!$N$712="","",[2]Entry!$N$712)</f>
        <v/>
      </c>
      <c r="P709">
        <f>IF([2]Entry!$R$712="","",[2]Entry!$R$712)</f>
        <v/>
      </c>
    </row>
    <row r="710">
      <c r="J710">
        <f>IF([2]Entry!$C$713="","",[2]Entry!$C$713)</f>
        <v/>
      </c>
      <c r="K710">
        <f>IF([2]Entry!$D$713="","",[2]Entry!$D$713)</f>
        <v/>
      </c>
      <c r="L710">
        <f>IF([2]Entry!$E$713="","",[2]Entry!$E$713)</f>
        <v/>
      </c>
      <c r="M710">
        <f>IF([2]Entry!$G$713="","",[2]Entry!$G$713)</f>
        <v/>
      </c>
      <c r="N710">
        <f>IF([2]Entry!$M$713="","",[2]Entry!$M$713)</f>
        <v/>
      </c>
      <c r="O710">
        <f>IF([2]Entry!$N$713="","",[2]Entry!$N$713)</f>
        <v/>
      </c>
      <c r="P710">
        <f>IF([2]Entry!$R$713="","",[2]Entry!$R$713)</f>
        <v/>
      </c>
    </row>
    <row r="711">
      <c r="J711">
        <f>IF([2]Entry!$C$714="","",[2]Entry!$C$714)</f>
        <v/>
      </c>
      <c r="K711">
        <f>IF([2]Entry!$D$714="","",[2]Entry!$D$714)</f>
        <v/>
      </c>
      <c r="L711">
        <f>IF([2]Entry!$E$714="","",[2]Entry!$E$714)</f>
        <v/>
      </c>
      <c r="M711">
        <f>IF([2]Entry!$G$714="","",[2]Entry!$G$714)</f>
        <v/>
      </c>
      <c r="N711">
        <f>IF([2]Entry!$M$714="","",[2]Entry!$M$714)</f>
        <v/>
      </c>
      <c r="O711">
        <f>IF([2]Entry!$N$714="","",[2]Entry!$N$714)</f>
        <v/>
      </c>
      <c r="P711">
        <f>IF([2]Entry!$R$714="","",[2]Entry!$R$714)</f>
        <v/>
      </c>
    </row>
    <row r="712">
      <c r="J712">
        <f>IF([2]Entry!$C$715="","",[2]Entry!$C$715)</f>
        <v/>
      </c>
      <c r="K712">
        <f>IF([2]Entry!$D$715="","",[2]Entry!$D$715)</f>
        <v/>
      </c>
      <c r="L712">
        <f>IF([2]Entry!$E$715="","",[2]Entry!$E$715)</f>
        <v/>
      </c>
      <c r="M712">
        <f>IF([2]Entry!$G$715="","",[2]Entry!$G$715)</f>
        <v/>
      </c>
      <c r="N712">
        <f>IF([2]Entry!$M$715="","",[2]Entry!$M$715)</f>
        <v/>
      </c>
      <c r="O712">
        <f>IF([2]Entry!$N$715="","",[2]Entry!$N$715)</f>
        <v/>
      </c>
      <c r="P712">
        <f>IF([2]Entry!$R$715="","",[2]Entry!$R$715)</f>
        <v/>
      </c>
    </row>
    <row r="713">
      <c r="J713">
        <f>IF([2]Entry!$C$716="","",[2]Entry!$C$716)</f>
        <v/>
      </c>
      <c r="K713">
        <f>IF([2]Entry!$D$716="","",[2]Entry!$D$716)</f>
        <v/>
      </c>
      <c r="L713">
        <f>IF([2]Entry!$E$716="","",[2]Entry!$E$716)</f>
        <v/>
      </c>
      <c r="M713">
        <f>IF([2]Entry!$G$716="","",[2]Entry!$G$716)</f>
        <v/>
      </c>
      <c r="N713">
        <f>IF([2]Entry!$M$716="","",[2]Entry!$M$716)</f>
        <v/>
      </c>
      <c r="O713">
        <f>IF([2]Entry!$N$716="","",[2]Entry!$N$716)</f>
        <v/>
      </c>
      <c r="P713">
        <f>IF([2]Entry!$R$716="","",[2]Entry!$R$716)</f>
        <v/>
      </c>
    </row>
    <row r="714">
      <c r="J714">
        <f>IF([2]Entry!$C$717="","",[2]Entry!$C$717)</f>
        <v/>
      </c>
      <c r="K714">
        <f>IF([2]Entry!$D$717="","",[2]Entry!$D$717)</f>
        <v/>
      </c>
      <c r="L714">
        <f>IF([2]Entry!$E$717="","",[2]Entry!$E$717)</f>
        <v/>
      </c>
      <c r="M714">
        <f>IF([2]Entry!$G$717="","",[2]Entry!$G$717)</f>
        <v/>
      </c>
      <c r="N714">
        <f>IF([2]Entry!$M$717="","",[2]Entry!$M$717)</f>
        <v/>
      </c>
      <c r="O714">
        <f>IF([2]Entry!$N$717="","",[2]Entry!$N$717)</f>
        <v/>
      </c>
      <c r="P714">
        <f>IF([2]Entry!$R$717="","",[2]Entry!$R$717)</f>
        <v/>
      </c>
    </row>
    <row r="715">
      <c r="J715">
        <f>IF([2]Entry!$C$718="","",[2]Entry!$C$718)</f>
        <v/>
      </c>
      <c r="K715">
        <f>IF([2]Entry!$D$718="","",[2]Entry!$D$718)</f>
        <v/>
      </c>
      <c r="L715">
        <f>IF([2]Entry!$E$718="","",[2]Entry!$E$718)</f>
        <v/>
      </c>
      <c r="M715">
        <f>IF([2]Entry!$G$718="","",[2]Entry!$G$718)</f>
        <v/>
      </c>
      <c r="N715">
        <f>IF([2]Entry!$M$718="","",[2]Entry!$M$718)</f>
        <v/>
      </c>
      <c r="O715">
        <f>IF([2]Entry!$N$718="","",[2]Entry!$N$718)</f>
        <v/>
      </c>
      <c r="P715">
        <f>IF([2]Entry!$R$718="","",[2]Entry!$R$718)</f>
        <v/>
      </c>
    </row>
    <row r="716">
      <c r="J716">
        <f>IF([2]Entry!$C$719="","",[2]Entry!$C$719)</f>
        <v/>
      </c>
      <c r="K716">
        <f>IF([2]Entry!$D$719="","",[2]Entry!$D$719)</f>
        <v/>
      </c>
      <c r="L716">
        <f>IF([2]Entry!$E$719="","",[2]Entry!$E$719)</f>
        <v/>
      </c>
      <c r="M716">
        <f>IF([2]Entry!$G$719="","",[2]Entry!$G$719)</f>
        <v/>
      </c>
      <c r="N716">
        <f>IF([2]Entry!$M$719="","",[2]Entry!$M$719)</f>
        <v/>
      </c>
      <c r="O716">
        <f>IF([2]Entry!$N$719="","",[2]Entry!$N$719)</f>
        <v/>
      </c>
      <c r="P716">
        <f>IF([2]Entry!$R$719="","",[2]Entry!$R$719)</f>
        <v/>
      </c>
    </row>
    <row r="717">
      <c r="J717">
        <f>IF([2]Entry!$C$720="","",[2]Entry!$C$720)</f>
        <v/>
      </c>
      <c r="K717">
        <f>IF([2]Entry!$D$720="","",[2]Entry!$D$720)</f>
        <v/>
      </c>
      <c r="L717">
        <f>IF([2]Entry!$E$720="","",[2]Entry!$E$720)</f>
        <v/>
      </c>
      <c r="M717">
        <f>IF([2]Entry!$G$720="","",[2]Entry!$G$720)</f>
        <v/>
      </c>
      <c r="N717">
        <f>IF([2]Entry!$M$720="","",[2]Entry!$M$720)</f>
        <v/>
      </c>
      <c r="O717">
        <f>IF([2]Entry!$N$720="","",[2]Entry!$N$720)</f>
        <v/>
      </c>
      <c r="P717">
        <f>IF([2]Entry!$R$720="","",[2]Entry!$R$720)</f>
        <v/>
      </c>
    </row>
    <row r="718">
      <c r="J718">
        <f>IF([2]Entry!$C$721="","",[2]Entry!$C$721)</f>
        <v/>
      </c>
      <c r="K718">
        <f>IF([2]Entry!$D$721="","",[2]Entry!$D$721)</f>
        <v/>
      </c>
      <c r="L718">
        <f>IF([2]Entry!$E$721="","",[2]Entry!$E$721)</f>
        <v/>
      </c>
      <c r="M718">
        <f>IF([2]Entry!$G$721="","",[2]Entry!$G$721)</f>
        <v/>
      </c>
      <c r="N718">
        <f>IF([2]Entry!$M$721="","",[2]Entry!$M$721)</f>
        <v/>
      </c>
      <c r="O718">
        <f>IF([2]Entry!$N$721="","",[2]Entry!$N$721)</f>
        <v/>
      </c>
      <c r="P718">
        <f>IF([2]Entry!$R$721="","",[2]Entry!$R$721)</f>
        <v/>
      </c>
    </row>
    <row r="719">
      <c r="J719">
        <f>IF([2]Entry!$C$722="","",[2]Entry!$C$722)</f>
        <v/>
      </c>
      <c r="K719">
        <f>IF([2]Entry!$D$722="","",[2]Entry!$D$722)</f>
        <v/>
      </c>
      <c r="L719">
        <f>IF([2]Entry!$E$722="","",[2]Entry!$E$722)</f>
        <v/>
      </c>
      <c r="M719">
        <f>IF([2]Entry!$G$722="","",[2]Entry!$G$722)</f>
        <v/>
      </c>
      <c r="N719">
        <f>IF([2]Entry!$M$722="","",[2]Entry!$M$722)</f>
        <v/>
      </c>
      <c r="O719">
        <f>IF([2]Entry!$N$722="","",[2]Entry!$N$722)</f>
        <v/>
      </c>
      <c r="P719">
        <f>IF([2]Entry!$R$722="","",[2]Entry!$R$722)</f>
        <v/>
      </c>
    </row>
    <row r="720">
      <c r="J720">
        <f>IF([2]Entry!$C$723="","",[2]Entry!$C$723)</f>
        <v/>
      </c>
      <c r="K720">
        <f>IF([2]Entry!$D$723="","",[2]Entry!$D$723)</f>
        <v/>
      </c>
      <c r="L720">
        <f>IF([2]Entry!$E$723="","",[2]Entry!$E$723)</f>
        <v/>
      </c>
      <c r="M720">
        <f>IF([2]Entry!$G$723="","",[2]Entry!$G$723)</f>
        <v/>
      </c>
      <c r="N720">
        <f>IF([2]Entry!$M$723="","",[2]Entry!$M$723)</f>
        <v/>
      </c>
      <c r="O720">
        <f>IF([2]Entry!$N$723="","",[2]Entry!$N$723)</f>
        <v/>
      </c>
      <c r="P720">
        <f>IF([2]Entry!$R$723="","",[2]Entry!$R$723)</f>
        <v/>
      </c>
    </row>
    <row r="721">
      <c r="J721">
        <f>IF([2]Entry!$C$724="","",[2]Entry!$C$724)</f>
        <v/>
      </c>
      <c r="K721">
        <f>IF([2]Entry!$D$724="","",[2]Entry!$D$724)</f>
        <v/>
      </c>
      <c r="L721">
        <f>IF([2]Entry!$E$724="","",[2]Entry!$E$724)</f>
        <v/>
      </c>
      <c r="M721">
        <f>IF([2]Entry!$G$724="","",[2]Entry!$G$724)</f>
        <v/>
      </c>
      <c r="N721">
        <f>IF([2]Entry!$M$724="","",[2]Entry!$M$724)</f>
        <v/>
      </c>
      <c r="O721">
        <f>IF([2]Entry!$N$724="","",[2]Entry!$N$724)</f>
        <v/>
      </c>
      <c r="P721">
        <f>IF([2]Entry!$R$724="","",[2]Entry!$R$724)</f>
        <v/>
      </c>
    </row>
    <row r="722">
      <c r="J722">
        <f>IF([2]Entry!$C$725="","",[2]Entry!$C$725)</f>
        <v/>
      </c>
      <c r="K722">
        <f>IF([2]Entry!$D$725="","",[2]Entry!$D$725)</f>
        <v/>
      </c>
      <c r="L722">
        <f>IF([2]Entry!$E$725="","",[2]Entry!$E$725)</f>
        <v/>
      </c>
      <c r="M722">
        <f>IF([2]Entry!$G$725="","",[2]Entry!$G$725)</f>
        <v/>
      </c>
      <c r="N722">
        <f>IF([2]Entry!$M$725="","",[2]Entry!$M$725)</f>
        <v/>
      </c>
      <c r="O722">
        <f>IF([2]Entry!$N$725="","",[2]Entry!$N$725)</f>
        <v/>
      </c>
      <c r="P722">
        <f>IF([2]Entry!$R$725="","",[2]Entry!$R$725)</f>
        <v/>
      </c>
    </row>
    <row r="723">
      <c r="J723">
        <f>IF([2]Entry!$C$726="","",[2]Entry!$C$726)</f>
        <v/>
      </c>
      <c r="K723">
        <f>IF([2]Entry!$D$726="","",[2]Entry!$D$726)</f>
        <v/>
      </c>
      <c r="L723">
        <f>IF([2]Entry!$E$726="","",[2]Entry!$E$726)</f>
        <v/>
      </c>
      <c r="M723">
        <f>IF([2]Entry!$G$726="","",[2]Entry!$G$726)</f>
        <v/>
      </c>
      <c r="N723">
        <f>IF([2]Entry!$M$726="","",[2]Entry!$M$726)</f>
        <v/>
      </c>
      <c r="O723">
        <f>IF([2]Entry!$N$726="","",[2]Entry!$N$726)</f>
        <v/>
      </c>
      <c r="P723">
        <f>IF([2]Entry!$R$726="","",[2]Entry!$R$726)</f>
        <v/>
      </c>
    </row>
    <row r="724">
      <c r="J724">
        <f>IF([2]Entry!$C$727="","",[2]Entry!$C$727)</f>
        <v/>
      </c>
      <c r="K724">
        <f>IF([2]Entry!$D$727="","",[2]Entry!$D$727)</f>
        <v/>
      </c>
      <c r="L724">
        <f>IF([2]Entry!$E$727="","",[2]Entry!$E$727)</f>
        <v/>
      </c>
      <c r="M724">
        <f>IF([2]Entry!$G$727="","",[2]Entry!$G$727)</f>
        <v/>
      </c>
      <c r="N724">
        <f>IF([2]Entry!$M$727="","",[2]Entry!$M$727)</f>
        <v/>
      </c>
      <c r="O724">
        <f>IF([2]Entry!$N$727="","",[2]Entry!$N$727)</f>
        <v/>
      </c>
      <c r="P724">
        <f>IF([2]Entry!$R$727="","",[2]Entry!$R$727)</f>
        <v/>
      </c>
    </row>
    <row r="725">
      <c r="J725">
        <f>IF([2]Entry!$C$728="","",[2]Entry!$C$728)</f>
        <v/>
      </c>
      <c r="K725">
        <f>IF([2]Entry!$D$728="","",[2]Entry!$D$728)</f>
        <v/>
      </c>
      <c r="L725">
        <f>IF([2]Entry!$E$728="","",[2]Entry!$E$728)</f>
        <v/>
      </c>
      <c r="M725">
        <f>IF([2]Entry!$G$728="","",[2]Entry!$G$728)</f>
        <v/>
      </c>
      <c r="N725">
        <f>IF([2]Entry!$M$728="","",[2]Entry!$M$728)</f>
        <v/>
      </c>
      <c r="O725">
        <f>IF([2]Entry!$N$728="","",[2]Entry!$N$728)</f>
        <v/>
      </c>
      <c r="P725">
        <f>IF([2]Entry!$R$728="","",[2]Entry!$R$728)</f>
        <v/>
      </c>
    </row>
    <row r="726">
      <c r="J726">
        <f>IF([2]Entry!$C$729="","",[2]Entry!$C$729)</f>
        <v/>
      </c>
      <c r="K726">
        <f>IF([2]Entry!$D$729="","",[2]Entry!$D$729)</f>
        <v/>
      </c>
      <c r="L726">
        <f>IF([2]Entry!$E$729="","",[2]Entry!$E$729)</f>
        <v/>
      </c>
      <c r="M726">
        <f>IF([2]Entry!$G$729="","",[2]Entry!$G$729)</f>
        <v/>
      </c>
      <c r="N726">
        <f>IF([2]Entry!$M$729="","",[2]Entry!$M$729)</f>
        <v/>
      </c>
      <c r="O726">
        <f>IF([2]Entry!$N$729="","",[2]Entry!$N$729)</f>
        <v/>
      </c>
      <c r="P726">
        <f>IF([2]Entry!$R$729="","",[2]Entry!$R$729)</f>
        <v/>
      </c>
    </row>
    <row r="727">
      <c r="J727">
        <f>IF([2]Entry!$C$730="","",[2]Entry!$C$730)</f>
        <v/>
      </c>
      <c r="K727">
        <f>IF([2]Entry!$D$730="","",[2]Entry!$D$730)</f>
        <v/>
      </c>
      <c r="L727">
        <f>IF([2]Entry!$E$730="","",[2]Entry!$E$730)</f>
        <v/>
      </c>
      <c r="M727">
        <f>IF([2]Entry!$G$730="","",[2]Entry!$G$730)</f>
        <v/>
      </c>
      <c r="N727">
        <f>IF([2]Entry!$M$730="","",[2]Entry!$M$730)</f>
        <v/>
      </c>
      <c r="O727">
        <f>IF([2]Entry!$N$730="","",[2]Entry!$N$730)</f>
        <v/>
      </c>
      <c r="P727">
        <f>IF([2]Entry!$R$730="","",[2]Entry!$R$730)</f>
        <v/>
      </c>
    </row>
    <row r="728">
      <c r="J728">
        <f>IF([2]Entry!$C$731="","",[2]Entry!$C$731)</f>
        <v/>
      </c>
      <c r="K728">
        <f>IF([2]Entry!$D$731="","",[2]Entry!$D$731)</f>
        <v/>
      </c>
      <c r="L728">
        <f>IF([2]Entry!$E$731="","",[2]Entry!$E$731)</f>
        <v/>
      </c>
      <c r="M728">
        <f>IF([2]Entry!$G$731="","",[2]Entry!$G$731)</f>
        <v/>
      </c>
      <c r="N728">
        <f>IF([2]Entry!$M$731="","",[2]Entry!$M$731)</f>
        <v/>
      </c>
      <c r="O728">
        <f>IF([2]Entry!$N$731="","",[2]Entry!$N$731)</f>
        <v/>
      </c>
      <c r="P728">
        <f>IF([2]Entry!$R$731="","",[2]Entry!$R$731)</f>
        <v/>
      </c>
    </row>
    <row r="729">
      <c r="J729">
        <f>IF([2]Entry!$C$732="","",[2]Entry!$C$732)</f>
        <v/>
      </c>
      <c r="K729">
        <f>IF([2]Entry!$D$732="","",[2]Entry!$D$732)</f>
        <v/>
      </c>
      <c r="L729">
        <f>IF([2]Entry!$E$732="","",[2]Entry!$E$732)</f>
        <v/>
      </c>
      <c r="M729">
        <f>IF([2]Entry!$G$732="","",[2]Entry!$G$732)</f>
        <v/>
      </c>
      <c r="N729">
        <f>IF([2]Entry!$M$732="","",[2]Entry!$M$732)</f>
        <v/>
      </c>
      <c r="O729">
        <f>IF([2]Entry!$N$732="","",[2]Entry!$N$732)</f>
        <v/>
      </c>
      <c r="P729">
        <f>IF([2]Entry!$R$732="","",[2]Entry!$R$732)</f>
        <v/>
      </c>
    </row>
    <row r="730">
      <c r="J730">
        <f>IF([2]Entry!$C$733="","",[2]Entry!$C$733)</f>
        <v/>
      </c>
      <c r="K730">
        <f>IF([2]Entry!$D$733="","",[2]Entry!$D$733)</f>
        <v/>
      </c>
      <c r="L730">
        <f>IF([2]Entry!$E$733="","",[2]Entry!$E$733)</f>
        <v/>
      </c>
      <c r="M730">
        <f>IF([2]Entry!$G$733="","",[2]Entry!$G$733)</f>
        <v/>
      </c>
      <c r="N730">
        <f>IF([2]Entry!$M$733="","",[2]Entry!$M$733)</f>
        <v/>
      </c>
      <c r="O730">
        <f>IF([2]Entry!$N$733="","",[2]Entry!$N$733)</f>
        <v/>
      </c>
      <c r="P730">
        <f>IF([2]Entry!$R$733="","",[2]Entry!$R$733)</f>
        <v/>
      </c>
    </row>
    <row r="731">
      <c r="J731">
        <f>IF([2]Entry!$C$734="","",[2]Entry!$C$734)</f>
        <v/>
      </c>
      <c r="K731">
        <f>IF([2]Entry!$D$734="","",[2]Entry!$D$734)</f>
        <v/>
      </c>
      <c r="L731">
        <f>IF([2]Entry!$E$734="","",[2]Entry!$E$734)</f>
        <v/>
      </c>
      <c r="M731">
        <f>IF([2]Entry!$G$734="","",[2]Entry!$G$734)</f>
        <v/>
      </c>
      <c r="N731">
        <f>IF([2]Entry!$M$734="","",[2]Entry!$M$734)</f>
        <v/>
      </c>
      <c r="O731">
        <f>IF([2]Entry!$N$734="","",[2]Entry!$N$734)</f>
        <v/>
      </c>
      <c r="P731">
        <f>IF([2]Entry!$R$734="","",[2]Entry!$R$734)</f>
        <v/>
      </c>
    </row>
    <row r="732">
      <c r="J732">
        <f>IF([2]Entry!$C$735="","",[2]Entry!$C$735)</f>
        <v/>
      </c>
      <c r="K732">
        <f>IF([2]Entry!$D$735="","",[2]Entry!$D$735)</f>
        <v/>
      </c>
      <c r="L732">
        <f>IF([2]Entry!$E$735="","",[2]Entry!$E$735)</f>
        <v/>
      </c>
      <c r="M732">
        <f>IF([2]Entry!$G$735="","",[2]Entry!$G$735)</f>
        <v/>
      </c>
      <c r="N732">
        <f>IF([2]Entry!$M$735="","",[2]Entry!$M$735)</f>
        <v/>
      </c>
      <c r="O732">
        <f>IF([2]Entry!$N$735="","",[2]Entry!$N$735)</f>
        <v/>
      </c>
      <c r="P732">
        <f>IF([2]Entry!$R$735="","",[2]Entry!$R$735)</f>
        <v/>
      </c>
    </row>
    <row r="733">
      <c r="J733">
        <f>IF([2]Entry!$C$736="","",[2]Entry!$C$736)</f>
        <v/>
      </c>
      <c r="K733">
        <f>IF([2]Entry!$D$736="","",[2]Entry!$D$736)</f>
        <v/>
      </c>
      <c r="L733">
        <f>IF([2]Entry!$E$736="","",[2]Entry!$E$736)</f>
        <v/>
      </c>
      <c r="M733">
        <f>IF([2]Entry!$G$736="","",[2]Entry!$G$736)</f>
        <v/>
      </c>
      <c r="N733">
        <f>IF([2]Entry!$M$736="","",[2]Entry!$M$736)</f>
        <v/>
      </c>
      <c r="O733">
        <f>IF([2]Entry!$N$736="","",[2]Entry!$N$736)</f>
        <v/>
      </c>
      <c r="P733">
        <f>IF([2]Entry!$R$736="","",[2]Entry!$R$736)</f>
        <v/>
      </c>
    </row>
    <row r="734">
      <c r="J734">
        <f>IF([2]Entry!$C$737="","",[2]Entry!$C$737)</f>
        <v/>
      </c>
      <c r="K734">
        <f>IF([2]Entry!$D$737="","",[2]Entry!$D$737)</f>
        <v/>
      </c>
      <c r="L734">
        <f>IF([2]Entry!$E$737="","",[2]Entry!$E$737)</f>
        <v/>
      </c>
      <c r="M734">
        <f>IF([2]Entry!$G$737="","",[2]Entry!$G$737)</f>
        <v/>
      </c>
      <c r="N734">
        <f>IF([2]Entry!$M$737="","",[2]Entry!$M$737)</f>
        <v/>
      </c>
      <c r="O734">
        <f>IF([2]Entry!$N$737="","",[2]Entry!$N$737)</f>
        <v/>
      </c>
      <c r="P734">
        <f>IF([2]Entry!$R$737="","",[2]Entry!$R$737)</f>
        <v/>
      </c>
    </row>
    <row r="735">
      <c r="J735">
        <f>IF([2]Entry!$C$738="","",[2]Entry!$C$738)</f>
        <v/>
      </c>
      <c r="K735">
        <f>IF([2]Entry!$D$738="","",[2]Entry!$D$738)</f>
        <v/>
      </c>
      <c r="L735">
        <f>IF([2]Entry!$E$738="","",[2]Entry!$E$738)</f>
        <v/>
      </c>
      <c r="M735">
        <f>IF([2]Entry!$G$738="","",[2]Entry!$G$738)</f>
        <v/>
      </c>
      <c r="N735">
        <f>IF([2]Entry!$M$738="","",[2]Entry!$M$738)</f>
        <v/>
      </c>
      <c r="O735">
        <f>IF([2]Entry!$N$738="","",[2]Entry!$N$738)</f>
        <v/>
      </c>
      <c r="P735">
        <f>IF([2]Entry!$R$738="","",[2]Entry!$R$738)</f>
        <v/>
      </c>
    </row>
    <row r="736">
      <c r="J736">
        <f>IF([2]Entry!$C$739="","",[2]Entry!$C$739)</f>
        <v/>
      </c>
      <c r="K736">
        <f>IF([2]Entry!$D$739="","",[2]Entry!$D$739)</f>
        <v/>
      </c>
      <c r="L736">
        <f>IF([2]Entry!$E$739="","",[2]Entry!$E$739)</f>
        <v/>
      </c>
      <c r="M736">
        <f>IF([2]Entry!$G$739="","",[2]Entry!$G$739)</f>
        <v/>
      </c>
      <c r="N736">
        <f>IF([2]Entry!$M$739="","",[2]Entry!$M$739)</f>
        <v/>
      </c>
      <c r="O736">
        <f>IF([2]Entry!$N$739="","",[2]Entry!$N$739)</f>
        <v/>
      </c>
      <c r="P736">
        <f>IF([2]Entry!$R$739="","",[2]Entry!$R$739)</f>
        <v/>
      </c>
    </row>
    <row r="737">
      <c r="J737">
        <f>IF([2]Entry!$C$740="","",[2]Entry!$C$740)</f>
        <v/>
      </c>
      <c r="K737">
        <f>IF([2]Entry!$D$740="","",[2]Entry!$D$740)</f>
        <v/>
      </c>
      <c r="L737">
        <f>IF([2]Entry!$E$740="","",[2]Entry!$E$740)</f>
        <v/>
      </c>
      <c r="M737">
        <f>IF([2]Entry!$G$740="","",[2]Entry!$G$740)</f>
        <v/>
      </c>
      <c r="N737">
        <f>IF([2]Entry!$M$740="","",[2]Entry!$M$740)</f>
        <v/>
      </c>
      <c r="O737">
        <f>IF([2]Entry!$N$740="","",[2]Entry!$N$740)</f>
        <v/>
      </c>
      <c r="P737">
        <f>IF([2]Entry!$R$740="","",[2]Entry!$R$740)</f>
        <v/>
      </c>
    </row>
    <row r="738">
      <c r="J738">
        <f>IF([2]Entry!$C$741="","",[2]Entry!$C$741)</f>
        <v/>
      </c>
      <c r="K738">
        <f>IF([2]Entry!$D$741="","",[2]Entry!$D$741)</f>
        <v/>
      </c>
      <c r="L738">
        <f>IF([2]Entry!$E$741="","",[2]Entry!$E$741)</f>
        <v/>
      </c>
      <c r="M738">
        <f>IF([2]Entry!$G$741="","",[2]Entry!$G$741)</f>
        <v/>
      </c>
      <c r="N738">
        <f>IF([2]Entry!$M$741="","",[2]Entry!$M$741)</f>
        <v/>
      </c>
      <c r="O738">
        <f>IF([2]Entry!$N$741="","",[2]Entry!$N$741)</f>
        <v/>
      </c>
      <c r="P738">
        <f>IF([2]Entry!$R$741="","",[2]Entry!$R$741)</f>
        <v/>
      </c>
    </row>
    <row r="739">
      <c r="J739">
        <f>IF([2]Entry!$C$742="","",[2]Entry!$C$742)</f>
        <v/>
      </c>
      <c r="K739">
        <f>IF([2]Entry!$D$742="","",[2]Entry!$D$742)</f>
        <v/>
      </c>
      <c r="L739">
        <f>IF([2]Entry!$E$742="","",[2]Entry!$E$742)</f>
        <v/>
      </c>
      <c r="M739">
        <f>IF([2]Entry!$G$742="","",[2]Entry!$G$742)</f>
        <v/>
      </c>
      <c r="N739">
        <f>IF([2]Entry!$M$742="","",[2]Entry!$M$742)</f>
        <v/>
      </c>
      <c r="O739">
        <f>IF([2]Entry!$N$742="","",[2]Entry!$N$742)</f>
        <v/>
      </c>
      <c r="P739">
        <f>IF([2]Entry!$R$742="","",[2]Entry!$R$742)</f>
        <v/>
      </c>
    </row>
    <row r="740">
      <c r="J740">
        <f>IF([2]Entry!$C$743="","",[2]Entry!$C$743)</f>
        <v/>
      </c>
      <c r="K740">
        <f>IF([2]Entry!$D$743="","",[2]Entry!$D$743)</f>
        <v/>
      </c>
      <c r="L740">
        <f>IF([2]Entry!$E$743="","",[2]Entry!$E$743)</f>
        <v/>
      </c>
      <c r="M740">
        <f>IF([2]Entry!$G$743="","",[2]Entry!$G$743)</f>
        <v/>
      </c>
      <c r="N740">
        <f>IF([2]Entry!$M$743="","",[2]Entry!$M$743)</f>
        <v/>
      </c>
      <c r="O740">
        <f>IF([2]Entry!$N$743="","",[2]Entry!$N$743)</f>
        <v/>
      </c>
      <c r="P740">
        <f>IF([2]Entry!$R$743="","",[2]Entry!$R$743)</f>
        <v/>
      </c>
    </row>
    <row r="741">
      <c r="J741">
        <f>IF([2]Entry!$C$744="","",[2]Entry!$C$744)</f>
        <v/>
      </c>
      <c r="K741">
        <f>IF([2]Entry!$D$744="","",[2]Entry!$D$744)</f>
        <v/>
      </c>
      <c r="L741">
        <f>IF([2]Entry!$E$744="","",[2]Entry!$E$744)</f>
        <v/>
      </c>
      <c r="M741">
        <f>IF([2]Entry!$G$744="","",[2]Entry!$G$744)</f>
        <v/>
      </c>
      <c r="N741">
        <f>IF([2]Entry!$M$744="","",[2]Entry!$M$744)</f>
        <v/>
      </c>
      <c r="O741">
        <f>IF([2]Entry!$N$744="","",[2]Entry!$N$744)</f>
        <v/>
      </c>
      <c r="P741">
        <f>IF([2]Entry!$R$744="","",[2]Entry!$R$744)</f>
        <v/>
      </c>
    </row>
    <row r="742">
      <c r="J742">
        <f>IF([2]Entry!$C$745="","",[2]Entry!$C$745)</f>
        <v/>
      </c>
      <c r="K742">
        <f>IF([2]Entry!$D$745="","",[2]Entry!$D$745)</f>
        <v/>
      </c>
      <c r="L742">
        <f>IF([2]Entry!$E$745="","",[2]Entry!$E$745)</f>
        <v/>
      </c>
      <c r="M742">
        <f>IF([2]Entry!$G$745="","",[2]Entry!$G$745)</f>
        <v/>
      </c>
      <c r="N742">
        <f>IF([2]Entry!$M$745="","",[2]Entry!$M$745)</f>
        <v/>
      </c>
      <c r="O742">
        <f>IF([2]Entry!$N$745="","",[2]Entry!$N$745)</f>
        <v/>
      </c>
      <c r="P742">
        <f>IF([2]Entry!$R$745="","",[2]Entry!$R$745)</f>
        <v/>
      </c>
    </row>
    <row r="743">
      <c r="J743">
        <f>IF([2]Entry!$C$746="","",[2]Entry!$C$746)</f>
        <v/>
      </c>
      <c r="K743">
        <f>IF([2]Entry!$D$746="","",[2]Entry!$D$746)</f>
        <v/>
      </c>
      <c r="L743">
        <f>IF([2]Entry!$E$746="","",[2]Entry!$E$746)</f>
        <v/>
      </c>
      <c r="M743">
        <f>IF([2]Entry!$G$746="","",[2]Entry!$G$746)</f>
        <v/>
      </c>
      <c r="N743">
        <f>IF([2]Entry!$M$746="","",[2]Entry!$M$746)</f>
        <v/>
      </c>
      <c r="O743">
        <f>IF([2]Entry!$N$746="","",[2]Entry!$N$746)</f>
        <v/>
      </c>
      <c r="P743">
        <f>IF([2]Entry!$R$746="","",[2]Entry!$R$746)</f>
        <v/>
      </c>
    </row>
    <row r="744">
      <c r="J744">
        <f>IF([2]Entry!$C$747="","",[2]Entry!$C$747)</f>
        <v/>
      </c>
      <c r="K744">
        <f>IF([2]Entry!$D$747="","",[2]Entry!$D$747)</f>
        <v/>
      </c>
      <c r="L744">
        <f>IF([2]Entry!$E$747="","",[2]Entry!$E$747)</f>
        <v/>
      </c>
      <c r="M744">
        <f>IF([2]Entry!$G$747="","",[2]Entry!$G$747)</f>
        <v/>
      </c>
      <c r="N744">
        <f>IF([2]Entry!$M$747="","",[2]Entry!$M$747)</f>
        <v/>
      </c>
      <c r="O744">
        <f>IF([2]Entry!$N$747="","",[2]Entry!$N$747)</f>
        <v/>
      </c>
      <c r="P744">
        <f>IF([2]Entry!$R$747="","",[2]Entry!$R$747)</f>
        <v/>
      </c>
    </row>
    <row r="745">
      <c r="J745">
        <f>IF([2]Entry!$C$748="","",[2]Entry!$C$748)</f>
        <v/>
      </c>
      <c r="K745">
        <f>IF([2]Entry!$D$748="","",[2]Entry!$D$748)</f>
        <v/>
      </c>
      <c r="L745">
        <f>IF([2]Entry!$E$748="","",[2]Entry!$E$748)</f>
        <v/>
      </c>
      <c r="M745">
        <f>IF([2]Entry!$G$748="","",[2]Entry!$G$748)</f>
        <v/>
      </c>
      <c r="N745">
        <f>IF([2]Entry!$M$748="","",[2]Entry!$M$748)</f>
        <v/>
      </c>
      <c r="O745">
        <f>IF([2]Entry!$N$748="","",[2]Entry!$N$748)</f>
        <v/>
      </c>
      <c r="P745">
        <f>IF([2]Entry!$R$748="","",[2]Entry!$R$748)</f>
        <v/>
      </c>
    </row>
    <row r="746">
      <c r="J746">
        <f>IF([2]Entry!$C$749="","",[2]Entry!$C$749)</f>
        <v/>
      </c>
      <c r="K746">
        <f>IF([2]Entry!$D$749="","",[2]Entry!$D$749)</f>
        <v/>
      </c>
      <c r="L746">
        <f>IF([2]Entry!$E$749="","",[2]Entry!$E$749)</f>
        <v/>
      </c>
      <c r="M746">
        <f>IF([2]Entry!$G$749="","",[2]Entry!$G$749)</f>
        <v/>
      </c>
      <c r="N746">
        <f>IF([2]Entry!$M$749="","",[2]Entry!$M$749)</f>
        <v/>
      </c>
      <c r="O746">
        <f>IF([2]Entry!$N$749="","",[2]Entry!$N$749)</f>
        <v/>
      </c>
      <c r="P746">
        <f>IF([2]Entry!$R$749="","",[2]Entry!$R$749)</f>
        <v/>
      </c>
    </row>
    <row r="747">
      <c r="J747">
        <f>IF([2]Entry!$C$750="","",[2]Entry!$C$750)</f>
        <v/>
      </c>
      <c r="K747">
        <f>IF([2]Entry!$D$750="","",[2]Entry!$D$750)</f>
        <v/>
      </c>
      <c r="L747">
        <f>IF([2]Entry!$E$750="","",[2]Entry!$E$750)</f>
        <v/>
      </c>
      <c r="M747">
        <f>IF([2]Entry!$G$750="","",[2]Entry!$G$750)</f>
        <v/>
      </c>
      <c r="N747">
        <f>IF([2]Entry!$M$750="","",[2]Entry!$M$750)</f>
        <v/>
      </c>
      <c r="O747">
        <f>IF([2]Entry!$N$750="","",[2]Entry!$N$750)</f>
        <v/>
      </c>
      <c r="P747">
        <f>IF([2]Entry!$R$750="","",[2]Entry!$R$750)</f>
        <v/>
      </c>
    </row>
    <row r="748">
      <c r="J748">
        <f>IF([2]Entry!$C$751="","",[2]Entry!$C$751)</f>
        <v/>
      </c>
      <c r="K748">
        <f>IF([2]Entry!$D$751="","",[2]Entry!$D$751)</f>
        <v/>
      </c>
      <c r="L748">
        <f>IF([2]Entry!$E$751="","",[2]Entry!$E$751)</f>
        <v/>
      </c>
      <c r="M748">
        <f>IF([2]Entry!$G$751="","",[2]Entry!$G$751)</f>
        <v/>
      </c>
      <c r="N748">
        <f>IF([2]Entry!$M$751="","",[2]Entry!$M$751)</f>
        <v/>
      </c>
      <c r="O748">
        <f>IF([2]Entry!$N$751="","",[2]Entry!$N$751)</f>
        <v/>
      </c>
      <c r="P748">
        <f>IF([2]Entry!$R$751="","",[2]Entry!$R$751)</f>
        <v/>
      </c>
    </row>
    <row r="749">
      <c r="J749">
        <f>IF([2]Entry!$C$752="","",[2]Entry!$C$752)</f>
        <v/>
      </c>
      <c r="K749">
        <f>IF([2]Entry!$D$752="","",[2]Entry!$D$752)</f>
        <v/>
      </c>
      <c r="L749">
        <f>IF([2]Entry!$E$752="","",[2]Entry!$E$752)</f>
        <v/>
      </c>
      <c r="M749">
        <f>IF([2]Entry!$G$752="","",[2]Entry!$G$752)</f>
        <v/>
      </c>
      <c r="N749">
        <f>IF([2]Entry!$M$752="","",[2]Entry!$M$752)</f>
        <v/>
      </c>
      <c r="O749">
        <f>IF([2]Entry!$N$752="","",[2]Entry!$N$752)</f>
        <v/>
      </c>
      <c r="P749">
        <f>IF([2]Entry!$R$752="","",[2]Entry!$R$752)</f>
        <v/>
      </c>
    </row>
    <row r="750">
      <c r="J750">
        <f>IF([2]Entry!$C$753="","",[2]Entry!$C$753)</f>
        <v/>
      </c>
      <c r="K750">
        <f>IF([2]Entry!$D$753="","",[2]Entry!$D$753)</f>
        <v/>
      </c>
      <c r="L750">
        <f>IF([2]Entry!$E$753="","",[2]Entry!$E$753)</f>
        <v/>
      </c>
      <c r="M750">
        <f>IF([2]Entry!$G$753="","",[2]Entry!$G$753)</f>
        <v/>
      </c>
      <c r="N750">
        <f>IF([2]Entry!$M$753="","",[2]Entry!$M$753)</f>
        <v/>
      </c>
      <c r="O750">
        <f>IF([2]Entry!$N$753="","",[2]Entry!$N$753)</f>
        <v/>
      </c>
      <c r="P750">
        <f>IF([2]Entry!$R$753="","",[2]Entry!$R$753)</f>
        <v/>
      </c>
    </row>
    <row r="751">
      <c r="J751">
        <f>IF([2]Entry!$C$754="","",[2]Entry!$C$754)</f>
        <v/>
      </c>
      <c r="K751">
        <f>IF([2]Entry!$D$754="","",[2]Entry!$D$754)</f>
        <v/>
      </c>
      <c r="L751">
        <f>IF([2]Entry!$E$754="","",[2]Entry!$E$754)</f>
        <v/>
      </c>
      <c r="M751">
        <f>IF([2]Entry!$G$754="","",[2]Entry!$G$754)</f>
        <v/>
      </c>
      <c r="N751">
        <f>IF([2]Entry!$M$754="","",[2]Entry!$M$754)</f>
        <v/>
      </c>
      <c r="O751">
        <f>IF([2]Entry!$N$754="","",[2]Entry!$N$754)</f>
        <v/>
      </c>
      <c r="P751">
        <f>IF([2]Entry!$R$754="","",[2]Entry!$R$754)</f>
        <v/>
      </c>
    </row>
    <row r="752">
      <c r="J752">
        <f>IF([2]Entry!$C$755="","",[2]Entry!$C$755)</f>
        <v/>
      </c>
      <c r="K752">
        <f>IF([2]Entry!$D$755="","",[2]Entry!$D$755)</f>
        <v/>
      </c>
      <c r="L752">
        <f>IF([2]Entry!$E$755="","",[2]Entry!$E$755)</f>
        <v/>
      </c>
      <c r="M752">
        <f>IF([2]Entry!$G$755="","",[2]Entry!$G$755)</f>
        <v/>
      </c>
      <c r="N752">
        <f>IF([2]Entry!$M$755="","",[2]Entry!$M$755)</f>
        <v/>
      </c>
      <c r="O752">
        <f>IF([2]Entry!$N$755="","",[2]Entry!$N$755)</f>
        <v/>
      </c>
      <c r="P752">
        <f>IF([2]Entry!$R$755="","",[2]Entry!$R$755)</f>
        <v/>
      </c>
    </row>
    <row r="753">
      <c r="J753">
        <f>IF([2]Entry!$C$756="","",[2]Entry!$C$756)</f>
        <v/>
      </c>
      <c r="K753">
        <f>IF([2]Entry!$D$756="","",[2]Entry!$D$756)</f>
        <v/>
      </c>
      <c r="L753">
        <f>IF([2]Entry!$E$756="","",[2]Entry!$E$756)</f>
        <v/>
      </c>
      <c r="M753">
        <f>IF([2]Entry!$G$756="","",[2]Entry!$G$756)</f>
        <v/>
      </c>
      <c r="N753">
        <f>IF([2]Entry!$M$756="","",[2]Entry!$M$756)</f>
        <v/>
      </c>
      <c r="O753">
        <f>IF([2]Entry!$N$756="","",[2]Entry!$N$756)</f>
        <v/>
      </c>
      <c r="P753">
        <f>IF([2]Entry!$R$756="","",[2]Entry!$R$756)</f>
        <v/>
      </c>
    </row>
    <row r="754">
      <c r="J754">
        <f>IF([2]Entry!$C$757="","",[2]Entry!$C$757)</f>
        <v/>
      </c>
      <c r="K754">
        <f>IF([2]Entry!$D$757="","",[2]Entry!$D$757)</f>
        <v/>
      </c>
      <c r="L754">
        <f>IF([2]Entry!$E$757="","",[2]Entry!$E$757)</f>
        <v/>
      </c>
      <c r="M754">
        <f>IF([2]Entry!$G$757="","",[2]Entry!$G$757)</f>
        <v/>
      </c>
      <c r="N754">
        <f>IF([2]Entry!$M$757="","",[2]Entry!$M$757)</f>
        <v/>
      </c>
      <c r="O754">
        <f>IF([2]Entry!$N$757="","",[2]Entry!$N$757)</f>
        <v/>
      </c>
      <c r="P754">
        <f>IF([2]Entry!$R$757="","",[2]Entry!$R$757)</f>
        <v/>
      </c>
    </row>
    <row r="755">
      <c r="J755">
        <f>IF([2]Entry!$C$758="","",[2]Entry!$C$758)</f>
        <v/>
      </c>
      <c r="K755">
        <f>IF([2]Entry!$D$758="","",[2]Entry!$D$758)</f>
        <v/>
      </c>
      <c r="L755">
        <f>IF([2]Entry!$E$758="","",[2]Entry!$E$758)</f>
        <v/>
      </c>
      <c r="M755">
        <f>IF([2]Entry!$G$758="","",[2]Entry!$G$758)</f>
        <v/>
      </c>
      <c r="N755">
        <f>IF([2]Entry!$M$758="","",[2]Entry!$M$758)</f>
        <v/>
      </c>
      <c r="O755">
        <f>IF([2]Entry!$N$758="","",[2]Entry!$N$758)</f>
        <v/>
      </c>
      <c r="P755">
        <f>IF([2]Entry!$R$758="","",[2]Entry!$R$758)</f>
        <v/>
      </c>
    </row>
    <row r="756">
      <c r="J756">
        <f>IF([2]Entry!$C$759="","",[2]Entry!$C$759)</f>
        <v/>
      </c>
      <c r="K756">
        <f>IF([2]Entry!$D$759="","",[2]Entry!$D$759)</f>
        <v/>
      </c>
      <c r="L756">
        <f>IF([2]Entry!$E$759="","",[2]Entry!$E$759)</f>
        <v/>
      </c>
      <c r="M756">
        <f>IF([2]Entry!$G$759="","",[2]Entry!$G$759)</f>
        <v/>
      </c>
      <c r="N756">
        <f>IF([2]Entry!$M$759="","",[2]Entry!$M$759)</f>
        <v/>
      </c>
      <c r="O756">
        <f>IF([2]Entry!$N$759="","",[2]Entry!$N$759)</f>
        <v/>
      </c>
      <c r="P756">
        <f>IF([2]Entry!$R$759="","",[2]Entry!$R$759)</f>
        <v/>
      </c>
    </row>
    <row r="757">
      <c r="J757">
        <f>IF([2]Entry!$C$760="","",[2]Entry!$C$760)</f>
        <v/>
      </c>
      <c r="K757">
        <f>IF([2]Entry!$D$760="","",[2]Entry!$D$760)</f>
        <v/>
      </c>
      <c r="L757">
        <f>IF([2]Entry!$E$760="","",[2]Entry!$E$760)</f>
        <v/>
      </c>
      <c r="M757">
        <f>IF([2]Entry!$G$760="","",[2]Entry!$G$760)</f>
        <v/>
      </c>
      <c r="N757">
        <f>IF([2]Entry!$M$760="","",[2]Entry!$M$760)</f>
        <v/>
      </c>
      <c r="O757">
        <f>IF([2]Entry!$N$760="","",[2]Entry!$N$760)</f>
        <v/>
      </c>
      <c r="P757">
        <f>IF([2]Entry!$R$760="","",[2]Entry!$R$760)</f>
        <v/>
      </c>
    </row>
    <row r="758">
      <c r="J758">
        <f>IF([2]Entry!$C$761="","",[2]Entry!$C$761)</f>
        <v/>
      </c>
      <c r="K758">
        <f>IF([2]Entry!$D$761="","",[2]Entry!$D$761)</f>
        <v/>
      </c>
      <c r="L758">
        <f>IF([2]Entry!$E$761="","",[2]Entry!$E$761)</f>
        <v/>
      </c>
      <c r="M758">
        <f>IF([2]Entry!$G$761="","",[2]Entry!$G$761)</f>
        <v/>
      </c>
      <c r="N758">
        <f>IF([2]Entry!$M$761="","",[2]Entry!$M$761)</f>
        <v/>
      </c>
      <c r="O758">
        <f>IF([2]Entry!$N$761="","",[2]Entry!$N$761)</f>
        <v/>
      </c>
      <c r="P758">
        <f>IF([2]Entry!$R$761="","",[2]Entry!$R$761)</f>
        <v/>
      </c>
    </row>
    <row r="759">
      <c r="J759">
        <f>IF([2]Entry!$C$762="","",[2]Entry!$C$762)</f>
        <v/>
      </c>
      <c r="K759">
        <f>IF([2]Entry!$D$762="","",[2]Entry!$D$762)</f>
        <v/>
      </c>
      <c r="L759">
        <f>IF([2]Entry!$E$762="","",[2]Entry!$E$762)</f>
        <v/>
      </c>
      <c r="M759">
        <f>IF([2]Entry!$G$762="","",[2]Entry!$G$762)</f>
        <v/>
      </c>
      <c r="N759">
        <f>IF([2]Entry!$M$762="","",[2]Entry!$M$762)</f>
        <v/>
      </c>
      <c r="O759">
        <f>IF([2]Entry!$N$762="","",[2]Entry!$N$762)</f>
        <v/>
      </c>
      <c r="P759">
        <f>IF([2]Entry!$R$762="","",[2]Entry!$R$762)</f>
        <v/>
      </c>
    </row>
    <row r="760">
      <c r="J760">
        <f>IF([2]Entry!$C$763="","",[2]Entry!$C$763)</f>
        <v/>
      </c>
      <c r="K760">
        <f>IF([2]Entry!$D$763="","",[2]Entry!$D$763)</f>
        <v/>
      </c>
      <c r="L760">
        <f>IF([2]Entry!$E$763="","",[2]Entry!$E$763)</f>
        <v/>
      </c>
      <c r="M760">
        <f>IF([2]Entry!$G$763="","",[2]Entry!$G$763)</f>
        <v/>
      </c>
      <c r="N760">
        <f>IF([2]Entry!$M$763="","",[2]Entry!$M$763)</f>
        <v/>
      </c>
      <c r="O760">
        <f>IF([2]Entry!$N$763="","",[2]Entry!$N$763)</f>
        <v/>
      </c>
      <c r="P760">
        <f>IF([2]Entry!$R$763="","",[2]Entry!$R$763)</f>
        <v/>
      </c>
    </row>
    <row r="761">
      <c r="J761">
        <f>IF([2]Entry!$C$764="","",[2]Entry!$C$764)</f>
        <v/>
      </c>
      <c r="K761">
        <f>IF([2]Entry!$D$764="","",[2]Entry!$D$764)</f>
        <v/>
      </c>
      <c r="L761">
        <f>IF([2]Entry!$E$764="","",[2]Entry!$E$764)</f>
        <v/>
      </c>
      <c r="M761">
        <f>IF([2]Entry!$G$764="","",[2]Entry!$G$764)</f>
        <v/>
      </c>
      <c r="N761">
        <f>IF([2]Entry!$M$764="","",[2]Entry!$M$764)</f>
        <v/>
      </c>
      <c r="O761">
        <f>IF([2]Entry!$N$764="","",[2]Entry!$N$764)</f>
        <v/>
      </c>
      <c r="P761">
        <f>IF([2]Entry!$R$764="","",[2]Entry!$R$764)</f>
        <v/>
      </c>
    </row>
    <row r="762">
      <c r="J762">
        <f>IF([2]Entry!$C$765="","",[2]Entry!$C$765)</f>
        <v/>
      </c>
      <c r="K762">
        <f>IF([2]Entry!$D$765="","",[2]Entry!$D$765)</f>
        <v/>
      </c>
      <c r="L762">
        <f>IF([2]Entry!$E$765="","",[2]Entry!$E$765)</f>
        <v/>
      </c>
      <c r="M762">
        <f>IF([2]Entry!$G$765="","",[2]Entry!$G$765)</f>
        <v/>
      </c>
      <c r="N762">
        <f>IF([2]Entry!$M$765="","",[2]Entry!$M$765)</f>
        <v/>
      </c>
      <c r="O762">
        <f>IF([2]Entry!$N$765="","",[2]Entry!$N$765)</f>
        <v/>
      </c>
      <c r="P762">
        <f>IF([2]Entry!$R$765="","",[2]Entry!$R$765)</f>
        <v/>
      </c>
    </row>
    <row r="763">
      <c r="J763">
        <f>IF([2]Entry!$C$766="","",[2]Entry!$C$766)</f>
        <v/>
      </c>
      <c r="K763">
        <f>IF([2]Entry!$D$766="","",[2]Entry!$D$766)</f>
        <v/>
      </c>
      <c r="L763">
        <f>IF([2]Entry!$E$766="","",[2]Entry!$E$766)</f>
        <v/>
      </c>
      <c r="M763">
        <f>IF([2]Entry!$G$766="","",[2]Entry!$G$766)</f>
        <v/>
      </c>
      <c r="N763">
        <f>IF([2]Entry!$M$766="","",[2]Entry!$M$766)</f>
        <v/>
      </c>
      <c r="O763">
        <f>IF([2]Entry!$N$766="","",[2]Entry!$N$766)</f>
        <v/>
      </c>
      <c r="P763">
        <f>IF([2]Entry!$R$766="","",[2]Entry!$R$766)</f>
        <v/>
      </c>
    </row>
    <row r="764">
      <c r="J764">
        <f>IF([2]Entry!$C$767="","",[2]Entry!$C$767)</f>
        <v/>
      </c>
      <c r="K764">
        <f>IF([2]Entry!$D$767="","",[2]Entry!$D$767)</f>
        <v/>
      </c>
      <c r="L764">
        <f>IF([2]Entry!$E$767="","",[2]Entry!$E$767)</f>
        <v/>
      </c>
      <c r="M764">
        <f>IF([2]Entry!$G$767="","",[2]Entry!$G$767)</f>
        <v/>
      </c>
      <c r="N764">
        <f>IF([2]Entry!$M$767="","",[2]Entry!$M$767)</f>
        <v/>
      </c>
      <c r="O764">
        <f>IF([2]Entry!$N$767="","",[2]Entry!$N$767)</f>
        <v/>
      </c>
      <c r="P764">
        <f>IF([2]Entry!$R$767="","",[2]Entry!$R$767)</f>
        <v/>
      </c>
    </row>
    <row r="765">
      <c r="J765">
        <f>IF([2]Entry!$C$768="","",[2]Entry!$C$768)</f>
        <v/>
      </c>
      <c r="K765">
        <f>IF([2]Entry!$D$768="","",[2]Entry!$D$768)</f>
        <v/>
      </c>
      <c r="L765">
        <f>IF([2]Entry!$E$768="","",[2]Entry!$E$768)</f>
        <v/>
      </c>
      <c r="M765">
        <f>IF([2]Entry!$G$768="","",[2]Entry!$G$768)</f>
        <v/>
      </c>
      <c r="N765">
        <f>IF([2]Entry!$M$768="","",[2]Entry!$M$768)</f>
        <v/>
      </c>
      <c r="O765">
        <f>IF([2]Entry!$N$768="","",[2]Entry!$N$768)</f>
        <v/>
      </c>
      <c r="P765">
        <f>IF([2]Entry!$R$768="","",[2]Entry!$R$768)</f>
        <v/>
      </c>
    </row>
    <row r="766">
      <c r="J766">
        <f>IF([2]Entry!$C$769="","",[2]Entry!$C$769)</f>
        <v/>
      </c>
      <c r="K766">
        <f>IF([2]Entry!$D$769="","",[2]Entry!$D$769)</f>
        <v/>
      </c>
      <c r="L766">
        <f>IF([2]Entry!$E$769="","",[2]Entry!$E$769)</f>
        <v/>
      </c>
      <c r="M766">
        <f>IF([2]Entry!$G$769="","",[2]Entry!$G$769)</f>
        <v/>
      </c>
      <c r="N766">
        <f>IF([2]Entry!$M$769="","",[2]Entry!$M$769)</f>
        <v/>
      </c>
      <c r="O766">
        <f>IF([2]Entry!$N$769="","",[2]Entry!$N$769)</f>
        <v/>
      </c>
      <c r="P766">
        <f>IF([2]Entry!$R$769="","",[2]Entry!$R$769)</f>
        <v/>
      </c>
    </row>
    <row r="767">
      <c r="J767">
        <f>IF([2]Entry!$C$770="","",[2]Entry!$C$770)</f>
        <v/>
      </c>
      <c r="K767">
        <f>IF([2]Entry!$D$770="","",[2]Entry!$D$770)</f>
        <v/>
      </c>
      <c r="L767">
        <f>IF([2]Entry!$E$770="","",[2]Entry!$E$770)</f>
        <v/>
      </c>
      <c r="M767">
        <f>IF([2]Entry!$G$770="","",[2]Entry!$G$770)</f>
        <v/>
      </c>
      <c r="N767">
        <f>IF([2]Entry!$M$770="","",[2]Entry!$M$770)</f>
        <v/>
      </c>
      <c r="O767">
        <f>IF([2]Entry!$N$770="","",[2]Entry!$N$770)</f>
        <v/>
      </c>
      <c r="P767">
        <f>IF([2]Entry!$R$770="","",[2]Entry!$R$770)</f>
        <v/>
      </c>
    </row>
    <row r="768">
      <c r="J768">
        <f>IF([2]Entry!$C$771="","",[2]Entry!$C$771)</f>
        <v/>
      </c>
      <c r="K768">
        <f>IF([2]Entry!$D$771="","",[2]Entry!$D$771)</f>
        <v/>
      </c>
      <c r="L768">
        <f>IF([2]Entry!$E$771="","",[2]Entry!$E$771)</f>
        <v/>
      </c>
      <c r="M768">
        <f>IF([2]Entry!$G$771="","",[2]Entry!$G$771)</f>
        <v/>
      </c>
      <c r="N768">
        <f>IF([2]Entry!$M$771="","",[2]Entry!$M$771)</f>
        <v/>
      </c>
      <c r="O768">
        <f>IF([2]Entry!$N$771="","",[2]Entry!$N$771)</f>
        <v/>
      </c>
      <c r="P768">
        <f>IF([2]Entry!$R$771="","",[2]Entry!$R$771)</f>
        <v/>
      </c>
    </row>
    <row r="769">
      <c r="J769">
        <f>IF([2]Entry!$C$772="","",[2]Entry!$C$772)</f>
        <v/>
      </c>
      <c r="K769">
        <f>IF([2]Entry!$D$772="","",[2]Entry!$D$772)</f>
        <v/>
      </c>
      <c r="L769">
        <f>IF([2]Entry!$E$772="","",[2]Entry!$E$772)</f>
        <v/>
      </c>
      <c r="M769">
        <f>IF([2]Entry!$G$772="","",[2]Entry!$G$772)</f>
        <v/>
      </c>
      <c r="N769">
        <f>IF([2]Entry!$M$772="","",[2]Entry!$M$772)</f>
        <v/>
      </c>
      <c r="O769">
        <f>IF([2]Entry!$N$772="","",[2]Entry!$N$772)</f>
        <v/>
      </c>
      <c r="P769">
        <f>IF([2]Entry!$R$772="","",[2]Entry!$R$772)</f>
        <v/>
      </c>
    </row>
    <row r="770">
      <c r="J770">
        <f>IF([2]Entry!$C$773="","",[2]Entry!$C$773)</f>
        <v/>
      </c>
      <c r="K770">
        <f>IF([2]Entry!$D$773="","",[2]Entry!$D$773)</f>
        <v/>
      </c>
      <c r="L770">
        <f>IF([2]Entry!$E$773="","",[2]Entry!$E$773)</f>
        <v/>
      </c>
      <c r="M770">
        <f>IF([2]Entry!$G$773="","",[2]Entry!$G$773)</f>
        <v/>
      </c>
      <c r="N770">
        <f>IF([2]Entry!$M$773="","",[2]Entry!$M$773)</f>
        <v/>
      </c>
      <c r="O770">
        <f>IF([2]Entry!$N$773="","",[2]Entry!$N$773)</f>
        <v/>
      </c>
      <c r="P770">
        <f>IF([2]Entry!$R$773="","",[2]Entry!$R$773)</f>
        <v/>
      </c>
    </row>
    <row r="771">
      <c r="J771">
        <f>IF([2]Entry!$C$774="","",[2]Entry!$C$774)</f>
        <v/>
      </c>
      <c r="K771">
        <f>IF([2]Entry!$D$774="","",[2]Entry!$D$774)</f>
        <v/>
      </c>
      <c r="L771">
        <f>IF([2]Entry!$E$774="","",[2]Entry!$E$774)</f>
        <v/>
      </c>
      <c r="M771">
        <f>IF([2]Entry!$G$774="","",[2]Entry!$G$774)</f>
        <v/>
      </c>
      <c r="N771">
        <f>IF([2]Entry!$M$774="","",[2]Entry!$M$774)</f>
        <v/>
      </c>
      <c r="O771">
        <f>IF([2]Entry!$N$774="","",[2]Entry!$N$774)</f>
        <v/>
      </c>
      <c r="P771">
        <f>IF([2]Entry!$R$774="","",[2]Entry!$R$774)</f>
        <v/>
      </c>
    </row>
    <row r="772">
      <c r="J772">
        <f>IF([2]Entry!$C$775="","",[2]Entry!$C$775)</f>
        <v/>
      </c>
      <c r="K772">
        <f>IF([2]Entry!$D$775="","",[2]Entry!$D$775)</f>
        <v/>
      </c>
      <c r="L772">
        <f>IF([2]Entry!$E$775="","",[2]Entry!$E$775)</f>
        <v/>
      </c>
      <c r="M772">
        <f>IF([2]Entry!$G$775="","",[2]Entry!$G$775)</f>
        <v/>
      </c>
      <c r="N772">
        <f>IF([2]Entry!$M$775="","",[2]Entry!$M$775)</f>
        <v/>
      </c>
      <c r="O772">
        <f>IF([2]Entry!$N$775="","",[2]Entry!$N$775)</f>
        <v/>
      </c>
      <c r="P772">
        <f>IF([2]Entry!$R$775="","",[2]Entry!$R$775)</f>
        <v/>
      </c>
    </row>
    <row r="773">
      <c r="J773">
        <f>IF([2]Entry!$C$776="","",[2]Entry!$C$776)</f>
        <v/>
      </c>
      <c r="K773">
        <f>IF([2]Entry!$D$776="","",[2]Entry!$D$776)</f>
        <v/>
      </c>
      <c r="L773">
        <f>IF([2]Entry!$E$776="","",[2]Entry!$E$776)</f>
        <v/>
      </c>
      <c r="M773">
        <f>IF([2]Entry!$G$776="","",[2]Entry!$G$776)</f>
        <v/>
      </c>
      <c r="N773">
        <f>IF([2]Entry!$M$776="","",[2]Entry!$M$776)</f>
        <v/>
      </c>
      <c r="O773">
        <f>IF([2]Entry!$N$776="","",[2]Entry!$N$776)</f>
        <v/>
      </c>
      <c r="P773">
        <f>IF([2]Entry!$R$776="","",[2]Entry!$R$776)</f>
        <v/>
      </c>
    </row>
    <row r="774">
      <c r="J774">
        <f>IF([2]Entry!$C$777="","",[2]Entry!$C$777)</f>
        <v/>
      </c>
      <c r="K774">
        <f>IF([2]Entry!$D$777="","",[2]Entry!$D$777)</f>
        <v/>
      </c>
      <c r="L774">
        <f>IF([2]Entry!$E$777="","",[2]Entry!$E$777)</f>
        <v/>
      </c>
      <c r="M774">
        <f>IF([2]Entry!$G$777="","",[2]Entry!$G$777)</f>
        <v/>
      </c>
      <c r="N774">
        <f>IF([2]Entry!$M$777="","",[2]Entry!$M$777)</f>
        <v/>
      </c>
      <c r="O774">
        <f>IF([2]Entry!$N$777="","",[2]Entry!$N$777)</f>
        <v/>
      </c>
      <c r="P774">
        <f>IF([2]Entry!$R$777="","",[2]Entry!$R$777)</f>
        <v/>
      </c>
    </row>
    <row r="775">
      <c r="J775">
        <f>IF([2]Entry!$C$778="","",[2]Entry!$C$778)</f>
        <v/>
      </c>
      <c r="K775">
        <f>IF([2]Entry!$D$778="","",[2]Entry!$D$778)</f>
        <v/>
      </c>
      <c r="L775">
        <f>IF([2]Entry!$E$778="","",[2]Entry!$E$778)</f>
        <v/>
      </c>
      <c r="M775">
        <f>IF([2]Entry!$G$778="","",[2]Entry!$G$778)</f>
        <v/>
      </c>
      <c r="N775">
        <f>IF([2]Entry!$M$778="","",[2]Entry!$M$778)</f>
        <v/>
      </c>
      <c r="O775">
        <f>IF([2]Entry!$N$778="","",[2]Entry!$N$778)</f>
        <v/>
      </c>
      <c r="P775">
        <f>IF([2]Entry!$R$778="","",[2]Entry!$R$778)</f>
        <v/>
      </c>
    </row>
    <row r="776">
      <c r="J776">
        <f>IF([2]Entry!$C$779="","",[2]Entry!$C$779)</f>
        <v/>
      </c>
      <c r="K776">
        <f>IF([2]Entry!$D$779="","",[2]Entry!$D$779)</f>
        <v/>
      </c>
      <c r="L776">
        <f>IF([2]Entry!$E$779="","",[2]Entry!$E$779)</f>
        <v/>
      </c>
      <c r="M776">
        <f>IF([2]Entry!$G$779="","",[2]Entry!$G$779)</f>
        <v/>
      </c>
      <c r="N776">
        <f>IF([2]Entry!$M$779="","",[2]Entry!$M$779)</f>
        <v/>
      </c>
      <c r="O776">
        <f>IF([2]Entry!$N$779="","",[2]Entry!$N$779)</f>
        <v/>
      </c>
      <c r="P776">
        <f>IF([2]Entry!$R$779="","",[2]Entry!$R$779)</f>
        <v/>
      </c>
    </row>
    <row r="777">
      <c r="J777">
        <f>IF([2]Entry!$C$780="","",[2]Entry!$C$780)</f>
        <v/>
      </c>
      <c r="K777">
        <f>IF([2]Entry!$D$780="","",[2]Entry!$D$780)</f>
        <v/>
      </c>
      <c r="L777">
        <f>IF([2]Entry!$E$780="","",[2]Entry!$E$780)</f>
        <v/>
      </c>
      <c r="M777">
        <f>IF([2]Entry!$G$780="","",[2]Entry!$G$780)</f>
        <v/>
      </c>
      <c r="N777">
        <f>IF([2]Entry!$M$780="","",[2]Entry!$M$780)</f>
        <v/>
      </c>
      <c r="O777">
        <f>IF([2]Entry!$N$780="","",[2]Entry!$N$780)</f>
        <v/>
      </c>
      <c r="P777">
        <f>IF([2]Entry!$R$780="","",[2]Entry!$R$780)</f>
        <v/>
      </c>
    </row>
    <row r="778">
      <c r="J778">
        <f>IF([2]Entry!$C$781="","",[2]Entry!$C$781)</f>
        <v/>
      </c>
      <c r="K778">
        <f>IF([2]Entry!$D$781="","",[2]Entry!$D$781)</f>
        <v/>
      </c>
      <c r="L778">
        <f>IF([2]Entry!$E$781="","",[2]Entry!$E$781)</f>
        <v/>
      </c>
      <c r="M778">
        <f>IF([2]Entry!$G$781="","",[2]Entry!$G$781)</f>
        <v/>
      </c>
      <c r="N778">
        <f>IF([2]Entry!$M$781="","",[2]Entry!$M$781)</f>
        <v/>
      </c>
      <c r="O778">
        <f>IF([2]Entry!$N$781="","",[2]Entry!$N$781)</f>
        <v/>
      </c>
      <c r="P778">
        <f>IF([2]Entry!$R$781="","",[2]Entry!$R$781)</f>
        <v/>
      </c>
    </row>
    <row r="779">
      <c r="J779">
        <f>IF([2]Entry!$C$782="","",[2]Entry!$C$782)</f>
        <v/>
      </c>
      <c r="K779">
        <f>IF([2]Entry!$D$782="","",[2]Entry!$D$782)</f>
        <v/>
      </c>
      <c r="L779">
        <f>IF([2]Entry!$E$782="","",[2]Entry!$E$782)</f>
        <v/>
      </c>
      <c r="M779">
        <f>IF([2]Entry!$G$782="","",[2]Entry!$G$782)</f>
        <v/>
      </c>
      <c r="N779">
        <f>IF([2]Entry!$M$782="","",[2]Entry!$M$782)</f>
        <v/>
      </c>
      <c r="O779">
        <f>IF([2]Entry!$N$782="","",[2]Entry!$N$782)</f>
        <v/>
      </c>
      <c r="P779">
        <f>IF([2]Entry!$R$782="","",[2]Entry!$R$782)</f>
        <v/>
      </c>
    </row>
    <row r="780">
      <c r="J780">
        <f>IF([2]Entry!$C$783="","",[2]Entry!$C$783)</f>
        <v/>
      </c>
      <c r="K780">
        <f>IF([2]Entry!$D$783="","",[2]Entry!$D$783)</f>
        <v/>
      </c>
      <c r="L780">
        <f>IF([2]Entry!$E$783="","",[2]Entry!$E$783)</f>
        <v/>
      </c>
      <c r="M780">
        <f>IF([2]Entry!$G$783="","",[2]Entry!$G$783)</f>
        <v/>
      </c>
      <c r="N780">
        <f>IF([2]Entry!$M$783="","",[2]Entry!$M$783)</f>
        <v/>
      </c>
      <c r="O780">
        <f>IF([2]Entry!$N$783="","",[2]Entry!$N$783)</f>
        <v/>
      </c>
      <c r="P780">
        <f>IF([2]Entry!$R$783="","",[2]Entry!$R$783)</f>
        <v/>
      </c>
    </row>
    <row r="781">
      <c r="J781">
        <f>IF([2]Entry!$C$784="","",[2]Entry!$C$784)</f>
        <v/>
      </c>
      <c r="K781">
        <f>IF([2]Entry!$D$784="","",[2]Entry!$D$784)</f>
        <v/>
      </c>
      <c r="L781">
        <f>IF([2]Entry!$E$784="","",[2]Entry!$E$784)</f>
        <v/>
      </c>
      <c r="M781">
        <f>IF([2]Entry!$G$784="","",[2]Entry!$G$784)</f>
        <v/>
      </c>
      <c r="N781">
        <f>IF([2]Entry!$M$784="","",[2]Entry!$M$784)</f>
        <v/>
      </c>
      <c r="O781">
        <f>IF([2]Entry!$N$784="","",[2]Entry!$N$784)</f>
        <v/>
      </c>
      <c r="P781">
        <f>IF([2]Entry!$R$784="","",[2]Entry!$R$784)</f>
        <v/>
      </c>
    </row>
    <row r="782">
      <c r="J782">
        <f>IF([2]Entry!$C$785="","",[2]Entry!$C$785)</f>
        <v/>
      </c>
      <c r="K782">
        <f>IF([2]Entry!$D$785="","",[2]Entry!$D$785)</f>
        <v/>
      </c>
      <c r="L782">
        <f>IF([2]Entry!$E$785="","",[2]Entry!$E$785)</f>
        <v/>
      </c>
      <c r="M782">
        <f>IF([2]Entry!$G$785="","",[2]Entry!$G$785)</f>
        <v/>
      </c>
      <c r="N782">
        <f>IF([2]Entry!$M$785="","",[2]Entry!$M$785)</f>
        <v/>
      </c>
      <c r="O782">
        <f>IF([2]Entry!$N$785="","",[2]Entry!$N$785)</f>
        <v/>
      </c>
      <c r="P782">
        <f>IF([2]Entry!$R$785="","",[2]Entry!$R$785)</f>
        <v/>
      </c>
    </row>
    <row r="783">
      <c r="J783">
        <f>IF([2]Entry!$C$786="","",[2]Entry!$C$786)</f>
        <v/>
      </c>
      <c r="K783">
        <f>IF([2]Entry!$D$786="","",[2]Entry!$D$786)</f>
        <v/>
      </c>
      <c r="L783">
        <f>IF([2]Entry!$E$786="","",[2]Entry!$E$786)</f>
        <v/>
      </c>
      <c r="M783">
        <f>IF([2]Entry!$G$786="","",[2]Entry!$G$786)</f>
        <v/>
      </c>
      <c r="N783">
        <f>IF([2]Entry!$M$786="","",[2]Entry!$M$786)</f>
        <v/>
      </c>
      <c r="O783">
        <f>IF([2]Entry!$N$786="","",[2]Entry!$N$786)</f>
        <v/>
      </c>
      <c r="P783">
        <f>IF([2]Entry!$R$786="","",[2]Entry!$R$786)</f>
        <v/>
      </c>
    </row>
    <row r="784">
      <c r="J784">
        <f>IF([2]Entry!$C$787="","",[2]Entry!$C$787)</f>
        <v/>
      </c>
      <c r="K784">
        <f>IF([2]Entry!$D$787="","",[2]Entry!$D$787)</f>
        <v/>
      </c>
      <c r="L784">
        <f>IF([2]Entry!$E$787="","",[2]Entry!$E$787)</f>
        <v/>
      </c>
      <c r="M784">
        <f>IF([2]Entry!$G$787="","",[2]Entry!$G$787)</f>
        <v/>
      </c>
      <c r="N784">
        <f>IF([2]Entry!$M$787="","",[2]Entry!$M$787)</f>
        <v/>
      </c>
      <c r="O784">
        <f>IF([2]Entry!$N$787="","",[2]Entry!$N$787)</f>
        <v/>
      </c>
      <c r="P784">
        <f>IF([2]Entry!$R$787="","",[2]Entry!$R$787)</f>
        <v/>
      </c>
    </row>
    <row r="785">
      <c r="J785">
        <f>IF([2]Entry!$C$788="","",[2]Entry!$C$788)</f>
        <v/>
      </c>
      <c r="K785">
        <f>IF([2]Entry!$D$788="","",[2]Entry!$D$788)</f>
        <v/>
      </c>
      <c r="L785">
        <f>IF([2]Entry!$E$788="","",[2]Entry!$E$788)</f>
        <v/>
      </c>
      <c r="M785">
        <f>IF([2]Entry!$G$788="","",[2]Entry!$G$788)</f>
        <v/>
      </c>
      <c r="N785">
        <f>IF([2]Entry!$M$788="","",[2]Entry!$M$788)</f>
        <v/>
      </c>
      <c r="O785">
        <f>IF([2]Entry!$N$788="","",[2]Entry!$N$788)</f>
        <v/>
      </c>
      <c r="P785">
        <f>IF([2]Entry!$R$788="","",[2]Entry!$R$788)</f>
        <v/>
      </c>
    </row>
    <row r="786">
      <c r="J786">
        <f>IF([2]Entry!$C$789="","",[2]Entry!$C$789)</f>
        <v/>
      </c>
      <c r="K786">
        <f>IF([2]Entry!$D$789="","",[2]Entry!$D$789)</f>
        <v/>
      </c>
      <c r="L786">
        <f>IF([2]Entry!$E$789="","",[2]Entry!$E$789)</f>
        <v/>
      </c>
      <c r="M786">
        <f>IF([2]Entry!$G$789="","",[2]Entry!$G$789)</f>
        <v/>
      </c>
      <c r="N786">
        <f>IF([2]Entry!$M$789="","",[2]Entry!$M$789)</f>
        <v/>
      </c>
      <c r="O786">
        <f>IF([2]Entry!$N$789="","",[2]Entry!$N$789)</f>
        <v/>
      </c>
      <c r="P786">
        <f>IF([2]Entry!$R$789="","",[2]Entry!$R$789)</f>
        <v/>
      </c>
    </row>
    <row r="787">
      <c r="J787">
        <f>IF([2]Entry!$C$790="","",[2]Entry!$C$790)</f>
        <v/>
      </c>
      <c r="K787">
        <f>IF([2]Entry!$D$790="","",[2]Entry!$D$790)</f>
        <v/>
      </c>
      <c r="L787">
        <f>IF([2]Entry!$E$790="","",[2]Entry!$E$790)</f>
        <v/>
      </c>
      <c r="M787">
        <f>IF([2]Entry!$G$790="","",[2]Entry!$G$790)</f>
        <v/>
      </c>
      <c r="N787">
        <f>IF([2]Entry!$M$790="","",[2]Entry!$M$790)</f>
        <v/>
      </c>
      <c r="O787">
        <f>IF([2]Entry!$N$790="","",[2]Entry!$N$790)</f>
        <v/>
      </c>
      <c r="P787">
        <f>IF([2]Entry!$R$790="","",[2]Entry!$R$790)</f>
        <v/>
      </c>
    </row>
    <row r="788">
      <c r="J788">
        <f>IF([2]Entry!$C$791="","",[2]Entry!$C$791)</f>
        <v/>
      </c>
      <c r="K788">
        <f>IF([2]Entry!$D$791="","",[2]Entry!$D$791)</f>
        <v/>
      </c>
      <c r="L788">
        <f>IF([2]Entry!$E$791="","",[2]Entry!$E$791)</f>
        <v/>
      </c>
      <c r="M788">
        <f>IF([2]Entry!$G$791="","",[2]Entry!$G$791)</f>
        <v/>
      </c>
      <c r="N788">
        <f>IF([2]Entry!$M$791="","",[2]Entry!$M$791)</f>
        <v/>
      </c>
      <c r="O788">
        <f>IF([2]Entry!$N$791="","",[2]Entry!$N$791)</f>
        <v/>
      </c>
      <c r="P788">
        <f>IF([2]Entry!$R$791="","",[2]Entry!$R$791)</f>
        <v/>
      </c>
    </row>
    <row r="789">
      <c r="J789">
        <f>IF([2]Entry!$C$792="","",[2]Entry!$C$792)</f>
        <v/>
      </c>
      <c r="K789">
        <f>IF([2]Entry!$D$792="","",[2]Entry!$D$792)</f>
        <v/>
      </c>
      <c r="L789">
        <f>IF([2]Entry!$E$792="","",[2]Entry!$E$792)</f>
        <v/>
      </c>
      <c r="M789">
        <f>IF([2]Entry!$G$792="","",[2]Entry!$G$792)</f>
        <v/>
      </c>
      <c r="N789">
        <f>IF([2]Entry!$M$792="","",[2]Entry!$M$792)</f>
        <v/>
      </c>
      <c r="O789">
        <f>IF([2]Entry!$N$792="","",[2]Entry!$N$792)</f>
        <v/>
      </c>
      <c r="P789">
        <f>IF([2]Entry!$R$792="","",[2]Entry!$R$792)</f>
        <v/>
      </c>
    </row>
    <row r="790">
      <c r="J790">
        <f>IF([2]Entry!$C$793="","",[2]Entry!$C$793)</f>
        <v/>
      </c>
      <c r="K790">
        <f>IF([2]Entry!$D$793="","",[2]Entry!$D$793)</f>
        <v/>
      </c>
      <c r="L790">
        <f>IF([2]Entry!$E$793="","",[2]Entry!$E$793)</f>
        <v/>
      </c>
      <c r="M790">
        <f>IF([2]Entry!$G$793="","",[2]Entry!$G$793)</f>
        <v/>
      </c>
      <c r="N790">
        <f>IF([2]Entry!$M$793="","",[2]Entry!$M$793)</f>
        <v/>
      </c>
      <c r="O790">
        <f>IF([2]Entry!$N$793="","",[2]Entry!$N$793)</f>
        <v/>
      </c>
      <c r="P790">
        <f>IF([2]Entry!$R$793="","",[2]Entry!$R$793)</f>
        <v/>
      </c>
    </row>
    <row r="791">
      <c r="J791">
        <f>IF([2]Entry!$C$794="","",[2]Entry!$C$794)</f>
        <v/>
      </c>
      <c r="K791">
        <f>IF([2]Entry!$D$794="","",[2]Entry!$D$794)</f>
        <v/>
      </c>
      <c r="L791">
        <f>IF([2]Entry!$E$794="","",[2]Entry!$E$794)</f>
        <v/>
      </c>
      <c r="M791">
        <f>IF([2]Entry!$G$794="","",[2]Entry!$G$794)</f>
        <v/>
      </c>
      <c r="N791">
        <f>IF([2]Entry!$M$794="","",[2]Entry!$M$794)</f>
        <v/>
      </c>
      <c r="O791">
        <f>IF([2]Entry!$N$794="","",[2]Entry!$N$794)</f>
        <v/>
      </c>
      <c r="P791">
        <f>IF([2]Entry!$R$794="","",[2]Entry!$R$794)</f>
        <v/>
      </c>
    </row>
    <row r="792">
      <c r="J792">
        <f>IF([2]Entry!$C$795="","",[2]Entry!$C$795)</f>
        <v/>
      </c>
      <c r="K792">
        <f>IF([2]Entry!$D$795="","",[2]Entry!$D$795)</f>
        <v/>
      </c>
      <c r="L792">
        <f>IF([2]Entry!$E$795="","",[2]Entry!$E$795)</f>
        <v/>
      </c>
      <c r="M792">
        <f>IF([2]Entry!$G$795="","",[2]Entry!$G$795)</f>
        <v/>
      </c>
      <c r="N792">
        <f>IF([2]Entry!$M$795="","",[2]Entry!$M$795)</f>
        <v/>
      </c>
      <c r="O792">
        <f>IF([2]Entry!$N$795="","",[2]Entry!$N$795)</f>
        <v/>
      </c>
      <c r="P792">
        <f>IF([2]Entry!$R$795="","",[2]Entry!$R$795)</f>
        <v/>
      </c>
    </row>
    <row r="793">
      <c r="J793">
        <f>IF([2]Entry!$C$796="","",[2]Entry!$C$796)</f>
        <v/>
      </c>
      <c r="K793">
        <f>IF([2]Entry!$D$796="","",[2]Entry!$D$796)</f>
        <v/>
      </c>
      <c r="L793">
        <f>IF([2]Entry!$E$796="","",[2]Entry!$E$796)</f>
        <v/>
      </c>
      <c r="M793">
        <f>IF([2]Entry!$G$796="","",[2]Entry!$G$796)</f>
        <v/>
      </c>
      <c r="N793">
        <f>IF([2]Entry!$M$796="","",[2]Entry!$M$796)</f>
        <v/>
      </c>
      <c r="O793">
        <f>IF([2]Entry!$N$796="","",[2]Entry!$N$796)</f>
        <v/>
      </c>
      <c r="P793">
        <f>IF([2]Entry!$R$796="","",[2]Entry!$R$796)</f>
        <v/>
      </c>
    </row>
    <row r="794">
      <c r="J794">
        <f>IF([2]Entry!$C$797="","",[2]Entry!$C$797)</f>
        <v/>
      </c>
      <c r="K794">
        <f>IF([2]Entry!$D$797="","",[2]Entry!$D$797)</f>
        <v/>
      </c>
      <c r="L794">
        <f>IF([2]Entry!$E$797="","",[2]Entry!$E$797)</f>
        <v/>
      </c>
      <c r="M794">
        <f>IF([2]Entry!$G$797="","",[2]Entry!$G$797)</f>
        <v/>
      </c>
      <c r="N794">
        <f>IF([2]Entry!$M$797="","",[2]Entry!$M$797)</f>
        <v/>
      </c>
      <c r="O794">
        <f>IF([2]Entry!$N$797="","",[2]Entry!$N$797)</f>
        <v/>
      </c>
      <c r="P794">
        <f>IF([2]Entry!$R$797="","",[2]Entry!$R$797)</f>
        <v/>
      </c>
    </row>
    <row r="795">
      <c r="J795">
        <f>IF([2]Entry!$C$798="","",[2]Entry!$C$798)</f>
        <v/>
      </c>
      <c r="K795">
        <f>IF([2]Entry!$D$798="","",[2]Entry!$D$798)</f>
        <v/>
      </c>
      <c r="L795">
        <f>IF([2]Entry!$E$798="","",[2]Entry!$E$798)</f>
        <v/>
      </c>
      <c r="M795">
        <f>IF([2]Entry!$G$798="","",[2]Entry!$G$798)</f>
        <v/>
      </c>
      <c r="N795">
        <f>IF([2]Entry!$M$798="","",[2]Entry!$M$798)</f>
        <v/>
      </c>
      <c r="O795">
        <f>IF([2]Entry!$N$798="","",[2]Entry!$N$798)</f>
        <v/>
      </c>
      <c r="P795">
        <f>IF([2]Entry!$R$798="","",[2]Entry!$R$798)</f>
        <v/>
      </c>
    </row>
    <row r="796">
      <c r="J796">
        <f>IF([2]Entry!$C$799="","",[2]Entry!$C$799)</f>
        <v/>
      </c>
      <c r="K796">
        <f>IF([2]Entry!$D$799="","",[2]Entry!$D$799)</f>
        <v/>
      </c>
      <c r="L796">
        <f>IF([2]Entry!$E$799="","",[2]Entry!$E$799)</f>
        <v/>
      </c>
      <c r="M796">
        <f>IF([2]Entry!$G$799="","",[2]Entry!$G$799)</f>
        <v/>
      </c>
      <c r="N796">
        <f>IF([2]Entry!$M$799="","",[2]Entry!$M$799)</f>
        <v/>
      </c>
      <c r="O796">
        <f>IF([2]Entry!$N$799="","",[2]Entry!$N$799)</f>
        <v/>
      </c>
      <c r="P796">
        <f>IF([2]Entry!$R$799="","",[2]Entry!$R$799)</f>
        <v/>
      </c>
    </row>
    <row r="797">
      <c r="J797">
        <f>IF([2]Entry!$C$800="","",[2]Entry!$C$800)</f>
        <v/>
      </c>
      <c r="K797">
        <f>IF([2]Entry!$D$800="","",[2]Entry!$D$800)</f>
        <v/>
      </c>
      <c r="L797">
        <f>IF([2]Entry!$E$800="","",[2]Entry!$E$800)</f>
        <v/>
      </c>
      <c r="M797">
        <f>IF([2]Entry!$G$800="","",[2]Entry!$G$800)</f>
        <v/>
      </c>
      <c r="N797">
        <f>IF([2]Entry!$M$800="","",[2]Entry!$M$800)</f>
        <v/>
      </c>
      <c r="O797">
        <f>IF([2]Entry!$N$800="","",[2]Entry!$N$800)</f>
        <v/>
      </c>
      <c r="P797">
        <f>IF([2]Entry!$R$800="","",[2]Entry!$R$800)</f>
        <v/>
      </c>
    </row>
    <row r="798">
      <c r="J798">
        <f>IF([2]Entry!$C$801="","",[2]Entry!$C$801)</f>
        <v/>
      </c>
      <c r="K798">
        <f>IF([2]Entry!$D$801="","",[2]Entry!$D$801)</f>
        <v/>
      </c>
      <c r="L798">
        <f>IF([2]Entry!$E$801="","",[2]Entry!$E$801)</f>
        <v/>
      </c>
      <c r="M798">
        <f>IF([2]Entry!$G$801="","",[2]Entry!$G$801)</f>
        <v/>
      </c>
      <c r="N798">
        <f>IF([2]Entry!$M$801="","",[2]Entry!$M$801)</f>
        <v/>
      </c>
      <c r="O798">
        <f>IF([2]Entry!$N$801="","",[2]Entry!$N$801)</f>
        <v/>
      </c>
      <c r="P798">
        <f>IF([2]Entry!$R$801="","",[2]Entry!$R$801)</f>
        <v/>
      </c>
    </row>
    <row r="799">
      <c r="J799">
        <f>IF([2]Entry!$C$802="","",[2]Entry!$C$802)</f>
        <v/>
      </c>
      <c r="K799">
        <f>IF([2]Entry!$D$802="","",[2]Entry!$D$802)</f>
        <v/>
      </c>
      <c r="L799">
        <f>IF([2]Entry!$E$802="","",[2]Entry!$E$802)</f>
        <v/>
      </c>
      <c r="M799">
        <f>IF([2]Entry!$G$802="","",[2]Entry!$G$802)</f>
        <v/>
      </c>
      <c r="N799">
        <f>IF([2]Entry!$M$802="","",[2]Entry!$M$802)</f>
        <v/>
      </c>
      <c r="O799">
        <f>IF([2]Entry!$N$802="","",[2]Entry!$N$802)</f>
        <v/>
      </c>
      <c r="P799">
        <f>IF([2]Entry!$R$802="","",[2]Entry!$R$802)</f>
        <v/>
      </c>
    </row>
    <row r="800">
      <c r="J800">
        <f>IF([2]Entry!$C$803="","",[2]Entry!$C$803)</f>
        <v/>
      </c>
      <c r="K800">
        <f>IF([2]Entry!$D$803="","",[2]Entry!$D$803)</f>
        <v/>
      </c>
      <c r="L800">
        <f>IF([2]Entry!$E$803="","",[2]Entry!$E$803)</f>
        <v/>
      </c>
      <c r="M800">
        <f>IF([2]Entry!$G$803="","",[2]Entry!$G$803)</f>
        <v/>
      </c>
      <c r="N800">
        <f>IF([2]Entry!$M$803="","",[2]Entry!$M$803)</f>
        <v/>
      </c>
      <c r="O800">
        <f>IF([2]Entry!$N$803="","",[2]Entry!$N$803)</f>
        <v/>
      </c>
      <c r="P800">
        <f>IF([2]Entry!$R$803="","",[2]Entry!$R$803)</f>
        <v/>
      </c>
    </row>
    <row r="801">
      <c r="J801">
        <f>IF([2]Entry!$C$804="","",[2]Entry!$C$804)</f>
        <v/>
      </c>
      <c r="K801">
        <f>IF([2]Entry!$D$804="","",[2]Entry!$D$804)</f>
        <v/>
      </c>
      <c r="L801">
        <f>IF([2]Entry!$E$804="","",[2]Entry!$E$804)</f>
        <v/>
      </c>
      <c r="M801">
        <f>IF([2]Entry!$G$804="","",[2]Entry!$G$804)</f>
        <v/>
      </c>
      <c r="N801">
        <f>IF([2]Entry!$M$804="","",[2]Entry!$M$804)</f>
        <v/>
      </c>
      <c r="O801">
        <f>IF([2]Entry!$N$804="","",[2]Entry!$N$804)</f>
        <v/>
      </c>
      <c r="P801">
        <f>IF([2]Entry!$R$804="","",[2]Entry!$R$804)</f>
        <v/>
      </c>
    </row>
    <row r="802">
      <c r="J802">
        <f>IF([2]Entry!$C$805="","",[2]Entry!$C$805)</f>
        <v/>
      </c>
      <c r="K802">
        <f>IF([2]Entry!$D$805="","",[2]Entry!$D$805)</f>
        <v/>
      </c>
      <c r="L802">
        <f>IF([2]Entry!$E$805="","",[2]Entry!$E$805)</f>
        <v/>
      </c>
      <c r="M802">
        <f>IF([2]Entry!$G$805="","",[2]Entry!$G$805)</f>
        <v/>
      </c>
      <c r="N802">
        <f>IF([2]Entry!$M$805="","",[2]Entry!$M$805)</f>
        <v/>
      </c>
      <c r="O802">
        <f>IF([2]Entry!$N$805="","",[2]Entry!$N$805)</f>
        <v/>
      </c>
      <c r="P802">
        <f>IF([2]Entry!$R$805="","",[2]Entry!$R$805)</f>
        <v/>
      </c>
    </row>
    <row r="803">
      <c r="J803">
        <f>IF([2]Entry!$C$806="","",[2]Entry!$C$806)</f>
        <v/>
      </c>
      <c r="K803">
        <f>IF([2]Entry!$D$806="","",[2]Entry!$D$806)</f>
        <v/>
      </c>
      <c r="L803">
        <f>IF([2]Entry!$E$806="","",[2]Entry!$E$806)</f>
        <v/>
      </c>
      <c r="M803">
        <f>IF([2]Entry!$G$806="","",[2]Entry!$G$806)</f>
        <v/>
      </c>
      <c r="N803">
        <f>IF([2]Entry!$M$806="","",[2]Entry!$M$806)</f>
        <v/>
      </c>
      <c r="O803">
        <f>IF([2]Entry!$N$806="","",[2]Entry!$N$806)</f>
        <v/>
      </c>
      <c r="P803">
        <f>IF([2]Entry!$R$806="","",[2]Entry!$R$806)</f>
        <v/>
      </c>
    </row>
    <row r="804">
      <c r="J804">
        <f>IF([2]Entry!$C$807="","",[2]Entry!$C$807)</f>
        <v/>
      </c>
      <c r="K804">
        <f>IF([2]Entry!$D$807="","",[2]Entry!$D$807)</f>
        <v/>
      </c>
      <c r="L804">
        <f>IF([2]Entry!$E$807="","",[2]Entry!$E$807)</f>
        <v/>
      </c>
      <c r="M804">
        <f>IF([2]Entry!$G$807="","",[2]Entry!$G$807)</f>
        <v/>
      </c>
      <c r="N804">
        <f>IF([2]Entry!$M$807="","",[2]Entry!$M$807)</f>
        <v/>
      </c>
      <c r="O804">
        <f>IF([2]Entry!$N$807="","",[2]Entry!$N$807)</f>
        <v/>
      </c>
      <c r="P804">
        <f>IF([2]Entry!$R$807="","",[2]Entry!$R$807)</f>
        <v/>
      </c>
    </row>
    <row r="805">
      <c r="J805">
        <f>IF([2]Entry!$C$808="","",[2]Entry!$C$808)</f>
        <v/>
      </c>
      <c r="K805">
        <f>IF([2]Entry!$D$808="","",[2]Entry!$D$808)</f>
        <v/>
      </c>
      <c r="L805">
        <f>IF([2]Entry!$E$808="","",[2]Entry!$E$808)</f>
        <v/>
      </c>
      <c r="M805">
        <f>IF([2]Entry!$G$808="","",[2]Entry!$G$808)</f>
        <v/>
      </c>
      <c r="N805">
        <f>IF([2]Entry!$M$808="","",[2]Entry!$M$808)</f>
        <v/>
      </c>
      <c r="O805">
        <f>IF([2]Entry!$N$808="","",[2]Entry!$N$808)</f>
        <v/>
      </c>
      <c r="P805">
        <f>IF([2]Entry!$R$808="","",[2]Entry!$R$808)</f>
        <v/>
      </c>
    </row>
    <row r="806">
      <c r="J806">
        <f>IF([2]Entry!$C$809="","",[2]Entry!$C$809)</f>
        <v/>
      </c>
      <c r="K806">
        <f>IF([2]Entry!$D$809="","",[2]Entry!$D$809)</f>
        <v/>
      </c>
      <c r="L806">
        <f>IF([2]Entry!$E$809="","",[2]Entry!$E$809)</f>
        <v/>
      </c>
      <c r="M806">
        <f>IF([2]Entry!$G$809="","",[2]Entry!$G$809)</f>
        <v/>
      </c>
      <c r="N806">
        <f>IF([2]Entry!$M$809="","",[2]Entry!$M$809)</f>
        <v/>
      </c>
      <c r="O806">
        <f>IF([2]Entry!$N$809="","",[2]Entry!$N$809)</f>
        <v/>
      </c>
      <c r="P806">
        <f>IF([2]Entry!$R$809="","",[2]Entry!$R$809)</f>
        <v/>
      </c>
    </row>
    <row r="807">
      <c r="J807">
        <f>IF([2]Entry!$C$810="","",[2]Entry!$C$810)</f>
        <v/>
      </c>
      <c r="K807">
        <f>IF([2]Entry!$D$810="","",[2]Entry!$D$810)</f>
        <v/>
      </c>
      <c r="L807">
        <f>IF([2]Entry!$E$810="","",[2]Entry!$E$810)</f>
        <v/>
      </c>
      <c r="M807">
        <f>IF([2]Entry!$G$810="","",[2]Entry!$G$810)</f>
        <v/>
      </c>
      <c r="N807">
        <f>IF([2]Entry!$M$810="","",[2]Entry!$M$810)</f>
        <v/>
      </c>
      <c r="O807">
        <f>IF([2]Entry!$N$810="","",[2]Entry!$N$810)</f>
        <v/>
      </c>
      <c r="P807">
        <f>IF([2]Entry!$R$810="","",[2]Entry!$R$810)</f>
        <v/>
      </c>
    </row>
    <row r="808">
      <c r="J808">
        <f>IF([2]Entry!$C$811="","",[2]Entry!$C$811)</f>
        <v/>
      </c>
      <c r="K808">
        <f>IF([2]Entry!$D$811="","",[2]Entry!$D$811)</f>
        <v/>
      </c>
      <c r="L808">
        <f>IF([2]Entry!$E$811="","",[2]Entry!$E$811)</f>
        <v/>
      </c>
      <c r="M808">
        <f>IF([2]Entry!$G$811="","",[2]Entry!$G$811)</f>
        <v/>
      </c>
      <c r="N808">
        <f>IF([2]Entry!$M$811="","",[2]Entry!$M$811)</f>
        <v/>
      </c>
      <c r="O808">
        <f>IF([2]Entry!$N$811="","",[2]Entry!$N$811)</f>
        <v/>
      </c>
      <c r="P808">
        <f>IF([2]Entry!$R$811="","",[2]Entry!$R$811)</f>
        <v/>
      </c>
    </row>
    <row r="809">
      <c r="J809">
        <f>IF([2]Entry!$C$812="","",[2]Entry!$C$812)</f>
        <v/>
      </c>
      <c r="K809">
        <f>IF([2]Entry!$D$812="","",[2]Entry!$D$812)</f>
        <v/>
      </c>
      <c r="L809">
        <f>IF([2]Entry!$E$812="","",[2]Entry!$E$812)</f>
        <v/>
      </c>
      <c r="M809">
        <f>IF([2]Entry!$G$812="","",[2]Entry!$G$812)</f>
        <v/>
      </c>
      <c r="N809">
        <f>IF([2]Entry!$M$812="","",[2]Entry!$M$812)</f>
        <v/>
      </c>
      <c r="O809">
        <f>IF([2]Entry!$N$812="","",[2]Entry!$N$812)</f>
        <v/>
      </c>
      <c r="P809">
        <f>IF([2]Entry!$R$812="","",[2]Entry!$R$812)</f>
        <v/>
      </c>
    </row>
    <row r="810">
      <c r="J810">
        <f>IF([2]Entry!$C$813="","",[2]Entry!$C$813)</f>
        <v/>
      </c>
      <c r="K810">
        <f>IF([2]Entry!$D$813="","",[2]Entry!$D$813)</f>
        <v/>
      </c>
      <c r="L810">
        <f>IF([2]Entry!$E$813="","",[2]Entry!$E$813)</f>
        <v/>
      </c>
      <c r="M810">
        <f>IF([2]Entry!$G$813="","",[2]Entry!$G$813)</f>
        <v/>
      </c>
      <c r="N810">
        <f>IF([2]Entry!$M$813="","",[2]Entry!$M$813)</f>
        <v/>
      </c>
      <c r="O810">
        <f>IF([2]Entry!$N$813="","",[2]Entry!$N$813)</f>
        <v/>
      </c>
      <c r="P810">
        <f>IF([2]Entry!$R$813="","",[2]Entry!$R$813)</f>
        <v/>
      </c>
    </row>
    <row r="811">
      <c r="J811">
        <f>IF([2]Entry!$C$814="","",[2]Entry!$C$814)</f>
        <v/>
      </c>
      <c r="K811">
        <f>IF([2]Entry!$D$814="","",[2]Entry!$D$814)</f>
        <v/>
      </c>
      <c r="L811">
        <f>IF([2]Entry!$E$814="","",[2]Entry!$E$814)</f>
        <v/>
      </c>
      <c r="M811">
        <f>IF([2]Entry!$G$814="","",[2]Entry!$G$814)</f>
        <v/>
      </c>
      <c r="N811">
        <f>IF([2]Entry!$M$814="","",[2]Entry!$M$814)</f>
        <v/>
      </c>
      <c r="O811">
        <f>IF([2]Entry!$N$814="","",[2]Entry!$N$814)</f>
        <v/>
      </c>
      <c r="P811">
        <f>IF([2]Entry!$R$814="","",[2]Entry!$R$814)</f>
        <v/>
      </c>
    </row>
    <row r="812">
      <c r="J812">
        <f>IF([2]Entry!$C$815="","",[2]Entry!$C$815)</f>
        <v/>
      </c>
      <c r="K812">
        <f>IF([2]Entry!$D$815="","",[2]Entry!$D$815)</f>
        <v/>
      </c>
      <c r="L812">
        <f>IF([2]Entry!$E$815="","",[2]Entry!$E$815)</f>
        <v/>
      </c>
      <c r="M812">
        <f>IF([2]Entry!$G$815="","",[2]Entry!$G$815)</f>
        <v/>
      </c>
      <c r="N812">
        <f>IF([2]Entry!$M$815="","",[2]Entry!$M$815)</f>
        <v/>
      </c>
      <c r="O812">
        <f>IF([2]Entry!$N$815="","",[2]Entry!$N$815)</f>
        <v/>
      </c>
      <c r="P812">
        <f>IF([2]Entry!$R$815="","",[2]Entry!$R$815)</f>
        <v/>
      </c>
    </row>
    <row r="813">
      <c r="J813">
        <f>IF([2]Entry!$C$816="","",[2]Entry!$C$816)</f>
        <v/>
      </c>
      <c r="K813">
        <f>IF([2]Entry!$D$816="","",[2]Entry!$D$816)</f>
        <v/>
      </c>
      <c r="L813">
        <f>IF([2]Entry!$E$816="","",[2]Entry!$E$816)</f>
        <v/>
      </c>
      <c r="M813">
        <f>IF([2]Entry!$G$816="","",[2]Entry!$G$816)</f>
        <v/>
      </c>
      <c r="N813">
        <f>IF([2]Entry!$M$816="","",[2]Entry!$M$816)</f>
        <v/>
      </c>
      <c r="O813">
        <f>IF([2]Entry!$N$816="","",[2]Entry!$N$816)</f>
        <v/>
      </c>
      <c r="P813">
        <f>IF([2]Entry!$R$816="","",[2]Entry!$R$816)</f>
        <v/>
      </c>
    </row>
    <row r="814">
      <c r="J814">
        <f>IF([2]Entry!$C$817="","",[2]Entry!$C$817)</f>
        <v/>
      </c>
      <c r="K814">
        <f>IF([2]Entry!$D$817="","",[2]Entry!$D$817)</f>
        <v/>
      </c>
      <c r="L814">
        <f>IF([2]Entry!$E$817="","",[2]Entry!$E$817)</f>
        <v/>
      </c>
      <c r="M814">
        <f>IF([2]Entry!$G$817="","",[2]Entry!$G$817)</f>
        <v/>
      </c>
      <c r="N814">
        <f>IF([2]Entry!$M$817="","",[2]Entry!$M$817)</f>
        <v/>
      </c>
      <c r="O814">
        <f>IF([2]Entry!$N$817="","",[2]Entry!$N$817)</f>
        <v/>
      </c>
      <c r="P814">
        <f>IF([2]Entry!$R$817="","",[2]Entry!$R$817)</f>
        <v/>
      </c>
    </row>
    <row r="815">
      <c r="J815">
        <f>IF([2]Entry!$C$818="","",[2]Entry!$C$818)</f>
        <v/>
      </c>
      <c r="K815">
        <f>IF([2]Entry!$D$818="","",[2]Entry!$D$818)</f>
        <v/>
      </c>
      <c r="L815">
        <f>IF([2]Entry!$E$818="","",[2]Entry!$E$818)</f>
        <v/>
      </c>
      <c r="M815">
        <f>IF([2]Entry!$G$818="","",[2]Entry!$G$818)</f>
        <v/>
      </c>
      <c r="N815">
        <f>IF([2]Entry!$M$818="","",[2]Entry!$M$818)</f>
        <v/>
      </c>
      <c r="O815">
        <f>IF([2]Entry!$N$818="","",[2]Entry!$N$818)</f>
        <v/>
      </c>
      <c r="P815">
        <f>IF([2]Entry!$R$818="","",[2]Entry!$R$818)</f>
        <v/>
      </c>
    </row>
    <row r="816">
      <c r="J816">
        <f>IF([2]Entry!$C$819="","",[2]Entry!$C$819)</f>
        <v/>
      </c>
      <c r="K816">
        <f>IF([2]Entry!$D$819="","",[2]Entry!$D$819)</f>
        <v/>
      </c>
      <c r="L816">
        <f>IF([2]Entry!$E$819="","",[2]Entry!$E$819)</f>
        <v/>
      </c>
      <c r="M816">
        <f>IF([2]Entry!$G$819="","",[2]Entry!$G$819)</f>
        <v/>
      </c>
      <c r="N816">
        <f>IF([2]Entry!$M$819="","",[2]Entry!$M$819)</f>
        <v/>
      </c>
      <c r="O816">
        <f>IF([2]Entry!$N$819="","",[2]Entry!$N$819)</f>
        <v/>
      </c>
      <c r="P816">
        <f>IF([2]Entry!$R$819="","",[2]Entry!$R$819)</f>
        <v/>
      </c>
    </row>
    <row r="817">
      <c r="J817">
        <f>IF([2]Entry!$C$820="","",[2]Entry!$C$820)</f>
        <v/>
      </c>
      <c r="K817">
        <f>IF([2]Entry!$D$820="","",[2]Entry!$D$820)</f>
        <v/>
      </c>
      <c r="L817">
        <f>IF([2]Entry!$E$820="","",[2]Entry!$E$820)</f>
        <v/>
      </c>
      <c r="M817">
        <f>IF([2]Entry!$G$820="","",[2]Entry!$G$820)</f>
        <v/>
      </c>
      <c r="N817">
        <f>IF([2]Entry!$M$820="","",[2]Entry!$M$820)</f>
        <v/>
      </c>
      <c r="O817">
        <f>IF([2]Entry!$N$820="","",[2]Entry!$N$820)</f>
        <v/>
      </c>
      <c r="P817">
        <f>IF([2]Entry!$R$820="","",[2]Entry!$R$820)</f>
        <v/>
      </c>
    </row>
    <row r="818">
      <c r="J818">
        <f>IF([2]Entry!$C$821="","",[2]Entry!$C$821)</f>
        <v/>
      </c>
      <c r="K818">
        <f>IF([2]Entry!$D$821="","",[2]Entry!$D$821)</f>
        <v/>
      </c>
      <c r="L818">
        <f>IF([2]Entry!$E$821="","",[2]Entry!$E$821)</f>
        <v/>
      </c>
      <c r="M818">
        <f>IF([2]Entry!$G$821="","",[2]Entry!$G$821)</f>
        <v/>
      </c>
      <c r="N818">
        <f>IF([2]Entry!$M$821="","",[2]Entry!$M$821)</f>
        <v/>
      </c>
      <c r="O818">
        <f>IF([2]Entry!$N$821="","",[2]Entry!$N$821)</f>
        <v/>
      </c>
      <c r="P818">
        <f>IF([2]Entry!$R$821="","",[2]Entry!$R$821)</f>
        <v/>
      </c>
    </row>
    <row r="819">
      <c r="J819">
        <f>IF([2]Entry!$C$822="","",[2]Entry!$C$822)</f>
        <v/>
      </c>
      <c r="K819">
        <f>IF([2]Entry!$D$822="","",[2]Entry!$D$822)</f>
        <v/>
      </c>
      <c r="L819">
        <f>IF([2]Entry!$E$822="","",[2]Entry!$E$822)</f>
        <v/>
      </c>
      <c r="M819">
        <f>IF([2]Entry!$G$822="","",[2]Entry!$G$822)</f>
        <v/>
      </c>
      <c r="N819">
        <f>IF([2]Entry!$M$822="","",[2]Entry!$M$822)</f>
        <v/>
      </c>
      <c r="O819">
        <f>IF([2]Entry!$N$822="","",[2]Entry!$N$822)</f>
        <v/>
      </c>
      <c r="P819">
        <f>IF([2]Entry!$R$822="","",[2]Entry!$R$822)</f>
        <v/>
      </c>
    </row>
    <row r="820">
      <c r="J820">
        <f>IF([2]Entry!$C$823="","",[2]Entry!$C$823)</f>
        <v/>
      </c>
      <c r="K820">
        <f>IF([2]Entry!$D$823="","",[2]Entry!$D$823)</f>
        <v/>
      </c>
      <c r="L820">
        <f>IF([2]Entry!$E$823="","",[2]Entry!$E$823)</f>
        <v/>
      </c>
      <c r="M820">
        <f>IF([2]Entry!$G$823="","",[2]Entry!$G$823)</f>
        <v/>
      </c>
      <c r="N820">
        <f>IF([2]Entry!$M$823="","",[2]Entry!$M$823)</f>
        <v/>
      </c>
      <c r="O820">
        <f>IF([2]Entry!$N$823="","",[2]Entry!$N$823)</f>
        <v/>
      </c>
      <c r="P820">
        <f>IF([2]Entry!$R$823="","",[2]Entry!$R$823)</f>
        <v/>
      </c>
    </row>
    <row r="821">
      <c r="J821">
        <f>IF([2]Entry!$C$824="","",[2]Entry!$C$824)</f>
        <v/>
      </c>
      <c r="K821">
        <f>IF([2]Entry!$D$824="","",[2]Entry!$D$824)</f>
        <v/>
      </c>
      <c r="L821">
        <f>IF([2]Entry!$E$824="","",[2]Entry!$E$824)</f>
        <v/>
      </c>
      <c r="M821">
        <f>IF([2]Entry!$G$824="","",[2]Entry!$G$824)</f>
        <v/>
      </c>
      <c r="N821">
        <f>IF([2]Entry!$M$824="","",[2]Entry!$M$824)</f>
        <v/>
      </c>
      <c r="O821">
        <f>IF([2]Entry!$N$824="","",[2]Entry!$N$824)</f>
        <v/>
      </c>
      <c r="P821">
        <f>IF([2]Entry!$R$824="","",[2]Entry!$R$824)</f>
        <v/>
      </c>
    </row>
    <row r="822">
      <c r="J822">
        <f>IF([2]Entry!$C$825="","",[2]Entry!$C$825)</f>
        <v/>
      </c>
      <c r="K822">
        <f>IF([2]Entry!$D$825="","",[2]Entry!$D$825)</f>
        <v/>
      </c>
      <c r="L822">
        <f>IF([2]Entry!$E$825="","",[2]Entry!$E$825)</f>
        <v/>
      </c>
      <c r="M822">
        <f>IF([2]Entry!$G$825="","",[2]Entry!$G$825)</f>
        <v/>
      </c>
      <c r="N822">
        <f>IF([2]Entry!$M$825="","",[2]Entry!$M$825)</f>
        <v/>
      </c>
      <c r="O822">
        <f>IF([2]Entry!$N$825="","",[2]Entry!$N$825)</f>
        <v/>
      </c>
      <c r="P822">
        <f>IF([2]Entry!$R$825="","",[2]Entry!$R$825)</f>
        <v/>
      </c>
    </row>
    <row r="823">
      <c r="J823">
        <f>IF([2]Entry!$C$826="","",[2]Entry!$C$826)</f>
        <v/>
      </c>
      <c r="K823">
        <f>IF([2]Entry!$D$826="","",[2]Entry!$D$826)</f>
        <v/>
      </c>
      <c r="L823">
        <f>IF([2]Entry!$E$826="","",[2]Entry!$E$826)</f>
        <v/>
      </c>
      <c r="M823">
        <f>IF([2]Entry!$G$826="","",[2]Entry!$G$826)</f>
        <v/>
      </c>
      <c r="N823">
        <f>IF([2]Entry!$M$826="","",[2]Entry!$M$826)</f>
        <v/>
      </c>
      <c r="O823">
        <f>IF([2]Entry!$N$826="","",[2]Entry!$N$826)</f>
        <v/>
      </c>
      <c r="P823">
        <f>IF([2]Entry!$R$826="","",[2]Entry!$R$826)</f>
        <v/>
      </c>
    </row>
    <row r="824">
      <c r="J824">
        <f>IF([2]Entry!$C$827="","",[2]Entry!$C$827)</f>
        <v/>
      </c>
      <c r="K824">
        <f>IF([2]Entry!$D$827="","",[2]Entry!$D$827)</f>
        <v/>
      </c>
      <c r="L824">
        <f>IF([2]Entry!$E$827="","",[2]Entry!$E$827)</f>
        <v/>
      </c>
      <c r="M824">
        <f>IF([2]Entry!$G$827="","",[2]Entry!$G$827)</f>
        <v/>
      </c>
      <c r="N824">
        <f>IF([2]Entry!$M$827="","",[2]Entry!$M$827)</f>
        <v/>
      </c>
      <c r="O824">
        <f>IF([2]Entry!$N$827="","",[2]Entry!$N$827)</f>
        <v/>
      </c>
      <c r="P824">
        <f>IF([2]Entry!$R$827="","",[2]Entry!$R$827)</f>
        <v/>
      </c>
    </row>
    <row r="825">
      <c r="J825">
        <f>IF([2]Entry!$C$828="","",[2]Entry!$C$828)</f>
        <v/>
      </c>
      <c r="K825">
        <f>IF([2]Entry!$D$828="","",[2]Entry!$D$828)</f>
        <v/>
      </c>
      <c r="L825">
        <f>IF([2]Entry!$E$828="","",[2]Entry!$E$828)</f>
        <v/>
      </c>
      <c r="M825">
        <f>IF([2]Entry!$G$828="","",[2]Entry!$G$828)</f>
        <v/>
      </c>
      <c r="N825">
        <f>IF([2]Entry!$M$828="","",[2]Entry!$M$828)</f>
        <v/>
      </c>
      <c r="O825">
        <f>IF([2]Entry!$N$828="","",[2]Entry!$N$828)</f>
        <v/>
      </c>
      <c r="P825">
        <f>IF([2]Entry!$R$828="","",[2]Entry!$R$828)</f>
        <v/>
      </c>
    </row>
    <row r="826">
      <c r="J826">
        <f>IF([2]Entry!$C$829="","",[2]Entry!$C$829)</f>
        <v/>
      </c>
      <c r="K826">
        <f>IF([2]Entry!$D$829="","",[2]Entry!$D$829)</f>
        <v/>
      </c>
      <c r="L826">
        <f>IF([2]Entry!$E$829="","",[2]Entry!$E$829)</f>
        <v/>
      </c>
      <c r="M826">
        <f>IF([2]Entry!$G$829="","",[2]Entry!$G$829)</f>
        <v/>
      </c>
      <c r="N826">
        <f>IF([2]Entry!$M$829="","",[2]Entry!$M$829)</f>
        <v/>
      </c>
      <c r="O826">
        <f>IF([2]Entry!$N$829="","",[2]Entry!$N$829)</f>
        <v/>
      </c>
      <c r="P826">
        <f>IF([2]Entry!$R$829="","",[2]Entry!$R$829)</f>
        <v/>
      </c>
    </row>
    <row r="827">
      <c r="J827">
        <f>IF([2]Entry!$C$830="","",[2]Entry!$C$830)</f>
        <v/>
      </c>
      <c r="K827">
        <f>IF([2]Entry!$D$830="","",[2]Entry!$D$830)</f>
        <v/>
      </c>
      <c r="L827">
        <f>IF([2]Entry!$E$830="","",[2]Entry!$E$830)</f>
        <v/>
      </c>
      <c r="M827">
        <f>IF([2]Entry!$G$830="","",[2]Entry!$G$830)</f>
        <v/>
      </c>
      <c r="N827">
        <f>IF([2]Entry!$M$830="","",[2]Entry!$M$830)</f>
        <v/>
      </c>
      <c r="O827">
        <f>IF([2]Entry!$N$830="","",[2]Entry!$N$830)</f>
        <v/>
      </c>
      <c r="P827">
        <f>IF([2]Entry!$R$830="","",[2]Entry!$R$830)</f>
        <v/>
      </c>
    </row>
    <row r="828">
      <c r="J828">
        <f>IF([2]Entry!$C$831="","",[2]Entry!$C$831)</f>
        <v/>
      </c>
      <c r="K828">
        <f>IF([2]Entry!$D$831="","",[2]Entry!$D$831)</f>
        <v/>
      </c>
      <c r="L828">
        <f>IF([2]Entry!$E$831="","",[2]Entry!$E$831)</f>
        <v/>
      </c>
      <c r="M828">
        <f>IF([2]Entry!$G$831="","",[2]Entry!$G$831)</f>
        <v/>
      </c>
      <c r="N828">
        <f>IF([2]Entry!$M$831="","",[2]Entry!$M$831)</f>
        <v/>
      </c>
      <c r="O828">
        <f>IF([2]Entry!$N$831="","",[2]Entry!$N$831)</f>
        <v/>
      </c>
      <c r="P828">
        <f>IF([2]Entry!$R$831="","",[2]Entry!$R$831)</f>
        <v/>
      </c>
    </row>
    <row r="829">
      <c r="J829">
        <f>IF([2]Entry!$C$832="","",[2]Entry!$C$832)</f>
        <v/>
      </c>
      <c r="K829">
        <f>IF([2]Entry!$D$832="","",[2]Entry!$D$832)</f>
        <v/>
      </c>
      <c r="L829">
        <f>IF([2]Entry!$E$832="","",[2]Entry!$E$832)</f>
        <v/>
      </c>
      <c r="M829">
        <f>IF([2]Entry!$G$832="","",[2]Entry!$G$832)</f>
        <v/>
      </c>
      <c r="N829">
        <f>IF([2]Entry!$M$832="","",[2]Entry!$M$832)</f>
        <v/>
      </c>
      <c r="O829">
        <f>IF([2]Entry!$N$832="","",[2]Entry!$N$832)</f>
        <v/>
      </c>
      <c r="P829">
        <f>IF([2]Entry!$R$832="","",[2]Entry!$R$832)</f>
        <v/>
      </c>
    </row>
    <row r="830">
      <c r="J830">
        <f>IF([2]Entry!$C$833="","",[2]Entry!$C$833)</f>
        <v/>
      </c>
      <c r="K830">
        <f>IF([2]Entry!$D$833="","",[2]Entry!$D$833)</f>
        <v/>
      </c>
      <c r="L830">
        <f>IF([2]Entry!$E$833="","",[2]Entry!$E$833)</f>
        <v/>
      </c>
      <c r="M830">
        <f>IF([2]Entry!$G$833="","",[2]Entry!$G$833)</f>
        <v/>
      </c>
      <c r="N830">
        <f>IF([2]Entry!$M$833="","",[2]Entry!$M$833)</f>
        <v/>
      </c>
      <c r="O830">
        <f>IF([2]Entry!$N$833="","",[2]Entry!$N$833)</f>
        <v/>
      </c>
      <c r="P830">
        <f>IF([2]Entry!$R$833="","",[2]Entry!$R$833)</f>
        <v/>
      </c>
    </row>
    <row r="831">
      <c r="J831">
        <f>IF([2]Entry!$C$834="","",[2]Entry!$C$834)</f>
        <v/>
      </c>
      <c r="K831">
        <f>IF([2]Entry!$D$834="","",[2]Entry!$D$834)</f>
        <v/>
      </c>
      <c r="L831">
        <f>IF([2]Entry!$E$834="","",[2]Entry!$E$834)</f>
        <v/>
      </c>
      <c r="M831">
        <f>IF([2]Entry!$G$834="","",[2]Entry!$G$834)</f>
        <v/>
      </c>
      <c r="N831">
        <f>IF([2]Entry!$M$834="","",[2]Entry!$M$834)</f>
        <v/>
      </c>
      <c r="O831">
        <f>IF([2]Entry!$N$834="","",[2]Entry!$N$834)</f>
        <v/>
      </c>
      <c r="P831">
        <f>IF([2]Entry!$R$834="","",[2]Entry!$R$834)</f>
        <v/>
      </c>
    </row>
    <row r="832">
      <c r="J832">
        <f>IF([2]Entry!$C$835="","",[2]Entry!$C$835)</f>
        <v/>
      </c>
      <c r="K832">
        <f>IF([2]Entry!$D$835="","",[2]Entry!$D$835)</f>
        <v/>
      </c>
      <c r="L832">
        <f>IF([2]Entry!$E$835="","",[2]Entry!$E$835)</f>
        <v/>
      </c>
      <c r="M832">
        <f>IF([2]Entry!$G$835="","",[2]Entry!$G$835)</f>
        <v/>
      </c>
      <c r="N832">
        <f>IF([2]Entry!$M$835="","",[2]Entry!$M$835)</f>
        <v/>
      </c>
      <c r="O832">
        <f>IF([2]Entry!$N$835="","",[2]Entry!$N$835)</f>
        <v/>
      </c>
      <c r="P832">
        <f>IF([2]Entry!$R$835="","",[2]Entry!$R$835)</f>
        <v/>
      </c>
    </row>
    <row r="833">
      <c r="J833">
        <f>IF([2]Entry!$C$836="","",[2]Entry!$C$836)</f>
        <v/>
      </c>
      <c r="K833">
        <f>IF([2]Entry!$D$836="","",[2]Entry!$D$836)</f>
        <v/>
      </c>
      <c r="L833">
        <f>IF([2]Entry!$E$836="","",[2]Entry!$E$836)</f>
        <v/>
      </c>
      <c r="M833">
        <f>IF([2]Entry!$G$836="","",[2]Entry!$G$836)</f>
        <v/>
      </c>
      <c r="N833">
        <f>IF([2]Entry!$M$836="","",[2]Entry!$M$836)</f>
        <v/>
      </c>
      <c r="O833">
        <f>IF([2]Entry!$N$836="","",[2]Entry!$N$836)</f>
        <v/>
      </c>
      <c r="P833">
        <f>IF([2]Entry!$R$836="","",[2]Entry!$R$836)</f>
        <v/>
      </c>
    </row>
    <row r="834">
      <c r="J834">
        <f>IF([2]Entry!$C$837="","",[2]Entry!$C$837)</f>
        <v/>
      </c>
      <c r="K834">
        <f>IF([2]Entry!$D$837="","",[2]Entry!$D$837)</f>
        <v/>
      </c>
      <c r="L834">
        <f>IF([2]Entry!$E$837="","",[2]Entry!$E$837)</f>
        <v/>
      </c>
      <c r="M834">
        <f>IF([2]Entry!$G$837="","",[2]Entry!$G$837)</f>
        <v/>
      </c>
      <c r="N834">
        <f>IF([2]Entry!$M$837="","",[2]Entry!$M$837)</f>
        <v/>
      </c>
      <c r="O834">
        <f>IF([2]Entry!$N$837="","",[2]Entry!$N$837)</f>
        <v/>
      </c>
      <c r="P834">
        <f>IF([2]Entry!$R$837="","",[2]Entry!$R$837)</f>
        <v/>
      </c>
    </row>
    <row r="835">
      <c r="J835">
        <f>IF([2]Entry!$C$838="","",[2]Entry!$C$838)</f>
        <v/>
      </c>
      <c r="K835">
        <f>IF([2]Entry!$D$838="","",[2]Entry!$D$838)</f>
        <v/>
      </c>
      <c r="L835">
        <f>IF([2]Entry!$E$838="","",[2]Entry!$E$838)</f>
        <v/>
      </c>
      <c r="M835">
        <f>IF([2]Entry!$G$838="","",[2]Entry!$G$838)</f>
        <v/>
      </c>
      <c r="N835">
        <f>IF([2]Entry!$M$838="","",[2]Entry!$M$838)</f>
        <v/>
      </c>
      <c r="O835">
        <f>IF([2]Entry!$N$838="","",[2]Entry!$N$838)</f>
        <v/>
      </c>
      <c r="P835">
        <f>IF([2]Entry!$R$838="","",[2]Entry!$R$838)</f>
        <v/>
      </c>
    </row>
    <row r="836">
      <c r="J836">
        <f>IF([2]Entry!$C$839="","",[2]Entry!$C$839)</f>
        <v/>
      </c>
      <c r="K836">
        <f>IF([2]Entry!$D$839="","",[2]Entry!$D$839)</f>
        <v/>
      </c>
      <c r="L836">
        <f>IF([2]Entry!$E$839="","",[2]Entry!$E$839)</f>
        <v/>
      </c>
      <c r="M836">
        <f>IF([2]Entry!$G$839="","",[2]Entry!$G$839)</f>
        <v/>
      </c>
      <c r="N836">
        <f>IF([2]Entry!$M$839="","",[2]Entry!$M$839)</f>
        <v/>
      </c>
      <c r="O836">
        <f>IF([2]Entry!$N$839="","",[2]Entry!$N$839)</f>
        <v/>
      </c>
      <c r="P836">
        <f>IF([2]Entry!$R$839="","",[2]Entry!$R$839)</f>
        <v/>
      </c>
    </row>
    <row r="837">
      <c r="J837">
        <f>IF([2]Entry!$C$840="","",[2]Entry!$C$840)</f>
        <v/>
      </c>
      <c r="K837">
        <f>IF([2]Entry!$D$840="","",[2]Entry!$D$840)</f>
        <v/>
      </c>
      <c r="L837">
        <f>IF([2]Entry!$E$840="","",[2]Entry!$E$840)</f>
        <v/>
      </c>
      <c r="M837">
        <f>IF([2]Entry!$G$840="","",[2]Entry!$G$840)</f>
        <v/>
      </c>
      <c r="N837">
        <f>IF([2]Entry!$M$840="","",[2]Entry!$M$840)</f>
        <v/>
      </c>
      <c r="O837">
        <f>IF([2]Entry!$N$840="","",[2]Entry!$N$840)</f>
        <v/>
      </c>
      <c r="P837">
        <f>IF([2]Entry!$R$840="","",[2]Entry!$R$840)</f>
        <v/>
      </c>
    </row>
    <row r="838">
      <c r="J838">
        <f>IF([2]Entry!$C$841="","",[2]Entry!$C$841)</f>
        <v/>
      </c>
      <c r="K838">
        <f>IF([2]Entry!$D$841="","",[2]Entry!$D$841)</f>
        <v/>
      </c>
      <c r="L838">
        <f>IF([2]Entry!$E$841="","",[2]Entry!$E$841)</f>
        <v/>
      </c>
      <c r="M838">
        <f>IF([2]Entry!$G$841="","",[2]Entry!$G$841)</f>
        <v/>
      </c>
      <c r="N838">
        <f>IF([2]Entry!$M$841="","",[2]Entry!$M$841)</f>
        <v/>
      </c>
      <c r="O838">
        <f>IF([2]Entry!$N$841="","",[2]Entry!$N$841)</f>
        <v/>
      </c>
      <c r="P838">
        <f>IF([2]Entry!$R$841="","",[2]Entry!$R$841)</f>
        <v/>
      </c>
    </row>
    <row r="839">
      <c r="J839">
        <f>IF([2]Entry!$C$842="","",[2]Entry!$C$842)</f>
        <v/>
      </c>
      <c r="K839">
        <f>IF([2]Entry!$D$842="","",[2]Entry!$D$842)</f>
        <v/>
      </c>
      <c r="L839">
        <f>IF([2]Entry!$E$842="","",[2]Entry!$E$842)</f>
        <v/>
      </c>
      <c r="M839">
        <f>IF([2]Entry!$G$842="","",[2]Entry!$G$842)</f>
        <v/>
      </c>
      <c r="N839">
        <f>IF([2]Entry!$M$842="","",[2]Entry!$M$842)</f>
        <v/>
      </c>
      <c r="O839">
        <f>IF([2]Entry!$N$842="","",[2]Entry!$N$842)</f>
        <v/>
      </c>
      <c r="P839">
        <f>IF([2]Entry!$R$842="","",[2]Entry!$R$842)</f>
        <v/>
      </c>
    </row>
    <row r="840">
      <c r="J840">
        <f>IF([2]Entry!$C$843="","",[2]Entry!$C$843)</f>
        <v/>
      </c>
      <c r="K840">
        <f>IF([2]Entry!$D$843="","",[2]Entry!$D$843)</f>
        <v/>
      </c>
      <c r="L840">
        <f>IF([2]Entry!$E$843="","",[2]Entry!$E$843)</f>
        <v/>
      </c>
      <c r="M840">
        <f>IF([2]Entry!$G$843="","",[2]Entry!$G$843)</f>
        <v/>
      </c>
      <c r="N840">
        <f>IF([2]Entry!$M$843="","",[2]Entry!$M$843)</f>
        <v/>
      </c>
      <c r="O840">
        <f>IF([2]Entry!$N$843="","",[2]Entry!$N$843)</f>
        <v/>
      </c>
      <c r="P840">
        <f>IF([2]Entry!$R$843="","",[2]Entry!$R$843)</f>
        <v/>
      </c>
    </row>
    <row r="841">
      <c r="J841">
        <f>IF([2]Entry!$C$844="","",[2]Entry!$C$844)</f>
        <v/>
      </c>
      <c r="K841">
        <f>IF([2]Entry!$D$844="","",[2]Entry!$D$844)</f>
        <v/>
      </c>
      <c r="L841">
        <f>IF([2]Entry!$E$844="","",[2]Entry!$E$844)</f>
        <v/>
      </c>
      <c r="M841">
        <f>IF([2]Entry!$G$844="","",[2]Entry!$G$844)</f>
        <v/>
      </c>
      <c r="N841">
        <f>IF([2]Entry!$M$844="","",[2]Entry!$M$844)</f>
        <v/>
      </c>
      <c r="O841">
        <f>IF([2]Entry!$N$844="","",[2]Entry!$N$844)</f>
        <v/>
      </c>
      <c r="P841">
        <f>IF([2]Entry!$R$844="","",[2]Entry!$R$844)</f>
        <v/>
      </c>
    </row>
    <row r="842">
      <c r="J842">
        <f>IF([2]Entry!$C$845="","",[2]Entry!$C$845)</f>
        <v/>
      </c>
      <c r="K842">
        <f>IF([2]Entry!$D$845="","",[2]Entry!$D$845)</f>
        <v/>
      </c>
      <c r="L842">
        <f>IF([2]Entry!$E$845="","",[2]Entry!$E$845)</f>
        <v/>
      </c>
      <c r="M842">
        <f>IF([2]Entry!$G$845="","",[2]Entry!$G$845)</f>
        <v/>
      </c>
      <c r="N842">
        <f>IF([2]Entry!$M$845="","",[2]Entry!$M$845)</f>
        <v/>
      </c>
      <c r="O842">
        <f>IF([2]Entry!$N$845="","",[2]Entry!$N$845)</f>
        <v/>
      </c>
      <c r="P842">
        <f>IF([2]Entry!$R$845="","",[2]Entry!$R$845)</f>
        <v/>
      </c>
    </row>
    <row r="843">
      <c r="J843">
        <f>IF([2]Entry!$C$846="","",[2]Entry!$C$846)</f>
        <v/>
      </c>
      <c r="K843">
        <f>IF([2]Entry!$D$846="","",[2]Entry!$D$846)</f>
        <v/>
      </c>
      <c r="L843">
        <f>IF([2]Entry!$E$846="","",[2]Entry!$E$846)</f>
        <v/>
      </c>
      <c r="M843">
        <f>IF([2]Entry!$G$846="","",[2]Entry!$G$846)</f>
        <v/>
      </c>
      <c r="N843">
        <f>IF([2]Entry!$M$846="","",[2]Entry!$M$846)</f>
        <v/>
      </c>
      <c r="O843">
        <f>IF([2]Entry!$N$846="","",[2]Entry!$N$846)</f>
        <v/>
      </c>
      <c r="P843">
        <f>IF([2]Entry!$R$846="","",[2]Entry!$R$846)</f>
        <v/>
      </c>
    </row>
    <row r="844">
      <c r="J844">
        <f>IF([2]Entry!$C$847="","",[2]Entry!$C$847)</f>
        <v/>
      </c>
      <c r="K844">
        <f>IF([2]Entry!$D$847="","",[2]Entry!$D$847)</f>
        <v/>
      </c>
      <c r="L844">
        <f>IF([2]Entry!$E$847="","",[2]Entry!$E$847)</f>
        <v/>
      </c>
      <c r="M844">
        <f>IF([2]Entry!$G$847="","",[2]Entry!$G$847)</f>
        <v/>
      </c>
      <c r="N844">
        <f>IF([2]Entry!$M$847="","",[2]Entry!$M$847)</f>
        <v/>
      </c>
      <c r="O844">
        <f>IF([2]Entry!$N$847="","",[2]Entry!$N$847)</f>
        <v/>
      </c>
      <c r="P844">
        <f>IF([2]Entry!$R$847="","",[2]Entry!$R$847)</f>
        <v/>
      </c>
    </row>
    <row r="845">
      <c r="J845">
        <f>IF([2]Entry!$C$848="","",[2]Entry!$C$848)</f>
        <v/>
      </c>
      <c r="K845">
        <f>IF([2]Entry!$D$848="","",[2]Entry!$D$848)</f>
        <v/>
      </c>
      <c r="L845">
        <f>IF([2]Entry!$E$848="","",[2]Entry!$E$848)</f>
        <v/>
      </c>
      <c r="M845">
        <f>IF([2]Entry!$G$848="","",[2]Entry!$G$848)</f>
        <v/>
      </c>
      <c r="N845">
        <f>IF([2]Entry!$M$848="","",[2]Entry!$M$848)</f>
        <v/>
      </c>
      <c r="O845">
        <f>IF([2]Entry!$N$848="","",[2]Entry!$N$848)</f>
        <v/>
      </c>
      <c r="P845">
        <f>IF([2]Entry!$R$848="","",[2]Entry!$R$848)</f>
        <v/>
      </c>
    </row>
    <row r="846">
      <c r="J846">
        <f>IF([2]Entry!$C$849="","",[2]Entry!$C$849)</f>
        <v/>
      </c>
      <c r="K846">
        <f>IF([2]Entry!$D$849="","",[2]Entry!$D$849)</f>
        <v/>
      </c>
      <c r="L846">
        <f>IF([2]Entry!$E$849="","",[2]Entry!$E$849)</f>
        <v/>
      </c>
      <c r="M846">
        <f>IF([2]Entry!$G$849="","",[2]Entry!$G$849)</f>
        <v/>
      </c>
      <c r="N846">
        <f>IF([2]Entry!$M$849="","",[2]Entry!$M$849)</f>
        <v/>
      </c>
      <c r="O846">
        <f>IF([2]Entry!$N$849="","",[2]Entry!$N$849)</f>
        <v/>
      </c>
      <c r="P846">
        <f>IF([2]Entry!$R$849="","",[2]Entry!$R$849)</f>
        <v/>
      </c>
    </row>
    <row r="847">
      <c r="J847">
        <f>IF([2]Entry!$C$850="","",[2]Entry!$C$850)</f>
        <v/>
      </c>
      <c r="K847">
        <f>IF([2]Entry!$D$850="","",[2]Entry!$D$850)</f>
        <v/>
      </c>
      <c r="L847">
        <f>IF([2]Entry!$E$850="","",[2]Entry!$E$850)</f>
        <v/>
      </c>
      <c r="M847">
        <f>IF([2]Entry!$G$850="","",[2]Entry!$G$850)</f>
        <v/>
      </c>
      <c r="N847">
        <f>IF([2]Entry!$M$850="","",[2]Entry!$M$850)</f>
        <v/>
      </c>
      <c r="O847">
        <f>IF([2]Entry!$N$850="","",[2]Entry!$N$850)</f>
        <v/>
      </c>
      <c r="P847">
        <f>IF([2]Entry!$R$850="","",[2]Entry!$R$850)</f>
        <v/>
      </c>
    </row>
    <row r="848">
      <c r="J848">
        <f>IF([2]Entry!$C$851="","",[2]Entry!$C$851)</f>
        <v/>
      </c>
      <c r="K848">
        <f>IF([2]Entry!$D$851="","",[2]Entry!$D$851)</f>
        <v/>
      </c>
      <c r="L848">
        <f>IF([2]Entry!$E$851="","",[2]Entry!$E$851)</f>
        <v/>
      </c>
      <c r="M848">
        <f>IF([2]Entry!$G$851="","",[2]Entry!$G$851)</f>
        <v/>
      </c>
      <c r="N848">
        <f>IF([2]Entry!$M$851="","",[2]Entry!$M$851)</f>
        <v/>
      </c>
      <c r="O848">
        <f>IF([2]Entry!$N$851="","",[2]Entry!$N$851)</f>
        <v/>
      </c>
      <c r="P848">
        <f>IF([2]Entry!$R$851="","",[2]Entry!$R$851)</f>
        <v/>
      </c>
    </row>
    <row r="849">
      <c r="J849">
        <f>IF([2]Entry!$C$852="","",[2]Entry!$C$852)</f>
        <v/>
      </c>
      <c r="K849">
        <f>IF([2]Entry!$D$852="","",[2]Entry!$D$852)</f>
        <v/>
      </c>
      <c r="L849">
        <f>IF([2]Entry!$E$852="","",[2]Entry!$E$852)</f>
        <v/>
      </c>
      <c r="M849">
        <f>IF([2]Entry!$G$852="","",[2]Entry!$G$852)</f>
        <v/>
      </c>
      <c r="N849">
        <f>IF([2]Entry!$M$852="","",[2]Entry!$M$852)</f>
        <v/>
      </c>
      <c r="O849">
        <f>IF([2]Entry!$N$852="","",[2]Entry!$N$852)</f>
        <v/>
      </c>
      <c r="P849">
        <f>IF([2]Entry!$R$852="","",[2]Entry!$R$852)</f>
        <v/>
      </c>
    </row>
    <row r="850">
      <c r="J850">
        <f>IF([2]Entry!$C$853="","",[2]Entry!$C$853)</f>
        <v/>
      </c>
      <c r="K850">
        <f>IF([2]Entry!$D$853="","",[2]Entry!$D$853)</f>
        <v/>
      </c>
      <c r="L850">
        <f>IF([2]Entry!$E$853="","",[2]Entry!$E$853)</f>
        <v/>
      </c>
      <c r="M850">
        <f>IF([2]Entry!$G$853="","",[2]Entry!$G$853)</f>
        <v/>
      </c>
      <c r="N850">
        <f>IF([2]Entry!$M$853="","",[2]Entry!$M$853)</f>
        <v/>
      </c>
      <c r="O850">
        <f>IF([2]Entry!$N$853="","",[2]Entry!$N$853)</f>
        <v/>
      </c>
      <c r="P850">
        <f>IF([2]Entry!$R$853="","",[2]Entry!$R$853)</f>
        <v/>
      </c>
    </row>
    <row r="851">
      <c r="J851">
        <f>IF([2]Entry!$C$854="","",[2]Entry!$C$854)</f>
        <v/>
      </c>
      <c r="K851">
        <f>IF([2]Entry!$D$854="","",[2]Entry!$D$854)</f>
        <v/>
      </c>
      <c r="L851">
        <f>IF([2]Entry!$E$854="","",[2]Entry!$E$854)</f>
        <v/>
      </c>
      <c r="M851">
        <f>IF([2]Entry!$G$854="","",[2]Entry!$G$854)</f>
        <v/>
      </c>
      <c r="N851">
        <f>IF([2]Entry!$M$854="","",[2]Entry!$M$854)</f>
        <v/>
      </c>
      <c r="O851">
        <f>IF([2]Entry!$N$854="","",[2]Entry!$N$854)</f>
        <v/>
      </c>
      <c r="P851">
        <f>IF([2]Entry!$R$854="","",[2]Entry!$R$854)</f>
        <v/>
      </c>
    </row>
    <row r="852">
      <c r="J852">
        <f>IF([2]Entry!$C$855="","",[2]Entry!$C$855)</f>
        <v/>
      </c>
      <c r="K852">
        <f>IF([2]Entry!$D$855="","",[2]Entry!$D$855)</f>
        <v/>
      </c>
      <c r="L852">
        <f>IF([2]Entry!$E$855="","",[2]Entry!$E$855)</f>
        <v/>
      </c>
      <c r="M852">
        <f>IF([2]Entry!$G$855="","",[2]Entry!$G$855)</f>
        <v/>
      </c>
      <c r="N852">
        <f>IF([2]Entry!$M$855="","",[2]Entry!$M$855)</f>
        <v/>
      </c>
      <c r="O852">
        <f>IF([2]Entry!$N$855="","",[2]Entry!$N$855)</f>
        <v/>
      </c>
      <c r="P852">
        <f>IF([2]Entry!$R$855="","",[2]Entry!$R$855)</f>
        <v/>
      </c>
    </row>
    <row r="853">
      <c r="J853">
        <f>IF([2]Entry!$C$856="","",[2]Entry!$C$856)</f>
        <v/>
      </c>
      <c r="K853">
        <f>IF([2]Entry!$D$856="","",[2]Entry!$D$856)</f>
        <v/>
      </c>
      <c r="L853">
        <f>IF([2]Entry!$E$856="","",[2]Entry!$E$856)</f>
        <v/>
      </c>
      <c r="M853">
        <f>IF([2]Entry!$G$856="","",[2]Entry!$G$856)</f>
        <v/>
      </c>
      <c r="N853">
        <f>IF([2]Entry!$M$856="","",[2]Entry!$M$856)</f>
        <v/>
      </c>
      <c r="O853">
        <f>IF([2]Entry!$N$856="","",[2]Entry!$N$856)</f>
        <v/>
      </c>
      <c r="P853">
        <f>IF([2]Entry!$R$856="","",[2]Entry!$R$856)</f>
        <v/>
      </c>
    </row>
    <row r="854">
      <c r="J854">
        <f>IF([2]Entry!$C$857="","",[2]Entry!$C$857)</f>
        <v/>
      </c>
      <c r="K854">
        <f>IF([2]Entry!$D$857="","",[2]Entry!$D$857)</f>
        <v/>
      </c>
      <c r="L854">
        <f>IF([2]Entry!$E$857="","",[2]Entry!$E$857)</f>
        <v/>
      </c>
      <c r="M854">
        <f>IF([2]Entry!$G$857="","",[2]Entry!$G$857)</f>
        <v/>
      </c>
      <c r="N854">
        <f>IF([2]Entry!$M$857="","",[2]Entry!$M$857)</f>
        <v/>
      </c>
      <c r="O854">
        <f>IF([2]Entry!$N$857="","",[2]Entry!$N$857)</f>
        <v/>
      </c>
      <c r="P854">
        <f>IF([2]Entry!$R$857="","",[2]Entry!$R$857)</f>
        <v/>
      </c>
    </row>
    <row r="855">
      <c r="J855">
        <f>IF([2]Entry!$C$858="","",[2]Entry!$C$858)</f>
        <v/>
      </c>
      <c r="K855">
        <f>IF([2]Entry!$D$858="","",[2]Entry!$D$858)</f>
        <v/>
      </c>
      <c r="L855">
        <f>IF([2]Entry!$E$858="","",[2]Entry!$E$858)</f>
        <v/>
      </c>
      <c r="M855">
        <f>IF([2]Entry!$G$858="","",[2]Entry!$G$858)</f>
        <v/>
      </c>
      <c r="N855">
        <f>IF([2]Entry!$M$858="","",[2]Entry!$M$858)</f>
        <v/>
      </c>
      <c r="O855">
        <f>IF([2]Entry!$N$858="","",[2]Entry!$N$858)</f>
        <v/>
      </c>
      <c r="P855">
        <f>IF([2]Entry!$R$858="","",[2]Entry!$R$858)</f>
        <v/>
      </c>
    </row>
    <row r="856">
      <c r="J856">
        <f>IF([2]Entry!$C$859="","",[2]Entry!$C$859)</f>
        <v/>
      </c>
      <c r="K856">
        <f>IF([2]Entry!$D$859="","",[2]Entry!$D$859)</f>
        <v/>
      </c>
      <c r="L856">
        <f>IF([2]Entry!$E$859="","",[2]Entry!$E$859)</f>
        <v/>
      </c>
      <c r="M856">
        <f>IF([2]Entry!$G$859="","",[2]Entry!$G$859)</f>
        <v/>
      </c>
      <c r="N856">
        <f>IF([2]Entry!$M$859="","",[2]Entry!$M$859)</f>
        <v/>
      </c>
      <c r="O856">
        <f>IF([2]Entry!$N$859="","",[2]Entry!$N$859)</f>
        <v/>
      </c>
      <c r="P856">
        <f>IF([2]Entry!$R$859="","",[2]Entry!$R$859)</f>
        <v/>
      </c>
    </row>
    <row r="857">
      <c r="J857">
        <f>IF([2]Entry!$C$860="","",[2]Entry!$C$860)</f>
        <v/>
      </c>
      <c r="K857">
        <f>IF([2]Entry!$D$860="","",[2]Entry!$D$860)</f>
        <v/>
      </c>
      <c r="L857">
        <f>IF([2]Entry!$E$860="","",[2]Entry!$E$860)</f>
        <v/>
      </c>
      <c r="M857">
        <f>IF([2]Entry!$G$860="","",[2]Entry!$G$860)</f>
        <v/>
      </c>
      <c r="N857">
        <f>IF([2]Entry!$M$860="","",[2]Entry!$M$860)</f>
        <v/>
      </c>
      <c r="O857">
        <f>IF([2]Entry!$N$860="","",[2]Entry!$N$860)</f>
        <v/>
      </c>
      <c r="P857">
        <f>IF([2]Entry!$R$860="","",[2]Entry!$R$860)</f>
        <v/>
      </c>
    </row>
    <row r="858">
      <c r="J858">
        <f>IF([2]Entry!$C$861="","",[2]Entry!$C$861)</f>
        <v/>
      </c>
      <c r="K858">
        <f>IF([2]Entry!$D$861="","",[2]Entry!$D$861)</f>
        <v/>
      </c>
      <c r="L858">
        <f>IF([2]Entry!$E$861="","",[2]Entry!$E$861)</f>
        <v/>
      </c>
      <c r="M858">
        <f>IF([2]Entry!$G$861="","",[2]Entry!$G$861)</f>
        <v/>
      </c>
      <c r="N858">
        <f>IF([2]Entry!$M$861="","",[2]Entry!$M$861)</f>
        <v/>
      </c>
      <c r="O858">
        <f>IF([2]Entry!$N$861="","",[2]Entry!$N$861)</f>
        <v/>
      </c>
      <c r="P858">
        <f>IF([2]Entry!$R$861="","",[2]Entry!$R$861)</f>
        <v/>
      </c>
    </row>
    <row r="859">
      <c r="J859">
        <f>IF([2]Entry!$C$862="","",[2]Entry!$C$862)</f>
        <v/>
      </c>
      <c r="K859">
        <f>IF([2]Entry!$D$862="","",[2]Entry!$D$862)</f>
        <v/>
      </c>
      <c r="L859">
        <f>IF([2]Entry!$E$862="","",[2]Entry!$E$862)</f>
        <v/>
      </c>
      <c r="M859">
        <f>IF([2]Entry!$G$862="","",[2]Entry!$G$862)</f>
        <v/>
      </c>
      <c r="N859">
        <f>IF([2]Entry!$M$862="","",[2]Entry!$M$862)</f>
        <v/>
      </c>
      <c r="O859">
        <f>IF([2]Entry!$N$862="","",[2]Entry!$N$862)</f>
        <v/>
      </c>
      <c r="P859">
        <f>IF([2]Entry!$R$862="","",[2]Entry!$R$862)</f>
        <v/>
      </c>
    </row>
    <row r="860">
      <c r="J860">
        <f>IF([2]Entry!$C$863="","",[2]Entry!$C$863)</f>
        <v/>
      </c>
      <c r="K860">
        <f>IF([2]Entry!$D$863="","",[2]Entry!$D$863)</f>
        <v/>
      </c>
      <c r="L860">
        <f>IF([2]Entry!$E$863="","",[2]Entry!$E$863)</f>
        <v/>
      </c>
      <c r="M860">
        <f>IF([2]Entry!$G$863="","",[2]Entry!$G$863)</f>
        <v/>
      </c>
      <c r="N860">
        <f>IF([2]Entry!$M$863="","",[2]Entry!$M$863)</f>
        <v/>
      </c>
      <c r="O860">
        <f>IF([2]Entry!$N$863="","",[2]Entry!$N$863)</f>
        <v/>
      </c>
      <c r="P860">
        <f>IF([2]Entry!$R$863="","",[2]Entry!$R$863)</f>
        <v/>
      </c>
    </row>
    <row r="861">
      <c r="J861">
        <f>IF([2]Entry!$C$864="","",[2]Entry!$C$864)</f>
        <v/>
      </c>
      <c r="K861">
        <f>IF([2]Entry!$D$864="","",[2]Entry!$D$864)</f>
        <v/>
      </c>
      <c r="L861">
        <f>IF([2]Entry!$E$864="","",[2]Entry!$E$864)</f>
        <v/>
      </c>
      <c r="M861">
        <f>IF([2]Entry!$G$864="","",[2]Entry!$G$864)</f>
        <v/>
      </c>
      <c r="N861">
        <f>IF([2]Entry!$M$864="","",[2]Entry!$M$864)</f>
        <v/>
      </c>
      <c r="O861">
        <f>IF([2]Entry!$N$864="","",[2]Entry!$N$864)</f>
        <v/>
      </c>
      <c r="P861">
        <f>IF([2]Entry!$R$864="","",[2]Entry!$R$864)</f>
        <v/>
      </c>
    </row>
    <row r="862">
      <c r="J862">
        <f>IF([2]Entry!$C$865="","",[2]Entry!$C$865)</f>
        <v/>
      </c>
      <c r="K862">
        <f>IF([2]Entry!$D$865="","",[2]Entry!$D$865)</f>
        <v/>
      </c>
      <c r="L862">
        <f>IF([2]Entry!$E$865="","",[2]Entry!$E$865)</f>
        <v/>
      </c>
      <c r="M862">
        <f>IF([2]Entry!$G$865="","",[2]Entry!$G$865)</f>
        <v/>
      </c>
      <c r="N862">
        <f>IF([2]Entry!$M$865="","",[2]Entry!$M$865)</f>
        <v/>
      </c>
      <c r="O862">
        <f>IF([2]Entry!$N$865="","",[2]Entry!$N$865)</f>
        <v/>
      </c>
      <c r="P862">
        <f>IF([2]Entry!$R$865="","",[2]Entry!$R$865)</f>
        <v/>
      </c>
    </row>
    <row r="863">
      <c r="J863">
        <f>IF([2]Entry!$C$866="","",[2]Entry!$C$866)</f>
        <v/>
      </c>
      <c r="K863">
        <f>IF([2]Entry!$D$866="","",[2]Entry!$D$866)</f>
        <v/>
      </c>
      <c r="L863">
        <f>IF([2]Entry!$E$866="","",[2]Entry!$E$866)</f>
        <v/>
      </c>
      <c r="M863">
        <f>IF([2]Entry!$G$866="","",[2]Entry!$G$866)</f>
        <v/>
      </c>
      <c r="N863">
        <f>IF([2]Entry!$M$866="","",[2]Entry!$M$866)</f>
        <v/>
      </c>
      <c r="O863">
        <f>IF([2]Entry!$N$866="","",[2]Entry!$N$866)</f>
        <v/>
      </c>
      <c r="P863">
        <f>IF([2]Entry!$R$866="","",[2]Entry!$R$866)</f>
        <v/>
      </c>
    </row>
    <row r="864">
      <c r="J864">
        <f>IF([2]Entry!$C$867="","",[2]Entry!$C$867)</f>
        <v/>
      </c>
      <c r="K864">
        <f>IF([2]Entry!$D$867="","",[2]Entry!$D$867)</f>
        <v/>
      </c>
      <c r="L864">
        <f>IF([2]Entry!$E$867="","",[2]Entry!$E$867)</f>
        <v/>
      </c>
      <c r="M864">
        <f>IF([2]Entry!$G$867="","",[2]Entry!$G$867)</f>
        <v/>
      </c>
      <c r="N864">
        <f>IF([2]Entry!$M$867="","",[2]Entry!$M$867)</f>
        <v/>
      </c>
      <c r="O864">
        <f>IF([2]Entry!$N$867="","",[2]Entry!$N$867)</f>
        <v/>
      </c>
      <c r="P864">
        <f>IF([2]Entry!$R$867="","",[2]Entry!$R$867)</f>
        <v/>
      </c>
    </row>
    <row r="865">
      <c r="J865">
        <f>IF([2]Entry!$C$868="","",[2]Entry!$C$868)</f>
        <v/>
      </c>
      <c r="K865">
        <f>IF([2]Entry!$D$868="","",[2]Entry!$D$868)</f>
        <v/>
      </c>
      <c r="L865">
        <f>IF([2]Entry!$E$868="","",[2]Entry!$E$868)</f>
        <v/>
      </c>
      <c r="M865">
        <f>IF([2]Entry!$G$868="","",[2]Entry!$G$868)</f>
        <v/>
      </c>
      <c r="N865">
        <f>IF([2]Entry!$M$868="","",[2]Entry!$M$868)</f>
        <v/>
      </c>
      <c r="O865">
        <f>IF([2]Entry!$N$868="","",[2]Entry!$N$868)</f>
        <v/>
      </c>
      <c r="P865">
        <f>IF([2]Entry!$R$868="","",[2]Entry!$R$868)</f>
        <v/>
      </c>
    </row>
    <row r="866">
      <c r="J866">
        <f>IF([2]Entry!$C$869="","",[2]Entry!$C$869)</f>
        <v/>
      </c>
      <c r="K866">
        <f>IF([2]Entry!$D$869="","",[2]Entry!$D$869)</f>
        <v/>
      </c>
      <c r="L866">
        <f>IF([2]Entry!$E$869="","",[2]Entry!$E$869)</f>
        <v/>
      </c>
      <c r="M866">
        <f>IF([2]Entry!$G$869="","",[2]Entry!$G$869)</f>
        <v/>
      </c>
      <c r="N866">
        <f>IF([2]Entry!$M$869="","",[2]Entry!$M$869)</f>
        <v/>
      </c>
      <c r="O866">
        <f>IF([2]Entry!$N$869="","",[2]Entry!$N$869)</f>
        <v/>
      </c>
      <c r="P866">
        <f>IF([2]Entry!$R$869="","",[2]Entry!$R$869)</f>
        <v/>
      </c>
    </row>
    <row r="867">
      <c r="J867">
        <f>IF([2]Entry!$C$870="","",[2]Entry!$C$870)</f>
        <v/>
      </c>
      <c r="K867">
        <f>IF([2]Entry!$D$870="","",[2]Entry!$D$870)</f>
        <v/>
      </c>
      <c r="L867">
        <f>IF([2]Entry!$E$870="","",[2]Entry!$E$870)</f>
        <v/>
      </c>
      <c r="M867">
        <f>IF([2]Entry!$G$870="","",[2]Entry!$G$870)</f>
        <v/>
      </c>
      <c r="N867">
        <f>IF([2]Entry!$M$870="","",[2]Entry!$M$870)</f>
        <v/>
      </c>
      <c r="O867">
        <f>IF([2]Entry!$N$870="","",[2]Entry!$N$870)</f>
        <v/>
      </c>
      <c r="P867">
        <f>IF([2]Entry!$R$870="","",[2]Entry!$R$870)</f>
        <v/>
      </c>
    </row>
    <row r="868">
      <c r="J868">
        <f>IF([2]Entry!$C$871="","",[2]Entry!$C$871)</f>
        <v/>
      </c>
      <c r="K868">
        <f>IF([2]Entry!$D$871="","",[2]Entry!$D$871)</f>
        <v/>
      </c>
      <c r="L868">
        <f>IF([2]Entry!$E$871="","",[2]Entry!$E$871)</f>
        <v/>
      </c>
      <c r="M868">
        <f>IF([2]Entry!$G$871="","",[2]Entry!$G$871)</f>
        <v/>
      </c>
      <c r="N868">
        <f>IF([2]Entry!$M$871="","",[2]Entry!$M$871)</f>
        <v/>
      </c>
      <c r="O868">
        <f>IF([2]Entry!$N$871="","",[2]Entry!$N$871)</f>
        <v/>
      </c>
      <c r="P868">
        <f>IF([2]Entry!$R$871="","",[2]Entry!$R$871)</f>
        <v/>
      </c>
    </row>
    <row r="869">
      <c r="J869">
        <f>IF([2]Entry!$C$872="","",[2]Entry!$C$872)</f>
        <v/>
      </c>
      <c r="K869">
        <f>IF([2]Entry!$D$872="","",[2]Entry!$D$872)</f>
        <v/>
      </c>
      <c r="L869">
        <f>IF([2]Entry!$E$872="","",[2]Entry!$E$872)</f>
        <v/>
      </c>
      <c r="M869">
        <f>IF([2]Entry!$G$872="","",[2]Entry!$G$872)</f>
        <v/>
      </c>
      <c r="N869">
        <f>IF([2]Entry!$M$872="","",[2]Entry!$M$872)</f>
        <v/>
      </c>
      <c r="O869">
        <f>IF([2]Entry!$N$872="","",[2]Entry!$N$872)</f>
        <v/>
      </c>
      <c r="P869">
        <f>IF([2]Entry!$R$872="","",[2]Entry!$R$872)</f>
        <v/>
      </c>
    </row>
    <row r="870">
      <c r="J870">
        <f>IF([2]Entry!$C$873="","",[2]Entry!$C$873)</f>
        <v/>
      </c>
      <c r="K870">
        <f>IF([2]Entry!$D$873="","",[2]Entry!$D$873)</f>
        <v/>
      </c>
      <c r="L870">
        <f>IF([2]Entry!$E$873="","",[2]Entry!$E$873)</f>
        <v/>
      </c>
      <c r="M870">
        <f>IF([2]Entry!$G$873="","",[2]Entry!$G$873)</f>
        <v/>
      </c>
      <c r="N870">
        <f>IF([2]Entry!$M$873="","",[2]Entry!$M$873)</f>
        <v/>
      </c>
      <c r="O870">
        <f>IF([2]Entry!$N$873="","",[2]Entry!$N$873)</f>
        <v/>
      </c>
      <c r="P870">
        <f>IF([2]Entry!$R$873="","",[2]Entry!$R$873)</f>
        <v/>
      </c>
    </row>
    <row r="871">
      <c r="J871">
        <f>IF([2]Entry!$C$874="","",[2]Entry!$C$874)</f>
        <v/>
      </c>
      <c r="K871">
        <f>IF([2]Entry!$D$874="","",[2]Entry!$D$874)</f>
        <v/>
      </c>
      <c r="L871">
        <f>IF([2]Entry!$E$874="","",[2]Entry!$E$874)</f>
        <v/>
      </c>
      <c r="M871">
        <f>IF([2]Entry!$G$874="","",[2]Entry!$G$874)</f>
        <v/>
      </c>
      <c r="N871">
        <f>IF([2]Entry!$M$874="","",[2]Entry!$M$874)</f>
        <v/>
      </c>
      <c r="O871">
        <f>IF([2]Entry!$N$874="","",[2]Entry!$N$874)</f>
        <v/>
      </c>
      <c r="P871">
        <f>IF([2]Entry!$R$874="","",[2]Entry!$R$874)</f>
        <v/>
      </c>
    </row>
    <row r="872">
      <c r="J872">
        <f>IF([2]Entry!$C$875="","",[2]Entry!$C$875)</f>
        <v/>
      </c>
      <c r="K872">
        <f>IF([2]Entry!$D$875="","",[2]Entry!$D$875)</f>
        <v/>
      </c>
      <c r="L872">
        <f>IF([2]Entry!$E$875="","",[2]Entry!$E$875)</f>
        <v/>
      </c>
      <c r="M872">
        <f>IF([2]Entry!$G$875="","",[2]Entry!$G$875)</f>
        <v/>
      </c>
      <c r="N872">
        <f>IF([2]Entry!$M$875="","",[2]Entry!$M$875)</f>
        <v/>
      </c>
      <c r="O872">
        <f>IF([2]Entry!$N$875="","",[2]Entry!$N$875)</f>
        <v/>
      </c>
      <c r="P872">
        <f>IF([2]Entry!$R$875="","",[2]Entry!$R$875)</f>
        <v/>
      </c>
    </row>
    <row r="873">
      <c r="J873">
        <f>IF([2]Entry!$C$876="","",[2]Entry!$C$876)</f>
        <v/>
      </c>
      <c r="K873">
        <f>IF([2]Entry!$D$876="","",[2]Entry!$D$876)</f>
        <v/>
      </c>
      <c r="L873">
        <f>IF([2]Entry!$E$876="","",[2]Entry!$E$876)</f>
        <v/>
      </c>
      <c r="M873">
        <f>IF([2]Entry!$G$876="","",[2]Entry!$G$876)</f>
        <v/>
      </c>
      <c r="N873">
        <f>IF([2]Entry!$M$876="","",[2]Entry!$M$876)</f>
        <v/>
      </c>
      <c r="O873">
        <f>IF([2]Entry!$N$876="","",[2]Entry!$N$876)</f>
        <v/>
      </c>
      <c r="P873">
        <f>IF([2]Entry!$R$876="","",[2]Entry!$R$876)</f>
        <v/>
      </c>
    </row>
    <row r="874">
      <c r="J874">
        <f>IF([2]Entry!$C$877="","",[2]Entry!$C$877)</f>
        <v/>
      </c>
      <c r="K874">
        <f>IF([2]Entry!$D$877="","",[2]Entry!$D$877)</f>
        <v/>
      </c>
      <c r="L874">
        <f>IF([2]Entry!$E$877="","",[2]Entry!$E$877)</f>
        <v/>
      </c>
      <c r="M874">
        <f>IF([2]Entry!$G$877="","",[2]Entry!$G$877)</f>
        <v/>
      </c>
      <c r="N874">
        <f>IF([2]Entry!$M$877="","",[2]Entry!$M$877)</f>
        <v/>
      </c>
      <c r="O874">
        <f>IF([2]Entry!$N$877="","",[2]Entry!$N$877)</f>
        <v/>
      </c>
      <c r="P874">
        <f>IF([2]Entry!$R$877="","",[2]Entry!$R$877)</f>
        <v/>
      </c>
    </row>
    <row r="875">
      <c r="J875">
        <f>IF([2]Entry!$C$878="","",[2]Entry!$C$878)</f>
        <v/>
      </c>
      <c r="K875">
        <f>IF([2]Entry!$D$878="","",[2]Entry!$D$878)</f>
        <v/>
      </c>
      <c r="L875">
        <f>IF([2]Entry!$E$878="","",[2]Entry!$E$878)</f>
        <v/>
      </c>
      <c r="M875">
        <f>IF([2]Entry!$G$878="","",[2]Entry!$G$878)</f>
        <v/>
      </c>
      <c r="N875">
        <f>IF([2]Entry!$M$878="","",[2]Entry!$M$878)</f>
        <v/>
      </c>
      <c r="O875">
        <f>IF([2]Entry!$N$878="","",[2]Entry!$N$878)</f>
        <v/>
      </c>
      <c r="P875">
        <f>IF([2]Entry!$R$878="","",[2]Entry!$R$878)</f>
        <v/>
      </c>
    </row>
    <row r="876">
      <c r="J876">
        <f>IF([2]Entry!$C$879="","",[2]Entry!$C$879)</f>
        <v/>
      </c>
      <c r="K876">
        <f>IF([2]Entry!$D$879="","",[2]Entry!$D$879)</f>
        <v/>
      </c>
      <c r="L876">
        <f>IF([2]Entry!$E$879="","",[2]Entry!$E$879)</f>
        <v/>
      </c>
      <c r="M876">
        <f>IF([2]Entry!$G$879="","",[2]Entry!$G$879)</f>
        <v/>
      </c>
      <c r="N876">
        <f>IF([2]Entry!$M$879="","",[2]Entry!$M$879)</f>
        <v/>
      </c>
      <c r="O876">
        <f>IF([2]Entry!$N$879="","",[2]Entry!$N$879)</f>
        <v/>
      </c>
      <c r="P876">
        <f>IF([2]Entry!$R$879="","",[2]Entry!$R$879)</f>
        <v/>
      </c>
    </row>
    <row r="877">
      <c r="J877">
        <f>IF([2]Entry!$C$880="","",[2]Entry!$C$880)</f>
        <v/>
      </c>
      <c r="K877">
        <f>IF([2]Entry!$D$880="","",[2]Entry!$D$880)</f>
        <v/>
      </c>
      <c r="L877">
        <f>IF([2]Entry!$E$880="","",[2]Entry!$E$880)</f>
        <v/>
      </c>
      <c r="M877">
        <f>IF([2]Entry!$G$880="","",[2]Entry!$G$880)</f>
        <v/>
      </c>
      <c r="N877">
        <f>IF([2]Entry!$M$880="","",[2]Entry!$M$880)</f>
        <v/>
      </c>
      <c r="O877">
        <f>IF([2]Entry!$N$880="","",[2]Entry!$N$880)</f>
        <v/>
      </c>
      <c r="P877">
        <f>IF([2]Entry!$R$880="","",[2]Entry!$R$880)</f>
        <v/>
      </c>
    </row>
    <row r="878">
      <c r="J878">
        <f>IF([2]Entry!$C$881="","",[2]Entry!$C$881)</f>
        <v/>
      </c>
      <c r="K878">
        <f>IF([2]Entry!$D$881="","",[2]Entry!$D$881)</f>
        <v/>
      </c>
      <c r="L878">
        <f>IF([2]Entry!$E$881="","",[2]Entry!$E$881)</f>
        <v/>
      </c>
      <c r="M878">
        <f>IF([2]Entry!$G$881="","",[2]Entry!$G$881)</f>
        <v/>
      </c>
      <c r="N878">
        <f>IF([2]Entry!$M$881="","",[2]Entry!$M$881)</f>
        <v/>
      </c>
      <c r="O878">
        <f>IF([2]Entry!$N$881="","",[2]Entry!$N$881)</f>
        <v/>
      </c>
      <c r="P878">
        <f>IF([2]Entry!$R$881="","",[2]Entry!$R$881)</f>
        <v/>
      </c>
    </row>
    <row r="879">
      <c r="J879">
        <f>IF([2]Entry!$C$882="","",[2]Entry!$C$882)</f>
        <v/>
      </c>
      <c r="K879">
        <f>IF([2]Entry!$D$882="","",[2]Entry!$D$882)</f>
        <v/>
      </c>
      <c r="L879">
        <f>IF([2]Entry!$E$882="","",[2]Entry!$E$882)</f>
        <v/>
      </c>
      <c r="M879">
        <f>IF([2]Entry!$G$882="","",[2]Entry!$G$882)</f>
        <v/>
      </c>
      <c r="N879">
        <f>IF([2]Entry!$M$882="","",[2]Entry!$M$882)</f>
        <v/>
      </c>
      <c r="O879">
        <f>IF([2]Entry!$N$882="","",[2]Entry!$N$882)</f>
        <v/>
      </c>
      <c r="P879">
        <f>IF([2]Entry!$R$882="","",[2]Entry!$R$882)</f>
        <v/>
      </c>
    </row>
    <row r="880">
      <c r="J880">
        <f>IF([2]Entry!$C$883="","",[2]Entry!$C$883)</f>
        <v/>
      </c>
      <c r="K880">
        <f>IF([2]Entry!$D$883="","",[2]Entry!$D$883)</f>
        <v/>
      </c>
      <c r="L880">
        <f>IF([2]Entry!$E$883="","",[2]Entry!$E$883)</f>
        <v/>
      </c>
      <c r="M880">
        <f>IF([2]Entry!$G$883="","",[2]Entry!$G$883)</f>
        <v/>
      </c>
      <c r="N880">
        <f>IF([2]Entry!$M$883="","",[2]Entry!$M$883)</f>
        <v/>
      </c>
      <c r="O880">
        <f>IF([2]Entry!$N$883="","",[2]Entry!$N$883)</f>
        <v/>
      </c>
      <c r="P880">
        <f>IF([2]Entry!$R$883="","",[2]Entry!$R$883)</f>
        <v/>
      </c>
    </row>
    <row r="881">
      <c r="J881">
        <f>IF([2]Entry!$C$884="","",[2]Entry!$C$884)</f>
        <v/>
      </c>
      <c r="K881">
        <f>IF([2]Entry!$D$884="","",[2]Entry!$D$884)</f>
        <v/>
      </c>
      <c r="L881">
        <f>IF([2]Entry!$E$884="","",[2]Entry!$E$884)</f>
        <v/>
      </c>
      <c r="M881">
        <f>IF([2]Entry!$G$884="","",[2]Entry!$G$884)</f>
        <v/>
      </c>
      <c r="N881">
        <f>IF([2]Entry!$M$884="","",[2]Entry!$M$884)</f>
        <v/>
      </c>
      <c r="O881">
        <f>IF([2]Entry!$N$884="","",[2]Entry!$N$884)</f>
        <v/>
      </c>
      <c r="P881">
        <f>IF([2]Entry!$R$884="","",[2]Entry!$R$884)</f>
        <v/>
      </c>
    </row>
    <row r="882">
      <c r="J882">
        <f>IF([2]Entry!$C$885="","",[2]Entry!$C$885)</f>
        <v/>
      </c>
      <c r="K882">
        <f>IF([2]Entry!$D$885="","",[2]Entry!$D$885)</f>
        <v/>
      </c>
      <c r="L882">
        <f>IF([2]Entry!$E$885="","",[2]Entry!$E$885)</f>
        <v/>
      </c>
      <c r="M882">
        <f>IF([2]Entry!$G$885="","",[2]Entry!$G$885)</f>
        <v/>
      </c>
      <c r="N882">
        <f>IF([2]Entry!$M$885="","",[2]Entry!$M$885)</f>
        <v/>
      </c>
      <c r="O882">
        <f>IF([2]Entry!$N$885="","",[2]Entry!$N$885)</f>
        <v/>
      </c>
      <c r="P882">
        <f>IF([2]Entry!$R$885="","",[2]Entry!$R$885)</f>
        <v/>
      </c>
    </row>
    <row r="883">
      <c r="J883">
        <f>IF([2]Entry!$C$886="","",[2]Entry!$C$886)</f>
        <v/>
      </c>
      <c r="K883">
        <f>IF([2]Entry!$D$886="","",[2]Entry!$D$886)</f>
        <v/>
      </c>
      <c r="L883">
        <f>IF([2]Entry!$E$886="","",[2]Entry!$E$886)</f>
        <v/>
      </c>
      <c r="M883">
        <f>IF([2]Entry!$G$886="","",[2]Entry!$G$886)</f>
        <v/>
      </c>
      <c r="N883">
        <f>IF([2]Entry!$M$886="","",[2]Entry!$M$886)</f>
        <v/>
      </c>
      <c r="O883">
        <f>IF([2]Entry!$N$886="","",[2]Entry!$N$886)</f>
        <v/>
      </c>
      <c r="P883">
        <f>IF([2]Entry!$R$886="","",[2]Entry!$R$886)</f>
        <v/>
      </c>
    </row>
    <row r="884">
      <c r="J884">
        <f>IF([2]Entry!$C$887="","",[2]Entry!$C$887)</f>
        <v/>
      </c>
      <c r="K884">
        <f>IF([2]Entry!$D$887="","",[2]Entry!$D$887)</f>
        <v/>
      </c>
      <c r="L884">
        <f>IF([2]Entry!$E$887="","",[2]Entry!$E$887)</f>
        <v/>
      </c>
      <c r="M884">
        <f>IF([2]Entry!$G$887="","",[2]Entry!$G$887)</f>
        <v/>
      </c>
      <c r="N884">
        <f>IF([2]Entry!$M$887="","",[2]Entry!$M$887)</f>
        <v/>
      </c>
      <c r="O884">
        <f>IF([2]Entry!$N$887="","",[2]Entry!$N$887)</f>
        <v/>
      </c>
      <c r="P884">
        <f>IF([2]Entry!$R$887="","",[2]Entry!$R$887)</f>
        <v/>
      </c>
    </row>
    <row r="885">
      <c r="J885">
        <f>IF([2]Entry!$C$888="","",[2]Entry!$C$888)</f>
        <v/>
      </c>
      <c r="K885">
        <f>IF([2]Entry!$D$888="","",[2]Entry!$D$888)</f>
        <v/>
      </c>
      <c r="L885">
        <f>IF([2]Entry!$E$888="","",[2]Entry!$E$888)</f>
        <v/>
      </c>
      <c r="M885">
        <f>IF([2]Entry!$G$888="","",[2]Entry!$G$888)</f>
        <v/>
      </c>
      <c r="N885">
        <f>IF([2]Entry!$M$888="","",[2]Entry!$M$888)</f>
        <v/>
      </c>
      <c r="O885">
        <f>IF([2]Entry!$N$888="","",[2]Entry!$N$888)</f>
        <v/>
      </c>
      <c r="P885">
        <f>IF([2]Entry!$R$888="","",[2]Entry!$R$888)</f>
        <v/>
      </c>
    </row>
    <row r="886">
      <c r="J886">
        <f>IF([2]Entry!$C$889="","",[2]Entry!$C$889)</f>
        <v/>
      </c>
      <c r="K886">
        <f>IF([2]Entry!$D$889="","",[2]Entry!$D$889)</f>
        <v/>
      </c>
      <c r="L886">
        <f>IF([2]Entry!$E$889="","",[2]Entry!$E$889)</f>
        <v/>
      </c>
      <c r="M886">
        <f>IF([2]Entry!$G$889="","",[2]Entry!$G$889)</f>
        <v/>
      </c>
      <c r="N886">
        <f>IF([2]Entry!$M$889="","",[2]Entry!$M$889)</f>
        <v/>
      </c>
      <c r="O886">
        <f>IF([2]Entry!$N$889="","",[2]Entry!$N$889)</f>
        <v/>
      </c>
      <c r="P886">
        <f>IF([2]Entry!$R$889="","",[2]Entry!$R$889)</f>
        <v/>
      </c>
    </row>
    <row r="887">
      <c r="J887">
        <f>IF([2]Entry!$C$890="","",[2]Entry!$C$890)</f>
        <v/>
      </c>
      <c r="K887">
        <f>IF([2]Entry!$D$890="","",[2]Entry!$D$890)</f>
        <v/>
      </c>
      <c r="L887">
        <f>IF([2]Entry!$E$890="","",[2]Entry!$E$890)</f>
        <v/>
      </c>
      <c r="M887">
        <f>IF([2]Entry!$G$890="","",[2]Entry!$G$890)</f>
        <v/>
      </c>
      <c r="N887">
        <f>IF([2]Entry!$M$890="","",[2]Entry!$M$890)</f>
        <v/>
      </c>
      <c r="O887">
        <f>IF([2]Entry!$N$890="","",[2]Entry!$N$890)</f>
        <v/>
      </c>
      <c r="P887">
        <f>IF([2]Entry!$R$890="","",[2]Entry!$R$890)</f>
        <v/>
      </c>
    </row>
    <row r="888">
      <c r="J888">
        <f>IF([2]Entry!$C$891="","",[2]Entry!$C$891)</f>
        <v/>
      </c>
      <c r="K888">
        <f>IF([2]Entry!$D$891="","",[2]Entry!$D$891)</f>
        <v/>
      </c>
      <c r="L888">
        <f>IF([2]Entry!$E$891="","",[2]Entry!$E$891)</f>
        <v/>
      </c>
      <c r="M888">
        <f>IF([2]Entry!$G$891="","",[2]Entry!$G$891)</f>
        <v/>
      </c>
      <c r="N888">
        <f>IF([2]Entry!$M$891="","",[2]Entry!$M$891)</f>
        <v/>
      </c>
      <c r="O888">
        <f>IF([2]Entry!$N$891="","",[2]Entry!$N$891)</f>
        <v/>
      </c>
      <c r="P888">
        <f>IF([2]Entry!$R$891="","",[2]Entry!$R$891)</f>
        <v/>
      </c>
    </row>
    <row r="889">
      <c r="J889">
        <f>IF([2]Entry!$C$892="","",[2]Entry!$C$892)</f>
        <v/>
      </c>
      <c r="K889">
        <f>IF([2]Entry!$D$892="","",[2]Entry!$D$892)</f>
        <v/>
      </c>
      <c r="L889">
        <f>IF([2]Entry!$E$892="","",[2]Entry!$E$892)</f>
        <v/>
      </c>
      <c r="M889">
        <f>IF([2]Entry!$G$892="","",[2]Entry!$G$892)</f>
        <v/>
      </c>
      <c r="N889">
        <f>IF([2]Entry!$M$892="","",[2]Entry!$M$892)</f>
        <v/>
      </c>
      <c r="O889">
        <f>IF([2]Entry!$N$892="","",[2]Entry!$N$892)</f>
        <v/>
      </c>
      <c r="P889">
        <f>IF([2]Entry!$R$892="","",[2]Entry!$R$892)</f>
        <v/>
      </c>
    </row>
    <row r="890">
      <c r="J890">
        <f>IF([2]Entry!$C$893="","",[2]Entry!$C$893)</f>
        <v/>
      </c>
      <c r="K890">
        <f>IF([2]Entry!$D$893="","",[2]Entry!$D$893)</f>
        <v/>
      </c>
      <c r="L890">
        <f>IF([2]Entry!$E$893="","",[2]Entry!$E$893)</f>
        <v/>
      </c>
      <c r="M890">
        <f>IF([2]Entry!$G$893="","",[2]Entry!$G$893)</f>
        <v/>
      </c>
      <c r="N890">
        <f>IF([2]Entry!$M$893="","",[2]Entry!$M$893)</f>
        <v/>
      </c>
      <c r="O890">
        <f>IF([2]Entry!$N$893="","",[2]Entry!$N$893)</f>
        <v/>
      </c>
      <c r="P890">
        <f>IF([2]Entry!$R$893="","",[2]Entry!$R$893)</f>
        <v/>
      </c>
    </row>
    <row r="891">
      <c r="J891">
        <f>IF([2]Entry!$C$894="","",[2]Entry!$C$894)</f>
        <v/>
      </c>
      <c r="K891">
        <f>IF([2]Entry!$D$894="","",[2]Entry!$D$894)</f>
        <v/>
      </c>
      <c r="L891">
        <f>IF([2]Entry!$E$894="","",[2]Entry!$E$894)</f>
        <v/>
      </c>
      <c r="M891">
        <f>IF([2]Entry!$G$894="","",[2]Entry!$G$894)</f>
        <v/>
      </c>
      <c r="N891">
        <f>IF([2]Entry!$M$894="","",[2]Entry!$M$894)</f>
        <v/>
      </c>
      <c r="O891">
        <f>IF([2]Entry!$N$894="","",[2]Entry!$N$894)</f>
        <v/>
      </c>
      <c r="P891">
        <f>IF([2]Entry!$R$894="","",[2]Entry!$R$894)</f>
        <v/>
      </c>
    </row>
    <row r="892">
      <c r="J892">
        <f>IF([2]Entry!$C$895="","",[2]Entry!$C$895)</f>
        <v/>
      </c>
      <c r="K892">
        <f>IF([2]Entry!$D$895="","",[2]Entry!$D$895)</f>
        <v/>
      </c>
      <c r="L892">
        <f>IF([2]Entry!$E$895="","",[2]Entry!$E$895)</f>
        <v/>
      </c>
      <c r="M892">
        <f>IF([2]Entry!$G$895="","",[2]Entry!$G$895)</f>
        <v/>
      </c>
      <c r="N892">
        <f>IF([2]Entry!$M$895="","",[2]Entry!$M$895)</f>
        <v/>
      </c>
      <c r="O892">
        <f>IF([2]Entry!$N$895="","",[2]Entry!$N$895)</f>
        <v/>
      </c>
      <c r="P892">
        <f>IF([2]Entry!$R$895="","",[2]Entry!$R$895)</f>
        <v/>
      </c>
    </row>
    <row r="893">
      <c r="J893">
        <f>IF([2]Entry!$C$896="","",[2]Entry!$C$896)</f>
        <v/>
      </c>
      <c r="K893">
        <f>IF([2]Entry!$D$896="","",[2]Entry!$D$896)</f>
        <v/>
      </c>
      <c r="L893">
        <f>IF([2]Entry!$E$896="","",[2]Entry!$E$896)</f>
        <v/>
      </c>
      <c r="M893">
        <f>IF([2]Entry!$G$896="","",[2]Entry!$G$896)</f>
        <v/>
      </c>
      <c r="N893">
        <f>IF([2]Entry!$M$896="","",[2]Entry!$M$896)</f>
        <v/>
      </c>
      <c r="O893">
        <f>IF([2]Entry!$N$896="","",[2]Entry!$N$896)</f>
        <v/>
      </c>
      <c r="P893">
        <f>IF([2]Entry!$R$896="","",[2]Entry!$R$896)</f>
        <v/>
      </c>
    </row>
    <row r="894">
      <c r="J894">
        <f>IF([2]Entry!$C$897="","",[2]Entry!$C$897)</f>
        <v/>
      </c>
      <c r="K894">
        <f>IF([2]Entry!$D$897="","",[2]Entry!$D$897)</f>
        <v/>
      </c>
      <c r="L894">
        <f>IF([2]Entry!$E$897="","",[2]Entry!$E$897)</f>
        <v/>
      </c>
      <c r="M894">
        <f>IF([2]Entry!$G$897="","",[2]Entry!$G$897)</f>
        <v/>
      </c>
      <c r="N894">
        <f>IF([2]Entry!$M$897="","",[2]Entry!$M$897)</f>
        <v/>
      </c>
      <c r="O894">
        <f>IF([2]Entry!$N$897="","",[2]Entry!$N$897)</f>
        <v/>
      </c>
      <c r="P894">
        <f>IF([2]Entry!$R$897="","",[2]Entry!$R$897)</f>
        <v/>
      </c>
    </row>
    <row r="895">
      <c r="J895">
        <f>IF([2]Entry!$C$898="","",[2]Entry!$C$898)</f>
        <v/>
      </c>
      <c r="K895">
        <f>IF([2]Entry!$D$898="","",[2]Entry!$D$898)</f>
        <v/>
      </c>
      <c r="L895">
        <f>IF([2]Entry!$E$898="","",[2]Entry!$E$898)</f>
        <v/>
      </c>
      <c r="M895">
        <f>IF([2]Entry!$G$898="","",[2]Entry!$G$898)</f>
        <v/>
      </c>
      <c r="N895">
        <f>IF([2]Entry!$M$898="","",[2]Entry!$M$898)</f>
        <v/>
      </c>
      <c r="O895">
        <f>IF([2]Entry!$N$898="","",[2]Entry!$N$898)</f>
        <v/>
      </c>
      <c r="P895">
        <f>IF([2]Entry!$R$898="","",[2]Entry!$R$898)</f>
        <v/>
      </c>
    </row>
    <row r="896">
      <c r="J896">
        <f>IF([2]Entry!$C$899="","",[2]Entry!$C$899)</f>
        <v/>
      </c>
      <c r="K896">
        <f>IF([2]Entry!$D$899="","",[2]Entry!$D$899)</f>
        <v/>
      </c>
      <c r="L896">
        <f>IF([2]Entry!$E$899="","",[2]Entry!$E$899)</f>
        <v/>
      </c>
      <c r="M896">
        <f>IF([2]Entry!$G$899="","",[2]Entry!$G$899)</f>
        <v/>
      </c>
      <c r="N896">
        <f>IF([2]Entry!$M$899="","",[2]Entry!$M$899)</f>
        <v/>
      </c>
      <c r="O896">
        <f>IF([2]Entry!$N$899="","",[2]Entry!$N$899)</f>
        <v/>
      </c>
      <c r="P896">
        <f>IF([2]Entry!$R$899="","",[2]Entry!$R$899)</f>
        <v/>
      </c>
    </row>
    <row r="897">
      <c r="J897">
        <f>IF([2]Entry!$C$900="","",[2]Entry!$C$900)</f>
        <v/>
      </c>
      <c r="K897">
        <f>IF([2]Entry!$D$900="","",[2]Entry!$D$900)</f>
        <v/>
      </c>
      <c r="L897">
        <f>IF([2]Entry!$E$900="","",[2]Entry!$E$900)</f>
        <v/>
      </c>
      <c r="M897">
        <f>IF([2]Entry!$G$900="","",[2]Entry!$G$900)</f>
        <v/>
      </c>
      <c r="N897">
        <f>IF([2]Entry!$M$900="","",[2]Entry!$M$900)</f>
        <v/>
      </c>
      <c r="O897">
        <f>IF([2]Entry!$N$900="","",[2]Entry!$N$900)</f>
        <v/>
      </c>
      <c r="P897">
        <f>IF([2]Entry!$R$900="","",[2]Entry!$R$900)</f>
        <v/>
      </c>
    </row>
    <row r="898">
      <c r="J898">
        <f>IF([2]Entry!$C$901="","",[2]Entry!$C$901)</f>
        <v/>
      </c>
      <c r="K898">
        <f>IF([2]Entry!$D$901="","",[2]Entry!$D$901)</f>
        <v/>
      </c>
      <c r="L898">
        <f>IF([2]Entry!$E$901="","",[2]Entry!$E$901)</f>
        <v/>
      </c>
      <c r="M898">
        <f>IF([2]Entry!$G$901="","",[2]Entry!$G$901)</f>
        <v/>
      </c>
      <c r="N898">
        <f>IF([2]Entry!$M$901="","",[2]Entry!$M$901)</f>
        <v/>
      </c>
      <c r="O898">
        <f>IF([2]Entry!$N$901="","",[2]Entry!$N$901)</f>
        <v/>
      </c>
      <c r="P898">
        <f>IF([2]Entry!$R$901="","",[2]Entry!$R$901)</f>
        <v/>
      </c>
    </row>
    <row r="899">
      <c r="J899">
        <f>IF([2]Entry!$C$902="","",[2]Entry!$C$902)</f>
        <v/>
      </c>
      <c r="K899">
        <f>IF([2]Entry!$D$902="","",[2]Entry!$D$902)</f>
        <v/>
      </c>
      <c r="L899">
        <f>IF([2]Entry!$E$902="","",[2]Entry!$E$902)</f>
        <v/>
      </c>
      <c r="M899">
        <f>IF([2]Entry!$G$902="","",[2]Entry!$G$902)</f>
        <v/>
      </c>
      <c r="N899">
        <f>IF([2]Entry!$M$902="","",[2]Entry!$M$902)</f>
        <v/>
      </c>
      <c r="O899">
        <f>IF([2]Entry!$N$902="","",[2]Entry!$N$902)</f>
        <v/>
      </c>
      <c r="P899">
        <f>IF([2]Entry!$R$902="","",[2]Entry!$R$902)</f>
        <v/>
      </c>
    </row>
    <row r="900">
      <c r="J900">
        <f>IF([2]Entry!$C$903="","",[2]Entry!$C$903)</f>
        <v/>
      </c>
      <c r="K900">
        <f>IF([2]Entry!$D$903="","",[2]Entry!$D$903)</f>
        <v/>
      </c>
      <c r="L900">
        <f>IF([2]Entry!$E$903="","",[2]Entry!$E$903)</f>
        <v/>
      </c>
      <c r="M900">
        <f>IF([2]Entry!$G$903="","",[2]Entry!$G$903)</f>
        <v/>
      </c>
      <c r="N900">
        <f>IF([2]Entry!$M$903="","",[2]Entry!$M$903)</f>
        <v/>
      </c>
      <c r="O900">
        <f>IF([2]Entry!$N$903="","",[2]Entry!$N$903)</f>
        <v/>
      </c>
      <c r="P900">
        <f>IF([2]Entry!$R$903="","",[2]Entry!$R$903)</f>
        <v/>
      </c>
    </row>
    <row r="901">
      <c r="J901">
        <f>IF([2]Entry!$C$904="","",[2]Entry!$C$904)</f>
        <v/>
      </c>
      <c r="K901">
        <f>IF([2]Entry!$D$904="","",[2]Entry!$D$904)</f>
        <v/>
      </c>
      <c r="L901">
        <f>IF([2]Entry!$E$904="","",[2]Entry!$E$904)</f>
        <v/>
      </c>
      <c r="M901">
        <f>IF([2]Entry!$G$904="","",[2]Entry!$G$904)</f>
        <v/>
      </c>
      <c r="N901">
        <f>IF([2]Entry!$M$904="","",[2]Entry!$M$904)</f>
        <v/>
      </c>
      <c r="O901">
        <f>IF([2]Entry!$N$904="","",[2]Entry!$N$904)</f>
        <v/>
      </c>
      <c r="P901">
        <f>IF([2]Entry!$R$904="","",[2]Entry!$R$904)</f>
        <v/>
      </c>
    </row>
    <row r="902">
      <c r="J902">
        <f>IF([2]Entry!$C$905="","",[2]Entry!$C$905)</f>
        <v/>
      </c>
      <c r="K902">
        <f>IF([2]Entry!$D$905="","",[2]Entry!$D$905)</f>
        <v/>
      </c>
      <c r="L902">
        <f>IF([2]Entry!$E$905="","",[2]Entry!$E$905)</f>
        <v/>
      </c>
      <c r="M902">
        <f>IF([2]Entry!$G$905="","",[2]Entry!$G$905)</f>
        <v/>
      </c>
      <c r="N902">
        <f>IF([2]Entry!$M$905="","",[2]Entry!$M$905)</f>
        <v/>
      </c>
      <c r="O902">
        <f>IF([2]Entry!$N$905="","",[2]Entry!$N$905)</f>
        <v/>
      </c>
      <c r="P902">
        <f>IF([2]Entry!$R$905="","",[2]Entry!$R$905)</f>
        <v/>
      </c>
    </row>
    <row r="903">
      <c r="J903">
        <f>IF([2]Entry!$C$906="","",[2]Entry!$C$906)</f>
        <v/>
      </c>
      <c r="K903">
        <f>IF([2]Entry!$D$906="","",[2]Entry!$D$906)</f>
        <v/>
      </c>
      <c r="L903">
        <f>IF([2]Entry!$E$906="","",[2]Entry!$E$906)</f>
        <v/>
      </c>
      <c r="M903">
        <f>IF([2]Entry!$G$906="","",[2]Entry!$G$906)</f>
        <v/>
      </c>
      <c r="N903">
        <f>IF([2]Entry!$M$906="","",[2]Entry!$M$906)</f>
        <v/>
      </c>
      <c r="O903">
        <f>IF([2]Entry!$N$906="","",[2]Entry!$N$906)</f>
        <v/>
      </c>
      <c r="P903">
        <f>IF([2]Entry!$R$906="","",[2]Entry!$R$906)</f>
        <v/>
      </c>
    </row>
    <row r="904">
      <c r="J904">
        <f>IF([2]Entry!$C$907="","",[2]Entry!$C$907)</f>
        <v/>
      </c>
      <c r="K904">
        <f>IF([2]Entry!$D$907="","",[2]Entry!$D$907)</f>
        <v/>
      </c>
      <c r="L904">
        <f>IF([2]Entry!$E$907="","",[2]Entry!$E$907)</f>
        <v/>
      </c>
      <c r="M904">
        <f>IF([2]Entry!$G$907="","",[2]Entry!$G$907)</f>
        <v/>
      </c>
      <c r="N904">
        <f>IF([2]Entry!$M$907="","",[2]Entry!$M$907)</f>
        <v/>
      </c>
      <c r="O904">
        <f>IF([2]Entry!$N$907="","",[2]Entry!$N$907)</f>
        <v/>
      </c>
      <c r="P904">
        <f>IF([2]Entry!$R$907="","",[2]Entry!$R$907)</f>
        <v/>
      </c>
    </row>
    <row r="905">
      <c r="J905">
        <f>IF([2]Entry!$C$908="","",[2]Entry!$C$908)</f>
        <v/>
      </c>
      <c r="K905">
        <f>IF([2]Entry!$D$908="","",[2]Entry!$D$908)</f>
        <v/>
      </c>
      <c r="L905">
        <f>IF([2]Entry!$E$908="","",[2]Entry!$E$908)</f>
        <v/>
      </c>
      <c r="M905">
        <f>IF([2]Entry!$G$908="","",[2]Entry!$G$908)</f>
        <v/>
      </c>
      <c r="N905">
        <f>IF([2]Entry!$M$908="","",[2]Entry!$M$908)</f>
        <v/>
      </c>
      <c r="O905">
        <f>IF([2]Entry!$N$908="","",[2]Entry!$N$908)</f>
        <v/>
      </c>
      <c r="P905">
        <f>IF([2]Entry!$R$908="","",[2]Entry!$R$908)</f>
        <v/>
      </c>
    </row>
    <row r="906">
      <c r="J906">
        <f>IF([2]Entry!$C$909="","",[2]Entry!$C$909)</f>
        <v/>
      </c>
      <c r="K906">
        <f>IF([2]Entry!$D$909="","",[2]Entry!$D$909)</f>
        <v/>
      </c>
      <c r="L906">
        <f>IF([2]Entry!$E$909="","",[2]Entry!$E$909)</f>
        <v/>
      </c>
      <c r="M906">
        <f>IF([2]Entry!$G$909="","",[2]Entry!$G$909)</f>
        <v/>
      </c>
      <c r="N906">
        <f>IF([2]Entry!$M$909="","",[2]Entry!$M$909)</f>
        <v/>
      </c>
      <c r="O906">
        <f>IF([2]Entry!$N$909="","",[2]Entry!$N$909)</f>
        <v/>
      </c>
      <c r="P906">
        <f>IF([2]Entry!$R$909="","",[2]Entry!$R$909)</f>
        <v/>
      </c>
    </row>
    <row r="907">
      <c r="J907">
        <f>IF([2]Entry!$C$910="","",[2]Entry!$C$910)</f>
        <v/>
      </c>
      <c r="K907">
        <f>IF([2]Entry!$D$910="","",[2]Entry!$D$910)</f>
        <v/>
      </c>
      <c r="L907">
        <f>IF([2]Entry!$E$910="","",[2]Entry!$E$910)</f>
        <v/>
      </c>
      <c r="M907">
        <f>IF([2]Entry!$G$910="","",[2]Entry!$G$910)</f>
        <v/>
      </c>
      <c r="N907">
        <f>IF([2]Entry!$M$910="","",[2]Entry!$M$910)</f>
        <v/>
      </c>
      <c r="O907">
        <f>IF([2]Entry!$N$910="","",[2]Entry!$N$910)</f>
        <v/>
      </c>
      <c r="P907">
        <f>IF([2]Entry!$R$910="","",[2]Entry!$R$910)</f>
        <v/>
      </c>
    </row>
    <row r="908">
      <c r="J908">
        <f>IF([2]Entry!$C$911="","",[2]Entry!$C$911)</f>
        <v/>
      </c>
      <c r="K908">
        <f>IF([2]Entry!$D$911="","",[2]Entry!$D$911)</f>
        <v/>
      </c>
      <c r="L908">
        <f>IF([2]Entry!$E$911="","",[2]Entry!$E$911)</f>
        <v/>
      </c>
      <c r="M908">
        <f>IF([2]Entry!$G$911="","",[2]Entry!$G$911)</f>
        <v/>
      </c>
      <c r="N908">
        <f>IF([2]Entry!$M$911="","",[2]Entry!$M$911)</f>
        <v/>
      </c>
      <c r="O908">
        <f>IF([2]Entry!$N$911="","",[2]Entry!$N$911)</f>
        <v/>
      </c>
      <c r="P908">
        <f>IF([2]Entry!$R$911="","",[2]Entry!$R$911)</f>
        <v/>
      </c>
    </row>
    <row r="909">
      <c r="J909">
        <f>IF([2]Entry!$C$912="","",[2]Entry!$C$912)</f>
        <v/>
      </c>
      <c r="K909">
        <f>IF([2]Entry!$D$912="","",[2]Entry!$D$912)</f>
        <v/>
      </c>
      <c r="L909">
        <f>IF([2]Entry!$E$912="","",[2]Entry!$E$912)</f>
        <v/>
      </c>
      <c r="M909">
        <f>IF([2]Entry!$G$912="","",[2]Entry!$G$912)</f>
        <v/>
      </c>
      <c r="N909">
        <f>IF([2]Entry!$M$912="","",[2]Entry!$M$912)</f>
        <v/>
      </c>
      <c r="O909">
        <f>IF([2]Entry!$N$912="","",[2]Entry!$N$912)</f>
        <v/>
      </c>
      <c r="P909">
        <f>IF([2]Entry!$R$912="","",[2]Entry!$R$912)</f>
        <v/>
      </c>
    </row>
    <row r="910">
      <c r="J910">
        <f>IF([2]Entry!$C$913="","",[2]Entry!$C$913)</f>
        <v/>
      </c>
      <c r="K910">
        <f>IF([2]Entry!$D$913="","",[2]Entry!$D$913)</f>
        <v/>
      </c>
      <c r="L910">
        <f>IF([2]Entry!$E$913="","",[2]Entry!$E$913)</f>
        <v/>
      </c>
      <c r="M910">
        <f>IF([2]Entry!$G$913="","",[2]Entry!$G$913)</f>
        <v/>
      </c>
      <c r="N910">
        <f>IF([2]Entry!$M$913="","",[2]Entry!$M$913)</f>
        <v/>
      </c>
      <c r="O910">
        <f>IF([2]Entry!$N$913="","",[2]Entry!$N$913)</f>
        <v/>
      </c>
      <c r="P910">
        <f>IF([2]Entry!$R$913="","",[2]Entry!$R$913)</f>
        <v/>
      </c>
    </row>
    <row r="911">
      <c r="J911">
        <f>IF([2]Entry!$C$914="","",[2]Entry!$C$914)</f>
        <v/>
      </c>
      <c r="K911">
        <f>IF([2]Entry!$D$914="","",[2]Entry!$D$914)</f>
        <v/>
      </c>
      <c r="L911">
        <f>IF([2]Entry!$E$914="","",[2]Entry!$E$914)</f>
        <v/>
      </c>
      <c r="M911">
        <f>IF([2]Entry!$G$914="","",[2]Entry!$G$914)</f>
        <v/>
      </c>
      <c r="N911">
        <f>IF([2]Entry!$M$914="","",[2]Entry!$M$914)</f>
        <v/>
      </c>
      <c r="O911">
        <f>IF([2]Entry!$N$914="","",[2]Entry!$N$914)</f>
        <v/>
      </c>
      <c r="P911">
        <f>IF([2]Entry!$R$914="","",[2]Entry!$R$914)</f>
        <v/>
      </c>
    </row>
    <row r="912">
      <c r="J912">
        <f>IF([2]Entry!$C$915="","",[2]Entry!$C$915)</f>
        <v/>
      </c>
      <c r="K912">
        <f>IF([2]Entry!$D$915="","",[2]Entry!$D$915)</f>
        <v/>
      </c>
      <c r="L912">
        <f>IF([2]Entry!$E$915="","",[2]Entry!$E$915)</f>
        <v/>
      </c>
      <c r="M912">
        <f>IF([2]Entry!$G$915="","",[2]Entry!$G$915)</f>
        <v/>
      </c>
      <c r="N912">
        <f>IF([2]Entry!$M$915="","",[2]Entry!$M$915)</f>
        <v/>
      </c>
      <c r="O912">
        <f>IF([2]Entry!$N$915="","",[2]Entry!$N$915)</f>
        <v/>
      </c>
      <c r="P912">
        <f>IF([2]Entry!$R$915="","",[2]Entry!$R$915)</f>
        <v/>
      </c>
    </row>
    <row r="913">
      <c r="J913">
        <f>IF([2]Entry!$C$916="","",[2]Entry!$C$916)</f>
        <v/>
      </c>
      <c r="K913">
        <f>IF([2]Entry!$D$916="","",[2]Entry!$D$916)</f>
        <v/>
      </c>
      <c r="L913">
        <f>IF([2]Entry!$E$916="","",[2]Entry!$E$916)</f>
        <v/>
      </c>
      <c r="M913">
        <f>IF([2]Entry!$G$916="","",[2]Entry!$G$916)</f>
        <v/>
      </c>
      <c r="N913">
        <f>IF([2]Entry!$M$916="","",[2]Entry!$M$916)</f>
        <v/>
      </c>
      <c r="O913">
        <f>IF([2]Entry!$N$916="","",[2]Entry!$N$916)</f>
        <v/>
      </c>
      <c r="P913">
        <f>IF([2]Entry!$R$916="","",[2]Entry!$R$916)</f>
        <v/>
      </c>
    </row>
    <row r="914">
      <c r="J914">
        <f>IF([2]Entry!$C$917="","",[2]Entry!$C$917)</f>
        <v/>
      </c>
      <c r="K914">
        <f>IF([2]Entry!$D$917="","",[2]Entry!$D$917)</f>
        <v/>
      </c>
      <c r="L914">
        <f>IF([2]Entry!$E$917="","",[2]Entry!$E$917)</f>
        <v/>
      </c>
      <c r="M914">
        <f>IF([2]Entry!$G$917="","",[2]Entry!$G$917)</f>
        <v/>
      </c>
      <c r="N914">
        <f>IF([2]Entry!$M$917="","",[2]Entry!$M$917)</f>
        <v/>
      </c>
      <c r="O914">
        <f>IF([2]Entry!$N$917="","",[2]Entry!$N$917)</f>
        <v/>
      </c>
      <c r="P914">
        <f>IF([2]Entry!$R$917="","",[2]Entry!$R$917)</f>
        <v/>
      </c>
    </row>
    <row r="915">
      <c r="J915">
        <f>IF([2]Entry!$C$918="","",[2]Entry!$C$918)</f>
        <v/>
      </c>
      <c r="K915">
        <f>IF([2]Entry!$D$918="","",[2]Entry!$D$918)</f>
        <v/>
      </c>
      <c r="L915">
        <f>IF([2]Entry!$E$918="","",[2]Entry!$E$918)</f>
        <v/>
      </c>
      <c r="M915">
        <f>IF([2]Entry!$G$918="","",[2]Entry!$G$918)</f>
        <v/>
      </c>
      <c r="N915">
        <f>IF([2]Entry!$M$918="","",[2]Entry!$M$918)</f>
        <v/>
      </c>
      <c r="O915">
        <f>IF([2]Entry!$N$918="","",[2]Entry!$N$918)</f>
        <v/>
      </c>
      <c r="P915">
        <f>IF([2]Entry!$R$918="","",[2]Entry!$R$918)</f>
        <v/>
      </c>
    </row>
    <row r="916">
      <c r="J916">
        <f>IF([2]Entry!$C$919="","",[2]Entry!$C$919)</f>
        <v/>
      </c>
      <c r="K916">
        <f>IF([2]Entry!$D$919="","",[2]Entry!$D$919)</f>
        <v/>
      </c>
      <c r="L916">
        <f>IF([2]Entry!$E$919="","",[2]Entry!$E$919)</f>
        <v/>
      </c>
      <c r="M916">
        <f>IF([2]Entry!$G$919="","",[2]Entry!$G$919)</f>
        <v/>
      </c>
      <c r="N916">
        <f>IF([2]Entry!$M$919="","",[2]Entry!$M$919)</f>
        <v/>
      </c>
      <c r="O916">
        <f>IF([2]Entry!$N$919="","",[2]Entry!$N$919)</f>
        <v/>
      </c>
      <c r="P916">
        <f>IF([2]Entry!$R$919="","",[2]Entry!$R$919)</f>
        <v/>
      </c>
    </row>
    <row r="917">
      <c r="J917">
        <f>IF([2]Entry!$C$920="","",[2]Entry!$C$920)</f>
        <v/>
      </c>
      <c r="K917">
        <f>IF([2]Entry!$D$920="","",[2]Entry!$D$920)</f>
        <v/>
      </c>
      <c r="L917">
        <f>IF([2]Entry!$E$920="","",[2]Entry!$E$920)</f>
        <v/>
      </c>
      <c r="M917">
        <f>IF([2]Entry!$G$920="","",[2]Entry!$G$920)</f>
        <v/>
      </c>
      <c r="N917">
        <f>IF([2]Entry!$M$920="","",[2]Entry!$M$920)</f>
        <v/>
      </c>
      <c r="O917">
        <f>IF([2]Entry!$N$920="","",[2]Entry!$N$920)</f>
        <v/>
      </c>
      <c r="P917">
        <f>IF([2]Entry!$R$920="","",[2]Entry!$R$920)</f>
        <v/>
      </c>
    </row>
    <row r="918">
      <c r="J918">
        <f>IF([2]Entry!$C$921="","",[2]Entry!$C$921)</f>
        <v/>
      </c>
      <c r="K918">
        <f>IF([2]Entry!$D$921="","",[2]Entry!$D$921)</f>
        <v/>
      </c>
      <c r="L918">
        <f>IF([2]Entry!$E$921="","",[2]Entry!$E$921)</f>
        <v/>
      </c>
      <c r="M918">
        <f>IF([2]Entry!$G$921="","",[2]Entry!$G$921)</f>
        <v/>
      </c>
      <c r="N918">
        <f>IF([2]Entry!$M$921="","",[2]Entry!$M$921)</f>
        <v/>
      </c>
      <c r="O918">
        <f>IF([2]Entry!$N$921="","",[2]Entry!$N$921)</f>
        <v/>
      </c>
      <c r="P918">
        <f>IF([2]Entry!$R$921="","",[2]Entry!$R$921)</f>
        <v/>
      </c>
    </row>
    <row r="919">
      <c r="J919">
        <f>IF([2]Entry!$C$922="","",[2]Entry!$C$922)</f>
        <v/>
      </c>
      <c r="K919">
        <f>IF([2]Entry!$D$922="","",[2]Entry!$D$922)</f>
        <v/>
      </c>
      <c r="L919">
        <f>IF([2]Entry!$E$922="","",[2]Entry!$E$922)</f>
        <v/>
      </c>
      <c r="M919">
        <f>IF([2]Entry!$G$922="","",[2]Entry!$G$922)</f>
        <v/>
      </c>
      <c r="N919">
        <f>IF([2]Entry!$M$922="","",[2]Entry!$M$922)</f>
        <v/>
      </c>
      <c r="O919">
        <f>IF([2]Entry!$N$922="","",[2]Entry!$N$922)</f>
        <v/>
      </c>
      <c r="P919">
        <f>IF([2]Entry!$R$922="","",[2]Entry!$R$922)</f>
        <v/>
      </c>
    </row>
    <row r="920">
      <c r="J920">
        <f>IF([2]Entry!$C$923="","",[2]Entry!$C$923)</f>
        <v/>
      </c>
      <c r="K920">
        <f>IF([2]Entry!$D$923="","",[2]Entry!$D$923)</f>
        <v/>
      </c>
      <c r="L920">
        <f>IF([2]Entry!$E$923="","",[2]Entry!$E$923)</f>
        <v/>
      </c>
      <c r="M920">
        <f>IF([2]Entry!$G$923="","",[2]Entry!$G$923)</f>
        <v/>
      </c>
      <c r="N920">
        <f>IF([2]Entry!$M$923="","",[2]Entry!$M$923)</f>
        <v/>
      </c>
      <c r="O920">
        <f>IF([2]Entry!$N$923="","",[2]Entry!$N$923)</f>
        <v/>
      </c>
      <c r="P920">
        <f>IF([2]Entry!$R$923="","",[2]Entry!$R$923)</f>
        <v/>
      </c>
    </row>
    <row r="921">
      <c r="J921">
        <f>IF([2]Entry!$C$924="","",[2]Entry!$C$924)</f>
        <v/>
      </c>
      <c r="K921">
        <f>IF([2]Entry!$D$924="","",[2]Entry!$D$924)</f>
        <v/>
      </c>
      <c r="L921">
        <f>IF([2]Entry!$E$924="","",[2]Entry!$E$924)</f>
        <v/>
      </c>
      <c r="M921">
        <f>IF([2]Entry!$G$924="","",[2]Entry!$G$924)</f>
        <v/>
      </c>
      <c r="N921">
        <f>IF([2]Entry!$M$924="","",[2]Entry!$M$924)</f>
        <v/>
      </c>
      <c r="O921">
        <f>IF([2]Entry!$N$924="","",[2]Entry!$N$924)</f>
        <v/>
      </c>
      <c r="P921">
        <f>IF([2]Entry!$R$924="","",[2]Entry!$R$924)</f>
        <v/>
      </c>
    </row>
    <row r="922">
      <c r="J922">
        <f>IF([2]Entry!$C$925="","",[2]Entry!$C$925)</f>
        <v/>
      </c>
      <c r="K922">
        <f>IF([2]Entry!$D$925="","",[2]Entry!$D$925)</f>
        <v/>
      </c>
      <c r="L922">
        <f>IF([2]Entry!$E$925="","",[2]Entry!$E$925)</f>
        <v/>
      </c>
      <c r="M922">
        <f>IF([2]Entry!$G$925="","",[2]Entry!$G$925)</f>
        <v/>
      </c>
      <c r="N922">
        <f>IF([2]Entry!$M$925="","",[2]Entry!$M$925)</f>
        <v/>
      </c>
      <c r="O922">
        <f>IF([2]Entry!$N$925="","",[2]Entry!$N$925)</f>
        <v/>
      </c>
      <c r="P922">
        <f>IF([2]Entry!$R$925="","",[2]Entry!$R$925)</f>
        <v/>
      </c>
    </row>
    <row r="923">
      <c r="J923">
        <f>IF([2]Entry!$C$926="","",[2]Entry!$C$926)</f>
        <v/>
      </c>
      <c r="K923">
        <f>IF([2]Entry!$D$926="","",[2]Entry!$D$926)</f>
        <v/>
      </c>
      <c r="L923">
        <f>IF([2]Entry!$E$926="","",[2]Entry!$E$926)</f>
        <v/>
      </c>
      <c r="M923">
        <f>IF([2]Entry!$G$926="","",[2]Entry!$G$926)</f>
        <v/>
      </c>
      <c r="N923">
        <f>IF([2]Entry!$M$926="","",[2]Entry!$M$926)</f>
        <v/>
      </c>
      <c r="O923">
        <f>IF([2]Entry!$N$926="","",[2]Entry!$N$926)</f>
        <v/>
      </c>
      <c r="P923">
        <f>IF([2]Entry!$R$926="","",[2]Entry!$R$926)</f>
        <v/>
      </c>
    </row>
    <row r="924">
      <c r="J924">
        <f>IF([2]Entry!$C$927="","",[2]Entry!$C$927)</f>
        <v/>
      </c>
      <c r="K924">
        <f>IF([2]Entry!$D$927="","",[2]Entry!$D$927)</f>
        <v/>
      </c>
      <c r="L924">
        <f>IF([2]Entry!$E$927="","",[2]Entry!$E$927)</f>
        <v/>
      </c>
      <c r="M924">
        <f>IF([2]Entry!$G$927="","",[2]Entry!$G$927)</f>
        <v/>
      </c>
      <c r="N924">
        <f>IF([2]Entry!$M$927="","",[2]Entry!$M$927)</f>
        <v/>
      </c>
      <c r="O924">
        <f>IF([2]Entry!$N$927="","",[2]Entry!$N$927)</f>
        <v/>
      </c>
      <c r="P924">
        <f>IF([2]Entry!$R$927="","",[2]Entry!$R$927)</f>
        <v/>
      </c>
    </row>
    <row r="925">
      <c r="J925">
        <f>IF([2]Entry!$C$928="","",[2]Entry!$C$928)</f>
        <v/>
      </c>
      <c r="K925">
        <f>IF([2]Entry!$D$928="","",[2]Entry!$D$928)</f>
        <v/>
      </c>
      <c r="L925">
        <f>IF([2]Entry!$E$928="","",[2]Entry!$E$928)</f>
        <v/>
      </c>
      <c r="M925">
        <f>IF([2]Entry!$G$928="","",[2]Entry!$G$928)</f>
        <v/>
      </c>
      <c r="N925">
        <f>IF([2]Entry!$M$928="","",[2]Entry!$M$928)</f>
        <v/>
      </c>
      <c r="O925">
        <f>IF([2]Entry!$N$928="","",[2]Entry!$N$928)</f>
        <v/>
      </c>
      <c r="P925">
        <f>IF([2]Entry!$R$928="","",[2]Entry!$R$928)</f>
        <v/>
      </c>
    </row>
    <row r="926">
      <c r="J926">
        <f>IF([2]Entry!$C$929="","",[2]Entry!$C$929)</f>
        <v/>
      </c>
      <c r="K926">
        <f>IF([2]Entry!$D$929="","",[2]Entry!$D$929)</f>
        <v/>
      </c>
      <c r="L926">
        <f>IF([2]Entry!$E$929="","",[2]Entry!$E$929)</f>
        <v/>
      </c>
      <c r="M926">
        <f>IF([2]Entry!$G$929="","",[2]Entry!$G$929)</f>
        <v/>
      </c>
      <c r="N926">
        <f>IF([2]Entry!$M$929="","",[2]Entry!$M$929)</f>
        <v/>
      </c>
      <c r="O926">
        <f>IF([2]Entry!$N$929="","",[2]Entry!$N$929)</f>
        <v/>
      </c>
      <c r="P926">
        <f>IF([2]Entry!$R$929="","",[2]Entry!$R$929)</f>
        <v/>
      </c>
    </row>
    <row r="927">
      <c r="J927">
        <f>IF([2]Entry!$C$930="","",[2]Entry!$C$930)</f>
        <v/>
      </c>
      <c r="K927">
        <f>IF([2]Entry!$D$930="","",[2]Entry!$D$930)</f>
        <v/>
      </c>
      <c r="L927">
        <f>IF([2]Entry!$E$930="","",[2]Entry!$E$930)</f>
        <v/>
      </c>
      <c r="M927">
        <f>IF([2]Entry!$G$930="","",[2]Entry!$G$930)</f>
        <v/>
      </c>
      <c r="N927">
        <f>IF([2]Entry!$M$930="","",[2]Entry!$M$930)</f>
        <v/>
      </c>
      <c r="O927">
        <f>IF([2]Entry!$N$930="","",[2]Entry!$N$930)</f>
        <v/>
      </c>
      <c r="P927">
        <f>IF([2]Entry!$R$930="","",[2]Entry!$R$930)</f>
        <v/>
      </c>
    </row>
    <row r="928">
      <c r="J928">
        <f>IF([2]Entry!$C$931="","",[2]Entry!$C$931)</f>
        <v/>
      </c>
      <c r="K928">
        <f>IF([2]Entry!$D$931="","",[2]Entry!$D$931)</f>
        <v/>
      </c>
      <c r="L928">
        <f>IF([2]Entry!$E$931="","",[2]Entry!$E$931)</f>
        <v/>
      </c>
      <c r="M928">
        <f>IF([2]Entry!$G$931="","",[2]Entry!$G$931)</f>
        <v/>
      </c>
      <c r="N928">
        <f>IF([2]Entry!$M$931="","",[2]Entry!$M$931)</f>
        <v/>
      </c>
      <c r="O928">
        <f>IF([2]Entry!$N$931="","",[2]Entry!$N$931)</f>
        <v/>
      </c>
      <c r="P928">
        <f>IF([2]Entry!$R$931="","",[2]Entry!$R$931)</f>
        <v/>
      </c>
    </row>
    <row r="929">
      <c r="J929">
        <f>IF([2]Entry!$C$932="","",[2]Entry!$C$932)</f>
        <v/>
      </c>
      <c r="K929">
        <f>IF([2]Entry!$D$932="","",[2]Entry!$D$932)</f>
        <v/>
      </c>
      <c r="L929">
        <f>IF([2]Entry!$E$932="","",[2]Entry!$E$932)</f>
        <v/>
      </c>
      <c r="M929">
        <f>IF([2]Entry!$G$932="","",[2]Entry!$G$932)</f>
        <v/>
      </c>
      <c r="N929">
        <f>IF([2]Entry!$M$932="","",[2]Entry!$M$932)</f>
        <v/>
      </c>
      <c r="O929">
        <f>IF([2]Entry!$N$932="","",[2]Entry!$N$932)</f>
        <v/>
      </c>
      <c r="P929">
        <f>IF([2]Entry!$R$932="","",[2]Entry!$R$932)</f>
        <v/>
      </c>
    </row>
    <row r="930">
      <c r="J930">
        <f>IF([2]Entry!$C$933="","",[2]Entry!$C$933)</f>
        <v/>
      </c>
      <c r="K930">
        <f>IF([2]Entry!$D$933="","",[2]Entry!$D$933)</f>
        <v/>
      </c>
      <c r="L930">
        <f>IF([2]Entry!$E$933="","",[2]Entry!$E$933)</f>
        <v/>
      </c>
      <c r="M930">
        <f>IF([2]Entry!$G$933="","",[2]Entry!$G$933)</f>
        <v/>
      </c>
      <c r="N930">
        <f>IF([2]Entry!$M$933="","",[2]Entry!$M$933)</f>
        <v/>
      </c>
      <c r="O930">
        <f>IF([2]Entry!$N$933="","",[2]Entry!$N$933)</f>
        <v/>
      </c>
      <c r="P930">
        <f>IF([2]Entry!$R$933="","",[2]Entry!$R$933)</f>
        <v/>
      </c>
    </row>
    <row r="931">
      <c r="J931">
        <f>IF([2]Entry!$C$934="","",[2]Entry!$C$934)</f>
        <v/>
      </c>
      <c r="K931">
        <f>IF([2]Entry!$D$934="","",[2]Entry!$D$934)</f>
        <v/>
      </c>
      <c r="L931">
        <f>IF([2]Entry!$E$934="","",[2]Entry!$E$934)</f>
        <v/>
      </c>
      <c r="M931">
        <f>IF([2]Entry!$G$934="","",[2]Entry!$G$934)</f>
        <v/>
      </c>
      <c r="N931">
        <f>IF([2]Entry!$M$934="","",[2]Entry!$M$934)</f>
        <v/>
      </c>
      <c r="O931">
        <f>IF([2]Entry!$N$934="","",[2]Entry!$N$934)</f>
        <v/>
      </c>
      <c r="P931">
        <f>IF([2]Entry!$R$934="","",[2]Entry!$R$934)</f>
        <v/>
      </c>
    </row>
    <row r="932">
      <c r="J932">
        <f>IF([2]Entry!$C$935="","",[2]Entry!$C$935)</f>
        <v/>
      </c>
      <c r="K932">
        <f>IF([2]Entry!$D$935="","",[2]Entry!$D$935)</f>
        <v/>
      </c>
      <c r="L932">
        <f>IF([2]Entry!$E$935="","",[2]Entry!$E$935)</f>
        <v/>
      </c>
      <c r="M932">
        <f>IF([2]Entry!$G$935="","",[2]Entry!$G$935)</f>
        <v/>
      </c>
      <c r="N932">
        <f>IF([2]Entry!$M$935="","",[2]Entry!$M$935)</f>
        <v/>
      </c>
      <c r="O932">
        <f>IF([2]Entry!$N$935="","",[2]Entry!$N$935)</f>
        <v/>
      </c>
      <c r="P932">
        <f>IF([2]Entry!$R$935="","",[2]Entry!$R$935)</f>
        <v/>
      </c>
    </row>
    <row r="933">
      <c r="J933">
        <f>IF([2]Entry!$C$936="","",[2]Entry!$C$936)</f>
        <v/>
      </c>
      <c r="K933">
        <f>IF([2]Entry!$D$936="","",[2]Entry!$D$936)</f>
        <v/>
      </c>
      <c r="L933">
        <f>IF([2]Entry!$E$936="","",[2]Entry!$E$936)</f>
        <v/>
      </c>
      <c r="M933">
        <f>IF([2]Entry!$G$936="","",[2]Entry!$G$936)</f>
        <v/>
      </c>
      <c r="N933">
        <f>IF([2]Entry!$M$936="","",[2]Entry!$M$936)</f>
        <v/>
      </c>
      <c r="O933">
        <f>IF([2]Entry!$N$936="","",[2]Entry!$N$936)</f>
        <v/>
      </c>
      <c r="P933">
        <f>IF([2]Entry!$R$936="","",[2]Entry!$R$936)</f>
        <v/>
      </c>
    </row>
    <row r="934">
      <c r="J934">
        <f>IF([2]Entry!$C$937="","",[2]Entry!$C$937)</f>
        <v/>
      </c>
      <c r="K934">
        <f>IF([2]Entry!$D$937="","",[2]Entry!$D$937)</f>
        <v/>
      </c>
      <c r="L934">
        <f>IF([2]Entry!$E$937="","",[2]Entry!$E$937)</f>
        <v/>
      </c>
      <c r="M934">
        <f>IF([2]Entry!$G$937="","",[2]Entry!$G$937)</f>
        <v/>
      </c>
      <c r="N934">
        <f>IF([2]Entry!$M$937="","",[2]Entry!$M$937)</f>
        <v/>
      </c>
      <c r="O934">
        <f>IF([2]Entry!$N$937="","",[2]Entry!$N$937)</f>
        <v/>
      </c>
      <c r="P934">
        <f>IF([2]Entry!$R$937="","",[2]Entry!$R$937)</f>
        <v/>
      </c>
    </row>
    <row r="935">
      <c r="J935">
        <f>IF([2]Entry!$C$938="","",[2]Entry!$C$938)</f>
        <v/>
      </c>
      <c r="K935">
        <f>IF([2]Entry!$D$938="","",[2]Entry!$D$938)</f>
        <v/>
      </c>
      <c r="L935">
        <f>IF([2]Entry!$E$938="","",[2]Entry!$E$938)</f>
        <v/>
      </c>
      <c r="M935">
        <f>IF([2]Entry!$G$938="","",[2]Entry!$G$938)</f>
        <v/>
      </c>
      <c r="N935">
        <f>IF([2]Entry!$M$938="","",[2]Entry!$M$938)</f>
        <v/>
      </c>
      <c r="O935">
        <f>IF([2]Entry!$N$938="","",[2]Entry!$N$938)</f>
        <v/>
      </c>
      <c r="P935">
        <f>IF([2]Entry!$R$938="","",[2]Entry!$R$938)</f>
        <v/>
      </c>
    </row>
    <row r="936">
      <c r="J936">
        <f>IF([2]Entry!$C$939="","",[2]Entry!$C$939)</f>
        <v/>
      </c>
      <c r="K936">
        <f>IF([2]Entry!$D$939="","",[2]Entry!$D$939)</f>
        <v/>
      </c>
      <c r="L936">
        <f>IF([2]Entry!$E$939="","",[2]Entry!$E$939)</f>
        <v/>
      </c>
      <c r="M936">
        <f>IF([2]Entry!$G$939="","",[2]Entry!$G$939)</f>
        <v/>
      </c>
      <c r="N936">
        <f>IF([2]Entry!$M$939="","",[2]Entry!$M$939)</f>
        <v/>
      </c>
      <c r="O936">
        <f>IF([2]Entry!$N$939="","",[2]Entry!$N$939)</f>
        <v/>
      </c>
      <c r="P936">
        <f>IF([2]Entry!$R$939="","",[2]Entry!$R$939)</f>
        <v/>
      </c>
    </row>
    <row r="937">
      <c r="J937">
        <f>IF([2]Entry!$C$940="","",[2]Entry!$C$940)</f>
        <v/>
      </c>
      <c r="K937">
        <f>IF([2]Entry!$D$940="","",[2]Entry!$D$940)</f>
        <v/>
      </c>
      <c r="L937">
        <f>IF([2]Entry!$E$940="","",[2]Entry!$E$940)</f>
        <v/>
      </c>
      <c r="M937">
        <f>IF([2]Entry!$G$940="","",[2]Entry!$G$940)</f>
        <v/>
      </c>
      <c r="N937">
        <f>IF([2]Entry!$M$940="","",[2]Entry!$M$940)</f>
        <v/>
      </c>
      <c r="O937">
        <f>IF([2]Entry!$N$940="","",[2]Entry!$N$940)</f>
        <v/>
      </c>
      <c r="P937">
        <f>IF([2]Entry!$R$940="","",[2]Entry!$R$940)</f>
        <v/>
      </c>
    </row>
    <row r="938">
      <c r="J938">
        <f>IF([2]Entry!$C$941="","",[2]Entry!$C$941)</f>
        <v/>
      </c>
      <c r="K938">
        <f>IF([2]Entry!$D$941="","",[2]Entry!$D$941)</f>
        <v/>
      </c>
      <c r="L938">
        <f>IF([2]Entry!$E$941="","",[2]Entry!$E$941)</f>
        <v/>
      </c>
      <c r="M938">
        <f>IF([2]Entry!$G$941="","",[2]Entry!$G$941)</f>
        <v/>
      </c>
      <c r="N938">
        <f>IF([2]Entry!$M$941="","",[2]Entry!$M$941)</f>
        <v/>
      </c>
      <c r="O938">
        <f>IF([2]Entry!$N$941="","",[2]Entry!$N$941)</f>
        <v/>
      </c>
      <c r="P938">
        <f>IF([2]Entry!$R$941="","",[2]Entry!$R$941)</f>
        <v/>
      </c>
    </row>
    <row r="939">
      <c r="J939">
        <f>IF([2]Entry!$C$942="","",[2]Entry!$C$942)</f>
        <v/>
      </c>
      <c r="K939">
        <f>IF([2]Entry!$D$942="","",[2]Entry!$D$942)</f>
        <v/>
      </c>
      <c r="L939">
        <f>IF([2]Entry!$E$942="","",[2]Entry!$E$942)</f>
        <v/>
      </c>
      <c r="M939">
        <f>IF([2]Entry!$G$942="","",[2]Entry!$G$942)</f>
        <v/>
      </c>
      <c r="N939">
        <f>IF([2]Entry!$M$942="","",[2]Entry!$M$942)</f>
        <v/>
      </c>
      <c r="O939">
        <f>IF([2]Entry!$N$942="","",[2]Entry!$N$942)</f>
        <v/>
      </c>
      <c r="P939">
        <f>IF([2]Entry!$R$942="","",[2]Entry!$R$942)</f>
        <v/>
      </c>
    </row>
    <row r="940">
      <c r="J940">
        <f>IF([2]Entry!$C$943="","",[2]Entry!$C$943)</f>
        <v/>
      </c>
      <c r="K940">
        <f>IF([2]Entry!$D$943="","",[2]Entry!$D$943)</f>
        <v/>
      </c>
      <c r="L940">
        <f>IF([2]Entry!$E$943="","",[2]Entry!$E$943)</f>
        <v/>
      </c>
      <c r="M940">
        <f>IF([2]Entry!$G$943="","",[2]Entry!$G$943)</f>
        <v/>
      </c>
      <c r="N940">
        <f>IF([2]Entry!$M$943="","",[2]Entry!$M$943)</f>
        <v/>
      </c>
      <c r="O940">
        <f>IF([2]Entry!$N$943="","",[2]Entry!$N$943)</f>
        <v/>
      </c>
      <c r="P940">
        <f>IF([2]Entry!$R$943="","",[2]Entry!$R$943)</f>
        <v/>
      </c>
    </row>
    <row r="941">
      <c r="J941">
        <f>IF([2]Entry!$C$944="","",[2]Entry!$C$944)</f>
        <v/>
      </c>
      <c r="K941">
        <f>IF([2]Entry!$D$944="","",[2]Entry!$D$944)</f>
        <v/>
      </c>
      <c r="L941">
        <f>IF([2]Entry!$E$944="","",[2]Entry!$E$944)</f>
        <v/>
      </c>
      <c r="M941">
        <f>IF([2]Entry!$G$944="","",[2]Entry!$G$944)</f>
        <v/>
      </c>
      <c r="N941">
        <f>IF([2]Entry!$M$944="","",[2]Entry!$M$944)</f>
        <v/>
      </c>
      <c r="O941">
        <f>IF([2]Entry!$N$944="","",[2]Entry!$N$944)</f>
        <v/>
      </c>
      <c r="P941">
        <f>IF([2]Entry!$R$944="","",[2]Entry!$R$944)</f>
        <v/>
      </c>
    </row>
    <row r="942">
      <c r="J942">
        <f>IF([2]Entry!$C$945="","",[2]Entry!$C$945)</f>
        <v/>
      </c>
      <c r="K942">
        <f>IF([2]Entry!$D$945="","",[2]Entry!$D$945)</f>
        <v/>
      </c>
      <c r="L942">
        <f>IF([2]Entry!$E$945="","",[2]Entry!$E$945)</f>
        <v/>
      </c>
      <c r="M942">
        <f>IF([2]Entry!$G$945="","",[2]Entry!$G$945)</f>
        <v/>
      </c>
      <c r="N942">
        <f>IF([2]Entry!$M$945="","",[2]Entry!$M$945)</f>
        <v/>
      </c>
      <c r="O942">
        <f>IF([2]Entry!$N$945="","",[2]Entry!$N$945)</f>
        <v/>
      </c>
      <c r="P942">
        <f>IF([2]Entry!$R$945="","",[2]Entry!$R$945)</f>
        <v/>
      </c>
    </row>
    <row r="943">
      <c r="J943">
        <f>IF([2]Entry!$C$946="","",[2]Entry!$C$946)</f>
        <v/>
      </c>
      <c r="K943">
        <f>IF([2]Entry!$D$946="","",[2]Entry!$D$946)</f>
        <v/>
      </c>
      <c r="L943">
        <f>IF([2]Entry!$E$946="","",[2]Entry!$E$946)</f>
        <v/>
      </c>
      <c r="M943">
        <f>IF([2]Entry!$G$946="","",[2]Entry!$G$946)</f>
        <v/>
      </c>
      <c r="N943">
        <f>IF([2]Entry!$M$946="","",[2]Entry!$M$946)</f>
        <v/>
      </c>
      <c r="O943">
        <f>IF([2]Entry!$N$946="","",[2]Entry!$N$946)</f>
        <v/>
      </c>
      <c r="P943">
        <f>IF([2]Entry!$R$946="","",[2]Entry!$R$946)</f>
        <v/>
      </c>
    </row>
    <row r="944">
      <c r="J944">
        <f>IF([2]Entry!$C$947="","",[2]Entry!$C$947)</f>
        <v/>
      </c>
      <c r="K944">
        <f>IF([2]Entry!$D$947="","",[2]Entry!$D$947)</f>
        <v/>
      </c>
      <c r="L944">
        <f>IF([2]Entry!$E$947="","",[2]Entry!$E$947)</f>
        <v/>
      </c>
      <c r="M944">
        <f>IF([2]Entry!$G$947="","",[2]Entry!$G$947)</f>
        <v/>
      </c>
      <c r="N944">
        <f>IF([2]Entry!$M$947="","",[2]Entry!$M$947)</f>
        <v/>
      </c>
      <c r="O944">
        <f>IF([2]Entry!$N$947="","",[2]Entry!$N$947)</f>
        <v/>
      </c>
      <c r="P944">
        <f>IF([2]Entry!$R$947="","",[2]Entry!$R$947)</f>
        <v/>
      </c>
    </row>
    <row r="945">
      <c r="J945">
        <f>IF([2]Entry!$C$948="","",[2]Entry!$C$948)</f>
        <v/>
      </c>
      <c r="K945">
        <f>IF([2]Entry!$D$948="","",[2]Entry!$D$948)</f>
        <v/>
      </c>
      <c r="L945">
        <f>IF([2]Entry!$E$948="","",[2]Entry!$E$948)</f>
        <v/>
      </c>
      <c r="M945">
        <f>IF([2]Entry!$G$948="","",[2]Entry!$G$948)</f>
        <v/>
      </c>
      <c r="N945">
        <f>IF([2]Entry!$M$948="","",[2]Entry!$M$948)</f>
        <v/>
      </c>
      <c r="O945">
        <f>IF([2]Entry!$N$948="","",[2]Entry!$N$948)</f>
        <v/>
      </c>
      <c r="P945">
        <f>IF([2]Entry!$R$948="","",[2]Entry!$R$948)</f>
        <v/>
      </c>
    </row>
    <row r="946">
      <c r="J946">
        <f>IF([2]Entry!$C$949="","",[2]Entry!$C$949)</f>
        <v/>
      </c>
      <c r="K946">
        <f>IF([2]Entry!$D$949="","",[2]Entry!$D$949)</f>
        <v/>
      </c>
      <c r="L946">
        <f>IF([2]Entry!$E$949="","",[2]Entry!$E$949)</f>
        <v/>
      </c>
      <c r="M946">
        <f>IF([2]Entry!$G$949="","",[2]Entry!$G$949)</f>
        <v/>
      </c>
      <c r="N946">
        <f>IF([2]Entry!$M$949="","",[2]Entry!$M$949)</f>
        <v/>
      </c>
      <c r="O946">
        <f>IF([2]Entry!$N$949="","",[2]Entry!$N$949)</f>
        <v/>
      </c>
      <c r="P946">
        <f>IF([2]Entry!$R$949="","",[2]Entry!$R$949)</f>
        <v/>
      </c>
    </row>
    <row r="947">
      <c r="J947">
        <f>IF([2]Entry!$C$950="","",[2]Entry!$C$950)</f>
        <v/>
      </c>
      <c r="K947">
        <f>IF([2]Entry!$D$950="","",[2]Entry!$D$950)</f>
        <v/>
      </c>
      <c r="L947">
        <f>IF([2]Entry!$E$950="","",[2]Entry!$E$950)</f>
        <v/>
      </c>
      <c r="M947">
        <f>IF([2]Entry!$G$950="","",[2]Entry!$G$950)</f>
        <v/>
      </c>
      <c r="N947">
        <f>IF([2]Entry!$M$950="","",[2]Entry!$M$950)</f>
        <v/>
      </c>
      <c r="O947">
        <f>IF([2]Entry!$N$950="","",[2]Entry!$N$950)</f>
        <v/>
      </c>
      <c r="P947">
        <f>IF([2]Entry!$R$950="","",[2]Entry!$R$950)</f>
        <v/>
      </c>
    </row>
    <row r="948">
      <c r="J948">
        <f>IF([2]Entry!$C$951="","",[2]Entry!$C$951)</f>
        <v/>
      </c>
      <c r="K948">
        <f>IF([2]Entry!$D$951="","",[2]Entry!$D$951)</f>
        <v/>
      </c>
      <c r="L948">
        <f>IF([2]Entry!$E$951="","",[2]Entry!$E$951)</f>
        <v/>
      </c>
      <c r="M948">
        <f>IF([2]Entry!$G$951="","",[2]Entry!$G$951)</f>
        <v/>
      </c>
      <c r="N948">
        <f>IF([2]Entry!$M$951="","",[2]Entry!$M$951)</f>
        <v/>
      </c>
      <c r="O948">
        <f>IF([2]Entry!$N$951="","",[2]Entry!$N$951)</f>
        <v/>
      </c>
      <c r="P948">
        <f>IF([2]Entry!$R$951="","",[2]Entry!$R$951)</f>
        <v/>
      </c>
    </row>
    <row r="949">
      <c r="J949">
        <f>IF([2]Entry!$C$952="","",[2]Entry!$C$952)</f>
        <v/>
      </c>
      <c r="K949">
        <f>IF([2]Entry!$D$952="","",[2]Entry!$D$952)</f>
        <v/>
      </c>
      <c r="L949">
        <f>IF([2]Entry!$E$952="","",[2]Entry!$E$952)</f>
        <v/>
      </c>
      <c r="M949">
        <f>IF([2]Entry!$G$952="","",[2]Entry!$G$952)</f>
        <v/>
      </c>
      <c r="N949">
        <f>IF([2]Entry!$M$952="","",[2]Entry!$M$952)</f>
        <v/>
      </c>
      <c r="O949">
        <f>IF([2]Entry!$N$952="","",[2]Entry!$N$952)</f>
        <v/>
      </c>
      <c r="P949">
        <f>IF([2]Entry!$R$952="","",[2]Entry!$R$952)</f>
        <v/>
      </c>
    </row>
    <row r="950">
      <c r="J950">
        <f>IF([2]Entry!$C$953="","",[2]Entry!$C$953)</f>
        <v/>
      </c>
      <c r="K950">
        <f>IF([2]Entry!$D$953="","",[2]Entry!$D$953)</f>
        <v/>
      </c>
      <c r="L950">
        <f>IF([2]Entry!$E$953="","",[2]Entry!$E$953)</f>
        <v/>
      </c>
      <c r="M950">
        <f>IF([2]Entry!$G$953="","",[2]Entry!$G$953)</f>
        <v/>
      </c>
      <c r="N950">
        <f>IF([2]Entry!$M$953="","",[2]Entry!$M$953)</f>
        <v/>
      </c>
      <c r="O950">
        <f>IF([2]Entry!$N$953="","",[2]Entry!$N$953)</f>
        <v/>
      </c>
      <c r="P950">
        <f>IF([2]Entry!$R$953="","",[2]Entry!$R$953)</f>
        <v/>
      </c>
    </row>
    <row r="951">
      <c r="J951">
        <f>IF([2]Entry!$C$954="","",[2]Entry!$C$954)</f>
        <v/>
      </c>
      <c r="K951">
        <f>IF([2]Entry!$D$954="","",[2]Entry!$D$954)</f>
        <v/>
      </c>
      <c r="L951">
        <f>IF([2]Entry!$E$954="","",[2]Entry!$E$954)</f>
        <v/>
      </c>
      <c r="M951">
        <f>IF([2]Entry!$G$954="","",[2]Entry!$G$954)</f>
        <v/>
      </c>
      <c r="N951">
        <f>IF([2]Entry!$M$954="","",[2]Entry!$M$954)</f>
        <v/>
      </c>
      <c r="O951">
        <f>IF([2]Entry!$N$954="","",[2]Entry!$N$954)</f>
        <v/>
      </c>
      <c r="P951">
        <f>IF([2]Entry!$R$954="","",[2]Entry!$R$954)</f>
        <v/>
      </c>
    </row>
    <row r="952">
      <c r="J952">
        <f>IF([2]Entry!$C$955="","",[2]Entry!$C$955)</f>
        <v/>
      </c>
      <c r="K952">
        <f>IF([2]Entry!$D$955="","",[2]Entry!$D$955)</f>
        <v/>
      </c>
      <c r="L952">
        <f>IF([2]Entry!$E$955="","",[2]Entry!$E$955)</f>
        <v/>
      </c>
      <c r="M952">
        <f>IF([2]Entry!$G$955="","",[2]Entry!$G$955)</f>
        <v/>
      </c>
      <c r="N952">
        <f>IF([2]Entry!$M$955="","",[2]Entry!$M$955)</f>
        <v/>
      </c>
      <c r="O952">
        <f>IF([2]Entry!$N$955="","",[2]Entry!$N$955)</f>
        <v/>
      </c>
      <c r="P952">
        <f>IF([2]Entry!$R$955="","",[2]Entry!$R$955)</f>
        <v/>
      </c>
    </row>
    <row r="953">
      <c r="J953">
        <f>IF([2]Entry!$C$956="","",[2]Entry!$C$956)</f>
        <v/>
      </c>
      <c r="K953">
        <f>IF([2]Entry!$D$956="","",[2]Entry!$D$956)</f>
        <v/>
      </c>
      <c r="L953">
        <f>IF([2]Entry!$E$956="","",[2]Entry!$E$956)</f>
        <v/>
      </c>
      <c r="M953">
        <f>IF([2]Entry!$G$956="","",[2]Entry!$G$956)</f>
        <v/>
      </c>
      <c r="N953">
        <f>IF([2]Entry!$M$956="","",[2]Entry!$M$956)</f>
        <v/>
      </c>
      <c r="O953">
        <f>IF([2]Entry!$N$956="","",[2]Entry!$N$956)</f>
        <v/>
      </c>
      <c r="P953">
        <f>IF([2]Entry!$R$956="","",[2]Entry!$R$956)</f>
        <v/>
      </c>
    </row>
    <row r="954">
      <c r="J954">
        <f>IF([2]Entry!$C$957="","",[2]Entry!$C$957)</f>
        <v/>
      </c>
      <c r="K954">
        <f>IF([2]Entry!$D$957="","",[2]Entry!$D$957)</f>
        <v/>
      </c>
      <c r="L954">
        <f>IF([2]Entry!$E$957="","",[2]Entry!$E$957)</f>
        <v/>
      </c>
      <c r="M954">
        <f>IF([2]Entry!$G$957="","",[2]Entry!$G$957)</f>
        <v/>
      </c>
      <c r="N954">
        <f>IF([2]Entry!$M$957="","",[2]Entry!$M$957)</f>
        <v/>
      </c>
      <c r="O954">
        <f>IF([2]Entry!$N$957="","",[2]Entry!$N$957)</f>
        <v/>
      </c>
      <c r="P954">
        <f>IF([2]Entry!$R$957="","",[2]Entry!$R$957)</f>
        <v/>
      </c>
    </row>
    <row r="955">
      <c r="J955">
        <f>IF([2]Entry!$C$958="","",[2]Entry!$C$958)</f>
        <v/>
      </c>
      <c r="K955">
        <f>IF([2]Entry!$D$958="","",[2]Entry!$D$958)</f>
        <v/>
      </c>
      <c r="L955">
        <f>IF([2]Entry!$E$958="","",[2]Entry!$E$958)</f>
        <v/>
      </c>
      <c r="M955">
        <f>IF([2]Entry!$G$958="","",[2]Entry!$G$958)</f>
        <v/>
      </c>
      <c r="N955">
        <f>IF([2]Entry!$M$958="","",[2]Entry!$M$958)</f>
        <v/>
      </c>
      <c r="O955">
        <f>IF([2]Entry!$N$958="","",[2]Entry!$N$958)</f>
        <v/>
      </c>
      <c r="P955">
        <f>IF([2]Entry!$R$958="","",[2]Entry!$R$958)</f>
        <v/>
      </c>
    </row>
    <row r="956">
      <c r="J956">
        <f>IF([2]Entry!$C$959="","",[2]Entry!$C$959)</f>
        <v/>
      </c>
      <c r="K956">
        <f>IF([2]Entry!$D$959="","",[2]Entry!$D$959)</f>
        <v/>
      </c>
      <c r="L956">
        <f>IF([2]Entry!$E$959="","",[2]Entry!$E$959)</f>
        <v/>
      </c>
      <c r="M956">
        <f>IF([2]Entry!$G$959="","",[2]Entry!$G$959)</f>
        <v/>
      </c>
      <c r="N956">
        <f>IF([2]Entry!$M$959="","",[2]Entry!$M$959)</f>
        <v/>
      </c>
      <c r="O956">
        <f>IF([2]Entry!$N$959="","",[2]Entry!$N$959)</f>
        <v/>
      </c>
      <c r="P956">
        <f>IF([2]Entry!$R$959="","",[2]Entry!$R$959)</f>
        <v/>
      </c>
    </row>
    <row r="957">
      <c r="J957">
        <f>IF([2]Entry!$C$960="","",[2]Entry!$C$960)</f>
        <v/>
      </c>
      <c r="K957">
        <f>IF([2]Entry!$D$960="","",[2]Entry!$D$960)</f>
        <v/>
      </c>
      <c r="L957">
        <f>IF([2]Entry!$E$960="","",[2]Entry!$E$960)</f>
        <v/>
      </c>
      <c r="M957">
        <f>IF([2]Entry!$G$960="","",[2]Entry!$G$960)</f>
        <v/>
      </c>
      <c r="N957">
        <f>IF([2]Entry!$M$960="","",[2]Entry!$M$960)</f>
        <v/>
      </c>
      <c r="O957">
        <f>IF([2]Entry!$N$960="","",[2]Entry!$N$960)</f>
        <v/>
      </c>
      <c r="P957">
        <f>IF([2]Entry!$R$960="","",[2]Entry!$R$960)</f>
        <v/>
      </c>
    </row>
    <row r="958">
      <c r="J958">
        <f>IF([2]Entry!$C$961="","",[2]Entry!$C$961)</f>
        <v/>
      </c>
      <c r="K958">
        <f>IF([2]Entry!$D$961="","",[2]Entry!$D$961)</f>
        <v/>
      </c>
      <c r="L958">
        <f>IF([2]Entry!$E$961="","",[2]Entry!$E$961)</f>
        <v/>
      </c>
      <c r="M958">
        <f>IF([2]Entry!$G$961="","",[2]Entry!$G$961)</f>
        <v/>
      </c>
      <c r="N958">
        <f>IF([2]Entry!$M$961="","",[2]Entry!$M$961)</f>
        <v/>
      </c>
      <c r="O958">
        <f>IF([2]Entry!$N$961="","",[2]Entry!$N$961)</f>
        <v/>
      </c>
      <c r="P958">
        <f>IF([2]Entry!$R$961="","",[2]Entry!$R$961)</f>
        <v/>
      </c>
    </row>
    <row r="959">
      <c r="J959">
        <f>IF([2]Entry!$C$962="","",[2]Entry!$C$962)</f>
        <v/>
      </c>
      <c r="K959">
        <f>IF([2]Entry!$D$962="","",[2]Entry!$D$962)</f>
        <v/>
      </c>
      <c r="L959">
        <f>IF([2]Entry!$E$962="","",[2]Entry!$E$962)</f>
        <v/>
      </c>
      <c r="M959">
        <f>IF([2]Entry!$G$962="","",[2]Entry!$G$962)</f>
        <v/>
      </c>
      <c r="N959">
        <f>IF([2]Entry!$M$962="","",[2]Entry!$M$962)</f>
        <v/>
      </c>
      <c r="O959">
        <f>IF([2]Entry!$N$962="","",[2]Entry!$N$962)</f>
        <v/>
      </c>
      <c r="P959">
        <f>IF([2]Entry!$R$962="","",[2]Entry!$R$962)</f>
        <v/>
      </c>
    </row>
    <row r="960">
      <c r="J960">
        <f>IF([2]Entry!$C$963="","",[2]Entry!$C$963)</f>
        <v/>
      </c>
      <c r="K960">
        <f>IF([2]Entry!$D$963="","",[2]Entry!$D$963)</f>
        <v/>
      </c>
      <c r="L960">
        <f>IF([2]Entry!$E$963="","",[2]Entry!$E$963)</f>
        <v/>
      </c>
      <c r="M960">
        <f>IF([2]Entry!$G$963="","",[2]Entry!$G$963)</f>
        <v/>
      </c>
      <c r="N960">
        <f>IF([2]Entry!$M$963="","",[2]Entry!$M$963)</f>
        <v/>
      </c>
      <c r="O960">
        <f>IF([2]Entry!$N$963="","",[2]Entry!$N$963)</f>
        <v/>
      </c>
      <c r="P960">
        <f>IF([2]Entry!$R$963="","",[2]Entry!$R$963)</f>
        <v/>
      </c>
    </row>
    <row r="961">
      <c r="J961">
        <f>IF([2]Entry!$C$964="","",[2]Entry!$C$964)</f>
        <v/>
      </c>
      <c r="K961">
        <f>IF([2]Entry!$D$964="","",[2]Entry!$D$964)</f>
        <v/>
      </c>
      <c r="L961">
        <f>IF([2]Entry!$E$964="","",[2]Entry!$E$964)</f>
        <v/>
      </c>
      <c r="M961">
        <f>IF([2]Entry!$G$964="","",[2]Entry!$G$964)</f>
        <v/>
      </c>
      <c r="N961">
        <f>IF([2]Entry!$M$964="","",[2]Entry!$M$964)</f>
        <v/>
      </c>
      <c r="O961">
        <f>IF([2]Entry!$N$964="","",[2]Entry!$N$964)</f>
        <v/>
      </c>
      <c r="P961">
        <f>IF([2]Entry!$R$964="","",[2]Entry!$R$964)</f>
        <v/>
      </c>
    </row>
    <row r="962">
      <c r="J962">
        <f>IF([2]Entry!$C$965="","",[2]Entry!$C$965)</f>
        <v/>
      </c>
      <c r="K962">
        <f>IF([2]Entry!$D$965="","",[2]Entry!$D$965)</f>
        <v/>
      </c>
      <c r="L962">
        <f>IF([2]Entry!$E$965="","",[2]Entry!$E$965)</f>
        <v/>
      </c>
      <c r="M962">
        <f>IF([2]Entry!$G$965="","",[2]Entry!$G$965)</f>
        <v/>
      </c>
      <c r="N962">
        <f>IF([2]Entry!$M$965="","",[2]Entry!$M$965)</f>
        <v/>
      </c>
      <c r="O962">
        <f>IF([2]Entry!$N$965="","",[2]Entry!$N$965)</f>
        <v/>
      </c>
      <c r="P962">
        <f>IF([2]Entry!$R$965="","",[2]Entry!$R$965)</f>
        <v/>
      </c>
    </row>
    <row r="963">
      <c r="J963">
        <f>IF([2]Entry!$C$966="","",[2]Entry!$C$966)</f>
        <v/>
      </c>
      <c r="K963">
        <f>IF([2]Entry!$D$966="","",[2]Entry!$D$966)</f>
        <v/>
      </c>
      <c r="L963">
        <f>IF([2]Entry!$E$966="","",[2]Entry!$E$966)</f>
        <v/>
      </c>
      <c r="M963">
        <f>IF([2]Entry!$G$966="","",[2]Entry!$G$966)</f>
        <v/>
      </c>
      <c r="N963">
        <f>IF([2]Entry!$M$966="","",[2]Entry!$M$966)</f>
        <v/>
      </c>
      <c r="O963">
        <f>IF([2]Entry!$N$966="","",[2]Entry!$N$966)</f>
        <v/>
      </c>
      <c r="P963">
        <f>IF([2]Entry!$R$966="","",[2]Entry!$R$966)</f>
        <v/>
      </c>
    </row>
    <row r="964">
      <c r="J964">
        <f>IF([2]Entry!$C$967="","",[2]Entry!$C$967)</f>
        <v/>
      </c>
      <c r="K964">
        <f>IF([2]Entry!$D$967="","",[2]Entry!$D$967)</f>
        <v/>
      </c>
      <c r="L964">
        <f>IF([2]Entry!$E$967="","",[2]Entry!$E$967)</f>
        <v/>
      </c>
      <c r="M964">
        <f>IF([2]Entry!$G$967="","",[2]Entry!$G$967)</f>
        <v/>
      </c>
      <c r="N964">
        <f>IF([2]Entry!$M$967="","",[2]Entry!$M$967)</f>
        <v/>
      </c>
      <c r="O964">
        <f>IF([2]Entry!$N$967="","",[2]Entry!$N$967)</f>
        <v/>
      </c>
      <c r="P964">
        <f>IF([2]Entry!$R$967="","",[2]Entry!$R$967)</f>
        <v/>
      </c>
    </row>
    <row r="965">
      <c r="J965">
        <f>IF([2]Entry!$C$968="","",[2]Entry!$C$968)</f>
        <v/>
      </c>
      <c r="K965">
        <f>IF([2]Entry!$D$968="","",[2]Entry!$D$968)</f>
        <v/>
      </c>
      <c r="L965">
        <f>IF([2]Entry!$E$968="","",[2]Entry!$E$968)</f>
        <v/>
      </c>
      <c r="M965">
        <f>IF([2]Entry!$G$968="","",[2]Entry!$G$968)</f>
        <v/>
      </c>
      <c r="N965">
        <f>IF([2]Entry!$M$968="","",[2]Entry!$M$968)</f>
        <v/>
      </c>
      <c r="O965">
        <f>IF([2]Entry!$N$968="","",[2]Entry!$N$968)</f>
        <v/>
      </c>
      <c r="P965">
        <f>IF([2]Entry!$R$968="","",[2]Entry!$R$968)</f>
        <v/>
      </c>
    </row>
    <row r="966">
      <c r="J966">
        <f>IF([2]Entry!$C$969="","",[2]Entry!$C$969)</f>
        <v/>
      </c>
      <c r="K966">
        <f>IF([2]Entry!$D$969="","",[2]Entry!$D$969)</f>
        <v/>
      </c>
      <c r="L966">
        <f>IF([2]Entry!$E$969="","",[2]Entry!$E$969)</f>
        <v/>
      </c>
      <c r="M966">
        <f>IF([2]Entry!$G$969="","",[2]Entry!$G$969)</f>
        <v/>
      </c>
      <c r="N966">
        <f>IF([2]Entry!$M$969="","",[2]Entry!$M$969)</f>
        <v/>
      </c>
      <c r="O966">
        <f>IF([2]Entry!$N$969="","",[2]Entry!$N$969)</f>
        <v/>
      </c>
      <c r="P966">
        <f>IF([2]Entry!$R$969="","",[2]Entry!$R$969)</f>
        <v/>
      </c>
    </row>
    <row r="967">
      <c r="J967">
        <f>IF([2]Entry!$C$970="","",[2]Entry!$C$970)</f>
        <v/>
      </c>
      <c r="K967">
        <f>IF([2]Entry!$D$970="","",[2]Entry!$D$970)</f>
        <v/>
      </c>
      <c r="L967">
        <f>IF([2]Entry!$E$970="","",[2]Entry!$E$970)</f>
        <v/>
      </c>
      <c r="M967">
        <f>IF([2]Entry!$G$970="","",[2]Entry!$G$970)</f>
        <v/>
      </c>
      <c r="N967">
        <f>IF([2]Entry!$M$970="","",[2]Entry!$M$970)</f>
        <v/>
      </c>
      <c r="O967">
        <f>IF([2]Entry!$N$970="","",[2]Entry!$N$970)</f>
        <v/>
      </c>
      <c r="P967">
        <f>IF([2]Entry!$R$970="","",[2]Entry!$R$970)</f>
        <v/>
      </c>
    </row>
    <row r="968">
      <c r="J968">
        <f>IF([2]Entry!$C$971="","",[2]Entry!$C$971)</f>
        <v/>
      </c>
      <c r="K968">
        <f>IF([2]Entry!$D$971="","",[2]Entry!$D$971)</f>
        <v/>
      </c>
      <c r="L968">
        <f>IF([2]Entry!$E$971="","",[2]Entry!$E$971)</f>
        <v/>
      </c>
      <c r="M968">
        <f>IF([2]Entry!$G$971="","",[2]Entry!$G$971)</f>
        <v/>
      </c>
      <c r="N968">
        <f>IF([2]Entry!$M$971="","",[2]Entry!$M$971)</f>
        <v/>
      </c>
      <c r="O968">
        <f>IF([2]Entry!$N$971="","",[2]Entry!$N$971)</f>
        <v/>
      </c>
      <c r="P968">
        <f>IF([2]Entry!$R$971="","",[2]Entry!$R$971)</f>
        <v/>
      </c>
    </row>
    <row r="969">
      <c r="J969">
        <f>IF([2]Entry!$C$972="","",[2]Entry!$C$972)</f>
        <v/>
      </c>
      <c r="K969">
        <f>IF([2]Entry!$D$972="","",[2]Entry!$D$972)</f>
        <v/>
      </c>
      <c r="L969">
        <f>IF([2]Entry!$E$972="","",[2]Entry!$E$972)</f>
        <v/>
      </c>
      <c r="M969">
        <f>IF([2]Entry!$G$972="","",[2]Entry!$G$972)</f>
        <v/>
      </c>
      <c r="N969">
        <f>IF([2]Entry!$M$972="","",[2]Entry!$M$972)</f>
        <v/>
      </c>
      <c r="O969">
        <f>IF([2]Entry!$N$972="","",[2]Entry!$N$972)</f>
        <v/>
      </c>
      <c r="P969">
        <f>IF([2]Entry!$R$972="","",[2]Entry!$R$972)</f>
        <v/>
      </c>
    </row>
    <row r="970">
      <c r="J970">
        <f>IF([2]Entry!$C$973="","",[2]Entry!$C$973)</f>
        <v/>
      </c>
      <c r="K970">
        <f>IF([2]Entry!$D$973="","",[2]Entry!$D$973)</f>
        <v/>
      </c>
      <c r="L970">
        <f>IF([2]Entry!$E$973="","",[2]Entry!$E$973)</f>
        <v/>
      </c>
      <c r="M970">
        <f>IF([2]Entry!$G$973="","",[2]Entry!$G$973)</f>
        <v/>
      </c>
      <c r="N970">
        <f>IF([2]Entry!$M$973="","",[2]Entry!$M$973)</f>
        <v/>
      </c>
      <c r="O970">
        <f>IF([2]Entry!$N$973="","",[2]Entry!$N$973)</f>
        <v/>
      </c>
      <c r="P970">
        <f>IF([2]Entry!$R$973="","",[2]Entry!$R$973)</f>
        <v/>
      </c>
    </row>
    <row r="971">
      <c r="J971">
        <f>IF([2]Entry!$C$974="","",[2]Entry!$C$974)</f>
        <v/>
      </c>
      <c r="K971">
        <f>IF([2]Entry!$D$974="","",[2]Entry!$D$974)</f>
        <v/>
      </c>
      <c r="L971">
        <f>IF([2]Entry!$E$974="","",[2]Entry!$E$974)</f>
        <v/>
      </c>
      <c r="M971">
        <f>IF([2]Entry!$G$974="","",[2]Entry!$G$974)</f>
        <v/>
      </c>
      <c r="N971">
        <f>IF([2]Entry!$M$974="","",[2]Entry!$M$974)</f>
        <v/>
      </c>
      <c r="O971">
        <f>IF([2]Entry!$N$974="","",[2]Entry!$N$974)</f>
        <v/>
      </c>
      <c r="P971">
        <f>IF([2]Entry!$R$974="","",[2]Entry!$R$974)</f>
        <v/>
      </c>
    </row>
    <row r="972">
      <c r="J972">
        <f>IF([2]Entry!$C$975="","",[2]Entry!$C$975)</f>
        <v/>
      </c>
      <c r="K972">
        <f>IF([2]Entry!$D$975="","",[2]Entry!$D$975)</f>
        <v/>
      </c>
      <c r="L972">
        <f>IF([2]Entry!$E$975="","",[2]Entry!$E$975)</f>
        <v/>
      </c>
      <c r="M972">
        <f>IF([2]Entry!$G$975="","",[2]Entry!$G$975)</f>
        <v/>
      </c>
      <c r="N972">
        <f>IF([2]Entry!$M$975="","",[2]Entry!$M$975)</f>
        <v/>
      </c>
      <c r="O972">
        <f>IF([2]Entry!$N$975="","",[2]Entry!$N$975)</f>
        <v/>
      </c>
      <c r="P972">
        <f>IF([2]Entry!$R$975="","",[2]Entry!$R$975)</f>
        <v/>
      </c>
    </row>
    <row r="973">
      <c r="J973">
        <f>IF([2]Entry!$C$976="","",[2]Entry!$C$976)</f>
        <v/>
      </c>
      <c r="K973">
        <f>IF([2]Entry!$D$976="","",[2]Entry!$D$976)</f>
        <v/>
      </c>
      <c r="L973">
        <f>IF([2]Entry!$E$976="","",[2]Entry!$E$976)</f>
        <v/>
      </c>
      <c r="M973">
        <f>IF([2]Entry!$G$976="","",[2]Entry!$G$976)</f>
        <v/>
      </c>
      <c r="N973">
        <f>IF([2]Entry!$M$976="","",[2]Entry!$M$976)</f>
        <v/>
      </c>
      <c r="O973">
        <f>IF([2]Entry!$N$976="","",[2]Entry!$N$976)</f>
        <v/>
      </c>
      <c r="P973">
        <f>IF([2]Entry!$R$976="","",[2]Entry!$R$976)</f>
        <v/>
      </c>
    </row>
    <row r="974">
      <c r="J974">
        <f>IF([2]Entry!$C$977="","",[2]Entry!$C$977)</f>
        <v/>
      </c>
      <c r="K974">
        <f>IF([2]Entry!$D$977="","",[2]Entry!$D$977)</f>
        <v/>
      </c>
      <c r="L974">
        <f>IF([2]Entry!$E$977="","",[2]Entry!$E$977)</f>
        <v/>
      </c>
      <c r="M974">
        <f>IF([2]Entry!$G$977="","",[2]Entry!$G$977)</f>
        <v/>
      </c>
      <c r="N974">
        <f>IF([2]Entry!$M$977="","",[2]Entry!$M$977)</f>
        <v/>
      </c>
      <c r="O974">
        <f>IF([2]Entry!$N$977="","",[2]Entry!$N$977)</f>
        <v/>
      </c>
      <c r="P974">
        <f>IF([2]Entry!$R$977="","",[2]Entry!$R$977)</f>
        <v/>
      </c>
    </row>
    <row r="975">
      <c r="J975">
        <f>IF([2]Entry!$C$978="","",[2]Entry!$C$978)</f>
        <v/>
      </c>
      <c r="K975">
        <f>IF([2]Entry!$D$978="","",[2]Entry!$D$978)</f>
        <v/>
      </c>
      <c r="L975">
        <f>IF([2]Entry!$E$978="","",[2]Entry!$E$978)</f>
        <v/>
      </c>
      <c r="M975">
        <f>IF([2]Entry!$G$978="","",[2]Entry!$G$978)</f>
        <v/>
      </c>
      <c r="N975">
        <f>IF([2]Entry!$M$978="","",[2]Entry!$M$978)</f>
        <v/>
      </c>
      <c r="O975">
        <f>IF([2]Entry!$N$978="","",[2]Entry!$N$978)</f>
        <v/>
      </c>
      <c r="P975">
        <f>IF([2]Entry!$R$978="","",[2]Entry!$R$978)</f>
        <v/>
      </c>
    </row>
    <row r="976">
      <c r="J976">
        <f>IF([2]Entry!$C$979="","",[2]Entry!$C$979)</f>
        <v/>
      </c>
      <c r="K976">
        <f>IF([2]Entry!$D$979="","",[2]Entry!$D$979)</f>
        <v/>
      </c>
      <c r="L976">
        <f>IF([2]Entry!$E$979="","",[2]Entry!$E$979)</f>
        <v/>
      </c>
      <c r="M976">
        <f>IF([2]Entry!$G$979="","",[2]Entry!$G$979)</f>
        <v/>
      </c>
      <c r="N976">
        <f>IF([2]Entry!$M$979="","",[2]Entry!$M$979)</f>
        <v/>
      </c>
      <c r="O976">
        <f>IF([2]Entry!$N$979="","",[2]Entry!$N$979)</f>
        <v/>
      </c>
      <c r="P976">
        <f>IF([2]Entry!$R$979="","",[2]Entry!$R$979)</f>
        <v/>
      </c>
    </row>
    <row r="977">
      <c r="J977">
        <f>IF([2]Entry!$C$980="","",[2]Entry!$C$980)</f>
        <v/>
      </c>
      <c r="K977">
        <f>IF([2]Entry!$D$980="","",[2]Entry!$D$980)</f>
        <v/>
      </c>
      <c r="L977">
        <f>IF([2]Entry!$E$980="","",[2]Entry!$E$980)</f>
        <v/>
      </c>
      <c r="M977">
        <f>IF([2]Entry!$G$980="","",[2]Entry!$G$980)</f>
        <v/>
      </c>
      <c r="N977">
        <f>IF([2]Entry!$M$980="","",[2]Entry!$M$980)</f>
        <v/>
      </c>
      <c r="O977">
        <f>IF([2]Entry!$N$980="","",[2]Entry!$N$980)</f>
        <v/>
      </c>
      <c r="P977">
        <f>IF([2]Entry!$R$980="","",[2]Entry!$R$980)</f>
        <v/>
      </c>
    </row>
    <row r="978">
      <c r="J978">
        <f>IF([2]Entry!$C$981="","",[2]Entry!$C$981)</f>
        <v/>
      </c>
      <c r="K978">
        <f>IF([2]Entry!$D$981="","",[2]Entry!$D$981)</f>
        <v/>
      </c>
      <c r="L978">
        <f>IF([2]Entry!$E$981="","",[2]Entry!$E$981)</f>
        <v/>
      </c>
      <c r="M978">
        <f>IF([2]Entry!$G$981="","",[2]Entry!$G$981)</f>
        <v/>
      </c>
      <c r="N978">
        <f>IF([2]Entry!$M$981="","",[2]Entry!$M$981)</f>
        <v/>
      </c>
      <c r="O978">
        <f>IF([2]Entry!$N$981="","",[2]Entry!$N$981)</f>
        <v/>
      </c>
      <c r="P978">
        <f>IF([2]Entry!$R$981="","",[2]Entry!$R$981)</f>
        <v/>
      </c>
    </row>
    <row r="979">
      <c r="J979">
        <f>IF([2]Entry!$C$982="","",[2]Entry!$C$982)</f>
        <v/>
      </c>
      <c r="K979">
        <f>IF([2]Entry!$D$982="","",[2]Entry!$D$982)</f>
        <v/>
      </c>
      <c r="L979">
        <f>IF([2]Entry!$E$982="","",[2]Entry!$E$982)</f>
        <v/>
      </c>
      <c r="M979">
        <f>IF([2]Entry!$G$982="","",[2]Entry!$G$982)</f>
        <v/>
      </c>
      <c r="N979">
        <f>IF([2]Entry!$M$982="","",[2]Entry!$M$982)</f>
        <v/>
      </c>
      <c r="O979">
        <f>IF([2]Entry!$N$982="","",[2]Entry!$N$982)</f>
        <v/>
      </c>
      <c r="P979">
        <f>IF([2]Entry!$R$982="","",[2]Entry!$R$982)</f>
        <v/>
      </c>
    </row>
    <row r="980">
      <c r="J980">
        <f>IF([2]Entry!$C$983="","",[2]Entry!$C$983)</f>
        <v/>
      </c>
      <c r="K980">
        <f>IF([2]Entry!$D$983="","",[2]Entry!$D$983)</f>
        <v/>
      </c>
      <c r="L980">
        <f>IF([2]Entry!$E$983="","",[2]Entry!$E$983)</f>
        <v/>
      </c>
      <c r="M980">
        <f>IF([2]Entry!$G$983="","",[2]Entry!$G$983)</f>
        <v/>
      </c>
      <c r="N980">
        <f>IF([2]Entry!$M$983="","",[2]Entry!$M$983)</f>
        <v/>
      </c>
      <c r="O980">
        <f>IF([2]Entry!$N$983="","",[2]Entry!$N$983)</f>
        <v/>
      </c>
      <c r="P980">
        <f>IF([2]Entry!$R$983="","",[2]Entry!$R$983)</f>
        <v/>
      </c>
    </row>
    <row r="981">
      <c r="J981">
        <f>IF([2]Entry!$C$984="","",[2]Entry!$C$984)</f>
        <v/>
      </c>
      <c r="K981">
        <f>IF([2]Entry!$D$984="","",[2]Entry!$D$984)</f>
        <v/>
      </c>
      <c r="L981">
        <f>IF([2]Entry!$E$984="","",[2]Entry!$E$984)</f>
        <v/>
      </c>
      <c r="M981">
        <f>IF([2]Entry!$G$984="","",[2]Entry!$G$984)</f>
        <v/>
      </c>
      <c r="N981">
        <f>IF([2]Entry!$M$984="","",[2]Entry!$M$984)</f>
        <v/>
      </c>
      <c r="O981">
        <f>IF([2]Entry!$N$984="","",[2]Entry!$N$984)</f>
        <v/>
      </c>
      <c r="P981">
        <f>IF([2]Entry!$R$984="","",[2]Entry!$R$984)</f>
        <v/>
      </c>
    </row>
    <row r="982">
      <c r="J982">
        <f>IF([2]Entry!$C$985="","",[2]Entry!$C$985)</f>
        <v/>
      </c>
      <c r="K982">
        <f>IF([2]Entry!$D$985="","",[2]Entry!$D$985)</f>
        <v/>
      </c>
      <c r="L982">
        <f>IF([2]Entry!$E$985="","",[2]Entry!$E$985)</f>
        <v/>
      </c>
      <c r="M982">
        <f>IF([2]Entry!$G$985="","",[2]Entry!$G$985)</f>
        <v/>
      </c>
      <c r="N982">
        <f>IF([2]Entry!$M$985="","",[2]Entry!$M$985)</f>
        <v/>
      </c>
      <c r="O982">
        <f>IF([2]Entry!$N$985="","",[2]Entry!$N$985)</f>
        <v/>
      </c>
      <c r="P982">
        <f>IF([2]Entry!$R$985="","",[2]Entry!$R$985)</f>
        <v/>
      </c>
    </row>
    <row r="983">
      <c r="J983">
        <f>IF([2]Entry!$C$986="","",[2]Entry!$C$986)</f>
        <v/>
      </c>
      <c r="K983">
        <f>IF([2]Entry!$D$986="","",[2]Entry!$D$986)</f>
        <v/>
      </c>
      <c r="L983">
        <f>IF([2]Entry!$E$986="","",[2]Entry!$E$986)</f>
        <v/>
      </c>
      <c r="M983">
        <f>IF([2]Entry!$G$986="","",[2]Entry!$G$986)</f>
        <v/>
      </c>
      <c r="N983">
        <f>IF([2]Entry!$M$986="","",[2]Entry!$M$986)</f>
        <v/>
      </c>
      <c r="O983">
        <f>IF([2]Entry!$N$986="","",[2]Entry!$N$986)</f>
        <v/>
      </c>
      <c r="P983">
        <f>IF([2]Entry!$R$986="","",[2]Entry!$R$986)</f>
        <v/>
      </c>
    </row>
    <row r="984">
      <c r="J984">
        <f>IF([2]Entry!$C$987="","",[2]Entry!$C$987)</f>
        <v/>
      </c>
      <c r="K984">
        <f>IF([2]Entry!$D$987="","",[2]Entry!$D$987)</f>
        <v/>
      </c>
      <c r="L984">
        <f>IF([2]Entry!$E$987="","",[2]Entry!$E$987)</f>
        <v/>
      </c>
      <c r="M984">
        <f>IF([2]Entry!$G$987="","",[2]Entry!$G$987)</f>
        <v/>
      </c>
      <c r="N984">
        <f>IF([2]Entry!$M$987="","",[2]Entry!$M$987)</f>
        <v/>
      </c>
      <c r="O984">
        <f>IF([2]Entry!$N$987="","",[2]Entry!$N$987)</f>
        <v/>
      </c>
      <c r="P984">
        <f>IF([2]Entry!$R$987="","",[2]Entry!$R$987)</f>
        <v/>
      </c>
    </row>
    <row r="985">
      <c r="J985">
        <f>IF([2]Entry!$C$988="","",[2]Entry!$C$988)</f>
        <v/>
      </c>
      <c r="K985">
        <f>IF([2]Entry!$D$988="","",[2]Entry!$D$988)</f>
        <v/>
      </c>
      <c r="L985">
        <f>IF([2]Entry!$E$988="","",[2]Entry!$E$988)</f>
        <v/>
      </c>
      <c r="M985">
        <f>IF([2]Entry!$G$988="","",[2]Entry!$G$988)</f>
        <v/>
      </c>
      <c r="N985">
        <f>IF([2]Entry!$M$988="","",[2]Entry!$M$988)</f>
        <v/>
      </c>
      <c r="O985">
        <f>IF([2]Entry!$N$988="","",[2]Entry!$N$988)</f>
        <v/>
      </c>
      <c r="P985">
        <f>IF([2]Entry!$R$988="","",[2]Entry!$R$988)</f>
        <v/>
      </c>
    </row>
    <row r="986">
      <c r="J986">
        <f>IF([2]Entry!$C$989="","",[2]Entry!$C$989)</f>
        <v/>
      </c>
      <c r="K986">
        <f>IF([2]Entry!$D$989="","",[2]Entry!$D$989)</f>
        <v/>
      </c>
      <c r="L986">
        <f>IF([2]Entry!$E$989="","",[2]Entry!$E$989)</f>
        <v/>
      </c>
      <c r="M986">
        <f>IF([2]Entry!$G$989="","",[2]Entry!$G$989)</f>
        <v/>
      </c>
      <c r="N986">
        <f>IF([2]Entry!$M$989="","",[2]Entry!$M$989)</f>
        <v/>
      </c>
      <c r="O986">
        <f>IF([2]Entry!$N$989="","",[2]Entry!$N$989)</f>
        <v/>
      </c>
      <c r="P986">
        <f>IF([2]Entry!$R$989="","",[2]Entry!$R$989)</f>
        <v/>
      </c>
    </row>
    <row r="987">
      <c r="J987">
        <f>IF([2]Entry!$C$990="","",[2]Entry!$C$990)</f>
        <v/>
      </c>
      <c r="K987">
        <f>IF([2]Entry!$D$990="","",[2]Entry!$D$990)</f>
        <v/>
      </c>
      <c r="L987">
        <f>IF([2]Entry!$E$990="","",[2]Entry!$E$990)</f>
        <v/>
      </c>
      <c r="M987">
        <f>IF([2]Entry!$G$990="","",[2]Entry!$G$990)</f>
        <v/>
      </c>
      <c r="N987">
        <f>IF([2]Entry!$M$990="","",[2]Entry!$M$990)</f>
        <v/>
      </c>
      <c r="O987">
        <f>IF([2]Entry!$N$990="","",[2]Entry!$N$990)</f>
        <v/>
      </c>
      <c r="P987">
        <f>IF([2]Entry!$R$990="","",[2]Entry!$R$990)</f>
        <v/>
      </c>
    </row>
    <row r="988">
      <c r="J988">
        <f>IF([2]Entry!$C$991="","",[2]Entry!$C$991)</f>
        <v/>
      </c>
      <c r="K988">
        <f>IF([2]Entry!$D$991="","",[2]Entry!$D$991)</f>
        <v/>
      </c>
      <c r="L988">
        <f>IF([2]Entry!$E$991="","",[2]Entry!$E$991)</f>
        <v/>
      </c>
      <c r="M988">
        <f>IF([2]Entry!$G$991="","",[2]Entry!$G$991)</f>
        <v/>
      </c>
      <c r="N988">
        <f>IF([2]Entry!$M$991="","",[2]Entry!$M$991)</f>
        <v/>
      </c>
      <c r="O988">
        <f>IF([2]Entry!$N$991="","",[2]Entry!$N$991)</f>
        <v/>
      </c>
      <c r="P988">
        <f>IF([2]Entry!$R$991="","",[2]Entry!$R$991)</f>
        <v/>
      </c>
    </row>
    <row r="989">
      <c r="J989">
        <f>IF([2]Entry!$C$992="","",[2]Entry!$C$992)</f>
        <v/>
      </c>
      <c r="K989">
        <f>IF([2]Entry!$D$992="","",[2]Entry!$D$992)</f>
        <v/>
      </c>
      <c r="L989">
        <f>IF([2]Entry!$E$992="","",[2]Entry!$E$992)</f>
        <v/>
      </c>
      <c r="M989">
        <f>IF([2]Entry!$G$992="","",[2]Entry!$G$992)</f>
        <v/>
      </c>
      <c r="N989">
        <f>IF([2]Entry!$M$992="","",[2]Entry!$M$992)</f>
        <v/>
      </c>
      <c r="O989">
        <f>IF([2]Entry!$N$992="","",[2]Entry!$N$992)</f>
        <v/>
      </c>
      <c r="P989">
        <f>IF([2]Entry!$R$992="","",[2]Entry!$R$992)</f>
        <v/>
      </c>
    </row>
    <row r="990">
      <c r="J990">
        <f>IF([2]Entry!$C$993="","",[2]Entry!$C$993)</f>
        <v/>
      </c>
      <c r="K990">
        <f>IF([2]Entry!$D$993="","",[2]Entry!$D$993)</f>
        <v/>
      </c>
      <c r="L990">
        <f>IF([2]Entry!$E$993="","",[2]Entry!$E$993)</f>
        <v/>
      </c>
      <c r="M990">
        <f>IF([2]Entry!$G$993="","",[2]Entry!$G$993)</f>
        <v/>
      </c>
      <c r="N990">
        <f>IF([2]Entry!$M$993="","",[2]Entry!$M$993)</f>
        <v/>
      </c>
      <c r="O990">
        <f>IF([2]Entry!$N$993="","",[2]Entry!$N$993)</f>
        <v/>
      </c>
      <c r="P990">
        <f>IF([2]Entry!$R$993="","",[2]Entry!$R$993)</f>
        <v/>
      </c>
    </row>
    <row r="991">
      <c r="J991">
        <f>IF([2]Entry!$C$994="","",[2]Entry!$C$994)</f>
        <v/>
      </c>
      <c r="K991">
        <f>IF([2]Entry!$D$994="","",[2]Entry!$D$994)</f>
        <v/>
      </c>
      <c r="L991">
        <f>IF([2]Entry!$E$994="","",[2]Entry!$E$994)</f>
        <v/>
      </c>
      <c r="M991">
        <f>IF([2]Entry!$G$994="","",[2]Entry!$G$994)</f>
        <v/>
      </c>
      <c r="N991">
        <f>IF([2]Entry!$M$994="","",[2]Entry!$M$994)</f>
        <v/>
      </c>
      <c r="O991">
        <f>IF([2]Entry!$N$994="","",[2]Entry!$N$994)</f>
        <v/>
      </c>
      <c r="P991">
        <f>IF([2]Entry!$R$994="","",[2]Entry!$R$994)</f>
        <v/>
      </c>
    </row>
    <row r="992">
      <c r="J992">
        <f>IF([2]Entry!$C$995="","",[2]Entry!$C$995)</f>
        <v/>
      </c>
      <c r="K992">
        <f>IF([2]Entry!$D$995="","",[2]Entry!$D$995)</f>
        <v/>
      </c>
      <c r="L992">
        <f>IF([2]Entry!$E$995="","",[2]Entry!$E$995)</f>
        <v/>
      </c>
      <c r="M992">
        <f>IF([2]Entry!$G$995="","",[2]Entry!$G$995)</f>
        <v/>
      </c>
      <c r="N992">
        <f>IF([2]Entry!$M$995="","",[2]Entry!$M$995)</f>
        <v/>
      </c>
      <c r="O992">
        <f>IF([2]Entry!$N$995="","",[2]Entry!$N$995)</f>
        <v/>
      </c>
      <c r="P992">
        <f>IF([2]Entry!$R$995="","",[2]Entry!$R$995)</f>
        <v/>
      </c>
    </row>
    <row r="993">
      <c r="J993">
        <f>IF([2]Entry!$C$996="","",[2]Entry!$C$996)</f>
        <v/>
      </c>
      <c r="K993">
        <f>IF([2]Entry!$D$996="","",[2]Entry!$D$996)</f>
        <v/>
      </c>
      <c r="L993">
        <f>IF([2]Entry!$E$996="","",[2]Entry!$E$996)</f>
        <v/>
      </c>
      <c r="M993">
        <f>IF([2]Entry!$G$996="","",[2]Entry!$G$996)</f>
        <v/>
      </c>
      <c r="N993">
        <f>IF([2]Entry!$M$996="","",[2]Entry!$M$996)</f>
        <v/>
      </c>
      <c r="O993">
        <f>IF([2]Entry!$N$996="","",[2]Entry!$N$996)</f>
        <v/>
      </c>
      <c r="P993">
        <f>IF([2]Entry!$R$996="","",[2]Entry!$R$996)</f>
        <v/>
      </c>
    </row>
    <row r="994">
      <c r="J994">
        <f>IF([2]Entry!$C$997="","",[2]Entry!$C$997)</f>
        <v/>
      </c>
      <c r="K994">
        <f>IF([2]Entry!$D$997="","",[2]Entry!$D$997)</f>
        <v/>
      </c>
      <c r="L994">
        <f>IF([2]Entry!$E$997="","",[2]Entry!$E$997)</f>
        <v/>
      </c>
      <c r="M994">
        <f>IF([2]Entry!$G$997="","",[2]Entry!$G$997)</f>
        <v/>
      </c>
      <c r="N994">
        <f>IF([2]Entry!$M$997="","",[2]Entry!$M$997)</f>
        <v/>
      </c>
      <c r="O994">
        <f>IF([2]Entry!$N$997="","",[2]Entry!$N$997)</f>
        <v/>
      </c>
      <c r="P994">
        <f>IF([2]Entry!$R$997="","",[2]Entry!$R$997)</f>
        <v/>
      </c>
    </row>
    <row r="995">
      <c r="J995">
        <f>IF([2]Entry!$C$998="","",[2]Entry!$C$998)</f>
        <v/>
      </c>
      <c r="K995">
        <f>IF([2]Entry!$D$998="","",[2]Entry!$D$998)</f>
        <v/>
      </c>
      <c r="L995">
        <f>IF([2]Entry!$E$998="","",[2]Entry!$E$998)</f>
        <v/>
      </c>
      <c r="M995">
        <f>IF([2]Entry!$G$998="","",[2]Entry!$G$998)</f>
        <v/>
      </c>
      <c r="N995">
        <f>IF([2]Entry!$M$998="","",[2]Entry!$M$998)</f>
        <v/>
      </c>
      <c r="O995">
        <f>IF([2]Entry!$N$998="","",[2]Entry!$N$998)</f>
        <v/>
      </c>
      <c r="P995">
        <f>IF([2]Entry!$R$998="","",[2]Entry!$R$998)</f>
        <v/>
      </c>
    </row>
    <row r="996">
      <c r="J996">
        <f>IF([2]Entry!$C$999="","",[2]Entry!$C$999)</f>
        <v/>
      </c>
      <c r="K996">
        <f>IF([2]Entry!$D$999="","",[2]Entry!$D$999)</f>
        <v/>
      </c>
      <c r="L996">
        <f>IF([2]Entry!$E$999="","",[2]Entry!$E$999)</f>
        <v/>
      </c>
      <c r="M996">
        <f>IF([2]Entry!$G$999="","",[2]Entry!$G$999)</f>
        <v/>
      </c>
      <c r="N996">
        <f>IF([2]Entry!$M$999="","",[2]Entry!$M$999)</f>
        <v/>
      </c>
      <c r="O996">
        <f>IF([2]Entry!$N$999="","",[2]Entry!$N$999)</f>
        <v/>
      </c>
      <c r="P996">
        <f>IF([2]Entry!$R$999="","",[2]Entry!$R$999)</f>
        <v/>
      </c>
    </row>
    <row r="997">
      <c r="J997">
        <f>IF([2]Entry!$C$1000="","",[2]Entry!$C$1000)</f>
        <v/>
      </c>
      <c r="K997">
        <f>IF([2]Entry!$D$1000="","",[2]Entry!$D$1000)</f>
        <v/>
      </c>
      <c r="L997">
        <f>IF([2]Entry!$E$1000="","",[2]Entry!$E$1000)</f>
        <v/>
      </c>
      <c r="M997">
        <f>IF([2]Entry!$G$1000="","",[2]Entry!$G$1000)</f>
        <v/>
      </c>
      <c r="N997">
        <f>IF([2]Entry!$M$1000="","",[2]Entry!$M$1000)</f>
        <v/>
      </c>
      <c r="O997">
        <f>IF([2]Entry!$N$1000="","",[2]Entry!$N$1000)</f>
        <v/>
      </c>
      <c r="P997">
        <f>IF([2]Entry!$R$1000="","",[2]Entry!$R$1000)</f>
        <v/>
      </c>
    </row>
    <row r="998">
      <c r="J998">
        <f>IF([2]Entry!$C$1001="","",[2]Entry!$C$1001)</f>
        <v/>
      </c>
      <c r="K998">
        <f>IF([2]Entry!$D$1001="","",[2]Entry!$D$1001)</f>
        <v/>
      </c>
      <c r="L998">
        <f>IF([2]Entry!$E$1001="","",[2]Entry!$E$1001)</f>
        <v/>
      </c>
      <c r="M998">
        <f>IF([2]Entry!$G$1001="","",[2]Entry!$G$1001)</f>
        <v/>
      </c>
      <c r="N998">
        <f>IF([2]Entry!$M$1001="","",[2]Entry!$M$1001)</f>
        <v/>
      </c>
      <c r="O998">
        <f>IF([2]Entry!$N$1001="","",[2]Entry!$N$1001)</f>
        <v/>
      </c>
      <c r="P998">
        <f>IF([2]Entry!$R$1001="","",[2]Entry!$R$1001)</f>
        <v/>
      </c>
    </row>
    <row r="999">
      <c r="J999">
        <f>IF([2]Entry!$C$1002="","",[2]Entry!$C$1002)</f>
        <v/>
      </c>
      <c r="K999">
        <f>IF([2]Entry!$D$1002="","",[2]Entry!$D$1002)</f>
        <v/>
      </c>
      <c r="L999">
        <f>IF([2]Entry!$E$1002="","",[2]Entry!$E$1002)</f>
        <v/>
      </c>
      <c r="M999">
        <f>IF([2]Entry!$G$1002="","",[2]Entry!$G$1002)</f>
        <v/>
      </c>
      <c r="N999">
        <f>IF([2]Entry!$M$1002="","",[2]Entry!$M$1002)</f>
        <v/>
      </c>
      <c r="O999">
        <f>IF([2]Entry!$N$1002="","",[2]Entry!$N$1002)</f>
        <v/>
      </c>
      <c r="P999">
        <f>IF([2]Entry!$R$1002="","",[2]Entry!$R$1002)</f>
        <v/>
      </c>
    </row>
    <row r="1000">
      <c r="J1000">
        <f>IF([2]Entry!$C$1003="","",[2]Entry!$C$1003)</f>
        <v/>
      </c>
      <c r="K1000">
        <f>IF([2]Entry!$D$1003="","",[2]Entry!$D$1003)</f>
        <v/>
      </c>
      <c r="L1000">
        <f>IF([2]Entry!$E$1003="","",[2]Entry!$E$1003)</f>
        <v/>
      </c>
      <c r="M1000">
        <f>IF([2]Entry!$G$1003="","",[2]Entry!$G$1003)</f>
        <v/>
      </c>
      <c r="N1000">
        <f>IF([2]Entry!$M$1003="","",[2]Entry!$M$1003)</f>
        <v/>
      </c>
      <c r="O1000">
        <f>IF([2]Entry!$N$1003="","",[2]Entry!$N$1003)</f>
        <v/>
      </c>
      <c r="P1000">
        <f>IF([2]Entry!$R$1003="","",[2]Entry!$R$1003)</f>
        <v/>
      </c>
    </row>
    <row r="1001">
      <c r="J1001">
        <f>IF([2]Entry!$C$1004="","",[2]Entry!$C$1004)</f>
        <v/>
      </c>
      <c r="K1001">
        <f>IF([2]Entry!$D$1004="","",[2]Entry!$D$1004)</f>
        <v/>
      </c>
      <c r="L1001">
        <f>IF([2]Entry!$E$1004="","",[2]Entry!$E$1004)</f>
        <v/>
      </c>
      <c r="M1001">
        <f>IF([2]Entry!$G$1004="","",[2]Entry!$G$1004)</f>
        <v/>
      </c>
      <c r="N1001">
        <f>IF([2]Entry!$M$1004="","",[2]Entry!$M$1004)</f>
        <v/>
      </c>
      <c r="O1001">
        <f>IF([2]Entry!$N$1004="","",[2]Entry!$N$1004)</f>
        <v/>
      </c>
      <c r="P1001">
        <f>IF([2]Entry!$R$1004="","",[2]Entry!$R$1004)</f>
        <v/>
      </c>
    </row>
    <row r="1002">
      <c r="J1002">
        <f>IF([2]Entry!$C$1005="","",[2]Entry!$C$1005)</f>
        <v/>
      </c>
      <c r="K1002">
        <f>IF([2]Entry!$D$1005="","",[2]Entry!$D$1005)</f>
        <v/>
      </c>
      <c r="L1002">
        <f>IF([2]Entry!$E$1005="","",[2]Entry!$E$1005)</f>
        <v/>
      </c>
      <c r="M1002">
        <f>IF([2]Entry!$G$1005="","",[2]Entry!$G$1005)</f>
        <v/>
      </c>
      <c r="N1002">
        <f>IF([2]Entry!$M$1005="","",[2]Entry!$M$1005)</f>
        <v/>
      </c>
      <c r="O1002">
        <f>IF([2]Entry!$N$1005="","",[2]Entry!$N$1005)</f>
        <v/>
      </c>
      <c r="P1002">
        <f>IF([2]Entry!$R$1005="","",[2]Entry!$R$1005)</f>
        <v/>
      </c>
    </row>
    <row r="1003">
      <c r="J1003">
        <f>IF([2]Entry!$C$1006="","",[2]Entry!$C$1006)</f>
        <v/>
      </c>
      <c r="K1003">
        <f>IF([2]Entry!$D$1006="","",[2]Entry!$D$1006)</f>
        <v/>
      </c>
      <c r="L1003">
        <f>IF([2]Entry!$E$1006="","",[2]Entry!$E$1006)</f>
        <v/>
      </c>
      <c r="M1003">
        <f>IF([2]Entry!$G$1006="","",[2]Entry!$G$1006)</f>
        <v/>
      </c>
      <c r="N1003">
        <f>IF([2]Entry!$M$1006="","",[2]Entry!$M$1006)</f>
        <v/>
      </c>
      <c r="O1003">
        <f>IF([2]Entry!$N$1006="","",[2]Entry!$N$1006)</f>
        <v/>
      </c>
      <c r="P1003">
        <f>IF([2]Entry!$R$1006="","",[2]Entry!$R$1006)</f>
        <v/>
      </c>
    </row>
    <row r="1004">
      <c r="J1004">
        <f>IF([2]Entry!$C$1007="","",[2]Entry!$C$1007)</f>
        <v/>
      </c>
      <c r="K1004">
        <f>IF([2]Entry!$D$1007="","",[2]Entry!$D$1007)</f>
        <v/>
      </c>
      <c r="L1004">
        <f>IF([2]Entry!$E$1007="","",[2]Entry!$E$1007)</f>
        <v/>
      </c>
      <c r="M1004">
        <f>IF([2]Entry!$G$1007="","",[2]Entry!$G$1007)</f>
        <v/>
      </c>
      <c r="N1004">
        <f>IF([2]Entry!$M$1007="","",[2]Entry!$M$1007)</f>
        <v/>
      </c>
      <c r="O1004">
        <f>IF([2]Entry!$N$1007="","",[2]Entry!$N$1007)</f>
        <v/>
      </c>
      <c r="P1004">
        <f>IF([2]Entry!$R$1007="","",[2]Entry!$R$1007)</f>
        <v/>
      </c>
    </row>
    <row r="1005">
      <c r="J1005">
        <f>IF([2]Entry!$C$1008="","",[2]Entry!$C$1008)</f>
        <v/>
      </c>
      <c r="K1005">
        <f>IF([2]Entry!$D$1008="","",[2]Entry!$D$1008)</f>
        <v/>
      </c>
      <c r="L1005">
        <f>IF([2]Entry!$E$1008="","",[2]Entry!$E$1008)</f>
        <v/>
      </c>
      <c r="M1005">
        <f>IF([2]Entry!$G$1008="","",[2]Entry!$G$1008)</f>
        <v/>
      </c>
      <c r="N1005">
        <f>IF([2]Entry!$M$1008="","",[2]Entry!$M$1008)</f>
        <v/>
      </c>
      <c r="O1005">
        <f>IF([2]Entry!$N$1008="","",[2]Entry!$N$1008)</f>
        <v/>
      </c>
      <c r="P1005">
        <f>IF([2]Entry!$R$1008="","",[2]Entry!$R$1008)</f>
        <v/>
      </c>
    </row>
    <row r="1006">
      <c r="J1006">
        <f>IF([2]Entry!$C$1009="","",[2]Entry!$C$1009)</f>
        <v/>
      </c>
      <c r="K1006">
        <f>IF([2]Entry!$D$1009="","",[2]Entry!$D$1009)</f>
        <v/>
      </c>
      <c r="L1006">
        <f>IF([2]Entry!$E$1009="","",[2]Entry!$E$1009)</f>
        <v/>
      </c>
      <c r="M1006">
        <f>IF([2]Entry!$G$1009="","",[2]Entry!$G$1009)</f>
        <v/>
      </c>
      <c r="N1006">
        <f>IF([2]Entry!$M$1009="","",[2]Entry!$M$1009)</f>
        <v/>
      </c>
      <c r="O1006">
        <f>IF([2]Entry!$N$1009="","",[2]Entry!$N$1009)</f>
        <v/>
      </c>
      <c r="P1006">
        <f>IF([2]Entry!$R$1009="","",[2]Entry!$R$1009)</f>
        <v/>
      </c>
    </row>
    <row r="1007">
      <c r="J1007">
        <f>IF([2]Entry!$C$1010="","",[2]Entry!$C$1010)</f>
        <v/>
      </c>
      <c r="K1007">
        <f>IF([2]Entry!$D$1010="","",[2]Entry!$D$1010)</f>
        <v/>
      </c>
      <c r="L1007">
        <f>IF([2]Entry!$E$1010="","",[2]Entry!$E$1010)</f>
        <v/>
      </c>
      <c r="M1007">
        <f>IF([2]Entry!$G$1010="","",[2]Entry!$G$1010)</f>
        <v/>
      </c>
      <c r="N1007">
        <f>IF([2]Entry!$M$1010="","",[2]Entry!$M$1010)</f>
        <v/>
      </c>
      <c r="O1007">
        <f>IF([2]Entry!$N$1010="","",[2]Entry!$N$1010)</f>
        <v/>
      </c>
      <c r="P1007">
        <f>IF([2]Entry!$R$1010="","",[2]Entry!$R$1010)</f>
        <v/>
      </c>
    </row>
    <row r="1008">
      <c r="J1008">
        <f>IF([2]Entry!$C$1011="","",[2]Entry!$C$1011)</f>
        <v/>
      </c>
      <c r="K1008">
        <f>IF([2]Entry!$D$1011="","",[2]Entry!$D$1011)</f>
        <v/>
      </c>
      <c r="L1008">
        <f>IF([2]Entry!$E$1011="","",[2]Entry!$E$1011)</f>
        <v/>
      </c>
      <c r="M1008">
        <f>IF([2]Entry!$G$1011="","",[2]Entry!$G$1011)</f>
        <v/>
      </c>
      <c r="N1008">
        <f>IF([2]Entry!$M$1011="","",[2]Entry!$M$1011)</f>
        <v/>
      </c>
      <c r="O1008">
        <f>IF([2]Entry!$N$1011="","",[2]Entry!$N$1011)</f>
        <v/>
      </c>
      <c r="P1008">
        <f>IF([2]Entry!$R$1011="","",[2]Entry!$R$1011)</f>
        <v/>
      </c>
    </row>
    <row r="1009">
      <c r="J1009">
        <f>IF([2]Entry!$C$1012="","",[2]Entry!$C$1012)</f>
        <v/>
      </c>
      <c r="K1009">
        <f>IF([2]Entry!$D$1012="","",[2]Entry!$D$1012)</f>
        <v/>
      </c>
      <c r="L1009">
        <f>IF([2]Entry!$E$1012="","",[2]Entry!$E$1012)</f>
        <v/>
      </c>
      <c r="M1009">
        <f>IF([2]Entry!$G$1012="","",[2]Entry!$G$1012)</f>
        <v/>
      </c>
      <c r="N1009">
        <f>IF([2]Entry!$M$1012="","",[2]Entry!$M$1012)</f>
        <v/>
      </c>
      <c r="O1009">
        <f>IF([2]Entry!$N$1012="","",[2]Entry!$N$1012)</f>
        <v/>
      </c>
      <c r="P1009">
        <f>IF([2]Entry!$R$1012="","",[2]Entry!$R$1012)</f>
        <v/>
      </c>
    </row>
    <row r="1010">
      <c r="J1010">
        <f>IF([2]Entry!$C$1013="","",[2]Entry!$C$1013)</f>
        <v/>
      </c>
      <c r="K1010">
        <f>IF([2]Entry!$D$1013="","",[2]Entry!$D$1013)</f>
        <v/>
      </c>
      <c r="L1010">
        <f>IF([2]Entry!$E$1013="","",[2]Entry!$E$1013)</f>
        <v/>
      </c>
      <c r="M1010">
        <f>IF([2]Entry!$G$1013="","",[2]Entry!$G$1013)</f>
        <v/>
      </c>
      <c r="N1010">
        <f>IF([2]Entry!$M$1013="","",[2]Entry!$M$1013)</f>
        <v/>
      </c>
      <c r="O1010">
        <f>IF([2]Entry!$N$1013="","",[2]Entry!$N$1013)</f>
        <v/>
      </c>
      <c r="P1010">
        <f>IF([2]Entry!$R$1013="","",[2]Entry!$R$1013)</f>
        <v/>
      </c>
    </row>
    <row r="1011">
      <c r="J1011">
        <f>IF([2]Entry!$C$1014="","",[2]Entry!$C$1014)</f>
        <v/>
      </c>
      <c r="K1011">
        <f>IF([2]Entry!$D$1014="","",[2]Entry!$D$1014)</f>
        <v/>
      </c>
      <c r="L1011">
        <f>IF([2]Entry!$E$1014="","",[2]Entry!$E$1014)</f>
        <v/>
      </c>
      <c r="M1011">
        <f>IF([2]Entry!$G$1014="","",[2]Entry!$G$1014)</f>
        <v/>
      </c>
      <c r="N1011">
        <f>IF([2]Entry!$M$1014="","",[2]Entry!$M$1014)</f>
        <v/>
      </c>
      <c r="O1011">
        <f>IF([2]Entry!$N$1014="","",[2]Entry!$N$1014)</f>
        <v/>
      </c>
      <c r="P1011">
        <f>IF([2]Entry!$R$1014="","",[2]Entry!$R$1014)</f>
        <v/>
      </c>
    </row>
    <row r="1012">
      <c r="J1012">
        <f>IF([2]Entry!$C$1015="","",[2]Entry!$C$1015)</f>
        <v/>
      </c>
      <c r="K1012">
        <f>IF([2]Entry!$D$1015="","",[2]Entry!$D$1015)</f>
        <v/>
      </c>
      <c r="L1012">
        <f>IF([2]Entry!$E$1015="","",[2]Entry!$E$1015)</f>
        <v/>
      </c>
      <c r="M1012">
        <f>IF([2]Entry!$G$1015="","",[2]Entry!$G$1015)</f>
        <v/>
      </c>
      <c r="N1012">
        <f>IF([2]Entry!$M$1015="","",[2]Entry!$M$1015)</f>
        <v/>
      </c>
      <c r="O1012">
        <f>IF([2]Entry!$N$1015="","",[2]Entry!$N$1015)</f>
        <v/>
      </c>
      <c r="P1012">
        <f>IF([2]Entry!$R$1015="","",[2]Entry!$R$1015)</f>
        <v/>
      </c>
    </row>
    <row r="1013">
      <c r="J1013">
        <f>IF([2]Entry!$C$1016="","",[2]Entry!$C$1016)</f>
        <v/>
      </c>
      <c r="K1013">
        <f>IF([2]Entry!$D$1016="","",[2]Entry!$D$1016)</f>
        <v/>
      </c>
      <c r="L1013">
        <f>IF([2]Entry!$E$1016="","",[2]Entry!$E$1016)</f>
        <v/>
      </c>
      <c r="M1013">
        <f>IF([2]Entry!$G$1016="","",[2]Entry!$G$1016)</f>
        <v/>
      </c>
      <c r="N1013">
        <f>IF([2]Entry!$M$1016="","",[2]Entry!$M$1016)</f>
        <v/>
      </c>
      <c r="O1013">
        <f>IF([2]Entry!$N$1016="","",[2]Entry!$N$1016)</f>
        <v/>
      </c>
      <c r="P1013">
        <f>IF([2]Entry!$R$1016="","",[2]Entry!$R$1016)</f>
        <v/>
      </c>
    </row>
    <row r="1014">
      <c r="J1014">
        <f>IF([2]Entry!$C$1017="","",[2]Entry!$C$1017)</f>
        <v/>
      </c>
      <c r="K1014">
        <f>IF([2]Entry!$D$1017="","",[2]Entry!$D$1017)</f>
        <v/>
      </c>
      <c r="L1014">
        <f>IF([2]Entry!$E$1017="","",[2]Entry!$E$1017)</f>
        <v/>
      </c>
      <c r="M1014">
        <f>IF([2]Entry!$G$1017="","",[2]Entry!$G$1017)</f>
        <v/>
      </c>
      <c r="N1014">
        <f>IF([2]Entry!$M$1017="","",[2]Entry!$M$1017)</f>
        <v/>
      </c>
      <c r="O1014">
        <f>IF([2]Entry!$N$1017="","",[2]Entry!$N$1017)</f>
        <v/>
      </c>
      <c r="P1014">
        <f>IF([2]Entry!$R$1017="","",[2]Entry!$R$1017)</f>
        <v/>
      </c>
    </row>
    <row r="1015">
      <c r="J1015">
        <f>IF([2]Entry!$C$1018="","",[2]Entry!$C$1018)</f>
        <v/>
      </c>
      <c r="K1015">
        <f>IF([2]Entry!$D$1018="","",[2]Entry!$D$1018)</f>
        <v/>
      </c>
      <c r="L1015">
        <f>IF([2]Entry!$E$1018="","",[2]Entry!$E$1018)</f>
        <v/>
      </c>
      <c r="M1015">
        <f>IF([2]Entry!$G$1018="","",[2]Entry!$G$1018)</f>
        <v/>
      </c>
      <c r="N1015">
        <f>IF([2]Entry!$M$1018="","",[2]Entry!$M$1018)</f>
        <v/>
      </c>
      <c r="O1015">
        <f>IF([2]Entry!$N$1018="","",[2]Entry!$N$1018)</f>
        <v/>
      </c>
      <c r="P1015">
        <f>IF([2]Entry!$R$1018="","",[2]Entry!$R$1018)</f>
        <v/>
      </c>
    </row>
    <row r="1016">
      <c r="J1016">
        <f>IF([2]Entry!$C$1019="","",[2]Entry!$C$1019)</f>
        <v/>
      </c>
      <c r="K1016">
        <f>IF([2]Entry!$D$1019="","",[2]Entry!$D$1019)</f>
        <v/>
      </c>
      <c r="L1016">
        <f>IF([2]Entry!$E$1019="","",[2]Entry!$E$1019)</f>
        <v/>
      </c>
      <c r="M1016">
        <f>IF([2]Entry!$G$1019="","",[2]Entry!$G$1019)</f>
        <v/>
      </c>
      <c r="N1016">
        <f>IF([2]Entry!$M$1019="","",[2]Entry!$M$1019)</f>
        <v/>
      </c>
      <c r="O1016">
        <f>IF([2]Entry!$N$1019="","",[2]Entry!$N$1019)</f>
        <v/>
      </c>
      <c r="P1016">
        <f>IF([2]Entry!$R$1019="","",[2]Entry!$R$1019)</f>
        <v/>
      </c>
    </row>
    <row r="1017">
      <c r="J1017">
        <f>IF([2]Entry!$C$1020="","",[2]Entry!$C$1020)</f>
        <v/>
      </c>
      <c r="K1017">
        <f>IF([2]Entry!$D$1020="","",[2]Entry!$D$1020)</f>
        <v/>
      </c>
      <c r="L1017">
        <f>IF([2]Entry!$E$1020="","",[2]Entry!$E$1020)</f>
        <v/>
      </c>
      <c r="M1017">
        <f>IF([2]Entry!$G$1020="","",[2]Entry!$G$1020)</f>
        <v/>
      </c>
      <c r="N1017">
        <f>IF([2]Entry!$M$1020="","",[2]Entry!$M$1020)</f>
        <v/>
      </c>
      <c r="O1017">
        <f>IF([2]Entry!$N$1020="","",[2]Entry!$N$1020)</f>
        <v/>
      </c>
      <c r="P1017">
        <f>IF([2]Entry!$R$1020="","",[2]Entry!$R$1020)</f>
        <v/>
      </c>
    </row>
    <row r="1018">
      <c r="J1018">
        <f>IF([2]Entry!$C$1021="","",[2]Entry!$C$1021)</f>
        <v/>
      </c>
      <c r="K1018">
        <f>IF([2]Entry!$D$1021="","",[2]Entry!$D$1021)</f>
        <v/>
      </c>
      <c r="L1018">
        <f>IF([2]Entry!$E$1021="","",[2]Entry!$E$1021)</f>
        <v/>
      </c>
      <c r="M1018">
        <f>IF([2]Entry!$G$1021="","",[2]Entry!$G$1021)</f>
        <v/>
      </c>
      <c r="N1018">
        <f>IF([2]Entry!$M$1021="","",[2]Entry!$M$1021)</f>
        <v/>
      </c>
      <c r="O1018">
        <f>IF([2]Entry!$N$1021="","",[2]Entry!$N$1021)</f>
        <v/>
      </c>
      <c r="P1018">
        <f>IF([2]Entry!$R$1021="","",[2]Entry!$R$1021)</f>
        <v/>
      </c>
    </row>
    <row r="1019">
      <c r="J1019">
        <f>IF([2]Entry!$C$1022="","",[2]Entry!$C$1022)</f>
        <v/>
      </c>
      <c r="K1019">
        <f>IF([2]Entry!$D$1022="","",[2]Entry!$D$1022)</f>
        <v/>
      </c>
      <c r="L1019">
        <f>IF([2]Entry!$E$1022="","",[2]Entry!$E$1022)</f>
        <v/>
      </c>
      <c r="M1019">
        <f>IF([2]Entry!$G$1022="","",[2]Entry!$G$1022)</f>
        <v/>
      </c>
      <c r="N1019">
        <f>IF([2]Entry!$M$1022="","",[2]Entry!$M$1022)</f>
        <v/>
      </c>
      <c r="O1019">
        <f>IF([2]Entry!$N$1022="","",[2]Entry!$N$1022)</f>
        <v/>
      </c>
      <c r="P1019">
        <f>IF([2]Entry!$R$1022="","",[2]Entry!$R$1022)</f>
        <v/>
      </c>
    </row>
    <row r="1020">
      <c r="J1020">
        <f>IF([2]Entry!$C$1023="","",[2]Entry!$C$1023)</f>
        <v/>
      </c>
      <c r="K1020">
        <f>IF([2]Entry!$D$1023="","",[2]Entry!$D$1023)</f>
        <v/>
      </c>
      <c r="L1020">
        <f>IF([2]Entry!$E$1023="","",[2]Entry!$E$1023)</f>
        <v/>
      </c>
      <c r="M1020">
        <f>IF([2]Entry!$G$1023="","",[2]Entry!$G$1023)</f>
        <v/>
      </c>
      <c r="N1020">
        <f>IF([2]Entry!$M$1023="","",[2]Entry!$M$1023)</f>
        <v/>
      </c>
      <c r="O1020">
        <f>IF([2]Entry!$N$1023="","",[2]Entry!$N$1023)</f>
        <v/>
      </c>
      <c r="P1020">
        <f>IF([2]Entry!$R$1023="","",[2]Entry!$R$1023)</f>
        <v/>
      </c>
    </row>
    <row r="1021">
      <c r="J1021">
        <f>IF([2]Entry!$C$1024="","",[2]Entry!$C$1024)</f>
        <v/>
      </c>
      <c r="K1021">
        <f>IF([2]Entry!$D$1024="","",[2]Entry!$D$1024)</f>
        <v/>
      </c>
      <c r="L1021">
        <f>IF([2]Entry!$E$1024="","",[2]Entry!$E$1024)</f>
        <v/>
      </c>
      <c r="M1021">
        <f>IF([2]Entry!$G$1024="","",[2]Entry!$G$1024)</f>
        <v/>
      </c>
      <c r="N1021">
        <f>IF([2]Entry!$M$1024="","",[2]Entry!$M$1024)</f>
        <v/>
      </c>
      <c r="O1021">
        <f>IF([2]Entry!$N$1024="","",[2]Entry!$N$1024)</f>
        <v/>
      </c>
      <c r="P1021">
        <f>IF([2]Entry!$R$1024="","",[2]Entry!$R$1024)</f>
        <v/>
      </c>
    </row>
    <row r="1022">
      <c r="J1022">
        <f>IF([2]Entry!$C$1025="","",[2]Entry!$C$1025)</f>
        <v/>
      </c>
      <c r="K1022">
        <f>IF([2]Entry!$D$1025="","",[2]Entry!$D$1025)</f>
        <v/>
      </c>
      <c r="L1022">
        <f>IF([2]Entry!$E$1025="","",[2]Entry!$E$1025)</f>
        <v/>
      </c>
      <c r="M1022">
        <f>IF([2]Entry!$G$1025="","",[2]Entry!$G$1025)</f>
        <v/>
      </c>
      <c r="N1022">
        <f>IF([2]Entry!$M$1025="","",[2]Entry!$M$1025)</f>
        <v/>
      </c>
      <c r="O1022">
        <f>IF([2]Entry!$N$1025="","",[2]Entry!$N$1025)</f>
        <v/>
      </c>
      <c r="P1022">
        <f>IF([2]Entry!$R$1025="","",[2]Entry!$R$1025)</f>
        <v/>
      </c>
    </row>
    <row r="1023">
      <c r="J1023">
        <f>IF([2]Entry!$C$1026="","",[2]Entry!$C$1026)</f>
        <v/>
      </c>
      <c r="K1023">
        <f>IF([2]Entry!$D$1026="","",[2]Entry!$D$1026)</f>
        <v/>
      </c>
      <c r="L1023">
        <f>IF([2]Entry!$E$1026="","",[2]Entry!$E$1026)</f>
        <v/>
      </c>
      <c r="M1023">
        <f>IF([2]Entry!$G$1026="","",[2]Entry!$G$1026)</f>
        <v/>
      </c>
      <c r="N1023">
        <f>IF([2]Entry!$M$1026="","",[2]Entry!$M$1026)</f>
        <v/>
      </c>
      <c r="O1023">
        <f>IF([2]Entry!$N$1026="","",[2]Entry!$N$1026)</f>
        <v/>
      </c>
      <c r="P1023">
        <f>IF([2]Entry!$R$1026="","",[2]Entry!$R$1026)</f>
        <v/>
      </c>
    </row>
    <row r="1024">
      <c r="J1024">
        <f>IF([2]Entry!$C$1027="","",[2]Entry!$C$1027)</f>
        <v/>
      </c>
      <c r="K1024">
        <f>IF([2]Entry!$D$1027="","",[2]Entry!$D$1027)</f>
        <v/>
      </c>
      <c r="L1024">
        <f>IF([2]Entry!$E$1027="","",[2]Entry!$E$1027)</f>
        <v/>
      </c>
      <c r="M1024">
        <f>IF([2]Entry!$G$1027="","",[2]Entry!$G$1027)</f>
        <v/>
      </c>
      <c r="N1024">
        <f>IF([2]Entry!$M$1027="","",[2]Entry!$M$1027)</f>
        <v/>
      </c>
      <c r="O1024">
        <f>IF([2]Entry!$N$1027="","",[2]Entry!$N$1027)</f>
        <v/>
      </c>
      <c r="P1024">
        <f>IF([2]Entry!$R$1027="","",[2]Entry!$R$1027)</f>
        <v/>
      </c>
    </row>
    <row r="1025">
      <c r="J1025">
        <f>IF([2]Entry!$C$1028="","",[2]Entry!$C$1028)</f>
        <v/>
      </c>
      <c r="K1025">
        <f>IF([2]Entry!$D$1028="","",[2]Entry!$D$1028)</f>
        <v/>
      </c>
      <c r="L1025">
        <f>IF([2]Entry!$E$1028="","",[2]Entry!$E$1028)</f>
        <v/>
      </c>
      <c r="M1025">
        <f>IF([2]Entry!$G$1028="","",[2]Entry!$G$1028)</f>
        <v/>
      </c>
      <c r="N1025">
        <f>IF([2]Entry!$M$1028="","",[2]Entry!$M$1028)</f>
        <v/>
      </c>
      <c r="O1025">
        <f>IF([2]Entry!$N$1028="","",[2]Entry!$N$1028)</f>
        <v/>
      </c>
      <c r="P1025">
        <f>IF([2]Entry!$R$1028="","",[2]Entry!$R$1028)</f>
        <v/>
      </c>
    </row>
    <row r="1026">
      <c r="J1026">
        <f>IF([2]Entry!$C$1029="","",[2]Entry!$C$1029)</f>
        <v/>
      </c>
      <c r="K1026">
        <f>IF([2]Entry!$D$1029="","",[2]Entry!$D$1029)</f>
        <v/>
      </c>
      <c r="L1026">
        <f>IF([2]Entry!$E$1029="","",[2]Entry!$E$1029)</f>
        <v/>
      </c>
      <c r="M1026">
        <f>IF([2]Entry!$G$1029="","",[2]Entry!$G$1029)</f>
        <v/>
      </c>
      <c r="N1026">
        <f>IF([2]Entry!$M$1029="","",[2]Entry!$M$1029)</f>
        <v/>
      </c>
      <c r="O1026">
        <f>IF([2]Entry!$N$1029="","",[2]Entry!$N$1029)</f>
        <v/>
      </c>
      <c r="P1026">
        <f>IF([2]Entry!$R$1029="","",[2]Entry!$R$1029)</f>
        <v/>
      </c>
    </row>
    <row r="1027">
      <c r="J1027">
        <f>IF([2]Entry!$C$1030="","",[2]Entry!$C$1030)</f>
        <v/>
      </c>
      <c r="K1027">
        <f>IF([2]Entry!$D$1030="","",[2]Entry!$D$1030)</f>
        <v/>
      </c>
      <c r="L1027">
        <f>IF([2]Entry!$E$1030="","",[2]Entry!$E$1030)</f>
        <v/>
      </c>
      <c r="M1027">
        <f>IF([2]Entry!$G$1030="","",[2]Entry!$G$1030)</f>
        <v/>
      </c>
      <c r="N1027">
        <f>IF([2]Entry!$M$1030="","",[2]Entry!$M$1030)</f>
        <v/>
      </c>
      <c r="O1027">
        <f>IF([2]Entry!$N$1030="","",[2]Entry!$N$1030)</f>
        <v/>
      </c>
      <c r="P1027">
        <f>IF([2]Entry!$R$1030="","",[2]Entry!$R$1030)</f>
        <v/>
      </c>
    </row>
    <row r="1028">
      <c r="J1028">
        <f>IF([2]Entry!$C$1031="","",[2]Entry!$C$1031)</f>
        <v/>
      </c>
      <c r="K1028">
        <f>IF([2]Entry!$D$1031="","",[2]Entry!$D$1031)</f>
        <v/>
      </c>
      <c r="L1028">
        <f>IF([2]Entry!$E$1031="","",[2]Entry!$E$1031)</f>
        <v/>
      </c>
      <c r="M1028">
        <f>IF([2]Entry!$G$1031="","",[2]Entry!$G$1031)</f>
        <v/>
      </c>
      <c r="N1028">
        <f>IF([2]Entry!$M$1031="","",[2]Entry!$M$1031)</f>
        <v/>
      </c>
      <c r="O1028">
        <f>IF([2]Entry!$N$1031="","",[2]Entry!$N$1031)</f>
        <v/>
      </c>
      <c r="P1028">
        <f>IF([2]Entry!$R$1031="","",[2]Entry!$R$1031)</f>
        <v/>
      </c>
    </row>
    <row r="1029">
      <c r="J1029">
        <f>IF([2]Entry!$C$1032="","",[2]Entry!$C$1032)</f>
        <v/>
      </c>
      <c r="K1029">
        <f>IF([2]Entry!$D$1032="","",[2]Entry!$D$1032)</f>
        <v/>
      </c>
      <c r="L1029">
        <f>IF([2]Entry!$E$1032="","",[2]Entry!$E$1032)</f>
        <v/>
      </c>
      <c r="M1029">
        <f>IF([2]Entry!$G$1032="","",[2]Entry!$G$1032)</f>
        <v/>
      </c>
      <c r="N1029">
        <f>IF([2]Entry!$M$1032="","",[2]Entry!$M$1032)</f>
        <v/>
      </c>
      <c r="O1029">
        <f>IF([2]Entry!$N$1032="","",[2]Entry!$N$1032)</f>
        <v/>
      </c>
      <c r="P1029">
        <f>IF([2]Entry!$R$1032="","",[2]Entry!$R$1032)</f>
        <v/>
      </c>
    </row>
    <row r="1030">
      <c r="J1030">
        <f>IF([2]Entry!$C$1033="","",[2]Entry!$C$1033)</f>
        <v/>
      </c>
      <c r="K1030">
        <f>IF([2]Entry!$D$1033="","",[2]Entry!$D$1033)</f>
        <v/>
      </c>
      <c r="L1030">
        <f>IF([2]Entry!$E$1033="","",[2]Entry!$E$1033)</f>
        <v/>
      </c>
      <c r="M1030">
        <f>IF([2]Entry!$G$1033="","",[2]Entry!$G$1033)</f>
        <v/>
      </c>
      <c r="N1030">
        <f>IF([2]Entry!$M$1033="","",[2]Entry!$M$1033)</f>
        <v/>
      </c>
      <c r="O1030">
        <f>IF([2]Entry!$N$1033="","",[2]Entry!$N$1033)</f>
        <v/>
      </c>
      <c r="P1030">
        <f>IF([2]Entry!$R$1033="","",[2]Entry!$R$1033)</f>
        <v/>
      </c>
    </row>
    <row r="1031">
      <c r="J1031">
        <f>IF([2]Entry!$C$1034="","",[2]Entry!$C$1034)</f>
        <v/>
      </c>
      <c r="K1031">
        <f>IF([2]Entry!$D$1034="","",[2]Entry!$D$1034)</f>
        <v/>
      </c>
      <c r="L1031">
        <f>IF([2]Entry!$E$1034="","",[2]Entry!$E$1034)</f>
        <v/>
      </c>
      <c r="M1031">
        <f>IF([2]Entry!$G$1034="","",[2]Entry!$G$1034)</f>
        <v/>
      </c>
      <c r="N1031">
        <f>IF([2]Entry!$M$1034="","",[2]Entry!$M$1034)</f>
        <v/>
      </c>
      <c r="O1031">
        <f>IF([2]Entry!$N$1034="","",[2]Entry!$N$1034)</f>
        <v/>
      </c>
      <c r="P1031">
        <f>IF([2]Entry!$R$1034="","",[2]Entry!$R$1034)</f>
        <v/>
      </c>
    </row>
    <row r="1032">
      <c r="J1032">
        <f>IF([2]Entry!$C$1035="","",[2]Entry!$C$1035)</f>
        <v/>
      </c>
      <c r="K1032">
        <f>IF([2]Entry!$D$1035="","",[2]Entry!$D$1035)</f>
        <v/>
      </c>
      <c r="L1032">
        <f>IF([2]Entry!$E$1035="","",[2]Entry!$E$1035)</f>
        <v/>
      </c>
      <c r="M1032">
        <f>IF([2]Entry!$G$1035="","",[2]Entry!$G$1035)</f>
        <v/>
      </c>
      <c r="N1032">
        <f>IF([2]Entry!$M$1035="","",[2]Entry!$M$1035)</f>
        <v/>
      </c>
      <c r="O1032">
        <f>IF([2]Entry!$N$1035="","",[2]Entry!$N$1035)</f>
        <v/>
      </c>
      <c r="P1032">
        <f>IF([2]Entry!$R$1035="","",[2]Entry!$R$1035)</f>
        <v/>
      </c>
    </row>
    <row r="1033">
      <c r="J1033">
        <f>IF([2]Entry!$C$1036="","",[2]Entry!$C$1036)</f>
        <v/>
      </c>
      <c r="K1033">
        <f>IF([2]Entry!$D$1036="","",[2]Entry!$D$1036)</f>
        <v/>
      </c>
      <c r="L1033">
        <f>IF([2]Entry!$E$1036="","",[2]Entry!$E$1036)</f>
        <v/>
      </c>
      <c r="M1033">
        <f>IF([2]Entry!$G$1036="","",[2]Entry!$G$1036)</f>
        <v/>
      </c>
      <c r="N1033">
        <f>IF([2]Entry!$M$1036="","",[2]Entry!$M$1036)</f>
        <v/>
      </c>
      <c r="O1033">
        <f>IF([2]Entry!$N$1036="","",[2]Entry!$N$1036)</f>
        <v/>
      </c>
      <c r="P1033">
        <f>IF([2]Entry!$R$1036="","",[2]Entry!$R$1036)</f>
        <v/>
      </c>
    </row>
    <row r="1034">
      <c r="J1034">
        <f>IF([2]Entry!$C$1037="","",[2]Entry!$C$1037)</f>
        <v/>
      </c>
      <c r="K1034">
        <f>IF([2]Entry!$D$1037="","",[2]Entry!$D$1037)</f>
        <v/>
      </c>
      <c r="L1034">
        <f>IF([2]Entry!$E$1037="","",[2]Entry!$E$1037)</f>
        <v/>
      </c>
      <c r="M1034">
        <f>IF([2]Entry!$G$1037="","",[2]Entry!$G$1037)</f>
        <v/>
      </c>
      <c r="N1034">
        <f>IF([2]Entry!$M$1037="","",[2]Entry!$M$1037)</f>
        <v/>
      </c>
      <c r="O1034">
        <f>IF([2]Entry!$N$1037="","",[2]Entry!$N$1037)</f>
        <v/>
      </c>
      <c r="P1034">
        <f>IF([2]Entry!$R$1037="","",[2]Entry!$R$1037)</f>
        <v/>
      </c>
    </row>
    <row r="1035">
      <c r="J1035">
        <f>IF([2]Entry!$C$1038="","",[2]Entry!$C$1038)</f>
        <v/>
      </c>
      <c r="K1035">
        <f>IF([2]Entry!$D$1038="","",[2]Entry!$D$1038)</f>
        <v/>
      </c>
      <c r="L1035">
        <f>IF([2]Entry!$E$1038="","",[2]Entry!$E$1038)</f>
        <v/>
      </c>
      <c r="M1035">
        <f>IF([2]Entry!$G$1038="","",[2]Entry!$G$1038)</f>
        <v/>
      </c>
      <c r="N1035">
        <f>IF([2]Entry!$M$1038="","",[2]Entry!$M$1038)</f>
        <v/>
      </c>
      <c r="O1035">
        <f>IF([2]Entry!$N$1038="","",[2]Entry!$N$1038)</f>
        <v/>
      </c>
      <c r="P1035">
        <f>IF([2]Entry!$R$1038="","",[2]Entry!$R$1038)</f>
        <v/>
      </c>
    </row>
    <row r="1036">
      <c r="J1036">
        <f>IF([2]Entry!$C$1039="","",[2]Entry!$C$1039)</f>
        <v/>
      </c>
      <c r="K1036">
        <f>IF([2]Entry!$D$1039="","",[2]Entry!$D$1039)</f>
        <v/>
      </c>
      <c r="L1036">
        <f>IF([2]Entry!$E$1039="","",[2]Entry!$E$1039)</f>
        <v/>
      </c>
      <c r="M1036">
        <f>IF([2]Entry!$G$1039="","",[2]Entry!$G$1039)</f>
        <v/>
      </c>
      <c r="N1036">
        <f>IF([2]Entry!$M$1039="","",[2]Entry!$M$1039)</f>
        <v/>
      </c>
      <c r="O1036">
        <f>IF([2]Entry!$N$1039="","",[2]Entry!$N$1039)</f>
        <v/>
      </c>
      <c r="P1036">
        <f>IF([2]Entry!$R$1039="","",[2]Entry!$R$1039)</f>
        <v/>
      </c>
    </row>
    <row r="1037">
      <c r="J1037">
        <f>IF([2]Entry!$C$1040="","",[2]Entry!$C$1040)</f>
        <v/>
      </c>
      <c r="K1037">
        <f>IF([2]Entry!$D$1040="","",[2]Entry!$D$1040)</f>
        <v/>
      </c>
      <c r="L1037">
        <f>IF([2]Entry!$E$1040="","",[2]Entry!$E$1040)</f>
        <v/>
      </c>
      <c r="M1037">
        <f>IF([2]Entry!$G$1040="","",[2]Entry!$G$1040)</f>
        <v/>
      </c>
      <c r="N1037">
        <f>IF([2]Entry!$M$1040="","",[2]Entry!$M$1040)</f>
        <v/>
      </c>
      <c r="O1037">
        <f>IF([2]Entry!$N$1040="","",[2]Entry!$N$1040)</f>
        <v/>
      </c>
      <c r="P1037">
        <f>IF([2]Entry!$R$1040="","",[2]Entry!$R$1040)</f>
        <v/>
      </c>
    </row>
    <row r="1038">
      <c r="J1038">
        <f>IF([2]Entry!$C$1041="","",[2]Entry!$C$1041)</f>
        <v/>
      </c>
      <c r="K1038">
        <f>IF([2]Entry!$D$1041="","",[2]Entry!$D$1041)</f>
        <v/>
      </c>
      <c r="L1038">
        <f>IF([2]Entry!$E$1041="","",[2]Entry!$E$1041)</f>
        <v/>
      </c>
      <c r="M1038">
        <f>IF([2]Entry!$G$1041="","",[2]Entry!$G$1041)</f>
        <v/>
      </c>
      <c r="N1038">
        <f>IF([2]Entry!$M$1041="","",[2]Entry!$M$1041)</f>
        <v/>
      </c>
      <c r="O1038">
        <f>IF([2]Entry!$N$1041="","",[2]Entry!$N$1041)</f>
        <v/>
      </c>
      <c r="P1038">
        <f>IF([2]Entry!$R$1041="","",[2]Entry!$R$1041)</f>
        <v/>
      </c>
    </row>
    <row r="1039">
      <c r="J1039">
        <f>IF([2]Entry!$C$1042="","",[2]Entry!$C$1042)</f>
        <v/>
      </c>
      <c r="K1039">
        <f>IF([2]Entry!$D$1042="","",[2]Entry!$D$1042)</f>
        <v/>
      </c>
      <c r="L1039">
        <f>IF([2]Entry!$E$1042="","",[2]Entry!$E$1042)</f>
        <v/>
      </c>
      <c r="M1039">
        <f>IF([2]Entry!$G$1042="","",[2]Entry!$G$1042)</f>
        <v/>
      </c>
      <c r="N1039">
        <f>IF([2]Entry!$M$1042="","",[2]Entry!$M$1042)</f>
        <v/>
      </c>
      <c r="O1039">
        <f>IF([2]Entry!$N$1042="","",[2]Entry!$N$1042)</f>
        <v/>
      </c>
      <c r="P1039">
        <f>IF([2]Entry!$R$1042="","",[2]Entry!$R$1042)</f>
        <v/>
      </c>
    </row>
    <row r="1040">
      <c r="J1040">
        <f>IF([2]Entry!$C$1043="","",[2]Entry!$C$1043)</f>
        <v/>
      </c>
      <c r="K1040">
        <f>IF([2]Entry!$D$1043="","",[2]Entry!$D$1043)</f>
        <v/>
      </c>
      <c r="L1040">
        <f>IF([2]Entry!$E$1043="","",[2]Entry!$E$1043)</f>
        <v/>
      </c>
      <c r="M1040">
        <f>IF([2]Entry!$G$1043="","",[2]Entry!$G$1043)</f>
        <v/>
      </c>
      <c r="N1040">
        <f>IF([2]Entry!$M$1043="","",[2]Entry!$M$1043)</f>
        <v/>
      </c>
      <c r="O1040">
        <f>IF([2]Entry!$N$1043="","",[2]Entry!$N$1043)</f>
        <v/>
      </c>
      <c r="P1040">
        <f>IF([2]Entry!$R$1043="","",[2]Entry!$R$1043)</f>
        <v/>
      </c>
    </row>
    <row r="1041">
      <c r="J1041">
        <f>IF([2]Entry!$C$1044="","",[2]Entry!$C$1044)</f>
        <v/>
      </c>
      <c r="K1041">
        <f>IF([2]Entry!$D$1044="","",[2]Entry!$D$1044)</f>
        <v/>
      </c>
      <c r="L1041">
        <f>IF([2]Entry!$E$1044="","",[2]Entry!$E$1044)</f>
        <v/>
      </c>
      <c r="M1041">
        <f>IF([2]Entry!$G$1044="","",[2]Entry!$G$1044)</f>
        <v/>
      </c>
      <c r="N1041">
        <f>IF([2]Entry!$M$1044="","",[2]Entry!$M$1044)</f>
        <v/>
      </c>
      <c r="O1041">
        <f>IF([2]Entry!$N$1044="","",[2]Entry!$N$1044)</f>
        <v/>
      </c>
      <c r="P1041">
        <f>IF([2]Entry!$R$1044="","",[2]Entry!$R$1044)</f>
        <v/>
      </c>
    </row>
    <row r="1042">
      <c r="J1042">
        <f>IF([2]Entry!$C$1045="","",[2]Entry!$C$1045)</f>
        <v/>
      </c>
      <c r="K1042">
        <f>IF([2]Entry!$D$1045="","",[2]Entry!$D$1045)</f>
        <v/>
      </c>
      <c r="L1042">
        <f>IF([2]Entry!$E$1045="","",[2]Entry!$E$1045)</f>
        <v/>
      </c>
      <c r="M1042">
        <f>IF([2]Entry!$G$1045="","",[2]Entry!$G$1045)</f>
        <v/>
      </c>
      <c r="N1042">
        <f>IF([2]Entry!$M$1045="","",[2]Entry!$M$1045)</f>
        <v/>
      </c>
      <c r="O1042">
        <f>IF([2]Entry!$N$1045="","",[2]Entry!$N$1045)</f>
        <v/>
      </c>
      <c r="P1042">
        <f>IF([2]Entry!$R$1045="","",[2]Entry!$R$1045)</f>
        <v/>
      </c>
    </row>
    <row r="1043">
      <c r="J1043">
        <f>IF([2]Entry!$C$1046="","",[2]Entry!$C$1046)</f>
        <v/>
      </c>
      <c r="K1043">
        <f>IF([2]Entry!$D$1046="","",[2]Entry!$D$1046)</f>
        <v/>
      </c>
      <c r="L1043">
        <f>IF([2]Entry!$E$1046="","",[2]Entry!$E$1046)</f>
        <v/>
      </c>
      <c r="M1043">
        <f>IF([2]Entry!$G$1046="","",[2]Entry!$G$1046)</f>
        <v/>
      </c>
      <c r="N1043">
        <f>IF([2]Entry!$M$1046="","",[2]Entry!$M$1046)</f>
        <v/>
      </c>
      <c r="O1043">
        <f>IF([2]Entry!$N$1046="","",[2]Entry!$N$1046)</f>
        <v/>
      </c>
      <c r="P1043">
        <f>IF([2]Entry!$R$1046="","",[2]Entry!$R$1046)</f>
        <v/>
      </c>
    </row>
    <row r="1044">
      <c r="J1044">
        <f>IF([2]Entry!$C$1047="","",[2]Entry!$C$1047)</f>
        <v/>
      </c>
      <c r="K1044">
        <f>IF([2]Entry!$D$1047="","",[2]Entry!$D$1047)</f>
        <v/>
      </c>
      <c r="L1044">
        <f>IF([2]Entry!$E$1047="","",[2]Entry!$E$1047)</f>
        <v/>
      </c>
      <c r="M1044">
        <f>IF([2]Entry!$G$1047="","",[2]Entry!$G$1047)</f>
        <v/>
      </c>
      <c r="N1044">
        <f>IF([2]Entry!$M$1047="","",[2]Entry!$M$1047)</f>
        <v/>
      </c>
      <c r="O1044">
        <f>IF([2]Entry!$N$1047="","",[2]Entry!$N$1047)</f>
        <v/>
      </c>
      <c r="P1044">
        <f>IF([2]Entry!$R$1047="","",[2]Entry!$R$1047)</f>
        <v/>
      </c>
    </row>
    <row r="1045">
      <c r="J1045">
        <f>IF([2]Entry!$C$1048="","",[2]Entry!$C$1048)</f>
        <v/>
      </c>
      <c r="K1045">
        <f>IF([2]Entry!$D$1048="","",[2]Entry!$D$1048)</f>
        <v/>
      </c>
      <c r="L1045">
        <f>IF([2]Entry!$E$1048="","",[2]Entry!$E$1048)</f>
        <v/>
      </c>
      <c r="M1045">
        <f>IF([2]Entry!$G$1048="","",[2]Entry!$G$1048)</f>
        <v/>
      </c>
      <c r="N1045">
        <f>IF([2]Entry!$M$1048="","",[2]Entry!$M$1048)</f>
        <v/>
      </c>
      <c r="O1045">
        <f>IF([2]Entry!$N$1048="","",[2]Entry!$N$1048)</f>
        <v/>
      </c>
      <c r="P1045">
        <f>IF([2]Entry!$R$1048="","",[2]Entry!$R$1048)</f>
        <v/>
      </c>
    </row>
    <row r="1046">
      <c r="J1046">
        <f>IF([2]Entry!$C$1049="","",[2]Entry!$C$1049)</f>
        <v/>
      </c>
      <c r="K1046">
        <f>IF([2]Entry!$D$1049="","",[2]Entry!$D$1049)</f>
        <v/>
      </c>
      <c r="L1046">
        <f>IF([2]Entry!$E$1049="","",[2]Entry!$E$1049)</f>
        <v/>
      </c>
      <c r="M1046">
        <f>IF([2]Entry!$G$1049="","",[2]Entry!$G$1049)</f>
        <v/>
      </c>
      <c r="N1046">
        <f>IF([2]Entry!$M$1049="","",[2]Entry!$M$1049)</f>
        <v/>
      </c>
      <c r="O1046">
        <f>IF([2]Entry!$N$1049="","",[2]Entry!$N$1049)</f>
        <v/>
      </c>
      <c r="P1046">
        <f>IF([2]Entry!$R$1049="","",[2]Entry!$R$1049)</f>
        <v/>
      </c>
    </row>
    <row r="1047">
      <c r="J1047">
        <f>IF([2]Entry!$C$1050="","",[2]Entry!$C$1050)</f>
        <v/>
      </c>
      <c r="K1047">
        <f>IF([2]Entry!$D$1050="","",[2]Entry!$D$1050)</f>
        <v/>
      </c>
      <c r="L1047">
        <f>IF([2]Entry!$E$1050="","",[2]Entry!$E$1050)</f>
        <v/>
      </c>
      <c r="M1047">
        <f>IF([2]Entry!$G$1050="","",[2]Entry!$G$1050)</f>
        <v/>
      </c>
      <c r="N1047">
        <f>IF([2]Entry!$M$1050="","",[2]Entry!$M$1050)</f>
        <v/>
      </c>
      <c r="O1047">
        <f>IF([2]Entry!$N$1050="","",[2]Entry!$N$1050)</f>
        <v/>
      </c>
      <c r="P1047">
        <f>IF([2]Entry!$R$1050="","",[2]Entry!$R$1050)</f>
        <v/>
      </c>
    </row>
    <row r="1048">
      <c r="J1048">
        <f>IF([2]Entry!$C$1051="","",[2]Entry!$C$1051)</f>
        <v/>
      </c>
      <c r="K1048">
        <f>IF([2]Entry!$D$1051="","",[2]Entry!$D$1051)</f>
        <v/>
      </c>
      <c r="L1048">
        <f>IF([2]Entry!$E$1051="","",[2]Entry!$E$1051)</f>
        <v/>
      </c>
      <c r="M1048">
        <f>IF([2]Entry!$G$1051="","",[2]Entry!$G$1051)</f>
        <v/>
      </c>
      <c r="N1048">
        <f>IF([2]Entry!$M$1051="","",[2]Entry!$M$1051)</f>
        <v/>
      </c>
      <c r="O1048">
        <f>IF([2]Entry!$N$1051="","",[2]Entry!$N$1051)</f>
        <v/>
      </c>
      <c r="P1048">
        <f>IF([2]Entry!$R$1051="","",[2]Entry!$R$1051)</f>
        <v/>
      </c>
    </row>
    <row r="1049">
      <c r="J1049">
        <f>IF([2]Entry!$C$1052="","",[2]Entry!$C$1052)</f>
        <v/>
      </c>
      <c r="K1049">
        <f>IF([2]Entry!$D$1052="","",[2]Entry!$D$1052)</f>
        <v/>
      </c>
      <c r="L1049">
        <f>IF([2]Entry!$E$1052="","",[2]Entry!$E$1052)</f>
        <v/>
      </c>
      <c r="M1049">
        <f>IF([2]Entry!$G$1052="","",[2]Entry!$G$1052)</f>
        <v/>
      </c>
      <c r="N1049">
        <f>IF([2]Entry!$M$1052="","",[2]Entry!$M$1052)</f>
        <v/>
      </c>
      <c r="O1049">
        <f>IF([2]Entry!$N$1052="","",[2]Entry!$N$1052)</f>
        <v/>
      </c>
      <c r="P1049">
        <f>IF([2]Entry!$R$1052="","",[2]Entry!$R$1052)</f>
        <v/>
      </c>
    </row>
    <row r="1050">
      <c r="J1050">
        <f>IF([2]Entry!$C$1053="","",[2]Entry!$C$1053)</f>
        <v/>
      </c>
      <c r="K1050">
        <f>IF([2]Entry!$D$1053="","",[2]Entry!$D$1053)</f>
        <v/>
      </c>
      <c r="L1050">
        <f>IF([2]Entry!$E$1053="","",[2]Entry!$E$1053)</f>
        <v/>
      </c>
      <c r="M1050">
        <f>IF([2]Entry!$G$1053="","",[2]Entry!$G$1053)</f>
        <v/>
      </c>
      <c r="N1050">
        <f>IF([2]Entry!$M$1053="","",[2]Entry!$M$1053)</f>
        <v/>
      </c>
      <c r="O1050">
        <f>IF([2]Entry!$N$1053="","",[2]Entry!$N$1053)</f>
        <v/>
      </c>
      <c r="P1050">
        <f>IF([2]Entry!$R$1053="","",[2]Entry!$R$1053)</f>
        <v/>
      </c>
    </row>
    <row r="1051">
      <c r="J1051">
        <f>IF([2]Entry!$C$1054="","",[2]Entry!$C$1054)</f>
        <v/>
      </c>
      <c r="K1051">
        <f>IF([2]Entry!$D$1054="","",[2]Entry!$D$1054)</f>
        <v/>
      </c>
      <c r="L1051">
        <f>IF([2]Entry!$E$1054="","",[2]Entry!$E$1054)</f>
        <v/>
      </c>
      <c r="M1051">
        <f>IF([2]Entry!$G$1054="","",[2]Entry!$G$1054)</f>
        <v/>
      </c>
      <c r="N1051">
        <f>IF([2]Entry!$M$1054="","",[2]Entry!$M$1054)</f>
        <v/>
      </c>
      <c r="O1051">
        <f>IF([2]Entry!$N$1054="","",[2]Entry!$N$1054)</f>
        <v/>
      </c>
      <c r="P1051">
        <f>IF([2]Entry!$R$1054="","",[2]Entry!$R$1054)</f>
        <v/>
      </c>
    </row>
    <row r="1052">
      <c r="J1052">
        <f>IF([2]Entry!$C$1055="","",[2]Entry!$C$1055)</f>
        <v/>
      </c>
      <c r="K1052">
        <f>IF([2]Entry!$D$1055="","",[2]Entry!$D$1055)</f>
        <v/>
      </c>
      <c r="L1052">
        <f>IF([2]Entry!$E$1055="","",[2]Entry!$E$1055)</f>
        <v/>
      </c>
      <c r="M1052">
        <f>IF([2]Entry!$G$1055="","",[2]Entry!$G$1055)</f>
        <v/>
      </c>
      <c r="N1052">
        <f>IF([2]Entry!$M$1055="","",[2]Entry!$M$1055)</f>
        <v/>
      </c>
      <c r="O1052">
        <f>IF([2]Entry!$N$1055="","",[2]Entry!$N$1055)</f>
        <v/>
      </c>
      <c r="P1052">
        <f>IF([2]Entry!$R$1055="","",[2]Entry!$R$1055)</f>
        <v/>
      </c>
    </row>
    <row r="1053">
      <c r="J1053">
        <f>IF([2]Entry!$C$1056="","",[2]Entry!$C$1056)</f>
        <v/>
      </c>
      <c r="K1053">
        <f>IF([2]Entry!$D$1056="","",[2]Entry!$D$1056)</f>
        <v/>
      </c>
      <c r="L1053">
        <f>IF([2]Entry!$E$1056="","",[2]Entry!$E$1056)</f>
        <v/>
      </c>
      <c r="M1053">
        <f>IF([2]Entry!$G$1056="","",[2]Entry!$G$1056)</f>
        <v/>
      </c>
      <c r="N1053">
        <f>IF([2]Entry!$M$1056="","",[2]Entry!$M$1056)</f>
        <v/>
      </c>
      <c r="O1053">
        <f>IF([2]Entry!$N$1056="","",[2]Entry!$N$1056)</f>
        <v/>
      </c>
      <c r="P1053">
        <f>IF([2]Entry!$R$1056="","",[2]Entry!$R$1056)</f>
        <v/>
      </c>
    </row>
    <row r="1054">
      <c r="J1054">
        <f>IF([2]Entry!$C$1057="","",[2]Entry!$C$1057)</f>
        <v/>
      </c>
      <c r="K1054">
        <f>IF([2]Entry!$D$1057="","",[2]Entry!$D$1057)</f>
        <v/>
      </c>
      <c r="L1054">
        <f>IF([2]Entry!$E$1057="","",[2]Entry!$E$1057)</f>
        <v/>
      </c>
      <c r="M1054">
        <f>IF([2]Entry!$G$1057="","",[2]Entry!$G$1057)</f>
        <v/>
      </c>
      <c r="N1054">
        <f>IF([2]Entry!$M$1057="","",[2]Entry!$M$1057)</f>
        <v/>
      </c>
      <c r="O1054">
        <f>IF([2]Entry!$N$1057="","",[2]Entry!$N$1057)</f>
        <v/>
      </c>
      <c r="P1054">
        <f>IF([2]Entry!$R$1057="","",[2]Entry!$R$1057)</f>
        <v/>
      </c>
    </row>
    <row r="1055">
      <c r="J1055">
        <f>IF([2]Entry!$C$1058="","",[2]Entry!$C$1058)</f>
        <v/>
      </c>
      <c r="K1055">
        <f>IF([2]Entry!$D$1058="","",[2]Entry!$D$1058)</f>
        <v/>
      </c>
      <c r="L1055">
        <f>IF([2]Entry!$E$1058="","",[2]Entry!$E$1058)</f>
        <v/>
      </c>
      <c r="M1055">
        <f>IF([2]Entry!$G$1058="","",[2]Entry!$G$1058)</f>
        <v/>
      </c>
      <c r="N1055">
        <f>IF([2]Entry!$M$1058="","",[2]Entry!$M$1058)</f>
        <v/>
      </c>
      <c r="O1055">
        <f>IF([2]Entry!$N$1058="","",[2]Entry!$N$1058)</f>
        <v/>
      </c>
      <c r="P1055">
        <f>IF([2]Entry!$R$1058="","",[2]Entry!$R$1058)</f>
        <v/>
      </c>
    </row>
    <row r="1056">
      <c r="J1056">
        <f>IF([2]Entry!$C$1059="","",[2]Entry!$C$1059)</f>
        <v/>
      </c>
      <c r="K1056">
        <f>IF([2]Entry!$D$1059="","",[2]Entry!$D$1059)</f>
        <v/>
      </c>
      <c r="L1056">
        <f>IF([2]Entry!$E$1059="","",[2]Entry!$E$1059)</f>
        <v/>
      </c>
      <c r="M1056">
        <f>IF([2]Entry!$G$1059="","",[2]Entry!$G$1059)</f>
        <v/>
      </c>
      <c r="N1056">
        <f>IF([2]Entry!$M$1059="","",[2]Entry!$M$1059)</f>
        <v/>
      </c>
      <c r="O1056">
        <f>IF([2]Entry!$N$1059="","",[2]Entry!$N$1059)</f>
        <v/>
      </c>
      <c r="P1056">
        <f>IF([2]Entry!$R$1059="","",[2]Entry!$R$1059)</f>
        <v/>
      </c>
    </row>
    <row r="1057">
      <c r="J1057">
        <f>IF([2]Entry!$C$1060="","",[2]Entry!$C$1060)</f>
        <v/>
      </c>
      <c r="K1057">
        <f>IF([2]Entry!$D$1060="","",[2]Entry!$D$1060)</f>
        <v/>
      </c>
      <c r="L1057">
        <f>IF([2]Entry!$E$1060="","",[2]Entry!$E$1060)</f>
        <v/>
      </c>
      <c r="M1057">
        <f>IF([2]Entry!$G$1060="","",[2]Entry!$G$1060)</f>
        <v/>
      </c>
      <c r="N1057">
        <f>IF([2]Entry!$M$1060="","",[2]Entry!$M$1060)</f>
        <v/>
      </c>
      <c r="O1057">
        <f>IF([2]Entry!$N$1060="","",[2]Entry!$N$1060)</f>
        <v/>
      </c>
      <c r="P1057">
        <f>IF([2]Entry!$R$1060="","",[2]Entry!$R$1060)</f>
        <v/>
      </c>
    </row>
    <row r="1058">
      <c r="J1058">
        <f>IF([2]Entry!$C$1061="","",[2]Entry!$C$1061)</f>
        <v/>
      </c>
      <c r="K1058">
        <f>IF([2]Entry!$D$1061="","",[2]Entry!$D$1061)</f>
        <v/>
      </c>
      <c r="L1058">
        <f>IF([2]Entry!$E$1061="","",[2]Entry!$E$1061)</f>
        <v/>
      </c>
      <c r="M1058">
        <f>IF([2]Entry!$G$1061="","",[2]Entry!$G$1061)</f>
        <v/>
      </c>
      <c r="N1058">
        <f>IF([2]Entry!$M$1061="","",[2]Entry!$M$1061)</f>
        <v/>
      </c>
      <c r="O1058">
        <f>IF([2]Entry!$N$1061="","",[2]Entry!$N$1061)</f>
        <v/>
      </c>
      <c r="P1058">
        <f>IF([2]Entry!$R$1061="","",[2]Entry!$R$1061)</f>
        <v/>
      </c>
    </row>
    <row r="1059">
      <c r="J1059">
        <f>IF([2]Entry!$C$1062="","",[2]Entry!$C$1062)</f>
        <v/>
      </c>
      <c r="K1059">
        <f>IF([2]Entry!$D$1062="","",[2]Entry!$D$1062)</f>
        <v/>
      </c>
      <c r="L1059">
        <f>IF([2]Entry!$E$1062="","",[2]Entry!$E$1062)</f>
        <v/>
      </c>
      <c r="M1059">
        <f>IF([2]Entry!$G$1062="","",[2]Entry!$G$1062)</f>
        <v/>
      </c>
      <c r="N1059">
        <f>IF([2]Entry!$M$1062="","",[2]Entry!$M$1062)</f>
        <v/>
      </c>
      <c r="O1059">
        <f>IF([2]Entry!$N$1062="","",[2]Entry!$N$1062)</f>
        <v/>
      </c>
      <c r="P1059">
        <f>IF([2]Entry!$R$1062="","",[2]Entry!$R$1062)</f>
        <v/>
      </c>
    </row>
    <row r="1060">
      <c r="J1060">
        <f>IF([2]Entry!$C$1063="","",[2]Entry!$C$1063)</f>
        <v/>
      </c>
      <c r="K1060">
        <f>IF([2]Entry!$D$1063="","",[2]Entry!$D$1063)</f>
        <v/>
      </c>
      <c r="L1060">
        <f>IF([2]Entry!$E$1063="","",[2]Entry!$E$1063)</f>
        <v/>
      </c>
      <c r="M1060">
        <f>IF([2]Entry!$G$1063="","",[2]Entry!$G$1063)</f>
        <v/>
      </c>
      <c r="N1060">
        <f>IF([2]Entry!$M$1063="","",[2]Entry!$M$1063)</f>
        <v/>
      </c>
      <c r="O1060">
        <f>IF([2]Entry!$N$1063="","",[2]Entry!$N$1063)</f>
        <v/>
      </c>
      <c r="P1060">
        <f>IF([2]Entry!$R$1063="","",[2]Entry!$R$1063)</f>
        <v/>
      </c>
    </row>
    <row r="1061">
      <c r="J1061">
        <f>IF([2]Entry!$C$1064="","",[2]Entry!$C$1064)</f>
        <v/>
      </c>
      <c r="K1061">
        <f>IF([2]Entry!$D$1064="","",[2]Entry!$D$1064)</f>
        <v/>
      </c>
      <c r="L1061">
        <f>IF([2]Entry!$E$1064="","",[2]Entry!$E$1064)</f>
        <v/>
      </c>
      <c r="M1061">
        <f>IF([2]Entry!$G$1064="","",[2]Entry!$G$1064)</f>
        <v/>
      </c>
      <c r="N1061">
        <f>IF([2]Entry!$M$1064="","",[2]Entry!$M$1064)</f>
        <v/>
      </c>
      <c r="O1061">
        <f>IF([2]Entry!$N$1064="","",[2]Entry!$N$1064)</f>
        <v/>
      </c>
      <c r="P1061">
        <f>IF([2]Entry!$R$1064="","",[2]Entry!$R$1064)</f>
        <v/>
      </c>
    </row>
    <row r="1062">
      <c r="J1062">
        <f>IF([2]Entry!$C$1065="","",[2]Entry!$C$1065)</f>
        <v/>
      </c>
      <c r="K1062">
        <f>IF([2]Entry!$D$1065="","",[2]Entry!$D$1065)</f>
        <v/>
      </c>
      <c r="L1062">
        <f>IF([2]Entry!$E$1065="","",[2]Entry!$E$1065)</f>
        <v/>
      </c>
      <c r="M1062">
        <f>IF([2]Entry!$G$1065="","",[2]Entry!$G$1065)</f>
        <v/>
      </c>
      <c r="N1062">
        <f>IF([2]Entry!$M$1065="","",[2]Entry!$M$1065)</f>
        <v/>
      </c>
      <c r="O1062">
        <f>IF([2]Entry!$N$1065="","",[2]Entry!$N$1065)</f>
        <v/>
      </c>
      <c r="P1062">
        <f>IF([2]Entry!$R$1065="","",[2]Entry!$R$1065)</f>
        <v/>
      </c>
    </row>
    <row r="1063">
      <c r="J1063">
        <f>IF([2]Entry!$C$1066="","",[2]Entry!$C$1066)</f>
        <v/>
      </c>
      <c r="K1063">
        <f>IF([2]Entry!$D$1066="","",[2]Entry!$D$1066)</f>
        <v/>
      </c>
      <c r="L1063">
        <f>IF([2]Entry!$E$1066="","",[2]Entry!$E$1066)</f>
        <v/>
      </c>
      <c r="M1063">
        <f>IF([2]Entry!$G$1066="","",[2]Entry!$G$1066)</f>
        <v/>
      </c>
      <c r="N1063">
        <f>IF([2]Entry!$M$1066="","",[2]Entry!$M$1066)</f>
        <v/>
      </c>
      <c r="O1063">
        <f>IF([2]Entry!$N$1066="","",[2]Entry!$N$1066)</f>
        <v/>
      </c>
      <c r="P1063">
        <f>IF([2]Entry!$R$1066="","",[2]Entry!$R$1066)</f>
        <v/>
      </c>
    </row>
    <row r="1064">
      <c r="J1064">
        <f>IF([2]Entry!$C$1067="","",[2]Entry!$C$1067)</f>
        <v/>
      </c>
      <c r="K1064">
        <f>IF([2]Entry!$D$1067="","",[2]Entry!$D$1067)</f>
        <v/>
      </c>
      <c r="L1064">
        <f>IF([2]Entry!$E$1067="","",[2]Entry!$E$1067)</f>
        <v/>
      </c>
      <c r="M1064">
        <f>IF([2]Entry!$G$1067="","",[2]Entry!$G$1067)</f>
        <v/>
      </c>
      <c r="N1064">
        <f>IF([2]Entry!$M$1067="","",[2]Entry!$M$1067)</f>
        <v/>
      </c>
      <c r="O1064">
        <f>IF([2]Entry!$N$1067="","",[2]Entry!$N$1067)</f>
        <v/>
      </c>
      <c r="P1064">
        <f>IF([2]Entry!$R$1067="","",[2]Entry!$R$1067)</f>
        <v/>
      </c>
    </row>
    <row r="1065">
      <c r="J1065">
        <f>IF([2]Entry!$C$1068="","",[2]Entry!$C$1068)</f>
        <v/>
      </c>
      <c r="K1065">
        <f>IF([2]Entry!$D$1068="","",[2]Entry!$D$1068)</f>
        <v/>
      </c>
      <c r="L1065">
        <f>IF([2]Entry!$E$1068="","",[2]Entry!$E$1068)</f>
        <v/>
      </c>
      <c r="M1065">
        <f>IF([2]Entry!$G$1068="","",[2]Entry!$G$1068)</f>
        <v/>
      </c>
      <c r="N1065">
        <f>IF([2]Entry!$M$1068="","",[2]Entry!$M$1068)</f>
        <v/>
      </c>
      <c r="O1065">
        <f>IF([2]Entry!$N$1068="","",[2]Entry!$N$1068)</f>
        <v/>
      </c>
      <c r="P1065">
        <f>IF([2]Entry!$R$1068="","",[2]Entry!$R$1068)</f>
        <v/>
      </c>
    </row>
    <row r="1066">
      <c r="J1066">
        <f>IF([2]Entry!$C$1069="","",[2]Entry!$C$1069)</f>
        <v/>
      </c>
      <c r="K1066">
        <f>IF([2]Entry!$D$1069="","",[2]Entry!$D$1069)</f>
        <v/>
      </c>
      <c r="L1066">
        <f>IF([2]Entry!$E$1069="","",[2]Entry!$E$1069)</f>
        <v/>
      </c>
      <c r="M1066">
        <f>IF([2]Entry!$G$1069="","",[2]Entry!$G$1069)</f>
        <v/>
      </c>
      <c r="N1066">
        <f>IF([2]Entry!$M$1069="","",[2]Entry!$M$1069)</f>
        <v/>
      </c>
      <c r="O1066">
        <f>IF([2]Entry!$N$1069="","",[2]Entry!$N$1069)</f>
        <v/>
      </c>
      <c r="P1066">
        <f>IF([2]Entry!$R$1069="","",[2]Entry!$R$1069)</f>
        <v/>
      </c>
    </row>
    <row r="1067">
      <c r="J1067">
        <f>IF([2]Entry!$C$1070="","",[2]Entry!$C$1070)</f>
        <v/>
      </c>
      <c r="K1067">
        <f>IF([2]Entry!$D$1070="","",[2]Entry!$D$1070)</f>
        <v/>
      </c>
      <c r="L1067">
        <f>IF([2]Entry!$E$1070="","",[2]Entry!$E$1070)</f>
        <v/>
      </c>
      <c r="M1067">
        <f>IF([2]Entry!$G$1070="","",[2]Entry!$G$1070)</f>
        <v/>
      </c>
      <c r="N1067">
        <f>IF([2]Entry!$M$1070="","",[2]Entry!$M$1070)</f>
        <v/>
      </c>
      <c r="O1067">
        <f>IF([2]Entry!$N$1070="","",[2]Entry!$N$1070)</f>
        <v/>
      </c>
      <c r="P1067">
        <f>IF([2]Entry!$R$1070="","",[2]Entry!$R$1070)</f>
        <v/>
      </c>
    </row>
    <row r="1068">
      <c r="J1068">
        <f>IF([2]Entry!$C$1071="","",[2]Entry!$C$1071)</f>
        <v/>
      </c>
      <c r="K1068">
        <f>IF([2]Entry!$D$1071="","",[2]Entry!$D$1071)</f>
        <v/>
      </c>
      <c r="L1068">
        <f>IF([2]Entry!$E$1071="","",[2]Entry!$E$1071)</f>
        <v/>
      </c>
      <c r="M1068">
        <f>IF([2]Entry!$G$1071="","",[2]Entry!$G$1071)</f>
        <v/>
      </c>
      <c r="N1068">
        <f>IF([2]Entry!$M$1071="","",[2]Entry!$M$1071)</f>
        <v/>
      </c>
      <c r="O1068">
        <f>IF([2]Entry!$N$1071="","",[2]Entry!$N$1071)</f>
        <v/>
      </c>
      <c r="P1068">
        <f>IF([2]Entry!$R$1071="","",[2]Entry!$R$1071)</f>
        <v/>
      </c>
    </row>
    <row r="1069">
      <c r="J1069">
        <f>IF([2]Entry!$C$1072="","",[2]Entry!$C$1072)</f>
        <v/>
      </c>
      <c r="K1069">
        <f>IF([2]Entry!$D$1072="","",[2]Entry!$D$1072)</f>
        <v/>
      </c>
      <c r="L1069">
        <f>IF([2]Entry!$E$1072="","",[2]Entry!$E$1072)</f>
        <v/>
      </c>
      <c r="M1069">
        <f>IF([2]Entry!$G$1072="","",[2]Entry!$G$1072)</f>
        <v/>
      </c>
      <c r="N1069">
        <f>IF([2]Entry!$M$1072="","",[2]Entry!$M$1072)</f>
        <v/>
      </c>
      <c r="O1069">
        <f>IF([2]Entry!$N$1072="","",[2]Entry!$N$1072)</f>
        <v/>
      </c>
      <c r="P1069">
        <f>IF([2]Entry!$R$1072="","",[2]Entry!$R$1072)</f>
        <v/>
      </c>
    </row>
    <row r="1070">
      <c r="J1070">
        <f>IF([2]Entry!$C$1073="","",[2]Entry!$C$1073)</f>
        <v/>
      </c>
      <c r="K1070">
        <f>IF([2]Entry!$D$1073="","",[2]Entry!$D$1073)</f>
        <v/>
      </c>
      <c r="L1070">
        <f>IF([2]Entry!$E$1073="","",[2]Entry!$E$1073)</f>
        <v/>
      </c>
      <c r="M1070">
        <f>IF([2]Entry!$G$1073="","",[2]Entry!$G$1073)</f>
        <v/>
      </c>
      <c r="N1070">
        <f>IF([2]Entry!$M$1073="","",[2]Entry!$M$1073)</f>
        <v/>
      </c>
      <c r="O1070">
        <f>IF([2]Entry!$N$1073="","",[2]Entry!$N$1073)</f>
        <v/>
      </c>
      <c r="P1070">
        <f>IF([2]Entry!$R$1073="","",[2]Entry!$R$1073)</f>
        <v/>
      </c>
    </row>
    <row r="1071">
      <c r="J1071">
        <f>IF([2]Entry!$C$1074="","",[2]Entry!$C$1074)</f>
        <v/>
      </c>
      <c r="K1071">
        <f>IF([2]Entry!$D$1074="","",[2]Entry!$D$1074)</f>
        <v/>
      </c>
      <c r="L1071">
        <f>IF([2]Entry!$E$1074="","",[2]Entry!$E$1074)</f>
        <v/>
      </c>
      <c r="M1071">
        <f>IF([2]Entry!$G$1074="","",[2]Entry!$G$1074)</f>
        <v/>
      </c>
      <c r="N1071">
        <f>IF([2]Entry!$M$1074="","",[2]Entry!$M$1074)</f>
        <v/>
      </c>
      <c r="O1071">
        <f>IF([2]Entry!$N$1074="","",[2]Entry!$N$1074)</f>
        <v/>
      </c>
      <c r="P1071">
        <f>IF([2]Entry!$R$1074="","",[2]Entry!$R$1074)</f>
        <v/>
      </c>
    </row>
    <row r="1072">
      <c r="J1072">
        <f>IF([2]Entry!$C$1075="","",[2]Entry!$C$1075)</f>
        <v/>
      </c>
      <c r="K1072">
        <f>IF([2]Entry!$D$1075="","",[2]Entry!$D$1075)</f>
        <v/>
      </c>
      <c r="L1072">
        <f>IF([2]Entry!$E$1075="","",[2]Entry!$E$1075)</f>
        <v/>
      </c>
      <c r="M1072">
        <f>IF([2]Entry!$G$1075="","",[2]Entry!$G$1075)</f>
        <v/>
      </c>
      <c r="N1072">
        <f>IF([2]Entry!$M$1075="","",[2]Entry!$M$1075)</f>
        <v/>
      </c>
      <c r="O1072">
        <f>IF([2]Entry!$N$1075="","",[2]Entry!$N$1075)</f>
        <v/>
      </c>
      <c r="P1072">
        <f>IF([2]Entry!$R$1075="","",[2]Entry!$R$1075)</f>
        <v/>
      </c>
    </row>
    <row r="1073">
      <c r="J1073">
        <f>IF([2]Entry!$C$1076="","",[2]Entry!$C$1076)</f>
        <v/>
      </c>
      <c r="K1073">
        <f>IF([2]Entry!$D$1076="","",[2]Entry!$D$1076)</f>
        <v/>
      </c>
      <c r="L1073">
        <f>IF([2]Entry!$E$1076="","",[2]Entry!$E$1076)</f>
        <v/>
      </c>
      <c r="M1073">
        <f>IF([2]Entry!$G$1076="","",[2]Entry!$G$1076)</f>
        <v/>
      </c>
      <c r="N1073">
        <f>IF([2]Entry!$M$1076="","",[2]Entry!$M$1076)</f>
        <v/>
      </c>
      <c r="O1073">
        <f>IF([2]Entry!$N$1076="","",[2]Entry!$N$1076)</f>
        <v/>
      </c>
      <c r="P1073">
        <f>IF([2]Entry!$R$1076="","",[2]Entry!$R$1076)</f>
        <v/>
      </c>
    </row>
    <row r="1074">
      <c r="J1074">
        <f>IF([2]Entry!$C$1077="","",[2]Entry!$C$1077)</f>
        <v/>
      </c>
      <c r="K1074">
        <f>IF([2]Entry!$D$1077="","",[2]Entry!$D$1077)</f>
        <v/>
      </c>
      <c r="L1074">
        <f>IF([2]Entry!$E$1077="","",[2]Entry!$E$1077)</f>
        <v/>
      </c>
      <c r="M1074">
        <f>IF([2]Entry!$G$1077="","",[2]Entry!$G$1077)</f>
        <v/>
      </c>
      <c r="N1074">
        <f>IF([2]Entry!$M$1077="","",[2]Entry!$M$1077)</f>
        <v/>
      </c>
      <c r="O1074">
        <f>IF([2]Entry!$N$1077="","",[2]Entry!$N$1077)</f>
        <v/>
      </c>
      <c r="P1074">
        <f>IF([2]Entry!$R$1077="","",[2]Entry!$R$1077)</f>
        <v/>
      </c>
    </row>
    <row r="1075">
      <c r="J1075">
        <f>IF([2]Entry!$C$1078="","",[2]Entry!$C$1078)</f>
        <v/>
      </c>
      <c r="K1075">
        <f>IF([2]Entry!$D$1078="","",[2]Entry!$D$1078)</f>
        <v/>
      </c>
      <c r="L1075">
        <f>IF([2]Entry!$E$1078="","",[2]Entry!$E$1078)</f>
        <v/>
      </c>
      <c r="M1075">
        <f>IF([2]Entry!$G$1078="","",[2]Entry!$G$1078)</f>
        <v/>
      </c>
      <c r="N1075">
        <f>IF([2]Entry!$M$1078="","",[2]Entry!$M$1078)</f>
        <v/>
      </c>
      <c r="O1075">
        <f>IF([2]Entry!$N$1078="","",[2]Entry!$N$1078)</f>
        <v/>
      </c>
      <c r="P1075">
        <f>IF([2]Entry!$R$1078="","",[2]Entry!$R$1078)</f>
        <v/>
      </c>
    </row>
    <row r="1076">
      <c r="J1076">
        <f>IF([2]Entry!$C$1079="","",[2]Entry!$C$1079)</f>
        <v/>
      </c>
      <c r="K1076">
        <f>IF([2]Entry!$D$1079="","",[2]Entry!$D$1079)</f>
        <v/>
      </c>
      <c r="L1076">
        <f>IF([2]Entry!$E$1079="","",[2]Entry!$E$1079)</f>
        <v/>
      </c>
      <c r="M1076">
        <f>IF([2]Entry!$G$1079="","",[2]Entry!$G$1079)</f>
        <v/>
      </c>
      <c r="N1076">
        <f>IF([2]Entry!$M$1079="","",[2]Entry!$M$1079)</f>
        <v/>
      </c>
      <c r="O1076">
        <f>IF([2]Entry!$N$1079="","",[2]Entry!$N$1079)</f>
        <v/>
      </c>
      <c r="P1076">
        <f>IF([2]Entry!$R$1079="","",[2]Entry!$R$1079)</f>
        <v/>
      </c>
    </row>
    <row r="1077">
      <c r="J1077">
        <f>IF([2]Entry!$C$1080="","",[2]Entry!$C$1080)</f>
        <v/>
      </c>
      <c r="K1077">
        <f>IF([2]Entry!$D$1080="","",[2]Entry!$D$1080)</f>
        <v/>
      </c>
      <c r="L1077">
        <f>IF([2]Entry!$E$1080="","",[2]Entry!$E$1080)</f>
        <v/>
      </c>
      <c r="M1077">
        <f>IF([2]Entry!$G$1080="","",[2]Entry!$G$1080)</f>
        <v/>
      </c>
      <c r="N1077">
        <f>IF([2]Entry!$M$1080="","",[2]Entry!$M$1080)</f>
        <v/>
      </c>
      <c r="O1077">
        <f>IF([2]Entry!$N$1080="","",[2]Entry!$N$1080)</f>
        <v/>
      </c>
      <c r="P1077">
        <f>IF([2]Entry!$R$1080="","",[2]Entry!$R$1080)</f>
        <v/>
      </c>
    </row>
    <row r="1078">
      <c r="J1078">
        <f>IF([2]Entry!$C$1081="","",[2]Entry!$C$1081)</f>
        <v/>
      </c>
      <c r="K1078">
        <f>IF([2]Entry!$D$1081="","",[2]Entry!$D$1081)</f>
        <v/>
      </c>
      <c r="L1078">
        <f>IF([2]Entry!$E$1081="","",[2]Entry!$E$1081)</f>
        <v/>
      </c>
      <c r="M1078">
        <f>IF([2]Entry!$G$1081="","",[2]Entry!$G$1081)</f>
        <v/>
      </c>
      <c r="N1078">
        <f>IF([2]Entry!$M$1081="","",[2]Entry!$M$1081)</f>
        <v/>
      </c>
      <c r="O1078">
        <f>IF([2]Entry!$N$1081="","",[2]Entry!$N$1081)</f>
        <v/>
      </c>
      <c r="P1078">
        <f>IF([2]Entry!$R$1081="","",[2]Entry!$R$1081)</f>
        <v/>
      </c>
    </row>
    <row r="1079">
      <c r="J1079">
        <f>IF([2]Entry!$C$1082="","",[2]Entry!$C$1082)</f>
        <v/>
      </c>
      <c r="K1079">
        <f>IF([2]Entry!$D$1082="","",[2]Entry!$D$1082)</f>
        <v/>
      </c>
      <c r="L1079">
        <f>IF([2]Entry!$E$1082="","",[2]Entry!$E$1082)</f>
        <v/>
      </c>
      <c r="M1079">
        <f>IF([2]Entry!$G$1082="","",[2]Entry!$G$1082)</f>
        <v/>
      </c>
      <c r="N1079">
        <f>IF([2]Entry!$M$1082="","",[2]Entry!$M$1082)</f>
        <v/>
      </c>
      <c r="O1079">
        <f>IF([2]Entry!$N$1082="","",[2]Entry!$N$1082)</f>
        <v/>
      </c>
      <c r="P1079">
        <f>IF([2]Entry!$R$1082="","",[2]Entry!$R$1082)</f>
        <v/>
      </c>
    </row>
    <row r="1080">
      <c r="J1080">
        <f>IF([2]Entry!$C$1083="","",[2]Entry!$C$1083)</f>
        <v/>
      </c>
      <c r="K1080">
        <f>IF([2]Entry!$D$1083="","",[2]Entry!$D$1083)</f>
        <v/>
      </c>
      <c r="L1080">
        <f>IF([2]Entry!$E$1083="","",[2]Entry!$E$1083)</f>
        <v/>
      </c>
      <c r="M1080">
        <f>IF([2]Entry!$G$1083="","",[2]Entry!$G$1083)</f>
        <v/>
      </c>
      <c r="N1080">
        <f>IF([2]Entry!$M$1083="","",[2]Entry!$M$1083)</f>
        <v/>
      </c>
      <c r="O1080">
        <f>IF([2]Entry!$N$1083="","",[2]Entry!$N$1083)</f>
        <v/>
      </c>
      <c r="P1080">
        <f>IF([2]Entry!$R$1083="","",[2]Entry!$R$1083)</f>
        <v/>
      </c>
    </row>
    <row r="1081">
      <c r="J1081">
        <f>IF([2]Entry!$C$1084="","",[2]Entry!$C$1084)</f>
        <v/>
      </c>
      <c r="K1081">
        <f>IF([2]Entry!$D$1084="","",[2]Entry!$D$1084)</f>
        <v/>
      </c>
      <c r="L1081">
        <f>IF([2]Entry!$E$1084="","",[2]Entry!$E$1084)</f>
        <v/>
      </c>
      <c r="M1081">
        <f>IF([2]Entry!$G$1084="","",[2]Entry!$G$1084)</f>
        <v/>
      </c>
      <c r="N1081">
        <f>IF([2]Entry!$M$1084="","",[2]Entry!$M$1084)</f>
        <v/>
      </c>
      <c r="O1081">
        <f>IF([2]Entry!$N$1084="","",[2]Entry!$N$1084)</f>
        <v/>
      </c>
      <c r="P1081">
        <f>IF([2]Entry!$R$1084="","",[2]Entry!$R$1084)</f>
        <v/>
      </c>
    </row>
    <row r="1082">
      <c r="J1082">
        <f>IF([2]Entry!$C$1085="","",[2]Entry!$C$1085)</f>
        <v/>
      </c>
      <c r="K1082">
        <f>IF([2]Entry!$D$1085="","",[2]Entry!$D$1085)</f>
        <v/>
      </c>
      <c r="L1082">
        <f>IF([2]Entry!$E$1085="","",[2]Entry!$E$1085)</f>
        <v/>
      </c>
      <c r="M1082">
        <f>IF([2]Entry!$G$1085="","",[2]Entry!$G$1085)</f>
        <v/>
      </c>
      <c r="N1082">
        <f>IF([2]Entry!$M$1085="","",[2]Entry!$M$1085)</f>
        <v/>
      </c>
      <c r="O1082">
        <f>IF([2]Entry!$N$1085="","",[2]Entry!$N$1085)</f>
        <v/>
      </c>
      <c r="P1082">
        <f>IF([2]Entry!$R$1085="","",[2]Entry!$R$1085)</f>
        <v/>
      </c>
    </row>
    <row r="1083">
      <c r="J1083">
        <f>IF([2]Entry!$C$1086="","",[2]Entry!$C$1086)</f>
        <v/>
      </c>
      <c r="K1083">
        <f>IF([2]Entry!$D$1086="","",[2]Entry!$D$1086)</f>
        <v/>
      </c>
      <c r="L1083">
        <f>IF([2]Entry!$E$1086="","",[2]Entry!$E$1086)</f>
        <v/>
      </c>
      <c r="M1083">
        <f>IF([2]Entry!$G$1086="","",[2]Entry!$G$1086)</f>
        <v/>
      </c>
      <c r="N1083">
        <f>IF([2]Entry!$M$1086="","",[2]Entry!$M$1086)</f>
        <v/>
      </c>
      <c r="O1083">
        <f>IF([2]Entry!$N$1086="","",[2]Entry!$N$1086)</f>
        <v/>
      </c>
      <c r="P1083">
        <f>IF([2]Entry!$R$1086="","",[2]Entry!$R$1086)</f>
        <v/>
      </c>
    </row>
    <row r="1084">
      <c r="J1084">
        <f>IF([2]Entry!$C$1087="","",[2]Entry!$C$1087)</f>
        <v/>
      </c>
      <c r="K1084">
        <f>IF([2]Entry!$D$1087="","",[2]Entry!$D$1087)</f>
        <v/>
      </c>
      <c r="L1084">
        <f>IF([2]Entry!$E$1087="","",[2]Entry!$E$1087)</f>
        <v/>
      </c>
      <c r="M1084">
        <f>IF([2]Entry!$G$1087="","",[2]Entry!$G$1087)</f>
        <v/>
      </c>
      <c r="N1084">
        <f>IF([2]Entry!$M$1087="","",[2]Entry!$M$1087)</f>
        <v/>
      </c>
      <c r="O1084">
        <f>IF([2]Entry!$N$1087="","",[2]Entry!$N$1087)</f>
        <v/>
      </c>
      <c r="P1084">
        <f>IF([2]Entry!$R$1087="","",[2]Entry!$R$1087)</f>
        <v/>
      </c>
    </row>
    <row r="1085">
      <c r="J1085">
        <f>IF([2]Entry!$C$1088="","",[2]Entry!$C$1088)</f>
        <v/>
      </c>
      <c r="K1085">
        <f>IF([2]Entry!$D$1088="","",[2]Entry!$D$1088)</f>
        <v/>
      </c>
      <c r="L1085">
        <f>IF([2]Entry!$E$1088="","",[2]Entry!$E$1088)</f>
        <v/>
      </c>
      <c r="M1085">
        <f>IF([2]Entry!$G$1088="","",[2]Entry!$G$1088)</f>
        <v/>
      </c>
      <c r="N1085">
        <f>IF([2]Entry!$M$1088="","",[2]Entry!$M$1088)</f>
        <v/>
      </c>
      <c r="O1085">
        <f>IF([2]Entry!$N$1088="","",[2]Entry!$N$1088)</f>
        <v/>
      </c>
      <c r="P1085">
        <f>IF([2]Entry!$R$1088="","",[2]Entry!$R$1088)</f>
        <v/>
      </c>
    </row>
    <row r="1086">
      <c r="J1086">
        <f>IF([2]Entry!$C$1089="","",[2]Entry!$C$1089)</f>
        <v/>
      </c>
      <c r="K1086">
        <f>IF([2]Entry!$D$1089="","",[2]Entry!$D$1089)</f>
        <v/>
      </c>
      <c r="L1086">
        <f>IF([2]Entry!$E$1089="","",[2]Entry!$E$1089)</f>
        <v/>
      </c>
      <c r="M1086">
        <f>IF([2]Entry!$G$1089="","",[2]Entry!$G$1089)</f>
        <v/>
      </c>
      <c r="N1086">
        <f>IF([2]Entry!$M$1089="","",[2]Entry!$M$1089)</f>
        <v/>
      </c>
      <c r="O1086">
        <f>IF([2]Entry!$N$1089="","",[2]Entry!$N$1089)</f>
        <v/>
      </c>
      <c r="P1086">
        <f>IF([2]Entry!$R$1089="","",[2]Entry!$R$1089)</f>
        <v/>
      </c>
    </row>
    <row r="1087">
      <c r="J1087">
        <f>IF([2]Entry!$C$1090="","",[2]Entry!$C$1090)</f>
        <v/>
      </c>
      <c r="K1087">
        <f>IF([2]Entry!$D$1090="","",[2]Entry!$D$1090)</f>
        <v/>
      </c>
      <c r="L1087">
        <f>IF([2]Entry!$E$1090="","",[2]Entry!$E$1090)</f>
        <v/>
      </c>
      <c r="M1087">
        <f>IF([2]Entry!$G$1090="","",[2]Entry!$G$1090)</f>
        <v/>
      </c>
      <c r="N1087">
        <f>IF([2]Entry!$M$1090="","",[2]Entry!$M$1090)</f>
        <v/>
      </c>
      <c r="O1087">
        <f>IF([2]Entry!$N$1090="","",[2]Entry!$N$1090)</f>
        <v/>
      </c>
      <c r="P1087">
        <f>IF([2]Entry!$R$1090="","",[2]Entry!$R$1090)</f>
        <v/>
      </c>
    </row>
    <row r="1088">
      <c r="J1088">
        <f>IF([2]Entry!$C$1091="","",[2]Entry!$C$1091)</f>
        <v/>
      </c>
      <c r="K1088">
        <f>IF([2]Entry!$D$1091="","",[2]Entry!$D$1091)</f>
        <v/>
      </c>
      <c r="L1088">
        <f>IF([2]Entry!$E$1091="","",[2]Entry!$E$1091)</f>
        <v/>
      </c>
      <c r="M1088">
        <f>IF([2]Entry!$G$1091="","",[2]Entry!$G$1091)</f>
        <v/>
      </c>
      <c r="N1088">
        <f>IF([2]Entry!$M$1091="","",[2]Entry!$M$1091)</f>
        <v/>
      </c>
      <c r="O1088">
        <f>IF([2]Entry!$N$1091="","",[2]Entry!$N$1091)</f>
        <v/>
      </c>
      <c r="P1088">
        <f>IF([2]Entry!$R$1091="","",[2]Entry!$R$1091)</f>
        <v/>
      </c>
    </row>
    <row r="1089">
      <c r="J1089">
        <f>IF([2]Entry!$C$1092="","",[2]Entry!$C$1092)</f>
        <v/>
      </c>
      <c r="K1089">
        <f>IF([2]Entry!$D$1092="","",[2]Entry!$D$1092)</f>
        <v/>
      </c>
      <c r="L1089">
        <f>IF([2]Entry!$E$1092="","",[2]Entry!$E$1092)</f>
        <v/>
      </c>
      <c r="M1089">
        <f>IF([2]Entry!$G$1092="","",[2]Entry!$G$1092)</f>
        <v/>
      </c>
      <c r="N1089">
        <f>IF([2]Entry!$M$1092="","",[2]Entry!$M$1092)</f>
        <v/>
      </c>
      <c r="O1089">
        <f>IF([2]Entry!$N$1092="","",[2]Entry!$N$1092)</f>
        <v/>
      </c>
      <c r="P1089">
        <f>IF([2]Entry!$R$1092="","",[2]Entry!$R$1092)</f>
        <v/>
      </c>
    </row>
    <row r="1090">
      <c r="J1090">
        <f>IF([2]Entry!$C$1093="","",[2]Entry!$C$1093)</f>
        <v/>
      </c>
      <c r="K1090">
        <f>IF([2]Entry!$D$1093="","",[2]Entry!$D$1093)</f>
        <v/>
      </c>
      <c r="L1090">
        <f>IF([2]Entry!$E$1093="","",[2]Entry!$E$1093)</f>
        <v/>
      </c>
      <c r="M1090">
        <f>IF([2]Entry!$G$1093="","",[2]Entry!$G$1093)</f>
        <v/>
      </c>
      <c r="N1090">
        <f>IF([2]Entry!$M$1093="","",[2]Entry!$M$1093)</f>
        <v/>
      </c>
      <c r="O1090">
        <f>IF([2]Entry!$N$1093="","",[2]Entry!$N$1093)</f>
        <v/>
      </c>
      <c r="P1090">
        <f>IF([2]Entry!$R$1093="","",[2]Entry!$R$1093)</f>
        <v/>
      </c>
    </row>
    <row r="1091">
      <c r="J1091">
        <f>IF([2]Entry!$C$1094="","",[2]Entry!$C$1094)</f>
        <v/>
      </c>
      <c r="K1091">
        <f>IF([2]Entry!$D$1094="","",[2]Entry!$D$1094)</f>
        <v/>
      </c>
      <c r="L1091">
        <f>IF([2]Entry!$E$1094="","",[2]Entry!$E$1094)</f>
        <v/>
      </c>
      <c r="M1091">
        <f>IF([2]Entry!$G$1094="","",[2]Entry!$G$1094)</f>
        <v/>
      </c>
      <c r="N1091">
        <f>IF([2]Entry!$M$1094="","",[2]Entry!$M$1094)</f>
        <v/>
      </c>
      <c r="O1091">
        <f>IF([2]Entry!$N$1094="","",[2]Entry!$N$1094)</f>
        <v/>
      </c>
      <c r="P1091">
        <f>IF([2]Entry!$R$1094="","",[2]Entry!$R$1094)</f>
        <v/>
      </c>
    </row>
    <row r="1092">
      <c r="J1092">
        <f>IF([2]Entry!$C$1095="","",[2]Entry!$C$1095)</f>
        <v/>
      </c>
      <c r="K1092">
        <f>IF([2]Entry!$D$1095="","",[2]Entry!$D$1095)</f>
        <v/>
      </c>
      <c r="L1092">
        <f>IF([2]Entry!$E$1095="","",[2]Entry!$E$1095)</f>
        <v/>
      </c>
      <c r="M1092">
        <f>IF([2]Entry!$G$1095="","",[2]Entry!$G$1095)</f>
        <v/>
      </c>
      <c r="N1092">
        <f>IF([2]Entry!$M$1095="","",[2]Entry!$M$1095)</f>
        <v/>
      </c>
      <c r="O1092">
        <f>IF([2]Entry!$N$1095="","",[2]Entry!$N$1095)</f>
        <v/>
      </c>
      <c r="P1092">
        <f>IF([2]Entry!$R$1095="","",[2]Entry!$R$1095)</f>
        <v/>
      </c>
    </row>
    <row r="1093">
      <c r="J1093">
        <f>IF([2]Entry!$C$1096="","",[2]Entry!$C$1096)</f>
        <v/>
      </c>
      <c r="K1093">
        <f>IF([2]Entry!$D$1096="","",[2]Entry!$D$1096)</f>
        <v/>
      </c>
      <c r="L1093">
        <f>IF([2]Entry!$E$1096="","",[2]Entry!$E$1096)</f>
        <v/>
      </c>
      <c r="M1093">
        <f>IF([2]Entry!$G$1096="","",[2]Entry!$G$1096)</f>
        <v/>
      </c>
      <c r="N1093">
        <f>IF([2]Entry!$M$1096="","",[2]Entry!$M$1096)</f>
        <v/>
      </c>
      <c r="O1093">
        <f>IF([2]Entry!$N$1096="","",[2]Entry!$N$1096)</f>
        <v/>
      </c>
      <c r="P1093">
        <f>IF([2]Entry!$R$1096="","",[2]Entry!$R$1096)</f>
        <v/>
      </c>
    </row>
    <row r="1094">
      <c r="J1094">
        <f>IF([2]Entry!$C$1097="","",[2]Entry!$C$1097)</f>
        <v/>
      </c>
      <c r="K1094">
        <f>IF([2]Entry!$D$1097="","",[2]Entry!$D$1097)</f>
        <v/>
      </c>
      <c r="L1094">
        <f>IF([2]Entry!$E$1097="","",[2]Entry!$E$1097)</f>
        <v/>
      </c>
      <c r="M1094">
        <f>IF([2]Entry!$G$1097="","",[2]Entry!$G$1097)</f>
        <v/>
      </c>
      <c r="N1094">
        <f>IF([2]Entry!$M$1097="","",[2]Entry!$M$1097)</f>
        <v/>
      </c>
      <c r="O1094">
        <f>IF([2]Entry!$N$1097="","",[2]Entry!$N$1097)</f>
        <v/>
      </c>
      <c r="P1094">
        <f>IF([2]Entry!$R$1097="","",[2]Entry!$R$1097)</f>
        <v/>
      </c>
    </row>
    <row r="1095">
      <c r="J1095">
        <f>IF([2]Entry!$C$1098="","",[2]Entry!$C$1098)</f>
        <v/>
      </c>
      <c r="K1095">
        <f>IF([2]Entry!$D$1098="","",[2]Entry!$D$1098)</f>
        <v/>
      </c>
      <c r="L1095">
        <f>IF([2]Entry!$E$1098="","",[2]Entry!$E$1098)</f>
        <v/>
      </c>
      <c r="M1095">
        <f>IF([2]Entry!$G$1098="","",[2]Entry!$G$1098)</f>
        <v/>
      </c>
      <c r="N1095">
        <f>IF([2]Entry!$M$1098="","",[2]Entry!$M$1098)</f>
        <v/>
      </c>
      <c r="O1095">
        <f>IF([2]Entry!$N$1098="","",[2]Entry!$N$1098)</f>
        <v/>
      </c>
      <c r="P1095">
        <f>IF([2]Entry!$R$1098="","",[2]Entry!$R$1098)</f>
        <v/>
      </c>
    </row>
    <row r="1096">
      <c r="J1096">
        <f>IF([2]Entry!$C$1099="","",[2]Entry!$C$1099)</f>
        <v/>
      </c>
      <c r="K1096">
        <f>IF([2]Entry!$D$1099="","",[2]Entry!$D$1099)</f>
        <v/>
      </c>
      <c r="L1096">
        <f>IF([2]Entry!$E$1099="","",[2]Entry!$E$1099)</f>
        <v/>
      </c>
      <c r="M1096">
        <f>IF([2]Entry!$G$1099="","",[2]Entry!$G$1099)</f>
        <v/>
      </c>
      <c r="N1096">
        <f>IF([2]Entry!$M$1099="","",[2]Entry!$M$1099)</f>
        <v/>
      </c>
      <c r="O1096">
        <f>IF([2]Entry!$N$1099="","",[2]Entry!$N$1099)</f>
        <v/>
      </c>
      <c r="P1096">
        <f>IF([2]Entry!$R$1099="","",[2]Entry!$R$1099)</f>
        <v/>
      </c>
    </row>
    <row r="1097">
      <c r="J1097">
        <f>IF([2]Entry!$C$1100="","",[2]Entry!$C$1100)</f>
        <v/>
      </c>
      <c r="K1097">
        <f>IF([2]Entry!$D$1100="","",[2]Entry!$D$1100)</f>
        <v/>
      </c>
      <c r="L1097">
        <f>IF([2]Entry!$E$1100="","",[2]Entry!$E$1100)</f>
        <v/>
      </c>
      <c r="M1097">
        <f>IF([2]Entry!$G$1100="","",[2]Entry!$G$1100)</f>
        <v/>
      </c>
      <c r="N1097">
        <f>IF([2]Entry!$M$1100="","",[2]Entry!$M$1100)</f>
        <v/>
      </c>
      <c r="O1097">
        <f>IF([2]Entry!$N$1100="","",[2]Entry!$N$1100)</f>
        <v/>
      </c>
      <c r="P1097">
        <f>IF([2]Entry!$R$1100="","",[2]Entry!$R$1100)</f>
        <v/>
      </c>
    </row>
    <row r="1098">
      <c r="J1098">
        <f>IF([2]Entry!$C$1101="","",[2]Entry!$C$1101)</f>
        <v/>
      </c>
      <c r="K1098">
        <f>IF([2]Entry!$D$1101="","",[2]Entry!$D$1101)</f>
        <v/>
      </c>
      <c r="L1098">
        <f>IF([2]Entry!$E$1101="","",[2]Entry!$E$1101)</f>
        <v/>
      </c>
      <c r="M1098">
        <f>IF([2]Entry!$G$1101="","",[2]Entry!$G$1101)</f>
        <v/>
      </c>
      <c r="N1098">
        <f>IF([2]Entry!$M$1101="","",[2]Entry!$M$1101)</f>
        <v/>
      </c>
      <c r="O1098">
        <f>IF([2]Entry!$N$1101="","",[2]Entry!$N$1101)</f>
        <v/>
      </c>
      <c r="P1098">
        <f>IF([2]Entry!$R$1101="","",[2]Entry!$R$1101)</f>
        <v/>
      </c>
    </row>
    <row r="1099">
      <c r="J1099">
        <f>IF([2]Entry!$C$1102="","",[2]Entry!$C$1102)</f>
        <v/>
      </c>
      <c r="K1099">
        <f>IF([2]Entry!$D$1102="","",[2]Entry!$D$1102)</f>
        <v/>
      </c>
      <c r="L1099">
        <f>IF([2]Entry!$E$1102="","",[2]Entry!$E$1102)</f>
        <v/>
      </c>
      <c r="M1099">
        <f>IF([2]Entry!$G$1102="","",[2]Entry!$G$1102)</f>
        <v/>
      </c>
      <c r="N1099">
        <f>IF([2]Entry!$M$1102="","",[2]Entry!$M$1102)</f>
        <v/>
      </c>
      <c r="O1099">
        <f>IF([2]Entry!$N$1102="","",[2]Entry!$N$1102)</f>
        <v/>
      </c>
      <c r="P1099">
        <f>IF([2]Entry!$R$1102="","",[2]Entry!$R$1102)</f>
        <v/>
      </c>
    </row>
    <row r="1100">
      <c r="J1100">
        <f>IF([2]Entry!$C$1103="","",[2]Entry!$C$1103)</f>
        <v/>
      </c>
      <c r="K1100">
        <f>IF([2]Entry!$D$1103="","",[2]Entry!$D$1103)</f>
        <v/>
      </c>
      <c r="L1100">
        <f>IF([2]Entry!$E$1103="","",[2]Entry!$E$1103)</f>
        <v/>
      </c>
      <c r="M1100">
        <f>IF([2]Entry!$G$1103="","",[2]Entry!$G$1103)</f>
        <v/>
      </c>
      <c r="N1100">
        <f>IF([2]Entry!$M$1103="","",[2]Entry!$M$1103)</f>
        <v/>
      </c>
      <c r="O1100">
        <f>IF([2]Entry!$N$1103="","",[2]Entry!$N$1103)</f>
        <v/>
      </c>
      <c r="P1100">
        <f>IF([2]Entry!$R$1103="","",[2]Entry!$R$1103)</f>
        <v/>
      </c>
    </row>
    <row r="1101">
      <c r="J1101">
        <f>IF([2]Entry!$C$1104="","",[2]Entry!$C$1104)</f>
        <v/>
      </c>
      <c r="K1101">
        <f>IF([2]Entry!$D$1104="","",[2]Entry!$D$1104)</f>
        <v/>
      </c>
      <c r="L1101">
        <f>IF([2]Entry!$E$1104="","",[2]Entry!$E$1104)</f>
        <v/>
      </c>
      <c r="M1101">
        <f>IF([2]Entry!$G$1104="","",[2]Entry!$G$1104)</f>
        <v/>
      </c>
      <c r="N1101">
        <f>IF([2]Entry!$M$1104="","",[2]Entry!$M$1104)</f>
        <v/>
      </c>
      <c r="O1101">
        <f>IF([2]Entry!$N$1104="","",[2]Entry!$N$1104)</f>
        <v/>
      </c>
      <c r="P1101">
        <f>IF([2]Entry!$R$1104="","",[2]Entry!$R$1104)</f>
        <v/>
      </c>
    </row>
    <row r="1102">
      <c r="J1102">
        <f>IF([2]Entry!$C$1105="","",[2]Entry!$C$1105)</f>
        <v/>
      </c>
      <c r="K1102">
        <f>IF([2]Entry!$D$1105="","",[2]Entry!$D$1105)</f>
        <v/>
      </c>
      <c r="L1102">
        <f>IF([2]Entry!$E$1105="","",[2]Entry!$E$1105)</f>
        <v/>
      </c>
      <c r="M1102">
        <f>IF([2]Entry!$G$1105="","",[2]Entry!$G$1105)</f>
        <v/>
      </c>
      <c r="N1102">
        <f>IF([2]Entry!$M$1105="","",[2]Entry!$M$1105)</f>
        <v/>
      </c>
      <c r="O1102">
        <f>IF([2]Entry!$N$1105="","",[2]Entry!$N$1105)</f>
        <v/>
      </c>
      <c r="P1102">
        <f>IF([2]Entry!$R$1105="","",[2]Entry!$R$1105)</f>
        <v/>
      </c>
    </row>
    <row r="1103">
      <c r="J1103">
        <f>IF([2]Entry!$C$1106="","",[2]Entry!$C$1106)</f>
        <v/>
      </c>
      <c r="K1103">
        <f>IF([2]Entry!$D$1106="","",[2]Entry!$D$1106)</f>
        <v/>
      </c>
      <c r="L1103">
        <f>IF([2]Entry!$E$1106="","",[2]Entry!$E$1106)</f>
        <v/>
      </c>
      <c r="M1103">
        <f>IF([2]Entry!$G$1106="","",[2]Entry!$G$1106)</f>
        <v/>
      </c>
      <c r="N1103">
        <f>IF([2]Entry!$M$1106="","",[2]Entry!$M$1106)</f>
        <v/>
      </c>
      <c r="O1103">
        <f>IF([2]Entry!$N$1106="","",[2]Entry!$N$1106)</f>
        <v/>
      </c>
      <c r="P1103">
        <f>IF([2]Entry!$R$1106="","",[2]Entry!$R$1106)</f>
        <v/>
      </c>
    </row>
    <row r="1104">
      <c r="J1104">
        <f>IF([2]Entry!$C$1107="","",[2]Entry!$C$1107)</f>
        <v/>
      </c>
      <c r="K1104">
        <f>IF([2]Entry!$D$1107="","",[2]Entry!$D$1107)</f>
        <v/>
      </c>
      <c r="L1104">
        <f>IF([2]Entry!$E$1107="","",[2]Entry!$E$1107)</f>
        <v/>
      </c>
      <c r="M1104">
        <f>IF([2]Entry!$G$1107="","",[2]Entry!$G$1107)</f>
        <v/>
      </c>
      <c r="N1104">
        <f>IF([2]Entry!$M$1107="","",[2]Entry!$M$1107)</f>
        <v/>
      </c>
      <c r="O1104">
        <f>IF([2]Entry!$N$1107="","",[2]Entry!$N$1107)</f>
        <v/>
      </c>
      <c r="P1104">
        <f>IF([2]Entry!$R$1107="","",[2]Entry!$R$1107)</f>
        <v/>
      </c>
    </row>
    <row r="1105">
      <c r="J1105">
        <f>IF([2]Entry!$C$1108="","",[2]Entry!$C$1108)</f>
        <v/>
      </c>
      <c r="K1105">
        <f>IF([2]Entry!$D$1108="","",[2]Entry!$D$1108)</f>
        <v/>
      </c>
      <c r="L1105">
        <f>IF([2]Entry!$E$1108="","",[2]Entry!$E$1108)</f>
        <v/>
      </c>
      <c r="M1105">
        <f>IF([2]Entry!$G$1108="","",[2]Entry!$G$1108)</f>
        <v/>
      </c>
      <c r="N1105">
        <f>IF([2]Entry!$M$1108="","",[2]Entry!$M$1108)</f>
        <v/>
      </c>
      <c r="O1105">
        <f>IF([2]Entry!$N$1108="","",[2]Entry!$N$1108)</f>
        <v/>
      </c>
      <c r="P1105">
        <f>IF([2]Entry!$R$1108="","",[2]Entry!$R$1108)</f>
        <v/>
      </c>
    </row>
    <row r="1106">
      <c r="J1106">
        <f>IF([2]Entry!$C$1109="","",[2]Entry!$C$1109)</f>
        <v/>
      </c>
      <c r="K1106">
        <f>IF([2]Entry!$D$1109="","",[2]Entry!$D$1109)</f>
        <v/>
      </c>
      <c r="L1106">
        <f>IF([2]Entry!$E$1109="","",[2]Entry!$E$1109)</f>
        <v/>
      </c>
      <c r="M1106">
        <f>IF([2]Entry!$G$1109="","",[2]Entry!$G$1109)</f>
        <v/>
      </c>
      <c r="N1106">
        <f>IF([2]Entry!$M$1109="","",[2]Entry!$M$1109)</f>
        <v/>
      </c>
      <c r="O1106">
        <f>IF([2]Entry!$N$1109="","",[2]Entry!$N$1109)</f>
        <v/>
      </c>
      <c r="P1106">
        <f>IF([2]Entry!$R$1109="","",[2]Entry!$R$1109)</f>
        <v/>
      </c>
    </row>
    <row r="1107">
      <c r="J1107">
        <f>IF([2]Entry!$C$1110="","",[2]Entry!$C$1110)</f>
        <v/>
      </c>
      <c r="K1107">
        <f>IF([2]Entry!$D$1110="","",[2]Entry!$D$1110)</f>
        <v/>
      </c>
      <c r="L1107">
        <f>IF([2]Entry!$E$1110="","",[2]Entry!$E$1110)</f>
        <v/>
      </c>
      <c r="M1107">
        <f>IF([2]Entry!$G$1110="","",[2]Entry!$G$1110)</f>
        <v/>
      </c>
      <c r="N1107">
        <f>IF([2]Entry!$M$1110="","",[2]Entry!$M$1110)</f>
        <v/>
      </c>
      <c r="O1107">
        <f>IF([2]Entry!$N$1110="","",[2]Entry!$N$1110)</f>
        <v/>
      </c>
      <c r="P1107">
        <f>IF([2]Entry!$R$1110="","",[2]Entry!$R$1110)</f>
        <v/>
      </c>
    </row>
    <row r="1108">
      <c r="J1108">
        <f>IF([2]Entry!$C$1111="","",[2]Entry!$C$1111)</f>
        <v/>
      </c>
      <c r="K1108">
        <f>IF([2]Entry!$D$1111="","",[2]Entry!$D$1111)</f>
        <v/>
      </c>
      <c r="L1108">
        <f>IF([2]Entry!$E$1111="","",[2]Entry!$E$1111)</f>
        <v/>
      </c>
      <c r="M1108">
        <f>IF([2]Entry!$G$1111="","",[2]Entry!$G$1111)</f>
        <v/>
      </c>
      <c r="N1108">
        <f>IF([2]Entry!$M$1111="","",[2]Entry!$M$1111)</f>
        <v/>
      </c>
      <c r="O1108">
        <f>IF([2]Entry!$N$1111="","",[2]Entry!$N$1111)</f>
        <v/>
      </c>
      <c r="P1108">
        <f>IF([2]Entry!$R$1111="","",[2]Entry!$R$1111)</f>
        <v/>
      </c>
    </row>
    <row r="1109">
      <c r="J1109">
        <f>IF([2]Entry!$C$1112="","",[2]Entry!$C$1112)</f>
        <v/>
      </c>
      <c r="K1109">
        <f>IF([2]Entry!$D$1112="","",[2]Entry!$D$1112)</f>
        <v/>
      </c>
      <c r="L1109">
        <f>IF([2]Entry!$E$1112="","",[2]Entry!$E$1112)</f>
        <v/>
      </c>
      <c r="M1109">
        <f>IF([2]Entry!$G$1112="","",[2]Entry!$G$1112)</f>
        <v/>
      </c>
      <c r="N1109">
        <f>IF([2]Entry!$M$1112="","",[2]Entry!$M$1112)</f>
        <v/>
      </c>
      <c r="O1109">
        <f>IF([2]Entry!$N$1112="","",[2]Entry!$N$1112)</f>
        <v/>
      </c>
      <c r="P1109">
        <f>IF([2]Entry!$R$1112="","",[2]Entry!$R$1112)</f>
        <v/>
      </c>
    </row>
    <row r="1110">
      <c r="J1110">
        <f>IF([2]Entry!$C$1113="","",[2]Entry!$C$1113)</f>
        <v/>
      </c>
      <c r="K1110">
        <f>IF([2]Entry!$D$1113="","",[2]Entry!$D$1113)</f>
        <v/>
      </c>
      <c r="L1110">
        <f>IF([2]Entry!$E$1113="","",[2]Entry!$E$1113)</f>
        <v/>
      </c>
      <c r="M1110">
        <f>IF([2]Entry!$G$1113="","",[2]Entry!$G$1113)</f>
        <v/>
      </c>
      <c r="N1110">
        <f>IF([2]Entry!$M$1113="","",[2]Entry!$M$1113)</f>
        <v/>
      </c>
      <c r="O1110">
        <f>IF([2]Entry!$N$1113="","",[2]Entry!$N$1113)</f>
        <v/>
      </c>
      <c r="P1110">
        <f>IF([2]Entry!$R$1113="","",[2]Entry!$R$1113)</f>
        <v/>
      </c>
    </row>
    <row r="1111">
      <c r="J1111">
        <f>IF([2]Entry!$C$1114="","",[2]Entry!$C$1114)</f>
        <v/>
      </c>
      <c r="K1111">
        <f>IF([2]Entry!$D$1114="","",[2]Entry!$D$1114)</f>
        <v/>
      </c>
      <c r="L1111">
        <f>IF([2]Entry!$E$1114="","",[2]Entry!$E$1114)</f>
        <v/>
      </c>
      <c r="M1111">
        <f>IF([2]Entry!$G$1114="","",[2]Entry!$G$1114)</f>
        <v/>
      </c>
      <c r="N1111">
        <f>IF([2]Entry!$M$1114="","",[2]Entry!$M$1114)</f>
        <v/>
      </c>
      <c r="O1111">
        <f>IF([2]Entry!$N$1114="","",[2]Entry!$N$1114)</f>
        <v/>
      </c>
      <c r="P1111">
        <f>IF([2]Entry!$R$1114="","",[2]Entry!$R$1114)</f>
        <v/>
      </c>
    </row>
    <row r="1112">
      <c r="J1112">
        <f>IF([2]Entry!$C$1115="","",[2]Entry!$C$1115)</f>
        <v/>
      </c>
      <c r="K1112">
        <f>IF([2]Entry!$D$1115="","",[2]Entry!$D$1115)</f>
        <v/>
      </c>
      <c r="L1112">
        <f>IF([2]Entry!$E$1115="","",[2]Entry!$E$1115)</f>
        <v/>
      </c>
      <c r="M1112">
        <f>IF([2]Entry!$G$1115="","",[2]Entry!$G$1115)</f>
        <v/>
      </c>
      <c r="N1112">
        <f>IF([2]Entry!$M$1115="","",[2]Entry!$M$1115)</f>
        <v/>
      </c>
      <c r="O1112">
        <f>IF([2]Entry!$N$1115="","",[2]Entry!$N$1115)</f>
        <v/>
      </c>
      <c r="P1112">
        <f>IF([2]Entry!$R$1115="","",[2]Entry!$R$1115)</f>
        <v/>
      </c>
    </row>
    <row r="1113">
      <c r="J1113">
        <f>IF([2]Entry!$C$1116="","",[2]Entry!$C$1116)</f>
        <v/>
      </c>
      <c r="K1113">
        <f>IF([2]Entry!$D$1116="","",[2]Entry!$D$1116)</f>
        <v/>
      </c>
      <c r="L1113">
        <f>IF([2]Entry!$E$1116="","",[2]Entry!$E$1116)</f>
        <v/>
      </c>
      <c r="M1113">
        <f>IF([2]Entry!$G$1116="","",[2]Entry!$G$1116)</f>
        <v/>
      </c>
      <c r="N1113">
        <f>IF([2]Entry!$M$1116="","",[2]Entry!$M$1116)</f>
        <v/>
      </c>
      <c r="O1113">
        <f>IF([2]Entry!$N$1116="","",[2]Entry!$N$1116)</f>
        <v/>
      </c>
      <c r="P1113">
        <f>IF([2]Entry!$R$1116="","",[2]Entry!$R$1116)</f>
        <v/>
      </c>
    </row>
    <row r="1114">
      <c r="J1114">
        <f>IF([2]Entry!$C$1117="","",[2]Entry!$C$1117)</f>
        <v/>
      </c>
      <c r="K1114">
        <f>IF([2]Entry!$D$1117="","",[2]Entry!$D$1117)</f>
        <v/>
      </c>
      <c r="L1114">
        <f>IF([2]Entry!$E$1117="","",[2]Entry!$E$1117)</f>
        <v/>
      </c>
      <c r="M1114">
        <f>IF([2]Entry!$G$1117="","",[2]Entry!$G$1117)</f>
        <v/>
      </c>
      <c r="N1114">
        <f>IF([2]Entry!$M$1117="","",[2]Entry!$M$1117)</f>
        <v/>
      </c>
      <c r="O1114">
        <f>IF([2]Entry!$N$1117="","",[2]Entry!$N$1117)</f>
        <v/>
      </c>
      <c r="P1114">
        <f>IF([2]Entry!$R$1117="","",[2]Entry!$R$1117)</f>
        <v/>
      </c>
    </row>
    <row r="1115">
      <c r="J1115">
        <f>IF([2]Entry!$C$1118="","",[2]Entry!$C$1118)</f>
        <v/>
      </c>
      <c r="K1115">
        <f>IF([2]Entry!$D$1118="","",[2]Entry!$D$1118)</f>
        <v/>
      </c>
      <c r="L1115">
        <f>IF([2]Entry!$E$1118="","",[2]Entry!$E$1118)</f>
        <v/>
      </c>
      <c r="M1115">
        <f>IF([2]Entry!$G$1118="","",[2]Entry!$G$1118)</f>
        <v/>
      </c>
      <c r="N1115">
        <f>IF([2]Entry!$M$1118="","",[2]Entry!$M$1118)</f>
        <v/>
      </c>
      <c r="O1115">
        <f>IF([2]Entry!$N$1118="","",[2]Entry!$N$1118)</f>
        <v/>
      </c>
      <c r="P1115">
        <f>IF([2]Entry!$R$1118="","",[2]Entry!$R$1118)</f>
        <v/>
      </c>
    </row>
    <row r="1116">
      <c r="J1116">
        <f>IF([2]Entry!$C$1119="","",[2]Entry!$C$1119)</f>
        <v/>
      </c>
      <c r="K1116">
        <f>IF([2]Entry!$D$1119="","",[2]Entry!$D$1119)</f>
        <v/>
      </c>
      <c r="L1116">
        <f>IF([2]Entry!$E$1119="","",[2]Entry!$E$1119)</f>
        <v/>
      </c>
      <c r="M1116">
        <f>IF([2]Entry!$G$1119="","",[2]Entry!$G$1119)</f>
        <v/>
      </c>
      <c r="N1116">
        <f>IF([2]Entry!$M$1119="","",[2]Entry!$M$1119)</f>
        <v/>
      </c>
      <c r="O1116">
        <f>IF([2]Entry!$N$1119="","",[2]Entry!$N$1119)</f>
        <v/>
      </c>
      <c r="P1116">
        <f>IF([2]Entry!$R$1119="","",[2]Entry!$R$1119)</f>
        <v/>
      </c>
    </row>
    <row r="1117">
      <c r="J1117">
        <f>IF([2]Entry!$C$1120="","",[2]Entry!$C$1120)</f>
        <v/>
      </c>
      <c r="K1117">
        <f>IF([2]Entry!$D$1120="","",[2]Entry!$D$1120)</f>
        <v/>
      </c>
      <c r="L1117">
        <f>IF([2]Entry!$E$1120="","",[2]Entry!$E$1120)</f>
        <v/>
      </c>
      <c r="M1117">
        <f>IF([2]Entry!$G$1120="","",[2]Entry!$G$1120)</f>
        <v/>
      </c>
      <c r="N1117">
        <f>IF([2]Entry!$M$1120="","",[2]Entry!$M$1120)</f>
        <v/>
      </c>
      <c r="O1117">
        <f>IF([2]Entry!$N$1120="","",[2]Entry!$N$1120)</f>
        <v/>
      </c>
      <c r="P1117">
        <f>IF([2]Entry!$R$1120="","",[2]Entry!$R$1120)</f>
        <v/>
      </c>
    </row>
    <row r="1118">
      <c r="J1118">
        <f>IF([2]Entry!$C$1121="","",[2]Entry!$C$1121)</f>
        <v/>
      </c>
      <c r="K1118">
        <f>IF([2]Entry!$D$1121="","",[2]Entry!$D$1121)</f>
        <v/>
      </c>
      <c r="L1118">
        <f>IF([2]Entry!$E$1121="","",[2]Entry!$E$1121)</f>
        <v/>
      </c>
      <c r="M1118">
        <f>IF([2]Entry!$G$1121="","",[2]Entry!$G$1121)</f>
        <v/>
      </c>
      <c r="N1118">
        <f>IF([2]Entry!$M$1121="","",[2]Entry!$M$1121)</f>
        <v/>
      </c>
      <c r="O1118">
        <f>IF([2]Entry!$N$1121="","",[2]Entry!$N$1121)</f>
        <v/>
      </c>
      <c r="P1118">
        <f>IF([2]Entry!$R$1121="","",[2]Entry!$R$1121)</f>
        <v/>
      </c>
    </row>
    <row r="1119">
      <c r="J1119">
        <f>IF([2]Entry!$C$1122="","",[2]Entry!$C$1122)</f>
        <v/>
      </c>
      <c r="K1119">
        <f>IF([2]Entry!$D$1122="","",[2]Entry!$D$1122)</f>
        <v/>
      </c>
      <c r="L1119">
        <f>IF([2]Entry!$E$1122="","",[2]Entry!$E$1122)</f>
        <v/>
      </c>
      <c r="M1119">
        <f>IF([2]Entry!$G$1122="","",[2]Entry!$G$1122)</f>
        <v/>
      </c>
      <c r="N1119">
        <f>IF([2]Entry!$M$1122="","",[2]Entry!$M$1122)</f>
        <v/>
      </c>
      <c r="O1119">
        <f>IF([2]Entry!$N$1122="","",[2]Entry!$N$1122)</f>
        <v/>
      </c>
      <c r="P1119">
        <f>IF([2]Entry!$R$1122="","",[2]Entry!$R$1122)</f>
        <v/>
      </c>
    </row>
    <row r="1120">
      <c r="J1120">
        <f>IF([2]Entry!$C$1123="","",[2]Entry!$C$1123)</f>
        <v/>
      </c>
      <c r="K1120">
        <f>IF([2]Entry!$D$1123="","",[2]Entry!$D$1123)</f>
        <v/>
      </c>
      <c r="L1120">
        <f>IF([2]Entry!$E$1123="","",[2]Entry!$E$1123)</f>
        <v/>
      </c>
      <c r="M1120">
        <f>IF([2]Entry!$G$1123="","",[2]Entry!$G$1123)</f>
        <v/>
      </c>
      <c r="N1120">
        <f>IF([2]Entry!$M$1123="","",[2]Entry!$M$1123)</f>
        <v/>
      </c>
      <c r="O1120">
        <f>IF([2]Entry!$N$1123="","",[2]Entry!$N$1123)</f>
        <v/>
      </c>
      <c r="P1120">
        <f>IF([2]Entry!$R$1123="","",[2]Entry!$R$1123)</f>
        <v/>
      </c>
    </row>
    <row r="1121">
      <c r="J1121">
        <f>IF([2]Entry!$C$1124="","",[2]Entry!$C$1124)</f>
        <v/>
      </c>
      <c r="K1121">
        <f>IF([2]Entry!$D$1124="","",[2]Entry!$D$1124)</f>
        <v/>
      </c>
      <c r="L1121">
        <f>IF([2]Entry!$E$1124="","",[2]Entry!$E$1124)</f>
        <v/>
      </c>
      <c r="M1121">
        <f>IF([2]Entry!$G$1124="","",[2]Entry!$G$1124)</f>
        <v/>
      </c>
      <c r="N1121">
        <f>IF([2]Entry!$M$1124="","",[2]Entry!$M$1124)</f>
        <v/>
      </c>
      <c r="O1121">
        <f>IF([2]Entry!$N$1124="","",[2]Entry!$N$1124)</f>
        <v/>
      </c>
      <c r="P1121">
        <f>IF([2]Entry!$R$1124="","",[2]Entry!$R$1124)</f>
        <v/>
      </c>
    </row>
    <row r="1122">
      <c r="J1122">
        <f>IF([2]Entry!$C$1125="","",[2]Entry!$C$1125)</f>
        <v/>
      </c>
      <c r="K1122">
        <f>IF([2]Entry!$D$1125="","",[2]Entry!$D$1125)</f>
        <v/>
      </c>
      <c r="L1122">
        <f>IF([2]Entry!$E$1125="","",[2]Entry!$E$1125)</f>
        <v/>
      </c>
      <c r="M1122">
        <f>IF([2]Entry!$G$1125="","",[2]Entry!$G$1125)</f>
        <v/>
      </c>
      <c r="N1122">
        <f>IF([2]Entry!$M$1125="","",[2]Entry!$M$1125)</f>
        <v/>
      </c>
      <c r="O1122">
        <f>IF([2]Entry!$N$1125="","",[2]Entry!$N$1125)</f>
        <v/>
      </c>
      <c r="P1122">
        <f>IF([2]Entry!$R$1125="","",[2]Entry!$R$1125)</f>
        <v/>
      </c>
    </row>
    <row r="1123">
      <c r="J1123">
        <f>IF([2]Entry!$C$1126="","",[2]Entry!$C$1126)</f>
        <v/>
      </c>
      <c r="K1123">
        <f>IF([2]Entry!$D$1126="","",[2]Entry!$D$1126)</f>
        <v/>
      </c>
      <c r="L1123">
        <f>IF([2]Entry!$E$1126="","",[2]Entry!$E$1126)</f>
        <v/>
      </c>
      <c r="M1123">
        <f>IF([2]Entry!$G$1126="","",[2]Entry!$G$1126)</f>
        <v/>
      </c>
      <c r="N1123">
        <f>IF([2]Entry!$M$1126="","",[2]Entry!$M$1126)</f>
        <v/>
      </c>
      <c r="O1123">
        <f>IF([2]Entry!$N$1126="","",[2]Entry!$N$1126)</f>
        <v/>
      </c>
      <c r="P1123">
        <f>IF([2]Entry!$R$1126="","",[2]Entry!$R$1126)</f>
        <v/>
      </c>
    </row>
    <row r="1124">
      <c r="J1124">
        <f>IF([2]Entry!$C$1127="","",[2]Entry!$C$1127)</f>
        <v/>
      </c>
      <c r="K1124">
        <f>IF([2]Entry!$D$1127="","",[2]Entry!$D$1127)</f>
        <v/>
      </c>
      <c r="L1124">
        <f>IF([2]Entry!$E$1127="","",[2]Entry!$E$1127)</f>
        <v/>
      </c>
      <c r="M1124">
        <f>IF([2]Entry!$G$1127="","",[2]Entry!$G$1127)</f>
        <v/>
      </c>
      <c r="N1124">
        <f>IF([2]Entry!$M$1127="","",[2]Entry!$M$1127)</f>
        <v/>
      </c>
      <c r="O1124">
        <f>IF([2]Entry!$N$1127="","",[2]Entry!$N$1127)</f>
        <v/>
      </c>
      <c r="P1124">
        <f>IF([2]Entry!$R$1127="","",[2]Entry!$R$1127)</f>
        <v/>
      </c>
    </row>
    <row r="1125">
      <c r="J1125">
        <f>IF([2]Entry!$C$1128="","",[2]Entry!$C$1128)</f>
        <v/>
      </c>
      <c r="K1125">
        <f>IF([2]Entry!$D$1128="","",[2]Entry!$D$1128)</f>
        <v/>
      </c>
      <c r="L1125">
        <f>IF([2]Entry!$E$1128="","",[2]Entry!$E$1128)</f>
        <v/>
      </c>
      <c r="M1125">
        <f>IF([2]Entry!$G$1128="","",[2]Entry!$G$1128)</f>
        <v/>
      </c>
      <c r="N1125">
        <f>IF([2]Entry!$M$1128="","",[2]Entry!$M$1128)</f>
        <v/>
      </c>
      <c r="O1125">
        <f>IF([2]Entry!$N$1128="","",[2]Entry!$N$1128)</f>
        <v/>
      </c>
      <c r="P1125">
        <f>IF([2]Entry!$R$1128="","",[2]Entry!$R$1128)</f>
        <v/>
      </c>
    </row>
    <row r="1126">
      <c r="J1126">
        <f>IF([2]Entry!$C$1129="","",[2]Entry!$C$1129)</f>
        <v/>
      </c>
      <c r="K1126">
        <f>IF([2]Entry!$D$1129="","",[2]Entry!$D$1129)</f>
        <v/>
      </c>
      <c r="L1126">
        <f>IF([2]Entry!$E$1129="","",[2]Entry!$E$1129)</f>
        <v/>
      </c>
      <c r="M1126">
        <f>IF([2]Entry!$G$1129="","",[2]Entry!$G$1129)</f>
        <v/>
      </c>
      <c r="N1126">
        <f>IF([2]Entry!$M$1129="","",[2]Entry!$M$1129)</f>
        <v/>
      </c>
      <c r="O1126">
        <f>IF([2]Entry!$N$1129="","",[2]Entry!$N$1129)</f>
        <v/>
      </c>
      <c r="P1126">
        <f>IF([2]Entry!$R$1129="","",[2]Entry!$R$1129)</f>
        <v/>
      </c>
    </row>
    <row r="1127">
      <c r="J1127">
        <f>IF([2]Entry!$C$1130="","",[2]Entry!$C$1130)</f>
        <v/>
      </c>
      <c r="K1127">
        <f>IF([2]Entry!$D$1130="","",[2]Entry!$D$1130)</f>
        <v/>
      </c>
      <c r="L1127">
        <f>IF([2]Entry!$E$1130="","",[2]Entry!$E$1130)</f>
        <v/>
      </c>
      <c r="M1127">
        <f>IF([2]Entry!$G$1130="","",[2]Entry!$G$1130)</f>
        <v/>
      </c>
      <c r="N1127">
        <f>IF([2]Entry!$M$1130="","",[2]Entry!$M$1130)</f>
        <v/>
      </c>
      <c r="O1127">
        <f>IF([2]Entry!$N$1130="","",[2]Entry!$N$1130)</f>
        <v/>
      </c>
      <c r="P1127">
        <f>IF([2]Entry!$R$1130="","",[2]Entry!$R$1130)</f>
        <v/>
      </c>
    </row>
    <row r="1128">
      <c r="J1128">
        <f>IF([2]Entry!$C$1131="","",[2]Entry!$C$1131)</f>
        <v/>
      </c>
      <c r="K1128">
        <f>IF([2]Entry!$D$1131="","",[2]Entry!$D$1131)</f>
        <v/>
      </c>
      <c r="L1128">
        <f>IF([2]Entry!$E$1131="","",[2]Entry!$E$1131)</f>
        <v/>
      </c>
      <c r="M1128">
        <f>IF([2]Entry!$G$1131="","",[2]Entry!$G$1131)</f>
        <v/>
      </c>
      <c r="N1128">
        <f>IF([2]Entry!$M$1131="","",[2]Entry!$M$1131)</f>
        <v/>
      </c>
      <c r="O1128">
        <f>IF([2]Entry!$N$1131="","",[2]Entry!$N$1131)</f>
        <v/>
      </c>
      <c r="P1128">
        <f>IF([2]Entry!$R$1131="","",[2]Entry!$R$1131)</f>
        <v/>
      </c>
    </row>
    <row r="1129">
      <c r="J1129">
        <f>IF([2]Entry!$C$1132="","",[2]Entry!$C$1132)</f>
        <v/>
      </c>
      <c r="K1129">
        <f>IF([2]Entry!$D$1132="","",[2]Entry!$D$1132)</f>
        <v/>
      </c>
      <c r="L1129">
        <f>IF([2]Entry!$E$1132="","",[2]Entry!$E$1132)</f>
        <v/>
      </c>
      <c r="M1129">
        <f>IF([2]Entry!$G$1132="","",[2]Entry!$G$1132)</f>
        <v/>
      </c>
      <c r="N1129">
        <f>IF([2]Entry!$M$1132="","",[2]Entry!$M$1132)</f>
        <v/>
      </c>
      <c r="O1129">
        <f>IF([2]Entry!$N$1132="","",[2]Entry!$N$1132)</f>
        <v/>
      </c>
      <c r="P1129">
        <f>IF([2]Entry!$R$1132="","",[2]Entry!$R$1132)</f>
        <v/>
      </c>
    </row>
    <row r="1130">
      <c r="J1130">
        <f>IF([2]Entry!$C$1133="","",[2]Entry!$C$1133)</f>
        <v/>
      </c>
      <c r="K1130">
        <f>IF([2]Entry!$D$1133="","",[2]Entry!$D$1133)</f>
        <v/>
      </c>
      <c r="L1130">
        <f>IF([2]Entry!$E$1133="","",[2]Entry!$E$1133)</f>
        <v/>
      </c>
      <c r="M1130">
        <f>IF([2]Entry!$G$1133="","",[2]Entry!$G$1133)</f>
        <v/>
      </c>
      <c r="N1130">
        <f>IF([2]Entry!$M$1133="","",[2]Entry!$M$1133)</f>
        <v/>
      </c>
      <c r="O1130">
        <f>IF([2]Entry!$N$1133="","",[2]Entry!$N$1133)</f>
        <v/>
      </c>
      <c r="P1130">
        <f>IF([2]Entry!$R$1133="","",[2]Entry!$R$1133)</f>
        <v/>
      </c>
    </row>
    <row r="1131">
      <c r="J1131">
        <f>IF([2]Entry!$C$1134="","",[2]Entry!$C$1134)</f>
        <v/>
      </c>
      <c r="K1131">
        <f>IF([2]Entry!$D$1134="","",[2]Entry!$D$1134)</f>
        <v/>
      </c>
      <c r="L1131">
        <f>IF([2]Entry!$E$1134="","",[2]Entry!$E$1134)</f>
        <v/>
      </c>
      <c r="M1131">
        <f>IF([2]Entry!$G$1134="","",[2]Entry!$G$1134)</f>
        <v/>
      </c>
      <c r="N1131">
        <f>IF([2]Entry!$M$1134="","",[2]Entry!$M$1134)</f>
        <v/>
      </c>
      <c r="O1131">
        <f>IF([2]Entry!$N$1134="","",[2]Entry!$N$1134)</f>
        <v/>
      </c>
      <c r="P1131">
        <f>IF([2]Entry!$R$1134="","",[2]Entry!$R$1134)</f>
        <v/>
      </c>
    </row>
    <row r="1132">
      <c r="J1132">
        <f>IF([2]Entry!$C$1135="","",[2]Entry!$C$1135)</f>
        <v/>
      </c>
      <c r="K1132">
        <f>IF([2]Entry!$D$1135="","",[2]Entry!$D$1135)</f>
        <v/>
      </c>
      <c r="L1132">
        <f>IF([2]Entry!$E$1135="","",[2]Entry!$E$1135)</f>
        <v/>
      </c>
      <c r="M1132">
        <f>IF([2]Entry!$G$1135="","",[2]Entry!$G$1135)</f>
        <v/>
      </c>
      <c r="N1132">
        <f>IF([2]Entry!$M$1135="","",[2]Entry!$M$1135)</f>
        <v/>
      </c>
      <c r="O1132">
        <f>IF([2]Entry!$N$1135="","",[2]Entry!$N$1135)</f>
        <v/>
      </c>
      <c r="P1132">
        <f>IF([2]Entry!$R$1135="","",[2]Entry!$R$1135)</f>
        <v/>
      </c>
    </row>
    <row r="1133">
      <c r="J1133">
        <f>IF([2]Entry!$C$1136="","",[2]Entry!$C$1136)</f>
        <v/>
      </c>
      <c r="K1133">
        <f>IF([2]Entry!$D$1136="","",[2]Entry!$D$1136)</f>
        <v/>
      </c>
      <c r="L1133">
        <f>IF([2]Entry!$E$1136="","",[2]Entry!$E$1136)</f>
        <v/>
      </c>
      <c r="M1133">
        <f>IF([2]Entry!$G$1136="","",[2]Entry!$G$1136)</f>
        <v/>
      </c>
      <c r="N1133">
        <f>IF([2]Entry!$M$1136="","",[2]Entry!$M$1136)</f>
        <v/>
      </c>
      <c r="O1133">
        <f>IF([2]Entry!$N$1136="","",[2]Entry!$N$1136)</f>
        <v/>
      </c>
      <c r="P1133">
        <f>IF([2]Entry!$R$1136="","",[2]Entry!$R$1136)</f>
        <v/>
      </c>
    </row>
    <row r="1134">
      <c r="J1134">
        <f>IF([2]Entry!$C$1137="","",[2]Entry!$C$1137)</f>
        <v/>
      </c>
      <c r="K1134">
        <f>IF([2]Entry!$D$1137="","",[2]Entry!$D$1137)</f>
        <v/>
      </c>
      <c r="L1134">
        <f>IF([2]Entry!$E$1137="","",[2]Entry!$E$1137)</f>
        <v/>
      </c>
      <c r="M1134">
        <f>IF([2]Entry!$G$1137="","",[2]Entry!$G$1137)</f>
        <v/>
      </c>
      <c r="N1134">
        <f>IF([2]Entry!$M$1137="","",[2]Entry!$M$1137)</f>
        <v/>
      </c>
      <c r="O1134">
        <f>IF([2]Entry!$N$1137="","",[2]Entry!$N$1137)</f>
        <v/>
      </c>
      <c r="P1134">
        <f>IF([2]Entry!$R$1137="","",[2]Entry!$R$1137)</f>
        <v/>
      </c>
    </row>
    <row r="1135">
      <c r="J1135">
        <f>IF([2]Entry!$C$1138="","",[2]Entry!$C$1138)</f>
        <v/>
      </c>
      <c r="K1135">
        <f>IF([2]Entry!$D$1138="","",[2]Entry!$D$1138)</f>
        <v/>
      </c>
      <c r="L1135">
        <f>IF([2]Entry!$E$1138="","",[2]Entry!$E$1138)</f>
        <v/>
      </c>
      <c r="M1135">
        <f>IF([2]Entry!$G$1138="","",[2]Entry!$G$1138)</f>
        <v/>
      </c>
      <c r="N1135">
        <f>IF([2]Entry!$M$1138="","",[2]Entry!$M$1138)</f>
        <v/>
      </c>
      <c r="O1135">
        <f>IF([2]Entry!$N$1138="","",[2]Entry!$N$1138)</f>
        <v/>
      </c>
      <c r="P1135">
        <f>IF([2]Entry!$R$1138="","",[2]Entry!$R$1138)</f>
        <v/>
      </c>
    </row>
    <row r="1136">
      <c r="J1136">
        <f>IF([2]Entry!$C$1139="","",[2]Entry!$C$1139)</f>
        <v/>
      </c>
      <c r="K1136">
        <f>IF([2]Entry!$D$1139="","",[2]Entry!$D$1139)</f>
        <v/>
      </c>
      <c r="L1136">
        <f>IF([2]Entry!$E$1139="","",[2]Entry!$E$1139)</f>
        <v/>
      </c>
      <c r="M1136">
        <f>IF([2]Entry!$G$1139="","",[2]Entry!$G$1139)</f>
        <v/>
      </c>
      <c r="N1136">
        <f>IF([2]Entry!$M$1139="","",[2]Entry!$M$1139)</f>
        <v/>
      </c>
      <c r="O1136">
        <f>IF([2]Entry!$N$1139="","",[2]Entry!$N$1139)</f>
        <v/>
      </c>
      <c r="P1136">
        <f>IF([2]Entry!$R$1139="","",[2]Entry!$R$1139)</f>
        <v/>
      </c>
    </row>
    <row r="1137">
      <c r="J1137">
        <f>IF([2]Entry!$C$1140="","",[2]Entry!$C$1140)</f>
        <v/>
      </c>
      <c r="K1137">
        <f>IF([2]Entry!$D$1140="","",[2]Entry!$D$1140)</f>
        <v/>
      </c>
      <c r="L1137">
        <f>IF([2]Entry!$E$1140="","",[2]Entry!$E$1140)</f>
        <v/>
      </c>
      <c r="M1137">
        <f>IF([2]Entry!$G$1140="","",[2]Entry!$G$1140)</f>
        <v/>
      </c>
      <c r="N1137">
        <f>IF([2]Entry!$M$1140="","",[2]Entry!$M$1140)</f>
        <v/>
      </c>
      <c r="O1137">
        <f>IF([2]Entry!$N$1140="","",[2]Entry!$N$1140)</f>
        <v/>
      </c>
      <c r="P1137">
        <f>IF([2]Entry!$R$1140="","",[2]Entry!$R$1140)</f>
        <v/>
      </c>
    </row>
    <row r="1138">
      <c r="J1138">
        <f>IF([2]Entry!$C$1141="","",[2]Entry!$C$1141)</f>
        <v/>
      </c>
      <c r="K1138">
        <f>IF([2]Entry!$D$1141="","",[2]Entry!$D$1141)</f>
        <v/>
      </c>
      <c r="L1138">
        <f>IF([2]Entry!$E$1141="","",[2]Entry!$E$1141)</f>
        <v/>
      </c>
      <c r="M1138">
        <f>IF([2]Entry!$G$1141="","",[2]Entry!$G$1141)</f>
        <v/>
      </c>
      <c r="N1138">
        <f>IF([2]Entry!$M$1141="","",[2]Entry!$M$1141)</f>
        <v/>
      </c>
      <c r="O1138">
        <f>IF([2]Entry!$N$1141="","",[2]Entry!$N$1141)</f>
        <v/>
      </c>
      <c r="P1138">
        <f>IF([2]Entry!$R$1141="","",[2]Entry!$R$1141)</f>
        <v/>
      </c>
    </row>
    <row r="1139">
      <c r="J1139">
        <f>IF([2]Entry!$C$1142="","",[2]Entry!$C$1142)</f>
        <v/>
      </c>
      <c r="K1139">
        <f>IF([2]Entry!$D$1142="","",[2]Entry!$D$1142)</f>
        <v/>
      </c>
      <c r="L1139">
        <f>IF([2]Entry!$E$1142="","",[2]Entry!$E$1142)</f>
        <v/>
      </c>
      <c r="M1139">
        <f>IF([2]Entry!$G$1142="","",[2]Entry!$G$1142)</f>
        <v/>
      </c>
      <c r="N1139">
        <f>IF([2]Entry!$M$1142="","",[2]Entry!$M$1142)</f>
        <v/>
      </c>
      <c r="O1139">
        <f>IF([2]Entry!$N$1142="","",[2]Entry!$N$1142)</f>
        <v/>
      </c>
      <c r="P1139">
        <f>IF([2]Entry!$R$1142="","",[2]Entry!$R$1142)</f>
        <v/>
      </c>
    </row>
    <row r="1140">
      <c r="J1140">
        <f>IF([2]Entry!$C$1143="","",[2]Entry!$C$1143)</f>
        <v/>
      </c>
      <c r="K1140">
        <f>IF([2]Entry!$D$1143="","",[2]Entry!$D$1143)</f>
        <v/>
      </c>
      <c r="L1140">
        <f>IF([2]Entry!$E$1143="","",[2]Entry!$E$1143)</f>
        <v/>
      </c>
      <c r="M1140">
        <f>IF([2]Entry!$G$1143="","",[2]Entry!$G$1143)</f>
        <v/>
      </c>
      <c r="N1140">
        <f>IF([2]Entry!$M$1143="","",[2]Entry!$M$1143)</f>
        <v/>
      </c>
      <c r="O1140">
        <f>IF([2]Entry!$N$1143="","",[2]Entry!$N$1143)</f>
        <v/>
      </c>
      <c r="P1140">
        <f>IF([2]Entry!$R$1143="","",[2]Entry!$R$1143)</f>
        <v/>
      </c>
    </row>
    <row r="1141">
      <c r="J1141">
        <f>IF([2]Entry!$C$1144="","",[2]Entry!$C$1144)</f>
        <v/>
      </c>
      <c r="K1141">
        <f>IF([2]Entry!$D$1144="","",[2]Entry!$D$1144)</f>
        <v/>
      </c>
      <c r="L1141">
        <f>IF([2]Entry!$E$1144="","",[2]Entry!$E$1144)</f>
        <v/>
      </c>
      <c r="M1141">
        <f>IF([2]Entry!$G$1144="","",[2]Entry!$G$1144)</f>
        <v/>
      </c>
      <c r="N1141">
        <f>IF([2]Entry!$M$1144="","",[2]Entry!$M$1144)</f>
        <v/>
      </c>
      <c r="O1141">
        <f>IF([2]Entry!$N$1144="","",[2]Entry!$N$1144)</f>
        <v/>
      </c>
      <c r="P1141">
        <f>IF([2]Entry!$R$1144="","",[2]Entry!$R$1144)</f>
        <v/>
      </c>
    </row>
    <row r="1142">
      <c r="J1142">
        <f>IF([2]Entry!$C$1145="","",[2]Entry!$C$1145)</f>
        <v/>
      </c>
      <c r="K1142">
        <f>IF([2]Entry!$D$1145="","",[2]Entry!$D$1145)</f>
        <v/>
      </c>
      <c r="L1142">
        <f>IF([2]Entry!$E$1145="","",[2]Entry!$E$1145)</f>
        <v/>
      </c>
      <c r="M1142">
        <f>IF([2]Entry!$G$1145="","",[2]Entry!$G$1145)</f>
        <v/>
      </c>
      <c r="N1142">
        <f>IF([2]Entry!$M$1145="","",[2]Entry!$M$1145)</f>
        <v/>
      </c>
      <c r="O1142">
        <f>IF([2]Entry!$N$1145="","",[2]Entry!$N$1145)</f>
        <v/>
      </c>
      <c r="P1142">
        <f>IF([2]Entry!$R$1145="","",[2]Entry!$R$1145)</f>
        <v/>
      </c>
    </row>
    <row r="1143">
      <c r="J1143">
        <f>IF([2]Entry!$C$1146="","",[2]Entry!$C$1146)</f>
        <v/>
      </c>
      <c r="K1143">
        <f>IF([2]Entry!$D$1146="","",[2]Entry!$D$1146)</f>
        <v/>
      </c>
      <c r="L1143">
        <f>IF([2]Entry!$E$1146="","",[2]Entry!$E$1146)</f>
        <v/>
      </c>
      <c r="M1143">
        <f>IF([2]Entry!$G$1146="","",[2]Entry!$G$1146)</f>
        <v/>
      </c>
      <c r="N1143">
        <f>IF([2]Entry!$M$1146="","",[2]Entry!$M$1146)</f>
        <v/>
      </c>
      <c r="O1143">
        <f>IF([2]Entry!$N$1146="","",[2]Entry!$N$1146)</f>
        <v/>
      </c>
      <c r="P1143">
        <f>IF([2]Entry!$R$1146="","",[2]Entry!$R$1146)</f>
        <v/>
      </c>
    </row>
    <row r="1144">
      <c r="J1144">
        <f>IF([2]Entry!$C$1147="","",[2]Entry!$C$1147)</f>
        <v/>
      </c>
      <c r="K1144">
        <f>IF([2]Entry!$D$1147="","",[2]Entry!$D$1147)</f>
        <v/>
      </c>
      <c r="L1144">
        <f>IF([2]Entry!$E$1147="","",[2]Entry!$E$1147)</f>
        <v/>
      </c>
      <c r="M1144">
        <f>IF([2]Entry!$G$1147="","",[2]Entry!$G$1147)</f>
        <v/>
      </c>
      <c r="N1144">
        <f>IF([2]Entry!$M$1147="","",[2]Entry!$M$1147)</f>
        <v/>
      </c>
      <c r="O1144">
        <f>IF([2]Entry!$N$1147="","",[2]Entry!$N$1147)</f>
        <v/>
      </c>
      <c r="P1144">
        <f>IF([2]Entry!$R$1147="","",[2]Entry!$R$1147)</f>
        <v/>
      </c>
    </row>
    <row r="1145">
      <c r="J1145">
        <f>IF([2]Entry!$C$1148="","",[2]Entry!$C$1148)</f>
        <v/>
      </c>
      <c r="K1145">
        <f>IF([2]Entry!$D$1148="","",[2]Entry!$D$1148)</f>
        <v/>
      </c>
      <c r="L1145">
        <f>IF([2]Entry!$E$1148="","",[2]Entry!$E$1148)</f>
        <v/>
      </c>
      <c r="M1145">
        <f>IF([2]Entry!$G$1148="","",[2]Entry!$G$1148)</f>
        <v/>
      </c>
      <c r="N1145">
        <f>IF([2]Entry!$M$1148="","",[2]Entry!$M$1148)</f>
        <v/>
      </c>
      <c r="O1145">
        <f>IF([2]Entry!$N$1148="","",[2]Entry!$N$1148)</f>
        <v/>
      </c>
      <c r="P1145">
        <f>IF([2]Entry!$R$1148="","",[2]Entry!$R$1148)</f>
        <v/>
      </c>
    </row>
    <row r="1146">
      <c r="J1146">
        <f>IF([2]Entry!$C$1149="","",[2]Entry!$C$1149)</f>
        <v/>
      </c>
      <c r="K1146">
        <f>IF([2]Entry!$D$1149="","",[2]Entry!$D$1149)</f>
        <v/>
      </c>
      <c r="L1146">
        <f>IF([2]Entry!$E$1149="","",[2]Entry!$E$1149)</f>
        <v/>
      </c>
      <c r="M1146">
        <f>IF([2]Entry!$G$1149="","",[2]Entry!$G$1149)</f>
        <v/>
      </c>
      <c r="N1146">
        <f>IF([2]Entry!$M$1149="","",[2]Entry!$M$1149)</f>
        <v/>
      </c>
      <c r="O1146">
        <f>IF([2]Entry!$N$1149="","",[2]Entry!$N$1149)</f>
        <v/>
      </c>
      <c r="P1146">
        <f>IF([2]Entry!$R$1149="","",[2]Entry!$R$1149)</f>
        <v/>
      </c>
    </row>
    <row r="1147">
      <c r="J1147">
        <f>IF([2]Entry!$C$1150="","",[2]Entry!$C$1150)</f>
        <v/>
      </c>
      <c r="K1147">
        <f>IF([2]Entry!$D$1150="","",[2]Entry!$D$1150)</f>
        <v/>
      </c>
      <c r="L1147">
        <f>IF([2]Entry!$E$1150="","",[2]Entry!$E$1150)</f>
        <v/>
      </c>
      <c r="M1147">
        <f>IF([2]Entry!$G$1150="","",[2]Entry!$G$1150)</f>
        <v/>
      </c>
      <c r="N1147">
        <f>IF([2]Entry!$M$1150="","",[2]Entry!$M$1150)</f>
        <v/>
      </c>
      <c r="O1147">
        <f>IF([2]Entry!$N$1150="","",[2]Entry!$N$1150)</f>
        <v/>
      </c>
      <c r="P1147">
        <f>IF([2]Entry!$R$1150="","",[2]Entry!$R$1150)</f>
        <v/>
      </c>
    </row>
    <row r="1148">
      <c r="J1148">
        <f>IF([2]Entry!$C$1151="","",[2]Entry!$C$1151)</f>
        <v/>
      </c>
      <c r="K1148">
        <f>IF([2]Entry!$D$1151="","",[2]Entry!$D$1151)</f>
        <v/>
      </c>
      <c r="L1148">
        <f>IF([2]Entry!$E$1151="","",[2]Entry!$E$1151)</f>
        <v/>
      </c>
      <c r="M1148">
        <f>IF([2]Entry!$G$1151="","",[2]Entry!$G$1151)</f>
        <v/>
      </c>
      <c r="N1148">
        <f>IF([2]Entry!$M$1151="","",[2]Entry!$M$1151)</f>
        <v/>
      </c>
      <c r="O1148">
        <f>IF([2]Entry!$N$1151="","",[2]Entry!$N$1151)</f>
        <v/>
      </c>
      <c r="P1148">
        <f>IF([2]Entry!$R$1151="","",[2]Entry!$R$1151)</f>
        <v/>
      </c>
    </row>
    <row r="1149">
      <c r="J1149">
        <f>IF([2]Entry!$C$1152="","",[2]Entry!$C$1152)</f>
        <v/>
      </c>
      <c r="K1149">
        <f>IF([2]Entry!$D$1152="","",[2]Entry!$D$1152)</f>
        <v/>
      </c>
      <c r="L1149">
        <f>IF([2]Entry!$E$1152="","",[2]Entry!$E$1152)</f>
        <v/>
      </c>
      <c r="M1149">
        <f>IF([2]Entry!$G$1152="","",[2]Entry!$G$1152)</f>
        <v/>
      </c>
      <c r="N1149">
        <f>IF([2]Entry!$M$1152="","",[2]Entry!$M$1152)</f>
        <v/>
      </c>
      <c r="O1149">
        <f>IF([2]Entry!$N$1152="","",[2]Entry!$N$1152)</f>
        <v/>
      </c>
      <c r="P1149">
        <f>IF([2]Entry!$R$1152="","",[2]Entry!$R$1152)</f>
        <v/>
      </c>
    </row>
    <row r="1150">
      <c r="J1150">
        <f>IF([2]Entry!$C$1153="","",[2]Entry!$C$1153)</f>
        <v/>
      </c>
      <c r="K1150">
        <f>IF([2]Entry!$D$1153="","",[2]Entry!$D$1153)</f>
        <v/>
      </c>
      <c r="L1150">
        <f>IF([2]Entry!$E$1153="","",[2]Entry!$E$1153)</f>
        <v/>
      </c>
      <c r="M1150">
        <f>IF([2]Entry!$G$1153="","",[2]Entry!$G$1153)</f>
        <v/>
      </c>
      <c r="N1150">
        <f>IF([2]Entry!$M$1153="","",[2]Entry!$M$1153)</f>
        <v/>
      </c>
      <c r="O1150">
        <f>IF([2]Entry!$N$1153="","",[2]Entry!$N$1153)</f>
        <v/>
      </c>
      <c r="P1150">
        <f>IF([2]Entry!$R$1153="","",[2]Entry!$R$1153)</f>
        <v/>
      </c>
    </row>
    <row r="1151">
      <c r="J1151">
        <f>IF([2]Entry!$C$1154="","",[2]Entry!$C$1154)</f>
        <v/>
      </c>
      <c r="K1151">
        <f>IF([2]Entry!$D$1154="","",[2]Entry!$D$1154)</f>
        <v/>
      </c>
      <c r="L1151">
        <f>IF([2]Entry!$E$1154="","",[2]Entry!$E$1154)</f>
        <v/>
      </c>
      <c r="M1151">
        <f>IF([2]Entry!$G$1154="","",[2]Entry!$G$1154)</f>
        <v/>
      </c>
      <c r="N1151">
        <f>IF([2]Entry!$M$1154="","",[2]Entry!$M$1154)</f>
        <v/>
      </c>
      <c r="O1151">
        <f>IF([2]Entry!$N$1154="","",[2]Entry!$N$1154)</f>
        <v/>
      </c>
      <c r="P1151">
        <f>IF([2]Entry!$R$1154="","",[2]Entry!$R$1154)</f>
        <v/>
      </c>
    </row>
    <row r="1152">
      <c r="J1152">
        <f>IF([2]Entry!$C$1155="","",[2]Entry!$C$1155)</f>
        <v/>
      </c>
      <c r="K1152">
        <f>IF([2]Entry!$D$1155="","",[2]Entry!$D$1155)</f>
        <v/>
      </c>
      <c r="L1152">
        <f>IF([2]Entry!$E$1155="","",[2]Entry!$E$1155)</f>
        <v/>
      </c>
      <c r="M1152">
        <f>IF([2]Entry!$G$1155="","",[2]Entry!$G$1155)</f>
        <v/>
      </c>
      <c r="N1152">
        <f>IF([2]Entry!$M$1155="","",[2]Entry!$M$1155)</f>
        <v/>
      </c>
      <c r="O1152">
        <f>IF([2]Entry!$N$1155="","",[2]Entry!$N$1155)</f>
        <v/>
      </c>
      <c r="P1152">
        <f>IF([2]Entry!$R$1155="","",[2]Entry!$R$1155)</f>
        <v/>
      </c>
    </row>
    <row r="1153">
      <c r="J1153">
        <f>IF([2]Entry!$C$1156="","",[2]Entry!$C$1156)</f>
        <v/>
      </c>
      <c r="K1153">
        <f>IF([2]Entry!$D$1156="","",[2]Entry!$D$1156)</f>
        <v/>
      </c>
      <c r="L1153">
        <f>IF([2]Entry!$E$1156="","",[2]Entry!$E$1156)</f>
        <v/>
      </c>
      <c r="M1153">
        <f>IF([2]Entry!$G$1156="","",[2]Entry!$G$1156)</f>
        <v/>
      </c>
      <c r="N1153">
        <f>IF([2]Entry!$M$1156="","",[2]Entry!$M$1156)</f>
        <v/>
      </c>
      <c r="O1153">
        <f>IF([2]Entry!$N$1156="","",[2]Entry!$N$1156)</f>
        <v/>
      </c>
      <c r="P1153">
        <f>IF([2]Entry!$R$1156="","",[2]Entry!$R$1156)</f>
        <v/>
      </c>
    </row>
    <row r="1154">
      <c r="J1154">
        <f>IF([2]Entry!$C$1157="","",[2]Entry!$C$1157)</f>
        <v/>
      </c>
      <c r="K1154">
        <f>IF([2]Entry!$D$1157="","",[2]Entry!$D$1157)</f>
        <v/>
      </c>
      <c r="L1154">
        <f>IF([2]Entry!$E$1157="","",[2]Entry!$E$1157)</f>
        <v/>
      </c>
      <c r="M1154">
        <f>IF([2]Entry!$G$1157="","",[2]Entry!$G$1157)</f>
        <v/>
      </c>
      <c r="N1154">
        <f>IF([2]Entry!$M$1157="","",[2]Entry!$M$1157)</f>
        <v/>
      </c>
      <c r="O1154">
        <f>IF([2]Entry!$N$1157="","",[2]Entry!$N$1157)</f>
        <v/>
      </c>
      <c r="P1154">
        <f>IF([2]Entry!$R$1157="","",[2]Entry!$R$1157)</f>
        <v/>
      </c>
    </row>
    <row r="1155">
      <c r="J1155">
        <f>IF([2]Entry!$C$1158="","",[2]Entry!$C$1158)</f>
        <v/>
      </c>
      <c r="K1155">
        <f>IF([2]Entry!$D$1158="","",[2]Entry!$D$1158)</f>
        <v/>
      </c>
      <c r="L1155">
        <f>IF([2]Entry!$E$1158="","",[2]Entry!$E$1158)</f>
        <v/>
      </c>
      <c r="M1155">
        <f>IF([2]Entry!$G$1158="","",[2]Entry!$G$1158)</f>
        <v/>
      </c>
      <c r="N1155">
        <f>IF([2]Entry!$M$1158="","",[2]Entry!$M$1158)</f>
        <v/>
      </c>
      <c r="O1155">
        <f>IF([2]Entry!$N$1158="","",[2]Entry!$N$1158)</f>
        <v/>
      </c>
      <c r="P1155">
        <f>IF([2]Entry!$R$1158="","",[2]Entry!$R$1158)</f>
        <v/>
      </c>
    </row>
    <row r="1156">
      <c r="J1156">
        <f>IF([2]Entry!$C$1159="","",[2]Entry!$C$1159)</f>
        <v/>
      </c>
      <c r="K1156">
        <f>IF([2]Entry!$D$1159="","",[2]Entry!$D$1159)</f>
        <v/>
      </c>
      <c r="L1156">
        <f>IF([2]Entry!$E$1159="","",[2]Entry!$E$1159)</f>
        <v/>
      </c>
      <c r="M1156">
        <f>IF([2]Entry!$G$1159="","",[2]Entry!$G$1159)</f>
        <v/>
      </c>
      <c r="N1156">
        <f>IF([2]Entry!$M$1159="","",[2]Entry!$M$1159)</f>
        <v/>
      </c>
      <c r="O1156">
        <f>IF([2]Entry!$N$1159="","",[2]Entry!$N$1159)</f>
        <v/>
      </c>
      <c r="P1156">
        <f>IF([2]Entry!$R$1159="","",[2]Entry!$R$1159)</f>
        <v/>
      </c>
    </row>
    <row r="1157">
      <c r="J1157">
        <f>IF([2]Entry!$C$1160="","",[2]Entry!$C$1160)</f>
        <v/>
      </c>
      <c r="K1157">
        <f>IF([2]Entry!$D$1160="","",[2]Entry!$D$1160)</f>
        <v/>
      </c>
      <c r="L1157">
        <f>IF([2]Entry!$E$1160="","",[2]Entry!$E$1160)</f>
        <v/>
      </c>
      <c r="M1157">
        <f>IF([2]Entry!$G$1160="","",[2]Entry!$G$1160)</f>
        <v/>
      </c>
      <c r="N1157">
        <f>IF([2]Entry!$M$1160="","",[2]Entry!$M$1160)</f>
        <v/>
      </c>
      <c r="O1157">
        <f>IF([2]Entry!$N$1160="","",[2]Entry!$N$1160)</f>
        <v/>
      </c>
      <c r="P1157">
        <f>IF([2]Entry!$R$1160="","",[2]Entry!$R$1160)</f>
        <v/>
      </c>
    </row>
    <row r="1158">
      <c r="J1158">
        <f>IF([2]Entry!$C$1161="","",[2]Entry!$C$1161)</f>
        <v/>
      </c>
      <c r="K1158">
        <f>IF([2]Entry!$D$1161="","",[2]Entry!$D$1161)</f>
        <v/>
      </c>
      <c r="L1158">
        <f>IF([2]Entry!$E$1161="","",[2]Entry!$E$1161)</f>
        <v/>
      </c>
      <c r="M1158">
        <f>IF([2]Entry!$G$1161="","",[2]Entry!$G$1161)</f>
        <v/>
      </c>
      <c r="N1158">
        <f>IF([2]Entry!$M$1161="","",[2]Entry!$M$1161)</f>
        <v/>
      </c>
      <c r="O1158">
        <f>IF([2]Entry!$N$1161="","",[2]Entry!$N$1161)</f>
        <v/>
      </c>
      <c r="P1158">
        <f>IF([2]Entry!$R$1161="","",[2]Entry!$R$1161)</f>
        <v/>
      </c>
    </row>
    <row r="1159">
      <c r="J1159">
        <f>IF([2]Entry!$C$1162="","",[2]Entry!$C$1162)</f>
        <v/>
      </c>
      <c r="K1159">
        <f>IF([2]Entry!$D$1162="","",[2]Entry!$D$1162)</f>
        <v/>
      </c>
      <c r="L1159">
        <f>IF([2]Entry!$E$1162="","",[2]Entry!$E$1162)</f>
        <v/>
      </c>
      <c r="M1159">
        <f>IF([2]Entry!$G$1162="","",[2]Entry!$G$1162)</f>
        <v/>
      </c>
      <c r="N1159">
        <f>IF([2]Entry!$M$1162="","",[2]Entry!$M$1162)</f>
        <v/>
      </c>
      <c r="O1159">
        <f>IF([2]Entry!$N$1162="","",[2]Entry!$N$1162)</f>
        <v/>
      </c>
      <c r="P1159">
        <f>IF([2]Entry!$R$1162="","",[2]Entry!$R$1162)</f>
        <v/>
      </c>
    </row>
    <row r="1160">
      <c r="J1160">
        <f>IF([2]Entry!$C$1163="","",[2]Entry!$C$1163)</f>
        <v/>
      </c>
      <c r="K1160">
        <f>IF([2]Entry!$D$1163="","",[2]Entry!$D$1163)</f>
        <v/>
      </c>
      <c r="L1160">
        <f>IF([2]Entry!$E$1163="","",[2]Entry!$E$1163)</f>
        <v/>
      </c>
      <c r="M1160">
        <f>IF([2]Entry!$G$1163="","",[2]Entry!$G$1163)</f>
        <v/>
      </c>
      <c r="N1160">
        <f>IF([2]Entry!$M$1163="","",[2]Entry!$M$1163)</f>
        <v/>
      </c>
      <c r="O1160">
        <f>IF([2]Entry!$N$1163="","",[2]Entry!$N$1163)</f>
        <v/>
      </c>
      <c r="P1160">
        <f>IF([2]Entry!$R$1163="","",[2]Entry!$R$1163)</f>
        <v/>
      </c>
    </row>
    <row r="1161">
      <c r="J1161">
        <f>IF([2]Entry!$C$1164="","",[2]Entry!$C$1164)</f>
        <v/>
      </c>
      <c r="K1161">
        <f>IF([2]Entry!$D$1164="","",[2]Entry!$D$1164)</f>
        <v/>
      </c>
      <c r="L1161">
        <f>IF([2]Entry!$E$1164="","",[2]Entry!$E$1164)</f>
        <v/>
      </c>
      <c r="M1161">
        <f>IF([2]Entry!$G$1164="","",[2]Entry!$G$1164)</f>
        <v/>
      </c>
      <c r="N1161">
        <f>IF([2]Entry!$M$1164="","",[2]Entry!$M$1164)</f>
        <v/>
      </c>
      <c r="O1161">
        <f>IF([2]Entry!$N$1164="","",[2]Entry!$N$1164)</f>
        <v/>
      </c>
      <c r="P1161">
        <f>IF([2]Entry!$R$1164="","",[2]Entry!$R$1164)</f>
        <v/>
      </c>
    </row>
    <row r="1162">
      <c r="J1162">
        <f>IF([2]Entry!$C$1165="","",[2]Entry!$C$1165)</f>
        <v/>
      </c>
      <c r="K1162">
        <f>IF([2]Entry!$D$1165="","",[2]Entry!$D$1165)</f>
        <v/>
      </c>
      <c r="L1162">
        <f>IF([2]Entry!$E$1165="","",[2]Entry!$E$1165)</f>
        <v/>
      </c>
      <c r="M1162">
        <f>IF([2]Entry!$G$1165="","",[2]Entry!$G$1165)</f>
        <v/>
      </c>
      <c r="N1162">
        <f>IF([2]Entry!$M$1165="","",[2]Entry!$M$1165)</f>
        <v/>
      </c>
      <c r="O1162">
        <f>IF([2]Entry!$N$1165="","",[2]Entry!$N$1165)</f>
        <v/>
      </c>
      <c r="P1162">
        <f>IF([2]Entry!$R$1165="","",[2]Entry!$R$1165)</f>
        <v/>
      </c>
    </row>
    <row r="1163">
      <c r="J1163">
        <f>IF([2]Entry!$C$1166="","",[2]Entry!$C$1166)</f>
        <v/>
      </c>
      <c r="K1163">
        <f>IF([2]Entry!$D$1166="","",[2]Entry!$D$1166)</f>
        <v/>
      </c>
      <c r="L1163">
        <f>IF([2]Entry!$E$1166="","",[2]Entry!$E$1166)</f>
        <v/>
      </c>
      <c r="M1163">
        <f>IF([2]Entry!$G$1166="","",[2]Entry!$G$1166)</f>
        <v/>
      </c>
      <c r="N1163">
        <f>IF([2]Entry!$M$1166="","",[2]Entry!$M$1166)</f>
        <v/>
      </c>
      <c r="O1163">
        <f>IF([2]Entry!$N$1166="","",[2]Entry!$N$1166)</f>
        <v/>
      </c>
      <c r="P1163">
        <f>IF([2]Entry!$R$1166="","",[2]Entry!$R$1166)</f>
        <v/>
      </c>
    </row>
    <row r="1164">
      <c r="J1164">
        <f>IF([2]Entry!$C$1167="","",[2]Entry!$C$1167)</f>
        <v/>
      </c>
      <c r="K1164">
        <f>IF([2]Entry!$D$1167="","",[2]Entry!$D$1167)</f>
        <v/>
      </c>
      <c r="L1164">
        <f>IF([2]Entry!$E$1167="","",[2]Entry!$E$1167)</f>
        <v/>
      </c>
      <c r="M1164">
        <f>IF([2]Entry!$G$1167="","",[2]Entry!$G$1167)</f>
        <v/>
      </c>
      <c r="N1164">
        <f>IF([2]Entry!$M$1167="","",[2]Entry!$M$1167)</f>
        <v/>
      </c>
      <c r="O1164">
        <f>IF([2]Entry!$N$1167="","",[2]Entry!$N$1167)</f>
        <v/>
      </c>
      <c r="P1164">
        <f>IF([2]Entry!$R$1167="","",[2]Entry!$R$1167)</f>
        <v/>
      </c>
    </row>
    <row r="1165">
      <c r="J1165">
        <f>IF([2]Entry!$C$1168="","",[2]Entry!$C$1168)</f>
        <v/>
      </c>
      <c r="K1165">
        <f>IF([2]Entry!$D$1168="","",[2]Entry!$D$1168)</f>
        <v/>
      </c>
      <c r="L1165">
        <f>IF([2]Entry!$E$1168="","",[2]Entry!$E$1168)</f>
        <v/>
      </c>
      <c r="M1165">
        <f>IF([2]Entry!$G$1168="","",[2]Entry!$G$1168)</f>
        <v/>
      </c>
      <c r="N1165">
        <f>IF([2]Entry!$M$1168="","",[2]Entry!$M$1168)</f>
        <v/>
      </c>
      <c r="O1165">
        <f>IF([2]Entry!$N$1168="","",[2]Entry!$N$1168)</f>
        <v/>
      </c>
      <c r="P1165">
        <f>IF([2]Entry!$R$1168="","",[2]Entry!$R$1168)</f>
        <v/>
      </c>
    </row>
    <row r="1166">
      <c r="J1166">
        <f>IF([2]Entry!$C$1169="","",[2]Entry!$C$1169)</f>
        <v/>
      </c>
      <c r="K1166">
        <f>IF([2]Entry!$D$1169="","",[2]Entry!$D$1169)</f>
        <v/>
      </c>
      <c r="L1166">
        <f>IF([2]Entry!$E$1169="","",[2]Entry!$E$1169)</f>
        <v/>
      </c>
      <c r="M1166">
        <f>IF([2]Entry!$G$1169="","",[2]Entry!$G$1169)</f>
        <v/>
      </c>
      <c r="N1166">
        <f>IF([2]Entry!$M$1169="","",[2]Entry!$M$1169)</f>
        <v/>
      </c>
      <c r="O1166">
        <f>IF([2]Entry!$N$1169="","",[2]Entry!$N$1169)</f>
        <v/>
      </c>
      <c r="P1166">
        <f>IF([2]Entry!$R$1169="","",[2]Entry!$R$1169)</f>
        <v/>
      </c>
    </row>
    <row r="1167">
      <c r="J1167">
        <f>IF([2]Entry!$C$1170="","",[2]Entry!$C$1170)</f>
        <v/>
      </c>
      <c r="K1167">
        <f>IF([2]Entry!$D$1170="","",[2]Entry!$D$1170)</f>
        <v/>
      </c>
      <c r="L1167">
        <f>IF([2]Entry!$E$1170="","",[2]Entry!$E$1170)</f>
        <v/>
      </c>
      <c r="M1167">
        <f>IF([2]Entry!$G$1170="","",[2]Entry!$G$1170)</f>
        <v/>
      </c>
      <c r="N1167">
        <f>IF([2]Entry!$M$1170="","",[2]Entry!$M$1170)</f>
        <v/>
      </c>
      <c r="O1167">
        <f>IF([2]Entry!$N$1170="","",[2]Entry!$N$1170)</f>
        <v/>
      </c>
      <c r="P1167">
        <f>IF([2]Entry!$R$1170="","",[2]Entry!$R$1170)</f>
        <v/>
      </c>
    </row>
    <row r="1168">
      <c r="J1168">
        <f>IF([2]Entry!$C$1171="","",[2]Entry!$C$1171)</f>
        <v/>
      </c>
      <c r="K1168">
        <f>IF([2]Entry!$D$1171="","",[2]Entry!$D$1171)</f>
        <v/>
      </c>
      <c r="L1168">
        <f>IF([2]Entry!$E$1171="","",[2]Entry!$E$1171)</f>
        <v/>
      </c>
      <c r="M1168">
        <f>IF([2]Entry!$G$1171="","",[2]Entry!$G$1171)</f>
        <v/>
      </c>
      <c r="N1168">
        <f>IF([2]Entry!$M$1171="","",[2]Entry!$M$1171)</f>
        <v/>
      </c>
      <c r="O1168">
        <f>IF([2]Entry!$N$1171="","",[2]Entry!$N$1171)</f>
        <v/>
      </c>
      <c r="P1168">
        <f>IF([2]Entry!$R$1171="","",[2]Entry!$R$1171)</f>
        <v/>
      </c>
    </row>
    <row r="1169">
      <c r="J1169">
        <f>IF([2]Entry!$C$1172="","",[2]Entry!$C$1172)</f>
        <v/>
      </c>
      <c r="K1169">
        <f>IF([2]Entry!$D$1172="","",[2]Entry!$D$1172)</f>
        <v/>
      </c>
      <c r="L1169">
        <f>IF([2]Entry!$E$1172="","",[2]Entry!$E$1172)</f>
        <v/>
      </c>
      <c r="M1169">
        <f>IF([2]Entry!$G$1172="","",[2]Entry!$G$1172)</f>
        <v/>
      </c>
      <c r="N1169">
        <f>IF([2]Entry!$M$1172="","",[2]Entry!$M$1172)</f>
        <v/>
      </c>
      <c r="O1169">
        <f>IF([2]Entry!$N$1172="","",[2]Entry!$N$1172)</f>
        <v/>
      </c>
      <c r="P1169">
        <f>IF([2]Entry!$R$1172="","",[2]Entry!$R$1172)</f>
        <v/>
      </c>
    </row>
    <row r="1170">
      <c r="J1170">
        <f>IF([2]Entry!$C$1173="","",[2]Entry!$C$1173)</f>
        <v/>
      </c>
      <c r="K1170">
        <f>IF([2]Entry!$D$1173="","",[2]Entry!$D$1173)</f>
        <v/>
      </c>
      <c r="L1170">
        <f>IF([2]Entry!$E$1173="","",[2]Entry!$E$1173)</f>
        <v/>
      </c>
      <c r="M1170">
        <f>IF([2]Entry!$G$1173="","",[2]Entry!$G$1173)</f>
        <v/>
      </c>
      <c r="N1170">
        <f>IF([2]Entry!$M$1173="","",[2]Entry!$M$1173)</f>
        <v/>
      </c>
      <c r="O1170">
        <f>IF([2]Entry!$N$1173="","",[2]Entry!$N$1173)</f>
        <v/>
      </c>
      <c r="P1170">
        <f>IF([2]Entry!$R$1173="","",[2]Entry!$R$1173)</f>
        <v/>
      </c>
    </row>
    <row r="1171">
      <c r="J1171">
        <f>IF([2]Entry!$C$1174="","",[2]Entry!$C$1174)</f>
        <v/>
      </c>
      <c r="K1171">
        <f>IF([2]Entry!$D$1174="","",[2]Entry!$D$1174)</f>
        <v/>
      </c>
      <c r="L1171">
        <f>IF([2]Entry!$E$1174="","",[2]Entry!$E$1174)</f>
        <v/>
      </c>
      <c r="M1171">
        <f>IF([2]Entry!$G$1174="","",[2]Entry!$G$1174)</f>
        <v/>
      </c>
      <c r="N1171">
        <f>IF([2]Entry!$M$1174="","",[2]Entry!$M$1174)</f>
        <v/>
      </c>
      <c r="O1171">
        <f>IF([2]Entry!$N$1174="","",[2]Entry!$N$1174)</f>
        <v/>
      </c>
      <c r="P1171">
        <f>IF([2]Entry!$R$1174="","",[2]Entry!$R$1174)</f>
        <v/>
      </c>
    </row>
    <row r="1172">
      <c r="J1172">
        <f>IF([2]Entry!$C$1175="","",[2]Entry!$C$1175)</f>
        <v/>
      </c>
      <c r="K1172">
        <f>IF([2]Entry!$D$1175="","",[2]Entry!$D$1175)</f>
        <v/>
      </c>
      <c r="L1172">
        <f>IF([2]Entry!$E$1175="","",[2]Entry!$E$1175)</f>
        <v/>
      </c>
      <c r="M1172">
        <f>IF([2]Entry!$G$1175="","",[2]Entry!$G$1175)</f>
        <v/>
      </c>
      <c r="N1172">
        <f>IF([2]Entry!$M$1175="","",[2]Entry!$M$1175)</f>
        <v/>
      </c>
      <c r="O1172">
        <f>IF([2]Entry!$N$1175="","",[2]Entry!$N$1175)</f>
        <v/>
      </c>
      <c r="P1172">
        <f>IF([2]Entry!$R$1175="","",[2]Entry!$R$1175)</f>
        <v/>
      </c>
    </row>
    <row r="1173">
      <c r="J1173">
        <f>IF([2]Entry!$C$1176="","",[2]Entry!$C$1176)</f>
        <v/>
      </c>
      <c r="K1173">
        <f>IF([2]Entry!$D$1176="","",[2]Entry!$D$1176)</f>
        <v/>
      </c>
      <c r="L1173">
        <f>IF([2]Entry!$E$1176="","",[2]Entry!$E$1176)</f>
        <v/>
      </c>
      <c r="M1173">
        <f>IF([2]Entry!$G$1176="","",[2]Entry!$G$1176)</f>
        <v/>
      </c>
      <c r="N1173">
        <f>IF([2]Entry!$M$1176="","",[2]Entry!$M$1176)</f>
        <v/>
      </c>
      <c r="O1173">
        <f>IF([2]Entry!$N$1176="","",[2]Entry!$N$1176)</f>
        <v/>
      </c>
      <c r="P1173">
        <f>IF([2]Entry!$R$1176="","",[2]Entry!$R$1176)</f>
        <v/>
      </c>
    </row>
    <row r="1174">
      <c r="J1174">
        <f>IF([2]Entry!$C$1177="","",[2]Entry!$C$1177)</f>
        <v/>
      </c>
      <c r="K1174">
        <f>IF([2]Entry!$D$1177="","",[2]Entry!$D$1177)</f>
        <v/>
      </c>
      <c r="L1174">
        <f>IF([2]Entry!$E$1177="","",[2]Entry!$E$1177)</f>
        <v/>
      </c>
      <c r="M1174">
        <f>IF([2]Entry!$G$1177="","",[2]Entry!$G$1177)</f>
        <v/>
      </c>
      <c r="N1174">
        <f>IF([2]Entry!$M$1177="","",[2]Entry!$M$1177)</f>
        <v/>
      </c>
      <c r="O1174">
        <f>IF([2]Entry!$N$1177="","",[2]Entry!$N$1177)</f>
        <v/>
      </c>
      <c r="P1174">
        <f>IF([2]Entry!$R$1177="","",[2]Entry!$R$1177)</f>
        <v/>
      </c>
    </row>
    <row r="1175">
      <c r="J1175">
        <f>IF([2]Entry!$C$1178="","",[2]Entry!$C$1178)</f>
        <v/>
      </c>
      <c r="K1175">
        <f>IF([2]Entry!$D$1178="","",[2]Entry!$D$1178)</f>
        <v/>
      </c>
      <c r="L1175">
        <f>IF([2]Entry!$E$1178="","",[2]Entry!$E$1178)</f>
        <v/>
      </c>
      <c r="M1175">
        <f>IF([2]Entry!$G$1178="","",[2]Entry!$G$1178)</f>
        <v/>
      </c>
      <c r="N1175">
        <f>IF([2]Entry!$M$1178="","",[2]Entry!$M$1178)</f>
        <v/>
      </c>
      <c r="O1175">
        <f>IF([2]Entry!$N$1178="","",[2]Entry!$N$1178)</f>
        <v/>
      </c>
      <c r="P1175">
        <f>IF([2]Entry!$R$1178="","",[2]Entry!$R$1178)</f>
        <v/>
      </c>
    </row>
    <row r="1176">
      <c r="J1176">
        <f>IF([2]Entry!$C$1179="","",[2]Entry!$C$1179)</f>
        <v/>
      </c>
      <c r="K1176">
        <f>IF([2]Entry!$D$1179="","",[2]Entry!$D$1179)</f>
        <v/>
      </c>
      <c r="L1176">
        <f>IF([2]Entry!$E$1179="","",[2]Entry!$E$1179)</f>
        <v/>
      </c>
      <c r="M1176">
        <f>IF([2]Entry!$G$1179="","",[2]Entry!$G$1179)</f>
        <v/>
      </c>
      <c r="N1176">
        <f>IF([2]Entry!$M$1179="","",[2]Entry!$M$1179)</f>
        <v/>
      </c>
      <c r="O1176">
        <f>IF([2]Entry!$N$1179="","",[2]Entry!$N$1179)</f>
        <v/>
      </c>
      <c r="P1176">
        <f>IF([2]Entry!$R$1179="","",[2]Entry!$R$1179)</f>
        <v/>
      </c>
    </row>
    <row r="1177">
      <c r="J1177">
        <f>IF([2]Entry!$C$1180="","",[2]Entry!$C$1180)</f>
        <v/>
      </c>
      <c r="K1177">
        <f>IF([2]Entry!$D$1180="","",[2]Entry!$D$1180)</f>
        <v/>
      </c>
      <c r="L1177">
        <f>IF([2]Entry!$E$1180="","",[2]Entry!$E$1180)</f>
        <v/>
      </c>
      <c r="M1177">
        <f>IF([2]Entry!$G$1180="","",[2]Entry!$G$1180)</f>
        <v/>
      </c>
      <c r="N1177">
        <f>IF([2]Entry!$M$1180="","",[2]Entry!$M$1180)</f>
        <v/>
      </c>
      <c r="O1177">
        <f>IF([2]Entry!$N$1180="","",[2]Entry!$N$1180)</f>
        <v/>
      </c>
      <c r="P1177">
        <f>IF([2]Entry!$R$1180="","",[2]Entry!$R$1180)</f>
        <v/>
      </c>
    </row>
    <row r="1178">
      <c r="J1178">
        <f>IF([2]Entry!$C$1181="","",[2]Entry!$C$1181)</f>
        <v/>
      </c>
      <c r="K1178">
        <f>IF([2]Entry!$D$1181="","",[2]Entry!$D$1181)</f>
        <v/>
      </c>
      <c r="L1178">
        <f>IF([2]Entry!$E$1181="","",[2]Entry!$E$1181)</f>
        <v/>
      </c>
      <c r="M1178">
        <f>IF([2]Entry!$G$1181="","",[2]Entry!$G$1181)</f>
        <v/>
      </c>
      <c r="N1178">
        <f>IF([2]Entry!$M$1181="","",[2]Entry!$M$1181)</f>
        <v/>
      </c>
      <c r="O1178">
        <f>IF([2]Entry!$N$1181="","",[2]Entry!$N$1181)</f>
        <v/>
      </c>
      <c r="P1178">
        <f>IF([2]Entry!$R$1181="","",[2]Entry!$R$1181)</f>
        <v/>
      </c>
    </row>
    <row r="1179">
      <c r="J1179">
        <f>IF([2]Entry!$C$1182="","",[2]Entry!$C$1182)</f>
        <v/>
      </c>
      <c r="K1179">
        <f>IF([2]Entry!$D$1182="","",[2]Entry!$D$1182)</f>
        <v/>
      </c>
      <c r="L1179">
        <f>IF([2]Entry!$E$1182="","",[2]Entry!$E$1182)</f>
        <v/>
      </c>
      <c r="M1179">
        <f>IF([2]Entry!$G$1182="","",[2]Entry!$G$1182)</f>
        <v/>
      </c>
      <c r="N1179">
        <f>IF([2]Entry!$M$1182="","",[2]Entry!$M$1182)</f>
        <v/>
      </c>
      <c r="O1179">
        <f>IF([2]Entry!$N$1182="","",[2]Entry!$N$1182)</f>
        <v/>
      </c>
      <c r="P1179">
        <f>IF([2]Entry!$R$1182="","",[2]Entry!$R$1182)</f>
        <v/>
      </c>
    </row>
    <row r="1180">
      <c r="J1180">
        <f>IF([2]Entry!$C$1183="","",[2]Entry!$C$1183)</f>
        <v/>
      </c>
      <c r="K1180">
        <f>IF([2]Entry!$D$1183="","",[2]Entry!$D$1183)</f>
        <v/>
      </c>
      <c r="L1180">
        <f>IF([2]Entry!$E$1183="","",[2]Entry!$E$1183)</f>
        <v/>
      </c>
      <c r="M1180">
        <f>IF([2]Entry!$G$1183="","",[2]Entry!$G$1183)</f>
        <v/>
      </c>
      <c r="N1180">
        <f>IF([2]Entry!$M$1183="","",[2]Entry!$M$1183)</f>
        <v/>
      </c>
      <c r="O1180">
        <f>IF([2]Entry!$N$1183="","",[2]Entry!$N$1183)</f>
        <v/>
      </c>
      <c r="P1180">
        <f>IF([2]Entry!$R$1183="","",[2]Entry!$R$1183)</f>
        <v/>
      </c>
    </row>
    <row r="1181">
      <c r="J1181">
        <f>IF([2]Entry!$C$1184="","",[2]Entry!$C$1184)</f>
        <v/>
      </c>
      <c r="K1181">
        <f>IF([2]Entry!$D$1184="","",[2]Entry!$D$1184)</f>
        <v/>
      </c>
      <c r="L1181">
        <f>IF([2]Entry!$E$1184="","",[2]Entry!$E$1184)</f>
        <v/>
      </c>
      <c r="M1181">
        <f>IF([2]Entry!$G$1184="","",[2]Entry!$G$1184)</f>
        <v/>
      </c>
      <c r="N1181">
        <f>IF([2]Entry!$M$1184="","",[2]Entry!$M$1184)</f>
        <v/>
      </c>
      <c r="O1181">
        <f>IF([2]Entry!$N$1184="","",[2]Entry!$N$1184)</f>
        <v/>
      </c>
      <c r="P1181">
        <f>IF([2]Entry!$R$1184="","",[2]Entry!$R$1184)</f>
        <v/>
      </c>
    </row>
    <row r="1182">
      <c r="J1182">
        <f>IF([2]Entry!$C$1185="","",[2]Entry!$C$1185)</f>
        <v/>
      </c>
      <c r="K1182">
        <f>IF([2]Entry!$D$1185="","",[2]Entry!$D$1185)</f>
        <v/>
      </c>
      <c r="L1182">
        <f>IF([2]Entry!$E$1185="","",[2]Entry!$E$1185)</f>
        <v/>
      </c>
      <c r="M1182">
        <f>IF([2]Entry!$G$1185="","",[2]Entry!$G$1185)</f>
        <v/>
      </c>
      <c r="N1182">
        <f>IF([2]Entry!$M$1185="","",[2]Entry!$M$1185)</f>
        <v/>
      </c>
      <c r="O1182">
        <f>IF([2]Entry!$N$1185="","",[2]Entry!$N$1185)</f>
        <v/>
      </c>
      <c r="P1182">
        <f>IF([2]Entry!$R$1185="","",[2]Entry!$R$1185)</f>
        <v/>
      </c>
    </row>
    <row r="1183">
      <c r="J1183">
        <f>IF([2]Entry!$C$1186="","",[2]Entry!$C$1186)</f>
        <v/>
      </c>
      <c r="K1183">
        <f>IF([2]Entry!$D$1186="","",[2]Entry!$D$1186)</f>
        <v/>
      </c>
      <c r="L1183">
        <f>IF([2]Entry!$E$1186="","",[2]Entry!$E$1186)</f>
        <v/>
      </c>
      <c r="M1183">
        <f>IF([2]Entry!$G$1186="","",[2]Entry!$G$1186)</f>
        <v/>
      </c>
      <c r="N1183">
        <f>IF([2]Entry!$M$1186="","",[2]Entry!$M$1186)</f>
        <v/>
      </c>
      <c r="O1183">
        <f>IF([2]Entry!$N$1186="","",[2]Entry!$N$1186)</f>
        <v/>
      </c>
      <c r="P1183">
        <f>IF([2]Entry!$R$1186="","",[2]Entry!$R$1186)</f>
        <v/>
      </c>
    </row>
    <row r="1184">
      <c r="J1184">
        <f>IF([2]Entry!$C$1187="","",[2]Entry!$C$1187)</f>
        <v/>
      </c>
      <c r="K1184">
        <f>IF([2]Entry!$D$1187="","",[2]Entry!$D$1187)</f>
        <v/>
      </c>
      <c r="L1184">
        <f>IF([2]Entry!$E$1187="","",[2]Entry!$E$1187)</f>
        <v/>
      </c>
      <c r="M1184">
        <f>IF([2]Entry!$G$1187="","",[2]Entry!$G$1187)</f>
        <v/>
      </c>
      <c r="N1184">
        <f>IF([2]Entry!$M$1187="","",[2]Entry!$M$1187)</f>
        <v/>
      </c>
      <c r="O1184">
        <f>IF([2]Entry!$N$1187="","",[2]Entry!$N$1187)</f>
        <v/>
      </c>
      <c r="P1184">
        <f>IF([2]Entry!$R$1187="","",[2]Entry!$R$1187)</f>
        <v/>
      </c>
    </row>
    <row r="1185">
      <c r="J1185">
        <f>IF([2]Entry!$C$1188="","",[2]Entry!$C$1188)</f>
        <v/>
      </c>
      <c r="K1185">
        <f>IF([2]Entry!$D$1188="","",[2]Entry!$D$1188)</f>
        <v/>
      </c>
      <c r="L1185">
        <f>IF([2]Entry!$E$1188="","",[2]Entry!$E$1188)</f>
        <v/>
      </c>
      <c r="M1185">
        <f>IF([2]Entry!$G$1188="","",[2]Entry!$G$1188)</f>
        <v/>
      </c>
      <c r="N1185">
        <f>IF([2]Entry!$M$1188="","",[2]Entry!$M$1188)</f>
        <v/>
      </c>
      <c r="O1185">
        <f>IF([2]Entry!$N$1188="","",[2]Entry!$N$1188)</f>
        <v/>
      </c>
      <c r="P1185">
        <f>IF([2]Entry!$R$1188="","",[2]Entry!$R$1188)</f>
        <v/>
      </c>
    </row>
    <row r="1186">
      <c r="J1186">
        <f>IF([2]Entry!$C$1189="","",[2]Entry!$C$1189)</f>
        <v/>
      </c>
      <c r="K1186">
        <f>IF([2]Entry!$D$1189="","",[2]Entry!$D$1189)</f>
        <v/>
      </c>
      <c r="L1186">
        <f>IF([2]Entry!$E$1189="","",[2]Entry!$E$1189)</f>
        <v/>
      </c>
      <c r="M1186">
        <f>IF([2]Entry!$G$1189="","",[2]Entry!$G$1189)</f>
        <v/>
      </c>
      <c r="N1186">
        <f>IF([2]Entry!$M$1189="","",[2]Entry!$M$1189)</f>
        <v/>
      </c>
      <c r="O1186">
        <f>IF([2]Entry!$N$1189="","",[2]Entry!$N$1189)</f>
        <v/>
      </c>
      <c r="P1186">
        <f>IF([2]Entry!$R$1189="","",[2]Entry!$R$1189)</f>
        <v/>
      </c>
    </row>
    <row r="1187">
      <c r="J1187">
        <f>IF([2]Entry!$C$1190="","",[2]Entry!$C$1190)</f>
        <v/>
      </c>
      <c r="K1187">
        <f>IF([2]Entry!$D$1190="","",[2]Entry!$D$1190)</f>
        <v/>
      </c>
      <c r="L1187">
        <f>IF([2]Entry!$E$1190="","",[2]Entry!$E$1190)</f>
        <v/>
      </c>
      <c r="M1187">
        <f>IF([2]Entry!$G$1190="","",[2]Entry!$G$1190)</f>
        <v/>
      </c>
      <c r="N1187">
        <f>IF([2]Entry!$M$1190="","",[2]Entry!$M$1190)</f>
        <v/>
      </c>
      <c r="O1187">
        <f>IF([2]Entry!$N$1190="","",[2]Entry!$N$1190)</f>
        <v/>
      </c>
      <c r="P1187">
        <f>IF([2]Entry!$R$1190="","",[2]Entry!$R$1190)</f>
        <v/>
      </c>
    </row>
    <row r="1188">
      <c r="J1188">
        <f>IF([2]Entry!$C$1191="","",[2]Entry!$C$1191)</f>
        <v/>
      </c>
      <c r="K1188">
        <f>IF([2]Entry!$D$1191="","",[2]Entry!$D$1191)</f>
        <v/>
      </c>
      <c r="L1188">
        <f>IF([2]Entry!$E$1191="","",[2]Entry!$E$1191)</f>
        <v/>
      </c>
      <c r="M1188">
        <f>IF([2]Entry!$G$1191="","",[2]Entry!$G$1191)</f>
        <v/>
      </c>
      <c r="N1188">
        <f>IF([2]Entry!$M$1191="","",[2]Entry!$M$1191)</f>
        <v/>
      </c>
      <c r="O1188">
        <f>IF([2]Entry!$N$1191="","",[2]Entry!$N$1191)</f>
        <v/>
      </c>
      <c r="P1188">
        <f>IF([2]Entry!$R$1191="","",[2]Entry!$R$1191)</f>
        <v/>
      </c>
    </row>
    <row r="1189">
      <c r="J1189">
        <f>IF([2]Entry!$C$1192="","",[2]Entry!$C$1192)</f>
        <v/>
      </c>
      <c r="K1189">
        <f>IF([2]Entry!$D$1192="","",[2]Entry!$D$1192)</f>
        <v/>
      </c>
      <c r="L1189">
        <f>IF([2]Entry!$E$1192="","",[2]Entry!$E$1192)</f>
        <v/>
      </c>
      <c r="M1189">
        <f>IF([2]Entry!$G$1192="","",[2]Entry!$G$1192)</f>
        <v/>
      </c>
      <c r="N1189">
        <f>IF([2]Entry!$M$1192="","",[2]Entry!$M$1192)</f>
        <v/>
      </c>
      <c r="O1189">
        <f>IF([2]Entry!$N$1192="","",[2]Entry!$N$1192)</f>
        <v/>
      </c>
      <c r="P1189">
        <f>IF([2]Entry!$R$1192="","",[2]Entry!$R$1192)</f>
        <v/>
      </c>
    </row>
    <row r="1190">
      <c r="J1190">
        <f>IF([2]Entry!$C$1193="","",[2]Entry!$C$1193)</f>
        <v/>
      </c>
      <c r="K1190">
        <f>IF([2]Entry!$D$1193="","",[2]Entry!$D$1193)</f>
        <v/>
      </c>
      <c r="L1190">
        <f>IF([2]Entry!$E$1193="","",[2]Entry!$E$1193)</f>
        <v/>
      </c>
      <c r="M1190">
        <f>IF([2]Entry!$G$1193="","",[2]Entry!$G$1193)</f>
        <v/>
      </c>
      <c r="N1190">
        <f>IF([2]Entry!$M$1193="","",[2]Entry!$M$1193)</f>
        <v/>
      </c>
      <c r="O1190">
        <f>IF([2]Entry!$N$1193="","",[2]Entry!$N$1193)</f>
        <v/>
      </c>
      <c r="P1190">
        <f>IF([2]Entry!$R$1193="","",[2]Entry!$R$1193)</f>
        <v/>
      </c>
    </row>
    <row r="1191">
      <c r="J1191">
        <f>IF([2]Entry!$C$1194="","",[2]Entry!$C$1194)</f>
        <v/>
      </c>
      <c r="K1191">
        <f>IF([2]Entry!$D$1194="","",[2]Entry!$D$1194)</f>
        <v/>
      </c>
      <c r="L1191">
        <f>IF([2]Entry!$E$1194="","",[2]Entry!$E$1194)</f>
        <v/>
      </c>
      <c r="M1191">
        <f>IF([2]Entry!$G$1194="","",[2]Entry!$G$1194)</f>
        <v/>
      </c>
      <c r="N1191">
        <f>IF([2]Entry!$M$1194="","",[2]Entry!$M$1194)</f>
        <v/>
      </c>
      <c r="O1191">
        <f>IF([2]Entry!$N$1194="","",[2]Entry!$N$1194)</f>
        <v/>
      </c>
      <c r="P1191">
        <f>IF([2]Entry!$R$1194="","",[2]Entry!$R$1194)</f>
        <v/>
      </c>
    </row>
    <row r="1192">
      <c r="J1192">
        <f>IF([2]Entry!$C$1195="","",[2]Entry!$C$1195)</f>
        <v/>
      </c>
      <c r="K1192">
        <f>IF([2]Entry!$D$1195="","",[2]Entry!$D$1195)</f>
        <v/>
      </c>
      <c r="L1192">
        <f>IF([2]Entry!$E$1195="","",[2]Entry!$E$1195)</f>
        <v/>
      </c>
      <c r="M1192">
        <f>IF([2]Entry!$G$1195="","",[2]Entry!$G$1195)</f>
        <v/>
      </c>
      <c r="N1192">
        <f>IF([2]Entry!$M$1195="","",[2]Entry!$M$1195)</f>
        <v/>
      </c>
      <c r="O1192">
        <f>IF([2]Entry!$N$1195="","",[2]Entry!$N$1195)</f>
        <v/>
      </c>
      <c r="P1192">
        <f>IF([2]Entry!$R$1195="","",[2]Entry!$R$1195)</f>
        <v/>
      </c>
    </row>
    <row r="1193">
      <c r="J1193">
        <f>IF([2]Entry!$C$1196="","",[2]Entry!$C$1196)</f>
        <v/>
      </c>
      <c r="K1193">
        <f>IF([2]Entry!$D$1196="","",[2]Entry!$D$1196)</f>
        <v/>
      </c>
      <c r="L1193">
        <f>IF([2]Entry!$E$1196="","",[2]Entry!$E$1196)</f>
        <v/>
      </c>
      <c r="M1193">
        <f>IF([2]Entry!$G$1196="","",[2]Entry!$G$1196)</f>
        <v/>
      </c>
      <c r="N1193">
        <f>IF([2]Entry!$M$1196="","",[2]Entry!$M$1196)</f>
        <v/>
      </c>
      <c r="O1193">
        <f>IF([2]Entry!$N$1196="","",[2]Entry!$N$1196)</f>
        <v/>
      </c>
      <c r="P1193">
        <f>IF([2]Entry!$R$1196="","",[2]Entry!$R$1196)</f>
        <v/>
      </c>
    </row>
    <row r="1194">
      <c r="J1194">
        <f>IF([2]Entry!$C$1197="","",[2]Entry!$C$1197)</f>
        <v/>
      </c>
      <c r="K1194">
        <f>IF([2]Entry!$D$1197="","",[2]Entry!$D$1197)</f>
        <v/>
      </c>
      <c r="L1194">
        <f>IF([2]Entry!$E$1197="","",[2]Entry!$E$1197)</f>
        <v/>
      </c>
      <c r="M1194">
        <f>IF([2]Entry!$G$1197="","",[2]Entry!$G$1197)</f>
        <v/>
      </c>
      <c r="N1194">
        <f>IF([2]Entry!$M$1197="","",[2]Entry!$M$1197)</f>
        <v/>
      </c>
      <c r="O1194">
        <f>IF([2]Entry!$N$1197="","",[2]Entry!$N$1197)</f>
        <v/>
      </c>
      <c r="P1194">
        <f>IF([2]Entry!$R$1197="","",[2]Entry!$R$1197)</f>
        <v/>
      </c>
    </row>
    <row r="1195">
      <c r="J1195">
        <f>IF([2]Entry!$C$1198="","",[2]Entry!$C$1198)</f>
        <v/>
      </c>
      <c r="K1195">
        <f>IF([2]Entry!$D$1198="","",[2]Entry!$D$1198)</f>
        <v/>
      </c>
      <c r="L1195">
        <f>IF([2]Entry!$E$1198="","",[2]Entry!$E$1198)</f>
        <v/>
      </c>
      <c r="M1195">
        <f>IF([2]Entry!$G$1198="","",[2]Entry!$G$1198)</f>
        <v/>
      </c>
      <c r="N1195">
        <f>IF([2]Entry!$M$1198="","",[2]Entry!$M$1198)</f>
        <v/>
      </c>
      <c r="O1195">
        <f>IF([2]Entry!$N$1198="","",[2]Entry!$N$1198)</f>
        <v/>
      </c>
      <c r="P1195">
        <f>IF([2]Entry!$R$1198="","",[2]Entry!$R$1198)</f>
        <v/>
      </c>
    </row>
    <row r="1196">
      <c r="J1196">
        <f>IF([2]Entry!$C$1199="","",[2]Entry!$C$1199)</f>
        <v/>
      </c>
      <c r="K1196">
        <f>IF([2]Entry!$D$1199="","",[2]Entry!$D$1199)</f>
        <v/>
      </c>
      <c r="L1196">
        <f>IF([2]Entry!$E$1199="","",[2]Entry!$E$1199)</f>
        <v/>
      </c>
      <c r="M1196">
        <f>IF([2]Entry!$G$1199="","",[2]Entry!$G$1199)</f>
        <v/>
      </c>
      <c r="N1196">
        <f>IF([2]Entry!$M$1199="","",[2]Entry!$M$1199)</f>
        <v/>
      </c>
      <c r="O1196">
        <f>IF([2]Entry!$N$1199="","",[2]Entry!$N$1199)</f>
        <v/>
      </c>
      <c r="P1196">
        <f>IF([2]Entry!$R$1199="","",[2]Entry!$R$1199)</f>
        <v/>
      </c>
    </row>
    <row r="1197">
      <c r="J1197">
        <f>IF([2]Entry!$C$1200="","",[2]Entry!$C$1200)</f>
        <v/>
      </c>
      <c r="K1197">
        <f>IF([2]Entry!$D$1200="","",[2]Entry!$D$1200)</f>
        <v/>
      </c>
      <c r="L1197">
        <f>IF([2]Entry!$E$1200="","",[2]Entry!$E$1200)</f>
        <v/>
      </c>
      <c r="M1197">
        <f>IF([2]Entry!$G$1200="","",[2]Entry!$G$1200)</f>
        <v/>
      </c>
      <c r="N1197">
        <f>IF([2]Entry!$M$1200="","",[2]Entry!$M$1200)</f>
        <v/>
      </c>
      <c r="O1197">
        <f>IF([2]Entry!$N$1200="","",[2]Entry!$N$1200)</f>
        <v/>
      </c>
      <c r="P1197">
        <f>IF([2]Entry!$R$1200="","",[2]Entry!$R$1200)</f>
        <v/>
      </c>
    </row>
    <row r="1198">
      <c r="J1198">
        <f>IF([2]Entry!$C$1201="","",[2]Entry!$C$1201)</f>
        <v/>
      </c>
      <c r="K1198">
        <f>IF([2]Entry!$D$1201="","",[2]Entry!$D$1201)</f>
        <v/>
      </c>
      <c r="L1198">
        <f>IF([2]Entry!$E$1201="","",[2]Entry!$E$1201)</f>
        <v/>
      </c>
      <c r="M1198">
        <f>IF([2]Entry!$G$1201="","",[2]Entry!$G$1201)</f>
        <v/>
      </c>
      <c r="N1198">
        <f>IF([2]Entry!$M$1201="","",[2]Entry!$M$1201)</f>
        <v/>
      </c>
      <c r="O1198">
        <f>IF([2]Entry!$N$1201="","",[2]Entry!$N$1201)</f>
        <v/>
      </c>
      <c r="P1198">
        <f>IF([2]Entry!$R$1201="","",[2]Entry!$R$1201)</f>
        <v/>
      </c>
    </row>
    <row r="1199">
      <c r="J1199">
        <f>IF([2]Entry!$C$1202="","",[2]Entry!$C$1202)</f>
        <v/>
      </c>
      <c r="K1199">
        <f>IF([2]Entry!$D$1202="","",[2]Entry!$D$1202)</f>
        <v/>
      </c>
      <c r="L1199">
        <f>IF([2]Entry!$E$1202="","",[2]Entry!$E$1202)</f>
        <v/>
      </c>
      <c r="M1199">
        <f>IF([2]Entry!$G$1202="","",[2]Entry!$G$1202)</f>
        <v/>
      </c>
      <c r="N1199">
        <f>IF([2]Entry!$M$1202="","",[2]Entry!$M$1202)</f>
        <v/>
      </c>
      <c r="O1199">
        <f>IF([2]Entry!$N$1202="","",[2]Entry!$N$1202)</f>
        <v/>
      </c>
      <c r="P1199">
        <f>IF([2]Entry!$R$1202="","",[2]Entry!$R$1202)</f>
        <v/>
      </c>
    </row>
    <row r="1200">
      <c r="J1200">
        <f>IF([2]Entry!$C$1203="","",[2]Entry!$C$1203)</f>
        <v/>
      </c>
      <c r="K1200">
        <f>IF([2]Entry!$D$1203="","",[2]Entry!$D$1203)</f>
        <v/>
      </c>
      <c r="L1200">
        <f>IF([2]Entry!$E$1203="","",[2]Entry!$E$1203)</f>
        <v/>
      </c>
      <c r="M1200">
        <f>IF([2]Entry!$G$1203="","",[2]Entry!$G$1203)</f>
        <v/>
      </c>
      <c r="N1200">
        <f>IF([2]Entry!$M$1203="","",[2]Entry!$M$1203)</f>
        <v/>
      </c>
      <c r="O1200">
        <f>IF([2]Entry!$N$1203="","",[2]Entry!$N$1203)</f>
        <v/>
      </c>
      <c r="P1200">
        <f>IF([2]Entry!$R$1203="","",[2]Entry!$R$1203)</f>
        <v/>
      </c>
    </row>
    <row r="1201">
      <c r="J1201">
        <f>IF([2]Entry!$C$1204="","",[2]Entry!$C$1204)</f>
        <v/>
      </c>
      <c r="K1201">
        <f>IF([2]Entry!$D$1204="","",[2]Entry!$D$1204)</f>
        <v/>
      </c>
      <c r="L1201">
        <f>IF([2]Entry!$E$1204="","",[2]Entry!$E$1204)</f>
        <v/>
      </c>
      <c r="M1201">
        <f>IF([2]Entry!$G$1204="","",[2]Entry!$G$1204)</f>
        <v/>
      </c>
      <c r="N1201">
        <f>IF([2]Entry!$M$1204="","",[2]Entry!$M$1204)</f>
        <v/>
      </c>
      <c r="O1201">
        <f>IF([2]Entry!$N$1204="","",[2]Entry!$N$1204)</f>
        <v/>
      </c>
      <c r="P1201">
        <f>IF([2]Entry!$R$1204="","",[2]Entry!$R$1204)</f>
        <v/>
      </c>
    </row>
    <row r="1202">
      <c r="J1202">
        <f>IF([2]Entry!$C$1205="","",[2]Entry!$C$1205)</f>
        <v/>
      </c>
      <c r="K1202">
        <f>IF([2]Entry!$D$1205="","",[2]Entry!$D$1205)</f>
        <v/>
      </c>
      <c r="L1202">
        <f>IF([2]Entry!$E$1205="","",[2]Entry!$E$1205)</f>
        <v/>
      </c>
      <c r="M1202">
        <f>IF([2]Entry!$G$1205="","",[2]Entry!$G$1205)</f>
        <v/>
      </c>
      <c r="N1202">
        <f>IF([2]Entry!$M$1205="","",[2]Entry!$M$1205)</f>
        <v/>
      </c>
      <c r="O1202">
        <f>IF([2]Entry!$N$1205="","",[2]Entry!$N$1205)</f>
        <v/>
      </c>
      <c r="P1202">
        <f>IF([2]Entry!$R$1205="","",[2]Entry!$R$1205)</f>
        <v/>
      </c>
    </row>
    <row r="1203">
      <c r="J1203">
        <f>IF([2]Entry!$C$1206="","",[2]Entry!$C$1206)</f>
        <v/>
      </c>
      <c r="K1203">
        <f>IF([2]Entry!$D$1206="","",[2]Entry!$D$1206)</f>
        <v/>
      </c>
      <c r="L1203">
        <f>IF([2]Entry!$E$1206="","",[2]Entry!$E$1206)</f>
        <v/>
      </c>
      <c r="M1203">
        <f>IF([2]Entry!$G$1206="","",[2]Entry!$G$1206)</f>
        <v/>
      </c>
      <c r="N1203">
        <f>IF([2]Entry!$M$1206="","",[2]Entry!$M$1206)</f>
        <v/>
      </c>
      <c r="O1203">
        <f>IF([2]Entry!$N$1206="","",[2]Entry!$N$1206)</f>
        <v/>
      </c>
      <c r="P1203">
        <f>IF([2]Entry!$R$1206="","",[2]Entry!$R$1206)</f>
        <v/>
      </c>
    </row>
    <row r="1204">
      <c r="J1204">
        <f>IF([2]Entry!$C$1207="","",[2]Entry!$C$1207)</f>
        <v/>
      </c>
      <c r="K1204">
        <f>IF([2]Entry!$D$1207="","",[2]Entry!$D$1207)</f>
        <v/>
      </c>
      <c r="L1204">
        <f>IF([2]Entry!$E$1207="","",[2]Entry!$E$1207)</f>
        <v/>
      </c>
      <c r="M1204">
        <f>IF([2]Entry!$G$1207="","",[2]Entry!$G$1207)</f>
        <v/>
      </c>
      <c r="N1204">
        <f>IF([2]Entry!$M$1207="","",[2]Entry!$M$1207)</f>
        <v/>
      </c>
      <c r="O1204">
        <f>IF([2]Entry!$N$1207="","",[2]Entry!$N$1207)</f>
        <v/>
      </c>
      <c r="P1204">
        <f>IF([2]Entry!$R$1207="","",[2]Entry!$R$1207)</f>
        <v/>
      </c>
    </row>
    <row r="1205">
      <c r="J1205">
        <f>IF([2]Entry!$C$1208="","",[2]Entry!$C$1208)</f>
        <v/>
      </c>
      <c r="K1205">
        <f>IF([2]Entry!$D$1208="","",[2]Entry!$D$1208)</f>
        <v/>
      </c>
      <c r="L1205">
        <f>IF([2]Entry!$E$1208="","",[2]Entry!$E$1208)</f>
        <v/>
      </c>
      <c r="M1205">
        <f>IF([2]Entry!$G$1208="","",[2]Entry!$G$1208)</f>
        <v/>
      </c>
      <c r="N1205">
        <f>IF([2]Entry!$M$1208="","",[2]Entry!$M$1208)</f>
        <v/>
      </c>
      <c r="O1205">
        <f>IF([2]Entry!$N$1208="","",[2]Entry!$N$1208)</f>
        <v/>
      </c>
      <c r="P1205">
        <f>IF([2]Entry!$R$1208="","",[2]Entry!$R$1208)</f>
        <v/>
      </c>
    </row>
    <row r="1206">
      <c r="J1206">
        <f>IF([2]Entry!$C$1209="","",[2]Entry!$C$1209)</f>
        <v/>
      </c>
      <c r="K1206">
        <f>IF([2]Entry!$D$1209="","",[2]Entry!$D$1209)</f>
        <v/>
      </c>
      <c r="L1206">
        <f>IF([2]Entry!$E$1209="","",[2]Entry!$E$1209)</f>
        <v/>
      </c>
      <c r="M1206">
        <f>IF([2]Entry!$G$1209="","",[2]Entry!$G$1209)</f>
        <v/>
      </c>
      <c r="N1206">
        <f>IF([2]Entry!$M$1209="","",[2]Entry!$M$1209)</f>
        <v/>
      </c>
      <c r="O1206">
        <f>IF([2]Entry!$N$1209="","",[2]Entry!$N$1209)</f>
        <v/>
      </c>
      <c r="P1206">
        <f>IF([2]Entry!$R$1209="","",[2]Entry!$R$1209)</f>
        <v/>
      </c>
    </row>
    <row r="1207">
      <c r="J1207">
        <f>IF([2]Entry!$C$1210="","",[2]Entry!$C$1210)</f>
        <v/>
      </c>
      <c r="K1207">
        <f>IF([2]Entry!$D$1210="","",[2]Entry!$D$1210)</f>
        <v/>
      </c>
      <c r="L1207">
        <f>IF([2]Entry!$E$1210="","",[2]Entry!$E$1210)</f>
        <v/>
      </c>
      <c r="M1207">
        <f>IF([2]Entry!$G$1210="","",[2]Entry!$G$1210)</f>
        <v/>
      </c>
      <c r="N1207">
        <f>IF([2]Entry!$M$1210="","",[2]Entry!$M$1210)</f>
        <v/>
      </c>
      <c r="O1207">
        <f>IF([2]Entry!$N$1210="","",[2]Entry!$N$1210)</f>
        <v/>
      </c>
      <c r="P1207">
        <f>IF([2]Entry!$R$1210="","",[2]Entry!$R$1210)</f>
        <v/>
      </c>
    </row>
    <row r="1208">
      <c r="J1208">
        <f>IF([2]Entry!$C$1211="","",[2]Entry!$C$1211)</f>
        <v/>
      </c>
      <c r="K1208">
        <f>IF([2]Entry!$D$1211="","",[2]Entry!$D$1211)</f>
        <v/>
      </c>
      <c r="L1208">
        <f>IF([2]Entry!$E$1211="","",[2]Entry!$E$1211)</f>
        <v/>
      </c>
      <c r="M1208">
        <f>IF([2]Entry!$G$1211="","",[2]Entry!$G$1211)</f>
        <v/>
      </c>
      <c r="N1208">
        <f>IF([2]Entry!$M$1211="","",[2]Entry!$M$1211)</f>
        <v/>
      </c>
      <c r="O1208">
        <f>IF([2]Entry!$N$1211="","",[2]Entry!$N$1211)</f>
        <v/>
      </c>
      <c r="P1208">
        <f>IF([2]Entry!$R$1211="","",[2]Entry!$R$1211)</f>
        <v/>
      </c>
    </row>
    <row r="1209">
      <c r="J1209">
        <f>IF([2]Entry!$C$1212="","",[2]Entry!$C$1212)</f>
        <v/>
      </c>
      <c r="K1209">
        <f>IF([2]Entry!$D$1212="","",[2]Entry!$D$1212)</f>
        <v/>
      </c>
      <c r="L1209">
        <f>IF([2]Entry!$E$1212="","",[2]Entry!$E$1212)</f>
        <v/>
      </c>
      <c r="M1209">
        <f>IF([2]Entry!$G$1212="","",[2]Entry!$G$1212)</f>
        <v/>
      </c>
      <c r="N1209">
        <f>IF([2]Entry!$M$1212="","",[2]Entry!$M$1212)</f>
        <v/>
      </c>
      <c r="O1209">
        <f>IF([2]Entry!$N$1212="","",[2]Entry!$N$1212)</f>
        <v/>
      </c>
      <c r="P1209">
        <f>IF([2]Entry!$R$1212="","",[2]Entry!$R$1212)</f>
        <v/>
      </c>
    </row>
    <row r="1210">
      <c r="J1210">
        <f>IF([2]Entry!$C$1213="","",[2]Entry!$C$1213)</f>
        <v/>
      </c>
      <c r="K1210">
        <f>IF([2]Entry!$D$1213="","",[2]Entry!$D$1213)</f>
        <v/>
      </c>
      <c r="L1210">
        <f>IF([2]Entry!$E$1213="","",[2]Entry!$E$1213)</f>
        <v/>
      </c>
      <c r="M1210">
        <f>IF([2]Entry!$G$1213="","",[2]Entry!$G$1213)</f>
        <v/>
      </c>
      <c r="N1210">
        <f>IF([2]Entry!$M$1213="","",[2]Entry!$M$1213)</f>
        <v/>
      </c>
      <c r="O1210">
        <f>IF([2]Entry!$N$1213="","",[2]Entry!$N$1213)</f>
        <v/>
      </c>
      <c r="P1210">
        <f>IF([2]Entry!$R$1213="","",[2]Entry!$R$1213)</f>
        <v/>
      </c>
    </row>
    <row r="1211">
      <c r="J1211">
        <f>IF([2]Entry!$C$1214="","",[2]Entry!$C$1214)</f>
        <v/>
      </c>
      <c r="K1211">
        <f>IF([2]Entry!$D$1214="","",[2]Entry!$D$1214)</f>
        <v/>
      </c>
      <c r="L1211">
        <f>IF([2]Entry!$E$1214="","",[2]Entry!$E$1214)</f>
        <v/>
      </c>
      <c r="M1211">
        <f>IF([2]Entry!$G$1214="","",[2]Entry!$G$1214)</f>
        <v/>
      </c>
      <c r="N1211">
        <f>IF([2]Entry!$M$1214="","",[2]Entry!$M$1214)</f>
        <v/>
      </c>
      <c r="O1211">
        <f>IF([2]Entry!$N$1214="","",[2]Entry!$N$1214)</f>
        <v/>
      </c>
      <c r="P1211">
        <f>IF([2]Entry!$R$1214="","",[2]Entry!$R$1214)</f>
        <v/>
      </c>
    </row>
    <row r="1212">
      <c r="J1212">
        <f>IF([2]Entry!$C$1215="","",[2]Entry!$C$1215)</f>
        <v/>
      </c>
      <c r="K1212">
        <f>IF([2]Entry!$D$1215="","",[2]Entry!$D$1215)</f>
        <v/>
      </c>
      <c r="L1212">
        <f>IF([2]Entry!$E$1215="","",[2]Entry!$E$1215)</f>
        <v/>
      </c>
      <c r="M1212">
        <f>IF([2]Entry!$G$1215="","",[2]Entry!$G$1215)</f>
        <v/>
      </c>
      <c r="N1212">
        <f>IF([2]Entry!$M$1215="","",[2]Entry!$M$1215)</f>
        <v/>
      </c>
      <c r="O1212">
        <f>IF([2]Entry!$N$1215="","",[2]Entry!$N$1215)</f>
        <v/>
      </c>
      <c r="P1212">
        <f>IF([2]Entry!$R$1215="","",[2]Entry!$R$1215)</f>
        <v/>
      </c>
    </row>
    <row r="1213">
      <c r="J1213">
        <f>IF([2]Entry!$C$1216="","",[2]Entry!$C$1216)</f>
        <v/>
      </c>
      <c r="K1213">
        <f>IF([2]Entry!$D$1216="","",[2]Entry!$D$1216)</f>
        <v/>
      </c>
      <c r="L1213">
        <f>IF([2]Entry!$E$1216="","",[2]Entry!$E$1216)</f>
        <v/>
      </c>
      <c r="M1213">
        <f>IF([2]Entry!$G$1216="","",[2]Entry!$G$1216)</f>
        <v/>
      </c>
      <c r="N1213">
        <f>IF([2]Entry!$M$1216="","",[2]Entry!$M$1216)</f>
        <v/>
      </c>
      <c r="O1213">
        <f>IF([2]Entry!$N$1216="","",[2]Entry!$N$1216)</f>
        <v/>
      </c>
      <c r="P1213">
        <f>IF([2]Entry!$R$1216="","",[2]Entry!$R$1216)</f>
        <v/>
      </c>
    </row>
    <row r="1214">
      <c r="J1214">
        <f>IF([2]Entry!$C$1217="","",[2]Entry!$C$1217)</f>
        <v/>
      </c>
      <c r="K1214">
        <f>IF([2]Entry!$D$1217="","",[2]Entry!$D$1217)</f>
        <v/>
      </c>
      <c r="L1214">
        <f>IF([2]Entry!$E$1217="","",[2]Entry!$E$1217)</f>
        <v/>
      </c>
      <c r="M1214">
        <f>IF([2]Entry!$G$1217="","",[2]Entry!$G$1217)</f>
        <v/>
      </c>
      <c r="N1214">
        <f>IF([2]Entry!$M$1217="","",[2]Entry!$M$1217)</f>
        <v/>
      </c>
      <c r="O1214">
        <f>IF([2]Entry!$N$1217="","",[2]Entry!$N$1217)</f>
        <v/>
      </c>
      <c r="P1214">
        <f>IF([2]Entry!$R$1217="","",[2]Entry!$R$1217)</f>
        <v/>
      </c>
    </row>
    <row r="1215">
      <c r="J1215">
        <f>IF([2]Entry!$C$1218="","",[2]Entry!$C$1218)</f>
        <v/>
      </c>
      <c r="K1215">
        <f>IF([2]Entry!$D$1218="","",[2]Entry!$D$1218)</f>
        <v/>
      </c>
      <c r="L1215">
        <f>IF([2]Entry!$E$1218="","",[2]Entry!$E$1218)</f>
        <v/>
      </c>
      <c r="M1215">
        <f>IF([2]Entry!$G$1218="","",[2]Entry!$G$1218)</f>
        <v/>
      </c>
      <c r="N1215">
        <f>IF([2]Entry!$M$1218="","",[2]Entry!$M$1218)</f>
        <v/>
      </c>
      <c r="O1215">
        <f>IF([2]Entry!$N$1218="","",[2]Entry!$N$1218)</f>
        <v/>
      </c>
      <c r="P1215">
        <f>IF([2]Entry!$R$1218="","",[2]Entry!$R$1218)</f>
        <v/>
      </c>
    </row>
    <row r="1216">
      <c r="J1216">
        <f>IF([2]Entry!$C$1219="","",[2]Entry!$C$1219)</f>
        <v/>
      </c>
      <c r="K1216">
        <f>IF([2]Entry!$D$1219="","",[2]Entry!$D$1219)</f>
        <v/>
      </c>
      <c r="L1216">
        <f>IF([2]Entry!$E$1219="","",[2]Entry!$E$1219)</f>
        <v/>
      </c>
      <c r="M1216">
        <f>IF([2]Entry!$G$1219="","",[2]Entry!$G$1219)</f>
        <v/>
      </c>
      <c r="N1216">
        <f>IF([2]Entry!$M$1219="","",[2]Entry!$M$1219)</f>
        <v/>
      </c>
      <c r="O1216">
        <f>IF([2]Entry!$N$1219="","",[2]Entry!$N$1219)</f>
        <v/>
      </c>
      <c r="P1216">
        <f>IF([2]Entry!$R$1219="","",[2]Entry!$R$1219)</f>
        <v/>
      </c>
    </row>
    <row r="1217">
      <c r="J1217">
        <f>IF([2]Entry!$C$1220="","",[2]Entry!$C$1220)</f>
        <v/>
      </c>
      <c r="K1217">
        <f>IF([2]Entry!$D$1220="","",[2]Entry!$D$1220)</f>
        <v/>
      </c>
      <c r="L1217">
        <f>IF([2]Entry!$E$1220="","",[2]Entry!$E$1220)</f>
        <v/>
      </c>
      <c r="M1217">
        <f>IF([2]Entry!$G$1220="","",[2]Entry!$G$1220)</f>
        <v/>
      </c>
      <c r="N1217">
        <f>IF([2]Entry!$M$1220="","",[2]Entry!$M$1220)</f>
        <v/>
      </c>
      <c r="O1217">
        <f>IF([2]Entry!$N$1220="","",[2]Entry!$N$1220)</f>
        <v/>
      </c>
      <c r="P1217">
        <f>IF([2]Entry!$R$1220="","",[2]Entry!$R$1220)</f>
        <v/>
      </c>
    </row>
    <row r="1218">
      <c r="J1218">
        <f>IF([2]Entry!$C$1221="","",[2]Entry!$C$1221)</f>
        <v/>
      </c>
      <c r="K1218">
        <f>IF([2]Entry!$D$1221="","",[2]Entry!$D$1221)</f>
        <v/>
      </c>
      <c r="L1218">
        <f>IF([2]Entry!$E$1221="","",[2]Entry!$E$1221)</f>
        <v/>
      </c>
      <c r="M1218">
        <f>IF([2]Entry!$G$1221="","",[2]Entry!$G$1221)</f>
        <v/>
      </c>
      <c r="N1218">
        <f>IF([2]Entry!$M$1221="","",[2]Entry!$M$1221)</f>
        <v/>
      </c>
      <c r="O1218">
        <f>IF([2]Entry!$N$1221="","",[2]Entry!$N$1221)</f>
        <v/>
      </c>
      <c r="P1218">
        <f>IF([2]Entry!$R$1221="","",[2]Entry!$R$1221)</f>
        <v/>
      </c>
    </row>
    <row r="1219">
      <c r="J1219">
        <f>IF([2]Entry!$C$1222="","",[2]Entry!$C$1222)</f>
        <v/>
      </c>
      <c r="K1219">
        <f>IF([2]Entry!$D$1222="","",[2]Entry!$D$1222)</f>
        <v/>
      </c>
      <c r="L1219">
        <f>IF([2]Entry!$E$1222="","",[2]Entry!$E$1222)</f>
        <v/>
      </c>
      <c r="M1219">
        <f>IF([2]Entry!$G$1222="","",[2]Entry!$G$1222)</f>
        <v/>
      </c>
      <c r="N1219">
        <f>IF([2]Entry!$M$1222="","",[2]Entry!$M$1222)</f>
        <v/>
      </c>
      <c r="O1219">
        <f>IF([2]Entry!$N$1222="","",[2]Entry!$N$1222)</f>
        <v/>
      </c>
      <c r="P1219">
        <f>IF([2]Entry!$R$1222="","",[2]Entry!$R$1222)</f>
        <v/>
      </c>
    </row>
    <row r="1220">
      <c r="J1220">
        <f>IF([2]Entry!$C$1223="","",[2]Entry!$C$1223)</f>
        <v/>
      </c>
      <c r="K1220">
        <f>IF([2]Entry!$D$1223="","",[2]Entry!$D$1223)</f>
        <v/>
      </c>
      <c r="L1220">
        <f>IF([2]Entry!$E$1223="","",[2]Entry!$E$1223)</f>
        <v/>
      </c>
      <c r="M1220">
        <f>IF([2]Entry!$G$1223="","",[2]Entry!$G$1223)</f>
        <v/>
      </c>
      <c r="N1220">
        <f>IF([2]Entry!$M$1223="","",[2]Entry!$M$1223)</f>
        <v/>
      </c>
      <c r="O1220">
        <f>IF([2]Entry!$N$1223="","",[2]Entry!$N$1223)</f>
        <v/>
      </c>
      <c r="P1220">
        <f>IF([2]Entry!$R$1223="","",[2]Entry!$R$1223)</f>
        <v/>
      </c>
    </row>
    <row r="1221">
      <c r="J1221">
        <f>IF([2]Entry!$C$1224="","",[2]Entry!$C$1224)</f>
        <v/>
      </c>
      <c r="K1221">
        <f>IF([2]Entry!$D$1224="","",[2]Entry!$D$1224)</f>
        <v/>
      </c>
      <c r="L1221">
        <f>IF([2]Entry!$E$1224="","",[2]Entry!$E$1224)</f>
        <v/>
      </c>
      <c r="M1221">
        <f>IF([2]Entry!$G$1224="","",[2]Entry!$G$1224)</f>
        <v/>
      </c>
      <c r="N1221">
        <f>IF([2]Entry!$M$1224="","",[2]Entry!$M$1224)</f>
        <v/>
      </c>
      <c r="O1221">
        <f>IF([2]Entry!$N$1224="","",[2]Entry!$N$1224)</f>
        <v/>
      </c>
      <c r="P1221">
        <f>IF([2]Entry!$R$1224="","",[2]Entry!$R$1224)</f>
        <v/>
      </c>
    </row>
    <row r="1222">
      <c r="J1222">
        <f>IF([2]Entry!$C$1225="","",[2]Entry!$C$1225)</f>
        <v/>
      </c>
      <c r="K1222">
        <f>IF([2]Entry!$D$1225="","",[2]Entry!$D$1225)</f>
        <v/>
      </c>
      <c r="L1222">
        <f>IF([2]Entry!$E$1225="","",[2]Entry!$E$1225)</f>
        <v/>
      </c>
      <c r="M1222">
        <f>IF([2]Entry!$G$1225="","",[2]Entry!$G$1225)</f>
        <v/>
      </c>
      <c r="N1222">
        <f>IF([2]Entry!$M$1225="","",[2]Entry!$M$1225)</f>
        <v/>
      </c>
      <c r="O1222">
        <f>IF([2]Entry!$N$1225="","",[2]Entry!$N$1225)</f>
        <v/>
      </c>
      <c r="P1222">
        <f>IF([2]Entry!$R$1225="","",[2]Entry!$R$1225)</f>
        <v/>
      </c>
    </row>
    <row r="1223">
      <c r="J1223">
        <f>IF([2]Entry!$C$1226="","",[2]Entry!$C$1226)</f>
        <v/>
      </c>
      <c r="K1223">
        <f>IF([2]Entry!$D$1226="","",[2]Entry!$D$1226)</f>
        <v/>
      </c>
      <c r="L1223">
        <f>IF([2]Entry!$E$1226="","",[2]Entry!$E$1226)</f>
        <v/>
      </c>
      <c r="M1223">
        <f>IF([2]Entry!$G$1226="","",[2]Entry!$G$1226)</f>
        <v/>
      </c>
      <c r="N1223">
        <f>IF([2]Entry!$M$1226="","",[2]Entry!$M$1226)</f>
        <v/>
      </c>
      <c r="O1223">
        <f>IF([2]Entry!$N$1226="","",[2]Entry!$N$1226)</f>
        <v/>
      </c>
      <c r="P1223">
        <f>IF([2]Entry!$R$1226="","",[2]Entry!$R$1226)</f>
        <v/>
      </c>
    </row>
    <row r="1224">
      <c r="J1224">
        <f>IF([2]Entry!$C$1227="","",[2]Entry!$C$1227)</f>
        <v/>
      </c>
      <c r="K1224">
        <f>IF([2]Entry!$D$1227="","",[2]Entry!$D$1227)</f>
        <v/>
      </c>
      <c r="L1224">
        <f>IF([2]Entry!$E$1227="","",[2]Entry!$E$1227)</f>
        <v/>
      </c>
      <c r="M1224">
        <f>IF([2]Entry!$G$1227="","",[2]Entry!$G$1227)</f>
        <v/>
      </c>
      <c r="N1224">
        <f>IF([2]Entry!$M$1227="","",[2]Entry!$M$1227)</f>
        <v/>
      </c>
      <c r="O1224">
        <f>IF([2]Entry!$N$1227="","",[2]Entry!$N$1227)</f>
        <v/>
      </c>
      <c r="P1224">
        <f>IF([2]Entry!$R$1227="","",[2]Entry!$R$1227)</f>
        <v/>
      </c>
    </row>
    <row r="1225">
      <c r="J1225">
        <f>IF([2]Entry!$C$1228="","",[2]Entry!$C$1228)</f>
        <v/>
      </c>
      <c r="K1225">
        <f>IF([2]Entry!$D$1228="","",[2]Entry!$D$1228)</f>
        <v/>
      </c>
      <c r="L1225">
        <f>IF([2]Entry!$E$1228="","",[2]Entry!$E$1228)</f>
        <v/>
      </c>
      <c r="M1225">
        <f>IF([2]Entry!$G$1228="","",[2]Entry!$G$1228)</f>
        <v/>
      </c>
      <c r="N1225">
        <f>IF([2]Entry!$M$1228="","",[2]Entry!$M$1228)</f>
        <v/>
      </c>
      <c r="O1225">
        <f>IF([2]Entry!$N$1228="","",[2]Entry!$N$1228)</f>
        <v/>
      </c>
      <c r="P1225">
        <f>IF([2]Entry!$R$1228="","",[2]Entry!$R$1228)</f>
        <v/>
      </c>
    </row>
    <row r="1226">
      <c r="J1226">
        <f>IF([2]Entry!$C$1229="","",[2]Entry!$C$1229)</f>
        <v/>
      </c>
      <c r="K1226">
        <f>IF([2]Entry!$D$1229="","",[2]Entry!$D$1229)</f>
        <v/>
      </c>
      <c r="L1226">
        <f>IF([2]Entry!$E$1229="","",[2]Entry!$E$1229)</f>
        <v/>
      </c>
      <c r="M1226">
        <f>IF([2]Entry!$G$1229="","",[2]Entry!$G$1229)</f>
        <v/>
      </c>
      <c r="N1226">
        <f>IF([2]Entry!$M$1229="","",[2]Entry!$M$1229)</f>
        <v/>
      </c>
      <c r="O1226">
        <f>IF([2]Entry!$N$1229="","",[2]Entry!$N$1229)</f>
        <v/>
      </c>
      <c r="P1226">
        <f>IF([2]Entry!$R$1229="","",[2]Entry!$R$1229)</f>
        <v/>
      </c>
    </row>
    <row r="1227">
      <c r="J1227">
        <f>IF([2]Entry!$C$1230="","",[2]Entry!$C$1230)</f>
        <v/>
      </c>
      <c r="K1227">
        <f>IF([2]Entry!$D$1230="","",[2]Entry!$D$1230)</f>
        <v/>
      </c>
      <c r="L1227">
        <f>IF([2]Entry!$E$1230="","",[2]Entry!$E$1230)</f>
        <v/>
      </c>
      <c r="M1227">
        <f>IF([2]Entry!$G$1230="","",[2]Entry!$G$1230)</f>
        <v/>
      </c>
      <c r="N1227">
        <f>IF([2]Entry!$M$1230="","",[2]Entry!$M$1230)</f>
        <v/>
      </c>
      <c r="O1227">
        <f>IF([2]Entry!$N$1230="","",[2]Entry!$N$1230)</f>
        <v/>
      </c>
      <c r="P1227">
        <f>IF([2]Entry!$R$1230="","",[2]Entry!$R$1230)</f>
        <v/>
      </c>
    </row>
    <row r="1228">
      <c r="J1228">
        <f>IF([2]Entry!$C$1231="","",[2]Entry!$C$1231)</f>
        <v/>
      </c>
      <c r="K1228">
        <f>IF([2]Entry!$D$1231="","",[2]Entry!$D$1231)</f>
        <v/>
      </c>
      <c r="L1228">
        <f>IF([2]Entry!$E$1231="","",[2]Entry!$E$1231)</f>
        <v/>
      </c>
      <c r="M1228">
        <f>IF([2]Entry!$G$1231="","",[2]Entry!$G$1231)</f>
        <v/>
      </c>
      <c r="N1228">
        <f>IF([2]Entry!$M$1231="","",[2]Entry!$M$1231)</f>
        <v/>
      </c>
      <c r="O1228">
        <f>IF([2]Entry!$N$1231="","",[2]Entry!$N$1231)</f>
        <v/>
      </c>
      <c r="P1228">
        <f>IF([2]Entry!$R$1231="","",[2]Entry!$R$1231)</f>
        <v/>
      </c>
    </row>
    <row r="1229">
      <c r="J1229">
        <f>IF([2]Entry!$C$1232="","",[2]Entry!$C$1232)</f>
        <v/>
      </c>
      <c r="K1229">
        <f>IF([2]Entry!$D$1232="","",[2]Entry!$D$1232)</f>
        <v/>
      </c>
      <c r="L1229">
        <f>IF([2]Entry!$E$1232="","",[2]Entry!$E$1232)</f>
        <v/>
      </c>
      <c r="M1229">
        <f>IF([2]Entry!$G$1232="","",[2]Entry!$G$1232)</f>
        <v/>
      </c>
      <c r="N1229">
        <f>IF([2]Entry!$M$1232="","",[2]Entry!$M$1232)</f>
        <v/>
      </c>
      <c r="O1229">
        <f>IF([2]Entry!$N$1232="","",[2]Entry!$N$1232)</f>
        <v/>
      </c>
      <c r="P1229">
        <f>IF([2]Entry!$R$1232="","",[2]Entry!$R$1232)</f>
        <v/>
      </c>
    </row>
    <row r="1230">
      <c r="J1230">
        <f>IF([2]Entry!$C$1233="","",[2]Entry!$C$1233)</f>
        <v/>
      </c>
      <c r="K1230">
        <f>IF([2]Entry!$D$1233="","",[2]Entry!$D$1233)</f>
        <v/>
      </c>
      <c r="L1230">
        <f>IF([2]Entry!$E$1233="","",[2]Entry!$E$1233)</f>
        <v/>
      </c>
      <c r="M1230">
        <f>IF([2]Entry!$G$1233="","",[2]Entry!$G$1233)</f>
        <v/>
      </c>
      <c r="N1230">
        <f>IF([2]Entry!$M$1233="","",[2]Entry!$M$1233)</f>
        <v/>
      </c>
      <c r="O1230">
        <f>IF([2]Entry!$N$1233="","",[2]Entry!$N$1233)</f>
        <v/>
      </c>
      <c r="P1230">
        <f>IF([2]Entry!$R$1233="","",[2]Entry!$R$1233)</f>
        <v/>
      </c>
    </row>
    <row r="1231">
      <c r="J1231">
        <f>IF([2]Entry!$C$1234="","",[2]Entry!$C$1234)</f>
        <v/>
      </c>
      <c r="K1231">
        <f>IF([2]Entry!$D$1234="","",[2]Entry!$D$1234)</f>
        <v/>
      </c>
      <c r="L1231">
        <f>IF([2]Entry!$E$1234="","",[2]Entry!$E$1234)</f>
        <v/>
      </c>
      <c r="M1231">
        <f>IF([2]Entry!$G$1234="","",[2]Entry!$G$1234)</f>
        <v/>
      </c>
      <c r="N1231">
        <f>IF([2]Entry!$M$1234="","",[2]Entry!$M$1234)</f>
        <v/>
      </c>
      <c r="O1231">
        <f>IF([2]Entry!$N$1234="","",[2]Entry!$N$1234)</f>
        <v/>
      </c>
      <c r="P1231">
        <f>IF([2]Entry!$R$1234="","",[2]Entry!$R$1234)</f>
        <v/>
      </c>
    </row>
    <row r="1232">
      <c r="J1232">
        <f>IF([2]Entry!$C$1235="","",[2]Entry!$C$1235)</f>
        <v/>
      </c>
      <c r="K1232">
        <f>IF([2]Entry!$D$1235="","",[2]Entry!$D$1235)</f>
        <v/>
      </c>
      <c r="L1232">
        <f>IF([2]Entry!$E$1235="","",[2]Entry!$E$1235)</f>
        <v/>
      </c>
      <c r="M1232">
        <f>IF([2]Entry!$G$1235="","",[2]Entry!$G$1235)</f>
        <v/>
      </c>
      <c r="N1232">
        <f>IF([2]Entry!$M$1235="","",[2]Entry!$M$1235)</f>
        <v/>
      </c>
      <c r="O1232">
        <f>IF([2]Entry!$N$1235="","",[2]Entry!$N$1235)</f>
        <v/>
      </c>
      <c r="P1232">
        <f>IF([2]Entry!$R$1235="","",[2]Entry!$R$1235)</f>
        <v/>
      </c>
    </row>
    <row r="1233">
      <c r="J1233">
        <f>IF([2]Entry!$C$1236="","",[2]Entry!$C$1236)</f>
        <v/>
      </c>
      <c r="K1233">
        <f>IF([2]Entry!$D$1236="","",[2]Entry!$D$1236)</f>
        <v/>
      </c>
      <c r="L1233">
        <f>IF([2]Entry!$E$1236="","",[2]Entry!$E$1236)</f>
        <v/>
      </c>
      <c r="M1233">
        <f>IF([2]Entry!$G$1236="","",[2]Entry!$G$1236)</f>
        <v/>
      </c>
      <c r="N1233">
        <f>IF([2]Entry!$M$1236="","",[2]Entry!$M$1236)</f>
        <v/>
      </c>
      <c r="O1233">
        <f>IF([2]Entry!$N$1236="","",[2]Entry!$N$1236)</f>
        <v/>
      </c>
      <c r="P1233">
        <f>IF([2]Entry!$R$1236="","",[2]Entry!$R$1236)</f>
        <v/>
      </c>
    </row>
    <row r="1234">
      <c r="J1234">
        <f>IF([2]Entry!$C$1237="","",[2]Entry!$C$1237)</f>
        <v/>
      </c>
      <c r="K1234">
        <f>IF([2]Entry!$D$1237="","",[2]Entry!$D$1237)</f>
        <v/>
      </c>
      <c r="L1234">
        <f>IF([2]Entry!$E$1237="","",[2]Entry!$E$1237)</f>
        <v/>
      </c>
      <c r="M1234">
        <f>IF([2]Entry!$G$1237="","",[2]Entry!$G$1237)</f>
        <v/>
      </c>
      <c r="N1234">
        <f>IF([2]Entry!$M$1237="","",[2]Entry!$M$1237)</f>
        <v/>
      </c>
      <c r="O1234">
        <f>IF([2]Entry!$N$1237="","",[2]Entry!$N$1237)</f>
        <v/>
      </c>
      <c r="P1234">
        <f>IF([2]Entry!$R$1237="","",[2]Entry!$R$1237)</f>
        <v/>
      </c>
    </row>
    <row r="1235">
      <c r="J1235">
        <f>IF([2]Entry!$C$1238="","",[2]Entry!$C$1238)</f>
        <v/>
      </c>
      <c r="K1235">
        <f>IF([2]Entry!$D$1238="","",[2]Entry!$D$1238)</f>
        <v/>
      </c>
      <c r="L1235">
        <f>IF([2]Entry!$E$1238="","",[2]Entry!$E$1238)</f>
        <v/>
      </c>
      <c r="M1235">
        <f>IF([2]Entry!$G$1238="","",[2]Entry!$G$1238)</f>
        <v/>
      </c>
      <c r="N1235">
        <f>IF([2]Entry!$M$1238="","",[2]Entry!$M$1238)</f>
        <v/>
      </c>
      <c r="O1235">
        <f>IF([2]Entry!$N$1238="","",[2]Entry!$N$1238)</f>
        <v/>
      </c>
      <c r="P1235">
        <f>IF([2]Entry!$R$1238="","",[2]Entry!$R$1238)</f>
        <v/>
      </c>
    </row>
    <row r="1236">
      <c r="J1236">
        <f>IF([2]Entry!$C$1239="","",[2]Entry!$C$1239)</f>
        <v/>
      </c>
      <c r="K1236">
        <f>IF([2]Entry!$D$1239="","",[2]Entry!$D$1239)</f>
        <v/>
      </c>
      <c r="L1236">
        <f>IF([2]Entry!$E$1239="","",[2]Entry!$E$1239)</f>
        <v/>
      </c>
      <c r="M1236">
        <f>IF([2]Entry!$G$1239="","",[2]Entry!$G$1239)</f>
        <v/>
      </c>
      <c r="N1236">
        <f>IF([2]Entry!$M$1239="","",[2]Entry!$M$1239)</f>
        <v/>
      </c>
      <c r="O1236">
        <f>IF([2]Entry!$N$1239="","",[2]Entry!$N$1239)</f>
        <v/>
      </c>
      <c r="P1236">
        <f>IF([2]Entry!$R$1239="","",[2]Entry!$R$1239)</f>
        <v/>
      </c>
    </row>
    <row r="1237">
      <c r="J1237">
        <f>IF([2]Entry!$C$1240="","",[2]Entry!$C$1240)</f>
        <v/>
      </c>
      <c r="K1237">
        <f>IF([2]Entry!$D$1240="","",[2]Entry!$D$1240)</f>
        <v/>
      </c>
      <c r="L1237">
        <f>IF([2]Entry!$E$1240="","",[2]Entry!$E$1240)</f>
        <v/>
      </c>
      <c r="M1237">
        <f>IF([2]Entry!$G$1240="","",[2]Entry!$G$1240)</f>
        <v/>
      </c>
      <c r="N1237">
        <f>IF([2]Entry!$M$1240="","",[2]Entry!$M$1240)</f>
        <v/>
      </c>
      <c r="O1237">
        <f>IF([2]Entry!$N$1240="","",[2]Entry!$N$1240)</f>
        <v/>
      </c>
      <c r="P1237">
        <f>IF([2]Entry!$R$1240="","",[2]Entry!$R$1240)</f>
        <v/>
      </c>
    </row>
    <row r="1238">
      <c r="J1238">
        <f>IF([2]Entry!$C$1241="","",[2]Entry!$C$1241)</f>
        <v/>
      </c>
      <c r="K1238">
        <f>IF([2]Entry!$D$1241="","",[2]Entry!$D$1241)</f>
        <v/>
      </c>
      <c r="L1238">
        <f>IF([2]Entry!$E$1241="","",[2]Entry!$E$1241)</f>
        <v/>
      </c>
      <c r="M1238">
        <f>IF([2]Entry!$G$1241="","",[2]Entry!$G$1241)</f>
        <v/>
      </c>
      <c r="N1238">
        <f>IF([2]Entry!$M$1241="","",[2]Entry!$M$1241)</f>
        <v/>
      </c>
      <c r="O1238">
        <f>IF([2]Entry!$N$1241="","",[2]Entry!$N$1241)</f>
        <v/>
      </c>
      <c r="P1238">
        <f>IF([2]Entry!$R$1241="","",[2]Entry!$R$1241)</f>
        <v/>
      </c>
    </row>
    <row r="1239">
      <c r="J1239">
        <f>IF([2]Entry!$C$1242="","",[2]Entry!$C$1242)</f>
        <v/>
      </c>
      <c r="K1239">
        <f>IF([2]Entry!$D$1242="","",[2]Entry!$D$1242)</f>
        <v/>
      </c>
      <c r="L1239">
        <f>IF([2]Entry!$E$1242="","",[2]Entry!$E$1242)</f>
        <v/>
      </c>
      <c r="M1239">
        <f>IF([2]Entry!$G$1242="","",[2]Entry!$G$1242)</f>
        <v/>
      </c>
      <c r="N1239">
        <f>IF([2]Entry!$M$1242="","",[2]Entry!$M$1242)</f>
        <v/>
      </c>
      <c r="O1239">
        <f>IF([2]Entry!$N$1242="","",[2]Entry!$N$1242)</f>
        <v/>
      </c>
      <c r="P1239">
        <f>IF([2]Entry!$R$1242="","",[2]Entry!$R$1242)</f>
        <v/>
      </c>
    </row>
    <row r="1240">
      <c r="J1240">
        <f>IF([2]Entry!$C$1243="","",[2]Entry!$C$1243)</f>
        <v/>
      </c>
      <c r="K1240">
        <f>IF([2]Entry!$D$1243="","",[2]Entry!$D$1243)</f>
        <v/>
      </c>
      <c r="L1240">
        <f>IF([2]Entry!$E$1243="","",[2]Entry!$E$1243)</f>
        <v/>
      </c>
      <c r="M1240">
        <f>IF([2]Entry!$G$1243="","",[2]Entry!$G$1243)</f>
        <v/>
      </c>
      <c r="N1240">
        <f>IF([2]Entry!$M$1243="","",[2]Entry!$M$1243)</f>
        <v/>
      </c>
      <c r="O1240">
        <f>IF([2]Entry!$N$1243="","",[2]Entry!$N$1243)</f>
        <v/>
      </c>
      <c r="P1240">
        <f>IF([2]Entry!$R$1243="","",[2]Entry!$R$1243)</f>
        <v/>
      </c>
    </row>
    <row r="1241">
      <c r="J1241">
        <f>IF([2]Entry!$C$1244="","",[2]Entry!$C$1244)</f>
        <v/>
      </c>
      <c r="K1241">
        <f>IF([2]Entry!$D$1244="","",[2]Entry!$D$1244)</f>
        <v/>
      </c>
      <c r="L1241">
        <f>IF([2]Entry!$E$1244="","",[2]Entry!$E$1244)</f>
        <v/>
      </c>
      <c r="M1241">
        <f>IF([2]Entry!$G$1244="","",[2]Entry!$G$1244)</f>
        <v/>
      </c>
      <c r="N1241">
        <f>IF([2]Entry!$M$1244="","",[2]Entry!$M$1244)</f>
        <v/>
      </c>
      <c r="O1241">
        <f>IF([2]Entry!$N$1244="","",[2]Entry!$N$1244)</f>
        <v/>
      </c>
      <c r="P1241">
        <f>IF([2]Entry!$R$1244="","",[2]Entry!$R$1244)</f>
        <v/>
      </c>
    </row>
    <row r="1242">
      <c r="J1242">
        <f>IF([2]Entry!$C$1245="","",[2]Entry!$C$1245)</f>
        <v/>
      </c>
      <c r="K1242">
        <f>IF([2]Entry!$D$1245="","",[2]Entry!$D$1245)</f>
        <v/>
      </c>
      <c r="L1242">
        <f>IF([2]Entry!$E$1245="","",[2]Entry!$E$1245)</f>
        <v/>
      </c>
      <c r="M1242">
        <f>IF([2]Entry!$G$1245="","",[2]Entry!$G$1245)</f>
        <v/>
      </c>
      <c r="N1242">
        <f>IF([2]Entry!$M$1245="","",[2]Entry!$M$1245)</f>
        <v/>
      </c>
      <c r="O1242">
        <f>IF([2]Entry!$N$1245="","",[2]Entry!$N$1245)</f>
        <v/>
      </c>
      <c r="P1242">
        <f>IF([2]Entry!$R$1245="","",[2]Entry!$R$1245)</f>
        <v/>
      </c>
    </row>
    <row r="1243">
      <c r="J1243">
        <f>IF([2]Entry!$C$1246="","",[2]Entry!$C$1246)</f>
        <v/>
      </c>
      <c r="K1243">
        <f>IF([2]Entry!$D$1246="","",[2]Entry!$D$1246)</f>
        <v/>
      </c>
      <c r="L1243">
        <f>IF([2]Entry!$E$1246="","",[2]Entry!$E$1246)</f>
        <v/>
      </c>
      <c r="M1243">
        <f>IF([2]Entry!$G$1246="","",[2]Entry!$G$1246)</f>
        <v/>
      </c>
      <c r="N1243">
        <f>IF([2]Entry!$M$1246="","",[2]Entry!$M$1246)</f>
        <v/>
      </c>
      <c r="O1243">
        <f>IF([2]Entry!$N$1246="","",[2]Entry!$N$1246)</f>
        <v/>
      </c>
      <c r="P1243">
        <f>IF([2]Entry!$R$1246="","",[2]Entry!$R$1246)</f>
        <v/>
      </c>
    </row>
    <row r="1244">
      <c r="J1244">
        <f>IF([2]Entry!$C$1247="","",[2]Entry!$C$1247)</f>
        <v/>
      </c>
      <c r="K1244">
        <f>IF([2]Entry!$D$1247="","",[2]Entry!$D$1247)</f>
        <v/>
      </c>
      <c r="L1244">
        <f>IF([2]Entry!$E$1247="","",[2]Entry!$E$1247)</f>
        <v/>
      </c>
      <c r="M1244">
        <f>IF([2]Entry!$G$1247="","",[2]Entry!$G$1247)</f>
        <v/>
      </c>
      <c r="N1244">
        <f>IF([2]Entry!$M$1247="","",[2]Entry!$M$1247)</f>
        <v/>
      </c>
      <c r="O1244">
        <f>IF([2]Entry!$N$1247="","",[2]Entry!$N$1247)</f>
        <v/>
      </c>
      <c r="P1244">
        <f>IF([2]Entry!$R$1247="","",[2]Entry!$R$1247)</f>
        <v/>
      </c>
    </row>
    <row r="1245">
      <c r="J1245">
        <f>IF([2]Entry!$C$1248="","",[2]Entry!$C$1248)</f>
        <v/>
      </c>
      <c r="K1245">
        <f>IF([2]Entry!$D$1248="","",[2]Entry!$D$1248)</f>
        <v/>
      </c>
      <c r="L1245">
        <f>IF([2]Entry!$E$1248="","",[2]Entry!$E$1248)</f>
        <v/>
      </c>
      <c r="M1245">
        <f>IF([2]Entry!$G$1248="","",[2]Entry!$G$1248)</f>
        <v/>
      </c>
      <c r="N1245">
        <f>IF([2]Entry!$M$1248="","",[2]Entry!$M$1248)</f>
        <v/>
      </c>
      <c r="O1245">
        <f>IF([2]Entry!$N$1248="","",[2]Entry!$N$1248)</f>
        <v/>
      </c>
      <c r="P1245">
        <f>IF([2]Entry!$R$1248="","",[2]Entry!$R$1248)</f>
        <v/>
      </c>
    </row>
    <row r="1246">
      <c r="J1246">
        <f>IF([2]Entry!$C$1249="","",[2]Entry!$C$1249)</f>
        <v/>
      </c>
      <c r="K1246">
        <f>IF([2]Entry!$D$1249="","",[2]Entry!$D$1249)</f>
        <v/>
      </c>
      <c r="L1246">
        <f>IF([2]Entry!$E$1249="","",[2]Entry!$E$1249)</f>
        <v/>
      </c>
      <c r="M1246">
        <f>IF([2]Entry!$G$1249="","",[2]Entry!$G$1249)</f>
        <v/>
      </c>
      <c r="N1246">
        <f>IF([2]Entry!$M$1249="","",[2]Entry!$M$1249)</f>
        <v/>
      </c>
      <c r="O1246">
        <f>IF([2]Entry!$N$1249="","",[2]Entry!$N$1249)</f>
        <v/>
      </c>
      <c r="P1246">
        <f>IF([2]Entry!$R$1249="","",[2]Entry!$R$1249)</f>
        <v/>
      </c>
    </row>
    <row r="1247">
      <c r="J1247">
        <f>IF([2]Entry!$C$1250="","",[2]Entry!$C$1250)</f>
        <v/>
      </c>
      <c r="K1247">
        <f>IF([2]Entry!$D$1250="","",[2]Entry!$D$1250)</f>
        <v/>
      </c>
      <c r="L1247">
        <f>IF([2]Entry!$E$1250="","",[2]Entry!$E$1250)</f>
        <v/>
      </c>
      <c r="M1247">
        <f>IF([2]Entry!$G$1250="","",[2]Entry!$G$1250)</f>
        <v/>
      </c>
      <c r="N1247">
        <f>IF([2]Entry!$M$1250="","",[2]Entry!$M$1250)</f>
        <v/>
      </c>
      <c r="O1247">
        <f>IF([2]Entry!$N$1250="","",[2]Entry!$N$1250)</f>
        <v/>
      </c>
      <c r="P1247">
        <f>IF([2]Entry!$R$1250="","",[2]Entry!$R$1250)</f>
        <v/>
      </c>
    </row>
    <row r="1248">
      <c r="J1248">
        <f>IF([2]Entry!$C$1251="","",[2]Entry!$C$1251)</f>
        <v/>
      </c>
      <c r="K1248">
        <f>IF([2]Entry!$D$1251="","",[2]Entry!$D$1251)</f>
        <v/>
      </c>
      <c r="L1248">
        <f>IF([2]Entry!$E$1251="","",[2]Entry!$E$1251)</f>
        <v/>
      </c>
      <c r="M1248">
        <f>IF([2]Entry!$G$1251="","",[2]Entry!$G$1251)</f>
        <v/>
      </c>
      <c r="N1248">
        <f>IF([2]Entry!$M$1251="","",[2]Entry!$M$1251)</f>
        <v/>
      </c>
      <c r="O1248">
        <f>IF([2]Entry!$N$1251="","",[2]Entry!$N$1251)</f>
        <v/>
      </c>
      <c r="P1248">
        <f>IF([2]Entry!$R$1251="","",[2]Entry!$R$1251)</f>
        <v/>
      </c>
    </row>
    <row r="1249">
      <c r="J1249">
        <f>IF([2]Entry!$C$1252="","",[2]Entry!$C$1252)</f>
        <v/>
      </c>
      <c r="K1249">
        <f>IF([2]Entry!$D$1252="","",[2]Entry!$D$1252)</f>
        <v/>
      </c>
      <c r="L1249">
        <f>IF([2]Entry!$E$1252="","",[2]Entry!$E$1252)</f>
        <v/>
      </c>
      <c r="M1249">
        <f>IF([2]Entry!$G$1252="","",[2]Entry!$G$1252)</f>
        <v/>
      </c>
      <c r="N1249">
        <f>IF([2]Entry!$M$1252="","",[2]Entry!$M$1252)</f>
        <v/>
      </c>
      <c r="O1249">
        <f>IF([2]Entry!$N$1252="","",[2]Entry!$N$1252)</f>
        <v/>
      </c>
      <c r="P1249">
        <f>IF([2]Entry!$R$1252="","",[2]Entry!$R$1252)</f>
        <v/>
      </c>
    </row>
    <row r="1250">
      <c r="J1250">
        <f>IF([2]Entry!$C$1253="","",[2]Entry!$C$1253)</f>
        <v/>
      </c>
      <c r="K1250">
        <f>IF([2]Entry!$D$1253="","",[2]Entry!$D$1253)</f>
        <v/>
      </c>
      <c r="L1250">
        <f>IF([2]Entry!$E$1253="","",[2]Entry!$E$1253)</f>
        <v/>
      </c>
      <c r="M1250">
        <f>IF([2]Entry!$G$1253="","",[2]Entry!$G$1253)</f>
        <v/>
      </c>
      <c r="N1250">
        <f>IF([2]Entry!$M$1253="","",[2]Entry!$M$1253)</f>
        <v/>
      </c>
      <c r="O1250">
        <f>IF([2]Entry!$N$1253="","",[2]Entry!$N$1253)</f>
        <v/>
      </c>
      <c r="P1250">
        <f>IF([2]Entry!$R$1253="","",[2]Entry!$R$1253)</f>
        <v/>
      </c>
    </row>
    <row r="1251">
      <c r="J1251">
        <f>IF([2]Entry!$C$1254="","",[2]Entry!$C$1254)</f>
        <v/>
      </c>
      <c r="K1251">
        <f>IF([2]Entry!$D$1254="","",[2]Entry!$D$1254)</f>
        <v/>
      </c>
      <c r="L1251">
        <f>IF([2]Entry!$E$1254="","",[2]Entry!$E$1254)</f>
        <v/>
      </c>
      <c r="M1251">
        <f>IF([2]Entry!$G$1254="","",[2]Entry!$G$1254)</f>
        <v/>
      </c>
      <c r="N1251">
        <f>IF([2]Entry!$M$1254="","",[2]Entry!$M$1254)</f>
        <v/>
      </c>
      <c r="O1251">
        <f>IF([2]Entry!$N$1254="","",[2]Entry!$N$1254)</f>
        <v/>
      </c>
      <c r="P1251">
        <f>IF([2]Entry!$R$1254="","",[2]Entry!$R$1254)</f>
        <v/>
      </c>
    </row>
    <row r="1252">
      <c r="J1252">
        <f>IF([2]Entry!$C$1255="","",[2]Entry!$C$1255)</f>
        <v/>
      </c>
      <c r="K1252">
        <f>IF([2]Entry!$D$1255="","",[2]Entry!$D$1255)</f>
        <v/>
      </c>
      <c r="L1252">
        <f>IF([2]Entry!$E$1255="","",[2]Entry!$E$1255)</f>
        <v/>
      </c>
      <c r="M1252">
        <f>IF([2]Entry!$G$1255="","",[2]Entry!$G$1255)</f>
        <v/>
      </c>
      <c r="N1252">
        <f>IF([2]Entry!$M$1255="","",[2]Entry!$M$1255)</f>
        <v/>
      </c>
      <c r="O1252">
        <f>IF([2]Entry!$N$1255="","",[2]Entry!$N$1255)</f>
        <v/>
      </c>
      <c r="P1252">
        <f>IF([2]Entry!$R$1255="","",[2]Entry!$R$1255)</f>
        <v/>
      </c>
    </row>
    <row r="1253">
      <c r="J1253">
        <f>IF([2]Entry!$C$1256="","",[2]Entry!$C$1256)</f>
        <v/>
      </c>
      <c r="K1253">
        <f>IF([2]Entry!$D$1256="","",[2]Entry!$D$1256)</f>
        <v/>
      </c>
      <c r="L1253">
        <f>IF([2]Entry!$E$1256="","",[2]Entry!$E$1256)</f>
        <v/>
      </c>
      <c r="M1253">
        <f>IF([2]Entry!$G$1256="","",[2]Entry!$G$1256)</f>
        <v/>
      </c>
      <c r="N1253">
        <f>IF([2]Entry!$M$1256="","",[2]Entry!$M$1256)</f>
        <v/>
      </c>
      <c r="O1253">
        <f>IF([2]Entry!$N$1256="","",[2]Entry!$N$1256)</f>
        <v/>
      </c>
      <c r="P1253">
        <f>IF([2]Entry!$R$1256="","",[2]Entry!$R$1256)</f>
        <v/>
      </c>
    </row>
    <row r="1254">
      <c r="J1254">
        <f>IF([2]Entry!$C$1257="","",[2]Entry!$C$1257)</f>
        <v/>
      </c>
      <c r="K1254">
        <f>IF([2]Entry!$D$1257="","",[2]Entry!$D$1257)</f>
        <v/>
      </c>
      <c r="L1254">
        <f>IF([2]Entry!$E$1257="","",[2]Entry!$E$1257)</f>
        <v/>
      </c>
      <c r="M1254">
        <f>IF([2]Entry!$G$1257="","",[2]Entry!$G$1257)</f>
        <v/>
      </c>
      <c r="N1254">
        <f>IF([2]Entry!$M$1257="","",[2]Entry!$M$1257)</f>
        <v/>
      </c>
      <c r="O1254">
        <f>IF([2]Entry!$N$1257="","",[2]Entry!$N$1257)</f>
        <v/>
      </c>
      <c r="P1254">
        <f>IF([2]Entry!$R$1257="","",[2]Entry!$R$1257)</f>
        <v/>
      </c>
    </row>
    <row r="1255">
      <c r="J1255">
        <f>IF([2]Entry!$C$1258="","",[2]Entry!$C$1258)</f>
        <v/>
      </c>
      <c r="K1255">
        <f>IF([2]Entry!$D$1258="","",[2]Entry!$D$1258)</f>
        <v/>
      </c>
      <c r="L1255">
        <f>IF([2]Entry!$E$1258="","",[2]Entry!$E$1258)</f>
        <v/>
      </c>
      <c r="M1255">
        <f>IF([2]Entry!$G$1258="","",[2]Entry!$G$1258)</f>
        <v/>
      </c>
      <c r="N1255">
        <f>IF([2]Entry!$M$1258="","",[2]Entry!$M$1258)</f>
        <v/>
      </c>
      <c r="O1255">
        <f>IF([2]Entry!$N$1258="","",[2]Entry!$N$1258)</f>
        <v/>
      </c>
      <c r="P1255">
        <f>IF([2]Entry!$R$1258="","",[2]Entry!$R$1258)</f>
        <v/>
      </c>
    </row>
    <row r="1256">
      <c r="J1256">
        <f>IF([2]Entry!$C$1259="","",[2]Entry!$C$1259)</f>
        <v/>
      </c>
      <c r="K1256">
        <f>IF([2]Entry!$D$1259="","",[2]Entry!$D$1259)</f>
        <v/>
      </c>
      <c r="L1256">
        <f>IF([2]Entry!$E$1259="","",[2]Entry!$E$1259)</f>
        <v/>
      </c>
      <c r="M1256">
        <f>IF([2]Entry!$G$1259="","",[2]Entry!$G$1259)</f>
        <v/>
      </c>
      <c r="N1256">
        <f>IF([2]Entry!$M$1259="","",[2]Entry!$M$1259)</f>
        <v/>
      </c>
      <c r="O1256">
        <f>IF([2]Entry!$N$1259="","",[2]Entry!$N$1259)</f>
        <v/>
      </c>
      <c r="P1256">
        <f>IF([2]Entry!$R$1259="","",[2]Entry!$R$1259)</f>
        <v/>
      </c>
    </row>
    <row r="1257">
      <c r="J1257">
        <f>IF([2]Entry!$C$1260="","",[2]Entry!$C$1260)</f>
        <v/>
      </c>
      <c r="K1257">
        <f>IF([2]Entry!$D$1260="","",[2]Entry!$D$1260)</f>
        <v/>
      </c>
      <c r="L1257">
        <f>IF([2]Entry!$E$1260="","",[2]Entry!$E$1260)</f>
        <v/>
      </c>
      <c r="M1257">
        <f>IF([2]Entry!$G$1260="","",[2]Entry!$G$1260)</f>
        <v/>
      </c>
      <c r="N1257">
        <f>IF([2]Entry!$M$1260="","",[2]Entry!$M$1260)</f>
        <v/>
      </c>
      <c r="O1257">
        <f>IF([2]Entry!$N$1260="","",[2]Entry!$N$1260)</f>
        <v/>
      </c>
      <c r="P1257">
        <f>IF([2]Entry!$R$1260="","",[2]Entry!$R$1260)</f>
        <v/>
      </c>
    </row>
    <row r="1258">
      <c r="J1258">
        <f>IF([2]Entry!$C$1261="","",[2]Entry!$C$1261)</f>
        <v/>
      </c>
      <c r="K1258">
        <f>IF([2]Entry!$D$1261="","",[2]Entry!$D$1261)</f>
        <v/>
      </c>
      <c r="L1258">
        <f>IF([2]Entry!$E$1261="","",[2]Entry!$E$1261)</f>
        <v/>
      </c>
      <c r="M1258">
        <f>IF([2]Entry!$G$1261="","",[2]Entry!$G$1261)</f>
        <v/>
      </c>
      <c r="N1258">
        <f>IF([2]Entry!$M$1261="","",[2]Entry!$M$1261)</f>
        <v/>
      </c>
      <c r="O1258">
        <f>IF([2]Entry!$N$1261="","",[2]Entry!$N$1261)</f>
        <v/>
      </c>
      <c r="P1258">
        <f>IF([2]Entry!$R$1261="","",[2]Entry!$R$1261)</f>
        <v/>
      </c>
    </row>
    <row r="1259">
      <c r="J1259">
        <f>IF([2]Entry!$C$1262="","",[2]Entry!$C$1262)</f>
        <v/>
      </c>
      <c r="K1259">
        <f>IF([2]Entry!$D$1262="","",[2]Entry!$D$1262)</f>
        <v/>
      </c>
      <c r="L1259">
        <f>IF([2]Entry!$E$1262="","",[2]Entry!$E$1262)</f>
        <v/>
      </c>
      <c r="M1259">
        <f>IF([2]Entry!$G$1262="","",[2]Entry!$G$1262)</f>
        <v/>
      </c>
      <c r="N1259">
        <f>IF([2]Entry!$M$1262="","",[2]Entry!$M$1262)</f>
        <v/>
      </c>
      <c r="O1259">
        <f>IF([2]Entry!$N$1262="","",[2]Entry!$N$1262)</f>
        <v/>
      </c>
      <c r="P1259">
        <f>IF([2]Entry!$R$1262="","",[2]Entry!$R$1262)</f>
        <v/>
      </c>
    </row>
    <row r="1260">
      <c r="J1260">
        <f>IF([2]Entry!$C$1263="","",[2]Entry!$C$1263)</f>
        <v/>
      </c>
      <c r="K1260">
        <f>IF([2]Entry!$D$1263="","",[2]Entry!$D$1263)</f>
        <v/>
      </c>
      <c r="L1260">
        <f>IF([2]Entry!$E$1263="","",[2]Entry!$E$1263)</f>
        <v/>
      </c>
      <c r="M1260">
        <f>IF([2]Entry!$G$1263="","",[2]Entry!$G$1263)</f>
        <v/>
      </c>
      <c r="N1260">
        <f>IF([2]Entry!$M$1263="","",[2]Entry!$M$1263)</f>
        <v/>
      </c>
      <c r="O1260">
        <f>IF([2]Entry!$N$1263="","",[2]Entry!$N$1263)</f>
        <v/>
      </c>
      <c r="P1260">
        <f>IF([2]Entry!$R$1263="","",[2]Entry!$R$1263)</f>
        <v/>
      </c>
    </row>
    <row r="1261">
      <c r="J1261">
        <f>IF([2]Entry!$C$1264="","",[2]Entry!$C$1264)</f>
        <v/>
      </c>
      <c r="K1261">
        <f>IF([2]Entry!$D$1264="","",[2]Entry!$D$1264)</f>
        <v/>
      </c>
      <c r="L1261">
        <f>IF([2]Entry!$E$1264="","",[2]Entry!$E$1264)</f>
        <v/>
      </c>
      <c r="M1261">
        <f>IF([2]Entry!$G$1264="","",[2]Entry!$G$1264)</f>
        <v/>
      </c>
      <c r="N1261">
        <f>IF([2]Entry!$M$1264="","",[2]Entry!$M$1264)</f>
        <v/>
      </c>
      <c r="O1261">
        <f>IF([2]Entry!$N$1264="","",[2]Entry!$N$1264)</f>
        <v/>
      </c>
      <c r="P1261">
        <f>IF([2]Entry!$R$1264="","",[2]Entry!$R$1264)</f>
        <v/>
      </c>
    </row>
    <row r="1262">
      <c r="J1262">
        <f>IF([2]Entry!$C$1265="","",[2]Entry!$C$1265)</f>
        <v/>
      </c>
      <c r="K1262">
        <f>IF([2]Entry!$D$1265="","",[2]Entry!$D$1265)</f>
        <v/>
      </c>
      <c r="L1262">
        <f>IF([2]Entry!$E$1265="","",[2]Entry!$E$1265)</f>
        <v/>
      </c>
      <c r="M1262">
        <f>IF([2]Entry!$G$1265="","",[2]Entry!$G$1265)</f>
        <v/>
      </c>
      <c r="N1262">
        <f>IF([2]Entry!$M$1265="","",[2]Entry!$M$1265)</f>
        <v/>
      </c>
      <c r="O1262">
        <f>IF([2]Entry!$N$1265="","",[2]Entry!$N$1265)</f>
        <v/>
      </c>
      <c r="P1262">
        <f>IF([2]Entry!$R$1265="","",[2]Entry!$R$1265)</f>
        <v/>
      </c>
    </row>
    <row r="1263">
      <c r="J1263">
        <f>IF([2]Entry!$C$1266="","",[2]Entry!$C$1266)</f>
        <v/>
      </c>
      <c r="K1263">
        <f>IF([2]Entry!$D$1266="","",[2]Entry!$D$1266)</f>
        <v/>
      </c>
      <c r="L1263">
        <f>IF([2]Entry!$E$1266="","",[2]Entry!$E$1266)</f>
        <v/>
      </c>
      <c r="M1263">
        <f>IF([2]Entry!$G$1266="","",[2]Entry!$G$1266)</f>
        <v/>
      </c>
      <c r="N1263">
        <f>IF([2]Entry!$M$1266="","",[2]Entry!$M$1266)</f>
        <v/>
      </c>
      <c r="O1263">
        <f>IF([2]Entry!$N$1266="","",[2]Entry!$N$1266)</f>
        <v/>
      </c>
      <c r="P1263">
        <f>IF([2]Entry!$R$1266="","",[2]Entry!$R$1266)</f>
        <v/>
      </c>
    </row>
    <row r="1264">
      <c r="J1264">
        <f>IF([2]Entry!$C$1267="","",[2]Entry!$C$1267)</f>
        <v/>
      </c>
      <c r="K1264">
        <f>IF([2]Entry!$D$1267="","",[2]Entry!$D$1267)</f>
        <v/>
      </c>
      <c r="L1264">
        <f>IF([2]Entry!$E$1267="","",[2]Entry!$E$1267)</f>
        <v/>
      </c>
      <c r="M1264">
        <f>IF([2]Entry!$G$1267="","",[2]Entry!$G$1267)</f>
        <v/>
      </c>
      <c r="N1264">
        <f>IF([2]Entry!$M$1267="","",[2]Entry!$M$1267)</f>
        <v/>
      </c>
      <c r="O1264">
        <f>IF([2]Entry!$N$1267="","",[2]Entry!$N$1267)</f>
        <v/>
      </c>
      <c r="P1264">
        <f>IF([2]Entry!$R$1267="","",[2]Entry!$R$1267)</f>
        <v/>
      </c>
    </row>
    <row r="1265">
      <c r="J1265">
        <f>IF([2]Entry!$C$1268="","",[2]Entry!$C$1268)</f>
        <v/>
      </c>
      <c r="K1265">
        <f>IF([2]Entry!$D$1268="","",[2]Entry!$D$1268)</f>
        <v/>
      </c>
      <c r="L1265">
        <f>IF([2]Entry!$E$1268="","",[2]Entry!$E$1268)</f>
        <v/>
      </c>
      <c r="M1265">
        <f>IF([2]Entry!$G$1268="","",[2]Entry!$G$1268)</f>
        <v/>
      </c>
      <c r="N1265">
        <f>IF([2]Entry!$M$1268="","",[2]Entry!$M$1268)</f>
        <v/>
      </c>
      <c r="O1265">
        <f>IF([2]Entry!$N$1268="","",[2]Entry!$N$1268)</f>
        <v/>
      </c>
      <c r="P1265">
        <f>IF([2]Entry!$R$1268="","",[2]Entry!$R$1268)</f>
        <v/>
      </c>
    </row>
    <row r="1266">
      <c r="J1266">
        <f>IF([2]Entry!$C$1269="","",[2]Entry!$C$1269)</f>
        <v/>
      </c>
      <c r="K1266">
        <f>IF([2]Entry!$D$1269="","",[2]Entry!$D$1269)</f>
        <v/>
      </c>
      <c r="L1266">
        <f>IF([2]Entry!$E$1269="","",[2]Entry!$E$1269)</f>
        <v/>
      </c>
      <c r="M1266">
        <f>IF([2]Entry!$G$1269="","",[2]Entry!$G$1269)</f>
        <v/>
      </c>
      <c r="N1266">
        <f>IF([2]Entry!$M$1269="","",[2]Entry!$M$1269)</f>
        <v/>
      </c>
      <c r="O1266">
        <f>IF([2]Entry!$N$1269="","",[2]Entry!$N$1269)</f>
        <v/>
      </c>
      <c r="P1266">
        <f>IF([2]Entry!$R$1269="","",[2]Entry!$R$1269)</f>
        <v/>
      </c>
    </row>
    <row r="1267">
      <c r="J1267">
        <f>IF([2]Entry!$C$1270="","",[2]Entry!$C$1270)</f>
        <v/>
      </c>
      <c r="K1267">
        <f>IF([2]Entry!$D$1270="","",[2]Entry!$D$1270)</f>
        <v/>
      </c>
      <c r="L1267">
        <f>IF([2]Entry!$E$1270="","",[2]Entry!$E$1270)</f>
        <v/>
      </c>
      <c r="M1267">
        <f>IF([2]Entry!$G$1270="","",[2]Entry!$G$1270)</f>
        <v/>
      </c>
      <c r="N1267">
        <f>IF([2]Entry!$M$1270="","",[2]Entry!$M$1270)</f>
        <v/>
      </c>
      <c r="O1267">
        <f>IF([2]Entry!$N$1270="","",[2]Entry!$N$1270)</f>
        <v/>
      </c>
      <c r="P1267">
        <f>IF([2]Entry!$R$1270="","",[2]Entry!$R$1270)</f>
        <v/>
      </c>
    </row>
    <row r="1268">
      <c r="J1268">
        <f>IF([2]Entry!$C$1271="","",[2]Entry!$C$1271)</f>
        <v/>
      </c>
      <c r="K1268">
        <f>IF([2]Entry!$D$1271="","",[2]Entry!$D$1271)</f>
        <v/>
      </c>
      <c r="L1268">
        <f>IF([2]Entry!$E$1271="","",[2]Entry!$E$1271)</f>
        <v/>
      </c>
      <c r="M1268">
        <f>IF([2]Entry!$G$1271="","",[2]Entry!$G$1271)</f>
        <v/>
      </c>
      <c r="N1268">
        <f>IF([2]Entry!$M$1271="","",[2]Entry!$M$1271)</f>
        <v/>
      </c>
      <c r="O1268">
        <f>IF([2]Entry!$N$1271="","",[2]Entry!$N$1271)</f>
        <v/>
      </c>
      <c r="P1268">
        <f>IF([2]Entry!$R$1271="","",[2]Entry!$R$1271)</f>
        <v/>
      </c>
    </row>
    <row r="1269">
      <c r="J1269">
        <f>IF([2]Entry!$C$1272="","",[2]Entry!$C$1272)</f>
        <v/>
      </c>
      <c r="K1269">
        <f>IF([2]Entry!$D$1272="","",[2]Entry!$D$1272)</f>
        <v/>
      </c>
      <c r="L1269">
        <f>IF([2]Entry!$E$1272="","",[2]Entry!$E$1272)</f>
        <v/>
      </c>
      <c r="M1269">
        <f>IF([2]Entry!$G$1272="","",[2]Entry!$G$1272)</f>
        <v/>
      </c>
      <c r="N1269">
        <f>IF([2]Entry!$M$1272="","",[2]Entry!$M$1272)</f>
        <v/>
      </c>
      <c r="O1269">
        <f>IF([2]Entry!$N$1272="","",[2]Entry!$N$1272)</f>
        <v/>
      </c>
      <c r="P1269">
        <f>IF([2]Entry!$R$1272="","",[2]Entry!$R$1272)</f>
        <v/>
      </c>
    </row>
    <row r="1270">
      <c r="J1270">
        <f>IF([2]Entry!$C$1273="","",[2]Entry!$C$1273)</f>
        <v/>
      </c>
      <c r="K1270">
        <f>IF([2]Entry!$D$1273="","",[2]Entry!$D$1273)</f>
        <v/>
      </c>
      <c r="L1270">
        <f>IF([2]Entry!$E$1273="","",[2]Entry!$E$1273)</f>
        <v/>
      </c>
      <c r="M1270">
        <f>IF([2]Entry!$G$1273="","",[2]Entry!$G$1273)</f>
        <v/>
      </c>
      <c r="N1270">
        <f>IF([2]Entry!$M$1273="","",[2]Entry!$M$1273)</f>
        <v/>
      </c>
      <c r="O1270">
        <f>IF([2]Entry!$N$1273="","",[2]Entry!$N$1273)</f>
        <v/>
      </c>
      <c r="P1270">
        <f>IF([2]Entry!$R$1273="","",[2]Entry!$R$1273)</f>
        <v/>
      </c>
    </row>
    <row r="1271">
      <c r="J1271">
        <f>IF([2]Entry!$C$1274="","",[2]Entry!$C$1274)</f>
        <v/>
      </c>
      <c r="K1271">
        <f>IF([2]Entry!$D$1274="","",[2]Entry!$D$1274)</f>
        <v/>
      </c>
      <c r="L1271">
        <f>IF([2]Entry!$E$1274="","",[2]Entry!$E$1274)</f>
        <v/>
      </c>
      <c r="M1271">
        <f>IF([2]Entry!$G$1274="","",[2]Entry!$G$1274)</f>
        <v/>
      </c>
      <c r="N1271">
        <f>IF([2]Entry!$M$1274="","",[2]Entry!$M$1274)</f>
        <v/>
      </c>
      <c r="O1271">
        <f>IF([2]Entry!$N$1274="","",[2]Entry!$N$1274)</f>
        <v/>
      </c>
      <c r="P1271">
        <f>IF([2]Entry!$R$1274="","",[2]Entry!$R$1274)</f>
        <v/>
      </c>
    </row>
    <row r="1272">
      <c r="J1272">
        <f>IF([2]Entry!$C$1275="","",[2]Entry!$C$1275)</f>
        <v/>
      </c>
      <c r="K1272">
        <f>IF([2]Entry!$D$1275="","",[2]Entry!$D$1275)</f>
        <v/>
      </c>
      <c r="L1272">
        <f>IF([2]Entry!$E$1275="","",[2]Entry!$E$1275)</f>
        <v/>
      </c>
      <c r="M1272">
        <f>IF([2]Entry!$G$1275="","",[2]Entry!$G$1275)</f>
        <v/>
      </c>
      <c r="N1272">
        <f>IF([2]Entry!$M$1275="","",[2]Entry!$M$1275)</f>
        <v/>
      </c>
      <c r="O1272">
        <f>IF([2]Entry!$N$1275="","",[2]Entry!$N$1275)</f>
        <v/>
      </c>
      <c r="P1272">
        <f>IF([2]Entry!$R$1275="","",[2]Entry!$R$1275)</f>
        <v/>
      </c>
    </row>
    <row r="1273">
      <c r="J1273">
        <f>IF([2]Entry!$C$1276="","",[2]Entry!$C$1276)</f>
        <v/>
      </c>
      <c r="K1273">
        <f>IF([2]Entry!$D$1276="","",[2]Entry!$D$1276)</f>
        <v/>
      </c>
      <c r="L1273">
        <f>IF([2]Entry!$E$1276="","",[2]Entry!$E$1276)</f>
        <v/>
      </c>
      <c r="M1273">
        <f>IF([2]Entry!$G$1276="","",[2]Entry!$G$1276)</f>
        <v/>
      </c>
      <c r="N1273">
        <f>IF([2]Entry!$M$1276="","",[2]Entry!$M$1276)</f>
        <v/>
      </c>
      <c r="O1273">
        <f>IF([2]Entry!$N$1276="","",[2]Entry!$N$1276)</f>
        <v/>
      </c>
      <c r="P1273">
        <f>IF([2]Entry!$R$1276="","",[2]Entry!$R$1276)</f>
        <v/>
      </c>
    </row>
    <row r="1274">
      <c r="J1274">
        <f>IF([2]Entry!$C$1277="","",[2]Entry!$C$1277)</f>
        <v/>
      </c>
      <c r="K1274">
        <f>IF([2]Entry!$D$1277="","",[2]Entry!$D$1277)</f>
        <v/>
      </c>
      <c r="L1274">
        <f>IF([2]Entry!$E$1277="","",[2]Entry!$E$1277)</f>
        <v/>
      </c>
      <c r="M1274">
        <f>IF([2]Entry!$G$1277="","",[2]Entry!$G$1277)</f>
        <v/>
      </c>
      <c r="N1274">
        <f>IF([2]Entry!$M$1277="","",[2]Entry!$M$1277)</f>
        <v/>
      </c>
      <c r="O1274">
        <f>IF([2]Entry!$N$1277="","",[2]Entry!$N$1277)</f>
        <v/>
      </c>
      <c r="P1274">
        <f>IF([2]Entry!$R$1277="","",[2]Entry!$R$1277)</f>
        <v/>
      </c>
    </row>
    <row r="1275">
      <c r="J1275">
        <f>IF([2]Entry!$C$1278="","",[2]Entry!$C$1278)</f>
        <v/>
      </c>
      <c r="K1275">
        <f>IF([2]Entry!$D$1278="","",[2]Entry!$D$1278)</f>
        <v/>
      </c>
      <c r="L1275">
        <f>IF([2]Entry!$E$1278="","",[2]Entry!$E$1278)</f>
        <v/>
      </c>
      <c r="M1275">
        <f>IF([2]Entry!$G$1278="","",[2]Entry!$G$1278)</f>
        <v/>
      </c>
      <c r="N1275">
        <f>IF([2]Entry!$M$1278="","",[2]Entry!$M$1278)</f>
        <v/>
      </c>
      <c r="O1275">
        <f>IF([2]Entry!$N$1278="","",[2]Entry!$N$1278)</f>
        <v/>
      </c>
      <c r="P1275">
        <f>IF([2]Entry!$R$1278="","",[2]Entry!$R$1278)</f>
        <v/>
      </c>
    </row>
    <row r="1276">
      <c r="J1276">
        <f>IF([2]Entry!$C$1279="","",[2]Entry!$C$1279)</f>
        <v/>
      </c>
      <c r="K1276">
        <f>IF([2]Entry!$D$1279="","",[2]Entry!$D$1279)</f>
        <v/>
      </c>
      <c r="L1276">
        <f>IF([2]Entry!$E$1279="","",[2]Entry!$E$1279)</f>
        <v/>
      </c>
      <c r="M1276">
        <f>IF([2]Entry!$G$1279="","",[2]Entry!$G$1279)</f>
        <v/>
      </c>
      <c r="N1276">
        <f>IF([2]Entry!$M$1279="","",[2]Entry!$M$1279)</f>
        <v/>
      </c>
      <c r="O1276">
        <f>IF([2]Entry!$N$1279="","",[2]Entry!$N$1279)</f>
        <v/>
      </c>
      <c r="P1276">
        <f>IF([2]Entry!$R$1279="","",[2]Entry!$R$1279)</f>
        <v/>
      </c>
    </row>
    <row r="1277">
      <c r="J1277">
        <f>IF([2]Entry!$C$1280="","",[2]Entry!$C$1280)</f>
        <v/>
      </c>
      <c r="K1277">
        <f>IF([2]Entry!$D$1280="","",[2]Entry!$D$1280)</f>
        <v/>
      </c>
      <c r="L1277">
        <f>IF([2]Entry!$E$1280="","",[2]Entry!$E$1280)</f>
        <v/>
      </c>
      <c r="M1277">
        <f>IF([2]Entry!$G$1280="","",[2]Entry!$G$1280)</f>
        <v/>
      </c>
      <c r="N1277">
        <f>IF([2]Entry!$M$1280="","",[2]Entry!$M$1280)</f>
        <v/>
      </c>
      <c r="O1277">
        <f>IF([2]Entry!$N$1280="","",[2]Entry!$N$1280)</f>
        <v/>
      </c>
      <c r="P1277">
        <f>IF([2]Entry!$R$1280="","",[2]Entry!$R$1280)</f>
        <v/>
      </c>
    </row>
    <row r="1278">
      <c r="J1278">
        <f>IF([2]Entry!$C$1281="","",[2]Entry!$C$1281)</f>
        <v/>
      </c>
      <c r="K1278">
        <f>IF([2]Entry!$D$1281="","",[2]Entry!$D$1281)</f>
        <v/>
      </c>
      <c r="L1278">
        <f>IF([2]Entry!$E$1281="","",[2]Entry!$E$1281)</f>
        <v/>
      </c>
      <c r="M1278">
        <f>IF([2]Entry!$G$1281="","",[2]Entry!$G$1281)</f>
        <v/>
      </c>
      <c r="N1278">
        <f>IF([2]Entry!$M$1281="","",[2]Entry!$M$1281)</f>
        <v/>
      </c>
      <c r="O1278">
        <f>IF([2]Entry!$N$1281="","",[2]Entry!$N$1281)</f>
        <v/>
      </c>
      <c r="P1278">
        <f>IF([2]Entry!$R$1281="","",[2]Entry!$R$1281)</f>
        <v/>
      </c>
    </row>
    <row r="1279">
      <c r="J1279">
        <f>IF([2]Entry!$C$1282="","",[2]Entry!$C$1282)</f>
        <v/>
      </c>
      <c r="K1279">
        <f>IF([2]Entry!$D$1282="","",[2]Entry!$D$1282)</f>
        <v/>
      </c>
      <c r="L1279">
        <f>IF([2]Entry!$E$1282="","",[2]Entry!$E$1282)</f>
        <v/>
      </c>
      <c r="M1279">
        <f>IF([2]Entry!$G$1282="","",[2]Entry!$G$1282)</f>
        <v/>
      </c>
      <c r="N1279">
        <f>IF([2]Entry!$M$1282="","",[2]Entry!$M$1282)</f>
        <v/>
      </c>
      <c r="O1279">
        <f>IF([2]Entry!$N$1282="","",[2]Entry!$N$1282)</f>
        <v/>
      </c>
      <c r="P1279">
        <f>IF([2]Entry!$R$1282="","",[2]Entry!$R$1282)</f>
        <v/>
      </c>
    </row>
    <row r="1280">
      <c r="J1280">
        <f>IF([2]Entry!$C$1283="","",[2]Entry!$C$1283)</f>
        <v/>
      </c>
      <c r="K1280">
        <f>IF([2]Entry!$D$1283="","",[2]Entry!$D$1283)</f>
        <v/>
      </c>
      <c r="L1280">
        <f>IF([2]Entry!$E$1283="","",[2]Entry!$E$1283)</f>
        <v/>
      </c>
      <c r="M1280">
        <f>IF([2]Entry!$G$1283="","",[2]Entry!$G$1283)</f>
        <v/>
      </c>
      <c r="N1280">
        <f>IF([2]Entry!$M$1283="","",[2]Entry!$M$1283)</f>
        <v/>
      </c>
      <c r="O1280">
        <f>IF([2]Entry!$N$1283="","",[2]Entry!$N$1283)</f>
        <v/>
      </c>
      <c r="P1280">
        <f>IF([2]Entry!$R$1283="","",[2]Entry!$R$1283)</f>
        <v/>
      </c>
    </row>
    <row r="1281">
      <c r="J1281">
        <f>IF([2]Entry!$C$1284="","",[2]Entry!$C$1284)</f>
        <v/>
      </c>
      <c r="K1281">
        <f>IF([2]Entry!$D$1284="","",[2]Entry!$D$1284)</f>
        <v/>
      </c>
      <c r="L1281">
        <f>IF([2]Entry!$E$1284="","",[2]Entry!$E$1284)</f>
        <v/>
      </c>
      <c r="M1281">
        <f>IF([2]Entry!$G$1284="","",[2]Entry!$G$1284)</f>
        <v/>
      </c>
      <c r="N1281">
        <f>IF([2]Entry!$M$1284="","",[2]Entry!$M$1284)</f>
        <v/>
      </c>
      <c r="O1281">
        <f>IF([2]Entry!$N$1284="","",[2]Entry!$N$1284)</f>
        <v/>
      </c>
      <c r="P1281">
        <f>IF([2]Entry!$R$1284="","",[2]Entry!$R$1284)</f>
        <v/>
      </c>
    </row>
    <row r="1282">
      <c r="J1282">
        <f>IF([2]Entry!$C$1285="","",[2]Entry!$C$1285)</f>
        <v/>
      </c>
      <c r="K1282">
        <f>IF([2]Entry!$D$1285="","",[2]Entry!$D$1285)</f>
        <v/>
      </c>
      <c r="L1282">
        <f>IF([2]Entry!$E$1285="","",[2]Entry!$E$1285)</f>
        <v/>
      </c>
      <c r="M1282">
        <f>IF([2]Entry!$G$1285="","",[2]Entry!$G$1285)</f>
        <v/>
      </c>
      <c r="N1282">
        <f>IF([2]Entry!$M$1285="","",[2]Entry!$M$1285)</f>
        <v/>
      </c>
      <c r="O1282">
        <f>IF([2]Entry!$N$1285="","",[2]Entry!$N$1285)</f>
        <v/>
      </c>
      <c r="P1282">
        <f>IF([2]Entry!$R$1285="","",[2]Entry!$R$1285)</f>
        <v/>
      </c>
    </row>
    <row r="1283">
      <c r="J1283">
        <f>IF([2]Entry!$C$1286="","",[2]Entry!$C$1286)</f>
        <v/>
      </c>
      <c r="K1283">
        <f>IF([2]Entry!$D$1286="","",[2]Entry!$D$1286)</f>
        <v/>
      </c>
      <c r="L1283">
        <f>IF([2]Entry!$E$1286="","",[2]Entry!$E$1286)</f>
        <v/>
      </c>
      <c r="M1283">
        <f>IF([2]Entry!$G$1286="","",[2]Entry!$G$1286)</f>
        <v/>
      </c>
      <c r="N1283">
        <f>IF([2]Entry!$M$1286="","",[2]Entry!$M$1286)</f>
        <v/>
      </c>
      <c r="O1283">
        <f>IF([2]Entry!$N$1286="","",[2]Entry!$N$1286)</f>
        <v/>
      </c>
      <c r="P1283">
        <f>IF([2]Entry!$R$1286="","",[2]Entry!$R$1286)</f>
        <v/>
      </c>
    </row>
    <row r="1284">
      <c r="J1284">
        <f>IF([2]Entry!$C$1287="","",[2]Entry!$C$1287)</f>
        <v/>
      </c>
      <c r="K1284">
        <f>IF([2]Entry!$D$1287="","",[2]Entry!$D$1287)</f>
        <v/>
      </c>
      <c r="L1284">
        <f>IF([2]Entry!$E$1287="","",[2]Entry!$E$1287)</f>
        <v/>
      </c>
      <c r="M1284">
        <f>IF([2]Entry!$G$1287="","",[2]Entry!$G$1287)</f>
        <v/>
      </c>
      <c r="N1284">
        <f>IF([2]Entry!$M$1287="","",[2]Entry!$M$1287)</f>
        <v/>
      </c>
      <c r="O1284">
        <f>IF([2]Entry!$N$1287="","",[2]Entry!$N$1287)</f>
        <v/>
      </c>
      <c r="P1284">
        <f>IF([2]Entry!$R$1287="","",[2]Entry!$R$1287)</f>
        <v/>
      </c>
    </row>
    <row r="1285">
      <c r="J1285">
        <f>IF([2]Entry!$C$1288="","",[2]Entry!$C$1288)</f>
        <v/>
      </c>
      <c r="K1285">
        <f>IF([2]Entry!$D$1288="","",[2]Entry!$D$1288)</f>
        <v/>
      </c>
      <c r="L1285">
        <f>IF([2]Entry!$E$1288="","",[2]Entry!$E$1288)</f>
        <v/>
      </c>
      <c r="M1285">
        <f>IF([2]Entry!$G$1288="","",[2]Entry!$G$1288)</f>
        <v/>
      </c>
      <c r="N1285">
        <f>IF([2]Entry!$M$1288="","",[2]Entry!$M$1288)</f>
        <v/>
      </c>
      <c r="O1285">
        <f>IF([2]Entry!$N$1288="","",[2]Entry!$N$1288)</f>
        <v/>
      </c>
      <c r="P1285">
        <f>IF([2]Entry!$R$1288="","",[2]Entry!$R$1288)</f>
        <v/>
      </c>
    </row>
    <row r="1286">
      <c r="J1286">
        <f>IF([2]Entry!$C$1289="","",[2]Entry!$C$1289)</f>
        <v/>
      </c>
      <c r="K1286">
        <f>IF([2]Entry!$D$1289="","",[2]Entry!$D$1289)</f>
        <v/>
      </c>
      <c r="L1286">
        <f>IF([2]Entry!$E$1289="","",[2]Entry!$E$1289)</f>
        <v/>
      </c>
      <c r="M1286">
        <f>IF([2]Entry!$G$1289="","",[2]Entry!$G$1289)</f>
        <v/>
      </c>
      <c r="N1286">
        <f>IF([2]Entry!$M$1289="","",[2]Entry!$M$1289)</f>
        <v/>
      </c>
      <c r="O1286">
        <f>IF([2]Entry!$N$1289="","",[2]Entry!$N$1289)</f>
        <v/>
      </c>
      <c r="P1286">
        <f>IF([2]Entry!$R$1289="","",[2]Entry!$R$1289)</f>
        <v/>
      </c>
    </row>
    <row r="1287">
      <c r="J1287">
        <f>IF([2]Entry!$C$1290="","",[2]Entry!$C$1290)</f>
        <v/>
      </c>
      <c r="K1287">
        <f>IF([2]Entry!$D$1290="","",[2]Entry!$D$1290)</f>
        <v/>
      </c>
      <c r="L1287">
        <f>IF([2]Entry!$E$1290="","",[2]Entry!$E$1290)</f>
        <v/>
      </c>
      <c r="M1287">
        <f>IF([2]Entry!$G$1290="","",[2]Entry!$G$1290)</f>
        <v/>
      </c>
      <c r="N1287">
        <f>IF([2]Entry!$M$1290="","",[2]Entry!$M$1290)</f>
        <v/>
      </c>
      <c r="O1287">
        <f>IF([2]Entry!$N$1290="","",[2]Entry!$N$1290)</f>
        <v/>
      </c>
      <c r="P1287">
        <f>IF([2]Entry!$R$1290="","",[2]Entry!$R$1290)</f>
        <v/>
      </c>
    </row>
    <row r="1288">
      <c r="J1288">
        <f>IF([2]Entry!$C$1291="","",[2]Entry!$C$1291)</f>
        <v/>
      </c>
      <c r="K1288">
        <f>IF([2]Entry!$D$1291="","",[2]Entry!$D$1291)</f>
        <v/>
      </c>
      <c r="L1288">
        <f>IF([2]Entry!$E$1291="","",[2]Entry!$E$1291)</f>
        <v/>
      </c>
      <c r="M1288">
        <f>IF([2]Entry!$G$1291="","",[2]Entry!$G$1291)</f>
        <v/>
      </c>
      <c r="N1288">
        <f>IF([2]Entry!$M$1291="","",[2]Entry!$M$1291)</f>
        <v/>
      </c>
      <c r="O1288">
        <f>IF([2]Entry!$N$1291="","",[2]Entry!$N$1291)</f>
        <v/>
      </c>
      <c r="P1288">
        <f>IF([2]Entry!$R$1291="","",[2]Entry!$R$1291)</f>
        <v/>
      </c>
    </row>
    <row r="1289">
      <c r="J1289">
        <f>IF([2]Entry!$C$1292="","",[2]Entry!$C$1292)</f>
        <v/>
      </c>
      <c r="K1289">
        <f>IF([2]Entry!$D$1292="","",[2]Entry!$D$1292)</f>
        <v/>
      </c>
      <c r="L1289">
        <f>IF([2]Entry!$E$1292="","",[2]Entry!$E$1292)</f>
        <v/>
      </c>
      <c r="M1289">
        <f>IF([2]Entry!$G$1292="","",[2]Entry!$G$1292)</f>
        <v/>
      </c>
      <c r="N1289">
        <f>IF([2]Entry!$M$1292="","",[2]Entry!$M$1292)</f>
        <v/>
      </c>
      <c r="O1289">
        <f>IF([2]Entry!$N$1292="","",[2]Entry!$N$1292)</f>
        <v/>
      </c>
      <c r="P1289">
        <f>IF([2]Entry!$R$1292="","",[2]Entry!$R$1292)</f>
        <v/>
      </c>
    </row>
    <row r="1290">
      <c r="J1290">
        <f>IF([2]Entry!$C$1293="","",[2]Entry!$C$1293)</f>
        <v/>
      </c>
      <c r="K1290">
        <f>IF([2]Entry!$D$1293="","",[2]Entry!$D$1293)</f>
        <v/>
      </c>
      <c r="L1290">
        <f>IF([2]Entry!$E$1293="","",[2]Entry!$E$1293)</f>
        <v/>
      </c>
      <c r="M1290">
        <f>IF([2]Entry!$G$1293="","",[2]Entry!$G$1293)</f>
        <v/>
      </c>
      <c r="N1290">
        <f>IF([2]Entry!$M$1293="","",[2]Entry!$M$1293)</f>
        <v/>
      </c>
      <c r="O1290">
        <f>IF([2]Entry!$N$1293="","",[2]Entry!$N$1293)</f>
        <v/>
      </c>
      <c r="P1290">
        <f>IF([2]Entry!$R$1293="","",[2]Entry!$R$1293)</f>
        <v/>
      </c>
    </row>
    <row r="1291">
      <c r="J1291">
        <f>IF([2]Entry!$C$1294="","",[2]Entry!$C$1294)</f>
        <v/>
      </c>
      <c r="K1291">
        <f>IF([2]Entry!$D$1294="","",[2]Entry!$D$1294)</f>
        <v/>
      </c>
      <c r="L1291">
        <f>IF([2]Entry!$E$1294="","",[2]Entry!$E$1294)</f>
        <v/>
      </c>
      <c r="M1291">
        <f>IF([2]Entry!$G$1294="","",[2]Entry!$G$1294)</f>
        <v/>
      </c>
      <c r="N1291">
        <f>IF([2]Entry!$M$1294="","",[2]Entry!$M$1294)</f>
        <v/>
      </c>
      <c r="O1291">
        <f>IF([2]Entry!$N$1294="","",[2]Entry!$N$1294)</f>
        <v/>
      </c>
      <c r="P1291">
        <f>IF([2]Entry!$R$1294="","",[2]Entry!$R$1294)</f>
        <v/>
      </c>
    </row>
    <row r="1292">
      <c r="J1292">
        <f>IF([2]Entry!$C$1295="","",[2]Entry!$C$1295)</f>
        <v/>
      </c>
      <c r="K1292">
        <f>IF([2]Entry!$D$1295="","",[2]Entry!$D$1295)</f>
        <v/>
      </c>
      <c r="L1292">
        <f>IF([2]Entry!$E$1295="","",[2]Entry!$E$1295)</f>
        <v/>
      </c>
      <c r="M1292">
        <f>IF([2]Entry!$G$1295="","",[2]Entry!$G$1295)</f>
        <v/>
      </c>
      <c r="N1292">
        <f>IF([2]Entry!$M$1295="","",[2]Entry!$M$1295)</f>
        <v/>
      </c>
      <c r="O1292">
        <f>IF([2]Entry!$N$1295="","",[2]Entry!$N$1295)</f>
        <v/>
      </c>
      <c r="P1292">
        <f>IF([2]Entry!$R$1295="","",[2]Entry!$R$1295)</f>
        <v/>
      </c>
    </row>
    <row r="1293">
      <c r="J1293">
        <f>IF([2]Entry!$C$1296="","",[2]Entry!$C$1296)</f>
        <v/>
      </c>
      <c r="K1293">
        <f>IF([2]Entry!$D$1296="","",[2]Entry!$D$1296)</f>
        <v/>
      </c>
      <c r="L1293">
        <f>IF([2]Entry!$E$1296="","",[2]Entry!$E$1296)</f>
        <v/>
      </c>
      <c r="M1293">
        <f>IF([2]Entry!$G$1296="","",[2]Entry!$G$1296)</f>
        <v/>
      </c>
      <c r="N1293">
        <f>IF([2]Entry!$M$1296="","",[2]Entry!$M$1296)</f>
        <v/>
      </c>
      <c r="O1293">
        <f>IF([2]Entry!$N$1296="","",[2]Entry!$N$1296)</f>
        <v/>
      </c>
      <c r="P1293">
        <f>IF([2]Entry!$R$1296="","",[2]Entry!$R$1296)</f>
        <v/>
      </c>
    </row>
    <row r="1294">
      <c r="J1294">
        <f>IF([2]Entry!$C$1297="","",[2]Entry!$C$1297)</f>
        <v/>
      </c>
      <c r="K1294">
        <f>IF([2]Entry!$D$1297="","",[2]Entry!$D$1297)</f>
        <v/>
      </c>
      <c r="L1294">
        <f>IF([2]Entry!$E$1297="","",[2]Entry!$E$1297)</f>
        <v/>
      </c>
      <c r="M1294">
        <f>IF([2]Entry!$G$1297="","",[2]Entry!$G$1297)</f>
        <v/>
      </c>
      <c r="N1294">
        <f>IF([2]Entry!$M$1297="","",[2]Entry!$M$1297)</f>
        <v/>
      </c>
      <c r="O1294">
        <f>IF([2]Entry!$N$1297="","",[2]Entry!$N$1297)</f>
        <v/>
      </c>
      <c r="P1294">
        <f>IF([2]Entry!$R$1297="","",[2]Entry!$R$1297)</f>
        <v/>
      </c>
    </row>
    <row r="1295">
      <c r="J1295">
        <f>IF([2]Entry!$C$1298="","",[2]Entry!$C$1298)</f>
        <v/>
      </c>
      <c r="K1295">
        <f>IF([2]Entry!$D$1298="","",[2]Entry!$D$1298)</f>
        <v/>
      </c>
      <c r="L1295">
        <f>IF([2]Entry!$E$1298="","",[2]Entry!$E$1298)</f>
        <v/>
      </c>
      <c r="M1295">
        <f>IF([2]Entry!$G$1298="","",[2]Entry!$G$1298)</f>
        <v/>
      </c>
      <c r="N1295">
        <f>IF([2]Entry!$M$1298="","",[2]Entry!$M$1298)</f>
        <v/>
      </c>
      <c r="O1295">
        <f>IF([2]Entry!$N$1298="","",[2]Entry!$N$1298)</f>
        <v/>
      </c>
      <c r="P1295">
        <f>IF([2]Entry!$R$1298="","",[2]Entry!$R$1298)</f>
        <v/>
      </c>
    </row>
    <row r="1296">
      <c r="J1296">
        <f>IF([2]Entry!$C$1299="","",[2]Entry!$C$1299)</f>
        <v/>
      </c>
      <c r="K1296">
        <f>IF([2]Entry!$D$1299="","",[2]Entry!$D$1299)</f>
        <v/>
      </c>
      <c r="L1296">
        <f>IF([2]Entry!$E$1299="","",[2]Entry!$E$1299)</f>
        <v/>
      </c>
      <c r="M1296">
        <f>IF([2]Entry!$G$1299="","",[2]Entry!$G$1299)</f>
        <v/>
      </c>
      <c r="N1296">
        <f>IF([2]Entry!$M$1299="","",[2]Entry!$M$1299)</f>
        <v/>
      </c>
      <c r="O1296">
        <f>IF([2]Entry!$N$1299="","",[2]Entry!$N$1299)</f>
        <v/>
      </c>
      <c r="P1296">
        <f>IF([2]Entry!$R$1299="","",[2]Entry!$R$1299)</f>
        <v/>
      </c>
    </row>
    <row r="1297">
      <c r="J1297">
        <f>IF([2]Entry!$C$1300="","",[2]Entry!$C$1300)</f>
        <v/>
      </c>
      <c r="K1297">
        <f>IF([2]Entry!$D$1300="","",[2]Entry!$D$1300)</f>
        <v/>
      </c>
      <c r="L1297">
        <f>IF([2]Entry!$E$1300="","",[2]Entry!$E$1300)</f>
        <v/>
      </c>
      <c r="M1297">
        <f>IF([2]Entry!$G$1300="","",[2]Entry!$G$1300)</f>
        <v/>
      </c>
      <c r="N1297">
        <f>IF([2]Entry!$M$1300="","",[2]Entry!$M$1300)</f>
        <v/>
      </c>
      <c r="O1297">
        <f>IF([2]Entry!$N$1300="","",[2]Entry!$N$1300)</f>
        <v/>
      </c>
      <c r="P1297">
        <f>IF([2]Entry!$R$1300="","",[2]Entry!$R$1300)</f>
        <v/>
      </c>
    </row>
    <row r="1298">
      <c r="J1298">
        <f>IF([2]Entry!$C$1301="","",[2]Entry!$C$1301)</f>
        <v/>
      </c>
      <c r="K1298">
        <f>IF([2]Entry!$D$1301="","",[2]Entry!$D$1301)</f>
        <v/>
      </c>
      <c r="L1298">
        <f>IF([2]Entry!$E$1301="","",[2]Entry!$E$1301)</f>
        <v/>
      </c>
      <c r="M1298">
        <f>IF([2]Entry!$G$1301="","",[2]Entry!$G$1301)</f>
        <v/>
      </c>
      <c r="N1298">
        <f>IF([2]Entry!$M$1301="","",[2]Entry!$M$1301)</f>
        <v/>
      </c>
      <c r="O1298">
        <f>IF([2]Entry!$N$1301="","",[2]Entry!$N$1301)</f>
        <v/>
      </c>
      <c r="P1298">
        <f>IF([2]Entry!$R$1301="","",[2]Entry!$R$1301)</f>
        <v/>
      </c>
    </row>
    <row r="1299">
      <c r="J1299">
        <f>IF([2]Entry!$C$1302="","",[2]Entry!$C$1302)</f>
        <v/>
      </c>
      <c r="K1299">
        <f>IF([2]Entry!$D$1302="","",[2]Entry!$D$1302)</f>
        <v/>
      </c>
      <c r="L1299">
        <f>IF([2]Entry!$E$1302="","",[2]Entry!$E$1302)</f>
        <v/>
      </c>
      <c r="M1299">
        <f>IF([2]Entry!$G$1302="","",[2]Entry!$G$1302)</f>
        <v/>
      </c>
      <c r="N1299">
        <f>IF([2]Entry!$M$1302="","",[2]Entry!$M$1302)</f>
        <v/>
      </c>
      <c r="O1299">
        <f>IF([2]Entry!$N$1302="","",[2]Entry!$N$1302)</f>
        <v/>
      </c>
      <c r="P1299">
        <f>IF([2]Entry!$R$1302="","",[2]Entry!$R$1302)</f>
        <v/>
      </c>
    </row>
    <row r="1300">
      <c r="J1300">
        <f>IF([2]Entry!$C$1303="","",[2]Entry!$C$1303)</f>
        <v/>
      </c>
      <c r="K1300">
        <f>IF([2]Entry!$D$1303="","",[2]Entry!$D$1303)</f>
        <v/>
      </c>
      <c r="L1300">
        <f>IF([2]Entry!$E$1303="","",[2]Entry!$E$1303)</f>
        <v/>
      </c>
      <c r="M1300">
        <f>IF([2]Entry!$G$1303="","",[2]Entry!$G$1303)</f>
        <v/>
      </c>
      <c r="N1300">
        <f>IF([2]Entry!$M$1303="","",[2]Entry!$M$1303)</f>
        <v/>
      </c>
      <c r="O1300">
        <f>IF([2]Entry!$N$1303="","",[2]Entry!$N$1303)</f>
        <v/>
      </c>
      <c r="P1300">
        <f>IF([2]Entry!$R$1303="","",[2]Entry!$R$1303)</f>
        <v/>
      </c>
    </row>
    <row r="1301">
      <c r="J1301">
        <f>IF([2]Entry!$C$1304="","",[2]Entry!$C$1304)</f>
        <v/>
      </c>
      <c r="K1301">
        <f>IF([2]Entry!$D$1304="","",[2]Entry!$D$1304)</f>
        <v/>
      </c>
      <c r="L1301">
        <f>IF([2]Entry!$E$1304="","",[2]Entry!$E$1304)</f>
        <v/>
      </c>
      <c r="M1301">
        <f>IF([2]Entry!$G$1304="","",[2]Entry!$G$1304)</f>
        <v/>
      </c>
      <c r="N1301">
        <f>IF([2]Entry!$M$1304="","",[2]Entry!$M$1304)</f>
        <v/>
      </c>
      <c r="O1301">
        <f>IF([2]Entry!$N$1304="","",[2]Entry!$N$1304)</f>
        <v/>
      </c>
      <c r="P1301">
        <f>IF([2]Entry!$R$1304="","",[2]Entry!$R$1304)</f>
        <v/>
      </c>
    </row>
    <row r="1302">
      <c r="J1302">
        <f>IF([2]Entry!$C$1305="","",[2]Entry!$C$1305)</f>
        <v/>
      </c>
      <c r="K1302">
        <f>IF([2]Entry!$D$1305="","",[2]Entry!$D$1305)</f>
        <v/>
      </c>
      <c r="L1302">
        <f>IF([2]Entry!$E$1305="","",[2]Entry!$E$1305)</f>
        <v/>
      </c>
      <c r="M1302">
        <f>IF([2]Entry!$G$1305="","",[2]Entry!$G$1305)</f>
        <v/>
      </c>
      <c r="N1302">
        <f>IF([2]Entry!$M$1305="","",[2]Entry!$M$1305)</f>
        <v/>
      </c>
      <c r="O1302">
        <f>IF([2]Entry!$N$1305="","",[2]Entry!$N$1305)</f>
        <v/>
      </c>
      <c r="P1302">
        <f>IF([2]Entry!$R$1305="","",[2]Entry!$R$1305)</f>
        <v/>
      </c>
    </row>
    <row r="1303">
      <c r="J1303">
        <f>IF([2]Entry!$C$1306="","",[2]Entry!$C$1306)</f>
        <v/>
      </c>
      <c r="K1303">
        <f>IF([2]Entry!$D$1306="","",[2]Entry!$D$1306)</f>
        <v/>
      </c>
      <c r="L1303">
        <f>IF([2]Entry!$E$1306="","",[2]Entry!$E$1306)</f>
        <v/>
      </c>
      <c r="M1303">
        <f>IF([2]Entry!$G$1306="","",[2]Entry!$G$1306)</f>
        <v/>
      </c>
      <c r="N1303">
        <f>IF([2]Entry!$M$1306="","",[2]Entry!$M$1306)</f>
        <v/>
      </c>
      <c r="O1303">
        <f>IF([2]Entry!$N$1306="","",[2]Entry!$N$1306)</f>
        <v/>
      </c>
      <c r="P1303">
        <f>IF([2]Entry!$R$1306="","",[2]Entry!$R$1306)</f>
        <v/>
      </c>
    </row>
    <row r="1304">
      <c r="J1304">
        <f>IF([2]Entry!$C$1307="","",[2]Entry!$C$1307)</f>
        <v/>
      </c>
      <c r="K1304">
        <f>IF([2]Entry!$D$1307="","",[2]Entry!$D$1307)</f>
        <v/>
      </c>
      <c r="L1304">
        <f>IF([2]Entry!$E$1307="","",[2]Entry!$E$1307)</f>
        <v/>
      </c>
      <c r="M1304">
        <f>IF([2]Entry!$G$1307="","",[2]Entry!$G$1307)</f>
        <v/>
      </c>
      <c r="N1304">
        <f>IF([2]Entry!$M$1307="","",[2]Entry!$M$1307)</f>
        <v/>
      </c>
      <c r="O1304">
        <f>IF([2]Entry!$N$1307="","",[2]Entry!$N$1307)</f>
        <v/>
      </c>
      <c r="P1304">
        <f>IF([2]Entry!$R$1307="","",[2]Entry!$R$1307)</f>
        <v/>
      </c>
    </row>
    <row r="1305">
      <c r="J1305">
        <f>IF([2]Entry!$C$1308="","",[2]Entry!$C$1308)</f>
        <v/>
      </c>
      <c r="K1305">
        <f>IF([2]Entry!$D$1308="","",[2]Entry!$D$1308)</f>
        <v/>
      </c>
      <c r="L1305">
        <f>IF([2]Entry!$E$1308="","",[2]Entry!$E$1308)</f>
        <v/>
      </c>
      <c r="M1305">
        <f>IF([2]Entry!$G$1308="","",[2]Entry!$G$1308)</f>
        <v/>
      </c>
      <c r="N1305">
        <f>IF([2]Entry!$M$1308="","",[2]Entry!$M$1308)</f>
        <v/>
      </c>
      <c r="O1305">
        <f>IF([2]Entry!$N$1308="","",[2]Entry!$N$1308)</f>
        <v/>
      </c>
      <c r="P1305">
        <f>IF([2]Entry!$R$1308="","",[2]Entry!$R$1308)</f>
        <v/>
      </c>
    </row>
    <row r="1306">
      <c r="J1306">
        <f>IF([2]Entry!$C$1309="","",[2]Entry!$C$1309)</f>
        <v/>
      </c>
      <c r="K1306">
        <f>IF([2]Entry!$D$1309="","",[2]Entry!$D$1309)</f>
        <v/>
      </c>
      <c r="L1306">
        <f>IF([2]Entry!$E$1309="","",[2]Entry!$E$1309)</f>
        <v/>
      </c>
      <c r="M1306">
        <f>IF([2]Entry!$G$1309="","",[2]Entry!$G$1309)</f>
        <v/>
      </c>
      <c r="N1306">
        <f>IF([2]Entry!$M$1309="","",[2]Entry!$M$1309)</f>
        <v/>
      </c>
      <c r="O1306">
        <f>IF([2]Entry!$N$1309="","",[2]Entry!$N$1309)</f>
        <v/>
      </c>
      <c r="P1306">
        <f>IF([2]Entry!$R$1309="","",[2]Entry!$R$1309)</f>
        <v/>
      </c>
    </row>
    <row r="1307">
      <c r="J1307">
        <f>IF([2]Entry!$C$1310="","",[2]Entry!$C$1310)</f>
        <v/>
      </c>
      <c r="K1307">
        <f>IF([2]Entry!$D$1310="","",[2]Entry!$D$1310)</f>
        <v/>
      </c>
      <c r="L1307">
        <f>IF([2]Entry!$E$1310="","",[2]Entry!$E$1310)</f>
        <v/>
      </c>
      <c r="M1307">
        <f>IF([2]Entry!$G$1310="","",[2]Entry!$G$1310)</f>
        <v/>
      </c>
      <c r="N1307">
        <f>IF([2]Entry!$M$1310="","",[2]Entry!$M$1310)</f>
        <v/>
      </c>
      <c r="O1307">
        <f>IF([2]Entry!$N$1310="","",[2]Entry!$N$1310)</f>
        <v/>
      </c>
      <c r="P1307">
        <f>IF([2]Entry!$R$1310="","",[2]Entry!$R$1310)</f>
        <v/>
      </c>
    </row>
    <row r="1308">
      <c r="J1308">
        <f>IF([2]Entry!$C$1311="","",[2]Entry!$C$1311)</f>
        <v/>
      </c>
      <c r="K1308">
        <f>IF([2]Entry!$D$1311="","",[2]Entry!$D$1311)</f>
        <v/>
      </c>
      <c r="L1308">
        <f>IF([2]Entry!$E$1311="","",[2]Entry!$E$1311)</f>
        <v/>
      </c>
      <c r="M1308">
        <f>IF([2]Entry!$G$1311="","",[2]Entry!$G$1311)</f>
        <v/>
      </c>
      <c r="N1308">
        <f>IF([2]Entry!$M$1311="","",[2]Entry!$M$1311)</f>
        <v/>
      </c>
      <c r="O1308">
        <f>IF([2]Entry!$N$1311="","",[2]Entry!$N$1311)</f>
        <v/>
      </c>
      <c r="P1308">
        <f>IF([2]Entry!$R$1311="","",[2]Entry!$R$1311)</f>
        <v/>
      </c>
    </row>
    <row r="1309">
      <c r="J1309">
        <f>IF([2]Entry!$C$1312="","",[2]Entry!$C$1312)</f>
        <v/>
      </c>
      <c r="K1309">
        <f>IF([2]Entry!$D$1312="","",[2]Entry!$D$1312)</f>
        <v/>
      </c>
      <c r="L1309">
        <f>IF([2]Entry!$E$1312="","",[2]Entry!$E$1312)</f>
        <v/>
      </c>
      <c r="M1309">
        <f>IF([2]Entry!$G$1312="","",[2]Entry!$G$1312)</f>
        <v/>
      </c>
      <c r="N1309">
        <f>IF([2]Entry!$M$1312="","",[2]Entry!$M$1312)</f>
        <v/>
      </c>
      <c r="O1309">
        <f>IF([2]Entry!$N$1312="","",[2]Entry!$N$1312)</f>
        <v/>
      </c>
      <c r="P1309">
        <f>IF([2]Entry!$R$1312="","",[2]Entry!$R$1312)</f>
        <v/>
      </c>
    </row>
    <row r="1310">
      <c r="J1310">
        <f>IF([2]Entry!$C$1313="","",[2]Entry!$C$1313)</f>
        <v/>
      </c>
      <c r="K1310">
        <f>IF([2]Entry!$D$1313="","",[2]Entry!$D$1313)</f>
        <v/>
      </c>
      <c r="L1310">
        <f>IF([2]Entry!$E$1313="","",[2]Entry!$E$1313)</f>
        <v/>
      </c>
      <c r="M1310">
        <f>IF([2]Entry!$G$1313="","",[2]Entry!$G$1313)</f>
        <v/>
      </c>
      <c r="N1310">
        <f>IF([2]Entry!$M$1313="","",[2]Entry!$M$1313)</f>
        <v/>
      </c>
      <c r="O1310">
        <f>IF([2]Entry!$N$1313="","",[2]Entry!$N$1313)</f>
        <v/>
      </c>
      <c r="P1310">
        <f>IF([2]Entry!$R$1313="","",[2]Entry!$R$1313)</f>
        <v/>
      </c>
    </row>
    <row r="1311">
      <c r="J1311">
        <f>IF([2]Entry!$C$1314="","",[2]Entry!$C$1314)</f>
        <v/>
      </c>
      <c r="K1311">
        <f>IF([2]Entry!$D$1314="","",[2]Entry!$D$1314)</f>
        <v/>
      </c>
      <c r="L1311">
        <f>IF([2]Entry!$E$1314="","",[2]Entry!$E$1314)</f>
        <v/>
      </c>
      <c r="M1311">
        <f>IF([2]Entry!$G$1314="","",[2]Entry!$G$1314)</f>
        <v/>
      </c>
      <c r="N1311">
        <f>IF([2]Entry!$M$1314="","",[2]Entry!$M$1314)</f>
        <v/>
      </c>
      <c r="O1311">
        <f>IF([2]Entry!$N$1314="","",[2]Entry!$N$1314)</f>
        <v/>
      </c>
      <c r="P1311">
        <f>IF([2]Entry!$R$1314="","",[2]Entry!$R$1314)</f>
        <v/>
      </c>
    </row>
    <row r="1312">
      <c r="J1312">
        <f>IF([2]Entry!$C$1315="","",[2]Entry!$C$1315)</f>
        <v/>
      </c>
      <c r="K1312">
        <f>IF([2]Entry!$D$1315="","",[2]Entry!$D$1315)</f>
        <v/>
      </c>
      <c r="L1312">
        <f>IF([2]Entry!$E$1315="","",[2]Entry!$E$1315)</f>
        <v/>
      </c>
      <c r="M1312">
        <f>IF([2]Entry!$G$1315="","",[2]Entry!$G$1315)</f>
        <v/>
      </c>
      <c r="N1312">
        <f>IF([2]Entry!$M$1315="","",[2]Entry!$M$1315)</f>
        <v/>
      </c>
      <c r="O1312">
        <f>IF([2]Entry!$N$1315="","",[2]Entry!$N$1315)</f>
        <v/>
      </c>
      <c r="P1312">
        <f>IF([2]Entry!$R$1315="","",[2]Entry!$R$1315)</f>
        <v/>
      </c>
    </row>
    <row r="1313">
      <c r="J1313">
        <f>IF([2]Entry!$C$1316="","",[2]Entry!$C$1316)</f>
        <v/>
      </c>
      <c r="K1313">
        <f>IF([2]Entry!$D$1316="","",[2]Entry!$D$1316)</f>
        <v/>
      </c>
      <c r="L1313">
        <f>IF([2]Entry!$E$1316="","",[2]Entry!$E$1316)</f>
        <v/>
      </c>
      <c r="M1313">
        <f>IF([2]Entry!$G$1316="","",[2]Entry!$G$1316)</f>
        <v/>
      </c>
      <c r="N1313">
        <f>IF([2]Entry!$M$1316="","",[2]Entry!$M$1316)</f>
        <v/>
      </c>
      <c r="O1313">
        <f>IF([2]Entry!$N$1316="","",[2]Entry!$N$1316)</f>
        <v/>
      </c>
      <c r="P1313">
        <f>IF([2]Entry!$R$1316="","",[2]Entry!$R$1316)</f>
        <v/>
      </c>
    </row>
    <row r="1314">
      <c r="J1314">
        <f>IF([2]Entry!$C$1317="","",[2]Entry!$C$1317)</f>
        <v/>
      </c>
      <c r="K1314">
        <f>IF([2]Entry!$D$1317="","",[2]Entry!$D$1317)</f>
        <v/>
      </c>
      <c r="L1314">
        <f>IF([2]Entry!$E$1317="","",[2]Entry!$E$1317)</f>
        <v/>
      </c>
      <c r="M1314">
        <f>IF([2]Entry!$G$1317="","",[2]Entry!$G$1317)</f>
        <v/>
      </c>
      <c r="N1314">
        <f>IF([2]Entry!$M$1317="","",[2]Entry!$M$1317)</f>
        <v/>
      </c>
      <c r="O1314">
        <f>IF([2]Entry!$N$1317="","",[2]Entry!$N$1317)</f>
        <v/>
      </c>
      <c r="P1314">
        <f>IF([2]Entry!$R$1317="","",[2]Entry!$R$1317)</f>
        <v/>
      </c>
    </row>
    <row r="1315">
      <c r="J1315">
        <f>IF([2]Entry!$C$1318="","",[2]Entry!$C$1318)</f>
        <v/>
      </c>
      <c r="K1315">
        <f>IF([2]Entry!$D$1318="","",[2]Entry!$D$1318)</f>
        <v/>
      </c>
      <c r="L1315">
        <f>IF([2]Entry!$E$1318="","",[2]Entry!$E$1318)</f>
        <v/>
      </c>
      <c r="M1315">
        <f>IF([2]Entry!$G$1318="","",[2]Entry!$G$1318)</f>
        <v/>
      </c>
      <c r="N1315">
        <f>IF([2]Entry!$M$1318="","",[2]Entry!$M$1318)</f>
        <v/>
      </c>
      <c r="O1315">
        <f>IF([2]Entry!$N$1318="","",[2]Entry!$N$1318)</f>
        <v/>
      </c>
      <c r="P1315">
        <f>IF([2]Entry!$R$1318="","",[2]Entry!$R$1318)</f>
        <v/>
      </c>
    </row>
    <row r="1316">
      <c r="J1316">
        <f>IF([2]Entry!$C$1319="","",[2]Entry!$C$1319)</f>
        <v/>
      </c>
      <c r="K1316">
        <f>IF([2]Entry!$D$1319="","",[2]Entry!$D$1319)</f>
        <v/>
      </c>
      <c r="L1316">
        <f>IF([2]Entry!$E$1319="","",[2]Entry!$E$1319)</f>
        <v/>
      </c>
      <c r="M1316">
        <f>IF([2]Entry!$G$1319="","",[2]Entry!$G$1319)</f>
        <v/>
      </c>
      <c r="N1316">
        <f>IF([2]Entry!$M$1319="","",[2]Entry!$M$1319)</f>
        <v/>
      </c>
      <c r="O1316">
        <f>IF([2]Entry!$N$1319="","",[2]Entry!$N$1319)</f>
        <v/>
      </c>
      <c r="P1316">
        <f>IF([2]Entry!$R$1319="","",[2]Entry!$R$1319)</f>
        <v/>
      </c>
    </row>
    <row r="1317">
      <c r="J1317">
        <f>IF([2]Entry!$C$1320="","",[2]Entry!$C$1320)</f>
        <v/>
      </c>
      <c r="K1317">
        <f>IF([2]Entry!$D$1320="","",[2]Entry!$D$1320)</f>
        <v/>
      </c>
      <c r="L1317">
        <f>IF([2]Entry!$E$1320="","",[2]Entry!$E$1320)</f>
        <v/>
      </c>
      <c r="M1317">
        <f>IF([2]Entry!$G$1320="","",[2]Entry!$G$1320)</f>
        <v/>
      </c>
      <c r="N1317">
        <f>IF([2]Entry!$M$1320="","",[2]Entry!$M$1320)</f>
        <v/>
      </c>
      <c r="O1317">
        <f>IF([2]Entry!$N$1320="","",[2]Entry!$N$1320)</f>
        <v/>
      </c>
      <c r="P1317">
        <f>IF([2]Entry!$R$1320="","",[2]Entry!$R$1320)</f>
        <v/>
      </c>
    </row>
    <row r="1318">
      <c r="J1318">
        <f>IF([2]Entry!$C$1321="","",[2]Entry!$C$1321)</f>
        <v/>
      </c>
      <c r="K1318">
        <f>IF([2]Entry!$D$1321="","",[2]Entry!$D$1321)</f>
        <v/>
      </c>
      <c r="L1318">
        <f>IF([2]Entry!$E$1321="","",[2]Entry!$E$1321)</f>
        <v/>
      </c>
      <c r="M1318">
        <f>IF([2]Entry!$G$1321="","",[2]Entry!$G$1321)</f>
        <v/>
      </c>
      <c r="N1318">
        <f>IF([2]Entry!$M$1321="","",[2]Entry!$M$1321)</f>
        <v/>
      </c>
      <c r="O1318">
        <f>IF([2]Entry!$N$1321="","",[2]Entry!$N$1321)</f>
        <v/>
      </c>
      <c r="P1318">
        <f>IF([2]Entry!$R$1321="","",[2]Entry!$R$1321)</f>
        <v/>
      </c>
    </row>
    <row r="1319">
      <c r="J1319">
        <f>IF([2]Entry!$C$1322="","",[2]Entry!$C$1322)</f>
        <v/>
      </c>
      <c r="K1319">
        <f>IF([2]Entry!$D$1322="","",[2]Entry!$D$1322)</f>
        <v/>
      </c>
      <c r="L1319">
        <f>IF([2]Entry!$E$1322="","",[2]Entry!$E$1322)</f>
        <v/>
      </c>
      <c r="M1319">
        <f>IF([2]Entry!$G$1322="","",[2]Entry!$G$1322)</f>
        <v/>
      </c>
      <c r="N1319">
        <f>IF([2]Entry!$M$1322="","",[2]Entry!$M$1322)</f>
        <v/>
      </c>
      <c r="O1319">
        <f>IF([2]Entry!$N$1322="","",[2]Entry!$N$1322)</f>
        <v/>
      </c>
      <c r="P1319">
        <f>IF([2]Entry!$R$1322="","",[2]Entry!$R$1322)</f>
        <v/>
      </c>
    </row>
    <row r="1320">
      <c r="J1320">
        <f>IF([2]Entry!$C$1323="","",[2]Entry!$C$1323)</f>
        <v/>
      </c>
      <c r="K1320">
        <f>IF([2]Entry!$D$1323="","",[2]Entry!$D$1323)</f>
        <v/>
      </c>
      <c r="L1320">
        <f>IF([2]Entry!$E$1323="","",[2]Entry!$E$1323)</f>
        <v/>
      </c>
      <c r="M1320">
        <f>IF([2]Entry!$G$1323="","",[2]Entry!$G$1323)</f>
        <v/>
      </c>
      <c r="N1320">
        <f>IF([2]Entry!$M$1323="","",[2]Entry!$M$1323)</f>
        <v/>
      </c>
      <c r="O1320">
        <f>IF([2]Entry!$N$1323="","",[2]Entry!$N$1323)</f>
        <v/>
      </c>
      <c r="P1320">
        <f>IF([2]Entry!$R$1323="","",[2]Entry!$R$1323)</f>
        <v/>
      </c>
    </row>
    <row r="1321">
      <c r="J1321">
        <f>IF([2]Entry!$C$1324="","",[2]Entry!$C$1324)</f>
        <v/>
      </c>
      <c r="K1321">
        <f>IF([2]Entry!$D$1324="","",[2]Entry!$D$1324)</f>
        <v/>
      </c>
      <c r="L1321">
        <f>IF([2]Entry!$E$1324="","",[2]Entry!$E$1324)</f>
        <v/>
      </c>
      <c r="M1321">
        <f>IF([2]Entry!$G$1324="","",[2]Entry!$G$1324)</f>
        <v/>
      </c>
      <c r="N1321">
        <f>IF([2]Entry!$M$1324="","",[2]Entry!$M$1324)</f>
        <v/>
      </c>
      <c r="O1321">
        <f>IF([2]Entry!$N$1324="","",[2]Entry!$N$1324)</f>
        <v/>
      </c>
      <c r="P1321">
        <f>IF([2]Entry!$R$1324="","",[2]Entry!$R$1324)</f>
        <v/>
      </c>
    </row>
    <row r="1322">
      <c r="J1322">
        <f>IF([2]Entry!$C$1325="","",[2]Entry!$C$1325)</f>
        <v/>
      </c>
      <c r="K1322">
        <f>IF([2]Entry!$D$1325="","",[2]Entry!$D$1325)</f>
        <v/>
      </c>
      <c r="L1322">
        <f>IF([2]Entry!$E$1325="","",[2]Entry!$E$1325)</f>
        <v/>
      </c>
      <c r="M1322">
        <f>IF([2]Entry!$G$1325="","",[2]Entry!$G$1325)</f>
        <v/>
      </c>
      <c r="N1322">
        <f>IF([2]Entry!$M$1325="","",[2]Entry!$M$1325)</f>
        <v/>
      </c>
      <c r="O1322">
        <f>IF([2]Entry!$N$1325="","",[2]Entry!$N$1325)</f>
        <v/>
      </c>
      <c r="P1322">
        <f>IF([2]Entry!$R$1325="","",[2]Entry!$R$1325)</f>
        <v/>
      </c>
    </row>
    <row r="1323">
      <c r="J1323">
        <f>IF([2]Entry!$C$1326="","",[2]Entry!$C$1326)</f>
        <v/>
      </c>
      <c r="K1323">
        <f>IF([2]Entry!$D$1326="","",[2]Entry!$D$1326)</f>
        <v/>
      </c>
      <c r="L1323">
        <f>IF([2]Entry!$E$1326="","",[2]Entry!$E$1326)</f>
        <v/>
      </c>
      <c r="M1323">
        <f>IF([2]Entry!$G$1326="","",[2]Entry!$G$1326)</f>
        <v/>
      </c>
      <c r="N1323">
        <f>IF([2]Entry!$M$1326="","",[2]Entry!$M$1326)</f>
        <v/>
      </c>
      <c r="O1323">
        <f>IF([2]Entry!$N$1326="","",[2]Entry!$N$1326)</f>
        <v/>
      </c>
      <c r="P1323">
        <f>IF([2]Entry!$R$1326="","",[2]Entry!$R$1326)</f>
        <v/>
      </c>
    </row>
    <row r="1324">
      <c r="J1324">
        <f>IF([2]Entry!$C$1327="","",[2]Entry!$C$1327)</f>
        <v/>
      </c>
      <c r="K1324">
        <f>IF([2]Entry!$D$1327="","",[2]Entry!$D$1327)</f>
        <v/>
      </c>
      <c r="L1324">
        <f>IF([2]Entry!$E$1327="","",[2]Entry!$E$1327)</f>
        <v/>
      </c>
      <c r="M1324">
        <f>IF([2]Entry!$G$1327="","",[2]Entry!$G$1327)</f>
        <v/>
      </c>
      <c r="N1324">
        <f>IF([2]Entry!$M$1327="","",[2]Entry!$M$1327)</f>
        <v/>
      </c>
      <c r="O1324">
        <f>IF([2]Entry!$N$1327="","",[2]Entry!$N$1327)</f>
        <v/>
      </c>
      <c r="P1324">
        <f>IF([2]Entry!$R$1327="","",[2]Entry!$R$1327)</f>
        <v/>
      </c>
    </row>
    <row r="1325">
      <c r="J1325">
        <f>IF([2]Entry!$C$1328="","",[2]Entry!$C$1328)</f>
        <v/>
      </c>
      <c r="K1325">
        <f>IF([2]Entry!$D$1328="","",[2]Entry!$D$1328)</f>
        <v/>
      </c>
      <c r="L1325">
        <f>IF([2]Entry!$E$1328="","",[2]Entry!$E$1328)</f>
        <v/>
      </c>
      <c r="M1325">
        <f>IF([2]Entry!$G$1328="","",[2]Entry!$G$1328)</f>
        <v/>
      </c>
      <c r="N1325">
        <f>IF([2]Entry!$M$1328="","",[2]Entry!$M$1328)</f>
        <v/>
      </c>
      <c r="O1325">
        <f>IF([2]Entry!$N$1328="","",[2]Entry!$N$1328)</f>
        <v/>
      </c>
      <c r="P1325">
        <f>IF([2]Entry!$R$1328="","",[2]Entry!$R$1328)</f>
        <v/>
      </c>
    </row>
    <row r="1326">
      <c r="J1326">
        <f>IF([2]Entry!$C$1329="","",[2]Entry!$C$1329)</f>
        <v/>
      </c>
      <c r="K1326">
        <f>IF([2]Entry!$D$1329="","",[2]Entry!$D$1329)</f>
        <v/>
      </c>
      <c r="L1326">
        <f>IF([2]Entry!$E$1329="","",[2]Entry!$E$1329)</f>
        <v/>
      </c>
      <c r="M1326">
        <f>IF([2]Entry!$G$1329="","",[2]Entry!$G$1329)</f>
        <v/>
      </c>
      <c r="N1326">
        <f>IF([2]Entry!$M$1329="","",[2]Entry!$M$1329)</f>
        <v/>
      </c>
      <c r="O1326">
        <f>IF([2]Entry!$N$1329="","",[2]Entry!$N$1329)</f>
        <v/>
      </c>
      <c r="P1326">
        <f>IF([2]Entry!$R$1329="","",[2]Entry!$R$1329)</f>
        <v/>
      </c>
    </row>
    <row r="1327">
      <c r="J1327">
        <f>IF([2]Entry!$C$1330="","",[2]Entry!$C$1330)</f>
        <v/>
      </c>
      <c r="K1327">
        <f>IF([2]Entry!$D$1330="","",[2]Entry!$D$1330)</f>
        <v/>
      </c>
      <c r="L1327">
        <f>IF([2]Entry!$E$1330="","",[2]Entry!$E$1330)</f>
        <v/>
      </c>
      <c r="M1327">
        <f>IF([2]Entry!$G$1330="","",[2]Entry!$G$1330)</f>
        <v/>
      </c>
      <c r="N1327">
        <f>IF([2]Entry!$M$1330="","",[2]Entry!$M$1330)</f>
        <v/>
      </c>
      <c r="O1327">
        <f>IF([2]Entry!$N$1330="","",[2]Entry!$N$1330)</f>
        <v/>
      </c>
      <c r="P1327">
        <f>IF([2]Entry!$R$1330="","",[2]Entry!$R$1330)</f>
        <v/>
      </c>
    </row>
    <row r="1328">
      <c r="J1328">
        <f>IF([2]Entry!$C$1331="","",[2]Entry!$C$1331)</f>
        <v/>
      </c>
      <c r="K1328">
        <f>IF([2]Entry!$D$1331="","",[2]Entry!$D$1331)</f>
        <v/>
      </c>
      <c r="L1328">
        <f>IF([2]Entry!$E$1331="","",[2]Entry!$E$1331)</f>
        <v/>
      </c>
      <c r="M1328">
        <f>IF([2]Entry!$G$1331="","",[2]Entry!$G$1331)</f>
        <v/>
      </c>
      <c r="N1328">
        <f>IF([2]Entry!$M$1331="","",[2]Entry!$M$1331)</f>
        <v/>
      </c>
      <c r="O1328">
        <f>IF([2]Entry!$N$1331="","",[2]Entry!$N$1331)</f>
        <v/>
      </c>
      <c r="P1328">
        <f>IF([2]Entry!$R$1331="","",[2]Entry!$R$1331)</f>
        <v/>
      </c>
    </row>
    <row r="1329">
      <c r="J1329">
        <f>IF([2]Entry!$C$1332="","",[2]Entry!$C$1332)</f>
        <v/>
      </c>
      <c r="K1329">
        <f>IF([2]Entry!$D$1332="","",[2]Entry!$D$1332)</f>
        <v/>
      </c>
      <c r="L1329">
        <f>IF([2]Entry!$E$1332="","",[2]Entry!$E$1332)</f>
        <v/>
      </c>
      <c r="M1329">
        <f>IF([2]Entry!$G$1332="","",[2]Entry!$G$1332)</f>
        <v/>
      </c>
      <c r="N1329">
        <f>IF([2]Entry!$M$1332="","",[2]Entry!$M$1332)</f>
        <v/>
      </c>
      <c r="O1329">
        <f>IF([2]Entry!$N$1332="","",[2]Entry!$N$1332)</f>
        <v/>
      </c>
      <c r="P1329">
        <f>IF([2]Entry!$R$1332="","",[2]Entry!$R$1332)</f>
        <v/>
      </c>
    </row>
    <row r="1330">
      <c r="J1330">
        <f>IF([2]Entry!$C$1333="","",[2]Entry!$C$1333)</f>
        <v/>
      </c>
      <c r="K1330">
        <f>IF([2]Entry!$D$1333="","",[2]Entry!$D$1333)</f>
        <v/>
      </c>
      <c r="L1330">
        <f>IF([2]Entry!$E$1333="","",[2]Entry!$E$1333)</f>
        <v/>
      </c>
      <c r="M1330">
        <f>IF([2]Entry!$G$1333="","",[2]Entry!$G$1333)</f>
        <v/>
      </c>
      <c r="N1330">
        <f>IF([2]Entry!$M$1333="","",[2]Entry!$M$1333)</f>
        <v/>
      </c>
      <c r="O1330">
        <f>IF([2]Entry!$N$1333="","",[2]Entry!$N$1333)</f>
        <v/>
      </c>
      <c r="P1330">
        <f>IF([2]Entry!$R$1333="","",[2]Entry!$R$1333)</f>
        <v/>
      </c>
    </row>
    <row r="1331">
      <c r="J1331">
        <f>IF([2]Entry!$C$1334="","",[2]Entry!$C$1334)</f>
        <v/>
      </c>
      <c r="K1331">
        <f>IF([2]Entry!$D$1334="","",[2]Entry!$D$1334)</f>
        <v/>
      </c>
      <c r="L1331">
        <f>IF([2]Entry!$E$1334="","",[2]Entry!$E$1334)</f>
        <v/>
      </c>
      <c r="M1331">
        <f>IF([2]Entry!$G$1334="","",[2]Entry!$G$1334)</f>
        <v/>
      </c>
      <c r="N1331">
        <f>IF([2]Entry!$M$1334="","",[2]Entry!$M$1334)</f>
        <v/>
      </c>
      <c r="O1331">
        <f>IF([2]Entry!$N$1334="","",[2]Entry!$N$1334)</f>
        <v/>
      </c>
      <c r="P1331">
        <f>IF([2]Entry!$R$1334="","",[2]Entry!$R$1334)</f>
        <v/>
      </c>
    </row>
    <row r="1332">
      <c r="J1332">
        <f>IF([2]Entry!$C$1335="","",[2]Entry!$C$1335)</f>
        <v/>
      </c>
      <c r="K1332">
        <f>IF([2]Entry!$D$1335="","",[2]Entry!$D$1335)</f>
        <v/>
      </c>
      <c r="L1332">
        <f>IF([2]Entry!$E$1335="","",[2]Entry!$E$1335)</f>
        <v/>
      </c>
      <c r="M1332">
        <f>IF([2]Entry!$G$1335="","",[2]Entry!$G$1335)</f>
        <v/>
      </c>
      <c r="N1332">
        <f>IF([2]Entry!$M$1335="","",[2]Entry!$M$1335)</f>
        <v/>
      </c>
      <c r="O1332">
        <f>IF([2]Entry!$N$1335="","",[2]Entry!$N$1335)</f>
        <v/>
      </c>
      <c r="P1332">
        <f>IF([2]Entry!$R$1335="","",[2]Entry!$R$1335)</f>
        <v/>
      </c>
    </row>
    <row r="1333">
      <c r="J1333">
        <f>IF([2]Entry!$C$1336="","",[2]Entry!$C$1336)</f>
        <v/>
      </c>
      <c r="K1333">
        <f>IF([2]Entry!$D$1336="","",[2]Entry!$D$1336)</f>
        <v/>
      </c>
      <c r="L1333">
        <f>IF([2]Entry!$E$1336="","",[2]Entry!$E$1336)</f>
        <v/>
      </c>
      <c r="M1333">
        <f>IF([2]Entry!$G$1336="","",[2]Entry!$G$1336)</f>
        <v/>
      </c>
      <c r="N1333">
        <f>IF([2]Entry!$M$1336="","",[2]Entry!$M$1336)</f>
        <v/>
      </c>
      <c r="O1333">
        <f>IF([2]Entry!$N$1336="","",[2]Entry!$N$1336)</f>
        <v/>
      </c>
      <c r="P1333">
        <f>IF([2]Entry!$R$1336="","",[2]Entry!$R$1336)</f>
        <v/>
      </c>
    </row>
    <row r="1334">
      <c r="J1334">
        <f>IF([2]Entry!$C$1337="","",[2]Entry!$C$1337)</f>
        <v/>
      </c>
      <c r="K1334">
        <f>IF([2]Entry!$D$1337="","",[2]Entry!$D$1337)</f>
        <v/>
      </c>
      <c r="L1334">
        <f>IF([2]Entry!$E$1337="","",[2]Entry!$E$1337)</f>
        <v/>
      </c>
      <c r="M1334">
        <f>IF([2]Entry!$G$1337="","",[2]Entry!$G$1337)</f>
        <v/>
      </c>
      <c r="N1334">
        <f>IF([2]Entry!$M$1337="","",[2]Entry!$M$1337)</f>
        <v/>
      </c>
      <c r="O1334">
        <f>IF([2]Entry!$N$1337="","",[2]Entry!$N$1337)</f>
        <v/>
      </c>
      <c r="P1334">
        <f>IF([2]Entry!$R$1337="","",[2]Entry!$R$1337)</f>
        <v/>
      </c>
    </row>
    <row r="1335">
      <c r="J1335">
        <f>IF([2]Entry!$C$1338="","",[2]Entry!$C$1338)</f>
        <v/>
      </c>
      <c r="K1335">
        <f>IF([2]Entry!$D$1338="","",[2]Entry!$D$1338)</f>
        <v/>
      </c>
      <c r="L1335">
        <f>IF([2]Entry!$E$1338="","",[2]Entry!$E$1338)</f>
        <v/>
      </c>
      <c r="M1335">
        <f>IF([2]Entry!$G$1338="","",[2]Entry!$G$1338)</f>
        <v/>
      </c>
      <c r="N1335">
        <f>IF([2]Entry!$M$1338="","",[2]Entry!$M$1338)</f>
        <v/>
      </c>
      <c r="O1335">
        <f>IF([2]Entry!$N$1338="","",[2]Entry!$N$1338)</f>
        <v/>
      </c>
      <c r="P1335">
        <f>IF([2]Entry!$R$1338="","",[2]Entry!$R$1338)</f>
        <v/>
      </c>
    </row>
    <row r="1336">
      <c r="J1336">
        <f>IF([2]Entry!$C$1339="","",[2]Entry!$C$1339)</f>
        <v/>
      </c>
      <c r="K1336">
        <f>IF([2]Entry!$D$1339="","",[2]Entry!$D$1339)</f>
        <v/>
      </c>
      <c r="L1336">
        <f>IF([2]Entry!$E$1339="","",[2]Entry!$E$1339)</f>
        <v/>
      </c>
      <c r="M1336">
        <f>IF([2]Entry!$G$1339="","",[2]Entry!$G$1339)</f>
        <v/>
      </c>
      <c r="N1336">
        <f>IF([2]Entry!$M$1339="","",[2]Entry!$M$1339)</f>
        <v/>
      </c>
      <c r="O1336">
        <f>IF([2]Entry!$N$1339="","",[2]Entry!$N$1339)</f>
        <v/>
      </c>
      <c r="P1336">
        <f>IF([2]Entry!$R$1339="","",[2]Entry!$R$1339)</f>
        <v/>
      </c>
    </row>
    <row r="1337">
      <c r="J1337">
        <f>IF([2]Entry!$C$1340="","",[2]Entry!$C$1340)</f>
        <v/>
      </c>
      <c r="K1337">
        <f>IF([2]Entry!$D$1340="","",[2]Entry!$D$1340)</f>
        <v/>
      </c>
      <c r="L1337">
        <f>IF([2]Entry!$E$1340="","",[2]Entry!$E$1340)</f>
        <v/>
      </c>
      <c r="M1337">
        <f>IF([2]Entry!$G$1340="","",[2]Entry!$G$1340)</f>
        <v/>
      </c>
      <c r="N1337">
        <f>IF([2]Entry!$M$1340="","",[2]Entry!$M$1340)</f>
        <v/>
      </c>
      <c r="O1337">
        <f>IF([2]Entry!$N$1340="","",[2]Entry!$N$1340)</f>
        <v/>
      </c>
      <c r="P1337">
        <f>IF([2]Entry!$R$1340="","",[2]Entry!$R$1340)</f>
        <v/>
      </c>
    </row>
    <row r="1338">
      <c r="J1338">
        <f>IF([2]Entry!$C$1341="","",[2]Entry!$C$1341)</f>
        <v/>
      </c>
      <c r="K1338">
        <f>IF([2]Entry!$D$1341="","",[2]Entry!$D$1341)</f>
        <v/>
      </c>
      <c r="L1338">
        <f>IF([2]Entry!$E$1341="","",[2]Entry!$E$1341)</f>
        <v/>
      </c>
      <c r="M1338">
        <f>IF([2]Entry!$G$1341="","",[2]Entry!$G$1341)</f>
        <v/>
      </c>
      <c r="N1338">
        <f>IF([2]Entry!$M$1341="","",[2]Entry!$M$1341)</f>
        <v/>
      </c>
      <c r="O1338">
        <f>IF([2]Entry!$N$1341="","",[2]Entry!$N$1341)</f>
        <v/>
      </c>
      <c r="P1338">
        <f>IF([2]Entry!$R$1341="","",[2]Entry!$R$1341)</f>
        <v/>
      </c>
    </row>
    <row r="1339">
      <c r="J1339">
        <f>IF([2]Entry!$C$1342="","",[2]Entry!$C$1342)</f>
        <v/>
      </c>
      <c r="K1339">
        <f>IF([2]Entry!$D$1342="","",[2]Entry!$D$1342)</f>
        <v/>
      </c>
      <c r="L1339">
        <f>IF([2]Entry!$E$1342="","",[2]Entry!$E$1342)</f>
        <v/>
      </c>
      <c r="M1339">
        <f>IF([2]Entry!$G$1342="","",[2]Entry!$G$1342)</f>
        <v/>
      </c>
      <c r="N1339">
        <f>IF([2]Entry!$M$1342="","",[2]Entry!$M$1342)</f>
        <v/>
      </c>
      <c r="O1339">
        <f>IF([2]Entry!$N$1342="","",[2]Entry!$N$1342)</f>
        <v/>
      </c>
      <c r="P1339">
        <f>IF([2]Entry!$R$1342="","",[2]Entry!$R$1342)</f>
        <v/>
      </c>
    </row>
    <row r="1340">
      <c r="J1340">
        <f>IF([2]Entry!$C$1343="","",[2]Entry!$C$1343)</f>
        <v/>
      </c>
      <c r="K1340">
        <f>IF([2]Entry!$D$1343="","",[2]Entry!$D$1343)</f>
        <v/>
      </c>
      <c r="L1340">
        <f>IF([2]Entry!$E$1343="","",[2]Entry!$E$1343)</f>
        <v/>
      </c>
      <c r="M1340">
        <f>IF([2]Entry!$G$1343="","",[2]Entry!$G$1343)</f>
        <v/>
      </c>
      <c r="N1340">
        <f>IF([2]Entry!$M$1343="","",[2]Entry!$M$1343)</f>
        <v/>
      </c>
      <c r="O1340">
        <f>IF([2]Entry!$N$1343="","",[2]Entry!$N$1343)</f>
        <v/>
      </c>
      <c r="P1340">
        <f>IF([2]Entry!$R$1343="","",[2]Entry!$R$1343)</f>
        <v/>
      </c>
    </row>
    <row r="1341">
      <c r="J1341">
        <f>IF([2]Entry!$C$1344="","",[2]Entry!$C$1344)</f>
        <v/>
      </c>
      <c r="K1341">
        <f>IF([2]Entry!$D$1344="","",[2]Entry!$D$1344)</f>
        <v/>
      </c>
      <c r="L1341">
        <f>IF([2]Entry!$E$1344="","",[2]Entry!$E$1344)</f>
        <v/>
      </c>
      <c r="M1341">
        <f>IF([2]Entry!$G$1344="","",[2]Entry!$G$1344)</f>
        <v/>
      </c>
      <c r="N1341">
        <f>IF([2]Entry!$M$1344="","",[2]Entry!$M$1344)</f>
        <v/>
      </c>
      <c r="O1341">
        <f>IF([2]Entry!$N$1344="","",[2]Entry!$N$1344)</f>
        <v/>
      </c>
      <c r="P1341">
        <f>IF([2]Entry!$R$1344="","",[2]Entry!$R$1344)</f>
        <v/>
      </c>
    </row>
    <row r="1342">
      <c r="J1342">
        <f>IF([2]Entry!$C$1345="","",[2]Entry!$C$1345)</f>
        <v/>
      </c>
      <c r="K1342">
        <f>IF([2]Entry!$D$1345="","",[2]Entry!$D$1345)</f>
        <v/>
      </c>
      <c r="L1342">
        <f>IF([2]Entry!$E$1345="","",[2]Entry!$E$1345)</f>
        <v/>
      </c>
      <c r="M1342">
        <f>IF([2]Entry!$G$1345="","",[2]Entry!$G$1345)</f>
        <v/>
      </c>
      <c r="N1342">
        <f>IF([2]Entry!$M$1345="","",[2]Entry!$M$1345)</f>
        <v/>
      </c>
      <c r="O1342">
        <f>IF([2]Entry!$N$1345="","",[2]Entry!$N$1345)</f>
        <v/>
      </c>
      <c r="P1342">
        <f>IF([2]Entry!$R$1345="","",[2]Entry!$R$1345)</f>
        <v/>
      </c>
    </row>
    <row r="1343">
      <c r="J1343">
        <f>IF([2]Entry!$C$1346="","",[2]Entry!$C$1346)</f>
        <v/>
      </c>
      <c r="K1343">
        <f>IF([2]Entry!$D$1346="","",[2]Entry!$D$1346)</f>
        <v/>
      </c>
      <c r="L1343">
        <f>IF([2]Entry!$E$1346="","",[2]Entry!$E$1346)</f>
        <v/>
      </c>
      <c r="M1343">
        <f>IF([2]Entry!$G$1346="","",[2]Entry!$G$1346)</f>
        <v/>
      </c>
      <c r="N1343">
        <f>IF([2]Entry!$M$1346="","",[2]Entry!$M$1346)</f>
        <v/>
      </c>
      <c r="O1343">
        <f>IF([2]Entry!$N$1346="","",[2]Entry!$N$1346)</f>
        <v/>
      </c>
      <c r="P1343">
        <f>IF([2]Entry!$R$1346="","",[2]Entry!$R$1346)</f>
        <v/>
      </c>
    </row>
    <row r="1344">
      <c r="J1344">
        <f>IF([2]Entry!$C$1347="","",[2]Entry!$C$1347)</f>
        <v/>
      </c>
      <c r="K1344">
        <f>IF([2]Entry!$D$1347="","",[2]Entry!$D$1347)</f>
        <v/>
      </c>
      <c r="L1344">
        <f>IF([2]Entry!$E$1347="","",[2]Entry!$E$1347)</f>
        <v/>
      </c>
      <c r="M1344">
        <f>IF([2]Entry!$G$1347="","",[2]Entry!$G$1347)</f>
        <v/>
      </c>
      <c r="N1344">
        <f>IF([2]Entry!$M$1347="","",[2]Entry!$M$1347)</f>
        <v/>
      </c>
      <c r="O1344">
        <f>IF([2]Entry!$N$1347="","",[2]Entry!$N$1347)</f>
        <v/>
      </c>
      <c r="P1344">
        <f>IF([2]Entry!$R$1347="","",[2]Entry!$R$1347)</f>
        <v/>
      </c>
    </row>
    <row r="1345">
      <c r="J1345">
        <f>IF([2]Entry!$C$1348="","",[2]Entry!$C$1348)</f>
        <v/>
      </c>
      <c r="K1345">
        <f>IF([2]Entry!$D$1348="","",[2]Entry!$D$1348)</f>
        <v/>
      </c>
      <c r="L1345">
        <f>IF([2]Entry!$E$1348="","",[2]Entry!$E$1348)</f>
        <v/>
      </c>
      <c r="M1345">
        <f>IF([2]Entry!$G$1348="","",[2]Entry!$G$1348)</f>
        <v/>
      </c>
      <c r="N1345">
        <f>IF([2]Entry!$M$1348="","",[2]Entry!$M$1348)</f>
        <v/>
      </c>
      <c r="O1345">
        <f>IF([2]Entry!$N$1348="","",[2]Entry!$N$1348)</f>
        <v/>
      </c>
      <c r="P1345">
        <f>IF([2]Entry!$R$1348="","",[2]Entry!$R$1348)</f>
        <v/>
      </c>
    </row>
    <row r="1346">
      <c r="J1346">
        <f>IF([2]Entry!$C$1349="","",[2]Entry!$C$1349)</f>
        <v/>
      </c>
      <c r="K1346">
        <f>IF([2]Entry!$D$1349="","",[2]Entry!$D$1349)</f>
        <v/>
      </c>
      <c r="L1346">
        <f>IF([2]Entry!$E$1349="","",[2]Entry!$E$1349)</f>
        <v/>
      </c>
      <c r="M1346">
        <f>IF([2]Entry!$G$1349="","",[2]Entry!$G$1349)</f>
        <v/>
      </c>
      <c r="N1346">
        <f>IF([2]Entry!$M$1349="","",[2]Entry!$M$1349)</f>
        <v/>
      </c>
      <c r="O1346">
        <f>IF([2]Entry!$N$1349="","",[2]Entry!$N$1349)</f>
        <v/>
      </c>
      <c r="P1346">
        <f>IF([2]Entry!$R$1349="","",[2]Entry!$R$1349)</f>
        <v/>
      </c>
    </row>
    <row r="1347">
      <c r="J1347">
        <f>IF([2]Entry!$C$1350="","",[2]Entry!$C$1350)</f>
        <v/>
      </c>
      <c r="K1347">
        <f>IF([2]Entry!$D$1350="","",[2]Entry!$D$1350)</f>
        <v/>
      </c>
      <c r="L1347">
        <f>IF([2]Entry!$E$1350="","",[2]Entry!$E$1350)</f>
        <v/>
      </c>
      <c r="M1347">
        <f>IF([2]Entry!$G$1350="","",[2]Entry!$G$1350)</f>
        <v/>
      </c>
      <c r="N1347">
        <f>IF([2]Entry!$M$1350="","",[2]Entry!$M$1350)</f>
        <v/>
      </c>
      <c r="O1347">
        <f>IF([2]Entry!$N$1350="","",[2]Entry!$N$1350)</f>
        <v/>
      </c>
      <c r="P1347">
        <f>IF([2]Entry!$R$1350="","",[2]Entry!$R$1350)</f>
        <v/>
      </c>
    </row>
    <row r="1348">
      <c r="J1348">
        <f>IF([2]Entry!$C$1351="","",[2]Entry!$C$1351)</f>
        <v/>
      </c>
      <c r="K1348">
        <f>IF([2]Entry!$D$1351="","",[2]Entry!$D$1351)</f>
        <v/>
      </c>
      <c r="L1348">
        <f>IF([2]Entry!$E$1351="","",[2]Entry!$E$1351)</f>
        <v/>
      </c>
      <c r="M1348">
        <f>IF([2]Entry!$G$1351="","",[2]Entry!$G$1351)</f>
        <v/>
      </c>
      <c r="N1348">
        <f>IF([2]Entry!$M$1351="","",[2]Entry!$M$1351)</f>
        <v/>
      </c>
      <c r="O1348">
        <f>IF([2]Entry!$N$1351="","",[2]Entry!$N$1351)</f>
        <v/>
      </c>
      <c r="P1348">
        <f>IF([2]Entry!$R$1351="","",[2]Entry!$R$1351)</f>
        <v/>
      </c>
    </row>
    <row r="1349">
      <c r="J1349">
        <f>IF([2]Entry!$C$1352="","",[2]Entry!$C$1352)</f>
        <v/>
      </c>
      <c r="K1349">
        <f>IF([2]Entry!$D$1352="","",[2]Entry!$D$1352)</f>
        <v/>
      </c>
      <c r="L1349">
        <f>IF([2]Entry!$E$1352="","",[2]Entry!$E$1352)</f>
        <v/>
      </c>
      <c r="M1349">
        <f>IF([2]Entry!$G$1352="","",[2]Entry!$G$1352)</f>
        <v/>
      </c>
      <c r="N1349">
        <f>IF([2]Entry!$M$1352="","",[2]Entry!$M$1352)</f>
        <v/>
      </c>
      <c r="O1349">
        <f>IF([2]Entry!$N$1352="","",[2]Entry!$N$1352)</f>
        <v/>
      </c>
      <c r="P1349">
        <f>IF([2]Entry!$R$1352="","",[2]Entry!$R$1352)</f>
        <v/>
      </c>
    </row>
    <row r="1350">
      <c r="J1350">
        <f>IF([2]Entry!$C$1353="","",[2]Entry!$C$1353)</f>
        <v/>
      </c>
      <c r="K1350">
        <f>IF([2]Entry!$D$1353="","",[2]Entry!$D$1353)</f>
        <v/>
      </c>
      <c r="L1350">
        <f>IF([2]Entry!$E$1353="","",[2]Entry!$E$1353)</f>
        <v/>
      </c>
      <c r="M1350">
        <f>IF([2]Entry!$G$1353="","",[2]Entry!$G$1353)</f>
        <v/>
      </c>
      <c r="N1350">
        <f>IF([2]Entry!$M$1353="","",[2]Entry!$M$1353)</f>
        <v/>
      </c>
      <c r="O1350">
        <f>IF([2]Entry!$N$1353="","",[2]Entry!$N$1353)</f>
        <v/>
      </c>
      <c r="P1350">
        <f>IF([2]Entry!$R$1353="","",[2]Entry!$R$1353)</f>
        <v/>
      </c>
    </row>
    <row r="1351">
      <c r="J1351">
        <f>IF([2]Entry!$C$1354="","",[2]Entry!$C$1354)</f>
        <v/>
      </c>
      <c r="K1351">
        <f>IF([2]Entry!$D$1354="","",[2]Entry!$D$1354)</f>
        <v/>
      </c>
      <c r="L1351">
        <f>IF([2]Entry!$E$1354="","",[2]Entry!$E$1354)</f>
        <v/>
      </c>
      <c r="M1351">
        <f>IF([2]Entry!$G$1354="","",[2]Entry!$G$1354)</f>
        <v/>
      </c>
      <c r="N1351">
        <f>IF([2]Entry!$M$1354="","",[2]Entry!$M$1354)</f>
        <v/>
      </c>
      <c r="O1351">
        <f>IF([2]Entry!$N$1354="","",[2]Entry!$N$1354)</f>
        <v/>
      </c>
      <c r="P1351">
        <f>IF([2]Entry!$R$1354="","",[2]Entry!$R$1354)</f>
        <v/>
      </c>
    </row>
    <row r="1352">
      <c r="J1352">
        <f>IF([2]Entry!$C$1355="","",[2]Entry!$C$1355)</f>
        <v/>
      </c>
      <c r="K1352">
        <f>IF([2]Entry!$D$1355="","",[2]Entry!$D$1355)</f>
        <v/>
      </c>
      <c r="L1352">
        <f>IF([2]Entry!$E$1355="","",[2]Entry!$E$1355)</f>
        <v/>
      </c>
      <c r="M1352">
        <f>IF([2]Entry!$G$1355="","",[2]Entry!$G$1355)</f>
        <v/>
      </c>
      <c r="N1352">
        <f>IF([2]Entry!$M$1355="","",[2]Entry!$M$1355)</f>
        <v/>
      </c>
      <c r="O1352">
        <f>IF([2]Entry!$N$1355="","",[2]Entry!$N$1355)</f>
        <v/>
      </c>
      <c r="P1352">
        <f>IF([2]Entry!$R$1355="","",[2]Entry!$R$1355)</f>
        <v/>
      </c>
    </row>
    <row r="1353">
      <c r="J1353">
        <f>IF([2]Entry!$C$1356="","",[2]Entry!$C$1356)</f>
        <v/>
      </c>
      <c r="K1353">
        <f>IF([2]Entry!$D$1356="","",[2]Entry!$D$1356)</f>
        <v/>
      </c>
      <c r="L1353">
        <f>IF([2]Entry!$E$1356="","",[2]Entry!$E$1356)</f>
        <v/>
      </c>
      <c r="M1353">
        <f>IF([2]Entry!$G$1356="","",[2]Entry!$G$1356)</f>
        <v/>
      </c>
      <c r="N1353">
        <f>IF([2]Entry!$M$1356="","",[2]Entry!$M$1356)</f>
        <v/>
      </c>
      <c r="O1353">
        <f>IF([2]Entry!$N$1356="","",[2]Entry!$N$1356)</f>
        <v/>
      </c>
      <c r="P1353">
        <f>IF([2]Entry!$R$1356="","",[2]Entry!$R$1356)</f>
        <v/>
      </c>
    </row>
    <row r="1354">
      <c r="J1354">
        <f>IF([2]Entry!$C$1357="","",[2]Entry!$C$1357)</f>
        <v/>
      </c>
      <c r="K1354">
        <f>IF([2]Entry!$D$1357="","",[2]Entry!$D$1357)</f>
        <v/>
      </c>
      <c r="L1354">
        <f>IF([2]Entry!$E$1357="","",[2]Entry!$E$1357)</f>
        <v/>
      </c>
      <c r="M1354">
        <f>IF([2]Entry!$G$1357="","",[2]Entry!$G$1357)</f>
        <v/>
      </c>
      <c r="N1354">
        <f>IF([2]Entry!$M$1357="","",[2]Entry!$M$1357)</f>
        <v/>
      </c>
      <c r="O1354">
        <f>IF([2]Entry!$N$1357="","",[2]Entry!$N$1357)</f>
        <v/>
      </c>
      <c r="P1354">
        <f>IF([2]Entry!$R$1357="","",[2]Entry!$R$1357)</f>
        <v/>
      </c>
    </row>
    <row r="1355">
      <c r="J1355">
        <f>IF([2]Entry!$C$1358="","",[2]Entry!$C$1358)</f>
        <v/>
      </c>
      <c r="K1355">
        <f>IF([2]Entry!$D$1358="","",[2]Entry!$D$1358)</f>
        <v/>
      </c>
      <c r="L1355">
        <f>IF([2]Entry!$E$1358="","",[2]Entry!$E$1358)</f>
        <v/>
      </c>
      <c r="M1355">
        <f>IF([2]Entry!$G$1358="","",[2]Entry!$G$1358)</f>
        <v/>
      </c>
      <c r="N1355">
        <f>IF([2]Entry!$M$1358="","",[2]Entry!$M$1358)</f>
        <v/>
      </c>
      <c r="O1355">
        <f>IF([2]Entry!$N$1358="","",[2]Entry!$N$1358)</f>
        <v/>
      </c>
      <c r="P1355">
        <f>IF([2]Entry!$R$1358="","",[2]Entry!$R$1358)</f>
        <v/>
      </c>
    </row>
    <row r="1356">
      <c r="J1356">
        <f>IF([2]Entry!$C$1359="","",[2]Entry!$C$1359)</f>
        <v/>
      </c>
      <c r="K1356">
        <f>IF([2]Entry!$D$1359="","",[2]Entry!$D$1359)</f>
        <v/>
      </c>
      <c r="L1356">
        <f>IF([2]Entry!$E$1359="","",[2]Entry!$E$1359)</f>
        <v/>
      </c>
      <c r="M1356">
        <f>IF([2]Entry!$G$1359="","",[2]Entry!$G$1359)</f>
        <v/>
      </c>
      <c r="N1356">
        <f>IF([2]Entry!$M$1359="","",[2]Entry!$M$1359)</f>
        <v/>
      </c>
      <c r="O1356">
        <f>IF([2]Entry!$N$1359="","",[2]Entry!$N$1359)</f>
        <v/>
      </c>
      <c r="P1356">
        <f>IF([2]Entry!$R$1359="","",[2]Entry!$R$1359)</f>
        <v/>
      </c>
    </row>
    <row r="1357">
      <c r="J1357">
        <f>IF([2]Entry!$C$1360="","",[2]Entry!$C$1360)</f>
        <v/>
      </c>
      <c r="K1357">
        <f>IF([2]Entry!$D$1360="","",[2]Entry!$D$1360)</f>
        <v/>
      </c>
      <c r="L1357">
        <f>IF([2]Entry!$E$1360="","",[2]Entry!$E$1360)</f>
        <v/>
      </c>
      <c r="M1357">
        <f>IF([2]Entry!$G$1360="","",[2]Entry!$G$1360)</f>
        <v/>
      </c>
      <c r="N1357">
        <f>IF([2]Entry!$M$1360="","",[2]Entry!$M$1360)</f>
        <v/>
      </c>
      <c r="O1357">
        <f>IF([2]Entry!$N$1360="","",[2]Entry!$N$1360)</f>
        <v/>
      </c>
      <c r="P1357">
        <f>IF([2]Entry!$R$1360="","",[2]Entry!$R$1360)</f>
        <v/>
      </c>
    </row>
    <row r="1358">
      <c r="J1358">
        <f>IF([2]Entry!$C$1361="","",[2]Entry!$C$1361)</f>
        <v/>
      </c>
      <c r="K1358">
        <f>IF([2]Entry!$D$1361="","",[2]Entry!$D$1361)</f>
        <v/>
      </c>
      <c r="L1358">
        <f>IF([2]Entry!$E$1361="","",[2]Entry!$E$1361)</f>
        <v/>
      </c>
      <c r="M1358">
        <f>IF([2]Entry!$G$1361="","",[2]Entry!$G$1361)</f>
        <v/>
      </c>
      <c r="N1358">
        <f>IF([2]Entry!$M$1361="","",[2]Entry!$M$1361)</f>
        <v/>
      </c>
      <c r="O1358">
        <f>IF([2]Entry!$N$1361="","",[2]Entry!$N$1361)</f>
        <v/>
      </c>
      <c r="P1358">
        <f>IF([2]Entry!$R$1361="","",[2]Entry!$R$1361)</f>
        <v/>
      </c>
    </row>
    <row r="1359">
      <c r="J1359">
        <f>IF([2]Entry!$C$1362="","",[2]Entry!$C$1362)</f>
        <v/>
      </c>
      <c r="K1359">
        <f>IF([2]Entry!$D$1362="","",[2]Entry!$D$1362)</f>
        <v/>
      </c>
      <c r="L1359">
        <f>IF([2]Entry!$E$1362="","",[2]Entry!$E$1362)</f>
        <v/>
      </c>
      <c r="M1359">
        <f>IF([2]Entry!$G$1362="","",[2]Entry!$G$1362)</f>
        <v/>
      </c>
      <c r="N1359">
        <f>IF([2]Entry!$M$1362="","",[2]Entry!$M$1362)</f>
        <v/>
      </c>
      <c r="O1359">
        <f>IF([2]Entry!$N$1362="","",[2]Entry!$N$1362)</f>
        <v/>
      </c>
      <c r="P1359">
        <f>IF([2]Entry!$R$1362="","",[2]Entry!$R$1362)</f>
        <v/>
      </c>
    </row>
    <row r="1360">
      <c r="J1360">
        <f>IF([2]Entry!$C$1363="","",[2]Entry!$C$1363)</f>
        <v/>
      </c>
      <c r="K1360">
        <f>IF([2]Entry!$D$1363="","",[2]Entry!$D$1363)</f>
        <v/>
      </c>
      <c r="L1360">
        <f>IF([2]Entry!$E$1363="","",[2]Entry!$E$1363)</f>
        <v/>
      </c>
      <c r="M1360">
        <f>IF([2]Entry!$G$1363="","",[2]Entry!$G$1363)</f>
        <v/>
      </c>
      <c r="N1360">
        <f>IF([2]Entry!$M$1363="","",[2]Entry!$M$1363)</f>
        <v/>
      </c>
      <c r="O1360">
        <f>IF([2]Entry!$N$1363="","",[2]Entry!$N$1363)</f>
        <v/>
      </c>
      <c r="P1360">
        <f>IF([2]Entry!$R$1363="","",[2]Entry!$R$1363)</f>
        <v/>
      </c>
    </row>
    <row r="1361">
      <c r="J1361">
        <f>IF([2]Entry!$C$1364="","",[2]Entry!$C$1364)</f>
        <v/>
      </c>
      <c r="K1361">
        <f>IF([2]Entry!$D$1364="","",[2]Entry!$D$1364)</f>
        <v/>
      </c>
      <c r="L1361">
        <f>IF([2]Entry!$E$1364="","",[2]Entry!$E$1364)</f>
        <v/>
      </c>
      <c r="M1361">
        <f>IF([2]Entry!$G$1364="","",[2]Entry!$G$1364)</f>
        <v/>
      </c>
      <c r="N1361">
        <f>IF([2]Entry!$M$1364="","",[2]Entry!$M$1364)</f>
        <v/>
      </c>
      <c r="O1361">
        <f>IF([2]Entry!$N$1364="","",[2]Entry!$N$1364)</f>
        <v/>
      </c>
      <c r="P1361">
        <f>IF([2]Entry!$R$1364="","",[2]Entry!$R$1364)</f>
        <v/>
      </c>
    </row>
    <row r="1362">
      <c r="J1362">
        <f>IF([2]Entry!$C$1365="","",[2]Entry!$C$1365)</f>
        <v/>
      </c>
      <c r="K1362">
        <f>IF([2]Entry!$D$1365="","",[2]Entry!$D$1365)</f>
        <v/>
      </c>
      <c r="L1362">
        <f>IF([2]Entry!$E$1365="","",[2]Entry!$E$1365)</f>
        <v/>
      </c>
      <c r="M1362">
        <f>IF([2]Entry!$G$1365="","",[2]Entry!$G$1365)</f>
        <v/>
      </c>
      <c r="N1362">
        <f>IF([2]Entry!$M$1365="","",[2]Entry!$M$1365)</f>
        <v/>
      </c>
      <c r="O1362">
        <f>IF([2]Entry!$N$1365="","",[2]Entry!$N$1365)</f>
        <v/>
      </c>
      <c r="P1362">
        <f>IF([2]Entry!$R$1365="","",[2]Entry!$R$1365)</f>
        <v/>
      </c>
    </row>
    <row r="1363">
      <c r="J1363">
        <f>IF([2]Entry!$C$1366="","",[2]Entry!$C$1366)</f>
        <v/>
      </c>
      <c r="K1363">
        <f>IF([2]Entry!$D$1366="","",[2]Entry!$D$1366)</f>
        <v/>
      </c>
      <c r="L1363">
        <f>IF([2]Entry!$E$1366="","",[2]Entry!$E$1366)</f>
        <v/>
      </c>
      <c r="M1363">
        <f>IF([2]Entry!$G$1366="","",[2]Entry!$G$1366)</f>
        <v/>
      </c>
      <c r="N1363">
        <f>IF([2]Entry!$M$1366="","",[2]Entry!$M$1366)</f>
        <v/>
      </c>
      <c r="O1363">
        <f>IF([2]Entry!$N$1366="","",[2]Entry!$N$1366)</f>
        <v/>
      </c>
      <c r="P1363">
        <f>IF([2]Entry!$R$1366="","",[2]Entry!$R$1366)</f>
        <v/>
      </c>
    </row>
    <row r="1364">
      <c r="J1364">
        <f>IF([2]Entry!$C$1367="","",[2]Entry!$C$1367)</f>
        <v/>
      </c>
      <c r="K1364">
        <f>IF([2]Entry!$D$1367="","",[2]Entry!$D$1367)</f>
        <v/>
      </c>
      <c r="L1364">
        <f>IF([2]Entry!$E$1367="","",[2]Entry!$E$1367)</f>
        <v/>
      </c>
      <c r="M1364">
        <f>IF([2]Entry!$G$1367="","",[2]Entry!$G$1367)</f>
        <v/>
      </c>
      <c r="N1364">
        <f>IF([2]Entry!$M$1367="","",[2]Entry!$M$1367)</f>
        <v/>
      </c>
      <c r="O1364">
        <f>IF([2]Entry!$N$1367="","",[2]Entry!$N$1367)</f>
        <v/>
      </c>
      <c r="P1364">
        <f>IF([2]Entry!$R$1367="","",[2]Entry!$R$1367)</f>
        <v/>
      </c>
    </row>
    <row r="1365">
      <c r="J1365">
        <f>IF([2]Entry!$C$1368="","",[2]Entry!$C$1368)</f>
        <v/>
      </c>
      <c r="K1365">
        <f>IF([2]Entry!$D$1368="","",[2]Entry!$D$1368)</f>
        <v/>
      </c>
      <c r="L1365">
        <f>IF([2]Entry!$E$1368="","",[2]Entry!$E$1368)</f>
        <v/>
      </c>
      <c r="M1365">
        <f>IF([2]Entry!$G$1368="","",[2]Entry!$G$1368)</f>
        <v/>
      </c>
      <c r="N1365">
        <f>IF([2]Entry!$M$1368="","",[2]Entry!$M$1368)</f>
        <v/>
      </c>
      <c r="O1365">
        <f>IF([2]Entry!$N$1368="","",[2]Entry!$N$1368)</f>
        <v/>
      </c>
      <c r="P1365">
        <f>IF([2]Entry!$R$1368="","",[2]Entry!$R$1368)</f>
        <v/>
      </c>
    </row>
    <row r="1366">
      <c r="J1366">
        <f>IF([2]Entry!$C$1369="","",[2]Entry!$C$1369)</f>
        <v/>
      </c>
      <c r="K1366">
        <f>IF([2]Entry!$D$1369="","",[2]Entry!$D$1369)</f>
        <v/>
      </c>
      <c r="L1366">
        <f>IF([2]Entry!$E$1369="","",[2]Entry!$E$1369)</f>
        <v/>
      </c>
      <c r="M1366">
        <f>IF([2]Entry!$G$1369="","",[2]Entry!$G$1369)</f>
        <v/>
      </c>
      <c r="N1366">
        <f>IF([2]Entry!$M$1369="","",[2]Entry!$M$1369)</f>
        <v/>
      </c>
      <c r="O1366">
        <f>IF([2]Entry!$N$1369="","",[2]Entry!$N$1369)</f>
        <v/>
      </c>
      <c r="P1366">
        <f>IF([2]Entry!$R$1369="","",[2]Entry!$R$1369)</f>
        <v/>
      </c>
    </row>
    <row r="1367">
      <c r="J1367">
        <f>IF([2]Entry!$C$1370="","",[2]Entry!$C$1370)</f>
        <v/>
      </c>
      <c r="K1367">
        <f>IF([2]Entry!$D$1370="","",[2]Entry!$D$1370)</f>
        <v/>
      </c>
      <c r="L1367">
        <f>IF([2]Entry!$E$1370="","",[2]Entry!$E$1370)</f>
        <v/>
      </c>
      <c r="M1367">
        <f>IF([2]Entry!$G$1370="","",[2]Entry!$G$1370)</f>
        <v/>
      </c>
      <c r="N1367">
        <f>IF([2]Entry!$M$1370="","",[2]Entry!$M$1370)</f>
        <v/>
      </c>
      <c r="O1367">
        <f>IF([2]Entry!$N$1370="","",[2]Entry!$N$1370)</f>
        <v/>
      </c>
      <c r="P1367">
        <f>IF([2]Entry!$R$1370="","",[2]Entry!$R$1370)</f>
        <v/>
      </c>
    </row>
    <row r="1368">
      <c r="J1368">
        <f>IF([2]Entry!$C$1371="","",[2]Entry!$C$1371)</f>
        <v/>
      </c>
      <c r="K1368">
        <f>IF([2]Entry!$D$1371="","",[2]Entry!$D$1371)</f>
        <v/>
      </c>
      <c r="L1368">
        <f>IF([2]Entry!$E$1371="","",[2]Entry!$E$1371)</f>
        <v/>
      </c>
      <c r="M1368">
        <f>IF([2]Entry!$G$1371="","",[2]Entry!$G$1371)</f>
        <v/>
      </c>
      <c r="N1368">
        <f>IF([2]Entry!$M$1371="","",[2]Entry!$M$1371)</f>
        <v/>
      </c>
      <c r="O1368">
        <f>IF([2]Entry!$N$1371="","",[2]Entry!$N$1371)</f>
        <v/>
      </c>
      <c r="P1368">
        <f>IF([2]Entry!$R$1371="","",[2]Entry!$R$1371)</f>
        <v/>
      </c>
    </row>
    <row r="1369">
      <c r="J1369">
        <f>IF([2]Entry!$C$1372="","",[2]Entry!$C$1372)</f>
        <v/>
      </c>
      <c r="K1369">
        <f>IF([2]Entry!$D$1372="","",[2]Entry!$D$1372)</f>
        <v/>
      </c>
      <c r="L1369">
        <f>IF([2]Entry!$E$1372="","",[2]Entry!$E$1372)</f>
        <v/>
      </c>
      <c r="M1369">
        <f>IF([2]Entry!$G$1372="","",[2]Entry!$G$1372)</f>
        <v/>
      </c>
      <c r="N1369">
        <f>IF([2]Entry!$M$1372="","",[2]Entry!$M$1372)</f>
        <v/>
      </c>
      <c r="O1369">
        <f>IF([2]Entry!$N$1372="","",[2]Entry!$N$1372)</f>
        <v/>
      </c>
      <c r="P1369">
        <f>IF([2]Entry!$R$1372="","",[2]Entry!$R$1372)</f>
        <v/>
      </c>
    </row>
    <row r="1370">
      <c r="J1370">
        <f>IF([2]Entry!$C$1373="","",[2]Entry!$C$1373)</f>
        <v/>
      </c>
      <c r="K1370">
        <f>IF([2]Entry!$D$1373="","",[2]Entry!$D$1373)</f>
        <v/>
      </c>
      <c r="L1370">
        <f>IF([2]Entry!$E$1373="","",[2]Entry!$E$1373)</f>
        <v/>
      </c>
      <c r="M1370">
        <f>IF([2]Entry!$G$1373="","",[2]Entry!$G$1373)</f>
        <v/>
      </c>
      <c r="N1370">
        <f>IF([2]Entry!$M$1373="","",[2]Entry!$M$1373)</f>
        <v/>
      </c>
      <c r="O1370">
        <f>IF([2]Entry!$N$1373="","",[2]Entry!$N$1373)</f>
        <v/>
      </c>
      <c r="P1370">
        <f>IF([2]Entry!$R$1373="","",[2]Entry!$R$1373)</f>
        <v/>
      </c>
    </row>
    <row r="1371">
      <c r="J1371">
        <f>IF([2]Entry!$C$1374="","",[2]Entry!$C$1374)</f>
        <v/>
      </c>
      <c r="K1371">
        <f>IF([2]Entry!$D$1374="","",[2]Entry!$D$1374)</f>
        <v/>
      </c>
      <c r="L1371">
        <f>IF([2]Entry!$E$1374="","",[2]Entry!$E$1374)</f>
        <v/>
      </c>
      <c r="M1371">
        <f>IF([2]Entry!$G$1374="","",[2]Entry!$G$1374)</f>
        <v/>
      </c>
      <c r="N1371">
        <f>IF([2]Entry!$M$1374="","",[2]Entry!$M$1374)</f>
        <v/>
      </c>
      <c r="O1371">
        <f>IF([2]Entry!$N$1374="","",[2]Entry!$N$1374)</f>
        <v/>
      </c>
      <c r="P1371">
        <f>IF([2]Entry!$R$1374="","",[2]Entry!$R$1374)</f>
        <v/>
      </c>
    </row>
    <row r="1372">
      <c r="J1372">
        <f>IF([2]Entry!$C$1375="","",[2]Entry!$C$1375)</f>
        <v/>
      </c>
      <c r="K1372">
        <f>IF([2]Entry!$D$1375="","",[2]Entry!$D$1375)</f>
        <v/>
      </c>
      <c r="L1372">
        <f>IF([2]Entry!$E$1375="","",[2]Entry!$E$1375)</f>
        <v/>
      </c>
      <c r="M1372">
        <f>IF([2]Entry!$G$1375="","",[2]Entry!$G$1375)</f>
        <v/>
      </c>
      <c r="N1372">
        <f>IF([2]Entry!$M$1375="","",[2]Entry!$M$1375)</f>
        <v/>
      </c>
      <c r="O1372">
        <f>IF([2]Entry!$N$1375="","",[2]Entry!$N$1375)</f>
        <v/>
      </c>
      <c r="P1372">
        <f>IF([2]Entry!$R$1375="","",[2]Entry!$R$1375)</f>
        <v/>
      </c>
    </row>
    <row r="1373">
      <c r="J1373">
        <f>IF([2]Entry!$C$1376="","",[2]Entry!$C$1376)</f>
        <v/>
      </c>
      <c r="K1373">
        <f>IF([2]Entry!$D$1376="","",[2]Entry!$D$1376)</f>
        <v/>
      </c>
      <c r="L1373">
        <f>IF([2]Entry!$E$1376="","",[2]Entry!$E$1376)</f>
        <v/>
      </c>
      <c r="M1373">
        <f>IF([2]Entry!$G$1376="","",[2]Entry!$G$1376)</f>
        <v/>
      </c>
      <c r="N1373">
        <f>IF([2]Entry!$M$1376="","",[2]Entry!$M$1376)</f>
        <v/>
      </c>
      <c r="O1373">
        <f>IF([2]Entry!$N$1376="","",[2]Entry!$N$1376)</f>
        <v/>
      </c>
      <c r="P1373">
        <f>IF([2]Entry!$R$1376="","",[2]Entry!$R$1376)</f>
        <v/>
      </c>
    </row>
    <row r="1374">
      <c r="J1374">
        <f>IF([2]Entry!$C$1377="","",[2]Entry!$C$1377)</f>
        <v/>
      </c>
      <c r="K1374">
        <f>IF([2]Entry!$D$1377="","",[2]Entry!$D$1377)</f>
        <v/>
      </c>
      <c r="L1374">
        <f>IF([2]Entry!$E$1377="","",[2]Entry!$E$1377)</f>
        <v/>
      </c>
      <c r="M1374">
        <f>IF([2]Entry!$G$1377="","",[2]Entry!$G$1377)</f>
        <v/>
      </c>
      <c r="N1374">
        <f>IF([2]Entry!$M$1377="","",[2]Entry!$M$1377)</f>
        <v/>
      </c>
      <c r="O1374">
        <f>IF([2]Entry!$N$1377="","",[2]Entry!$N$1377)</f>
        <v/>
      </c>
      <c r="P1374">
        <f>IF([2]Entry!$R$1377="","",[2]Entry!$R$1377)</f>
        <v/>
      </c>
    </row>
    <row r="1375">
      <c r="J1375">
        <f>IF([2]Entry!$C$1378="","",[2]Entry!$C$1378)</f>
        <v/>
      </c>
      <c r="K1375">
        <f>IF([2]Entry!$D$1378="","",[2]Entry!$D$1378)</f>
        <v/>
      </c>
      <c r="L1375">
        <f>IF([2]Entry!$E$1378="","",[2]Entry!$E$1378)</f>
        <v/>
      </c>
      <c r="M1375">
        <f>IF([2]Entry!$G$1378="","",[2]Entry!$G$1378)</f>
        <v/>
      </c>
      <c r="N1375">
        <f>IF([2]Entry!$M$1378="","",[2]Entry!$M$1378)</f>
        <v/>
      </c>
      <c r="O1375">
        <f>IF([2]Entry!$N$1378="","",[2]Entry!$N$1378)</f>
        <v/>
      </c>
      <c r="P1375">
        <f>IF([2]Entry!$R$1378="","",[2]Entry!$R$1378)</f>
        <v/>
      </c>
    </row>
    <row r="1376">
      <c r="J1376">
        <f>IF([2]Entry!$C$1379="","",[2]Entry!$C$1379)</f>
        <v/>
      </c>
      <c r="K1376">
        <f>IF([2]Entry!$D$1379="","",[2]Entry!$D$1379)</f>
        <v/>
      </c>
      <c r="L1376">
        <f>IF([2]Entry!$E$1379="","",[2]Entry!$E$1379)</f>
        <v/>
      </c>
      <c r="M1376">
        <f>IF([2]Entry!$G$1379="","",[2]Entry!$G$1379)</f>
        <v/>
      </c>
      <c r="N1376">
        <f>IF([2]Entry!$M$1379="","",[2]Entry!$M$1379)</f>
        <v/>
      </c>
      <c r="O1376">
        <f>IF([2]Entry!$N$1379="","",[2]Entry!$N$1379)</f>
        <v/>
      </c>
      <c r="P1376">
        <f>IF([2]Entry!$R$1379="","",[2]Entry!$R$1379)</f>
        <v/>
      </c>
    </row>
    <row r="1377">
      <c r="J1377">
        <f>IF([2]Entry!$C$1380="","",[2]Entry!$C$1380)</f>
        <v/>
      </c>
      <c r="K1377">
        <f>IF([2]Entry!$D$1380="","",[2]Entry!$D$1380)</f>
        <v/>
      </c>
      <c r="L1377">
        <f>IF([2]Entry!$E$1380="","",[2]Entry!$E$1380)</f>
        <v/>
      </c>
      <c r="M1377">
        <f>IF([2]Entry!$G$1380="","",[2]Entry!$G$1380)</f>
        <v/>
      </c>
      <c r="N1377">
        <f>IF([2]Entry!$M$1380="","",[2]Entry!$M$1380)</f>
        <v/>
      </c>
      <c r="O1377">
        <f>IF([2]Entry!$N$1380="","",[2]Entry!$N$1380)</f>
        <v/>
      </c>
      <c r="P1377">
        <f>IF([2]Entry!$R$1380="","",[2]Entry!$R$1380)</f>
        <v/>
      </c>
    </row>
    <row r="1378">
      <c r="J1378">
        <f>IF([2]Entry!$C$1381="","",[2]Entry!$C$1381)</f>
        <v/>
      </c>
      <c r="K1378">
        <f>IF([2]Entry!$D$1381="","",[2]Entry!$D$1381)</f>
        <v/>
      </c>
      <c r="L1378">
        <f>IF([2]Entry!$E$1381="","",[2]Entry!$E$1381)</f>
        <v/>
      </c>
      <c r="M1378">
        <f>IF([2]Entry!$G$1381="","",[2]Entry!$G$1381)</f>
        <v/>
      </c>
      <c r="N1378">
        <f>IF([2]Entry!$M$1381="","",[2]Entry!$M$1381)</f>
        <v/>
      </c>
      <c r="O1378">
        <f>IF([2]Entry!$N$1381="","",[2]Entry!$N$1381)</f>
        <v/>
      </c>
      <c r="P1378">
        <f>IF([2]Entry!$R$1381="","",[2]Entry!$R$1381)</f>
        <v/>
      </c>
    </row>
    <row r="1379">
      <c r="J1379">
        <f>IF([2]Entry!$C$1382="","",[2]Entry!$C$1382)</f>
        <v/>
      </c>
      <c r="K1379">
        <f>IF([2]Entry!$D$1382="","",[2]Entry!$D$1382)</f>
        <v/>
      </c>
      <c r="L1379">
        <f>IF([2]Entry!$E$1382="","",[2]Entry!$E$1382)</f>
        <v/>
      </c>
      <c r="M1379">
        <f>IF([2]Entry!$G$1382="","",[2]Entry!$G$1382)</f>
        <v/>
      </c>
      <c r="N1379">
        <f>IF([2]Entry!$M$1382="","",[2]Entry!$M$1382)</f>
        <v/>
      </c>
      <c r="O1379">
        <f>IF([2]Entry!$N$1382="","",[2]Entry!$N$1382)</f>
        <v/>
      </c>
      <c r="P1379">
        <f>IF([2]Entry!$R$1382="","",[2]Entry!$R$1382)</f>
        <v/>
      </c>
    </row>
    <row r="1380">
      <c r="J1380">
        <f>IF([2]Entry!$C$1383="","",[2]Entry!$C$1383)</f>
        <v/>
      </c>
      <c r="K1380">
        <f>IF([2]Entry!$D$1383="","",[2]Entry!$D$1383)</f>
        <v/>
      </c>
      <c r="L1380">
        <f>IF([2]Entry!$E$1383="","",[2]Entry!$E$1383)</f>
        <v/>
      </c>
      <c r="M1380">
        <f>IF([2]Entry!$G$1383="","",[2]Entry!$G$1383)</f>
        <v/>
      </c>
      <c r="N1380">
        <f>IF([2]Entry!$M$1383="","",[2]Entry!$M$1383)</f>
        <v/>
      </c>
      <c r="O1380">
        <f>IF([2]Entry!$N$1383="","",[2]Entry!$N$1383)</f>
        <v/>
      </c>
      <c r="P1380">
        <f>IF([2]Entry!$R$1383="","",[2]Entry!$R$1383)</f>
        <v/>
      </c>
    </row>
    <row r="1381">
      <c r="J1381">
        <f>IF([2]Entry!$C$1384="","",[2]Entry!$C$1384)</f>
        <v/>
      </c>
      <c r="K1381">
        <f>IF([2]Entry!$D$1384="","",[2]Entry!$D$1384)</f>
        <v/>
      </c>
      <c r="L1381">
        <f>IF([2]Entry!$E$1384="","",[2]Entry!$E$1384)</f>
        <v/>
      </c>
      <c r="M1381">
        <f>IF([2]Entry!$G$1384="","",[2]Entry!$G$1384)</f>
        <v/>
      </c>
      <c r="N1381">
        <f>IF([2]Entry!$M$1384="","",[2]Entry!$M$1384)</f>
        <v/>
      </c>
      <c r="O1381">
        <f>IF([2]Entry!$N$1384="","",[2]Entry!$N$1384)</f>
        <v/>
      </c>
      <c r="P1381">
        <f>IF([2]Entry!$R$1384="","",[2]Entry!$R$1384)</f>
        <v/>
      </c>
    </row>
    <row r="1382">
      <c r="J1382">
        <f>IF([2]Entry!$C$1385="","",[2]Entry!$C$1385)</f>
        <v/>
      </c>
      <c r="K1382">
        <f>IF([2]Entry!$D$1385="","",[2]Entry!$D$1385)</f>
        <v/>
      </c>
      <c r="L1382">
        <f>IF([2]Entry!$E$1385="","",[2]Entry!$E$1385)</f>
        <v/>
      </c>
      <c r="M1382">
        <f>IF([2]Entry!$G$1385="","",[2]Entry!$G$1385)</f>
        <v/>
      </c>
      <c r="N1382">
        <f>IF([2]Entry!$M$1385="","",[2]Entry!$M$1385)</f>
        <v/>
      </c>
      <c r="O1382">
        <f>IF([2]Entry!$N$1385="","",[2]Entry!$N$1385)</f>
        <v/>
      </c>
      <c r="P1382">
        <f>IF([2]Entry!$R$1385="","",[2]Entry!$R$1385)</f>
        <v/>
      </c>
    </row>
    <row r="1383">
      <c r="J1383">
        <f>IF([2]Entry!$C$1386="","",[2]Entry!$C$1386)</f>
        <v/>
      </c>
      <c r="K1383">
        <f>IF([2]Entry!$D$1386="","",[2]Entry!$D$1386)</f>
        <v/>
      </c>
      <c r="L1383">
        <f>IF([2]Entry!$E$1386="","",[2]Entry!$E$1386)</f>
        <v/>
      </c>
      <c r="M1383">
        <f>IF([2]Entry!$G$1386="","",[2]Entry!$G$1386)</f>
        <v/>
      </c>
      <c r="N1383">
        <f>IF([2]Entry!$M$1386="","",[2]Entry!$M$1386)</f>
        <v/>
      </c>
      <c r="O1383">
        <f>IF([2]Entry!$N$1386="","",[2]Entry!$N$1386)</f>
        <v/>
      </c>
      <c r="P1383">
        <f>IF([2]Entry!$R$1386="","",[2]Entry!$R$1386)</f>
        <v/>
      </c>
    </row>
    <row r="1384">
      <c r="J1384">
        <f>IF([2]Entry!$C$1387="","",[2]Entry!$C$1387)</f>
        <v/>
      </c>
      <c r="K1384">
        <f>IF([2]Entry!$D$1387="","",[2]Entry!$D$1387)</f>
        <v/>
      </c>
      <c r="L1384">
        <f>IF([2]Entry!$E$1387="","",[2]Entry!$E$1387)</f>
        <v/>
      </c>
      <c r="M1384">
        <f>IF([2]Entry!$G$1387="","",[2]Entry!$G$1387)</f>
        <v/>
      </c>
      <c r="N1384">
        <f>IF([2]Entry!$M$1387="","",[2]Entry!$M$1387)</f>
        <v/>
      </c>
      <c r="O1384">
        <f>IF([2]Entry!$N$1387="","",[2]Entry!$N$1387)</f>
        <v/>
      </c>
      <c r="P1384">
        <f>IF([2]Entry!$R$1387="","",[2]Entry!$R$1387)</f>
        <v/>
      </c>
    </row>
    <row r="1385">
      <c r="J1385">
        <f>IF([2]Entry!$C$1388="","",[2]Entry!$C$1388)</f>
        <v/>
      </c>
      <c r="K1385">
        <f>IF([2]Entry!$D$1388="","",[2]Entry!$D$1388)</f>
        <v/>
      </c>
      <c r="L1385">
        <f>IF([2]Entry!$E$1388="","",[2]Entry!$E$1388)</f>
        <v/>
      </c>
      <c r="M1385">
        <f>IF([2]Entry!$G$1388="","",[2]Entry!$G$1388)</f>
        <v/>
      </c>
      <c r="N1385">
        <f>IF([2]Entry!$M$1388="","",[2]Entry!$M$1388)</f>
        <v/>
      </c>
      <c r="O1385">
        <f>IF([2]Entry!$N$1388="","",[2]Entry!$N$1388)</f>
        <v/>
      </c>
      <c r="P1385">
        <f>IF([2]Entry!$R$1388="","",[2]Entry!$R$1388)</f>
        <v/>
      </c>
    </row>
    <row r="1386">
      <c r="J1386">
        <f>IF([2]Entry!$C$1389="","",[2]Entry!$C$1389)</f>
        <v/>
      </c>
      <c r="K1386">
        <f>IF([2]Entry!$D$1389="","",[2]Entry!$D$1389)</f>
        <v/>
      </c>
      <c r="L1386">
        <f>IF([2]Entry!$E$1389="","",[2]Entry!$E$1389)</f>
        <v/>
      </c>
      <c r="M1386">
        <f>IF([2]Entry!$G$1389="","",[2]Entry!$G$1389)</f>
        <v/>
      </c>
      <c r="N1386">
        <f>IF([2]Entry!$M$1389="","",[2]Entry!$M$1389)</f>
        <v/>
      </c>
      <c r="O1386">
        <f>IF([2]Entry!$N$1389="","",[2]Entry!$N$1389)</f>
        <v/>
      </c>
      <c r="P1386">
        <f>IF([2]Entry!$R$1389="","",[2]Entry!$R$1389)</f>
        <v/>
      </c>
    </row>
    <row r="1387">
      <c r="J1387">
        <f>IF([2]Entry!$C$1390="","",[2]Entry!$C$1390)</f>
        <v/>
      </c>
      <c r="K1387">
        <f>IF([2]Entry!$D$1390="","",[2]Entry!$D$1390)</f>
        <v/>
      </c>
      <c r="L1387">
        <f>IF([2]Entry!$E$1390="","",[2]Entry!$E$1390)</f>
        <v/>
      </c>
      <c r="M1387">
        <f>IF([2]Entry!$G$1390="","",[2]Entry!$G$1390)</f>
        <v/>
      </c>
      <c r="N1387">
        <f>IF([2]Entry!$M$1390="","",[2]Entry!$M$1390)</f>
        <v/>
      </c>
      <c r="O1387">
        <f>IF([2]Entry!$N$1390="","",[2]Entry!$N$1390)</f>
        <v/>
      </c>
      <c r="P1387">
        <f>IF([2]Entry!$R$1390="","",[2]Entry!$R$1390)</f>
        <v/>
      </c>
    </row>
    <row r="1388">
      <c r="J1388">
        <f>IF([2]Entry!$C$1391="","",[2]Entry!$C$1391)</f>
        <v/>
      </c>
      <c r="K1388">
        <f>IF([2]Entry!$D$1391="","",[2]Entry!$D$1391)</f>
        <v/>
      </c>
      <c r="L1388">
        <f>IF([2]Entry!$E$1391="","",[2]Entry!$E$1391)</f>
        <v/>
      </c>
      <c r="M1388">
        <f>IF([2]Entry!$G$1391="","",[2]Entry!$G$1391)</f>
        <v/>
      </c>
      <c r="N1388">
        <f>IF([2]Entry!$M$1391="","",[2]Entry!$M$1391)</f>
        <v/>
      </c>
      <c r="O1388">
        <f>IF([2]Entry!$N$1391="","",[2]Entry!$N$1391)</f>
        <v/>
      </c>
      <c r="P1388">
        <f>IF([2]Entry!$R$1391="","",[2]Entry!$R$1391)</f>
        <v/>
      </c>
    </row>
    <row r="1389">
      <c r="J1389">
        <f>IF([2]Entry!$C$1392="","",[2]Entry!$C$1392)</f>
        <v/>
      </c>
      <c r="K1389">
        <f>IF([2]Entry!$D$1392="","",[2]Entry!$D$1392)</f>
        <v/>
      </c>
      <c r="L1389">
        <f>IF([2]Entry!$E$1392="","",[2]Entry!$E$1392)</f>
        <v/>
      </c>
      <c r="M1389">
        <f>IF([2]Entry!$G$1392="","",[2]Entry!$G$1392)</f>
        <v/>
      </c>
      <c r="N1389">
        <f>IF([2]Entry!$M$1392="","",[2]Entry!$M$1392)</f>
        <v/>
      </c>
      <c r="O1389">
        <f>IF([2]Entry!$N$1392="","",[2]Entry!$N$1392)</f>
        <v/>
      </c>
      <c r="P1389">
        <f>IF([2]Entry!$R$1392="","",[2]Entry!$R$1392)</f>
        <v/>
      </c>
    </row>
    <row r="1390">
      <c r="J1390">
        <f>IF([2]Entry!$C$1393="","",[2]Entry!$C$1393)</f>
        <v/>
      </c>
      <c r="K1390">
        <f>IF([2]Entry!$D$1393="","",[2]Entry!$D$1393)</f>
        <v/>
      </c>
      <c r="L1390">
        <f>IF([2]Entry!$E$1393="","",[2]Entry!$E$1393)</f>
        <v/>
      </c>
      <c r="M1390">
        <f>IF([2]Entry!$G$1393="","",[2]Entry!$G$1393)</f>
        <v/>
      </c>
      <c r="N1390">
        <f>IF([2]Entry!$M$1393="","",[2]Entry!$M$1393)</f>
        <v/>
      </c>
      <c r="O1390">
        <f>IF([2]Entry!$N$1393="","",[2]Entry!$N$1393)</f>
        <v/>
      </c>
      <c r="P1390">
        <f>IF([2]Entry!$R$1393="","",[2]Entry!$R$1393)</f>
        <v/>
      </c>
    </row>
    <row r="1391">
      <c r="J1391">
        <f>IF([2]Entry!$C$1394="","",[2]Entry!$C$1394)</f>
        <v/>
      </c>
      <c r="K1391">
        <f>IF([2]Entry!$D$1394="","",[2]Entry!$D$1394)</f>
        <v/>
      </c>
      <c r="L1391">
        <f>IF([2]Entry!$E$1394="","",[2]Entry!$E$1394)</f>
        <v/>
      </c>
      <c r="M1391">
        <f>IF([2]Entry!$G$1394="","",[2]Entry!$G$1394)</f>
        <v/>
      </c>
      <c r="N1391">
        <f>IF([2]Entry!$M$1394="","",[2]Entry!$M$1394)</f>
        <v/>
      </c>
      <c r="O1391">
        <f>IF([2]Entry!$N$1394="","",[2]Entry!$N$1394)</f>
        <v/>
      </c>
      <c r="P1391">
        <f>IF([2]Entry!$R$1394="","",[2]Entry!$R$1394)</f>
        <v/>
      </c>
    </row>
    <row r="1392">
      <c r="J1392">
        <f>IF([2]Entry!$C$1395="","",[2]Entry!$C$1395)</f>
        <v/>
      </c>
      <c r="K1392">
        <f>IF([2]Entry!$D$1395="","",[2]Entry!$D$1395)</f>
        <v/>
      </c>
      <c r="L1392">
        <f>IF([2]Entry!$E$1395="","",[2]Entry!$E$1395)</f>
        <v/>
      </c>
      <c r="M1392">
        <f>IF([2]Entry!$G$1395="","",[2]Entry!$G$1395)</f>
        <v/>
      </c>
      <c r="N1392">
        <f>IF([2]Entry!$M$1395="","",[2]Entry!$M$1395)</f>
        <v/>
      </c>
      <c r="O1392">
        <f>IF([2]Entry!$N$1395="","",[2]Entry!$N$1395)</f>
        <v/>
      </c>
      <c r="P1392">
        <f>IF([2]Entry!$R$1395="","",[2]Entry!$R$1395)</f>
        <v/>
      </c>
    </row>
    <row r="1393">
      <c r="J1393">
        <f>IF([2]Entry!$C$1396="","",[2]Entry!$C$1396)</f>
        <v/>
      </c>
      <c r="K1393">
        <f>IF([2]Entry!$D$1396="","",[2]Entry!$D$1396)</f>
        <v/>
      </c>
      <c r="L1393">
        <f>IF([2]Entry!$E$1396="","",[2]Entry!$E$1396)</f>
        <v/>
      </c>
      <c r="M1393">
        <f>IF([2]Entry!$G$1396="","",[2]Entry!$G$1396)</f>
        <v/>
      </c>
      <c r="N1393">
        <f>IF([2]Entry!$M$1396="","",[2]Entry!$M$1396)</f>
        <v/>
      </c>
      <c r="O1393">
        <f>IF([2]Entry!$N$1396="","",[2]Entry!$N$1396)</f>
        <v/>
      </c>
      <c r="P1393">
        <f>IF([2]Entry!$R$1396="","",[2]Entry!$R$1396)</f>
        <v/>
      </c>
    </row>
    <row r="1394">
      <c r="J1394">
        <f>IF([2]Entry!$C$1397="","",[2]Entry!$C$1397)</f>
        <v/>
      </c>
      <c r="K1394">
        <f>IF([2]Entry!$D$1397="","",[2]Entry!$D$1397)</f>
        <v/>
      </c>
      <c r="L1394">
        <f>IF([2]Entry!$E$1397="","",[2]Entry!$E$1397)</f>
        <v/>
      </c>
      <c r="M1394">
        <f>IF([2]Entry!$G$1397="","",[2]Entry!$G$1397)</f>
        <v/>
      </c>
      <c r="N1394">
        <f>IF([2]Entry!$M$1397="","",[2]Entry!$M$1397)</f>
        <v/>
      </c>
      <c r="O1394">
        <f>IF([2]Entry!$N$1397="","",[2]Entry!$N$1397)</f>
        <v/>
      </c>
      <c r="P1394">
        <f>IF([2]Entry!$R$1397="","",[2]Entry!$R$1397)</f>
        <v/>
      </c>
    </row>
    <row r="1395">
      <c r="J1395">
        <f>IF([2]Entry!$C$1398="","",[2]Entry!$C$1398)</f>
        <v/>
      </c>
      <c r="K1395">
        <f>IF([2]Entry!$D$1398="","",[2]Entry!$D$1398)</f>
        <v/>
      </c>
      <c r="L1395">
        <f>IF([2]Entry!$E$1398="","",[2]Entry!$E$1398)</f>
        <v/>
      </c>
      <c r="M1395">
        <f>IF([2]Entry!$G$1398="","",[2]Entry!$G$1398)</f>
        <v/>
      </c>
      <c r="N1395">
        <f>IF([2]Entry!$M$1398="","",[2]Entry!$M$1398)</f>
        <v/>
      </c>
      <c r="O1395">
        <f>IF([2]Entry!$N$1398="","",[2]Entry!$N$1398)</f>
        <v/>
      </c>
      <c r="P1395">
        <f>IF([2]Entry!$R$1398="","",[2]Entry!$R$1398)</f>
        <v/>
      </c>
    </row>
    <row r="1396">
      <c r="J1396">
        <f>IF([2]Entry!$C$1399="","",[2]Entry!$C$1399)</f>
        <v/>
      </c>
      <c r="K1396">
        <f>IF([2]Entry!$D$1399="","",[2]Entry!$D$1399)</f>
        <v/>
      </c>
      <c r="L1396">
        <f>IF([2]Entry!$E$1399="","",[2]Entry!$E$1399)</f>
        <v/>
      </c>
      <c r="M1396">
        <f>IF([2]Entry!$G$1399="","",[2]Entry!$G$1399)</f>
        <v/>
      </c>
      <c r="N1396">
        <f>IF([2]Entry!$M$1399="","",[2]Entry!$M$1399)</f>
        <v/>
      </c>
      <c r="O1396">
        <f>IF([2]Entry!$N$1399="","",[2]Entry!$N$1399)</f>
        <v/>
      </c>
      <c r="P1396">
        <f>IF([2]Entry!$R$1399="","",[2]Entry!$R$1399)</f>
        <v/>
      </c>
    </row>
    <row r="1397">
      <c r="J1397">
        <f>IF([2]Entry!$C$1400="","",[2]Entry!$C$1400)</f>
        <v/>
      </c>
      <c r="K1397">
        <f>IF([2]Entry!$D$1400="","",[2]Entry!$D$1400)</f>
        <v/>
      </c>
      <c r="L1397">
        <f>IF([2]Entry!$E$1400="","",[2]Entry!$E$1400)</f>
        <v/>
      </c>
      <c r="M1397">
        <f>IF([2]Entry!$G$1400="","",[2]Entry!$G$1400)</f>
        <v/>
      </c>
      <c r="N1397">
        <f>IF([2]Entry!$M$1400="","",[2]Entry!$M$1400)</f>
        <v/>
      </c>
      <c r="O1397">
        <f>IF([2]Entry!$N$1400="","",[2]Entry!$N$1400)</f>
        <v/>
      </c>
      <c r="P1397">
        <f>IF([2]Entry!$R$1400="","",[2]Entry!$R$1400)</f>
        <v/>
      </c>
    </row>
    <row r="1398">
      <c r="J1398">
        <f>IF([2]Entry!$C$1401="","",[2]Entry!$C$1401)</f>
        <v/>
      </c>
      <c r="K1398">
        <f>IF([2]Entry!$D$1401="","",[2]Entry!$D$1401)</f>
        <v/>
      </c>
      <c r="L1398">
        <f>IF([2]Entry!$E$1401="","",[2]Entry!$E$1401)</f>
        <v/>
      </c>
      <c r="M1398">
        <f>IF([2]Entry!$G$1401="","",[2]Entry!$G$1401)</f>
        <v/>
      </c>
      <c r="N1398">
        <f>IF([2]Entry!$M$1401="","",[2]Entry!$M$1401)</f>
        <v/>
      </c>
      <c r="O1398">
        <f>IF([2]Entry!$N$1401="","",[2]Entry!$N$1401)</f>
        <v/>
      </c>
      <c r="P1398">
        <f>IF([2]Entry!$R$1401="","",[2]Entry!$R$1401)</f>
        <v/>
      </c>
    </row>
    <row r="1399">
      <c r="J1399">
        <f>IF([2]Entry!$C$1402="","",[2]Entry!$C$1402)</f>
        <v/>
      </c>
      <c r="K1399">
        <f>IF([2]Entry!$D$1402="","",[2]Entry!$D$1402)</f>
        <v/>
      </c>
      <c r="L1399">
        <f>IF([2]Entry!$E$1402="","",[2]Entry!$E$1402)</f>
        <v/>
      </c>
      <c r="M1399">
        <f>IF([2]Entry!$G$1402="","",[2]Entry!$G$1402)</f>
        <v/>
      </c>
      <c r="N1399">
        <f>IF([2]Entry!$M$1402="","",[2]Entry!$M$1402)</f>
        <v/>
      </c>
      <c r="O1399">
        <f>IF([2]Entry!$N$1402="","",[2]Entry!$N$1402)</f>
        <v/>
      </c>
      <c r="P1399">
        <f>IF([2]Entry!$R$1402="","",[2]Entry!$R$1402)</f>
        <v/>
      </c>
    </row>
    <row r="1400">
      <c r="J1400">
        <f>IF([2]Entry!$C$1403="","",[2]Entry!$C$1403)</f>
        <v/>
      </c>
      <c r="K1400">
        <f>IF([2]Entry!$D$1403="","",[2]Entry!$D$1403)</f>
        <v/>
      </c>
      <c r="L1400">
        <f>IF([2]Entry!$E$1403="","",[2]Entry!$E$1403)</f>
        <v/>
      </c>
      <c r="M1400">
        <f>IF([2]Entry!$G$1403="","",[2]Entry!$G$1403)</f>
        <v/>
      </c>
      <c r="N1400">
        <f>IF([2]Entry!$M$1403="","",[2]Entry!$M$1403)</f>
        <v/>
      </c>
      <c r="O1400">
        <f>IF([2]Entry!$N$1403="","",[2]Entry!$N$1403)</f>
        <v/>
      </c>
      <c r="P1400">
        <f>IF([2]Entry!$R$1403="","",[2]Entry!$R$1403)</f>
        <v/>
      </c>
    </row>
    <row r="1401">
      <c r="J1401">
        <f>IF([2]Entry!$C$1404="","",[2]Entry!$C$1404)</f>
        <v/>
      </c>
      <c r="K1401">
        <f>IF([2]Entry!$D$1404="","",[2]Entry!$D$1404)</f>
        <v/>
      </c>
      <c r="L1401">
        <f>IF([2]Entry!$E$1404="","",[2]Entry!$E$1404)</f>
        <v/>
      </c>
      <c r="M1401">
        <f>IF([2]Entry!$G$1404="","",[2]Entry!$G$1404)</f>
        <v/>
      </c>
      <c r="N1401">
        <f>IF([2]Entry!$M$1404="","",[2]Entry!$M$1404)</f>
        <v/>
      </c>
      <c r="O1401">
        <f>IF([2]Entry!$N$1404="","",[2]Entry!$N$1404)</f>
        <v/>
      </c>
      <c r="P1401">
        <f>IF([2]Entry!$R$1404="","",[2]Entry!$R$1404)</f>
        <v/>
      </c>
    </row>
    <row r="1402">
      <c r="J1402">
        <f>IF([2]Entry!$C$1405="","",[2]Entry!$C$1405)</f>
        <v/>
      </c>
      <c r="K1402">
        <f>IF([2]Entry!$D$1405="","",[2]Entry!$D$1405)</f>
        <v/>
      </c>
      <c r="L1402">
        <f>IF([2]Entry!$E$1405="","",[2]Entry!$E$1405)</f>
        <v/>
      </c>
      <c r="M1402">
        <f>IF([2]Entry!$G$1405="","",[2]Entry!$G$1405)</f>
        <v/>
      </c>
      <c r="N1402">
        <f>IF([2]Entry!$M$1405="","",[2]Entry!$M$1405)</f>
        <v/>
      </c>
      <c r="O1402">
        <f>IF([2]Entry!$N$1405="","",[2]Entry!$N$1405)</f>
        <v/>
      </c>
      <c r="P1402">
        <f>IF([2]Entry!$R$1405="","",[2]Entry!$R$1405)</f>
        <v/>
      </c>
    </row>
    <row r="1403">
      <c r="J1403">
        <f>IF([2]Entry!$C$1406="","",[2]Entry!$C$1406)</f>
        <v/>
      </c>
      <c r="K1403">
        <f>IF([2]Entry!$D$1406="","",[2]Entry!$D$1406)</f>
        <v/>
      </c>
      <c r="L1403">
        <f>IF([2]Entry!$E$1406="","",[2]Entry!$E$1406)</f>
        <v/>
      </c>
      <c r="M1403">
        <f>IF([2]Entry!$G$1406="","",[2]Entry!$G$1406)</f>
        <v/>
      </c>
      <c r="N1403">
        <f>IF([2]Entry!$M$1406="","",[2]Entry!$M$1406)</f>
        <v/>
      </c>
      <c r="O1403">
        <f>IF([2]Entry!$N$1406="","",[2]Entry!$N$1406)</f>
        <v/>
      </c>
      <c r="P1403">
        <f>IF([2]Entry!$R$1406="","",[2]Entry!$R$1406)</f>
        <v/>
      </c>
    </row>
    <row r="1404">
      <c r="J1404">
        <f>IF([2]Entry!$C$1407="","",[2]Entry!$C$1407)</f>
        <v/>
      </c>
      <c r="K1404">
        <f>IF([2]Entry!$D$1407="","",[2]Entry!$D$1407)</f>
        <v/>
      </c>
      <c r="L1404">
        <f>IF([2]Entry!$E$1407="","",[2]Entry!$E$1407)</f>
        <v/>
      </c>
      <c r="M1404">
        <f>IF([2]Entry!$G$1407="","",[2]Entry!$G$1407)</f>
        <v/>
      </c>
      <c r="N1404">
        <f>IF([2]Entry!$M$1407="","",[2]Entry!$M$1407)</f>
        <v/>
      </c>
      <c r="O1404">
        <f>IF([2]Entry!$N$1407="","",[2]Entry!$N$1407)</f>
        <v/>
      </c>
      <c r="P1404">
        <f>IF([2]Entry!$R$1407="","",[2]Entry!$R$1407)</f>
        <v/>
      </c>
    </row>
    <row r="1405">
      <c r="J1405">
        <f>IF([2]Entry!$C$1408="","",[2]Entry!$C$1408)</f>
        <v/>
      </c>
      <c r="K1405">
        <f>IF([2]Entry!$D$1408="","",[2]Entry!$D$1408)</f>
        <v/>
      </c>
      <c r="L1405">
        <f>IF([2]Entry!$E$1408="","",[2]Entry!$E$1408)</f>
        <v/>
      </c>
      <c r="M1405">
        <f>IF([2]Entry!$G$1408="","",[2]Entry!$G$1408)</f>
        <v/>
      </c>
      <c r="N1405">
        <f>IF([2]Entry!$M$1408="","",[2]Entry!$M$1408)</f>
        <v/>
      </c>
      <c r="O1405">
        <f>IF([2]Entry!$N$1408="","",[2]Entry!$N$1408)</f>
        <v/>
      </c>
      <c r="P1405">
        <f>IF([2]Entry!$R$1408="","",[2]Entry!$R$1408)</f>
        <v/>
      </c>
    </row>
    <row r="1406">
      <c r="J1406">
        <f>IF([2]Entry!$C$1409="","",[2]Entry!$C$1409)</f>
        <v/>
      </c>
      <c r="K1406">
        <f>IF([2]Entry!$D$1409="","",[2]Entry!$D$1409)</f>
        <v/>
      </c>
      <c r="L1406">
        <f>IF([2]Entry!$E$1409="","",[2]Entry!$E$1409)</f>
        <v/>
      </c>
      <c r="M1406">
        <f>IF([2]Entry!$G$1409="","",[2]Entry!$G$1409)</f>
        <v/>
      </c>
      <c r="N1406">
        <f>IF([2]Entry!$M$1409="","",[2]Entry!$M$1409)</f>
        <v/>
      </c>
      <c r="O1406">
        <f>IF([2]Entry!$N$1409="","",[2]Entry!$N$1409)</f>
        <v/>
      </c>
      <c r="P1406">
        <f>IF([2]Entry!$R$1409="","",[2]Entry!$R$1409)</f>
        <v/>
      </c>
    </row>
    <row r="1407">
      <c r="J1407">
        <f>IF([2]Entry!$C$1410="","",[2]Entry!$C$1410)</f>
        <v/>
      </c>
      <c r="K1407">
        <f>IF([2]Entry!$D$1410="","",[2]Entry!$D$1410)</f>
        <v/>
      </c>
      <c r="L1407">
        <f>IF([2]Entry!$E$1410="","",[2]Entry!$E$1410)</f>
        <v/>
      </c>
      <c r="M1407">
        <f>IF([2]Entry!$G$1410="","",[2]Entry!$G$1410)</f>
        <v/>
      </c>
      <c r="N1407">
        <f>IF([2]Entry!$M$1410="","",[2]Entry!$M$1410)</f>
        <v/>
      </c>
      <c r="O1407">
        <f>IF([2]Entry!$N$1410="","",[2]Entry!$N$1410)</f>
        <v/>
      </c>
      <c r="P1407">
        <f>IF([2]Entry!$R$1410="","",[2]Entry!$R$1410)</f>
        <v/>
      </c>
    </row>
    <row r="1408">
      <c r="J1408">
        <f>IF([2]Entry!$C$1411="","",[2]Entry!$C$1411)</f>
        <v/>
      </c>
      <c r="K1408">
        <f>IF([2]Entry!$D$1411="","",[2]Entry!$D$1411)</f>
        <v/>
      </c>
      <c r="L1408">
        <f>IF([2]Entry!$E$1411="","",[2]Entry!$E$1411)</f>
        <v/>
      </c>
      <c r="M1408">
        <f>IF([2]Entry!$G$1411="","",[2]Entry!$G$1411)</f>
        <v/>
      </c>
      <c r="N1408">
        <f>IF([2]Entry!$M$1411="","",[2]Entry!$M$1411)</f>
        <v/>
      </c>
      <c r="O1408">
        <f>IF([2]Entry!$N$1411="","",[2]Entry!$N$1411)</f>
        <v/>
      </c>
      <c r="P1408">
        <f>IF([2]Entry!$R$1411="","",[2]Entry!$R$1411)</f>
        <v/>
      </c>
    </row>
    <row r="1409">
      <c r="J1409">
        <f>IF([2]Entry!$C$1412="","",[2]Entry!$C$1412)</f>
        <v/>
      </c>
      <c r="K1409">
        <f>IF([2]Entry!$D$1412="","",[2]Entry!$D$1412)</f>
        <v/>
      </c>
      <c r="L1409">
        <f>IF([2]Entry!$E$1412="","",[2]Entry!$E$1412)</f>
        <v/>
      </c>
      <c r="M1409">
        <f>IF([2]Entry!$G$1412="","",[2]Entry!$G$1412)</f>
        <v/>
      </c>
      <c r="N1409">
        <f>IF([2]Entry!$M$1412="","",[2]Entry!$M$1412)</f>
        <v/>
      </c>
      <c r="O1409">
        <f>IF([2]Entry!$N$1412="","",[2]Entry!$N$1412)</f>
        <v/>
      </c>
      <c r="P1409">
        <f>IF([2]Entry!$R$1412="","",[2]Entry!$R$1412)</f>
        <v/>
      </c>
    </row>
    <row r="1410">
      <c r="J1410">
        <f>IF([2]Entry!$C$1413="","",[2]Entry!$C$1413)</f>
        <v/>
      </c>
      <c r="K1410">
        <f>IF([2]Entry!$D$1413="","",[2]Entry!$D$1413)</f>
        <v/>
      </c>
      <c r="L1410">
        <f>IF([2]Entry!$E$1413="","",[2]Entry!$E$1413)</f>
        <v/>
      </c>
      <c r="M1410">
        <f>IF([2]Entry!$G$1413="","",[2]Entry!$G$1413)</f>
        <v/>
      </c>
      <c r="N1410">
        <f>IF([2]Entry!$M$1413="","",[2]Entry!$M$1413)</f>
        <v/>
      </c>
      <c r="O1410">
        <f>IF([2]Entry!$N$1413="","",[2]Entry!$N$1413)</f>
        <v/>
      </c>
      <c r="P1410">
        <f>IF([2]Entry!$R$1413="","",[2]Entry!$R$1413)</f>
        <v/>
      </c>
    </row>
    <row r="1411">
      <c r="J1411">
        <f>IF([2]Entry!$C$1414="","",[2]Entry!$C$1414)</f>
        <v/>
      </c>
      <c r="K1411">
        <f>IF([2]Entry!$D$1414="","",[2]Entry!$D$1414)</f>
        <v/>
      </c>
      <c r="L1411">
        <f>IF([2]Entry!$E$1414="","",[2]Entry!$E$1414)</f>
        <v/>
      </c>
      <c r="M1411">
        <f>IF([2]Entry!$G$1414="","",[2]Entry!$G$1414)</f>
        <v/>
      </c>
      <c r="N1411">
        <f>IF([2]Entry!$M$1414="","",[2]Entry!$M$1414)</f>
        <v/>
      </c>
      <c r="O1411">
        <f>IF([2]Entry!$N$1414="","",[2]Entry!$N$1414)</f>
        <v/>
      </c>
      <c r="P1411">
        <f>IF([2]Entry!$R$1414="","",[2]Entry!$R$1414)</f>
        <v/>
      </c>
    </row>
    <row r="1412">
      <c r="J1412">
        <f>IF([2]Entry!$C$1415="","",[2]Entry!$C$1415)</f>
        <v/>
      </c>
      <c r="K1412">
        <f>IF([2]Entry!$D$1415="","",[2]Entry!$D$1415)</f>
        <v/>
      </c>
      <c r="L1412">
        <f>IF([2]Entry!$E$1415="","",[2]Entry!$E$1415)</f>
        <v/>
      </c>
      <c r="M1412">
        <f>IF([2]Entry!$G$1415="","",[2]Entry!$G$1415)</f>
        <v/>
      </c>
      <c r="N1412">
        <f>IF([2]Entry!$M$1415="","",[2]Entry!$M$1415)</f>
        <v/>
      </c>
      <c r="O1412">
        <f>IF([2]Entry!$N$1415="","",[2]Entry!$N$1415)</f>
        <v/>
      </c>
      <c r="P1412">
        <f>IF([2]Entry!$R$1415="","",[2]Entry!$R$1415)</f>
        <v/>
      </c>
    </row>
    <row r="1413">
      <c r="J1413">
        <f>IF([2]Entry!$C$1416="","",[2]Entry!$C$1416)</f>
        <v/>
      </c>
      <c r="K1413">
        <f>IF([2]Entry!$D$1416="","",[2]Entry!$D$1416)</f>
        <v/>
      </c>
      <c r="L1413">
        <f>IF([2]Entry!$E$1416="","",[2]Entry!$E$1416)</f>
        <v/>
      </c>
      <c r="M1413">
        <f>IF([2]Entry!$G$1416="","",[2]Entry!$G$1416)</f>
        <v/>
      </c>
      <c r="N1413">
        <f>IF([2]Entry!$M$1416="","",[2]Entry!$M$1416)</f>
        <v/>
      </c>
      <c r="O1413">
        <f>IF([2]Entry!$N$1416="","",[2]Entry!$N$1416)</f>
        <v/>
      </c>
      <c r="P1413">
        <f>IF([2]Entry!$R$1416="","",[2]Entry!$R$1416)</f>
        <v/>
      </c>
    </row>
    <row r="1414">
      <c r="J1414">
        <f>IF([2]Entry!$C$1417="","",[2]Entry!$C$1417)</f>
        <v/>
      </c>
      <c r="K1414">
        <f>IF([2]Entry!$D$1417="","",[2]Entry!$D$1417)</f>
        <v/>
      </c>
      <c r="L1414">
        <f>IF([2]Entry!$E$1417="","",[2]Entry!$E$1417)</f>
        <v/>
      </c>
      <c r="M1414">
        <f>IF([2]Entry!$G$1417="","",[2]Entry!$G$1417)</f>
        <v/>
      </c>
      <c r="N1414">
        <f>IF([2]Entry!$M$1417="","",[2]Entry!$M$1417)</f>
        <v/>
      </c>
      <c r="O1414">
        <f>IF([2]Entry!$N$1417="","",[2]Entry!$N$1417)</f>
        <v/>
      </c>
      <c r="P1414">
        <f>IF([2]Entry!$R$1417="","",[2]Entry!$R$1417)</f>
        <v/>
      </c>
    </row>
    <row r="1415">
      <c r="J1415">
        <f>IF([2]Entry!$C$1418="","",[2]Entry!$C$1418)</f>
        <v/>
      </c>
      <c r="K1415">
        <f>IF([2]Entry!$D$1418="","",[2]Entry!$D$1418)</f>
        <v/>
      </c>
      <c r="L1415">
        <f>IF([2]Entry!$E$1418="","",[2]Entry!$E$1418)</f>
        <v/>
      </c>
      <c r="M1415">
        <f>IF([2]Entry!$G$1418="","",[2]Entry!$G$1418)</f>
        <v/>
      </c>
      <c r="N1415">
        <f>IF([2]Entry!$M$1418="","",[2]Entry!$M$1418)</f>
        <v/>
      </c>
      <c r="O1415">
        <f>IF([2]Entry!$N$1418="","",[2]Entry!$N$1418)</f>
        <v/>
      </c>
      <c r="P1415">
        <f>IF([2]Entry!$R$1418="","",[2]Entry!$R$1418)</f>
        <v/>
      </c>
    </row>
    <row r="1416">
      <c r="J1416">
        <f>IF([2]Entry!$C$1419="","",[2]Entry!$C$1419)</f>
        <v/>
      </c>
      <c r="K1416">
        <f>IF([2]Entry!$D$1419="","",[2]Entry!$D$1419)</f>
        <v/>
      </c>
      <c r="L1416">
        <f>IF([2]Entry!$E$1419="","",[2]Entry!$E$1419)</f>
        <v/>
      </c>
      <c r="M1416">
        <f>IF([2]Entry!$G$1419="","",[2]Entry!$G$1419)</f>
        <v/>
      </c>
      <c r="N1416">
        <f>IF([2]Entry!$M$1419="","",[2]Entry!$M$1419)</f>
        <v/>
      </c>
      <c r="O1416">
        <f>IF([2]Entry!$N$1419="","",[2]Entry!$N$1419)</f>
        <v/>
      </c>
      <c r="P1416">
        <f>IF([2]Entry!$R$1419="","",[2]Entry!$R$1419)</f>
        <v/>
      </c>
    </row>
    <row r="1417">
      <c r="J1417">
        <f>IF([2]Entry!$C$1420="","",[2]Entry!$C$1420)</f>
        <v/>
      </c>
      <c r="K1417">
        <f>IF([2]Entry!$D$1420="","",[2]Entry!$D$1420)</f>
        <v/>
      </c>
      <c r="L1417">
        <f>IF([2]Entry!$E$1420="","",[2]Entry!$E$1420)</f>
        <v/>
      </c>
      <c r="M1417">
        <f>IF([2]Entry!$G$1420="","",[2]Entry!$G$1420)</f>
        <v/>
      </c>
      <c r="N1417">
        <f>IF([2]Entry!$M$1420="","",[2]Entry!$M$1420)</f>
        <v/>
      </c>
      <c r="O1417">
        <f>IF([2]Entry!$N$1420="","",[2]Entry!$N$1420)</f>
        <v/>
      </c>
      <c r="P1417">
        <f>IF([2]Entry!$R$1420="","",[2]Entry!$R$1420)</f>
        <v/>
      </c>
    </row>
    <row r="1418">
      <c r="J1418">
        <f>IF([2]Entry!$C$1421="","",[2]Entry!$C$1421)</f>
        <v/>
      </c>
      <c r="K1418">
        <f>IF([2]Entry!$D$1421="","",[2]Entry!$D$1421)</f>
        <v/>
      </c>
      <c r="L1418">
        <f>IF([2]Entry!$E$1421="","",[2]Entry!$E$1421)</f>
        <v/>
      </c>
      <c r="M1418">
        <f>IF([2]Entry!$G$1421="","",[2]Entry!$G$1421)</f>
        <v/>
      </c>
      <c r="N1418">
        <f>IF([2]Entry!$M$1421="","",[2]Entry!$M$1421)</f>
        <v/>
      </c>
      <c r="O1418">
        <f>IF([2]Entry!$N$1421="","",[2]Entry!$N$1421)</f>
        <v/>
      </c>
      <c r="P1418">
        <f>IF([2]Entry!$R$1421="","",[2]Entry!$R$1421)</f>
        <v/>
      </c>
    </row>
    <row r="1419">
      <c r="J1419">
        <f>IF([2]Entry!$C$1422="","",[2]Entry!$C$1422)</f>
        <v/>
      </c>
      <c r="K1419">
        <f>IF([2]Entry!$D$1422="","",[2]Entry!$D$1422)</f>
        <v/>
      </c>
      <c r="L1419">
        <f>IF([2]Entry!$E$1422="","",[2]Entry!$E$1422)</f>
        <v/>
      </c>
      <c r="M1419">
        <f>IF([2]Entry!$G$1422="","",[2]Entry!$G$1422)</f>
        <v/>
      </c>
      <c r="N1419">
        <f>IF([2]Entry!$M$1422="","",[2]Entry!$M$1422)</f>
        <v/>
      </c>
      <c r="O1419">
        <f>IF([2]Entry!$N$1422="","",[2]Entry!$N$1422)</f>
        <v/>
      </c>
      <c r="P1419">
        <f>IF([2]Entry!$R$1422="","",[2]Entry!$R$1422)</f>
        <v/>
      </c>
    </row>
    <row r="1420">
      <c r="J1420">
        <f>IF([2]Entry!$C$1423="","",[2]Entry!$C$1423)</f>
        <v/>
      </c>
      <c r="K1420">
        <f>IF([2]Entry!$D$1423="","",[2]Entry!$D$1423)</f>
        <v/>
      </c>
      <c r="L1420">
        <f>IF([2]Entry!$E$1423="","",[2]Entry!$E$1423)</f>
        <v/>
      </c>
      <c r="M1420">
        <f>IF([2]Entry!$G$1423="","",[2]Entry!$G$1423)</f>
        <v/>
      </c>
      <c r="N1420">
        <f>IF([2]Entry!$M$1423="","",[2]Entry!$M$1423)</f>
        <v/>
      </c>
      <c r="O1420">
        <f>IF([2]Entry!$N$1423="","",[2]Entry!$N$1423)</f>
        <v/>
      </c>
      <c r="P1420">
        <f>IF([2]Entry!$R$1423="","",[2]Entry!$R$1423)</f>
        <v/>
      </c>
    </row>
    <row r="1421">
      <c r="J1421">
        <f>IF([2]Entry!$C$1424="","",[2]Entry!$C$1424)</f>
        <v/>
      </c>
      <c r="K1421">
        <f>IF([2]Entry!$D$1424="","",[2]Entry!$D$1424)</f>
        <v/>
      </c>
      <c r="L1421">
        <f>IF([2]Entry!$E$1424="","",[2]Entry!$E$1424)</f>
        <v/>
      </c>
      <c r="M1421">
        <f>IF([2]Entry!$G$1424="","",[2]Entry!$G$1424)</f>
        <v/>
      </c>
      <c r="N1421">
        <f>IF([2]Entry!$M$1424="","",[2]Entry!$M$1424)</f>
        <v/>
      </c>
      <c r="O1421">
        <f>IF([2]Entry!$N$1424="","",[2]Entry!$N$1424)</f>
        <v/>
      </c>
      <c r="P1421">
        <f>IF([2]Entry!$R$1424="","",[2]Entry!$R$1424)</f>
        <v/>
      </c>
    </row>
    <row r="1422">
      <c r="J1422">
        <f>IF([2]Entry!$C$1425="","",[2]Entry!$C$1425)</f>
        <v/>
      </c>
      <c r="K1422">
        <f>IF([2]Entry!$D$1425="","",[2]Entry!$D$1425)</f>
        <v/>
      </c>
      <c r="L1422">
        <f>IF([2]Entry!$E$1425="","",[2]Entry!$E$1425)</f>
        <v/>
      </c>
      <c r="M1422">
        <f>IF([2]Entry!$G$1425="","",[2]Entry!$G$1425)</f>
        <v/>
      </c>
      <c r="N1422">
        <f>IF([2]Entry!$M$1425="","",[2]Entry!$M$1425)</f>
        <v/>
      </c>
      <c r="O1422">
        <f>IF([2]Entry!$N$1425="","",[2]Entry!$N$1425)</f>
        <v/>
      </c>
      <c r="P1422">
        <f>IF([2]Entry!$R$1425="","",[2]Entry!$R$1425)</f>
        <v/>
      </c>
    </row>
    <row r="1423">
      <c r="J1423">
        <f>IF([2]Entry!$C$1426="","",[2]Entry!$C$1426)</f>
        <v/>
      </c>
      <c r="K1423">
        <f>IF([2]Entry!$D$1426="","",[2]Entry!$D$1426)</f>
        <v/>
      </c>
      <c r="L1423">
        <f>IF([2]Entry!$E$1426="","",[2]Entry!$E$1426)</f>
        <v/>
      </c>
      <c r="M1423">
        <f>IF([2]Entry!$G$1426="","",[2]Entry!$G$1426)</f>
        <v/>
      </c>
      <c r="N1423">
        <f>IF([2]Entry!$M$1426="","",[2]Entry!$M$1426)</f>
        <v/>
      </c>
      <c r="O1423">
        <f>IF([2]Entry!$N$1426="","",[2]Entry!$N$1426)</f>
        <v/>
      </c>
      <c r="P1423">
        <f>IF([2]Entry!$R$1426="","",[2]Entry!$R$1426)</f>
        <v/>
      </c>
    </row>
    <row r="1424">
      <c r="J1424">
        <f>IF([2]Entry!$C$1427="","",[2]Entry!$C$1427)</f>
        <v/>
      </c>
      <c r="K1424">
        <f>IF([2]Entry!$D$1427="","",[2]Entry!$D$1427)</f>
        <v/>
      </c>
      <c r="L1424">
        <f>IF([2]Entry!$E$1427="","",[2]Entry!$E$1427)</f>
        <v/>
      </c>
      <c r="M1424">
        <f>IF([2]Entry!$G$1427="","",[2]Entry!$G$1427)</f>
        <v/>
      </c>
      <c r="N1424">
        <f>IF([2]Entry!$M$1427="","",[2]Entry!$M$1427)</f>
        <v/>
      </c>
      <c r="O1424">
        <f>IF([2]Entry!$N$1427="","",[2]Entry!$N$1427)</f>
        <v/>
      </c>
      <c r="P1424">
        <f>IF([2]Entry!$R$1427="","",[2]Entry!$R$1427)</f>
        <v/>
      </c>
    </row>
    <row r="1425">
      <c r="J1425">
        <f>IF([2]Entry!$C$1428="","",[2]Entry!$C$1428)</f>
        <v/>
      </c>
      <c r="K1425">
        <f>IF([2]Entry!$D$1428="","",[2]Entry!$D$1428)</f>
        <v/>
      </c>
      <c r="L1425">
        <f>IF([2]Entry!$E$1428="","",[2]Entry!$E$1428)</f>
        <v/>
      </c>
      <c r="M1425">
        <f>IF([2]Entry!$G$1428="","",[2]Entry!$G$1428)</f>
        <v/>
      </c>
      <c r="N1425">
        <f>IF([2]Entry!$M$1428="","",[2]Entry!$M$1428)</f>
        <v/>
      </c>
      <c r="O1425">
        <f>IF([2]Entry!$N$1428="","",[2]Entry!$N$1428)</f>
        <v/>
      </c>
      <c r="P1425">
        <f>IF([2]Entry!$R$1428="","",[2]Entry!$R$1428)</f>
        <v/>
      </c>
    </row>
    <row r="1426">
      <c r="J1426">
        <f>IF([2]Entry!$C$1429="","",[2]Entry!$C$1429)</f>
        <v/>
      </c>
      <c r="K1426">
        <f>IF([2]Entry!$D$1429="","",[2]Entry!$D$1429)</f>
        <v/>
      </c>
      <c r="L1426">
        <f>IF([2]Entry!$E$1429="","",[2]Entry!$E$1429)</f>
        <v/>
      </c>
      <c r="M1426">
        <f>IF([2]Entry!$G$1429="","",[2]Entry!$G$1429)</f>
        <v/>
      </c>
      <c r="N1426">
        <f>IF([2]Entry!$M$1429="","",[2]Entry!$M$1429)</f>
        <v/>
      </c>
      <c r="O1426">
        <f>IF([2]Entry!$N$1429="","",[2]Entry!$N$1429)</f>
        <v/>
      </c>
      <c r="P1426">
        <f>IF([2]Entry!$R$1429="","",[2]Entry!$R$1429)</f>
        <v/>
      </c>
    </row>
    <row r="1427">
      <c r="J1427">
        <f>IF([2]Entry!$C$1430="","",[2]Entry!$C$1430)</f>
        <v/>
      </c>
      <c r="K1427">
        <f>IF([2]Entry!$D$1430="","",[2]Entry!$D$1430)</f>
        <v/>
      </c>
      <c r="L1427">
        <f>IF([2]Entry!$E$1430="","",[2]Entry!$E$1430)</f>
        <v/>
      </c>
      <c r="M1427">
        <f>IF([2]Entry!$G$1430="","",[2]Entry!$G$1430)</f>
        <v/>
      </c>
      <c r="N1427">
        <f>IF([2]Entry!$M$1430="","",[2]Entry!$M$1430)</f>
        <v/>
      </c>
      <c r="O1427">
        <f>IF([2]Entry!$N$1430="","",[2]Entry!$N$1430)</f>
        <v/>
      </c>
      <c r="P1427">
        <f>IF([2]Entry!$R$1430="","",[2]Entry!$R$1430)</f>
        <v/>
      </c>
    </row>
    <row r="1428">
      <c r="J1428">
        <f>IF([2]Entry!$C$1431="","",[2]Entry!$C$1431)</f>
        <v/>
      </c>
      <c r="K1428">
        <f>IF([2]Entry!$D$1431="","",[2]Entry!$D$1431)</f>
        <v/>
      </c>
      <c r="L1428">
        <f>IF([2]Entry!$E$1431="","",[2]Entry!$E$1431)</f>
        <v/>
      </c>
      <c r="M1428">
        <f>IF([2]Entry!$G$1431="","",[2]Entry!$G$1431)</f>
        <v/>
      </c>
      <c r="N1428">
        <f>IF([2]Entry!$M$1431="","",[2]Entry!$M$1431)</f>
        <v/>
      </c>
      <c r="O1428">
        <f>IF([2]Entry!$N$1431="","",[2]Entry!$N$1431)</f>
        <v/>
      </c>
      <c r="P1428">
        <f>IF([2]Entry!$R$1431="","",[2]Entry!$R$1431)</f>
        <v/>
      </c>
    </row>
    <row r="1429">
      <c r="J1429">
        <f>IF([2]Entry!$C$1432="","",[2]Entry!$C$1432)</f>
        <v/>
      </c>
      <c r="K1429">
        <f>IF([2]Entry!$D$1432="","",[2]Entry!$D$1432)</f>
        <v/>
      </c>
      <c r="L1429">
        <f>IF([2]Entry!$E$1432="","",[2]Entry!$E$1432)</f>
        <v/>
      </c>
      <c r="M1429">
        <f>IF([2]Entry!$G$1432="","",[2]Entry!$G$1432)</f>
        <v/>
      </c>
      <c r="N1429">
        <f>IF([2]Entry!$M$1432="","",[2]Entry!$M$1432)</f>
        <v/>
      </c>
      <c r="O1429">
        <f>IF([2]Entry!$N$1432="","",[2]Entry!$N$1432)</f>
        <v/>
      </c>
      <c r="P1429">
        <f>IF([2]Entry!$R$1432="","",[2]Entry!$R$1432)</f>
        <v/>
      </c>
    </row>
    <row r="1430">
      <c r="J1430">
        <f>IF([2]Entry!$C$1433="","",[2]Entry!$C$1433)</f>
        <v/>
      </c>
      <c r="K1430">
        <f>IF([2]Entry!$D$1433="","",[2]Entry!$D$1433)</f>
        <v/>
      </c>
      <c r="L1430">
        <f>IF([2]Entry!$E$1433="","",[2]Entry!$E$1433)</f>
        <v/>
      </c>
      <c r="M1430">
        <f>IF([2]Entry!$G$1433="","",[2]Entry!$G$1433)</f>
        <v/>
      </c>
      <c r="N1430">
        <f>IF([2]Entry!$M$1433="","",[2]Entry!$M$1433)</f>
        <v/>
      </c>
      <c r="O1430">
        <f>IF([2]Entry!$N$1433="","",[2]Entry!$N$1433)</f>
        <v/>
      </c>
      <c r="P1430">
        <f>IF([2]Entry!$R$1433="","",[2]Entry!$R$1433)</f>
        <v/>
      </c>
    </row>
    <row r="1431">
      <c r="J1431">
        <f>IF([2]Entry!$C$1434="","",[2]Entry!$C$1434)</f>
        <v/>
      </c>
      <c r="K1431">
        <f>IF([2]Entry!$D$1434="","",[2]Entry!$D$1434)</f>
        <v/>
      </c>
      <c r="L1431">
        <f>IF([2]Entry!$E$1434="","",[2]Entry!$E$1434)</f>
        <v/>
      </c>
      <c r="M1431">
        <f>IF([2]Entry!$G$1434="","",[2]Entry!$G$1434)</f>
        <v/>
      </c>
      <c r="N1431">
        <f>IF([2]Entry!$M$1434="","",[2]Entry!$M$1434)</f>
        <v/>
      </c>
      <c r="O1431">
        <f>IF([2]Entry!$N$1434="","",[2]Entry!$N$1434)</f>
        <v/>
      </c>
      <c r="P1431">
        <f>IF([2]Entry!$R$1434="","",[2]Entry!$R$1434)</f>
        <v/>
      </c>
    </row>
    <row r="1432">
      <c r="J1432">
        <f>IF([2]Entry!$C$1435="","",[2]Entry!$C$1435)</f>
        <v/>
      </c>
      <c r="K1432">
        <f>IF([2]Entry!$D$1435="","",[2]Entry!$D$1435)</f>
        <v/>
      </c>
      <c r="L1432">
        <f>IF([2]Entry!$E$1435="","",[2]Entry!$E$1435)</f>
        <v/>
      </c>
      <c r="M1432">
        <f>IF([2]Entry!$G$1435="","",[2]Entry!$G$1435)</f>
        <v/>
      </c>
      <c r="N1432">
        <f>IF([2]Entry!$M$1435="","",[2]Entry!$M$1435)</f>
        <v/>
      </c>
      <c r="O1432">
        <f>IF([2]Entry!$N$1435="","",[2]Entry!$N$1435)</f>
        <v/>
      </c>
      <c r="P1432">
        <f>IF([2]Entry!$R$1435="","",[2]Entry!$R$1435)</f>
        <v/>
      </c>
    </row>
    <row r="1433">
      <c r="J1433">
        <f>IF([2]Entry!$C$1436="","",[2]Entry!$C$1436)</f>
        <v/>
      </c>
      <c r="K1433">
        <f>IF([2]Entry!$D$1436="","",[2]Entry!$D$1436)</f>
        <v/>
      </c>
      <c r="L1433">
        <f>IF([2]Entry!$E$1436="","",[2]Entry!$E$1436)</f>
        <v/>
      </c>
      <c r="M1433">
        <f>IF([2]Entry!$G$1436="","",[2]Entry!$G$1436)</f>
        <v/>
      </c>
      <c r="N1433">
        <f>IF([2]Entry!$M$1436="","",[2]Entry!$M$1436)</f>
        <v/>
      </c>
      <c r="O1433">
        <f>IF([2]Entry!$N$1436="","",[2]Entry!$N$1436)</f>
        <v/>
      </c>
      <c r="P1433">
        <f>IF([2]Entry!$R$1436="","",[2]Entry!$R$1436)</f>
        <v/>
      </c>
    </row>
    <row r="1434">
      <c r="J1434">
        <f>IF([2]Entry!$C$1437="","",[2]Entry!$C$1437)</f>
        <v/>
      </c>
      <c r="K1434">
        <f>IF([2]Entry!$D$1437="","",[2]Entry!$D$1437)</f>
        <v/>
      </c>
      <c r="L1434">
        <f>IF([2]Entry!$E$1437="","",[2]Entry!$E$1437)</f>
        <v/>
      </c>
      <c r="M1434">
        <f>IF([2]Entry!$G$1437="","",[2]Entry!$G$1437)</f>
        <v/>
      </c>
      <c r="N1434">
        <f>IF([2]Entry!$M$1437="","",[2]Entry!$M$1437)</f>
        <v/>
      </c>
      <c r="O1434">
        <f>IF([2]Entry!$N$1437="","",[2]Entry!$N$1437)</f>
        <v/>
      </c>
      <c r="P1434">
        <f>IF([2]Entry!$R$1437="","",[2]Entry!$R$1437)</f>
        <v/>
      </c>
    </row>
    <row r="1435">
      <c r="J1435">
        <f>IF([2]Entry!$C$1438="","",[2]Entry!$C$1438)</f>
        <v/>
      </c>
      <c r="K1435">
        <f>IF([2]Entry!$D$1438="","",[2]Entry!$D$1438)</f>
        <v/>
      </c>
      <c r="L1435">
        <f>IF([2]Entry!$E$1438="","",[2]Entry!$E$1438)</f>
        <v/>
      </c>
      <c r="M1435">
        <f>IF([2]Entry!$G$1438="","",[2]Entry!$G$1438)</f>
        <v/>
      </c>
      <c r="N1435">
        <f>IF([2]Entry!$M$1438="","",[2]Entry!$M$1438)</f>
        <v/>
      </c>
      <c r="O1435">
        <f>IF([2]Entry!$N$1438="","",[2]Entry!$N$1438)</f>
        <v/>
      </c>
      <c r="P1435">
        <f>IF([2]Entry!$R$1438="","",[2]Entry!$R$1438)</f>
        <v/>
      </c>
    </row>
    <row r="1436">
      <c r="J1436">
        <f>IF([2]Entry!$C$1439="","",[2]Entry!$C$1439)</f>
        <v/>
      </c>
      <c r="K1436">
        <f>IF([2]Entry!$D$1439="","",[2]Entry!$D$1439)</f>
        <v/>
      </c>
      <c r="L1436">
        <f>IF([2]Entry!$E$1439="","",[2]Entry!$E$1439)</f>
        <v/>
      </c>
      <c r="M1436">
        <f>IF([2]Entry!$G$1439="","",[2]Entry!$G$1439)</f>
        <v/>
      </c>
      <c r="N1436">
        <f>IF([2]Entry!$M$1439="","",[2]Entry!$M$1439)</f>
        <v/>
      </c>
      <c r="O1436">
        <f>IF([2]Entry!$N$1439="","",[2]Entry!$N$1439)</f>
        <v/>
      </c>
      <c r="P1436">
        <f>IF([2]Entry!$R$1439="","",[2]Entry!$R$1439)</f>
        <v/>
      </c>
    </row>
    <row r="1437">
      <c r="J1437">
        <f>IF([2]Entry!$C$1440="","",[2]Entry!$C$1440)</f>
        <v/>
      </c>
      <c r="K1437">
        <f>IF([2]Entry!$D$1440="","",[2]Entry!$D$1440)</f>
        <v/>
      </c>
      <c r="L1437">
        <f>IF([2]Entry!$E$1440="","",[2]Entry!$E$1440)</f>
        <v/>
      </c>
      <c r="M1437">
        <f>IF([2]Entry!$G$1440="","",[2]Entry!$G$1440)</f>
        <v/>
      </c>
      <c r="N1437">
        <f>IF([2]Entry!$M$1440="","",[2]Entry!$M$1440)</f>
        <v/>
      </c>
      <c r="O1437">
        <f>IF([2]Entry!$N$1440="","",[2]Entry!$N$1440)</f>
        <v/>
      </c>
      <c r="P1437">
        <f>IF([2]Entry!$R$1440="","",[2]Entry!$R$1440)</f>
        <v/>
      </c>
    </row>
    <row r="1438">
      <c r="J1438">
        <f>IF([2]Entry!$C$1441="","",[2]Entry!$C$1441)</f>
        <v/>
      </c>
      <c r="K1438">
        <f>IF([2]Entry!$D$1441="","",[2]Entry!$D$1441)</f>
        <v/>
      </c>
      <c r="L1438">
        <f>IF([2]Entry!$E$1441="","",[2]Entry!$E$1441)</f>
        <v/>
      </c>
      <c r="M1438">
        <f>IF([2]Entry!$G$1441="","",[2]Entry!$G$1441)</f>
        <v/>
      </c>
      <c r="N1438">
        <f>IF([2]Entry!$M$1441="","",[2]Entry!$M$1441)</f>
        <v/>
      </c>
      <c r="O1438">
        <f>IF([2]Entry!$N$1441="","",[2]Entry!$N$1441)</f>
        <v/>
      </c>
      <c r="P1438">
        <f>IF([2]Entry!$R$1441="","",[2]Entry!$R$1441)</f>
        <v/>
      </c>
    </row>
    <row r="1439">
      <c r="J1439">
        <f>IF([2]Entry!$C$1442="","",[2]Entry!$C$1442)</f>
        <v/>
      </c>
      <c r="K1439">
        <f>IF([2]Entry!$D$1442="","",[2]Entry!$D$1442)</f>
        <v/>
      </c>
      <c r="L1439">
        <f>IF([2]Entry!$E$1442="","",[2]Entry!$E$1442)</f>
        <v/>
      </c>
      <c r="M1439">
        <f>IF([2]Entry!$G$1442="","",[2]Entry!$G$1442)</f>
        <v/>
      </c>
      <c r="N1439">
        <f>IF([2]Entry!$M$1442="","",[2]Entry!$M$1442)</f>
        <v/>
      </c>
      <c r="O1439">
        <f>IF([2]Entry!$N$1442="","",[2]Entry!$N$1442)</f>
        <v/>
      </c>
      <c r="P1439">
        <f>IF([2]Entry!$R$1442="","",[2]Entry!$R$1442)</f>
        <v/>
      </c>
    </row>
    <row r="1440">
      <c r="J1440">
        <f>IF([2]Entry!$C$1443="","",[2]Entry!$C$1443)</f>
        <v/>
      </c>
      <c r="K1440">
        <f>IF([2]Entry!$D$1443="","",[2]Entry!$D$1443)</f>
        <v/>
      </c>
      <c r="L1440">
        <f>IF([2]Entry!$E$1443="","",[2]Entry!$E$1443)</f>
        <v/>
      </c>
      <c r="M1440">
        <f>IF([2]Entry!$G$1443="","",[2]Entry!$G$1443)</f>
        <v/>
      </c>
      <c r="N1440">
        <f>IF([2]Entry!$M$1443="","",[2]Entry!$M$1443)</f>
        <v/>
      </c>
      <c r="O1440">
        <f>IF([2]Entry!$N$1443="","",[2]Entry!$N$1443)</f>
        <v/>
      </c>
      <c r="P1440">
        <f>IF([2]Entry!$R$1443="","",[2]Entry!$R$1443)</f>
        <v/>
      </c>
    </row>
    <row r="1441">
      <c r="J1441">
        <f>IF([2]Entry!$C$1444="","",[2]Entry!$C$1444)</f>
        <v/>
      </c>
      <c r="K1441">
        <f>IF([2]Entry!$D$1444="","",[2]Entry!$D$1444)</f>
        <v/>
      </c>
      <c r="L1441">
        <f>IF([2]Entry!$E$1444="","",[2]Entry!$E$1444)</f>
        <v/>
      </c>
      <c r="M1441">
        <f>IF([2]Entry!$G$1444="","",[2]Entry!$G$1444)</f>
        <v/>
      </c>
      <c r="N1441">
        <f>IF([2]Entry!$M$1444="","",[2]Entry!$M$1444)</f>
        <v/>
      </c>
      <c r="O1441">
        <f>IF([2]Entry!$N$1444="","",[2]Entry!$N$1444)</f>
        <v/>
      </c>
      <c r="P1441">
        <f>IF([2]Entry!$R$1444="","",[2]Entry!$R$1444)</f>
        <v/>
      </c>
    </row>
    <row r="1442">
      <c r="J1442">
        <f>IF([2]Entry!$C$1445="","",[2]Entry!$C$1445)</f>
        <v/>
      </c>
      <c r="K1442">
        <f>IF([2]Entry!$D$1445="","",[2]Entry!$D$1445)</f>
        <v/>
      </c>
      <c r="L1442">
        <f>IF([2]Entry!$E$1445="","",[2]Entry!$E$1445)</f>
        <v/>
      </c>
      <c r="M1442">
        <f>IF([2]Entry!$G$1445="","",[2]Entry!$G$1445)</f>
        <v/>
      </c>
      <c r="N1442">
        <f>IF([2]Entry!$M$1445="","",[2]Entry!$M$1445)</f>
        <v/>
      </c>
      <c r="O1442">
        <f>IF([2]Entry!$N$1445="","",[2]Entry!$N$1445)</f>
        <v/>
      </c>
      <c r="P1442">
        <f>IF([2]Entry!$R$1445="","",[2]Entry!$R$1445)</f>
        <v/>
      </c>
    </row>
    <row r="1443">
      <c r="J1443">
        <f>IF([2]Entry!$C$1446="","",[2]Entry!$C$1446)</f>
        <v/>
      </c>
      <c r="K1443">
        <f>IF([2]Entry!$D$1446="","",[2]Entry!$D$1446)</f>
        <v/>
      </c>
      <c r="L1443">
        <f>IF([2]Entry!$E$1446="","",[2]Entry!$E$1446)</f>
        <v/>
      </c>
      <c r="M1443">
        <f>IF([2]Entry!$G$1446="","",[2]Entry!$G$1446)</f>
        <v/>
      </c>
      <c r="N1443">
        <f>IF([2]Entry!$M$1446="","",[2]Entry!$M$1446)</f>
        <v/>
      </c>
      <c r="O1443">
        <f>IF([2]Entry!$N$1446="","",[2]Entry!$N$1446)</f>
        <v/>
      </c>
      <c r="P1443">
        <f>IF([2]Entry!$R$1446="","",[2]Entry!$R$1446)</f>
        <v/>
      </c>
    </row>
    <row r="1444">
      <c r="J1444">
        <f>IF([2]Entry!$C$1447="","",[2]Entry!$C$1447)</f>
        <v/>
      </c>
      <c r="K1444">
        <f>IF([2]Entry!$D$1447="","",[2]Entry!$D$1447)</f>
        <v/>
      </c>
      <c r="L1444">
        <f>IF([2]Entry!$E$1447="","",[2]Entry!$E$1447)</f>
        <v/>
      </c>
      <c r="M1444">
        <f>IF([2]Entry!$G$1447="","",[2]Entry!$G$1447)</f>
        <v/>
      </c>
      <c r="N1444">
        <f>IF([2]Entry!$M$1447="","",[2]Entry!$M$1447)</f>
        <v/>
      </c>
      <c r="O1444">
        <f>IF([2]Entry!$N$1447="","",[2]Entry!$N$1447)</f>
        <v/>
      </c>
      <c r="P1444">
        <f>IF([2]Entry!$R$1447="","",[2]Entry!$R$1447)</f>
        <v/>
      </c>
    </row>
    <row r="1445">
      <c r="J1445">
        <f>IF([2]Entry!$C$1448="","",[2]Entry!$C$1448)</f>
        <v/>
      </c>
      <c r="K1445">
        <f>IF([2]Entry!$D$1448="","",[2]Entry!$D$1448)</f>
        <v/>
      </c>
      <c r="L1445">
        <f>IF([2]Entry!$E$1448="","",[2]Entry!$E$1448)</f>
        <v/>
      </c>
      <c r="M1445">
        <f>IF([2]Entry!$G$1448="","",[2]Entry!$G$1448)</f>
        <v/>
      </c>
      <c r="N1445">
        <f>IF([2]Entry!$M$1448="","",[2]Entry!$M$1448)</f>
        <v/>
      </c>
      <c r="O1445">
        <f>IF([2]Entry!$N$1448="","",[2]Entry!$N$1448)</f>
        <v/>
      </c>
      <c r="P1445">
        <f>IF([2]Entry!$R$1448="","",[2]Entry!$R$1448)</f>
        <v/>
      </c>
    </row>
    <row r="1446">
      <c r="J1446">
        <f>IF([2]Entry!$C$1449="","",[2]Entry!$C$1449)</f>
        <v/>
      </c>
      <c r="K1446">
        <f>IF([2]Entry!$D$1449="","",[2]Entry!$D$1449)</f>
        <v/>
      </c>
      <c r="L1446">
        <f>IF([2]Entry!$E$1449="","",[2]Entry!$E$1449)</f>
        <v/>
      </c>
      <c r="M1446">
        <f>IF([2]Entry!$G$1449="","",[2]Entry!$G$1449)</f>
        <v/>
      </c>
      <c r="N1446">
        <f>IF([2]Entry!$M$1449="","",[2]Entry!$M$1449)</f>
        <v/>
      </c>
      <c r="O1446">
        <f>IF([2]Entry!$N$1449="","",[2]Entry!$N$1449)</f>
        <v/>
      </c>
      <c r="P1446">
        <f>IF([2]Entry!$R$1449="","",[2]Entry!$R$1449)</f>
        <v/>
      </c>
    </row>
    <row r="1447">
      <c r="J1447">
        <f>IF([2]Entry!$C$1450="","",[2]Entry!$C$1450)</f>
        <v/>
      </c>
      <c r="K1447">
        <f>IF([2]Entry!$D$1450="","",[2]Entry!$D$1450)</f>
        <v/>
      </c>
      <c r="L1447">
        <f>IF([2]Entry!$E$1450="","",[2]Entry!$E$1450)</f>
        <v/>
      </c>
      <c r="M1447">
        <f>IF([2]Entry!$G$1450="","",[2]Entry!$G$1450)</f>
        <v/>
      </c>
      <c r="N1447">
        <f>IF([2]Entry!$M$1450="","",[2]Entry!$M$1450)</f>
        <v/>
      </c>
      <c r="O1447">
        <f>IF([2]Entry!$N$1450="","",[2]Entry!$N$1450)</f>
        <v/>
      </c>
      <c r="P1447">
        <f>IF([2]Entry!$R$1450="","",[2]Entry!$R$1450)</f>
        <v/>
      </c>
    </row>
    <row r="1448">
      <c r="J1448">
        <f>IF([2]Entry!$C$1451="","",[2]Entry!$C$1451)</f>
        <v/>
      </c>
      <c r="K1448">
        <f>IF([2]Entry!$D$1451="","",[2]Entry!$D$1451)</f>
        <v/>
      </c>
      <c r="L1448">
        <f>IF([2]Entry!$E$1451="","",[2]Entry!$E$1451)</f>
        <v/>
      </c>
      <c r="M1448">
        <f>IF([2]Entry!$G$1451="","",[2]Entry!$G$1451)</f>
        <v/>
      </c>
      <c r="N1448">
        <f>IF([2]Entry!$M$1451="","",[2]Entry!$M$1451)</f>
        <v/>
      </c>
      <c r="O1448">
        <f>IF([2]Entry!$N$1451="","",[2]Entry!$N$1451)</f>
        <v/>
      </c>
      <c r="P1448">
        <f>IF([2]Entry!$R$1451="","",[2]Entry!$R$1451)</f>
        <v/>
      </c>
    </row>
    <row r="1449">
      <c r="J1449">
        <f>IF([2]Entry!$C$1452="","",[2]Entry!$C$1452)</f>
        <v/>
      </c>
      <c r="K1449">
        <f>IF([2]Entry!$D$1452="","",[2]Entry!$D$1452)</f>
        <v/>
      </c>
      <c r="L1449">
        <f>IF([2]Entry!$E$1452="","",[2]Entry!$E$1452)</f>
        <v/>
      </c>
      <c r="M1449">
        <f>IF([2]Entry!$G$1452="","",[2]Entry!$G$1452)</f>
        <v/>
      </c>
      <c r="N1449">
        <f>IF([2]Entry!$M$1452="","",[2]Entry!$M$1452)</f>
        <v/>
      </c>
      <c r="O1449">
        <f>IF([2]Entry!$N$1452="","",[2]Entry!$N$1452)</f>
        <v/>
      </c>
      <c r="P1449">
        <f>IF([2]Entry!$R$1452="","",[2]Entry!$R$1452)</f>
        <v/>
      </c>
    </row>
    <row r="1450">
      <c r="J1450">
        <f>IF([2]Entry!$C$1453="","",[2]Entry!$C$1453)</f>
        <v/>
      </c>
      <c r="K1450">
        <f>IF([2]Entry!$D$1453="","",[2]Entry!$D$1453)</f>
        <v/>
      </c>
      <c r="L1450">
        <f>IF([2]Entry!$E$1453="","",[2]Entry!$E$1453)</f>
        <v/>
      </c>
      <c r="M1450">
        <f>IF([2]Entry!$G$1453="","",[2]Entry!$G$1453)</f>
        <v/>
      </c>
      <c r="N1450">
        <f>IF([2]Entry!$M$1453="","",[2]Entry!$M$1453)</f>
        <v/>
      </c>
      <c r="O1450">
        <f>IF([2]Entry!$N$1453="","",[2]Entry!$N$1453)</f>
        <v/>
      </c>
      <c r="P1450">
        <f>IF([2]Entry!$R$1453="","",[2]Entry!$R$1453)</f>
        <v/>
      </c>
    </row>
    <row r="1451">
      <c r="J1451">
        <f>IF([2]Entry!$C$1454="","",[2]Entry!$C$1454)</f>
        <v/>
      </c>
      <c r="K1451">
        <f>IF([2]Entry!$D$1454="","",[2]Entry!$D$1454)</f>
        <v/>
      </c>
      <c r="L1451">
        <f>IF([2]Entry!$E$1454="","",[2]Entry!$E$1454)</f>
        <v/>
      </c>
      <c r="M1451">
        <f>IF([2]Entry!$G$1454="","",[2]Entry!$G$1454)</f>
        <v/>
      </c>
      <c r="N1451">
        <f>IF([2]Entry!$M$1454="","",[2]Entry!$M$1454)</f>
        <v/>
      </c>
      <c r="O1451">
        <f>IF([2]Entry!$N$1454="","",[2]Entry!$N$1454)</f>
        <v/>
      </c>
      <c r="P1451">
        <f>IF([2]Entry!$R$1454="","",[2]Entry!$R$1454)</f>
        <v/>
      </c>
    </row>
    <row r="1452">
      <c r="J1452">
        <f>IF([2]Entry!$C$1455="","",[2]Entry!$C$1455)</f>
        <v/>
      </c>
      <c r="K1452">
        <f>IF([2]Entry!$D$1455="","",[2]Entry!$D$1455)</f>
        <v/>
      </c>
      <c r="L1452">
        <f>IF([2]Entry!$E$1455="","",[2]Entry!$E$1455)</f>
        <v/>
      </c>
      <c r="M1452">
        <f>IF([2]Entry!$G$1455="","",[2]Entry!$G$1455)</f>
        <v/>
      </c>
      <c r="N1452">
        <f>IF([2]Entry!$M$1455="","",[2]Entry!$M$1455)</f>
        <v/>
      </c>
      <c r="O1452">
        <f>IF([2]Entry!$N$1455="","",[2]Entry!$N$1455)</f>
        <v/>
      </c>
      <c r="P1452">
        <f>IF([2]Entry!$R$1455="","",[2]Entry!$R$1455)</f>
        <v/>
      </c>
    </row>
    <row r="1453">
      <c r="J1453">
        <f>IF([2]Entry!$C$1456="","",[2]Entry!$C$1456)</f>
        <v/>
      </c>
      <c r="K1453">
        <f>IF([2]Entry!$D$1456="","",[2]Entry!$D$1456)</f>
        <v/>
      </c>
      <c r="L1453">
        <f>IF([2]Entry!$E$1456="","",[2]Entry!$E$1456)</f>
        <v/>
      </c>
      <c r="M1453">
        <f>IF([2]Entry!$G$1456="","",[2]Entry!$G$1456)</f>
        <v/>
      </c>
      <c r="N1453">
        <f>IF([2]Entry!$M$1456="","",[2]Entry!$M$1456)</f>
        <v/>
      </c>
      <c r="O1453">
        <f>IF([2]Entry!$N$1456="","",[2]Entry!$N$1456)</f>
        <v/>
      </c>
      <c r="P1453">
        <f>IF([2]Entry!$R$1456="","",[2]Entry!$R$1456)</f>
        <v/>
      </c>
    </row>
    <row r="1454">
      <c r="J1454">
        <f>IF([2]Entry!$C$1457="","",[2]Entry!$C$1457)</f>
        <v/>
      </c>
      <c r="K1454">
        <f>IF([2]Entry!$D$1457="","",[2]Entry!$D$1457)</f>
        <v/>
      </c>
      <c r="L1454">
        <f>IF([2]Entry!$E$1457="","",[2]Entry!$E$1457)</f>
        <v/>
      </c>
      <c r="M1454">
        <f>IF([2]Entry!$G$1457="","",[2]Entry!$G$1457)</f>
        <v/>
      </c>
      <c r="N1454">
        <f>IF([2]Entry!$M$1457="","",[2]Entry!$M$1457)</f>
        <v/>
      </c>
      <c r="O1454">
        <f>IF([2]Entry!$N$1457="","",[2]Entry!$N$1457)</f>
        <v/>
      </c>
      <c r="P1454">
        <f>IF([2]Entry!$R$1457="","",[2]Entry!$R$1457)</f>
        <v/>
      </c>
    </row>
    <row r="1455">
      <c r="J1455">
        <f>IF([2]Entry!$C$1458="","",[2]Entry!$C$1458)</f>
        <v/>
      </c>
      <c r="K1455">
        <f>IF([2]Entry!$D$1458="","",[2]Entry!$D$1458)</f>
        <v/>
      </c>
      <c r="L1455">
        <f>IF([2]Entry!$E$1458="","",[2]Entry!$E$1458)</f>
        <v/>
      </c>
      <c r="M1455">
        <f>IF([2]Entry!$G$1458="","",[2]Entry!$G$1458)</f>
        <v/>
      </c>
      <c r="N1455">
        <f>IF([2]Entry!$M$1458="","",[2]Entry!$M$1458)</f>
        <v/>
      </c>
      <c r="O1455">
        <f>IF([2]Entry!$N$1458="","",[2]Entry!$N$1458)</f>
        <v/>
      </c>
      <c r="P1455">
        <f>IF([2]Entry!$R$1458="","",[2]Entry!$R$1458)</f>
        <v/>
      </c>
    </row>
    <row r="1456">
      <c r="J1456">
        <f>IF([2]Entry!$C$1459="","",[2]Entry!$C$1459)</f>
        <v/>
      </c>
      <c r="K1456">
        <f>IF([2]Entry!$D$1459="","",[2]Entry!$D$1459)</f>
        <v/>
      </c>
      <c r="L1456">
        <f>IF([2]Entry!$E$1459="","",[2]Entry!$E$1459)</f>
        <v/>
      </c>
      <c r="M1456">
        <f>IF([2]Entry!$G$1459="","",[2]Entry!$G$1459)</f>
        <v/>
      </c>
      <c r="N1456">
        <f>IF([2]Entry!$M$1459="","",[2]Entry!$M$1459)</f>
        <v/>
      </c>
      <c r="O1456">
        <f>IF([2]Entry!$N$1459="","",[2]Entry!$N$1459)</f>
        <v/>
      </c>
      <c r="P1456">
        <f>IF([2]Entry!$R$1459="","",[2]Entry!$R$1459)</f>
        <v/>
      </c>
    </row>
    <row r="1457">
      <c r="J1457">
        <f>IF([2]Entry!$C$1460="","",[2]Entry!$C$1460)</f>
        <v/>
      </c>
      <c r="K1457">
        <f>IF([2]Entry!$D$1460="","",[2]Entry!$D$1460)</f>
        <v/>
      </c>
      <c r="L1457">
        <f>IF([2]Entry!$E$1460="","",[2]Entry!$E$1460)</f>
        <v/>
      </c>
      <c r="M1457">
        <f>IF([2]Entry!$G$1460="","",[2]Entry!$G$1460)</f>
        <v/>
      </c>
      <c r="N1457">
        <f>IF([2]Entry!$M$1460="","",[2]Entry!$M$1460)</f>
        <v/>
      </c>
      <c r="O1457">
        <f>IF([2]Entry!$N$1460="","",[2]Entry!$N$1460)</f>
        <v/>
      </c>
      <c r="P1457">
        <f>IF([2]Entry!$R$1460="","",[2]Entry!$R$1460)</f>
        <v/>
      </c>
    </row>
    <row r="1458">
      <c r="J1458">
        <f>IF([2]Entry!$C$1461="","",[2]Entry!$C$1461)</f>
        <v/>
      </c>
      <c r="K1458">
        <f>IF([2]Entry!$D$1461="","",[2]Entry!$D$1461)</f>
        <v/>
      </c>
      <c r="L1458">
        <f>IF([2]Entry!$E$1461="","",[2]Entry!$E$1461)</f>
        <v/>
      </c>
      <c r="M1458">
        <f>IF([2]Entry!$G$1461="","",[2]Entry!$G$1461)</f>
        <v/>
      </c>
      <c r="N1458">
        <f>IF([2]Entry!$M$1461="","",[2]Entry!$M$1461)</f>
        <v/>
      </c>
      <c r="O1458">
        <f>IF([2]Entry!$N$1461="","",[2]Entry!$N$1461)</f>
        <v/>
      </c>
      <c r="P1458">
        <f>IF([2]Entry!$R$1461="","",[2]Entry!$R$1461)</f>
        <v/>
      </c>
    </row>
    <row r="1459">
      <c r="J1459">
        <f>IF([2]Entry!$C$1462="","",[2]Entry!$C$1462)</f>
        <v/>
      </c>
      <c r="K1459">
        <f>IF([2]Entry!$D$1462="","",[2]Entry!$D$1462)</f>
        <v/>
      </c>
      <c r="L1459">
        <f>IF([2]Entry!$E$1462="","",[2]Entry!$E$1462)</f>
        <v/>
      </c>
      <c r="M1459">
        <f>IF([2]Entry!$G$1462="","",[2]Entry!$G$1462)</f>
        <v/>
      </c>
      <c r="N1459">
        <f>IF([2]Entry!$M$1462="","",[2]Entry!$M$1462)</f>
        <v/>
      </c>
      <c r="O1459">
        <f>IF([2]Entry!$N$1462="","",[2]Entry!$N$1462)</f>
        <v/>
      </c>
      <c r="P1459">
        <f>IF([2]Entry!$R$1462="","",[2]Entry!$R$1462)</f>
        <v/>
      </c>
    </row>
    <row r="1460">
      <c r="J1460">
        <f>IF([2]Entry!$C$1463="","",[2]Entry!$C$1463)</f>
        <v/>
      </c>
      <c r="K1460">
        <f>IF([2]Entry!$D$1463="","",[2]Entry!$D$1463)</f>
        <v/>
      </c>
      <c r="L1460">
        <f>IF([2]Entry!$E$1463="","",[2]Entry!$E$1463)</f>
        <v/>
      </c>
      <c r="M1460">
        <f>IF([2]Entry!$G$1463="","",[2]Entry!$G$1463)</f>
        <v/>
      </c>
      <c r="N1460">
        <f>IF([2]Entry!$M$1463="","",[2]Entry!$M$1463)</f>
        <v/>
      </c>
      <c r="O1460">
        <f>IF([2]Entry!$N$1463="","",[2]Entry!$N$1463)</f>
        <v/>
      </c>
      <c r="P1460">
        <f>IF([2]Entry!$R$1463="","",[2]Entry!$R$1463)</f>
        <v/>
      </c>
    </row>
    <row r="1461">
      <c r="J1461">
        <f>IF([2]Entry!$C$1464="","",[2]Entry!$C$1464)</f>
        <v/>
      </c>
      <c r="K1461">
        <f>IF([2]Entry!$D$1464="","",[2]Entry!$D$1464)</f>
        <v/>
      </c>
      <c r="L1461">
        <f>IF([2]Entry!$E$1464="","",[2]Entry!$E$1464)</f>
        <v/>
      </c>
      <c r="M1461">
        <f>IF([2]Entry!$G$1464="","",[2]Entry!$G$1464)</f>
        <v/>
      </c>
      <c r="N1461">
        <f>IF([2]Entry!$M$1464="","",[2]Entry!$M$1464)</f>
        <v/>
      </c>
      <c r="O1461">
        <f>IF([2]Entry!$N$1464="","",[2]Entry!$N$1464)</f>
        <v/>
      </c>
      <c r="P1461">
        <f>IF([2]Entry!$R$1464="","",[2]Entry!$R$1464)</f>
        <v/>
      </c>
    </row>
    <row r="1462">
      <c r="J1462">
        <f>IF([2]Entry!$C$1465="","",[2]Entry!$C$1465)</f>
        <v/>
      </c>
      <c r="K1462">
        <f>IF([2]Entry!$D$1465="","",[2]Entry!$D$1465)</f>
        <v/>
      </c>
      <c r="L1462">
        <f>IF([2]Entry!$E$1465="","",[2]Entry!$E$1465)</f>
        <v/>
      </c>
      <c r="M1462">
        <f>IF([2]Entry!$G$1465="","",[2]Entry!$G$1465)</f>
        <v/>
      </c>
      <c r="N1462">
        <f>IF([2]Entry!$M$1465="","",[2]Entry!$M$1465)</f>
        <v/>
      </c>
      <c r="O1462">
        <f>IF([2]Entry!$N$1465="","",[2]Entry!$N$1465)</f>
        <v/>
      </c>
      <c r="P1462">
        <f>IF([2]Entry!$R$1465="","",[2]Entry!$R$1465)</f>
        <v/>
      </c>
    </row>
    <row r="1463">
      <c r="J1463">
        <f>IF([2]Entry!$C$1466="","",[2]Entry!$C$1466)</f>
        <v/>
      </c>
      <c r="K1463">
        <f>IF([2]Entry!$D$1466="","",[2]Entry!$D$1466)</f>
        <v/>
      </c>
      <c r="L1463">
        <f>IF([2]Entry!$E$1466="","",[2]Entry!$E$1466)</f>
        <v/>
      </c>
      <c r="M1463">
        <f>IF([2]Entry!$G$1466="","",[2]Entry!$G$1466)</f>
        <v/>
      </c>
      <c r="N1463">
        <f>IF([2]Entry!$M$1466="","",[2]Entry!$M$1466)</f>
        <v/>
      </c>
      <c r="O1463">
        <f>IF([2]Entry!$N$1466="","",[2]Entry!$N$1466)</f>
        <v/>
      </c>
      <c r="P1463">
        <f>IF([2]Entry!$R$1466="","",[2]Entry!$R$1466)</f>
        <v/>
      </c>
    </row>
    <row r="1464">
      <c r="J1464">
        <f>IF([2]Entry!$C$1467="","",[2]Entry!$C$1467)</f>
        <v/>
      </c>
      <c r="K1464">
        <f>IF([2]Entry!$D$1467="","",[2]Entry!$D$1467)</f>
        <v/>
      </c>
      <c r="L1464">
        <f>IF([2]Entry!$E$1467="","",[2]Entry!$E$1467)</f>
        <v/>
      </c>
      <c r="M1464">
        <f>IF([2]Entry!$G$1467="","",[2]Entry!$G$1467)</f>
        <v/>
      </c>
      <c r="N1464">
        <f>IF([2]Entry!$M$1467="","",[2]Entry!$M$1467)</f>
        <v/>
      </c>
      <c r="O1464">
        <f>IF([2]Entry!$N$1467="","",[2]Entry!$N$1467)</f>
        <v/>
      </c>
      <c r="P1464">
        <f>IF([2]Entry!$R$1467="","",[2]Entry!$R$1467)</f>
        <v/>
      </c>
    </row>
    <row r="1465">
      <c r="J1465">
        <f>IF([2]Entry!$C$1468="","",[2]Entry!$C$1468)</f>
        <v/>
      </c>
      <c r="K1465">
        <f>IF([2]Entry!$D$1468="","",[2]Entry!$D$1468)</f>
        <v/>
      </c>
      <c r="L1465">
        <f>IF([2]Entry!$E$1468="","",[2]Entry!$E$1468)</f>
        <v/>
      </c>
      <c r="M1465">
        <f>IF([2]Entry!$G$1468="","",[2]Entry!$G$1468)</f>
        <v/>
      </c>
      <c r="N1465">
        <f>IF([2]Entry!$M$1468="","",[2]Entry!$M$1468)</f>
        <v/>
      </c>
      <c r="O1465">
        <f>IF([2]Entry!$N$1468="","",[2]Entry!$N$1468)</f>
        <v/>
      </c>
      <c r="P1465">
        <f>IF([2]Entry!$R$1468="","",[2]Entry!$R$1468)</f>
        <v/>
      </c>
    </row>
    <row r="1466">
      <c r="J1466">
        <f>IF([2]Entry!$C$1469="","",[2]Entry!$C$1469)</f>
        <v/>
      </c>
      <c r="K1466">
        <f>IF([2]Entry!$D$1469="","",[2]Entry!$D$1469)</f>
        <v/>
      </c>
      <c r="L1466">
        <f>IF([2]Entry!$E$1469="","",[2]Entry!$E$1469)</f>
        <v/>
      </c>
      <c r="M1466">
        <f>IF([2]Entry!$G$1469="","",[2]Entry!$G$1469)</f>
        <v/>
      </c>
      <c r="N1466">
        <f>IF([2]Entry!$M$1469="","",[2]Entry!$M$1469)</f>
        <v/>
      </c>
      <c r="O1466">
        <f>IF([2]Entry!$N$1469="","",[2]Entry!$N$1469)</f>
        <v/>
      </c>
      <c r="P1466">
        <f>IF([2]Entry!$R$1469="","",[2]Entry!$R$1469)</f>
        <v/>
      </c>
    </row>
    <row r="1467">
      <c r="J1467">
        <f>IF([2]Entry!$C$1470="","",[2]Entry!$C$1470)</f>
        <v/>
      </c>
      <c r="K1467">
        <f>IF([2]Entry!$D$1470="","",[2]Entry!$D$1470)</f>
        <v/>
      </c>
      <c r="L1467">
        <f>IF([2]Entry!$E$1470="","",[2]Entry!$E$1470)</f>
        <v/>
      </c>
      <c r="M1467">
        <f>IF([2]Entry!$G$1470="","",[2]Entry!$G$1470)</f>
        <v/>
      </c>
      <c r="N1467">
        <f>IF([2]Entry!$M$1470="","",[2]Entry!$M$1470)</f>
        <v/>
      </c>
      <c r="O1467">
        <f>IF([2]Entry!$N$1470="","",[2]Entry!$N$1470)</f>
        <v/>
      </c>
      <c r="P1467">
        <f>IF([2]Entry!$R$1470="","",[2]Entry!$R$1470)</f>
        <v/>
      </c>
    </row>
    <row r="1468">
      <c r="J1468">
        <f>IF([2]Entry!$C$1471="","",[2]Entry!$C$1471)</f>
        <v/>
      </c>
      <c r="K1468">
        <f>IF([2]Entry!$D$1471="","",[2]Entry!$D$1471)</f>
        <v/>
      </c>
      <c r="L1468">
        <f>IF([2]Entry!$E$1471="","",[2]Entry!$E$1471)</f>
        <v/>
      </c>
      <c r="M1468">
        <f>IF([2]Entry!$G$1471="","",[2]Entry!$G$1471)</f>
        <v/>
      </c>
      <c r="N1468">
        <f>IF([2]Entry!$M$1471="","",[2]Entry!$M$1471)</f>
        <v/>
      </c>
      <c r="O1468">
        <f>IF([2]Entry!$N$1471="","",[2]Entry!$N$1471)</f>
        <v/>
      </c>
      <c r="P1468">
        <f>IF([2]Entry!$R$1471="","",[2]Entry!$R$1471)</f>
        <v/>
      </c>
    </row>
    <row r="1469">
      <c r="J1469">
        <f>IF([2]Entry!$C$1472="","",[2]Entry!$C$1472)</f>
        <v/>
      </c>
      <c r="K1469">
        <f>IF([2]Entry!$D$1472="","",[2]Entry!$D$1472)</f>
        <v/>
      </c>
      <c r="L1469">
        <f>IF([2]Entry!$E$1472="","",[2]Entry!$E$1472)</f>
        <v/>
      </c>
      <c r="M1469">
        <f>IF([2]Entry!$G$1472="","",[2]Entry!$G$1472)</f>
        <v/>
      </c>
      <c r="N1469">
        <f>IF([2]Entry!$M$1472="","",[2]Entry!$M$1472)</f>
        <v/>
      </c>
      <c r="O1469">
        <f>IF([2]Entry!$N$1472="","",[2]Entry!$N$1472)</f>
        <v/>
      </c>
      <c r="P1469">
        <f>IF([2]Entry!$R$1472="","",[2]Entry!$R$1472)</f>
        <v/>
      </c>
    </row>
    <row r="1470">
      <c r="J1470">
        <f>IF([2]Entry!$C$1473="","",[2]Entry!$C$1473)</f>
        <v/>
      </c>
      <c r="K1470">
        <f>IF([2]Entry!$D$1473="","",[2]Entry!$D$1473)</f>
        <v/>
      </c>
      <c r="L1470">
        <f>IF([2]Entry!$E$1473="","",[2]Entry!$E$1473)</f>
        <v/>
      </c>
      <c r="M1470">
        <f>IF([2]Entry!$G$1473="","",[2]Entry!$G$1473)</f>
        <v/>
      </c>
      <c r="N1470">
        <f>IF([2]Entry!$M$1473="","",[2]Entry!$M$1473)</f>
        <v/>
      </c>
      <c r="O1470">
        <f>IF([2]Entry!$N$1473="","",[2]Entry!$N$1473)</f>
        <v/>
      </c>
      <c r="P1470">
        <f>IF([2]Entry!$R$1473="","",[2]Entry!$R$1473)</f>
        <v/>
      </c>
    </row>
    <row r="1471">
      <c r="J1471">
        <f>IF([2]Entry!$C$1474="","",[2]Entry!$C$1474)</f>
        <v/>
      </c>
      <c r="K1471">
        <f>IF([2]Entry!$D$1474="","",[2]Entry!$D$1474)</f>
        <v/>
      </c>
      <c r="L1471">
        <f>IF([2]Entry!$E$1474="","",[2]Entry!$E$1474)</f>
        <v/>
      </c>
      <c r="M1471">
        <f>IF([2]Entry!$G$1474="","",[2]Entry!$G$1474)</f>
        <v/>
      </c>
      <c r="N1471">
        <f>IF([2]Entry!$M$1474="","",[2]Entry!$M$1474)</f>
        <v/>
      </c>
      <c r="O1471">
        <f>IF([2]Entry!$N$1474="","",[2]Entry!$N$1474)</f>
        <v/>
      </c>
      <c r="P1471">
        <f>IF([2]Entry!$R$1474="","",[2]Entry!$R$1474)</f>
        <v/>
      </c>
    </row>
    <row r="1472">
      <c r="J1472">
        <f>IF([2]Entry!$C$1475="","",[2]Entry!$C$1475)</f>
        <v/>
      </c>
      <c r="K1472">
        <f>IF([2]Entry!$D$1475="","",[2]Entry!$D$1475)</f>
        <v/>
      </c>
      <c r="L1472">
        <f>IF([2]Entry!$E$1475="","",[2]Entry!$E$1475)</f>
        <v/>
      </c>
      <c r="M1472">
        <f>IF([2]Entry!$G$1475="","",[2]Entry!$G$1475)</f>
        <v/>
      </c>
      <c r="N1472">
        <f>IF([2]Entry!$M$1475="","",[2]Entry!$M$1475)</f>
        <v/>
      </c>
      <c r="O1472">
        <f>IF([2]Entry!$N$1475="","",[2]Entry!$N$1475)</f>
        <v/>
      </c>
      <c r="P1472">
        <f>IF([2]Entry!$R$1475="","",[2]Entry!$R$1475)</f>
        <v/>
      </c>
    </row>
    <row r="1473">
      <c r="J1473">
        <f>IF([2]Entry!$C$1476="","",[2]Entry!$C$1476)</f>
        <v/>
      </c>
      <c r="K1473">
        <f>IF([2]Entry!$D$1476="","",[2]Entry!$D$1476)</f>
        <v/>
      </c>
      <c r="L1473">
        <f>IF([2]Entry!$E$1476="","",[2]Entry!$E$1476)</f>
        <v/>
      </c>
      <c r="M1473">
        <f>IF([2]Entry!$G$1476="","",[2]Entry!$G$1476)</f>
        <v/>
      </c>
      <c r="N1473">
        <f>IF([2]Entry!$M$1476="","",[2]Entry!$M$1476)</f>
        <v/>
      </c>
      <c r="O1473">
        <f>IF([2]Entry!$N$1476="","",[2]Entry!$N$1476)</f>
        <v/>
      </c>
      <c r="P1473">
        <f>IF([2]Entry!$R$1476="","",[2]Entry!$R$1476)</f>
        <v/>
      </c>
    </row>
    <row r="1474">
      <c r="J1474">
        <f>IF([2]Entry!$C$1477="","",[2]Entry!$C$1477)</f>
        <v/>
      </c>
      <c r="K1474">
        <f>IF([2]Entry!$D$1477="","",[2]Entry!$D$1477)</f>
        <v/>
      </c>
      <c r="L1474">
        <f>IF([2]Entry!$E$1477="","",[2]Entry!$E$1477)</f>
        <v/>
      </c>
      <c r="M1474">
        <f>IF([2]Entry!$G$1477="","",[2]Entry!$G$1477)</f>
        <v/>
      </c>
      <c r="N1474">
        <f>IF([2]Entry!$M$1477="","",[2]Entry!$M$1477)</f>
        <v/>
      </c>
      <c r="O1474">
        <f>IF([2]Entry!$N$1477="","",[2]Entry!$N$1477)</f>
        <v/>
      </c>
      <c r="P1474">
        <f>IF([2]Entry!$R$1477="","",[2]Entry!$R$1477)</f>
        <v/>
      </c>
    </row>
    <row r="1475">
      <c r="J1475">
        <f>IF([2]Entry!$C$1478="","",[2]Entry!$C$1478)</f>
        <v/>
      </c>
      <c r="K1475">
        <f>IF([2]Entry!$D$1478="","",[2]Entry!$D$1478)</f>
        <v/>
      </c>
      <c r="L1475">
        <f>IF([2]Entry!$E$1478="","",[2]Entry!$E$1478)</f>
        <v/>
      </c>
      <c r="M1475">
        <f>IF([2]Entry!$G$1478="","",[2]Entry!$G$1478)</f>
        <v/>
      </c>
      <c r="N1475">
        <f>IF([2]Entry!$M$1478="","",[2]Entry!$M$1478)</f>
        <v/>
      </c>
      <c r="O1475">
        <f>IF([2]Entry!$N$1478="","",[2]Entry!$N$1478)</f>
        <v/>
      </c>
      <c r="P1475">
        <f>IF([2]Entry!$R$1478="","",[2]Entry!$R$1478)</f>
        <v/>
      </c>
    </row>
    <row r="1476">
      <c r="J1476">
        <f>IF([2]Entry!$C$1479="","",[2]Entry!$C$1479)</f>
        <v/>
      </c>
      <c r="K1476">
        <f>IF([2]Entry!$D$1479="","",[2]Entry!$D$1479)</f>
        <v/>
      </c>
      <c r="L1476">
        <f>IF([2]Entry!$E$1479="","",[2]Entry!$E$1479)</f>
        <v/>
      </c>
      <c r="M1476">
        <f>IF([2]Entry!$G$1479="","",[2]Entry!$G$1479)</f>
        <v/>
      </c>
      <c r="N1476">
        <f>IF([2]Entry!$M$1479="","",[2]Entry!$M$1479)</f>
        <v/>
      </c>
      <c r="O1476">
        <f>IF([2]Entry!$N$1479="","",[2]Entry!$N$1479)</f>
        <v/>
      </c>
      <c r="P1476">
        <f>IF([2]Entry!$R$1479="","",[2]Entry!$R$1479)</f>
        <v/>
      </c>
    </row>
    <row r="1477">
      <c r="J1477">
        <f>IF([2]Entry!$C$1480="","",[2]Entry!$C$1480)</f>
        <v/>
      </c>
      <c r="K1477">
        <f>IF([2]Entry!$D$1480="","",[2]Entry!$D$1480)</f>
        <v/>
      </c>
      <c r="L1477">
        <f>IF([2]Entry!$E$1480="","",[2]Entry!$E$1480)</f>
        <v/>
      </c>
      <c r="M1477">
        <f>IF([2]Entry!$G$1480="","",[2]Entry!$G$1480)</f>
        <v/>
      </c>
      <c r="N1477">
        <f>IF([2]Entry!$M$1480="","",[2]Entry!$M$1480)</f>
        <v/>
      </c>
      <c r="O1477">
        <f>IF([2]Entry!$N$1480="","",[2]Entry!$N$1480)</f>
        <v/>
      </c>
      <c r="P1477">
        <f>IF([2]Entry!$R$1480="","",[2]Entry!$R$1480)</f>
        <v/>
      </c>
    </row>
    <row r="1478">
      <c r="J1478">
        <f>IF([2]Entry!$C$1481="","",[2]Entry!$C$1481)</f>
        <v/>
      </c>
      <c r="K1478">
        <f>IF([2]Entry!$D$1481="","",[2]Entry!$D$1481)</f>
        <v/>
      </c>
      <c r="L1478">
        <f>IF([2]Entry!$E$1481="","",[2]Entry!$E$1481)</f>
        <v/>
      </c>
      <c r="M1478">
        <f>IF([2]Entry!$G$1481="","",[2]Entry!$G$1481)</f>
        <v/>
      </c>
      <c r="N1478">
        <f>IF([2]Entry!$M$1481="","",[2]Entry!$M$1481)</f>
        <v/>
      </c>
      <c r="O1478">
        <f>IF([2]Entry!$N$1481="","",[2]Entry!$N$1481)</f>
        <v/>
      </c>
      <c r="P1478">
        <f>IF([2]Entry!$R$1481="","",[2]Entry!$R$1481)</f>
        <v/>
      </c>
    </row>
    <row r="1479">
      <c r="J1479">
        <f>IF([2]Entry!$C$1482="","",[2]Entry!$C$1482)</f>
        <v/>
      </c>
      <c r="K1479">
        <f>IF([2]Entry!$D$1482="","",[2]Entry!$D$1482)</f>
        <v/>
      </c>
      <c r="L1479">
        <f>IF([2]Entry!$E$1482="","",[2]Entry!$E$1482)</f>
        <v/>
      </c>
      <c r="M1479">
        <f>IF([2]Entry!$G$1482="","",[2]Entry!$G$1482)</f>
        <v/>
      </c>
      <c r="N1479">
        <f>IF([2]Entry!$M$1482="","",[2]Entry!$M$1482)</f>
        <v/>
      </c>
      <c r="O1479">
        <f>IF([2]Entry!$N$1482="","",[2]Entry!$N$1482)</f>
        <v/>
      </c>
      <c r="P1479">
        <f>IF([2]Entry!$R$1482="","",[2]Entry!$R$1482)</f>
        <v/>
      </c>
    </row>
    <row r="1480">
      <c r="J1480">
        <f>IF([2]Entry!$C$1483="","",[2]Entry!$C$1483)</f>
        <v/>
      </c>
      <c r="K1480">
        <f>IF([2]Entry!$D$1483="","",[2]Entry!$D$1483)</f>
        <v/>
      </c>
      <c r="L1480">
        <f>IF([2]Entry!$E$1483="","",[2]Entry!$E$1483)</f>
        <v/>
      </c>
      <c r="M1480">
        <f>IF([2]Entry!$G$1483="","",[2]Entry!$G$1483)</f>
        <v/>
      </c>
      <c r="N1480">
        <f>IF([2]Entry!$M$1483="","",[2]Entry!$M$1483)</f>
        <v/>
      </c>
      <c r="O1480">
        <f>IF([2]Entry!$N$1483="","",[2]Entry!$N$1483)</f>
        <v/>
      </c>
      <c r="P1480">
        <f>IF([2]Entry!$R$1483="","",[2]Entry!$R$1483)</f>
        <v/>
      </c>
    </row>
    <row r="1481">
      <c r="J1481">
        <f>IF([2]Entry!$C$1484="","",[2]Entry!$C$1484)</f>
        <v/>
      </c>
      <c r="K1481">
        <f>IF([2]Entry!$D$1484="","",[2]Entry!$D$1484)</f>
        <v/>
      </c>
      <c r="L1481">
        <f>IF([2]Entry!$E$1484="","",[2]Entry!$E$1484)</f>
        <v/>
      </c>
      <c r="M1481">
        <f>IF([2]Entry!$G$1484="","",[2]Entry!$G$1484)</f>
        <v/>
      </c>
      <c r="N1481">
        <f>IF([2]Entry!$M$1484="","",[2]Entry!$M$1484)</f>
        <v/>
      </c>
      <c r="O1481">
        <f>IF([2]Entry!$N$1484="","",[2]Entry!$N$1484)</f>
        <v/>
      </c>
      <c r="P1481">
        <f>IF([2]Entry!$R$1484="","",[2]Entry!$R$1484)</f>
        <v/>
      </c>
    </row>
    <row r="1482">
      <c r="J1482">
        <f>IF([2]Entry!$C$1485="","",[2]Entry!$C$1485)</f>
        <v/>
      </c>
      <c r="K1482">
        <f>IF([2]Entry!$D$1485="","",[2]Entry!$D$1485)</f>
        <v/>
      </c>
      <c r="L1482">
        <f>IF([2]Entry!$E$1485="","",[2]Entry!$E$1485)</f>
        <v/>
      </c>
      <c r="M1482">
        <f>IF([2]Entry!$G$1485="","",[2]Entry!$G$1485)</f>
        <v/>
      </c>
      <c r="N1482">
        <f>IF([2]Entry!$M$1485="","",[2]Entry!$M$1485)</f>
        <v/>
      </c>
      <c r="O1482">
        <f>IF([2]Entry!$N$1485="","",[2]Entry!$N$1485)</f>
        <v/>
      </c>
      <c r="P1482">
        <f>IF([2]Entry!$R$1485="","",[2]Entry!$R$1485)</f>
        <v/>
      </c>
    </row>
    <row r="1483">
      <c r="J1483">
        <f>IF([2]Entry!$C$1486="","",[2]Entry!$C$1486)</f>
        <v/>
      </c>
      <c r="K1483">
        <f>IF([2]Entry!$D$1486="","",[2]Entry!$D$1486)</f>
        <v/>
      </c>
      <c r="L1483">
        <f>IF([2]Entry!$E$1486="","",[2]Entry!$E$1486)</f>
        <v/>
      </c>
      <c r="M1483">
        <f>IF([2]Entry!$G$1486="","",[2]Entry!$G$1486)</f>
        <v/>
      </c>
      <c r="N1483">
        <f>IF([2]Entry!$M$1486="","",[2]Entry!$M$1486)</f>
        <v/>
      </c>
      <c r="O1483">
        <f>IF([2]Entry!$N$1486="","",[2]Entry!$N$1486)</f>
        <v/>
      </c>
      <c r="P1483">
        <f>IF([2]Entry!$R$1486="","",[2]Entry!$R$1486)</f>
        <v/>
      </c>
    </row>
    <row r="1484">
      <c r="J1484">
        <f>IF([2]Entry!$C$1487="","",[2]Entry!$C$1487)</f>
        <v/>
      </c>
      <c r="K1484">
        <f>IF([2]Entry!$D$1487="","",[2]Entry!$D$1487)</f>
        <v/>
      </c>
      <c r="L1484">
        <f>IF([2]Entry!$E$1487="","",[2]Entry!$E$1487)</f>
        <v/>
      </c>
      <c r="M1484">
        <f>IF([2]Entry!$G$1487="","",[2]Entry!$G$1487)</f>
        <v/>
      </c>
      <c r="N1484">
        <f>IF([2]Entry!$M$1487="","",[2]Entry!$M$1487)</f>
        <v/>
      </c>
      <c r="O1484">
        <f>IF([2]Entry!$N$1487="","",[2]Entry!$N$1487)</f>
        <v/>
      </c>
      <c r="P1484">
        <f>IF([2]Entry!$R$1487="","",[2]Entry!$R$1487)</f>
        <v/>
      </c>
    </row>
    <row r="1485">
      <c r="J1485">
        <f>IF([2]Entry!$C$1488="","",[2]Entry!$C$1488)</f>
        <v/>
      </c>
      <c r="K1485">
        <f>IF([2]Entry!$D$1488="","",[2]Entry!$D$1488)</f>
        <v/>
      </c>
      <c r="L1485">
        <f>IF([2]Entry!$E$1488="","",[2]Entry!$E$1488)</f>
        <v/>
      </c>
      <c r="M1485">
        <f>IF([2]Entry!$G$1488="","",[2]Entry!$G$1488)</f>
        <v/>
      </c>
      <c r="N1485">
        <f>IF([2]Entry!$M$1488="","",[2]Entry!$M$1488)</f>
        <v/>
      </c>
      <c r="O1485">
        <f>IF([2]Entry!$N$1488="","",[2]Entry!$N$1488)</f>
        <v/>
      </c>
      <c r="P1485">
        <f>IF([2]Entry!$R$1488="","",[2]Entry!$R$1488)</f>
        <v/>
      </c>
    </row>
    <row r="1486">
      <c r="J1486">
        <f>IF([2]Entry!$C$1489="","",[2]Entry!$C$1489)</f>
        <v/>
      </c>
      <c r="K1486">
        <f>IF([2]Entry!$D$1489="","",[2]Entry!$D$1489)</f>
        <v/>
      </c>
      <c r="L1486">
        <f>IF([2]Entry!$E$1489="","",[2]Entry!$E$1489)</f>
        <v/>
      </c>
      <c r="M1486">
        <f>IF([2]Entry!$G$1489="","",[2]Entry!$G$1489)</f>
        <v/>
      </c>
      <c r="N1486">
        <f>IF([2]Entry!$M$1489="","",[2]Entry!$M$1489)</f>
        <v/>
      </c>
      <c r="O1486">
        <f>IF([2]Entry!$N$1489="","",[2]Entry!$N$1489)</f>
        <v/>
      </c>
      <c r="P1486">
        <f>IF([2]Entry!$R$1489="","",[2]Entry!$R$1489)</f>
        <v/>
      </c>
    </row>
    <row r="1487">
      <c r="J1487">
        <f>IF([2]Entry!$C$1490="","",[2]Entry!$C$1490)</f>
        <v/>
      </c>
      <c r="K1487">
        <f>IF([2]Entry!$D$1490="","",[2]Entry!$D$1490)</f>
        <v/>
      </c>
      <c r="L1487">
        <f>IF([2]Entry!$E$1490="","",[2]Entry!$E$1490)</f>
        <v/>
      </c>
      <c r="M1487">
        <f>IF([2]Entry!$G$1490="","",[2]Entry!$G$1490)</f>
        <v/>
      </c>
      <c r="N1487">
        <f>IF([2]Entry!$M$1490="","",[2]Entry!$M$1490)</f>
        <v/>
      </c>
      <c r="O1487">
        <f>IF([2]Entry!$N$1490="","",[2]Entry!$N$1490)</f>
        <v/>
      </c>
      <c r="P1487">
        <f>IF([2]Entry!$R$1490="","",[2]Entry!$R$1490)</f>
        <v/>
      </c>
    </row>
    <row r="1488">
      <c r="J1488">
        <f>IF([2]Entry!$C$1491="","",[2]Entry!$C$1491)</f>
        <v/>
      </c>
      <c r="K1488">
        <f>IF([2]Entry!$D$1491="","",[2]Entry!$D$1491)</f>
        <v/>
      </c>
      <c r="L1488">
        <f>IF([2]Entry!$E$1491="","",[2]Entry!$E$1491)</f>
        <v/>
      </c>
      <c r="M1488">
        <f>IF([2]Entry!$G$1491="","",[2]Entry!$G$1491)</f>
        <v/>
      </c>
      <c r="N1488">
        <f>IF([2]Entry!$M$1491="","",[2]Entry!$M$1491)</f>
        <v/>
      </c>
      <c r="O1488">
        <f>IF([2]Entry!$N$1491="","",[2]Entry!$N$1491)</f>
        <v/>
      </c>
      <c r="P1488">
        <f>IF([2]Entry!$R$1491="","",[2]Entry!$R$1491)</f>
        <v/>
      </c>
    </row>
    <row r="1489">
      <c r="J1489">
        <f>IF([2]Entry!$C$1492="","",[2]Entry!$C$1492)</f>
        <v/>
      </c>
      <c r="K1489">
        <f>IF([2]Entry!$D$1492="","",[2]Entry!$D$1492)</f>
        <v/>
      </c>
      <c r="L1489">
        <f>IF([2]Entry!$E$1492="","",[2]Entry!$E$1492)</f>
        <v/>
      </c>
      <c r="M1489">
        <f>IF([2]Entry!$G$1492="","",[2]Entry!$G$1492)</f>
        <v/>
      </c>
      <c r="N1489">
        <f>IF([2]Entry!$M$1492="","",[2]Entry!$M$1492)</f>
        <v/>
      </c>
      <c r="O1489">
        <f>IF([2]Entry!$N$1492="","",[2]Entry!$N$1492)</f>
        <v/>
      </c>
      <c r="P1489">
        <f>IF([2]Entry!$R$1492="","",[2]Entry!$R$1492)</f>
        <v/>
      </c>
    </row>
    <row r="1490">
      <c r="J1490">
        <f>IF([2]Entry!$C$1493="","",[2]Entry!$C$1493)</f>
        <v/>
      </c>
      <c r="K1490">
        <f>IF([2]Entry!$D$1493="","",[2]Entry!$D$1493)</f>
        <v/>
      </c>
      <c r="L1490">
        <f>IF([2]Entry!$E$1493="","",[2]Entry!$E$1493)</f>
        <v/>
      </c>
      <c r="M1490">
        <f>IF([2]Entry!$G$1493="","",[2]Entry!$G$1493)</f>
        <v/>
      </c>
      <c r="N1490">
        <f>IF([2]Entry!$M$1493="","",[2]Entry!$M$1493)</f>
        <v/>
      </c>
      <c r="O1490">
        <f>IF([2]Entry!$N$1493="","",[2]Entry!$N$1493)</f>
        <v/>
      </c>
      <c r="P1490">
        <f>IF([2]Entry!$R$1493="","",[2]Entry!$R$1493)</f>
        <v/>
      </c>
    </row>
    <row r="1491">
      <c r="J1491">
        <f>IF([2]Entry!$C$1494="","",[2]Entry!$C$1494)</f>
        <v/>
      </c>
      <c r="K1491">
        <f>IF([2]Entry!$D$1494="","",[2]Entry!$D$1494)</f>
        <v/>
      </c>
      <c r="L1491">
        <f>IF([2]Entry!$E$1494="","",[2]Entry!$E$1494)</f>
        <v/>
      </c>
      <c r="M1491">
        <f>IF([2]Entry!$G$1494="","",[2]Entry!$G$1494)</f>
        <v/>
      </c>
      <c r="N1491">
        <f>IF([2]Entry!$M$1494="","",[2]Entry!$M$1494)</f>
        <v/>
      </c>
      <c r="O1491">
        <f>IF([2]Entry!$N$1494="","",[2]Entry!$N$1494)</f>
        <v/>
      </c>
      <c r="P1491">
        <f>IF([2]Entry!$R$1494="","",[2]Entry!$R$1494)</f>
        <v/>
      </c>
    </row>
    <row r="1492">
      <c r="J1492">
        <f>IF([2]Entry!$C$1495="","",[2]Entry!$C$1495)</f>
        <v/>
      </c>
      <c r="K1492">
        <f>IF([2]Entry!$D$1495="","",[2]Entry!$D$1495)</f>
        <v/>
      </c>
      <c r="L1492">
        <f>IF([2]Entry!$E$1495="","",[2]Entry!$E$1495)</f>
        <v/>
      </c>
      <c r="M1492">
        <f>IF([2]Entry!$G$1495="","",[2]Entry!$G$1495)</f>
        <v/>
      </c>
      <c r="N1492">
        <f>IF([2]Entry!$M$1495="","",[2]Entry!$M$1495)</f>
        <v/>
      </c>
      <c r="O1492">
        <f>IF([2]Entry!$N$1495="","",[2]Entry!$N$1495)</f>
        <v/>
      </c>
      <c r="P1492">
        <f>IF([2]Entry!$R$1495="","",[2]Entry!$R$1495)</f>
        <v/>
      </c>
    </row>
    <row r="1493">
      <c r="J1493">
        <f>IF([2]Entry!$C$1496="","",[2]Entry!$C$1496)</f>
        <v/>
      </c>
      <c r="K1493">
        <f>IF([2]Entry!$D$1496="","",[2]Entry!$D$1496)</f>
        <v/>
      </c>
      <c r="L1493">
        <f>IF([2]Entry!$E$1496="","",[2]Entry!$E$1496)</f>
        <v/>
      </c>
      <c r="M1493">
        <f>IF([2]Entry!$G$1496="","",[2]Entry!$G$1496)</f>
        <v/>
      </c>
      <c r="N1493">
        <f>IF([2]Entry!$M$1496="","",[2]Entry!$M$1496)</f>
        <v/>
      </c>
      <c r="O1493">
        <f>IF([2]Entry!$N$1496="","",[2]Entry!$N$1496)</f>
        <v/>
      </c>
      <c r="P1493">
        <f>IF([2]Entry!$R$1496="","",[2]Entry!$R$1496)</f>
        <v/>
      </c>
    </row>
    <row r="1494">
      <c r="J1494">
        <f>IF([2]Entry!$C$1497="","",[2]Entry!$C$1497)</f>
        <v/>
      </c>
      <c r="K1494">
        <f>IF([2]Entry!$D$1497="","",[2]Entry!$D$1497)</f>
        <v/>
      </c>
      <c r="L1494">
        <f>IF([2]Entry!$E$1497="","",[2]Entry!$E$1497)</f>
        <v/>
      </c>
      <c r="M1494">
        <f>IF([2]Entry!$G$1497="","",[2]Entry!$G$1497)</f>
        <v/>
      </c>
      <c r="N1494">
        <f>IF([2]Entry!$M$1497="","",[2]Entry!$M$1497)</f>
        <v/>
      </c>
      <c r="O1494">
        <f>IF([2]Entry!$N$1497="","",[2]Entry!$N$1497)</f>
        <v/>
      </c>
      <c r="P1494">
        <f>IF([2]Entry!$R$1497="","",[2]Entry!$R$1497)</f>
        <v/>
      </c>
    </row>
    <row r="1495">
      <c r="J1495">
        <f>IF([2]Entry!$C$1498="","",[2]Entry!$C$1498)</f>
        <v/>
      </c>
      <c r="K1495">
        <f>IF([2]Entry!$D$1498="","",[2]Entry!$D$1498)</f>
        <v/>
      </c>
      <c r="L1495">
        <f>IF([2]Entry!$E$1498="","",[2]Entry!$E$1498)</f>
        <v/>
      </c>
      <c r="M1495">
        <f>IF([2]Entry!$G$1498="","",[2]Entry!$G$1498)</f>
        <v/>
      </c>
      <c r="N1495">
        <f>IF([2]Entry!$M$1498="","",[2]Entry!$M$1498)</f>
        <v/>
      </c>
      <c r="O1495">
        <f>IF([2]Entry!$N$1498="","",[2]Entry!$N$1498)</f>
        <v/>
      </c>
      <c r="P1495">
        <f>IF([2]Entry!$R$1498="","",[2]Entry!$R$1498)</f>
        <v/>
      </c>
    </row>
    <row r="1496">
      <c r="J1496">
        <f>IF([2]Entry!$C$1499="","",[2]Entry!$C$1499)</f>
        <v/>
      </c>
      <c r="K1496">
        <f>IF([2]Entry!$D$1499="","",[2]Entry!$D$1499)</f>
        <v/>
      </c>
      <c r="L1496">
        <f>IF([2]Entry!$E$1499="","",[2]Entry!$E$1499)</f>
        <v/>
      </c>
      <c r="M1496">
        <f>IF([2]Entry!$G$1499="","",[2]Entry!$G$1499)</f>
        <v/>
      </c>
      <c r="N1496">
        <f>IF([2]Entry!$M$1499="","",[2]Entry!$M$1499)</f>
        <v/>
      </c>
      <c r="O1496">
        <f>IF([2]Entry!$N$1499="","",[2]Entry!$N$1499)</f>
        <v/>
      </c>
      <c r="P1496">
        <f>IF([2]Entry!$R$1499="","",[2]Entry!$R$1499)</f>
        <v/>
      </c>
    </row>
    <row r="1497">
      <c r="J1497">
        <f>IF([2]Entry!$C$1500="","",[2]Entry!$C$1500)</f>
        <v/>
      </c>
      <c r="K1497">
        <f>IF([2]Entry!$D$1500="","",[2]Entry!$D$1500)</f>
        <v/>
      </c>
      <c r="L1497">
        <f>IF([2]Entry!$E$1500="","",[2]Entry!$E$1500)</f>
        <v/>
      </c>
      <c r="M1497">
        <f>IF([2]Entry!$G$1500="","",[2]Entry!$G$1500)</f>
        <v/>
      </c>
      <c r="N1497">
        <f>IF([2]Entry!$M$1500="","",[2]Entry!$M$1500)</f>
        <v/>
      </c>
      <c r="O1497">
        <f>IF([2]Entry!$N$1500="","",[2]Entry!$N$1500)</f>
        <v/>
      </c>
      <c r="P1497">
        <f>IF([2]Entry!$R$1500="","",[2]Entry!$R$1500)</f>
        <v/>
      </c>
    </row>
    <row r="1498">
      <c r="J1498">
        <f>IF([2]Entry!$C$1501="","",[2]Entry!$C$1501)</f>
        <v/>
      </c>
      <c r="K1498">
        <f>IF([2]Entry!$D$1501="","",[2]Entry!$D$1501)</f>
        <v/>
      </c>
      <c r="L1498">
        <f>IF([2]Entry!$E$1501="","",[2]Entry!$E$1501)</f>
        <v/>
      </c>
      <c r="M1498">
        <f>IF([2]Entry!$G$1501="","",[2]Entry!$G$1501)</f>
        <v/>
      </c>
      <c r="N1498">
        <f>IF([2]Entry!$M$1501="","",[2]Entry!$M$1501)</f>
        <v/>
      </c>
      <c r="O1498">
        <f>IF([2]Entry!$N$1501="","",[2]Entry!$N$1501)</f>
        <v/>
      </c>
      <c r="P1498">
        <f>IF([2]Entry!$R$1501="","",[2]Entry!$R$1501)</f>
        <v/>
      </c>
    </row>
    <row r="1499">
      <c r="J1499">
        <f>IF([2]Entry!$C$1502="","",[2]Entry!$C$1502)</f>
        <v/>
      </c>
      <c r="K1499">
        <f>IF([2]Entry!$D$1502="","",[2]Entry!$D$1502)</f>
        <v/>
      </c>
      <c r="L1499">
        <f>IF([2]Entry!$E$1502="","",[2]Entry!$E$1502)</f>
        <v/>
      </c>
      <c r="M1499">
        <f>IF([2]Entry!$G$1502="","",[2]Entry!$G$1502)</f>
        <v/>
      </c>
      <c r="N1499">
        <f>IF([2]Entry!$M$1502="","",[2]Entry!$M$1502)</f>
        <v/>
      </c>
      <c r="O1499">
        <f>IF([2]Entry!$N$1502="","",[2]Entry!$N$1502)</f>
        <v/>
      </c>
      <c r="P1499">
        <f>IF([2]Entry!$R$1502="","",[2]Entry!$R$1502)</f>
        <v/>
      </c>
    </row>
    <row r="1500">
      <c r="J1500">
        <f>IF([2]Entry!$C$1503="","",[2]Entry!$C$1503)</f>
        <v/>
      </c>
      <c r="K1500">
        <f>IF([2]Entry!$D$1503="","",[2]Entry!$D$1503)</f>
        <v/>
      </c>
      <c r="L1500">
        <f>IF([2]Entry!$E$1503="","",[2]Entry!$E$1503)</f>
        <v/>
      </c>
      <c r="M1500">
        <f>IF([2]Entry!$G$1503="","",[2]Entry!$G$1503)</f>
        <v/>
      </c>
      <c r="N1500">
        <f>IF([2]Entry!$M$1503="","",[2]Entry!$M$1503)</f>
        <v/>
      </c>
      <c r="O1500">
        <f>IF([2]Entry!$N$1503="","",[2]Entry!$N$1503)</f>
        <v/>
      </c>
      <c r="P1500">
        <f>IF([2]Entry!$R$1503="","",[2]Entry!$R$1503)</f>
        <v/>
      </c>
    </row>
    <row r="1501">
      <c r="J1501">
        <f>IF([2]Entry!$C$1504="","",[2]Entry!$C$1504)</f>
        <v/>
      </c>
      <c r="K1501">
        <f>IF([2]Entry!$D$1504="","",[2]Entry!$D$1504)</f>
        <v/>
      </c>
      <c r="L1501">
        <f>IF([2]Entry!$E$1504="","",[2]Entry!$E$1504)</f>
        <v/>
      </c>
      <c r="M1501">
        <f>IF([2]Entry!$G$1504="","",[2]Entry!$G$1504)</f>
        <v/>
      </c>
      <c r="N1501">
        <f>IF([2]Entry!$M$1504="","",[2]Entry!$M$1504)</f>
        <v/>
      </c>
      <c r="O1501">
        <f>IF([2]Entry!$N$1504="","",[2]Entry!$N$1504)</f>
        <v/>
      </c>
      <c r="P1501">
        <f>IF([2]Entry!$R$1504="","",[2]Entry!$R$1504)</f>
        <v/>
      </c>
    </row>
    <row r="1502">
      <c r="J1502">
        <f>IF([2]Entry!$C$1505="","",[2]Entry!$C$1505)</f>
        <v/>
      </c>
      <c r="K1502">
        <f>IF([2]Entry!$D$1505="","",[2]Entry!$D$1505)</f>
        <v/>
      </c>
      <c r="L1502">
        <f>IF([2]Entry!$E$1505="","",[2]Entry!$E$1505)</f>
        <v/>
      </c>
      <c r="M1502">
        <f>IF([2]Entry!$G$1505="","",[2]Entry!$G$1505)</f>
        <v/>
      </c>
      <c r="N1502">
        <f>IF([2]Entry!$M$1505="","",[2]Entry!$M$1505)</f>
        <v/>
      </c>
      <c r="O1502">
        <f>IF([2]Entry!$N$1505="","",[2]Entry!$N$1505)</f>
        <v/>
      </c>
      <c r="P1502">
        <f>IF([2]Entry!$R$1505="","",[2]Entry!$R$1505)</f>
        <v/>
      </c>
    </row>
    <row r="1503">
      <c r="J1503">
        <f>IF([2]Entry!$C$1506="","",[2]Entry!$C$1506)</f>
        <v/>
      </c>
      <c r="K1503">
        <f>IF([2]Entry!$D$1506="","",[2]Entry!$D$1506)</f>
        <v/>
      </c>
      <c r="L1503">
        <f>IF([2]Entry!$E$1506="","",[2]Entry!$E$1506)</f>
        <v/>
      </c>
      <c r="M1503">
        <f>IF([2]Entry!$G$1506="","",[2]Entry!$G$1506)</f>
        <v/>
      </c>
      <c r="N1503">
        <f>IF([2]Entry!$M$1506="","",[2]Entry!$M$1506)</f>
        <v/>
      </c>
      <c r="O1503">
        <f>IF([2]Entry!$N$1506="","",[2]Entry!$N$1506)</f>
        <v/>
      </c>
      <c r="P1503">
        <f>IF([2]Entry!$R$1506="","",[2]Entry!$R$1506)</f>
        <v/>
      </c>
    </row>
    <row r="1504">
      <c r="J1504">
        <f>IF([2]Entry!$C$1507="","",[2]Entry!$C$1507)</f>
        <v/>
      </c>
      <c r="K1504">
        <f>IF([2]Entry!$D$1507="","",[2]Entry!$D$1507)</f>
        <v/>
      </c>
      <c r="L1504">
        <f>IF([2]Entry!$E$1507="","",[2]Entry!$E$1507)</f>
        <v/>
      </c>
      <c r="M1504">
        <f>IF([2]Entry!$G$1507="","",[2]Entry!$G$1507)</f>
        <v/>
      </c>
      <c r="N1504">
        <f>IF([2]Entry!$M$1507="","",[2]Entry!$M$1507)</f>
        <v/>
      </c>
      <c r="O1504">
        <f>IF([2]Entry!$N$1507="","",[2]Entry!$N$1507)</f>
        <v/>
      </c>
      <c r="P1504">
        <f>IF([2]Entry!$R$1507="","",[2]Entry!$R$1507)</f>
        <v/>
      </c>
    </row>
    <row r="1505">
      <c r="J1505">
        <f>IF([2]Entry!$C$1508="","",[2]Entry!$C$1508)</f>
        <v/>
      </c>
      <c r="K1505">
        <f>IF([2]Entry!$D$1508="","",[2]Entry!$D$1508)</f>
        <v/>
      </c>
      <c r="L1505">
        <f>IF([2]Entry!$E$1508="","",[2]Entry!$E$1508)</f>
        <v/>
      </c>
      <c r="M1505">
        <f>IF([2]Entry!$G$1508="","",[2]Entry!$G$1508)</f>
        <v/>
      </c>
      <c r="N1505">
        <f>IF([2]Entry!$M$1508="","",[2]Entry!$M$1508)</f>
        <v/>
      </c>
      <c r="O1505">
        <f>IF([2]Entry!$N$1508="","",[2]Entry!$N$1508)</f>
        <v/>
      </c>
      <c r="P1505">
        <f>IF([2]Entry!$R$1508="","",[2]Entry!$R$1508)</f>
        <v/>
      </c>
    </row>
    <row r="1506">
      <c r="J1506">
        <f>IF([2]Entry!$C$1509="","",[2]Entry!$C$1509)</f>
        <v/>
      </c>
      <c r="K1506">
        <f>IF([2]Entry!$D$1509="","",[2]Entry!$D$1509)</f>
        <v/>
      </c>
      <c r="L1506">
        <f>IF([2]Entry!$E$1509="","",[2]Entry!$E$1509)</f>
        <v/>
      </c>
      <c r="M1506">
        <f>IF([2]Entry!$G$1509="","",[2]Entry!$G$1509)</f>
        <v/>
      </c>
      <c r="N1506">
        <f>IF([2]Entry!$M$1509="","",[2]Entry!$M$1509)</f>
        <v/>
      </c>
      <c r="O1506">
        <f>IF([2]Entry!$N$1509="","",[2]Entry!$N$1509)</f>
        <v/>
      </c>
      <c r="P1506">
        <f>IF([2]Entry!$R$1509="","",[2]Entry!$R$1509)</f>
        <v/>
      </c>
    </row>
    <row r="1507">
      <c r="J1507">
        <f>IF([2]Entry!$C$1510="","",[2]Entry!$C$1510)</f>
        <v/>
      </c>
      <c r="K1507">
        <f>IF([2]Entry!$D$1510="","",[2]Entry!$D$1510)</f>
        <v/>
      </c>
      <c r="L1507">
        <f>IF([2]Entry!$E$1510="","",[2]Entry!$E$1510)</f>
        <v/>
      </c>
      <c r="M1507">
        <f>IF([2]Entry!$G$1510="","",[2]Entry!$G$1510)</f>
        <v/>
      </c>
      <c r="N1507">
        <f>IF([2]Entry!$M$1510="","",[2]Entry!$M$1510)</f>
        <v/>
      </c>
      <c r="O1507">
        <f>IF([2]Entry!$N$1510="","",[2]Entry!$N$1510)</f>
        <v/>
      </c>
      <c r="P1507">
        <f>IF([2]Entry!$R$1510="","",[2]Entry!$R$1510)</f>
        <v/>
      </c>
    </row>
    <row r="1508">
      <c r="J1508">
        <f>IF([2]Entry!$C$1511="","",[2]Entry!$C$1511)</f>
        <v/>
      </c>
      <c r="K1508">
        <f>IF([2]Entry!$D$1511="","",[2]Entry!$D$1511)</f>
        <v/>
      </c>
      <c r="L1508">
        <f>IF([2]Entry!$E$1511="","",[2]Entry!$E$1511)</f>
        <v/>
      </c>
      <c r="M1508">
        <f>IF([2]Entry!$G$1511="","",[2]Entry!$G$1511)</f>
        <v/>
      </c>
      <c r="N1508">
        <f>IF([2]Entry!$M$1511="","",[2]Entry!$M$1511)</f>
        <v/>
      </c>
      <c r="O1508">
        <f>IF([2]Entry!$N$1511="","",[2]Entry!$N$1511)</f>
        <v/>
      </c>
      <c r="P1508">
        <f>IF([2]Entry!$R$1511="","",[2]Entry!$R$1511)</f>
        <v/>
      </c>
    </row>
    <row r="1509">
      <c r="J1509">
        <f>IF([2]Entry!$C$1512="","",[2]Entry!$C$1512)</f>
        <v/>
      </c>
      <c r="K1509">
        <f>IF([2]Entry!$D$1512="","",[2]Entry!$D$1512)</f>
        <v/>
      </c>
      <c r="L1509">
        <f>IF([2]Entry!$E$1512="","",[2]Entry!$E$1512)</f>
        <v/>
      </c>
      <c r="M1509">
        <f>IF([2]Entry!$G$1512="","",[2]Entry!$G$1512)</f>
        <v/>
      </c>
      <c r="N1509">
        <f>IF([2]Entry!$M$1512="","",[2]Entry!$M$1512)</f>
        <v/>
      </c>
      <c r="O1509">
        <f>IF([2]Entry!$N$1512="","",[2]Entry!$N$1512)</f>
        <v/>
      </c>
      <c r="P1509">
        <f>IF([2]Entry!$R$1512="","",[2]Entry!$R$1512)</f>
        <v/>
      </c>
    </row>
    <row r="1510">
      <c r="J1510">
        <f>IF([2]Entry!$C$1513="","",[2]Entry!$C$1513)</f>
        <v/>
      </c>
      <c r="K1510">
        <f>IF([2]Entry!$D$1513="","",[2]Entry!$D$1513)</f>
        <v/>
      </c>
      <c r="L1510">
        <f>IF([2]Entry!$E$1513="","",[2]Entry!$E$1513)</f>
        <v/>
      </c>
      <c r="M1510">
        <f>IF([2]Entry!$G$1513="","",[2]Entry!$G$1513)</f>
        <v/>
      </c>
      <c r="N1510">
        <f>IF([2]Entry!$M$1513="","",[2]Entry!$M$1513)</f>
        <v/>
      </c>
      <c r="O1510">
        <f>IF([2]Entry!$N$1513="","",[2]Entry!$N$1513)</f>
        <v/>
      </c>
      <c r="P1510">
        <f>IF([2]Entry!$R$1513="","",[2]Entry!$R$1513)</f>
        <v/>
      </c>
    </row>
    <row r="1511">
      <c r="J1511">
        <f>IF([2]Entry!$C$1514="","",[2]Entry!$C$1514)</f>
        <v/>
      </c>
      <c r="K1511">
        <f>IF([2]Entry!$D$1514="","",[2]Entry!$D$1514)</f>
        <v/>
      </c>
      <c r="L1511">
        <f>IF([2]Entry!$E$1514="","",[2]Entry!$E$1514)</f>
        <v/>
      </c>
      <c r="M1511">
        <f>IF([2]Entry!$G$1514="","",[2]Entry!$G$1514)</f>
        <v/>
      </c>
      <c r="N1511">
        <f>IF([2]Entry!$M$1514="","",[2]Entry!$M$1514)</f>
        <v/>
      </c>
      <c r="O1511">
        <f>IF([2]Entry!$N$1514="","",[2]Entry!$N$1514)</f>
        <v/>
      </c>
      <c r="P1511">
        <f>IF([2]Entry!$R$1514="","",[2]Entry!$R$1514)</f>
        <v/>
      </c>
    </row>
    <row r="1512">
      <c r="J1512">
        <f>IF([2]Entry!$C$1515="","",[2]Entry!$C$1515)</f>
        <v/>
      </c>
      <c r="K1512">
        <f>IF([2]Entry!$D$1515="","",[2]Entry!$D$1515)</f>
        <v/>
      </c>
      <c r="L1512">
        <f>IF([2]Entry!$E$1515="","",[2]Entry!$E$1515)</f>
        <v/>
      </c>
      <c r="M1512">
        <f>IF([2]Entry!$G$1515="","",[2]Entry!$G$1515)</f>
        <v/>
      </c>
      <c r="N1512">
        <f>IF([2]Entry!$M$1515="","",[2]Entry!$M$1515)</f>
        <v/>
      </c>
      <c r="O1512">
        <f>IF([2]Entry!$N$1515="","",[2]Entry!$N$1515)</f>
        <v/>
      </c>
      <c r="P1512">
        <f>IF([2]Entry!$R$1515="","",[2]Entry!$R$1515)</f>
        <v/>
      </c>
    </row>
    <row r="1513">
      <c r="J1513">
        <f>IF([2]Entry!$C$1516="","",[2]Entry!$C$1516)</f>
        <v/>
      </c>
      <c r="K1513">
        <f>IF([2]Entry!$D$1516="","",[2]Entry!$D$1516)</f>
        <v/>
      </c>
      <c r="L1513">
        <f>IF([2]Entry!$E$1516="","",[2]Entry!$E$1516)</f>
        <v/>
      </c>
      <c r="M1513">
        <f>IF([2]Entry!$G$1516="","",[2]Entry!$G$1516)</f>
        <v/>
      </c>
      <c r="N1513">
        <f>IF([2]Entry!$M$1516="","",[2]Entry!$M$1516)</f>
        <v/>
      </c>
      <c r="O1513">
        <f>IF([2]Entry!$N$1516="","",[2]Entry!$N$1516)</f>
        <v/>
      </c>
      <c r="P1513">
        <f>IF([2]Entry!$R$1516="","",[2]Entry!$R$1516)</f>
        <v/>
      </c>
    </row>
    <row r="1514">
      <c r="J1514">
        <f>IF([2]Entry!$C$1517="","",[2]Entry!$C$1517)</f>
        <v/>
      </c>
      <c r="K1514">
        <f>IF([2]Entry!$D$1517="","",[2]Entry!$D$1517)</f>
        <v/>
      </c>
      <c r="L1514">
        <f>IF([2]Entry!$E$1517="","",[2]Entry!$E$1517)</f>
        <v/>
      </c>
      <c r="M1514">
        <f>IF([2]Entry!$G$1517="","",[2]Entry!$G$1517)</f>
        <v/>
      </c>
      <c r="N1514">
        <f>IF([2]Entry!$M$1517="","",[2]Entry!$M$1517)</f>
        <v/>
      </c>
      <c r="O1514">
        <f>IF([2]Entry!$N$1517="","",[2]Entry!$N$1517)</f>
        <v/>
      </c>
      <c r="P1514">
        <f>IF([2]Entry!$R$1517="","",[2]Entry!$R$1517)</f>
        <v/>
      </c>
    </row>
    <row r="1515">
      <c r="J1515">
        <f>IF([2]Entry!$C$1518="","",[2]Entry!$C$1518)</f>
        <v/>
      </c>
      <c r="K1515">
        <f>IF([2]Entry!$D$1518="","",[2]Entry!$D$1518)</f>
        <v/>
      </c>
      <c r="L1515">
        <f>IF([2]Entry!$E$1518="","",[2]Entry!$E$1518)</f>
        <v/>
      </c>
      <c r="M1515">
        <f>IF([2]Entry!$G$1518="","",[2]Entry!$G$1518)</f>
        <v/>
      </c>
      <c r="N1515">
        <f>IF([2]Entry!$M$1518="","",[2]Entry!$M$1518)</f>
        <v/>
      </c>
      <c r="O1515">
        <f>IF([2]Entry!$N$1518="","",[2]Entry!$N$1518)</f>
        <v/>
      </c>
      <c r="P1515">
        <f>IF([2]Entry!$R$1518="","",[2]Entry!$R$1518)</f>
        <v/>
      </c>
    </row>
    <row r="1516">
      <c r="J1516">
        <f>IF([2]Entry!$C$1519="","",[2]Entry!$C$1519)</f>
        <v/>
      </c>
      <c r="K1516">
        <f>IF([2]Entry!$D$1519="","",[2]Entry!$D$1519)</f>
        <v/>
      </c>
      <c r="L1516">
        <f>IF([2]Entry!$E$1519="","",[2]Entry!$E$1519)</f>
        <v/>
      </c>
      <c r="M1516">
        <f>IF([2]Entry!$G$1519="","",[2]Entry!$G$1519)</f>
        <v/>
      </c>
      <c r="N1516">
        <f>IF([2]Entry!$M$1519="","",[2]Entry!$M$1519)</f>
        <v/>
      </c>
      <c r="O1516">
        <f>IF([2]Entry!$N$1519="","",[2]Entry!$N$1519)</f>
        <v/>
      </c>
      <c r="P1516">
        <f>IF([2]Entry!$R$1519="","",[2]Entry!$R$1519)</f>
        <v/>
      </c>
    </row>
    <row r="1517">
      <c r="J1517">
        <f>IF([2]Entry!$C$1520="","",[2]Entry!$C$1520)</f>
        <v/>
      </c>
      <c r="K1517">
        <f>IF([2]Entry!$D$1520="","",[2]Entry!$D$1520)</f>
        <v/>
      </c>
      <c r="L1517">
        <f>IF([2]Entry!$E$1520="","",[2]Entry!$E$1520)</f>
        <v/>
      </c>
      <c r="M1517">
        <f>IF([2]Entry!$G$1520="","",[2]Entry!$G$1520)</f>
        <v/>
      </c>
      <c r="N1517">
        <f>IF([2]Entry!$M$1520="","",[2]Entry!$M$1520)</f>
        <v/>
      </c>
      <c r="O1517">
        <f>IF([2]Entry!$N$1520="","",[2]Entry!$N$1520)</f>
        <v/>
      </c>
      <c r="P1517">
        <f>IF([2]Entry!$R$1520="","",[2]Entry!$R$1520)</f>
        <v/>
      </c>
    </row>
    <row r="1518">
      <c r="J1518">
        <f>IF([2]Entry!$C$1521="","",[2]Entry!$C$1521)</f>
        <v/>
      </c>
      <c r="K1518">
        <f>IF([2]Entry!$D$1521="","",[2]Entry!$D$1521)</f>
        <v/>
      </c>
      <c r="L1518">
        <f>IF([2]Entry!$E$1521="","",[2]Entry!$E$1521)</f>
        <v/>
      </c>
      <c r="M1518">
        <f>IF([2]Entry!$G$1521="","",[2]Entry!$G$1521)</f>
        <v/>
      </c>
      <c r="N1518">
        <f>IF([2]Entry!$M$1521="","",[2]Entry!$M$1521)</f>
        <v/>
      </c>
      <c r="O1518">
        <f>IF([2]Entry!$N$1521="","",[2]Entry!$N$1521)</f>
        <v/>
      </c>
      <c r="P1518">
        <f>IF([2]Entry!$R$1521="","",[2]Entry!$R$1521)</f>
        <v/>
      </c>
    </row>
    <row r="1519">
      <c r="J1519">
        <f>IF([2]Entry!$C$1522="","",[2]Entry!$C$1522)</f>
        <v/>
      </c>
      <c r="K1519">
        <f>IF([2]Entry!$D$1522="","",[2]Entry!$D$1522)</f>
        <v/>
      </c>
      <c r="L1519">
        <f>IF([2]Entry!$E$1522="","",[2]Entry!$E$1522)</f>
        <v/>
      </c>
      <c r="M1519">
        <f>IF([2]Entry!$G$1522="","",[2]Entry!$G$1522)</f>
        <v/>
      </c>
      <c r="N1519">
        <f>IF([2]Entry!$M$1522="","",[2]Entry!$M$1522)</f>
        <v/>
      </c>
      <c r="O1519">
        <f>IF([2]Entry!$N$1522="","",[2]Entry!$N$1522)</f>
        <v/>
      </c>
      <c r="P1519">
        <f>IF([2]Entry!$R$1522="","",[2]Entry!$R$1522)</f>
        <v/>
      </c>
    </row>
    <row r="1520">
      <c r="J1520">
        <f>IF([2]Entry!$C$1523="","",[2]Entry!$C$1523)</f>
        <v/>
      </c>
      <c r="K1520">
        <f>IF([2]Entry!$D$1523="","",[2]Entry!$D$1523)</f>
        <v/>
      </c>
      <c r="L1520">
        <f>IF([2]Entry!$E$1523="","",[2]Entry!$E$1523)</f>
        <v/>
      </c>
      <c r="M1520">
        <f>IF([2]Entry!$G$1523="","",[2]Entry!$G$1523)</f>
        <v/>
      </c>
      <c r="N1520">
        <f>IF([2]Entry!$M$1523="","",[2]Entry!$M$1523)</f>
        <v/>
      </c>
      <c r="O1520">
        <f>IF([2]Entry!$N$1523="","",[2]Entry!$N$1523)</f>
        <v/>
      </c>
      <c r="P1520">
        <f>IF([2]Entry!$R$1523="","",[2]Entry!$R$1523)</f>
        <v/>
      </c>
    </row>
    <row r="1521">
      <c r="J1521">
        <f>IF([2]Entry!$C$1524="","",[2]Entry!$C$1524)</f>
        <v/>
      </c>
      <c r="K1521">
        <f>IF([2]Entry!$D$1524="","",[2]Entry!$D$1524)</f>
        <v/>
      </c>
      <c r="L1521">
        <f>IF([2]Entry!$E$1524="","",[2]Entry!$E$1524)</f>
        <v/>
      </c>
      <c r="M1521">
        <f>IF([2]Entry!$G$1524="","",[2]Entry!$G$1524)</f>
        <v/>
      </c>
      <c r="N1521">
        <f>IF([2]Entry!$M$1524="","",[2]Entry!$M$1524)</f>
        <v/>
      </c>
      <c r="O1521">
        <f>IF([2]Entry!$N$1524="","",[2]Entry!$N$1524)</f>
        <v/>
      </c>
      <c r="P1521">
        <f>IF([2]Entry!$R$1524="","",[2]Entry!$R$1524)</f>
        <v/>
      </c>
    </row>
    <row r="1522">
      <c r="J1522">
        <f>IF([2]Entry!$C$1525="","",[2]Entry!$C$1525)</f>
        <v/>
      </c>
      <c r="K1522">
        <f>IF([2]Entry!$D$1525="","",[2]Entry!$D$1525)</f>
        <v/>
      </c>
      <c r="L1522">
        <f>IF([2]Entry!$E$1525="","",[2]Entry!$E$1525)</f>
        <v/>
      </c>
      <c r="M1522">
        <f>IF([2]Entry!$G$1525="","",[2]Entry!$G$1525)</f>
        <v/>
      </c>
      <c r="N1522">
        <f>IF([2]Entry!$M$1525="","",[2]Entry!$M$1525)</f>
        <v/>
      </c>
      <c r="O1522">
        <f>IF([2]Entry!$N$1525="","",[2]Entry!$N$1525)</f>
        <v/>
      </c>
      <c r="P1522">
        <f>IF([2]Entry!$R$1525="","",[2]Entry!$R$1525)</f>
        <v/>
      </c>
    </row>
    <row r="1523">
      <c r="J1523">
        <f>IF([2]Entry!$C$1526="","",[2]Entry!$C$1526)</f>
        <v/>
      </c>
      <c r="K1523">
        <f>IF([2]Entry!$D$1526="","",[2]Entry!$D$1526)</f>
        <v/>
      </c>
      <c r="L1523">
        <f>IF([2]Entry!$E$1526="","",[2]Entry!$E$1526)</f>
        <v/>
      </c>
      <c r="M1523">
        <f>IF([2]Entry!$G$1526="","",[2]Entry!$G$1526)</f>
        <v/>
      </c>
      <c r="N1523">
        <f>IF([2]Entry!$M$1526="","",[2]Entry!$M$1526)</f>
        <v/>
      </c>
      <c r="O1523">
        <f>IF([2]Entry!$N$1526="","",[2]Entry!$N$1526)</f>
        <v/>
      </c>
      <c r="P1523">
        <f>IF([2]Entry!$R$1526="","",[2]Entry!$R$1526)</f>
        <v/>
      </c>
    </row>
    <row r="1524">
      <c r="J1524">
        <f>IF([2]Entry!$C$1527="","",[2]Entry!$C$1527)</f>
        <v/>
      </c>
      <c r="K1524">
        <f>IF([2]Entry!$D$1527="","",[2]Entry!$D$1527)</f>
        <v/>
      </c>
      <c r="L1524">
        <f>IF([2]Entry!$E$1527="","",[2]Entry!$E$1527)</f>
        <v/>
      </c>
      <c r="M1524">
        <f>IF([2]Entry!$G$1527="","",[2]Entry!$G$1527)</f>
        <v/>
      </c>
      <c r="N1524">
        <f>IF([2]Entry!$M$1527="","",[2]Entry!$M$1527)</f>
        <v/>
      </c>
      <c r="O1524">
        <f>IF([2]Entry!$N$1527="","",[2]Entry!$N$1527)</f>
        <v/>
      </c>
      <c r="P1524">
        <f>IF([2]Entry!$R$1527="","",[2]Entry!$R$1527)</f>
        <v/>
      </c>
    </row>
    <row r="1525">
      <c r="J1525">
        <f>IF([2]Entry!$C$1528="","",[2]Entry!$C$1528)</f>
        <v/>
      </c>
      <c r="K1525">
        <f>IF([2]Entry!$D$1528="","",[2]Entry!$D$1528)</f>
        <v/>
      </c>
      <c r="L1525">
        <f>IF([2]Entry!$E$1528="","",[2]Entry!$E$1528)</f>
        <v/>
      </c>
      <c r="M1525">
        <f>IF([2]Entry!$G$1528="","",[2]Entry!$G$1528)</f>
        <v/>
      </c>
      <c r="N1525">
        <f>IF([2]Entry!$M$1528="","",[2]Entry!$M$1528)</f>
        <v/>
      </c>
      <c r="O1525">
        <f>IF([2]Entry!$N$1528="","",[2]Entry!$N$1528)</f>
        <v/>
      </c>
      <c r="P1525">
        <f>IF([2]Entry!$R$1528="","",[2]Entry!$R$1528)</f>
        <v/>
      </c>
    </row>
    <row r="1526">
      <c r="J1526">
        <f>IF([2]Entry!$C$1529="","",[2]Entry!$C$1529)</f>
        <v/>
      </c>
      <c r="K1526">
        <f>IF([2]Entry!$D$1529="","",[2]Entry!$D$1529)</f>
        <v/>
      </c>
      <c r="L1526">
        <f>IF([2]Entry!$E$1529="","",[2]Entry!$E$1529)</f>
        <v/>
      </c>
      <c r="M1526">
        <f>IF([2]Entry!$G$1529="","",[2]Entry!$G$1529)</f>
        <v/>
      </c>
      <c r="N1526">
        <f>IF([2]Entry!$M$1529="","",[2]Entry!$M$1529)</f>
        <v/>
      </c>
      <c r="O1526">
        <f>IF([2]Entry!$N$1529="","",[2]Entry!$N$1529)</f>
        <v/>
      </c>
      <c r="P1526">
        <f>IF([2]Entry!$R$1529="","",[2]Entry!$R$1529)</f>
        <v/>
      </c>
    </row>
    <row r="1527">
      <c r="J1527">
        <f>IF([2]Entry!$C$1530="","",[2]Entry!$C$1530)</f>
        <v/>
      </c>
      <c r="K1527">
        <f>IF([2]Entry!$D$1530="","",[2]Entry!$D$1530)</f>
        <v/>
      </c>
      <c r="L1527">
        <f>IF([2]Entry!$E$1530="","",[2]Entry!$E$1530)</f>
        <v/>
      </c>
      <c r="M1527">
        <f>IF([2]Entry!$G$1530="","",[2]Entry!$G$1530)</f>
        <v/>
      </c>
      <c r="N1527">
        <f>IF([2]Entry!$M$1530="","",[2]Entry!$M$1530)</f>
        <v/>
      </c>
      <c r="O1527">
        <f>IF([2]Entry!$N$1530="","",[2]Entry!$N$1530)</f>
        <v/>
      </c>
      <c r="P1527">
        <f>IF([2]Entry!$R$1530="","",[2]Entry!$R$1530)</f>
        <v/>
      </c>
    </row>
    <row r="1528">
      <c r="J1528">
        <f>IF([2]Entry!$C$1531="","",[2]Entry!$C$1531)</f>
        <v/>
      </c>
      <c r="K1528">
        <f>IF([2]Entry!$D$1531="","",[2]Entry!$D$1531)</f>
        <v/>
      </c>
      <c r="L1528">
        <f>IF([2]Entry!$E$1531="","",[2]Entry!$E$1531)</f>
        <v/>
      </c>
      <c r="M1528">
        <f>IF([2]Entry!$G$1531="","",[2]Entry!$G$1531)</f>
        <v/>
      </c>
      <c r="N1528">
        <f>IF([2]Entry!$M$1531="","",[2]Entry!$M$1531)</f>
        <v/>
      </c>
      <c r="O1528">
        <f>IF([2]Entry!$N$1531="","",[2]Entry!$N$1531)</f>
        <v/>
      </c>
      <c r="P1528">
        <f>IF([2]Entry!$R$1531="","",[2]Entry!$R$1531)</f>
        <v/>
      </c>
    </row>
    <row r="1529">
      <c r="J1529">
        <f>IF([2]Entry!$C$1532="","",[2]Entry!$C$1532)</f>
        <v/>
      </c>
      <c r="K1529">
        <f>IF([2]Entry!$D$1532="","",[2]Entry!$D$1532)</f>
        <v/>
      </c>
      <c r="L1529">
        <f>IF([2]Entry!$E$1532="","",[2]Entry!$E$1532)</f>
        <v/>
      </c>
      <c r="M1529">
        <f>IF([2]Entry!$G$1532="","",[2]Entry!$G$1532)</f>
        <v/>
      </c>
      <c r="N1529">
        <f>IF([2]Entry!$M$1532="","",[2]Entry!$M$1532)</f>
        <v/>
      </c>
      <c r="O1529">
        <f>IF([2]Entry!$N$1532="","",[2]Entry!$N$1532)</f>
        <v/>
      </c>
      <c r="P1529">
        <f>IF([2]Entry!$R$1532="","",[2]Entry!$R$1532)</f>
        <v/>
      </c>
    </row>
    <row r="1530">
      <c r="J1530">
        <f>IF([2]Entry!$C$1533="","",[2]Entry!$C$1533)</f>
        <v/>
      </c>
      <c r="K1530">
        <f>IF([2]Entry!$D$1533="","",[2]Entry!$D$1533)</f>
        <v/>
      </c>
      <c r="L1530">
        <f>IF([2]Entry!$E$1533="","",[2]Entry!$E$1533)</f>
        <v/>
      </c>
      <c r="M1530">
        <f>IF([2]Entry!$G$1533="","",[2]Entry!$G$1533)</f>
        <v/>
      </c>
      <c r="N1530">
        <f>IF([2]Entry!$M$1533="","",[2]Entry!$M$1533)</f>
        <v/>
      </c>
      <c r="O1530">
        <f>IF([2]Entry!$N$1533="","",[2]Entry!$N$1533)</f>
        <v/>
      </c>
      <c r="P1530">
        <f>IF([2]Entry!$R$1533="","",[2]Entry!$R$1533)</f>
        <v/>
      </c>
    </row>
    <row r="1531">
      <c r="J1531">
        <f>IF([2]Entry!$C$1534="","",[2]Entry!$C$1534)</f>
        <v/>
      </c>
      <c r="K1531">
        <f>IF([2]Entry!$D$1534="","",[2]Entry!$D$1534)</f>
        <v/>
      </c>
      <c r="L1531">
        <f>IF([2]Entry!$E$1534="","",[2]Entry!$E$1534)</f>
        <v/>
      </c>
      <c r="M1531">
        <f>IF([2]Entry!$G$1534="","",[2]Entry!$G$1534)</f>
        <v/>
      </c>
      <c r="N1531">
        <f>IF([2]Entry!$M$1534="","",[2]Entry!$M$1534)</f>
        <v/>
      </c>
      <c r="O1531">
        <f>IF([2]Entry!$N$1534="","",[2]Entry!$N$1534)</f>
        <v/>
      </c>
      <c r="P1531">
        <f>IF([2]Entry!$R$1534="","",[2]Entry!$R$1534)</f>
        <v/>
      </c>
    </row>
    <row r="1532">
      <c r="J1532">
        <f>IF([2]Entry!$C$1535="","",[2]Entry!$C$1535)</f>
        <v/>
      </c>
      <c r="K1532">
        <f>IF([2]Entry!$D$1535="","",[2]Entry!$D$1535)</f>
        <v/>
      </c>
      <c r="L1532">
        <f>IF([2]Entry!$E$1535="","",[2]Entry!$E$1535)</f>
        <v/>
      </c>
      <c r="M1532">
        <f>IF([2]Entry!$G$1535="","",[2]Entry!$G$1535)</f>
        <v/>
      </c>
      <c r="N1532">
        <f>IF([2]Entry!$M$1535="","",[2]Entry!$M$1535)</f>
        <v/>
      </c>
      <c r="O1532">
        <f>IF([2]Entry!$N$1535="","",[2]Entry!$N$1535)</f>
        <v/>
      </c>
      <c r="P1532">
        <f>IF([2]Entry!$R$1535="","",[2]Entry!$R$1535)</f>
        <v/>
      </c>
    </row>
    <row r="1533">
      <c r="J1533">
        <f>IF([2]Entry!$C$1536="","",[2]Entry!$C$1536)</f>
        <v/>
      </c>
      <c r="K1533">
        <f>IF([2]Entry!$D$1536="","",[2]Entry!$D$1536)</f>
        <v/>
      </c>
      <c r="L1533">
        <f>IF([2]Entry!$E$1536="","",[2]Entry!$E$1536)</f>
        <v/>
      </c>
      <c r="M1533">
        <f>IF([2]Entry!$G$1536="","",[2]Entry!$G$1536)</f>
        <v/>
      </c>
      <c r="N1533">
        <f>IF([2]Entry!$M$1536="","",[2]Entry!$M$1536)</f>
        <v/>
      </c>
      <c r="O1533">
        <f>IF([2]Entry!$N$1536="","",[2]Entry!$N$1536)</f>
        <v/>
      </c>
      <c r="P1533">
        <f>IF([2]Entry!$R$1536="","",[2]Entry!$R$1536)</f>
        <v/>
      </c>
    </row>
    <row r="1534">
      <c r="J1534">
        <f>IF([2]Entry!$C$1537="","",[2]Entry!$C$1537)</f>
        <v/>
      </c>
      <c r="K1534">
        <f>IF([2]Entry!$D$1537="","",[2]Entry!$D$1537)</f>
        <v/>
      </c>
      <c r="L1534">
        <f>IF([2]Entry!$E$1537="","",[2]Entry!$E$1537)</f>
        <v/>
      </c>
      <c r="M1534">
        <f>IF([2]Entry!$G$1537="","",[2]Entry!$G$1537)</f>
        <v/>
      </c>
      <c r="N1534">
        <f>IF([2]Entry!$M$1537="","",[2]Entry!$M$1537)</f>
        <v/>
      </c>
      <c r="O1534">
        <f>IF([2]Entry!$N$1537="","",[2]Entry!$N$1537)</f>
        <v/>
      </c>
      <c r="P1534">
        <f>IF([2]Entry!$R$1537="","",[2]Entry!$R$1537)</f>
        <v/>
      </c>
    </row>
    <row r="1535">
      <c r="J1535">
        <f>IF([2]Entry!$C$1538="","",[2]Entry!$C$1538)</f>
        <v/>
      </c>
      <c r="K1535">
        <f>IF([2]Entry!$D$1538="","",[2]Entry!$D$1538)</f>
        <v/>
      </c>
      <c r="L1535">
        <f>IF([2]Entry!$E$1538="","",[2]Entry!$E$1538)</f>
        <v/>
      </c>
      <c r="M1535">
        <f>IF([2]Entry!$G$1538="","",[2]Entry!$G$1538)</f>
        <v/>
      </c>
      <c r="N1535">
        <f>IF([2]Entry!$M$1538="","",[2]Entry!$M$1538)</f>
        <v/>
      </c>
      <c r="O1535">
        <f>IF([2]Entry!$N$1538="","",[2]Entry!$N$1538)</f>
        <v/>
      </c>
      <c r="P1535">
        <f>IF([2]Entry!$R$1538="","",[2]Entry!$R$1538)</f>
        <v/>
      </c>
    </row>
    <row r="1536">
      <c r="J1536">
        <f>IF([2]Entry!$C$1539="","",[2]Entry!$C$1539)</f>
        <v/>
      </c>
      <c r="K1536">
        <f>IF([2]Entry!$D$1539="","",[2]Entry!$D$1539)</f>
        <v/>
      </c>
      <c r="L1536">
        <f>IF([2]Entry!$E$1539="","",[2]Entry!$E$1539)</f>
        <v/>
      </c>
      <c r="M1536">
        <f>IF([2]Entry!$G$1539="","",[2]Entry!$G$1539)</f>
        <v/>
      </c>
      <c r="N1536">
        <f>IF([2]Entry!$M$1539="","",[2]Entry!$M$1539)</f>
        <v/>
      </c>
      <c r="O1536">
        <f>IF([2]Entry!$N$1539="","",[2]Entry!$N$1539)</f>
        <v/>
      </c>
      <c r="P1536">
        <f>IF([2]Entry!$R$1539="","",[2]Entry!$R$1539)</f>
        <v/>
      </c>
    </row>
    <row r="1537">
      <c r="J1537">
        <f>IF([2]Entry!$C$1540="","",[2]Entry!$C$1540)</f>
        <v/>
      </c>
      <c r="K1537">
        <f>IF([2]Entry!$D$1540="","",[2]Entry!$D$1540)</f>
        <v/>
      </c>
      <c r="L1537">
        <f>IF([2]Entry!$E$1540="","",[2]Entry!$E$1540)</f>
        <v/>
      </c>
      <c r="M1537">
        <f>IF([2]Entry!$G$1540="","",[2]Entry!$G$1540)</f>
        <v/>
      </c>
      <c r="N1537">
        <f>IF([2]Entry!$M$1540="","",[2]Entry!$M$1540)</f>
        <v/>
      </c>
      <c r="O1537">
        <f>IF([2]Entry!$N$1540="","",[2]Entry!$N$1540)</f>
        <v/>
      </c>
      <c r="P1537">
        <f>IF([2]Entry!$R$1540="","",[2]Entry!$R$1540)</f>
        <v/>
      </c>
    </row>
    <row r="1538">
      <c r="J1538">
        <f>IF([2]Entry!$C$1541="","",[2]Entry!$C$1541)</f>
        <v/>
      </c>
      <c r="K1538">
        <f>IF([2]Entry!$D$1541="","",[2]Entry!$D$1541)</f>
        <v/>
      </c>
      <c r="L1538">
        <f>IF([2]Entry!$E$1541="","",[2]Entry!$E$1541)</f>
        <v/>
      </c>
      <c r="M1538">
        <f>IF([2]Entry!$G$1541="","",[2]Entry!$G$1541)</f>
        <v/>
      </c>
      <c r="N1538">
        <f>IF([2]Entry!$M$1541="","",[2]Entry!$M$1541)</f>
        <v/>
      </c>
      <c r="O1538">
        <f>IF([2]Entry!$N$1541="","",[2]Entry!$N$1541)</f>
        <v/>
      </c>
      <c r="P1538">
        <f>IF([2]Entry!$R$1541="","",[2]Entry!$R$1541)</f>
        <v/>
      </c>
    </row>
    <row r="1539">
      <c r="J1539">
        <f>IF([2]Entry!$C$1542="","",[2]Entry!$C$1542)</f>
        <v/>
      </c>
      <c r="K1539">
        <f>IF([2]Entry!$D$1542="","",[2]Entry!$D$1542)</f>
        <v/>
      </c>
      <c r="L1539">
        <f>IF([2]Entry!$E$1542="","",[2]Entry!$E$1542)</f>
        <v/>
      </c>
      <c r="M1539">
        <f>IF([2]Entry!$G$1542="","",[2]Entry!$G$1542)</f>
        <v/>
      </c>
      <c r="N1539">
        <f>IF([2]Entry!$M$1542="","",[2]Entry!$M$1542)</f>
        <v/>
      </c>
      <c r="O1539">
        <f>IF([2]Entry!$N$1542="","",[2]Entry!$N$1542)</f>
        <v/>
      </c>
      <c r="P1539">
        <f>IF([2]Entry!$R$1542="","",[2]Entry!$R$1542)</f>
        <v/>
      </c>
    </row>
    <row r="1540">
      <c r="J1540">
        <f>IF([2]Entry!$C$1543="","",[2]Entry!$C$1543)</f>
        <v/>
      </c>
      <c r="K1540">
        <f>IF([2]Entry!$D$1543="","",[2]Entry!$D$1543)</f>
        <v/>
      </c>
      <c r="L1540">
        <f>IF([2]Entry!$E$1543="","",[2]Entry!$E$1543)</f>
        <v/>
      </c>
      <c r="M1540">
        <f>IF([2]Entry!$G$1543="","",[2]Entry!$G$1543)</f>
        <v/>
      </c>
      <c r="N1540">
        <f>IF([2]Entry!$M$1543="","",[2]Entry!$M$1543)</f>
        <v/>
      </c>
      <c r="O1540">
        <f>IF([2]Entry!$N$1543="","",[2]Entry!$N$1543)</f>
        <v/>
      </c>
      <c r="P1540">
        <f>IF([2]Entry!$R$1543="","",[2]Entry!$R$1543)</f>
        <v/>
      </c>
    </row>
    <row r="1541">
      <c r="J1541">
        <f>IF([2]Entry!$C$1544="","",[2]Entry!$C$1544)</f>
        <v/>
      </c>
      <c r="K1541">
        <f>IF([2]Entry!$D$1544="","",[2]Entry!$D$1544)</f>
        <v/>
      </c>
      <c r="L1541">
        <f>IF([2]Entry!$E$1544="","",[2]Entry!$E$1544)</f>
        <v/>
      </c>
      <c r="M1541">
        <f>IF([2]Entry!$G$1544="","",[2]Entry!$G$1544)</f>
        <v/>
      </c>
      <c r="N1541">
        <f>IF([2]Entry!$M$1544="","",[2]Entry!$M$1544)</f>
        <v/>
      </c>
      <c r="O1541">
        <f>IF([2]Entry!$N$1544="","",[2]Entry!$N$1544)</f>
        <v/>
      </c>
      <c r="P1541">
        <f>IF([2]Entry!$R$1544="","",[2]Entry!$R$1544)</f>
        <v/>
      </c>
    </row>
    <row r="1542">
      <c r="J1542">
        <f>IF([2]Entry!$C$1545="","",[2]Entry!$C$1545)</f>
        <v/>
      </c>
      <c r="K1542">
        <f>IF([2]Entry!$D$1545="","",[2]Entry!$D$1545)</f>
        <v/>
      </c>
      <c r="L1542">
        <f>IF([2]Entry!$E$1545="","",[2]Entry!$E$1545)</f>
        <v/>
      </c>
      <c r="M1542">
        <f>IF([2]Entry!$G$1545="","",[2]Entry!$G$1545)</f>
        <v/>
      </c>
      <c r="N1542">
        <f>IF([2]Entry!$M$1545="","",[2]Entry!$M$1545)</f>
        <v/>
      </c>
      <c r="O1542">
        <f>IF([2]Entry!$N$1545="","",[2]Entry!$N$1545)</f>
        <v/>
      </c>
      <c r="P1542">
        <f>IF([2]Entry!$R$1545="","",[2]Entry!$R$1545)</f>
        <v/>
      </c>
    </row>
    <row r="1543">
      <c r="J1543">
        <f>IF([2]Entry!$C$1546="","",[2]Entry!$C$1546)</f>
        <v/>
      </c>
      <c r="K1543">
        <f>IF([2]Entry!$D$1546="","",[2]Entry!$D$1546)</f>
        <v/>
      </c>
      <c r="L1543">
        <f>IF([2]Entry!$E$1546="","",[2]Entry!$E$1546)</f>
        <v/>
      </c>
      <c r="M1543">
        <f>IF([2]Entry!$G$1546="","",[2]Entry!$G$1546)</f>
        <v/>
      </c>
      <c r="N1543">
        <f>IF([2]Entry!$M$1546="","",[2]Entry!$M$1546)</f>
        <v/>
      </c>
      <c r="O1543">
        <f>IF([2]Entry!$N$1546="","",[2]Entry!$N$1546)</f>
        <v/>
      </c>
      <c r="P1543">
        <f>IF([2]Entry!$R$1546="","",[2]Entry!$R$1546)</f>
        <v/>
      </c>
    </row>
    <row r="1544">
      <c r="J1544">
        <f>IF([2]Entry!$C$1547="","",[2]Entry!$C$1547)</f>
        <v/>
      </c>
      <c r="K1544">
        <f>IF([2]Entry!$D$1547="","",[2]Entry!$D$1547)</f>
        <v/>
      </c>
      <c r="L1544">
        <f>IF([2]Entry!$E$1547="","",[2]Entry!$E$1547)</f>
        <v/>
      </c>
      <c r="M1544">
        <f>IF([2]Entry!$G$1547="","",[2]Entry!$G$1547)</f>
        <v/>
      </c>
      <c r="N1544">
        <f>IF([2]Entry!$M$1547="","",[2]Entry!$M$1547)</f>
        <v/>
      </c>
      <c r="O1544">
        <f>IF([2]Entry!$N$1547="","",[2]Entry!$N$1547)</f>
        <v/>
      </c>
      <c r="P1544">
        <f>IF([2]Entry!$R$1547="","",[2]Entry!$R$1547)</f>
        <v/>
      </c>
    </row>
    <row r="1545">
      <c r="J1545">
        <f>IF([2]Entry!$C$1548="","",[2]Entry!$C$1548)</f>
        <v/>
      </c>
      <c r="K1545">
        <f>IF([2]Entry!$D$1548="","",[2]Entry!$D$1548)</f>
        <v/>
      </c>
      <c r="L1545">
        <f>IF([2]Entry!$E$1548="","",[2]Entry!$E$1548)</f>
        <v/>
      </c>
      <c r="M1545">
        <f>IF([2]Entry!$G$1548="","",[2]Entry!$G$1548)</f>
        <v/>
      </c>
      <c r="N1545">
        <f>IF([2]Entry!$M$1548="","",[2]Entry!$M$1548)</f>
        <v/>
      </c>
      <c r="O1545">
        <f>IF([2]Entry!$N$1548="","",[2]Entry!$N$1548)</f>
        <v/>
      </c>
      <c r="P1545">
        <f>IF([2]Entry!$R$1548="","",[2]Entry!$R$1548)</f>
        <v/>
      </c>
    </row>
    <row r="1546">
      <c r="J1546">
        <f>IF([2]Entry!$C$1549="","",[2]Entry!$C$1549)</f>
        <v/>
      </c>
      <c r="K1546">
        <f>IF([2]Entry!$D$1549="","",[2]Entry!$D$1549)</f>
        <v/>
      </c>
      <c r="L1546">
        <f>IF([2]Entry!$E$1549="","",[2]Entry!$E$1549)</f>
        <v/>
      </c>
      <c r="M1546">
        <f>IF([2]Entry!$G$1549="","",[2]Entry!$G$1549)</f>
        <v/>
      </c>
      <c r="N1546">
        <f>IF([2]Entry!$M$1549="","",[2]Entry!$M$1549)</f>
        <v/>
      </c>
      <c r="O1546">
        <f>IF([2]Entry!$N$1549="","",[2]Entry!$N$1549)</f>
        <v/>
      </c>
      <c r="P1546">
        <f>IF([2]Entry!$R$1549="","",[2]Entry!$R$1549)</f>
        <v/>
      </c>
    </row>
    <row r="1547">
      <c r="J1547">
        <f>IF([2]Entry!$C$1550="","",[2]Entry!$C$1550)</f>
        <v/>
      </c>
      <c r="K1547">
        <f>IF([2]Entry!$D$1550="","",[2]Entry!$D$1550)</f>
        <v/>
      </c>
      <c r="L1547">
        <f>IF([2]Entry!$E$1550="","",[2]Entry!$E$1550)</f>
        <v/>
      </c>
      <c r="M1547">
        <f>IF([2]Entry!$G$1550="","",[2]Entry!$G$1550)</f>
        <v/>
      </c>
      <c r="N1547">
        <f>IF([2]Entry!$M$1550="","",[2]Entry!$M$1550)</f>
        <v/>
      </c>
      <c r="O1547">
        <f>IF([2]Entry!$N$1550="","",[2]Entry!$N$1550)</f>
        <v/>
      </c>
      <c r="P1547">
        <f>IF([2]Entry!$R$1550="","",[2]Entry!$R$1550)</f>
        <v/>
      </c>
    </row>
    <row r="1548">
      <c r="J1548">
        <f>IF([2]Entry!$C$1551="","",[2]Entry!$C$1551)</f>
        <v/>
      </c>
      <c r="K1548">
        <f>IF([2]Entry!$D$1551="","",[2]Entry!$D$1551)</f>
        <v/>
      </c>
      <c r="L1548">
        <f>IF([2]Entry!$E$1551="","",[2]Entry!$E$1551)</f>
        <v/>
      </c>
      <c r="M1548">
        <f>IF([2]Entry!$G$1551="","",[2]Entry!$G$1551)</f>
        <v/>
      </c>
      <c r="N1548">
        <f>IF([2]Entry!$M$1551="","",[2]Entry!$M$1551)</f>
        <v/>
      </c>
      <c r="O1548">
        <f>IF([2]Entry!$N$1551="","",[2]Entry!$N$1551)</f>
        <v/>
      </c>
      <c r="P1548">
        <f>IF([2]Entry!$R$1551="","",[2]Entry!$R$1551)</f>
        <v/>
      </c>
    </row>
    <row r="1549">
      <c r="J1549">
        <f>IF([2]Entry!$C$1552="","",[2]Entry!$C$1552)</f>
        <v/>
      </c>
      <c r="K1549">
        <f>IF([2]Entry!$D$1552="","",[2]Entry!$D$1552)</f>
        <v/>
      </c>
      <c r="L1549">
        <f>IF([2]Entry!$E$1552="","",[2]Entry!$E$1552)</f>
        <v/>
      </c>
      <c r="M1549">
        <f>IF([2]Entry!$G$1552="","",[2]Entry!$G$1552)</f>
        <v/>
      </c>
      <c r="N1549">
        <f>IF([2]Entry!$M$1552="","",[2]Entry!$M$1552)</f>
        <v/>
      </c>
      <c r="O1549">
        <f>IF([2]Entry!$N$1552="","",[2]Entry!$N$1552)</f>
        <v/>
      </c>
      <c r="P1549">
        <f>IF([2]Entry!$R$1552="","",[2]Entry!$R$1552)</f>
        <v/>
      </c>
    </row>
    <row r="1550">
      <c r="J1550">
        <f>IF([2]Entry!$C$1553="","",[2]Entry!$C$1553)</f>
        <v/>
      </c>
      <c r="K1550">
        <f>IF([2]Entry!$D$1553="","",[2]Entry!$D$1553)</f>
        <v/>
      </c>
      <c r="L1550">
        <f>IF([2]Entry!$E$1553="","",[2]Entry!$E$1553)</f>
        <v/>
      </c>
      <c r="M1550">
        <f>IF([2]Entry!$G$1553="","",[2]Entry!$G$1553)</f>
        <v/>
      </c>
      <c r="N1550">
        <f>IF([2]Entry!$M$1553="","",[2]Entry!$M$1553)</f>
        <v/>
      </c>
      <c r="O1550">
        <f>IF([2]Entry!$N$1553="","",[2]Entry!$N$1553)</f>
        <v/>
      </c>
      <c r="P1550">
        <f>IF([2]Entry!$R$1553="","",[2]Entry!$R$1553)</f>
        <v/>
      </c>
    </row>
    <row r="1551">
      <c r="J1551">
        <f>IF([2]Entry!$C$1554="","",[2]Entry!$C$1554)</f>
        <v/>
      </c>
      <c r="K1551">
        <f>IF([2]Entry!$D$1554="","",[2]Entry!$D$1554)</f>
        <v/>
      </c>
      <c r="L1551">
        <f>IF([2]Entry!$E$1554="","",[2]Entry!$E$1554)</f>
        <v/>
      </c>
      <c r="M1551">
        <f>IF([2]Entry!$G$1554="","",[2]Entry!$G$1554)</f>
        <v/>
      </c>
      <c r="N1551">
        <f>IF([2]Entry!$M$1554="","",[2]Entry!$M$1554)</f>
        <v/>
      </c>
      <c r="O1551">
        <f>IF([2]Entry!$N$1554="","",[2]Entry!$N$1554)</f>
        <v/>
      </c>
      <c r="P1551">
        <f>IF([2]Entry!$R$1554="","",[2]Entry!$R$1554)</f>
        <v/>
      </c>
    </row>
    <row r="1552">
      <c r="J1552">
        <f>IF([2]Entry!$C$1555="","",[2]Entry!$C$1555)</f>
        <v/>
      </c>
      <c r="K1552">
        <f>IF([2]Entry!$D$1555="","",[2]Entry!$D$1555)</f>
        <v/>
      </c>
      <c r="L1552">
        <f>IF([2]Entry!$E$1555="","",[2]Entry!$E$1555)</f>
        <v/>
      </c>
      <c r="M1552">
        <f>IF([2]Entry!$G$1555="","",[2]Entry!$G$1555)</f>
        <v/>
      </c>
      <c r="N1552">
        <f>IF([2]Entry!$M$1555="","",[2]Entry!$M$1555)</f>
        <v/>
      </c>
      <c r="O1552">
        <f>IF([2]Entry!$N$1555="","",[2]Entry!$N$1555)</f>
        <v/>
      </c>
      <c r="P1552">
        <f>IF([2]Entry!$R$1555="","",[2]Entry!$R$1555)</f>
        <v/>
      </c>
    </row>
    <row r="1553">
      <c r="J1553">
        <f>IF([2]Entry!$C$1556="","",[2]Entry!$C$1556)</f>
        <v/>
      </c>
      <c r="K1553">
        <f>IF([2]Entry!$D$1556="","",[2]Entry!$D$1556)</f>
        <v/>
      </c>
      <c r="L1553">
        <f>IF([2]Entry!$E$1556="","",[2]Entry!$E$1556)</f>
        <v/>
      </c>
      <c r="M1553">
        <f>IF([2]Entry!$G$1556="","",[2]Entry!$G$1556)</f>
        <v/>
      </c>
      <c r="N1553">
        <f>IF([2]Entry!$M$1556="","",[2]Entry!$M$1556)</f>
        <v/>
      </c>
      <c r="O1553">
        <f>IF([2]Entry!$N$1556="","",[2]Entry!$N$1556)</f>
        <v/>
      </c>
      <c r="P1553">
        <f>IF([2]Entry!$R$1556="","",[2]Entry!$R$1556)</f>
        <v/>
      </c>
    </row>
    <row r="1554">
      <c r="J1554">
        <f>IF([2]Entry!$C$1557="","",[2]Entry!$C$1557)</f>
        <v/>
      </c>
      <c r="K1554">
        <f>IF([2]Entry!$D$1557="","",[2]Entry!$D$1557)</f>
        <v/>
      </c>
      <c r="L1554">
        <f>IF([2]Entry!$E$1557="","",[2]Entry!$E$1557)</f>
        <v/>
      </c>
      <c r="M1554">
        <f>IF([2]Entry!$G$1557="","",[2]Entry!$G$1557)</f>
        <v/>
      </c>
      <c r="N1554">
        <f>IF([2]Entry!$M$1557="","",[2]Entry!$M$1557)</f>
        <v/>
      </c>
      <c r="O1554">
        <f>IF([2]Entry!$N$1557="","",[2]Entry!$N$1557)</f>
        <v/>
      </c>
      <c r="P1554">
        <f>IF([2]Entry!$R$1557="","",[2]Entry!$R$1557)</f>
        <v/>
      </c>
    </row>
    <row r="1555">
      <c r="J1555">
        <f>IF([2]Entry!$C$1558="","",[2]Entry!$C$1558)</f>
        <v/>
      </c>
      <c r="K1555">
        <f>IF([2]Entry!$D$1558="","",[2]Entry!$D$1558)</f>
        <v/>
      </c>
      <c r="L1555">
        <f>IF([2]Entry!$E$1558="","",[2]Entry!$E$1558)</f>
        <v/>
      </c>
      <c r="M1555">
        <f>IF([2]Entry!$G$1558="","",[2]Entry!$G$1558)</f>
        <v/>
      </c>
      <c r="N1555">
        <f>IF([2]Entry!$M$1558="","",[2]Entry!$M$1558)</f>
        <v/>
      </c>
      <c r="O1555">
        <f>IF([2]Entry!$N$1558="","",[2]Entry!$N$1558)</f>
        <v/>
      </c>
      <c r="P1555">
        <f>IF([2]Entry!$R$1558="","",[2]Entry!$R$1558)</f>
        <v/>
      </c>
    </row>
    <row r="1556">
      <c r="J1556">
        <f>IF([2]Entry!$C$1559="","",[2]Entry!$C$1559)</f>
        <v/>
      </c>
      <c r="K1556">
        <f>IF([2]Entry!$D$1559="","",[2]Entry!$D$1559)</f>
        <v/>
      </c>
      <c r="L1556">
        <f>IF([2]Entry!$E$1559="","",[2]Entry!$E$1559)</f>
        <v/>
      </c>
      <c r="M1556">
        <f>IF([2]Entry!$G$1559="","",[2]Entry!$G$1559)</f>
        <v/>
      </c>
      <c r="N1556">
        <f>IF([2]Entry!$M$1559="","",[2]Entry!$M$1559)</f>
        <v/>
      </c>
      <c r="O1556">
        <f>IF([2]Entry!$N$1559="","",[2]Entry!$N$1559)</f>
        <v/>
      </c>
      <c r="P1556">
        <f>IF([2]Entry!$R$1559="","",[2]Entry!$R$1559)</f>
        <v/>
      </c>
    </row>
    <row r="1557">
      <c r="J1557">
        <f>IF([2]Entry!$C$1560="","",[2]Entry!$C$1560)</f>
        <v/>
      </c>
      <c r="K1557">
        <f>IF([2]Entry!$D$1560="","",[2]Entry!$D$1560)</f>
        <v/>
      </c>
      <c r="L1557">
        <f>IF([2]Entry!$E$1560="","",[2]Entry!$E$1560)</f>
        <v/>
      </c>
      <c r="M1557">
        <f>IF([2]Entry!$G$1560="","",[2]Entry!$G$1560)</f>
        <v/>
      </c>
      <c r="N1557">
        <f>IF([2]Entry!$M$1560="","",[2]Entry!$M$1560)</f>
        <v/>
      </c>
      <c r="O1557">
        <f>IF([2]Entry!$N$1560="","",[2]Entry!$N$1560)</f>
        <v/>
      </c>
      <c r="P1557">
        <f>IF([2]Entry!$R$1560="","",[2]Entry!$R$1560)</f>
        <v/>
      </c>
    </row>
    <row r="1558">
      <c r="J1558">
        <f>IF([2]Entry!$C$1561="","",[2]Entry!$C$1561)</f>
        <v/>
      </c>
      <c r="K1558">
        <f>IF([2]Entry!$D$1561="","",[2]Entry!$D$1561)</f>
        <v/>
      </c>
      <c r="L1558">
        <f>IF([2]Entry!$E$1561="","",[2]Entry!$E$1561)</f>
        <v/>
      </c>
      <c r="M1558">
        <f>IF([2]Entry!$G$1561="","",[2]Entry!$G$1561)</f>
        <v/>
      </c>
      <c r="N1558">
        <f>IF([2]Entry!$M$1561="","",[2]Entry!$M$1561)</f>
        <v/>
      </c>
      <c r="O1558">
        <f>IF([2]Entry!$N$1561="","",[2]Entry!$N$1561)</f>
        <v/>
      </c>
      <c r="P1558">
        <f>IF([2]Entry!$R$1561="","",[2]Entry!$R$1561)</f>
        <v/>
      </c>
    </row>
    <row r="1559">
      <c r="J1559">
        <f>IF([2]Entry!$C$1562="","",[2]Entry!$C$1562)</f>
        <v/>
      </c>
      <c r="K1559">
        <f>IF([2]Entry!$D$1562="","",[2]Entry!$D$1562)</f>
        <v/>
      </c>
      <c r="L1559">
        <f>IF([2]Entry!$E$1562="","",[2]Entry!$E$1562)</f>
        <v/>
      </c>
      <c r="M1559">
        <f>IF([2]Entry!$G$1562="","",[2]Entry!$G$1562)</f>
        <v/>
      </c>
      <c r="N1559">
        <f>IF([2]Entry!$M$1562="","",[2]Entry!$M$1562)</f>
        <v/>
      </c>
      <c r="O1559">
        <f>IF([2]Entry!$N$1562="","",[2]Entry!$N$1562)</f>
        <v/>
      </c>
      <c r="P1559">
        <f>IF([2]Entry!$R$1562="","",[2]Entry!$R$1562)</f>
        <v/>
      </c>
    </row>
    <row r="1560">
      <c r="J1560">
        <f>IF([2]Entry!$C$1563="","",[2]Entry!$C$1563)</f>
        <v/>
      </c>
      <c r="K1560">
        <f>IF([2]Entry!$D$1563="","",[2]Entry!$D$1563)</f>
        <v/>
      </c>
      <c r="L1560">
        <f>IF([2]Entry!$E$1563="","",[2]Entry!$E$1563)</f>
        <v/>
      </c>
      <c r="M1560">
        <f>IF([2]Entry!$G$1563="","",[2]Entry!$G$1563)</f>
        <v/>
      </c>
      <c r="N1560">
        <f>IF([2]Entry!$M$1563="","",[2]Entry!$M$1563)</f>
        <v/>
      </c>
      <c r="O1560">
        <f>IF([2]Entry!$N$1563="","",[2]Entry!$N$1563)</f>
        <v/>
      </c>
      <c r="P1560">
        <f>IF([2]Entry!$R$1563="","",[2]Entry!$R$1563)</f>
        <v/>
      </c>
    </row>
    <row r="1561">
      <c r="J1561">
        <f>IF([2]Entry!$C$1564="","",[2]Entry!$C$1564)</f>
        <v/>
      </c>
      <c r="K1561">
        <f>IF([2]Entry!$D$1564="","",[2]Entry!$D$1564)</f>
        <v/>
      </c>
      <c r="L1561">
        <f>IF([2]Entry!$E$1564="","",[2]Entry!$E$1564)</f>
        <v/>
      </c>
      <c r="M1561">
        <f>IF([2]Entry!$G$1564="","",[2]Entry!$G$1564)</f>
        <v/>
      </c>
      <c r="N1561">
        <f>IF([2]Entry!$M$1564="","",[2]Entry!$M$1564)</f>
        <v/>
      </c>
      <c r="O1561">
        <f>IF([2]Entry!$N$1564="","",[2]Entry!$N$1564)</f>
        <v/>
      </c>
      <c r="P1561">
        <f>IF([2]Entry!$R$1564="","",[2]Entry!$R$1564)</f>
        <v/>
      </c>
    </row>
    <row r="1562">
      <c r="J1562">
        <f>IF([2]Entry!$C$1565="","",[2]Entry!$C$1565)</f>
        <v/>
      </c>
      <c r="K1562">
        <f>IF([2]Entry!$D$1565="","",[2]Entry!$D$1565)</f>
        <v/>
      </c>
      <c r="L1562">
        <f>IF([2]Entry!$E$1565="","",[2]Entry!$E$1565)</f>
        <v/>
      </c>
      <c r="M1562">
        <f>IF([2]Entry!$G$1565="","",[2]Entry!$G$1565)</f>
        <v/>
      </c>
      <c r="N1562">
        <f>IF([2]Entry!$M$1565="","",[2]Entry!$M$1565)</f>
        <v/>
      </c>
      <c r="O1562">
        <f>IF([2]Entry!$N$1565="","",[2]Entry!$N$1565)</f>
        <v/>
      </c>
      <c r="P1562">
        <f>IF([2]Entry!$R$1565="","",[2]Entry!$R$1565)</f>
        <v/>
      </c>
    </row>
    <row r="1563">
      <c r="J1563">
        <f>IF([2]Entry!$C$1566="","",[2]Entry!$C$1566)</f>
        <v/>
      </c>
      <c r="K1563">
        <f>IF([2]Entry!$D$1566="","",[2]Entry!$D$1566)</f>
        <v/>
      </c>
      <c r="L1563">
        <f>IF([2]Entry!$E$1566="","",[2]Entry!$E$1566)</f>
        <v/>
      </c>
      <c r="M1563">
        <f>IF([2]Entry!$G$1566="","",[2]Entry!$G$1566)</f>
        <v/>
      </c>
      <c r="N1563">
        <f>IF([2]Entry!$M$1566="","",[2]Entry!$M$1566)</f>
        <v/>
      </c>
      <c r="O1563">
        <f>IF([2]Entry!$N$1566="","",[2]Entry!$N$1566)</f>
        <v/>
      </c>
      <c r="P1563">
        <f>IF([2]Entry!$R$1566="","",[2]Entry!$R$1566)</f>
        <v/>
      </c>
    </row>
    <row r="1564">
      <c r="J1564">
        <f>IF([2]Entry!$C$1567="","",[2]Entry!$C$1567)</f>
        <v/>
      </c>
      <c r="K1564">
        <f>IF([2]Entry!$D$1567="","",[2]Entry!$D$1567)</f>
        <v/>
      </c>
      <c r="L1564">
        <f>IF([2]Entry!$E$1567="","",[2]Entry!$E$1567)</f>
        <v/>
      </c>
      <c r="M1564">
        <f>IF([2]Entry!$G$1567="","",[2]Entry!$G$1567)</f>
        <v/>
      </c>
      <c r="N1564">
        <f>IF([2]Entry!$M$1567="","",[2]Entry!$M$1567)</f>
        <v/>
      </c>
      <c r="O1564">
        <f>IF([2]Entry!$N$1567="","",[2]Entry!$N$1567)</f>
        <v/>
      </c>
      <c r="P1564">
        <f>IF([2]Entry!$R$1567="","",[2]Entry!$R$1567)</f>
        <v/>
      </c>
    </row>
    <row r="1565">
      <c r="J1565">
        <f>IF([2]Entry!$C$1568="","",[2]Entry!$C$1568)</f>
        <v/>
      </c>
      <c r="K1565">
        <f>IF([2]Entry!$D$1568="","",[2]Entry!$D$1568)</f>
        <v/>
      </c>
      <c r="L1565">
        <f>IF([2]Entry!$E$1568="","",[2]Entry!$E$1568)</f>
        <v/>
      </c>
      <c r="M1565">
        <f>IF([2]Entry!$G$1568="","",[2]Entry!$G$1568)</f>
        <v/>
      </c>
      <c r="N1565">
        <f>IF([2]Entry!$M$1568="","",[2]Entry!$M$1568)</f>
        <v/>
      </c>
      <c r="O1565">
        <f>IF([2]Entry!$N$1568="","",[2]Entry!$N$1568)</f>
        <v/>
      </c>
      <c r="P1565">
        <f>IF([2]Entry!$R$1568="","",[2]Entry!$R$1568)</f>
        <v/>
      </c>
    </row>
    <row r="1566">
      <c r="J1566">
        <f>IF([2]Entry!$C$1569="","",[2]Entry!$C$1569)</f>
        <v/>
      </c>
      <c r="K1566">
        <f>IF([2]Entry!$D$1569="","",[2]Entry!$D$1569)</f>
        <v/>
      </c>
      <c r="L1566">
        <f>IF([2]Entry!$E$1569="","",[2]Entry!$E$1569)</f>
        <v/>
      </c>
      <c r="M1566">
        <f>IF([2]Entry!$G$1569="","",[2]Entry!$G$1569)</f>
        <v/>
      </c>
      <c r="N1566">
        <f>IF([2]Entry!$M$1569="","",[2]Entry!$M$1569)</f>
        <v/>
      </c>
      <c r="O1566">
        <f>IF([2]Entry!$N$1569="","",[2]Entry!$N$1569)</f>
        <v/>
      </c>
      <c r="P1566">
        <f>IF([2]Entry!$R$1569="","",[2]Entry!$R$1569)</f>
        <v/>
      </c>
    </row>
    <row r="1567">
      <c r="J1567">
        <f>IF([2]Entry!$C$1570="","",[2]Entry!$C$1570)</f>
        <v/>
      </c>
      <c r="K1567">
        <f>IF([2]Entry!$D$1570="","",[2]Entry!$D$1570)</f>
        <v/>
      </c>
      <c r="L1567">
        <f>IF([2]Entry!$E$1570="","",[2]Entry!$E$1570)</f>
        <v/>
      </c>
      <c r="M1567">
        <f>IF([2]Entry!$G$1570="","",[2]Entry!$G$1570)</f>
        <v/>
      </c>
      <c r="N1567">
        <f>IF([2]Entry!$M$1570="","",[2]Entry!$M$1570)</f>
        <v/>
      </c>
      <c r="O1567">
        <f>IF([2]Entry!$N$1570="","",[2]Entry!$N$1570)</f>
        <v/>
      </c>
      <c r="P1567">
        <f>IF([2]Entry!$R$1570="","",[2]Entry!$R$1570)</f>
        <v/>
      </c>
    </row>
    <row r="1568">
      <c r="J1568">
        <f>IF([2]Entry!$C$1571="","",[2]Entry!$C$1571)</f>
        <v/>
      </c>
      <c r="K1568">
        <f>IF([2]Entry!$D$1571="","",[2]Entry!$D$1571)</f>
        <v/>
      </c>
      <c r="L1568">
        <f>IF([2]Entry!$E$1571="","",[2]Entry!$E$1571)</f>
        <v/>
      </c>
      <c r="M1568">
        <f>IF([2]Entry!$G$1571="","",[2]Entry!$G$1571)</f>
        <v/>
      </c>
      <c r="N1568">
        <f>IF([2]Entry!$M$1571="","",[2]Entry!$M$1571)</f>
        <v/>
      </c>
      <c r="O1568">
        <f>IF([2]Entry!$N$1571="","",[2]Entry!$N$1571)</f>
        <v/>
      </c>
      <c r="P1568">
        <f>IF([2]Entry!$R$1571="","",[2]Entry!$R$1571)</f>
        <v/>
      </c>
    </row>
    <row r="1569">
      <c r="J1569">
        <f>IF([2]Entry!$C$1572="","",[2]Entry!$C$1572)</f>
        <v/>
      </c>
      <c r="K1569">
        <f>IF([2]Entry!$D$1572="","",[2]Entry!$D$1572)</f>
        <v/>
      </c>
      <c r="L1569">
        <f>IF([2]Entry!$E$1572="","",[2]Entry!$E$1572)</f>
        <v/>
      </c>
      <c r="M1569">
        <f>IF([2]Entry!$G$1572="","",[2]Entry!$G$1572)</f>
        <v/>
      </c>
      <c r="N1569">
        <f>IF([2]Entry!$M$1572="","",[2]Entry!$M$1572)</f>
        <v/>
      </c>
      <c r="O1569">
        <f>IF([2]Entry!$N$1572="","",[2]Entry!$N$1572)</f>
        <v/>
      </c>
      <c r="P1569">
        <f>IF([2]Entry!$R$1572="","",[2]Entry!$R$1572)</f>
        <v/>
      </c>
    </row>
    <row r="1570">
      <c r="J1570">
        <f>IF([2]Entry!$C$1573="","",[2]Entry!$C$1573)</f>
        <v/>
      </c>
      <c r="K1570">
        <f>IF([2]Entry!$D$1573="","",[2]Entry!$D$1573)</f>
        <v/>
      </c>
      <c r="L1570">
        <f>IF([2]Entry!$E$1573="","",[2]Entry!$E$1573)</f>
        <v/>
      </c>
      <c r="M1570">
        <f>IF([2]Entry!$G$1573="","",[2]Entry!$G$1573)</f>
        <v/>
      </c>
      <c r="N1570">
        <f>IF([2]Entry!$M$1573="","",[2]Entry!$M$1573)</f>
        <v/>
      </c>
      <c r="O1570">
        <f>IF([2]Entry!$N$1573="","",[2]Entry!$N$1573)</f>
        <v/>
      </c>
      <c r="P1570">
        <f>IF([2]Entry!$R$1573="","",[2]Entry!$R$1573)</f>
        <v/>
      </c>
    </row>
    <row r="1571">
      <c r="J1571">
        <f>IF([2]Entry!$C$1574="","",[2]Entry!$C$1574)</f>
        <v/>
      </c>
      <c r="K1571">
        <f>IF([2]Entry!$D$1574="","",[2]Entry!$D$1574)</f>
        <v/>
      </c>
      <c r="L1571">
        <f>IF([2]Entry!$E$1574="","",[2]Entry!$E$1574)</f>
        <v/>
      </c>
      <c r="M1571">
        <f>IF([2]Entry!$G$1574="","",[2]Entry!$G$1574)</f>
        <v/>
      </c>
      <c r="N1571">
        <f>IF([2]Entry!$M$1574="","",[2]Entry!$M$1574)</f>
        <v/>
      </c>
      <c r="O1571">
        <f>IF([2]Entry!$N$1574="","",[2]Entry!$N$1574)</f>
        <v/>
      </c>
      <c r="P1571">
        <f>IF([2]Entry!$R$1574="","",[2]Entry!$R$1574)</f>
        <v/>
      </c>
    </row>
    <row r="1572">
      <c r="J1572">
        <f>IF([2]Entry!$C$1575="","",[2]Entry!$C$1575)</f>
        <v/>
      </c>
      <c r="K1572">
        <f>IF([2]Entry!$D$1575="","",[2]Entry!$D$1575)</f>
        <v/>
      </c>
      <c r="L1572">
        <f>IF([2]Entry!$E$1575="","",[2]Entry!$E$1575)</f>
        <v/>
      </c>
      <c r="M1572">
        <f>IF([2]Entry!$G$1575="","",[2]Entry!$G$1575)</f>
        <v/>
      </c>
      <c r="N1572">
        <f>IF([2]Entry!$M$1575="","",[2]Entry!$M$1575)</f>
        <v/>
      </c>
      <c r="O1572">
        <f>IF([2]Entry!$N$1575="","",[2]Entry!$N$1575)</f>
        <v/>
      </c>
      <c r="P1572">
        <f>IF([2]Entry!$R$1575="","",[2]Entry!$R$1575)</f>
        <v/>
      </c>
    </row>
    <row r="1573">
      <c r="J1573">
        <f>IF([2]Entry!$C$1576="","",[2]Entry!$C$1576)</f>
        <v/>
      </c>
      <c r="K1573">
        <f>IF([2]Entry!$D$1576="","",[2]Entry!$D$1576)</f>
        <v/>
      </c>
      <c r="L1573">
        <f>IF([2]Entry!$E$1576="","",[2]Entry!$E$1576)</f>
        <v/>
      </c>
      <c r="M1573">
        <f>IF([2]Entry!$G$1576="","",[2]Entry!$G$1576)</f>
        <v/>
      </c>
      <c r="N1573">
        <f>IF([2]Entry!$M$1576="","",[2]Entry!$M$1576)</f>
        <v/>
      </c>
      <c r="O1573">
        <f>IF([2]Entry!$N$1576="","",[2]Entry!$N$1576)</f>
        <v/>
      </c>
      <c r="P1573">
        <f>IF([2]Entry!$R$1576="","",[2]Entry!$R$1576)</f>
        <v/>
      </c>
    </row>
    <row r="1574">
      <c r="J1574">
        <f>IF([2]Entry!$C$1577="","",[2]Entry!$C$1577)</f>
        <v/>
      </c>
      <c r="K1574">
        <f>IF([2]Entry!$D$1577="","",[2]Entry!$D$1577)</f>
        <v/>
      </c>
      <c r="L1574">
        <f>IF([2]Entry!$E$1577="","",[2]Entry!$E$1577)</f>
        <v/>
      </c>
      <c r="M1574">
        <f>IF([2]Entry!$G$1577="","",[2]Entry!$G$1577)</f>
        <v/>
      </c>
      <c r="N1574">
        <f>IF([2]Entry!$M$1577="","",[2]Entry!$M$1577)</f>
        <v/>
      </c>
      <c r="O1574">
        <f>IF([2]Entry!$N$1577="","",[2]Entry!$N$1577)</f>
        <v/>
      </c>
      <c r="P1574">
        <f>IF([2]Entry!$R$1577="","",[2]Entry!$R$1577)</f>
        <v/>
      </c>
    </row>
    <row r="1575">
      <c r="J1575">
        <f>IF([2]Entry!$C$1578="","",[2]Entry!$C$1578)</f>
        <v/>
      </c>
      <c r="K1575">
        <f>IF([2]Entry!$D$1578="","",[2]Entry!$D$1578)</f>
        <v/>
      </c>
      <c r="L1575">
        <f>IF([2]Entry!$E$1578="","",[2]Entry!$E$1578)</f>
        <v/>
      </c>
      <c r="M1575">
        <f>IF([2]Entry!$G$1578="","",[2]Entry!$G$1578)</f>
        <v/>
      </c>
      <c r="N1575">
        <f>IF([2]Entry!$M$1578="","",[2]Entry!$M$1578)</f>
        <v/>
      </c>
      <c r="O1575">
        <f>IF([2]Entry!$N$1578="","",[2]Entry!$N$1578)</f>
        <v/>
      </c>
      <c r="P1575">
        <f>IF([2]Entry!$R$1578="","",[2]Entry!$R$1578)</f>
        <v/>
      </c>
    </row>
    <row r="1576">
      <c r="J1576">
        <f>IF([2]Entry!$C$1579="","",[2]Entry!$C$1579)</f>
        <v/>
      </c>
      <c r="K1576">
        <f>IF([2]Entry!$D$1579="","",[2]Entry!$D$1579)</f>
        <v/>
      </c>
      <c r="L1576">
        <f>IF([2]Entry!$E$1579="","",[2]Entry!$E$1579)</f>
        <v/>
      </c>
      <c r="M1576">
        <f>IF([2]Entry!$G$1579="","",[2]Entry!$G$1579)</f>
        <v/>
      </c>
      <c r="N1576">
        <f>IF([2]Entry!$M$1579="","",[2]Entry!$M$1579)</f>
        <v/>
      </c>
      <c r="O1576">
        <f>IF([2]Entry!$N$1579="","",[2]Entry!$N$1579)</f>
        <v/>
      </c>
      <c r="P1576">
        <f>IF([2]Entry!$R$1579="","",[2]Entry!$R$1579)</f>
        <v/>
      </c>
    </row>
    <row r="1577">
      <c r="J1577">
        <f>IF([2]Entry!$C$1580="","",[2]Entry!$C$1580)</f>
        <v/>
      </c>
      <c r="K1577">
        <f>IF([2]Entry!$D$1580="","",[2]Entry!$D$1580)</f>
        <v/>
      </c>
      <c r="L1577">
        <f>IF([2]Entry!$E$1580="","",[2]Entry!$E$1580)</f>
        <v/>
      </c>
      <c r="M1577">
        <f>IF([2]Entry!$G$1580="","",[2]Entry!$G$1580)</f>
        <v/>
      </c>
      <c r="N1577">
        <f>IF([2]Entry!$M$1580="","",[2]Entry!$M$1580)</f>
        <v/>
      </c>
      <c r="O1577">
        <f>IF([2]Entry!$N$1580="","",[2]Entry!$N$1580)</f>
        <v/>
      </c>
      <c r="P1577">
        <f>IF([2]Entry!$R$1580="","",[2]Entry!$R$1580)</f>
        <v/>
      </c>
    </row>
    <row r="1578">
      <c r="J1578">
        <f>IF([2]Entry!$C$1581="","",[2]Entry!$C$1581)</f>
        <v/>
      </c>
      <c r="K1578">
        <f>IF([2]Entry!$D$1581="","",[2]Entry!$D$1581)</f>
        <v/>
      </c>
      <c r="L1578">
        <f>IF([2]Entry!$E$1581="","",[2]Entry!$E$1581)</f>
        <v/>
      </c>
      <c r="M1578">
        <f>IF([2]Entry!$G$1581="","",[2]Entry!$G$1581)</f>
        <v/>
      </c>
      <c r="N1578">
        <f>IF([2]Entry!$M$1581="","",[2]Entry!$M$1581)</f>
        <v/>
      </c>
      <c r="O1578">
        <f>IF([2]Entry!$N$1581="","",[2]Entry!$N$1581)</f>
        <v/>
      </c>
      <c r="P1578">
        <f>IF([2]Entry!$R$1581="","",[2]Entry!$R$1581)</f>
        <v/>
      </c>
    </row>
    <row r="1579">
      <c r="J1579">
        <f>IF([2]Entry!$C$1582="","",[2]Entry!$C$1582)</f>
        <v/>
      </c>
      <c r="K1579">
        <f>IF([2]Entry!$D$1582="","",[2]Entry!$D$1582)</f>
        <v/>
      </c>
      <c r="L1579">
        <f>IF([2]Entry!$E$1582="","",[2]Entry!$E$1582)</f>
        <v/>
      </c>
      <c r="M1579">
        <f>IF([2]Entry!$G$1582="","",[2]Entry!$G$1582)</f>
        <v/>
      </c>
      <c r="N1579">
        <f>IF([2]Entry!$M$1582="","",[2]Entry!$M$1582)</f>
        <v/>
      </c>
      <c r="O1579">
        <f>IF([2]Entry!$N$1582="","",[2]Entry!$N$1582)</f>
        <v/>
      </c>
      <c r="P1579">
        <f>IF([2]Entry!$R$1582="","",[2]Entry!$R$1582)</f>
        <v/>
      </c>
    </row>
    <row r="1580">
      <c r="J1580">
        <f>IF([2]Entry!$C$1583="","",[2]Entry!$C$1583)</f>
        <v/>
      </c>
      <c r="K1580">
        <f>IF([2]Entry!$D$1583="","",[2]Entry!$D$1583)</f>
        <v/>
      </c>
      <c r="L1580">
        <f>IF([2]Entry!$E$1583="","",[2]Entry!$E$1583)</f>
        <v/>
      </c>
      <c r="M1580">
        <f>IF([2]Entry!$G$1583="","",[2]Entry!$G$1583)</f>
        <v/>
      </c>
      <c r="N1580">
        <f>IF([2]Entry!$M$1583="","",[2]Entry!$M$1583)</f>
        <v/>
      </c>
      <c r="O1580">
        <f>IF([2]Entry!$N$1583="","",[2]Entry!$N$1583)</f>
        <v/>
      </c>
      <c r="P1580">
        <f>IF([2]Entry!$R$1583="","",[2]Entry!$R$1583)</f>
        <v/>
      </c>
    </row>
    <row r="1581">
      <c r="J1581">
        <f>IF([2]Entry!$C$1584="","",[2]Entry!$C$1584)</f>
        <v/>
      </c>
      <c r="K1581">
        <f>IF([2]Entry!$D$1584="","",[2]Entry!$D$1584)</f>
        <v/>
      </c>
      <c r="L1581">
        <f>IF([2]Entry!$E$1584="","",[2]Entry!$E$1584)</f>
        <v/>
      </c>
      <c r="M1581">
        <f>IF([2]Entry!$G$1584="","",[2]Entry!$G$1584)</f>
        <v/>
      </c>
      <c r="N1581">
        <f>IF([2]Entry!$M$1584="","",[2]Entry!$M$1584)</f>
        <v/>
      </c>
      <c r="O1581">
        <f>IF([2]Entry!$N$1584="","",[2]Entry!$N$1584)</f>
        <v/>
      </c>
      <c r="P1581">
        <f>IF([2]Entry!$R$1584="","",[2]Entry!$R$1584)</f>
        <v/>
      </c>
    </row>
    <row r="1582">
      <c r="J1582">
        <f>IF([2]Entry!$C$1585="","",[2]Entry!$C$1585)</f>
        <v/>
      </c>
      <c r="K1582">
        <f>IF([2]Entry!$D$1585="","",[2]Entry!$D$1585)</f>
        <v/>
      </c>
      <c r="L1582">
        <f>IF([2]Entry!$E$1585="","",[2]Entry!$E$1585)</f>
        <v/>
      </c>
      <c r="M1582">
        <f>IF([2]Entry!$G$1585="","",[2]Entry!$G$1585)</f>
        <v/>
      </c>
      <c r="N1582">
        <f>IF([2]Entry!$M$1585="","",[2]Entry!$M$1585)</f>
        <v/>
      </c>
      <c r="O1582">
        <f>IF([2]Entry!$N$1585="","",[2]Entry!$N$1585)</f>
        <v/>
      </c>
      <c r="P1582">
        <f>IF([2]Entry!$R$1585="","",[2]Entry!$R$1585)</f>
        <v/>
      </c>
    </row>
    <row r="1583">
      <c r="J1583">
        <f>IF([2]Entry!$C$1586="","",[2]Entry!$C$1586)</f>
        <v/>
      </c>
      <c r="K1583">
        <f>IF([2]Entry!$D$1586="","",[2]Entry!$D$1586)</f>
        <v/>
      </c>
      <c r="L1583">
        <f>IF([2]Entry!$E$1586="","",[2]Entry!$E$1586)</f>
        <v/>
      </c>
      <c r="M1583">
        <f>IF([2]Entry!$G$1586="","",[2]Entry!$G$1586)</f>
        <v/>
      </c>
      <c r="N1583">
        <f>IF([2]Entry!$M$1586="","",[2]Entry!$M$1586)</f>
        <v/>
      </c>
      <c r="O1583">
        <f>IF([2]Entry!$N$1586="","",[2]Entry!$N$1586)</f>
        <v/>
      </c>
      <c r="P1583">
        <f>IF([2]Entry!$R$1586="","",[2]Entry!$R$1586)</f>
        <v/>
      </c>
    </row>
    <row r="1584">
      <c r="J1584">
        <f>IF([2]Entry!$C$1587="","",[2]Entry!$C$1587)</f>
        <v/>
      </c>
      <c r="K1584">
        <f>IF([2]Entry!$D$1587="","",[2]Entry!$D$1587)</f>
        <v/>
      </c>
      <c r="L1584">
        <f>IF([2]Entry!$E$1587="","",[2]Entry!$E$1587)</f>
        <v/>
      </c>
      <c r="M1584">
        <f>IF([2]Entry!$G$1587="","",[2]Entry!$G$1587)</f>
        <v/>
      </c>
      <c r="N1584">
        <f>IF([2]Entry!$M$1587="","",[2]Entry!$M$1587)</f>
        <v/>
      </c>
      <c r="O1584">
        <f>IF([2]Entry!$N$1587="","",[2]Entry!$N$1587)</f>
        <v/>
      </c>
      <c r="P1584">
        <f>IF([2]Entry!$R$1587="","",[2]Entry!$R$1587)</f>
        <v/>
      </c>
    </row>
    <row r="1585">
      <c r="J1585">
        <f>IF([2]Entry!$C$1588="","",[2]Entry!$C$1588)</f>
        <v/>
      </c>
      <c r="K1585">
        <f>IF([2]Entry!$D$1588="","",[2]Entry!$D$1588)</f>
        <v/>
      </c>
      <c r="L1585">
        <f>IF([2]Entry!$E$1588="","",[2]Entry!$E$1588)</f>
        <v/>
      </c>
      <c r="M1585">
        <f>IF([2]Entry!$G$1588="","",[2]Entry!$G$1588)</f>
        <v/>
      </c>
      <c r="N1585">
        <f>IF([2]Entry!$M$1588="","",[2]Entry!$M$1588)</f>
        <v/>
      </c>
      <c r="O1585">
        <f>IF([2]Entry!$N$1588="","",[2]Entry!$N$1588)</f>
        <v/>
      </c>
      <c r="P1585">
        <f>IF([2]Entry!$R$1588="","",[2]Entry!$R$1588)</f>
        <v/>
      </c>
    </row>
    <row r="1586">
      <c r="J1586">
        <f>IF([2]Entry!$C$1589="","",[2]Entry!$C$1589)</f>
        <v/>
      </c>
      <c r="K1586">
        <f>IF([2]Entry!$D$1589="","",[2]Entry!$D$1589)</f>
        <v/>
      </c>
      <c r="L1586">
        <f>IF([2]Entry!$E$1589="","",[2]Entry!$E$1589)</f>
        <v/>
      </c>
      <c r="M1586">
        <f>IF([2]Entry!$G$1589="","",[2]Entry!$G$1589)</f>
        <v/>
      </c>
      <c r="N1586">
        <f>IF([2]Entry!$M$1589="","",[2]Entry!$M$1589)</f>
        <v/>
      </c>
      <c r="O1586">
        <f>IF([2]Entry!$N$1589="","",[2]Entry!$N$1589)</f>
        <v/>
      </c>
      <c r="P1586">
        <f>IF([2]Entry!$R$1589="","",[2]Entry!$R$1589)</f>
        <v/>
      </c>
    </row>
    <row r="1587">
      <c r="J1587">
        <f>IF([2]Entry!$C$1590="","",[2]Entry!$C$1590)</f>
        <v/>
      </c>
      <c r="K1587">
        <f>IF([2]Entry!$D$1590="","",[2]Entry!$D$1590)</f>
        <v/>
      </c>
      <c r="L1587">
        <f>IF([2]Entry!$E$1590="","",[2]Entry!$E$1590)</f>
        <v/>
      </c>
      <c r="M1587">
        <f>IF([2]Entry!$G$1590="","",[2]Entry!$G$1590)</f>
        <v/>
      </c>
      <c r="N1587">
        <f>IF([2]Entry!$M$1590="","",[2]Entry!$M$1590)</f>
        <v/>
      </c>
      <c r="O1587">
        <f>IF([2]Entry!$N$1590="","",[2]Entry!$N$1590)</f>
        <v/>
      </c>
      <c r="P1587">
        <f>IF([2]Entry!$R$1590="","",[2]Entry!$R$1590)</f>
        <v/>
      </c>
    </row>
    <row r="1588">
      <c r="J1588">
        <f>IF([2]Entry!$C$1591="","",[2]Entry!$C$1591)</f>
        <v/>
      </c>
      <c r="K1588">
        <f>IF([2]Entry!$D$1591="","",[2]Entry!$D$1591)</f>
        <v/>
      </c>
      <c r="L1588">
        <f>IF([2]Entry!$E$1591="","",[2]Entry!$E$1591)</f>
        <v/>
      </c>
      <c r="M1588">
        <f>IF([2]Entry!$G$1591="","",[2]Entry!$G$1591)</f>
        <v/>
      </c>
      <c r="N1588">
        <f>IF([2]Entry!$M$1591="","",[2]Entry!$M$1591)</f>
        <v/>
      </c>
      <c r="O1588">
        <f>IF([2]Entry!$N$1591="","",[2]Entry!$N$1591)</f>
        <v/>
      </c>
      <c r="P1588">
        <f>IF([2]Entry!$R$1591="","",[2]Entry!$R$1591)</f>
        <v/>
      </c>
    </row>
    <row r="1589">
      <c r="J1589">
        <f>IF([2]Entry!$C$1592="","",[2]Entry!$C$1592)</f>
        <v/>
      </c>
      <c r="K1589">
        <f>IF([2]Entry!$D$1592="","",[2]Entry!$D$1592)</f>
        <v/>
      </c>
      <c r="L1589">
        <f>IF([2]Entry!$E$1592="","",[2]Entry!$E$1592)</f>
        <v/>
      </c>
      <c r="M1589">
        <f>IF([2]Entry!$G$1592="","",[2]Entry!$G$1592)</f>
        <v/>
      </c>
      <c r="N1589">
        <f>IF([2]Entry!$M$1592="","",[2]Entry!$M$1592)</f>
        <v/>
      </c>
      <c r="O1589">
        <f>IF([2]Entry!$N$1592="","",[2]Entry!$N$1592)</f>
        <v/>
      </c>
      <c r="P1589">
        <f>IF([2]Entry!$R$1592="","",[2]Entry!$R$1592)</f>
        <v/>
      </c>
    </row>
    <row r="1590">
      <c r="J1590">
        <f>IF([2]Entry!$C$1593="","",[2]Entry!$C$1593)</f>
        <v/>
      </c>
      <c r="K1590">
        <f>IF([2]Entry!$D$1593="","",[2]Entry!$D$1593)</f>
        <v/>
      </c>
      <c r="L1590">
        <f>IF([2]Entry!$E$1593="","",[2]Entry!$E$1593)</f>
        <v/>
      </c>
      <c r="M1590">
        <f>IF([2]Entry!$G$1593="","",[2]Entry!$G$1593)</f>
        <v/>
      </c>
      <c r="N1590">
        <f>IF([2]Entry!$M$1593="","",[2]Entry!$M$1593)</f>
        <v/>
      </c>
      <c r="O1590">
        <f>IF([2]Entry!$N$1593="","",[2]Entry!$N$1593)</f>
        <v/>
      </c>
      <c r="P1590">
        <f>IF([2]Entry!$R$1593="","",[2]Entry!$R$1593)</f>
        <v/>
      </c>
    </row>
    <row r="1591">
      <c r="J1591">
        <f>IF([2]Entry!$C$1594="","",[2]Entry!$C$1594)</f>
        <v/>
      </c>
      <c r="K1591">
        <f>IF([2]Entry!$D$1594="","",[2]Entry!$D$1594)</f>
        <v/>
      </c>
      <c r="L1591">
        <f>IF([2]Entry!$E$1594="","",[2]Entry!$E$1594)</f>
        <v/>
      </c>
      <c r="M1591">
        <f>IF([2]Entry!$G$1594="","",[2]Entry!$G$1594)</f>
        <v/>
      </c>
      <c r="N1591">
        <f>IF([2]Entry!$M$1594="","",[2]Entry!$M$1594)</f>
        <v/>
      </c>
      <c r="O1591">
        <f>IF([2]Entry!$N$1594="","",[2]Entry!$N$1594)</f>
        <v/>
      </c>
      <c r="P1591">
        <f>IF([2]Entry!$R$1594="","",[2]Entry!$R$1594)</f>
        <v/>
      </c>
    </row>
    <row r="1592">
      <c r="J1592">
        <f>IF([2]Entry!$C$1595="","",[2]Entry!$C$1595)</f>
        <v/>
      </c>
      <c r="K1592">
        <f>IF([2]Entry!$D$1595="","",[2]Entry!$D$1595)</f>
        <v/>
      </c>
      <c r="L1592">
        <f>IF([2]Entry!$E$1595="","",[2]Entry!$E$1595)</f>
        <v/>
      </c>
      <c r="M1592">
        <f>IF([2]Entry!$G$1595="","",[2]Entry!$G$1595)</f>
        <v/>
      </c>
      <c r="N1592">
        <f>IF([2]Entry!$M$1595="","",[2]Entry!$M$1595)</f>
        <v/>
      </c>
      <c r="O1592">
        <f>IF([2]Entry!$N$1595="","",[2]Entry!$N$1595)</f>
        <v/>
      </c>
      <c r="P1592">
        <f>IF([2]Entry!$R$1595="","",[2]Entry!$R$1595)</f>
        <v/>
      </c>
    </row>
    <row r="1593">
      <c r="J1593">
        <f>IF([2]Entry!$C$1596="","",[2]Entry!$C$1596)</f>
        <v/>
      </c>
      <c r="K1593">
        <f>IF([2]Entry!$D$1596="","",[2]Entry!$D$1596)</f>
        <v/>
      </c>
      <c r="L1593">
        <f>IF([2]Entry!$E$1596="","",[2]Entry!$E$1596)</f>
        <v/>
      </c>
      <c r="M1593">
        <f>IF([2]Entry!$G$1596="","",[2]Entry!$G$1596)</f>
        <v/>
      </c>
      <c r="N1593">
        <f>IF([2]Entry!$M$1596="","",[2]Entry!$M$1596)</f>
        <v/>
      </c>
      <c r="O1593">
        <f>IF([2]Entry!$N$1596="","",[2]Entry!$N$1596)</f>
        <v/>
      </c>
      <c r="P1593">
        <f>IF([2]Entry!$R$1596="","",[2]Entry!$R$1596)</f>
        <v/>
      </c>
    </row>
    <row r="1594">
      <c r="J1594">
        <f>IF([2]Entry!$C$1597="","",[2]Entry!$C$1597)</f>
        <v/>
      </c>
      <c r="K1594">
        <f>IF([2]Entry!$D$1597="","",[2]Entry!$D$1597)</f>
        <v/>
      </c>
      <c r="L1594">
        <f>IF([2]Entry!$E$1597="","",[2]Entry!$E$1597)</f>
        <v/>
      </c>
      <c r="M1594">
        <f>IF([2]Entry!$G$1597="","",[2]Entry!$G$1597)</f>
        <v/>
      </c>
      <c r="N1594">
        <f>IF([2]Entry!$M$1597="","",[2]Entry!$M$1597)</f>
        <v/>
      </c>
      <c r="O1594">
        <f>IF([2]Entry!$N$1597="","",[2]Entry!$N$1597)</f>
        <v/>
      </c>
      <c r="P1594">
        <f>IF([2]Entry!$R$1597="","",[2]Entry!$R$1597)</f>
        <v/>
      </c>
    </row>
    <row r="1595">
      <c r="J1595">
        <f>IF([2]Entry!$C$1598="","",[2]Entry!$C$1598)</f>
        <v/>
      </c>
      <c r="K1595">
        <f>IF([2]Entry!$D$1598="","",[2]Entry!$D$1598)</f>
        <v/>
      </c>
      <c r="L1595">
        <f>IF([2]Entry!$E$1598="","",[2]Entry!$E$1598)</f>
        <v/>
      </c>
      <c r="M1595">
        <f>IF([2]Entry!$G$1598="","",[2]Entry!$G$1598)</f>
        <v/>
      </c>
      <c r="N1595">
        <f>IF([2]Entry!$M$1598="","",[2]Entry!$M$1598)</f>
        <v/>
      </c>
      <c r="O1595">
        <f>IF([2]Entry!$N$1598="","",[2]Entry!$N$1598)</f>
        <v/>
      </c>
      <c r="P1595">
        <f>IF([2]Entry!$R$1598="","",[2]Entry!$R$1598)</f>
        <v/>
      </c>
    </row>
    <row r="1596">
      <c r="J1596">
        <f>IF([2]Entry!$C$1599="","",[2]Entry!$C$1599)</f>
        <v/>
      </c>
      <c r="K1596">
        <f>IF([2]Entry!$D$1599="","",[2]Entry!$D$1599)</f>
        <v/>
      </c>
      <c r="L1596">
        <f>IF([2]Entry!$E$1599="","",[2]Entry!$E$1599)</f>
        <v/>
      </c>
      <c r="M1596">
        <f>IF([2]Entry!$G$1599="","",[2]Entry!$G$1599)</f>
        <v/>
      </c>
      <c r="N1596">
        <f>IF([2]Entry!$M$1599="","",[2]Entry!$M$1599)</f>
        <v/>
      </c>
      <c r="O1596">
        <f>IF([2]Entry!$N$1599="","",[2]Entry!$N$1599)</f>
        <v/>
      </c>
      <c r="P1596">
        <f>IF([2]Entry!$R$1599="","",[2]Entry!$R$1599)</f>
        <v/>
      </c>
    </row>
    <row r="1597">
      <c r="J1597">
        <f>IF([2]Entry!$C$1600="","",[2]Entry!$C$1600)</f>
        <v/>
      </c>
      <c r="K1597">
        <f>IF([2]Entry!$D$1600="","",[2]Entry!$D$1600)</f>
        <v/>
      </c>
      <c r="L1597">
        <f>IF([2]Entry!$E$1600="","",[2]Entry!$E$1600)</f>
        <v/>
      </c>
      <c r="M1597">
        <f>IF([2]Entry!$G$1600="","",[2]Entry!$G$1600)</f>
        <v/>
      </c>
      <c r="N1597">
        <f>IF([2]Entry!$M$1600="","",[2]Entry!$M$1600)</f>
        <v/>
      </c>
      <c r="O1597">
        <f>IF([2]Entry!$N$1600="","",[2]Entry!$N$1600)</f>
        <v/>
      </c>
      <c r="P1597">
        <f>IF([2]Entry!$R$1600="","",[2]Entry!$R$1600)</f>
        <v/>
      </c>
    </row>
    <row r="1598">
      <c r="J1598">
        <f>IF([2]Entry!$C$1601="","",[2]Entry!$C$1601)</f>
        <v/>
      </c>
      <c r="K1598">
        <f>IF([2]Entry!$D$1601="","",[2]Entry!$D$1601)</f>
        <v/>
      </c>
      <c r="L1598">
        <f>IF([2]Entry!$E$1601="","",[2]Entry!$E$1601)</f>
        <v/>
      </c>
      <c r="M1598">
        <f>IF([2]Entry!$G$1601="","",[2]Entry!$G$1601)</f>
        <v/>
      </c>
      <c r="N1598">
        <f>IF([2]Entry!$M$1601="","",[2]Entry!$M$1601)</f>
        <v/>
      </c>
      <c r="O1598">
        <f>IF([2]Entry!$N$1601="","",[2]Entry!$N$1601)</f>
        <v/>
      </c>
      <c r="P1598">
        <f>IF([2]Entry!$R$1601="","",[2]Entry!$R$1601)</f>
        <v/>
      </c>
    </row>
    <row r="1599">
      <c r="J1599">
        <f>IF([2]Entry!$C$1602="","",[2]Entry!$C$1602)</f>
        <v/>
      </c>
      <c r="K1599">
        <f>IF([2]Entry!$D$1602="","",[2]Entry!$D$1602)</f>
        <v/>
      </c>
      <c r="L1599">
        <f>IF([2]Entry!$E$1602="","",[2]Entry!$E$1602)</f>
        <v/>
      </c>
      <c r="M1599">
        <f>IF([2]Entry!$G$1602="","",[2]Entry!$G$1602)</f>
        <v/>
      </c>
      <c r="N1599">
        <f>IF([2]Entry!$M$1602="","",[2]Entry!$M$1602)</f>
        <v/>
      </c>
      <c r="O1599">
        <f>IF([2]Entry!$N$1602="","",[2]Entry!$N$1602)</f>
        <v/>
      </c>
      <c r="P1599">
        <f>IF([2]Entry!$R$1602="","",[2]Entry!$R$1602)</f>
        <v/>
      </c>
    </row>
    <row r="1600">
      <c r="J1600">
        <f>IF([2]Entry!$C$1603="","",[2]Entry!$C$1603)</f>
        <v/>
      </c>
      <c r="K1600">
        <f>IF([2]Entry!$D$1603="","",[2]Entry!$D$1603)</f>
        <v/>
      </c>
      <c r="L1600">
        <f>IF([2]Entry!$E$1603="","",[2]Entry!$E$1603)</f>
        <v/>
      </c>
      <c r="M1600">
        <f>IF([2]Entry!$G$1603="","",[2]Entry!$G$1603)</f>
        <v/>
      </c>
      <c r="N1600">
        <f>IF([2]Entry!$M$1603="","",[2]Entry!$M$1603)</f>
        <v/>
      </c>
      <c r="O1600">
        <f>IF([2]Entry!$N$1603="","",[2]Entry!$N$1603)</f>
        <v/>
      </c>
      <c r="P1600">
        <f>IF([2]Entry!$R$1603="","",[2]Entry!$R$1603)</f>
        <v/>
      </c>
    </row>
    <row r="1601">
      <c r="J1601">
        <f>IF([2]Entry!$C$1604="","",[2]Entry!$C$1604)</f>
        <v/>
      </c>
      <c r="K1601">
        <f>IF([2]Entry!$D$1604="","",[2]Entry!$D$1604)</f>
        <v/>
      </c>
      <c r="L1601">
        <f>IF([2]Entry!$E$1604="","",[2]Entry!$E$1604)</f>
        <v/>
      </c>
      <c r="M1601">
        <f>IF([2]Entry!$G$1604="","",[2]Entry!$G$1604)</f>
        <v/>
      </c>
      <c r="N1601">
        <f>IF([2]Entry!$M$1604="","",[2]Entry!$M$1604)</f>
        <v/>
      </c>
      <c r="O1601">
        <f>IF([2]Entry!$N$1604="","",[2]Entry!$N$1604)</f>
        <v/>
      </c>
      <c r="P1601">
        <f>IF([2]Entry!$R$1604="","",[2]Entry!$R$1604)</f>
        <v/>
      </c>
    </row>
    <row r="1602">
      <c r="J1602">
        <f>IF([2]Entry!$C$1605="","",[2]Entry!$C$1605)</f>
        <v/>
      </c>
      <c r="K1602">
        <f>IF([2]Entry!$D$1605="","",[2]Entry!$D$1605)</f>
        <v/>
      </c>
      <c r="L1602">
        <f>IF([2]Entry!$E$1605="","",[2]Entry!$E$1605)</f>
        <v/>
      </c>
      <c r="M1602">
        <f>IF([2]Entry!$G$1605="","",[2]Entry!$G$1605)</f>
        <v/>
      </c>
      <c r="N1602">
        <f>IF([2]Entry!$M$1605="","",[2]Entry!$M$1605)</f>
        <v/>
      </c>
      <c r="O1602">
        <f>IF([2]Entry!$N$1605="","",[2]Entry!$N$1605)</f>
        <v/>
      </c>
      <c r="P1602">
        <f>IF([2]Entry!$R$1605="","",[2]Entry!$R$1605)</f>
        <v/>
      </c>
    </row>
    <row r="1603">
      <c r="J1603">
        <f>IF([2]Entry!$C$1606="","",[2]Entry!$C$1606)</f>
        <v/>
      </c>
      <c r="K1603">
        <f>IF([2]Entry!$D$1606="","",[2]Entry!$D$1606)</f>
        <v/>
      </c>
      <c r="L1603">
        <f>IF([2]Entry!$E$1606="","",[2]Entry!$E$1606)</f>
        <v/>
      </c>
      <c r="M1603">
        <f>IF([2]Entry!$G$1606="","",[2]Entry!$G$1606)</f>
        <v/>
      </c>
      <c r="N1603">
        <f>IF([2]Entry!$M$1606="","",[2]Entry!$M$1606)</f>
        <v/>
      </c>
      <c r="O1603">
        <f>IF([2]Entry!$N$1606="","",[2]Entry!$N$1606)</f>
        <v/>
      </c>
      <c r="P1603">
        <f>IF([2]Entry!$R$1606="","",[2]Entry!$R$1606)</f>
        <v/>
      </c>
    </row>
    <row r="1604">
      <c r="J1604">
        <f>IF([2]Entry!$C$1607="","",[2]Entry!$C$1607)</f>
        <v/>
      </c>
      <c r="K1604">
        <f>IF([2]Entry!$D$1607="","",[2]Entry!$D$1607)</f>
        <v/>
      </c>
      <c r="L1604">
        <f>IF([2]Entry!$E$1607="","",[2]Entry!$E$1607)</f>
        <v/>
      </c>
      <c r="M1604">
        <f>IF([2]Entry!$G$1607="","",[2]Entry!$G$1607)</f>
        <v/>
      </c>
      <c r="N1604">
        <f>IF([2]Entry!$M$1607="","",[2]Entry!$M$1607)</f>
        <v/>
      </c>
      <c r="O1604">
        <f>IF([2]Entry!$N$1607="","",[2]Entry!$N$1607)</f>
        <v/>
      </c>
      <c r="P1604">
        <f>IF([2]Entry!$R$1607="","",[2]Entry!$R$1607)</f>
        <v/>
      </c>
    </row>
    <row r="1605">
      <c r="J1605">
        <f>IF([2]Entry!$C$1608="","",[2]Entry!$C$1608)</f>
        <v/>
      </c>
      <c r="K1605">
        <f>IF([2]Entry!$D$1608="","",[2]Entry!$D$1608)</f>
        <v/>
      </c>
      <c r="L1605">
        <f>IF([2]Entry!$E$1608="","",[2]Entry!$E$1608)</f>
        <v/>
      </c>
      <c r="M1605">
        <f>IF([2]Entry!$G$1608="","",[2]Entry!$G$1608)</f>
        <v/>
      </c>
      <c r="N1605">
        <f>IF([2]Entry!$M$1608="","",[2]Entry!$M$1608)</f>
        <v/>
      </c>
      <c r="O1605">
        <f>IF([2]Entry!$N$1608="","",[2]Entry!$N$1608)</f>
        <v/>
      </c>
      <c r="P1605">
        <f>IF([2]Entry!$R$1608="","",[2]Entry!$R$1608)</f>
        <v/>
      </c>
    </row>
    <row r="1606">
      <c r="J1606">
        <f>IF([2]Entry!$C$1609="","",[2]Entry!$C$1609)</f>
        <v/>
      </c>
      <c r="K1606">
        <f>IF([2]Entry!$D$1609="","",[2]Entry!$D$1609)</f>
        <v/>
      </c>
      <c r="L1606">
        <f>IF([2]Entry!$E$1609="","",[2]Entry!$E$1609)</f>
        <v/>
      </c>
      <c r="M1606">
        <f>IF([2]Entry!$G$1609="","",[2]Entry!$G$1609)</f>
        <v/>
      </c>
      <c r="N1606">
        <f>IF([2]Entry!$M$1609="","",[2]Entry!$M$1609)</f>
        <v/>
      </c>
      <c r="O1606">
        <f>IF([2]Entry!$N$1609="","",[2]Entry!$N$1609)</f>
        <v/>
      </c>
      <c r="P1606">
        <f>IF([2]Entry!$R$1609="","",[2]Entry!$R$1609)</f>
        <v/>
      </c>
    </row>
    <row r="1607">
      <c r="J1607">
        <f>IF([2]Entry!$C$1610="","",[2]Entry!$C$1610)</f>
        <v/>
      </c>
      <c r="K1607">
        <f>IF([2]Entry!$D$1610="","",[2]Entry!$D$1610)</f>
        <v/>
      </c>
      <c r="L1607">
        <f>IF([2]Entry!$E$1610="","",[2]Entry!$E$1610)</f>
        <v/>
      </c>
      <c r="M1607">
        <f>IF([2]Entry!$G$1610="","",[2]Entry!$G$1610)</f>
        <v/>
      </c>
      <c r="N1607">
        <f>IF([2]Entry!$M$1610="","",[2]Entry!$M$1610)</f>
        <v/>
      </c>
      <c r="O1607">
        <f>IF([2]Entry!$N$1610="","",[2]Entry!$N$1610)</f>
        <v/>
      </c>
      <c r="P1607">
        <f>IF([2]Entry!$R$1610="","",[2]Entry!$R$1610)</f>
        <v/>
      </c>
    </row>
    <row r="1608">
      <c r="J1608">
        <f>IF([2]Entry!$C$1611="","",[2]Entry!$C$1611)</f>
        <v/>
      </c>
      <c r="K1608">
        <f>IF([2]Entry!$D$1611="","",[2]Entry!$D$1611)</f>
        <v/>
      </c>
      <c r="L1608">
        <f>IF([2]Entry!$E$1611="","",[2]Entry!$E$1611)</f>
        <v/>
      </c>
      <c r="M1608">
        <f>IF([2]Entry!$G$1611="","",[2]Entry!$G$1611)</f>
        <v/>
      </c>
      <c r="N1608">
        <f>IF([2]Entry!$M$1611="","",[2]Entry!$M$1611)</f>
        <v/>
      </c>
      <c r="O1608">
        <f>IF([2]Entry!$N$1611="","",[2]Entry!$N$1611)</f>
        <v/>
      </c>
      <c r="P1608">
        <f>IF([2]Entry!$R$1611="","",[2]Entry!$R$1611)</f>
        <v/>
      </c>
    </row>
    <row r="1609">
      <c r="J1609">
        <f>IF([2]Entry!$C$1612="","",[2]Entry!$C$1612)</f>
        <v/>
      </c>
      <c r="K1609">
        <f>IF([2]Entry!$D$1612="","",[2]Entry!$D$1612)</f>
        <v/>
      </c>
      <c r="L1609">
        <f>IF([2]Entry!$E$1612="","",[2]Entry!$E$1612)</f>
        <v/>
      </c>
      <c r="M1609">
        <f>IF([2]Entry!$G$1612="","",[2]Entry!$G$1612)</f>
        <v/>
      </c>
      <c r="N1609">
        <f>IF([2]Entry!$M$1612="","",[2]Entry!$M$1612)</f>
        <v/>
      </c>
      <c r="O1609">
        <f>IF([2]Entry!$N$1612="","",[2]Entry!$N$1612)</f>
        <v/>
      </c>
      <c r="P1609">
        <f>IF([2]Entry!$R$1612="","",[2]Entry!$R$1612)</f>
        <v/>
      </c>
    </row>
    <row r="1610">
      <c r="J1610">
        <f>IF([2]Entry!$C$1613="","",[2]Entry!$C$1613)</f>
        <v/>
      </c>
      <c r="K1610">
        <f>IF([2]Entry!$D$1613="","",[2]Entry!$D$1613)</f>
        <v/>
      </c>
      <c r="L1610">
        <f>IF([2]Entry!$E$1613="","",[2]Entry!$E$1613)</f>
        <v/>
      </c>
      <c r="M1610">
        <f>IF([2]Entry!$G$1613="","",[2]Entry!$G$1613)</f>
        <v/>
      </c>
      <c r="N1610">
        <f>IF([2]Entry!$M$1613="","",[2]Entry!$M$1613)</f>
        <v/>
      </c>
      <c r="O1610">
        <f>IF([2]Entry!$N$1613="","",[2]Entry!$N$1613)</f>
        <v/>
      </c>
      <c r="P1610">
        <f>IF([2]Entry!$R$1613="","",[2]Entry!$R$1613)</f>
        <v/>
      </c>
    </row>
    <row r="1611">
      <c r="J1611">
        <f>IF([2]Entry!$C$1614="","",[2]Entry!$C$1614)</f>
        <v/>
      </c>
      <c r="K1611">
        <f>IF([2]Entry!$D$1614="","",[2]Entry!$D$1614)</f>
        <v/>
      </c>
      <c r="L1611">
        <f>IF([2]Entry!$E$1614="","",[2]Entry!$E$1614)</f>
        <v/>
      </c>
      <c r="M1611">
        <f>IF([2]Entry!$G$1614="","",[2]Entry!$G$1614)</f>
        <v/>
      </c>
      <c r="N1611">
        <f>IF([2]Entry!$M$1614="","",[2]Entry!$M$1614)</f>
        <v/>
      </c>
      <c r="O1611">
        <f>IF([2]Entry!$N$1614="","",[2]Entry!$N$1614)</f>
        <v/>
      </c>
      <c r="P1611">
        <f>IF([2]Entry!$R$1614="","",[2]Entry!$R$1614)</f>
        <v/>
      </c>
    </row>
    <row r="1612">
      <c r="J1612">
        <f>IF([2]Entry!$C$1615="","",[2]Entry!$C$1615)</f>
        <v/>
      </c>
      <c r="K1612">
        <f>IF([2]Entry!$D$1615="","",[2]Entry!$D$1615)</f>
        <v/>
      </c>
      <c r="L1612">
        <f>IF([2]Entry!$E$1615="","",[2]Entry!$E$1615)</f>
        <v/>
      </c>
      <c r="M1612">
        <f>IF([2]Entry!$G$1615="","",[2]Entry!$G$1615)</f>
        <v/>
      </c>
      <c r="N1612">
        <f>IF([2]Entry!$M$1615="","",[2]Entry!$M$1615)</f>
        <v/>
      </c>
      <c r="O1612">
        <f>IF([2]Entry!$N$1615="","",[2]Entry!$N$1615)</f>
        <v/>
      </c>
      <c r="P1612">
        <f>IF([2]Entry!$R$1615="","",[2]Entry!$R$1615)</f>
        <v/>
      </c>
    </row>
    <row r="1613">
      <c r="J1613">
        <f>IF([2]Entry!$C$1616="","",[2]Entry!$C$1616)</f>
        <v/>
      </c>
      <c r="K1613">
        <f>IF([2]Entry!$D$1616="","",[2]Entry!$D$1616)</f>
        <v/>
      </c>
      <c r="L1613">
        <f>IF([2]Entry!$E$1616="","",[2]Entry!$E$1616)</f>
        <v/>
      </c>
      <c r="M1613">
        <f>IF([2]Entry!$G$1616="","",[2]Entry!$G$1616)</f>
        <v/>
      </c>
      <c r="N1613">
        <f>IF([2]Entry!$M$1616="","",[2]Entry!$M$1616)</f>
        <v/>
      </c>
      <c r="O1613">
        <f>IF([2]Entry!$N$1616="","",[2]Entry!$N$1616)</f>
        <v/>
      </c>
      <c r="P1613">
        <f>IF([2]Entry!$R$1616="","",[2]Entry!$R$1616)</f>
        <v/>
      </c>
    </row>
    <row r="1614">
      <c r="J1614">
        <f>IF([2]Entry!$C$1617="","",[2]Entry!$C$1617)</f>
        <v/>
      </c>
      <c r="K1614">
        <f>IF([2]Entry!$D$1617="","",[2]Entry!$D$1617)</f>
        <v/>
      </c>
      <c r="L1614">
        <f>IF([2]Entry!$E$1617="","",[2]Entry!$E$1617)</f>
        <v/>
      </c>
      <c r="M1614">
        <f>IF([2]Entry!$G$1617="","",[2]Entry!$G$1617)</f>
        <v/>
      </c>
      <c r="N1614">
        <f>IF([2]Entry!$M$1617="","",[2]Entry!$M$1617)</f>
        <v/>
      </c>
      <c r="O1614">
        <f>IF([2]Entry!$N$1617="","",[2]Entry!$N$1617)</f>
        <v/>
      </c>
      <c r="P1614">
        <f>IF([2]Entry!$R$1617="","",[2]Entry!$R$1617)</f>
        <v/>
      </c>
    </row>
    <row r="1615">
      <c r="J1615">
        <f>IF([2]Entry!$C$1618="","",[2]Entry!$C$1618)</f>
        <v/>
      </c>
      <c r="K1615">
        <f>IF([2]Entry!$D$1618="","",[2]Entry!$D$1618)</f>
        <v/>
      </c>
      <c r="L1615">
        <f>IF([2]Entry!$E$1618="","",[2]Entry!$E$1618)</f>
        <v/>
      </c>
      <c r="M1615">
        <f>IF([2]Entry!$G$1618="","",[2]Entry!$G$1618)</f>
        <v/>
      </c>
      <c r="N1615">
        <f>IF([2]Entry!$M$1618="","",[2]Entry!$M$1618)</f>
        <v/>
      </c>
      <c r="O1615">
        <f>IF([2]Entry!$N$1618="","",[2]Entry!$N$1618)</f>
        <v/>
      </c>
      <c r="P1615">
        <f>IF([2]Entry!$R$1618="","",[2]Entry!$R$1618)</f>
        <v/>
      </c>
    </row>
    <row r="1616">
      <c r="J1616">
        <f>IF([2]Entry!$C$1619="","",[2]Entry!$C$1619)</f>
        <v/>
      </c>
      <c r="K1616">
        <f>IF([2]Entry!$D$1619="","",[2]Entry!$D$1619)</f>
        <v/>
      </c>
      <c r="L1616">
        <f>IF([2]Entry!$E$1619="","",[2]Entry!$E$1619)</f>
        <v/>
      </c>
      <c r="M1616">
        <f>IF([2]Entry!$G$1619="","",[2]Entry!$G$1619)</f>
        <v/>
      </c>
      <c r="N1616">
        <f>IF([2]Entry!$M$1619="","",[2]Entry!$M$1619)</f>
        <v/>
      </c>
      <c r="O1616">
        <f>IF([2]Entry!$N$1619="","",[2]Entry!$N$1619)</f>
        <v/>
      </c>
      <c r="P1616">
        <f>IF([2]Entry!$R$1619="","",[2]Entry!$R$1619)</f>
        <v/>
      </c>
    </row>
    <row r="1617">
      <c r="J1617">
        <f>IF([2]Entry!$C$1620="","",[2]Entry!$C$1620)</f>
        <v/>
      </c>
      <c r="K1617">
        <f>IF([2]Entry!$D$1620="","",[2]Entry!$D$1620)</f>
        <v/>
      </c>
      <c r="L1617">
        <f>IF([2]Entry!$E$1620="","",[2]Entry!$E$1620)</f>
        <v/>
      </c>
      <c r="M1617">
        <f>IF([2]Entry!$G$1620="","",[2]Entry!$G$1620)</f>
        <v/>
      </c>
      <c r="N1617">
        <f>IF([2]Entry!$M$1620="","",[2]Entry!$M$1620)</f>
        <v/>
      </c>
      <c r="O1617">
        <f>IF([2]Entry!$N$1620="","",[2]Entry!$N$1620)</f>
        <v/>
      </c>
      <c r="P1617">
        <f>IF([2]Entry!$R$1620="","",[2]Entry!$R$1620)</f>
        <v/>
      </c>
    </row>
    <row r="1618">
      <c r="J1618">
        <f>IF([2]Entry!$C$1621="","",[2]Entry!$C$1621)</f>
        <v/>
      </c>
      <c r="K1618">
        <f>IF([2]Entry!$D$1621="","",[2]Entry!$D$1621)</f>
        <v/>
      </c>
      <c r="L1618">
        <f>IF([2]Entry!$E$1621="","",[2]Entry!$E$1621)</f>
        <v/>
      </c>
      <c r="M1618">
        <f>IF([2]Entry!$G$1621="","",[2]Entry!$G$1621)</f>
        <v/>
      </c>
      <c r="N1618">
        <f>IF([2]Entry!$M$1621="","",[2]Entry!$M$1621)</f>
        <v/>
      </c>
      <c r="O1618">
        <f>IF([2]Entry!$N$1621="","",[2]Entry!$N$1621)</f>
        <v/>
      </c>
      <c r="P1618">
        <f>IF([2]Entry!$R$1621="","",[2]Entry!$R$1621)</f>
        <v/>
      </c>
    </row>
    <row r="1619">
      <c r="J1619">
        <f>IF([2]Entry!$C$1622="","",[2]Entry!$C$1622)</f>
        <v/>
      </c>
      <c r="K1619">
        <f>IF([2]Entry!$D$1622="","",[2]Entry!$D$1622)</f>
        <v/>
      </c>
      <c r="L1619">
        <f>IF([2]Entry!$E$1622="","",[2]Entry!$E$1622)</f>
        <v/>
      </c>
      <c r="M1619">
        <f>IF([2]Entry!$G$1622="","",[2]Entry!$G$1622)</f>
        <v/>
      </c>
      <c r="N1619">
        <f>IF([2]Entry!$M$1622="","",[2]Entry!$M$1622)</f>
        <v/>
      </c>
      <c r="O1619">
        <f>IF([2]Entry!$N$1622="","",[2]Entry!$N$1622)</f>
        <v/>
      </c>
      <c r="P1619">
        <f>IF([2]Entry!$R$1622="","",[2]Entry!$R$1622)</f>
        <v/>
      </c>
    </row>
    <row r="1620">
      <c r="J1620">
        <f>IF([2]Entry!$C$1623="","",[2]Entry!$C$1623)</f>
        <v/>
      </c>
      <c r="K1620">
        <f>IF([2]Entry!$D$1623="","",[2]Entry!$D$1623)</f>
        <v/>
      </c>
      <c r="L1620">
        <f>IF([2]Entry!$E$1623="","",[2]Entry!$E$1623)</f>
        <v/>
      </c>
      <c r="M1620">
        <f>IF([2]Entry!$G$1623="","",[2]Entry!$G$1623)</f>
        <v/>
      </c>
      <c r="N1620">
        <f>IF([2]Entry!$M$1623="","",[2]Entry!$M$1623)</f>
        <v/>
      </c>
      <c r="O1620">
        <f>IF([2]Entry!$N$1623="","",[2]Entry!$N$1623)</f>
        <v/>
      </c>
      <c r="P1620">
        <f>IF([2]Entry!$R$1623="","",[2]Entry!$R$1623)</f>
        <v/>
      </c>
    </row>
    <row r="1621">
      <c r="J1621">
        <f>IF([2]Entry!$C$1624="","",[2]Entry!$C$1624)</f>
        <v/>
      </c>
      <c r="K1621">
        <f>IF([2]Entry!$D$1624="","",[2]Entry!$D$1624)</f>
        <v/>
      </c>
      <c r="L1621">
        <f>IF([2]Entry!$E$1624="","",[2]Entry!$E$1624)</f>
        <v/>
      </c>
      <c r="M1621">
        <f>IF([2]Entry!$G$1624="","",[2]Entry!$G$1624)</f>
        <v/>
      </c>
      <c r="N1621">
        <f>IF([2]Entry!$M$1624="","",[2]Entry!$M$1624)</f>
        <v/>
      </c>
      <c r="O1621">
        <f>IF([2]Entry!$N$1624="","",[2]Entry!$N$1624)</f>
        <v/>
      </c>
      <c r="P1621">
        <f>IF([2]Entry!$R$1624="","",[2]Entry!$R$1624)</f>
        <v/>
      </c>
    </row>
    <row r="1622">
      <c r="J1622">
        <f>IF([2]Entry!$C$1625="","",[2]Entry!$C$1625)</f>
        <v/>
      </c>
      <c r="K1622">
        <f>IF([2]Entry!$D$1625="","",[2]Entry!$D$1625)</f>
        <v/>
      </c>
      <c r="L1622">
        <f>IF([2]Entry!$E$1625="","",[2]Entry!$E$1625)</f>
        <v/>
      </c>
      <c r="M1622">
        <f>IF([2]Entry!$G$1625="","",[2]Entry!$G$1625)</f>
        <v/>
      </c>
      <c r="N1622">
        <f>IF([2]Entry!$M$1625="","",[2]Entry!$M$1625)</f>
        <v/>
      </c>
      <c r="O1622">
        <f>IF([2]Entry!$N$1625="","",[2]Entry!$N$1625)</f>
        <v/>
      </c>
      <c r="P1622">
        <f>IF([2]Entry!$R$1625="","",[2]Entry!$R$1625)</f>
        <v/>
      </c>
    </row>
    <row r="1623">
      <c r="J1623">
        <f>IF([2]Entry!$C$1626="","",[2]Entry!$C$1626)</f>
        <v/>
      </c>
      <c r="K1623">
        <f>IF([2]Entry!$D$1626="","",[2]Entry!$D$1626)</f>
        <v/>
      </c>
      <c r="L1623">
        <f>IF([2]Entry!$E$1626="","",[2]Entry!$E$1626)</f>
        <v/>
      </c>
      <c r="M1623">
        <f>IF([2]Entry!$G$1626="","",[2]Entry!$G$1626)</f>
        <v/>
      </c>
      <c r="N1623">
        <f>IF([2]Entry!$M$1626="","",[2]Entry!$M$1626)</f>
        <v/>
      </c>
      <c r="O1623">
        <f>IF([2]Entry!$N$1626="","",[2]Entry!$N$1626)</f>
        <v/>
      </c>
      <c r="P1623">
        <f>IF([2]Entry!$R$1626="","",[2]Entry!$R$1626)</f>
        <v/>
      </c>
    </row>
    <row r="1624">
      <c r="J1624">
        <f>IF([2]Entry!$C$1627="","",[2]Entry!$C$1627)</f>
        <v/>
      </c>
      <c r="K1624">
        <f>IF([2]Entry!$D$1627="","",[2]Entry!$D$1627)</f>
        <v/>
      </c>
      <c r="L1624">
        <f>IF([2]Entry!$E$1627="","",[2]Entry!$E$1627)</f>
        <v/>
      </c>
      <c r="M1624">
        <f>IF([2]Entry!$G$1627="","",[2]Entry!$G$1627)</f>
        <v/>
      </c>
      <c r="N1624">
        <f>IF([2]Entry!$M$1627="","",[2]Entry!$M$1627)</f>
        <v/>
      </c>
      <c r="O1624">
        <f>IF([2]Entry!$N$1627="","",[2]Entry!$N$1627)</f>
        <v/>
      </c>
      <c r="P1624">
        <f>IF([2]Entry!$R$1627="","",[2]Entry!$R$1627)</f>
        <v/>
      </c>
    </row>
    <row r="1625">
      <c r="J1625">
        <f>IF([2]Entry!$C$1628="","",[2]Entry!$C$1628)</f>
        <v/>
      </c>
      <c r="K1625">
        <f>IF([2]Entry!$D$1628="","",[2]Entry!$D$1628)</f>
        <v/>
      </c>
      <c r="L1625">
        <f>IF([2]Entry!$E$1628="","",[2]Entry!$E$1628)</f>
        <v/>
      </c>
      <c r="M1625">
        <f>IF([2]Entry!$G$1628="","",[2]Entry!$G$1628)</f>
        <v/>
      </c>
      <c r="N1625">
        <f>IF([2]Entry!$M$1628="","",[2]Entry!$M$1628)</f>
        <v/>
      </c>
      <c r="O1625">
        <f>IF([2]Entry!$N$1628="","",[2]Entry!$N$1628)</f>
        <v/>
      </c>
      <c r="P1625">
        <f>IF([2]Entry!$R$1628="","",[2]Entry!$R$1628)</f>
        <v/>
      </c>
    </row>
    <row r="1626">
      <c r="J1626">
        <f>IF([2]Entry!$C$1629="","",[2]Entry!$C$1629)</f>
        <v/>
      </c>
      <c r="K1626">
        <f>IF([2]Entry!$D$1629="","",[2]Entry!$D$1629)</f>
        <v/>
      </c>
      <c r="L1626">
        <f>IF([2]Entry!$E$1629="","",[2]Entry!$E$1629)</f>
        <v/>
      </c>
      <c r="M1626">
        <f>IF([2]Entry!$G$1629="","",[2]Entry!$G$1629)</f>
        <v/>
      </c>
      <c r="N1626">
        <f>IF([2]Entry!$M$1629="","",[2]Entry!$M$1629)</f>
        <v/>
      </c>
      <c r="O1626">
        <f>IF([2]Entry!$N$1629="","",[2]Entry!$N$1629)</f>
        <v/>
      </c>
      <c r="P1626">
        <f>IF([2]Entry!$R$1629="","",[2]Entry!$R$1629)</f>
        <v/>
      </c>
    </row>
    <row r="1627">
      <c r="J1627">
        <f>IF([2]Entry!$C$1630="","",[2]Entry!$C$1630)</f>
        <v/>
      </c>
      <c r="K1627">
        <f>IF([2]Entry!$D$1630="","",[2]Entry!$D$1630)</f>
        <v/>
      </c>
      <c r="L1627">
        <f>IF([2]Entry!$E$1630="","",[2]Entry!$E$1630)</f>
        <v/>
      </c>
      <c r="M1627">
        <f>IF([2]Entry!$G$1630="","",[2]Entry!$G$1630)</f>
        <v/>
      </c>
      <c r="N1627">
        <f>IF([2]Entry!$M$1630="","",[2]Entry!$M$1630)</f>
        <v/>
      </c>
      <c r="O1627">
        <f>IF([2]Entry!$N$1630="","",[2]Entry!$N$1630)</f>
        <v/>
      </c>
      <c r="P1627">
        <f>IF([2]Entry!$R$1630="","",[2]Entry!$R$1630)</f>
        <v/>
      </c>
    </row>
    <row r="1628">
      <c r="J1628">
        <f>IF([2]Entry!$C$1631="","",[2]Entry!$C$1631)</f>
        <v/>
      </c>
      <c r="K1628">
        <f>IF([2]Entry!$D$1631="","",[2]Entry!$D$1631)</f>
        <v/>
      </c>
      <c r="L1628">
        <f>IF([2]Entry!$E$1631="","",[2]Entry!$E$1631)</f>
        <v/>
      </c>
      <c r="M1628">
        <f>IF([2]Entry!$G$1631="","",[2]Entry!$G$1631)</f>
        <v/>
      </c>
      <c r="N1628">
        <f>IF([2]Entry!$M$1631="","",[2]Entry!$M$1631)</f>
        <v/>
      </c>
      <c r="O1628">
        <f>IF([2]Entry!$N$1631="","",[2]Entry!$N$1631)</f>
        <v/>
      </c>
      <c r="P1628">
        <f>IF([2]Entry!$R$1631="","",[2]Entry!$R$1631)</f>
        <v/>
      </c>
    </row>
    <row r="1629">
      <c r="J1629">
        <f>IF([2]Entry!$C$1632="","",[2]Entry!$C$1632)</f>
        <v/>
      </c>
      <c r="K1629">
        <f>IF([2]Entry!$D$1632="","",[2]Entry!$D$1632)</f>
        <v/>
      </c>
      <c r="L1629">
        <f>IF([2]Entry!$E$1632="","",[2]Entry!$E$1632)</f>
        <v/>
      </c>
      <c r="M1629">
        <f>IF([2]Entry!$G$1632="","",[2]Entry!$G$1632)</f>
        <v/>
      </c>
      <c r="N1629">
        <f>IF([2]Entry!$M$1632="","",[2]Entry!$M$1632)</f>
        <v/>
      </c>
      <c r="O1629">
        <f>IF([2]Entry!$N$1632="","",[2]Entry!$N$1632)</f>
        <v/>
      </c>
      <c r="P1629">
        <f>IF([2]Entry!$R$1632="","",[2]Entry!$R$1632)</f>
        <v/>
      </c>
    </row>
    <row r="1630">
      <c r="J1630">
        <f>IF([2]Entry!$C$1633="","",[2]Entry!$C$1633)</f>
        <v/>
      </c>
      <c r="K1630">
        <f>IF([2]Entry!$D$1633="","",[2]Entry!$D$1633)</f>
        <v/>
      </c>
      <c r="L1630">
        <f>IF([2]Entry!$E$1633="","",[2]Entry!$E$1633)</f>
        <v/>
      </c>
      <c r="M1630">
        <f>IF([2]Entry!$G$1633="","",[2]Entry!$G$1633)</f>
        <v/>
      </c>
      <c r="N1630">
        <f>IF([2]Entry!$M$1633="","",[2]Entry!$M$1633)</f>
        <v/>
      </c>
      <c r="O1630">
        <f>IF([2]Entry!$N$1633="","",[2]Entry!$N$1633)</f>
        <v/>
      </c>
      <c r="P1630">
        <f>IF([2]Entry!$R$1633="","",[2]Entry!$R$1633)</f>
        <v/>
      </c>
    </row>
    <row r="1631">
      <c r="J1631">
        <f>IF([2]Entry!$C$1634="","",[2]Entry!$C$1634)</f>
        <v/>
      </c>
      <c r="K1631">
        <f>IF([2]Entry!$D$1634="","",[2]Entry!$D$1634)</f>
        <v/>
      </c>
      <c r="L1631">
        <f>IF([2]Entry!$E$1634="","",[2]Entry!$E$1634)</f>
        <v/>
      </c>
      <c r="M1631">
        <f>IF([2]Entry!$G$1634="","",[2]Entry!$G$1634)</f>
        <v/>
      </c>
      <c r="N1631">
        <f>IF([2]Entry!$M$1634="","",[2]Entry!$M$1634)</f>
        <v/>
      </c>
      <c r="O1631">
        <f>IF([2]Entry!$N$1634="","",[2]Entry!$N$1634)</f>
        <v/>
      </c>
      <c r="P1631">
        <f>IF([2]Entry!$R$1634="","",[2]Entry!$R$1634)</f>
        <v/>
      </c>
    </row>
    <row r="1632">
      <c r="J1632">
        <f>IF([2]Entry!$C$1635="","",[2]Entry!$C$1635)</f>
        <v/>
      </c>
      <c r="K1632">
        <f>IF([2]Entry!$D$1635="","",[2]Entry!$D$1635)</f>
        <v/>
      </c>
      <c r="L1632">
        <f>IF([2]Entry!$E$1635="","",[2]Entry!$E$1635)</f>
        <v/>
      </c>
      <c r="M1632">
        <f>IF([2]Entry!$G$1635="","",[2]Entry!$G$1635)</f>
        <v/>
      </c>
      <c r="N1632">
        <f>IF([2]Entry!$M$1635="","",[2]Entry!$M$1635)</f>
        <v/>
      </c>
      <c r="O1632">
        <f>IF([2]Entry!$N$1635="","",[2]Entry!$N$1635)</f>
        <v/>
      </c>
      <c r="P1632">
        <f>IF([2]Entry!$R$1635="","",[2]Entry!$R$1635)</f>
        <v/>
      </c>
    </row>
    <row r="1633">
      <c r="J1633">
        <f>IF([2]Entry!$C$1636="","",[2]Entry!$C$1636)</f>
        <v/>
      </c>
      <c r="K1633">
        <f>IF([2]Entry!$D$1636="","",[2]Entry!$D$1636)</f>
        <v/>
      </c>
      <c r="L1633">
        <f>IF([2]Entry!$E$1636="","",[2]Entry!$E$1636)</f>
        <v/>
      </c>
      <c r="M1633">
        <f>IF([2]Entry!$G$1636="","",[2]Entry!$G$1636)</f>
        <v/>
      </c>
      <c r="N1633">
        <f>IF([2]Entry!$M$1636="","",[2]Entry!$M$1636)</f>
        <v/>
      </c>
      <c r="O1633">
        <f>IF([2]Entry!$N$1636="","",[2]Entry!$N$1636)</f>
        <v/>
      </c>
      <c r="P1633">
        <f>IF([2]Entry!$R$1636="","",[2]Entry!$R$1636)</f>
        <v/>
      </c>
    </row>
    <row r="1634">
      <c r="J1634">
        <f>IF([2]Entry!$C$1637="","",[2]Entry!$C$1637)</f>
        <v/>
      </c>
      <c r="K1634">
        <f>IF([2]Entry!$D$1637="","",[2]Entry!$D$1637)</f>
        <v/>
      </c>
      <c r="L1634">
        <f>IF([2]Entry!$E$1637="","",[2]Entry!$E$1637)</f>
        <v/>
      </c>
      <c r="M1634">
        <f>IF([2]Entry!$G$1637="","",[2]Entry!$G$1637)</f>
        <v/>
      </c>
      <c r="N1634">
        <f>IF([2]Entry!$M$1637="","",[2]Entry!$M$1637)</f>
        <v/>
      </c>
      <c r="O1634">
        <f>IF([2]Entry!$N$1637="","",[2]Entry!$N$1637)</f>
        <v/>
      </c>
      <c r="P1634">
        <f>IF([2]Entry!$R$1637="","",[2]Entry!$R$1637)</f>
        <v/>
      </c>
    </row>
    <row r="1635">
      <c r="J1635">
        <f>IF([2]Entry!$C$1638="","",[2]Entry!$C$1638)</f>
        <v/>
      </c>
      <c r="K1635">
        <f>IF([2]Entry!$D$1638="","",[2]Entry!$D$1638)</f>
        <v/>
      </c>
      <c r="L1635">
        <f>IF([2]Entry!$E$1638="","",[2]Entry!$E$1638)</f>
        <v/>
      </c>
      <c r="M1635">
        <f>IF([2]Entry!$G$1638="","",[2]Entry!$G$1638)</f>
        <v/>
      </c>
      <c r="N1635">
        <f>IF([2]Entry!$M$1638="","",[2]Entry!$M$1638)</f>
        <v/>
      </c>
      <c r="O1635">
        <f>IF([2]Entry!$N$1638="","",[2]Entry!$N$1638)</f>
        <v/>
      </c>
      <c r="P1635">
        <f>IF([2]Entry!$R$1638="","",[2]Entry!$R$1638)</f>
        <v/>
      </c>
    </row>
    <row r="1636">
      <c r="J1636">
        <f>IF([2]Entry!$C$1639="","",[2]Entry!$C$1639)</f>
        <v/>
      </c>
      <c r="K1636">
        <f>IF([2]Entry!$D$1639="","",[2]Entry!$D$1639)</f>
        <v/>
      </c>
      <c r="L1636">
        <f>IF([2]Entry!$E$1639="","",[2]Entry!$E$1639)</f>
        <v/>
      </c>
      <c r="M1636">
        <f>IF([2]Entry!$G$1639="","",[2]Entry!$G$1639)</f>
        <v/>
      </c>
      <c r="N1636">
        <f>IF([2]Entry!$M$1639="","",[2]Entry!$M$1639)</f>
        <v/>
      </c>
      <c r="O1636">
        <f>IF([2]Entry!$N$1639="","",[2]Entry!$N$1639)</f>
        <v/>
      </c>
      <c r="P1636">
        <f>IF([2]Entry!$R$1639="","",[2]Entry!$R$1639)</f>
        <v/>
      </c>
    </row>
    <row r="1637">
      <c r="J1637">
        <f>IF([2]Entry!$C$1640="","",[2]Entry!$C$1640)</f>
        <v/>
      </c>
      <c r="K1637">
        <f>IF([2]Entry!$D$1640="","",[2]Entry!$D$1640)</f>
        <v/>
      </c>
      <c r="L1637">
        <f>IF([2]Entry!$E$1640="","",[2]Entry!$E$1640)</f>
        <v/>
      </c>
      <c r="M1637">
        <f>IF([2]Entry!$G$1640="","",[2]Entry!$G$1640)</f>
        <v/>
      </c>
      <c r="N1637">
        <f>IF([2]Entry!$M$1640="","",[2]Entry!$M$1640)</f>
        <v/>
      </c>
      <c r="O1637">
        <f>IF([2]Entry!$N$1640="","",[2]Entry!$N$1640)</f>
        <v/>
      </c>
      <c r="P1637">
        <f>IF([2]Entry!$R$1640="","",[2]Entry!$R$1640)</f>
        <v/>
      </c>
    </row>
    <row r="1638">
      <c r="J1638">
        <f>IF([2]Entry!$C$1641="","",[2]Entry!$C$1641)</f>
        <v/>
      </c>
      <c r="K1638">
        <f>IF([2]Entry!$D$1641="","",[2]Entry!$D$1641)</f>
        <v/>
      </c>
      <c r="L1638">
        <f>IF([2]Entry!$E$1641="","",[2]Entry!$E$1641)</f>
        <v/>
      </c>
      <c r="M1638">
        <f>IF([2]Entry!$G$1641="","",[2]Entry!$G$1641)</f>
        <v/>
      </c>
      <c r="N1638">
        <f>IF([2]Entry!$M$1641="","",[2]Entry!$M$1641)</f>
        <v/>
      </c>
      <c r="O1638">
        <f>IF([2]Entry!$N$1641="","",[2]Entry!$N$1641)</f>
        <v/>
      </c>
      <c r="P1638">
        <f>IF([2]Entry!$R$1641="","",[2]Entry!$R$1641)</f>
        <v/>
      </c>
    </row>
    <row r="1639">
      <c r="J1639">
        <f>IF([2]Entry!$C$1642="","",[2]Entry!$C$1642)</f>
        <v/>
      </c>
      <c r="K1639">
        <f>IF([2]Entry!$D$1642="","",[2]Entry!$D$1642)</f>
        <v/>
      </c>
      <c r="L1639">
        <f>IF([2]Entry!$E$1642="","",[2]Entry!$E$1642)</f>
        <v/>
      </c>
      <c r="M1639">
        <f>IF([2]Entry!$G$1642="","",[2]Entry!$G$1642)</f>
        <v/>
      </c>
      <c r="N1639">
        <f>IF([2]Entry!$M$1642="","",[2]Entry!$M$1642)</f>
        <v/>
      </c>
      <c r="O1639">
        <f>IF([2]Entry!$N$1642="","",[2]Entry!$N$1642)</f>
        <v/>
      </c>
      <c r="P1639">
        <f>IF([2]Entry!$R$1642="","",[2]Entry!$R$1642)</f>
        <v/>
      </c>
    </row>
    <row r="1640">
      <c r="J1640">
        <f>IF([2]Entry!$C$1643="","",[2]Entry!$C$1643)</f>
        <v/>
      </c>
      <c r="K1640">
        <f>IF([2]Entry!$D$1643="","",[2]Entry!$D$1643)</f>
        <v/>
      </c>
      <c r="L1640">
        <f>IF([2]Entry!$E$1643="","",[2]Entry!$E$1643)</f>
        <v/>
      </c>
      <c r="M1640">
        <f>IF([2]Entry!$G$1643="","",[2]Entry!$G$1643)</f>
        <v/>
      </c>
      <c r="N1640">
        <f>IF([2]Entry!$M$1643="","",[2]Entry!$M$1643)</f>
        <v/>
      </c>
      <c r="O1640">
        <f>IF([2]Entry!$N$1643="","",[2]Entry!$N$1643)</f>
        <v/>
      </c>
      <c r="P1640">
        <f>IF([2]Entry!$R$1643="","",[2]Entry!$R$1643)</f>
        <v/>
      </c>
    </row>
    <row r="1641">
      <c r="J1641">
        <f>IF([2]Entry!$C$1644="","",[2]Entry!$C$1644)</f>
        <v/>
      </c>
      <c r="K1641">
        <f>IF([2]Entry!$D$1644="","",[2]Entry!$D$1644)</f>
        <v/>
      </c>
      <c r="L1641">
        <f>IF([2]Entry!$E$1644="","",[2]Entry!$E$1644)</f>
        <v/>
      </c>
      <c r="M1641">
        <f>IF([2]Entry!$G$1644="","",[2]Entry!$G$1644)</f>
        <v/>
      </c>
      <c r="N1641">
        <f>IF([2]Entry!$M$1644="","",[2]Entry!$M$1644)</f>
        <v/>
      </c>
      <c r="O1641">
        <f>IF([2]Entry!$N$1644="","",[2]Entry!$N$1644)</f>
        <v/>
      </c>
      <c r="P1641">
        <f>IF([2]Entry!$R$1644="","",[2]Entry!$R$1644)</f>
        <v/>
      </c>
    </row>
    <row r="1642">
      <c r="J1642">
        <f>IF([2]Entry!$C$1645="","",[2]Entry!$C$1645)</f>
        <v/>
      </c>
      <c r="K1642">
        <f>IF([2]Entry!$D$1645="","",[2]Entry!$D$1645)</f>
        <v/>
      </c>
      <c r="L1642">
        <f>IF([2]Entry!$E$1645="","",[2]Entry!$E$1645)</f>
        <v/>
      </c>
      <c r="M1642">
        <f>IF([2]Entry!$G$1645="","",[2]Entry!$G$1645)</f>
        <v/>
      </c>
      <c r="N1642">
        <f>IF([2]Entry!$M$1645="","",[2]Entry!$M$1645)</f>
        <v/>
      </c>
      <c r="O1642">
        <f>IF([2]Entry!$N$1645="","",[2]Entry!$N$1645)</f>
        <v/>
      </c>
      <c r="P1642">
        <f>IF([2]Entry!$R$1645="","",[2]Entry!$R$1645)</f>
        <v/>
      </c>
    </row>
    <row r="1643">
      <c r="J1643">
        <f>IF([2]Entry!$C$1646="","",[2]Entry!$C$1646)</f>
        <v/>
      </c>
      <c r="K1643">
        <f>IF([2]Entry!$D$1646="","",[2]Entry!$D$1646)</f>
        <v/>
      </c>
      <c r="L1643">
        <f>IF([2]Entry!$E$1646="","",[2]Entry!$E$1646)</f>
        <v/>
      </c>
      <c r="M1643">
        <f>IF([2]Entry!$G$1646="","",[2]Entry!$G$1646)</f>
        <v/>
      </c>
      <c r="N1643">
        <f>IF([2]Entry!$M$1646="","",[2]Entry!$M$1646)</f>
        <v/>
      </c>
      <c r="O1643">
        <f>IF([2]Entry!$N$1646="","",[2]Entry!$N$1646)</f>
        <v/>
      </c>
      <c r="P1643">
        <f>IF([2]Entry!$R$1646="","",[2]Entry!$R$1646)</f>
        <v/>
      </c>
    </row>
    <row r="1644">
      <c r="J1644">
        <f>IF([2]Entry!$C$1647="","",[2]Entry!$C$1647)</f>
        <v/>
      </c>
      <c r="K1644">
        <f>IF([2]Entry!$D$1647="","",[2]Entry!$D$1647)</f>
        <v/>
      </c>
      <c r="L1644">
        <f>IF([2]Entry!$E$1647="","",[2]Entry!$E$1647)</f>
        <v/>
      </c>
      <c r="M1644">
        <f>IF([2]Entry!$G$1647="","",[2]Entry!$G$1647)</f>
        <v/>
      </c>
      <c r="N1644">
        <f>IF([2]Entry!$M$1647="","",[2]Entry!$M$1647)</f>
        <v/>
      </c>
      <c r="O1644">
        <f>IF([2]Entry!$N$1647="","",[2]Entry!$N$1647)</f>
        <v/>
      </c>
      <c r="P1644">
        <f>IF([2]Entry!$R$1647="","",[2]Entry!$R$1647)</f>
        <v/>
      </c>
    </row>
    <row r="1645">
      <c r="J1645">
        <f>IF([2]Entry!$C$1648="","",[2]Entry!$C$1648)</f>
        <v/>
      </c>
      <c r="K1645">
        <f>IF([2]Entry!$D$1648="","",[2]Entry!$D$1648)</f>
        <v/>
      </c>
      <c r="L1645">
        <f>IF([2]Entry!$E$1648="","",[2]Entry!$E$1648)</f>
        <v/>
      </c>
      <c r="M1645">
        <f>IF([2]Entry!$G$1648="","",[2]Entry!$G$1648)</f>
        <v/>
      </c>
      <c r="N1645">
        <f>IF([2]Entry!$M$1648="","",[2]Entry!$M$1648)</f>
        <v/>
      </c>
      <c r="O1645">
        <f>IF([2]Entry!$N$1648="","",[2]Entry!$N$1648)</f>
        <v/>
      </c>
      <c r="P1645">
        <f>IF([2]Entry!$R$1648="","",[2]Entry!$R$1648)</f>
        <v/>
      </c>
    </row>
    <row r="1646">
      <c r="J1646">
        <f>IF([2]Entry!$C$1649="","",[2]Entry!$C$1649)</f>
        <v/>
      </c>
      <c r="K1646">
        <f>IF([2]Entry!$D$1649="","",[2]Entry!$D$1649)</f>
        <v/>
      </c>
      <c r="L1646">
        <f>IF([2]Entry!$E$1649="","",[2]Entry!$E$1649)</f>
        <v/>
      </c>
      <c r="M1646">
        <f>IF([2]Entry!$G$1649="","",[2]Entry!$G$1649)</f>
        <v/>
      </c>
      <c r="N1646">
        <f>IF([2]Entry!$M$1649="","",[2]Entry!$M$1649)</f>
        <v/>
      </c>
      <c r="O1646">
        <f>IF([2]Entry!$N$1649="","",[2]Entry!$N$1649)</f>
        <v/>
      </c>
      <c r="P1646">
        <f>IF([2]Entry!$R$1649="","",[2]Entry!$R$1649)</f>
        <v/>
      </c>
    </row>
    <row r="1647">
      <c r="J1647">
        <f>IF([2]Entry!$C$1650="","",[2]Entry!$C$1650)</f>
        <v/>
      </c>
      <c r="K1647">
        <f>IF([2]Entry!$D$1650="","",[2]Entry!$D$1650)</f>
        <v/>
      </c>
      <c r="L1647">
        <f>IF([2]Entry!$E$1650="","",[2]Entry!$E$1650)</f>
        <v/>
      </c>
      <c r="M1647">
        <f>IF([2]Entry!$G$1650="","",[2]Entry!$G$1650)</f>
        <v/>
      </c>
      <c r="N1647">
        <f>IF([2]Entry!$M$1650="","",[2]Entry!$M$1650)</f>
        <v/>
      </c>
      <c r="O1647">
        <f>IF([2]Entry!$N$1650="","",[2]Entry!$N$1650)</f>
        <v/>
      </c>
      <c r="P1647">
        <f>IF([2]Entry!$R$1650="","",[2]Entry!$R$1650)</f>
        <v/>
      </c>
    </row>
    <row r="1648">
      <c r="J1648">
        <f>IF([2]Entry!$C$1651="","",[2]Entry!$C$1651)</f>
        <v/>
      </c>
      <c r="K1648">
        <f>IF([2]Entry!$D$1651="","",[2]Entry!$D$1651)</f>
        <v/>
      </c>
      <c r="L1648">
        <f>IF([2]Entry!$E$1651="","",[2]Entry!$E$1651)</f>
        <v/>
      </c>
      <c r="M1648">
        <f>IF([2]Entry!$G$1651="","",[2]Entry!$G$1651)</f>
        <v/>
      </c>
      <c r="N1648">
        <f>IF([2]Entry!$M$1651="","",[2]Entry!$M$1651)</f>
        <v/>
      </c>
      <c r="O1648">
        <f>IF([2]Entry!$N$1651="","",[2]Entry!$N$1651)</f>
        <v/>
      </c>
      <c r="P1648">
        <f>IF([2]Entry!$R$1651="","",[2]Entry!$R$1651)</f>
        <v/>
      </c>
    </row>
    <row r="1649">
      <c r="J1649">
        <f>IF([2]Entry!$C$1652="","",[2]Entry!$C$1652)</f>
        <v/>
      </c>
      <c r="K1649">
        <f>IF([2]Entry!$D$1652="","",[2]Entry!$D$1652)</f>
        <v/>
      </c>
      <c r="L1649">
        <f>IF([2]Entry!$E$1652="","",[2]Entry!$E$1652)</f>
        <v/>
      </c>
      <c r="M1649">
        <f>IF([2]Entry!$G$1652="","",[2]Entry!$G$1652)</f>
        <v/>
      </c>
      <c r="N1649">
        <f>IF([2]Entry!$M$1652="","",[2]Entry!$M$1652)</f>
        <v/>
      </c>
      <c r="O1649">
        <f>IF([2]Entry!$N$1652="","",[2]Entry!$N$1652)</f>
        <v/>
      </c>
      <c r="P1649">
        <f>IF([2]Entry!$R$1652="","",[2]Entry!$R$1652)</f>
        <v/>
      </c>
    </row>
    <row r="1650">
      <c r="J1650">
        <f>IF([2]Entry!$C$1653="","",[2]Entry!$C$1653)</f>
        <v/>
      </c>
      <c r="K1650">
        <f>IF([2]Entry!$D$1653="","",[2]Entry!$D$1653)</f>
        <v/>
      </c>
      <c r="L1650">
        <f>IF([2]Entry!$E$1653="","",[2]Entry!$E$1653)</f>
        <v/>
      </c>
      <c r="M1650">
        <f>IF([2]Entry!$G$1653="","",[2]Entry!$G$1653)</f>
        <v/>
      </c>
      <c r="N1650">
        <f>IF([2]Entry!$M$1653="","",[2]Entry!$M$1653)</f>
        <v/>
      </c>
      <c r="O1650">
        <f>IF([2]Entry!$N$1653="","",[2]Entry!$N$1653)</f>
        <v/>
      </c>
      <c r="P1650">
        <f>IF([2]Entry!$R$1653="","",[2]Entry!$R$1653)</f>
        <v/>
      </c>
    </row>
    <row r="1651">
      <c r="J1651">
        <f>IF([2]Entry!$C$1654="","",[2]Entry!$C$1654)</f>
        <v/>
      </c>
      <c r="K1651">
        <f>IF([2]Entry!$D$1654="","",[2]Entry!$D$1654)</f>
        <v/>
      </c>
      <c r="L1651">
        <f>IF([2]Entry!$E$1654="","",[2]Entry!$E$1654)</f>
        <v/>
      </c>
      <c r="M1651">
        <f>IF([2]Entry!$G$1654="","",[2]Entry!$G$1654)</f>
        <v/>
      </c>
      <c r="N1651">
        <f>IF([2]Entry!$M$1654="","",[2]Entry!$M$1654)</f>
        <v/>
      </c>
      <c r="O1651">
        <f>IF([2]Entry!$N$1654="","",[2]Entry!$N$1654)</f>
        <v/>
      </c>
      <c r="P1651">
        <f>IF([2]Entry!$R$1654="","",[2]Entry!$R$1654)</f>
        <v/>
      </c>
    </row>
    <row r="1652">
      <c r="J1652">
        <f>IF([2]Entry!$C$1655="","",[2]Entry!$C$1655)</f>
        <v/>
      </c>
      <c r="K1652">
        <f>IF([2]Entry!$D$1655="","",[2]Entry!$D$1655)</f>
        <v/>
      </c>
      <c r="L1652">
        <f>IF([2]Entry!$E$1655="","",[2]Entry!$E$1655)</f>
        <v/>
      </c>
      <c r="M1652">
        <f>IF([2]Entry!$G$1655="","",[2]Entry!$G$1655)</f>
        <v/>
      </c>
      <c r="N1652">
        <f>IF([2]Entry!$M$1655="","",[2]Entry!$M$1655)</f>
        <v/>
      </c>
      <c r="O1652">
        <f>IF([2]Entry!$N$1655="","",[2]Entry!$N$1655)</f>
        <v/>
      </c>
      <c r="P1652">
        <f>IF([2]Entry!$R$1655="","",[2]Entry!$R$1655)</f>
        <v/>
      </c>
    </row>
    <row r="1653">
      <c r="J1653">
        <f>IF([2]Entry!$C$1656="","",[2]Entry!$C$1656)</f>
        <v/>
      </c>
      <c r="K1653">
        <f>IF([2]Entry!$D$1656="","",[2]Entry!$D$1656)</f>
        <v/>
      </c>
      <c r="L1653">
        <f>IF([2]Entry!$E$1656="","",[2]Entry!$E$1656)</f>
        <v/>
      </c>
      <c r="M1653">
        <f>IF([2]Entry!$G$1656="","",[2]Entry!$G$1656)</f>
        <v/>
      </c>
      <c r="N1653">
        <f>IF([2]Entry!$M$1656="","",[2]Entry!$M$1656)</f>
        <v/>
      </c>
      <c r="O1653">
        <f>IF([2]Entry!$N$1656="","",[2]Entry!$N$1656)</f>
        <v/>
      </c>
      <c r="P1653">
        <f>IF([2]Entry!$R$1656="","",[2]Entry!$R$1656)</f>
        <v/>
      </c>
    </row>
    <row r="1654">
      <c r="J1654">
        <f>IF([2]Entry!$C$1657="","",[2]Entry!$C$1657)</f>
        <v/>
      </c>
      <c r="K1654">
        <f>IF([2]Entry!$D$1657="","",[2]Entry!$D$1657)</f>
        <v/>
      </c>
      <c r="L1654">
        <f>IF([2]Entry!$E$1657="","",[2]Entry!$E$1657)</f>
        <v/>
      </c>
      <c r="M1654">
        <f>IF([2]Entry!$G$1657="","",[2]Entry!$G$1657)</f>
        <v/>
      </c>
      <c r="N1654">
        <f>IF([2]Entry!$M$1657="","",[2]Entry!$M$1657)</f>
        <v/>
      </c>
      <c r="O1654">
        <f>IF([2]Entry!$N$1657="","",[2]Entry!$N$1657)</f>
        <v/>
      </c>
      <c r="P1654">
        <f>IF([2]Entry!$R$1657="","",[2]Entry!$R$1657)</f>
        <v/>
      </c>
    </row>
    <row r="1655">
      <c r="J1655">
        <f>IF([2]Entry!$C$1658="","",[2]Entry!$C$1658)</f>
        <v/>
      </c>
      <c r="K1655">
        <f>IF([2]Entry!$D$1658="","",[2]Entry!$D$1658)</f>
        <v/>
      </c>
      <c r="L1655">
        <f>IF([2]Entry!$E$1658="","",[2]Entry!$E$1658)</f>
        <v/>
      </c>
      <c r="M1655">
        <f>IF([2]Entry!$G$1658="","",[2]Entry!$G$1658)</f>
        <v/>
      </c>
      <c r="N1655">
        <f>IF([2]Entry!$M$1658="","",[2]Entry!$M$1658)</f>
        <v/>
      </c>
      <c r="O1655">
        <f>IF([2]Entry!$N$1658="","",[2]Entry!$N$1658)</f>
        <v/>
      </c>
      <c r="P1655">
        <f>IF([2]Entry!$R$1658="","",[2]Entry!$R$1658)</f>
        <v/>
      </c>
    </row>
    <row r="1656">
      <c r="J1656">
        <f>IF([2]Entry!$C$1659="","",[2]Entry!$C$1659)</f>
        <v/>
      </c>
      <c r="K1656">
        <f>IF([2]Entry!$D$1659="","",[2]Entry!$D$1659)</f>
        <v/>
      </c>
      <c r="L1656">
        <f>IF([2]Entry!$E$1659="","",[2]Entry!$E$1659)</f>
        <v/>
      </c>
      <c r="M1656">
        <f>IF([2]Entry!$G$1659="","",[2]Entry!$G$1659)</f>
        <v/>
      </c>
      <c r="N1656">
        <f>IF([2]Entry!$M$1659="","",[2]Entry!$M$1659)</f>
        <v/>
      </c>
      <c r="O1656">
        <f>IF([2]Entry!$N$1659="","",[2]Entry!$N$1659)</f>
        <v/>
      </c>
      <c r="P1656">
        <f>IF([2]Entry!$R$1659="","",[2]Entry!$R$1659)</f>
        <v/>
      </c>
    </row>
    <row r="1657">
      <c r="J1657">
        <f>IF([2]Entry!$C$1660="","",[2]Entry!$C$1660)</f>
        <v/>
      </c>
      <c r="K1657">
        <f>IF([2]Entry!$D$1660="","",[2]Entry!$D$1660)</f>
        <v/>
      </c>
      <c r="L1657">
        <f>IF([2]Entry!$E$1660="","",[2]Entry!$E$1660)</f>
        <v/>
      </c>
      <c r="M1657">
        <f>IF([2]Entry!$G$1660="","",[2]Entry!$G$1660)</f>
        <v/>
      </c>
      <c r="N1657">
        <f>IF([2]Entry!$M$1660="","",[2]Entry!$M$1660)</f>
        <v/>
      </c>
      <c r="O1657">
        <f>IF([2]Entry!$N$1660="","",[2]Entry!$N$1660)</f>
        <v/>
      </c>
      <c r="P1657">
        <f>IF([2]Entry!$R$1660="","",[2]Entry!$R$1660)</f>
        <v/>
      </c>
    </row>
    <row r="1658">
      <c r="J1658">
        <f>IF([2]Entry!$C$1661="","",[2]Entry!$C$1661)</f>
        <v/>
      </c>
      <c r="K1658">
        <f>IF([2]Entry!$D$1661="","",[2]Entry!$D$1661)</f>
        <v/>
      </c>
      <c r="L1658">
        <f>IF([2]Entry!$E$1661="","",[2]Entry!$E$1661)</f>
        <v/>
      </c>
      <c r="M1658">
        <f>IF([2]Entry!$G$1661="","",[2]Entry!$G$1661)</f>
        <v/>
      </c>
      <c r="N1658">
        <f>IF([2]Entry!$M$1661="","",[2]Entry!$M$1661)</f>
        <v/>
      </c>
      <c r="O1658">
        <f>IF([2]Entry!$N$1661="","",[2]Entry!$N$1661)</f>
        <v/>
      </c>
      <c r="P1658">
        <f>IF([2]Entry!$R$1661="","",[2]Entry!$R$1661)</f>
        <v/>
      </c>
    </row>
    <row r="1659">
      <c r="J1659">
        <f>IF([2]Entry!$C$1662="","",[2]Entry!$C$1662)</f>
        <v/>
      </c>
      <c r="K1659">
        <f>IF([2]Entry!$D$1662="","",[2]Entry!$D$1662)</f>
        <v/>
      </c>
      <c r="L1659">
        <f>IF([2]Entry!$E$1662="","",[2]Entry!$E$1662)</f>
        <v/>
      </c>
      <c r="M1659">
        <f>IF([2]Entry!$G$1662="","",[2]Entry!$G$1662)</f>
        <v/>
      </c>
      <c r="N1659">
        <f>IF([2]Entry!$M$1662="","",[2]Entry!$M$1662)</f>
        <v/>
      </c>
      <c r="O1659">
        <f>IF([2]Entry!$N$1662="","",[2]Entry!$N$1662)</f>
        <v/>
      </c>
      <c r="P1659">
        <f>IF([2]Entry!$R$1662="","",[2]Entry!$R$1662)</f>
        <v/>
      </c>
    </row>
    <row r="1660">
      <c r="J1660">
        <f>IF([2]Entry!$C$1663="","",[2]Entry!$C$1663)</f>
        <v/>
      </c>
      <c r="K1660">
        <f>IF([2]Entry!$D$1663="","",[2]Entry!$D$1663)</f>
        <v/>
      </c>
      <c r="L1660">
        <f>IF([2]Entry!$E$1663="","",[2]Entry!$E$1663)</f>
        <v/>
      </c>
      <c r="M1660">
        <f>IF([2]Entry!$G$1663="","",[2]Entry!$G$1663)</f>
        <v/>
      </c>
      <c r="N1660">
        <f>IF([2]Entry!$M$1663="","",[2]Entry!$M$1663)</f>
        <v/>
      </c>
      <c r="O1660">
        <f>IF([2]Entry!$N$1663="","",[2]Entry!$N$1663)</f>
        <v/>
      </c>
      <c r="P1660">
        <f>IF([2]Entry!$R$1663="","",[2]Entry!$R$1663)</f>
        <v/>
      </c>
    </row>
    <row r="1661">
      <c r="J1661">
        <f>IF([2]Entry!$C$1664="","",[2]Entry!$C$1664)</f>
        <v/>
      </c>
      <c r="K1661">
        <f>IF([2]Entry!$D$1664="","",[2]Entry!$D$1664)</f>
        <v/>
      </c>
      <c r="L1661">
        <f>IF([2]Entry!$E$1664="","",[2]Entry!$E$1664)</f>
        <v/>
      </c>
      <c r="M1661">
        <f>IF([2]Entry!$G$1664="","",[2]Entry!$G$1664)</f>
        <v/>
      </c>
      <c r="N1661">
        <f>IF([2]Entry!$M$1664="","",[2]Entry!$M$1664)</f>
        <v/>
      </c>
      <c r="O1661">
        <f>IF([2]Entry!$N$1664="","",[2]Entry!$N$1664)</f>
        <v/>
      </c>
      <c r="P1661">
        <f>IF([2]Entry!$R$1664="","",[2]Entry!$R$1664)</f>
        <v/>
      </c>
    </row>
    <row r="1662">
      <c r="J1662">
        <f>IF([2]Entry!$C$1665="","",[2]Entry!$C$1665)</f>
        <v/>
      </c>
      <c r="K1662">
        <f>IF([2]Entry!$D$1665="","",[2]Entry!$D$1665)</f>
        <v/>
      </c>
      <c r="L1662">
        <f>IF([2]Entry!$E$1665="","",[2]Entry!$E$1665)</f>
        <v/>
      </c>
      <c r="M1662">
        <f>IF([2]Entry!$G$1665="","",[2]Entry!$G$1665)</f>
        <v/>
      </c>
      <c r="N1662">
        <f>IF([2]Entry!$M$1665="","",[2]Entry!$M$1665)</f>
        <v/>
      </c>
      <c r="O1662">
        <f>IF([2]Entry!$N$1665="","",[2]Entry!$N$1665)</f>
        <v/>
      </c>
      <c r="P1662">
        <f>IF([2]Entry!$R$1665="","",[2]Entry!$R$1665)</f>
        <v/>
      </c>
    </row>
    <row r="1663">
      <c r="J1663">
        <f>IF([2]Entry!$C$1666="","",[2]Entry!$C$1666)</f>
        <v/>
      </c>
      <c r="K1663">
        <f>IF([2]Entry!$D$1666="","",[2]Entry!$D$1666)</f>
        <v/>
      </c>
      <c r="L1663">
        <f>IF([2]Entry!$E$1666="","",[2]Entry!$E$1666)</f>
        <v/>
      </c>
      <c r="M1663">
        <f>IF([2]Entry!$G$1666="","",[2]Entry!$G$1666)</f>
        <v/>
      </c>
      <c r="N1663">
        <f>IF([2]Entry!$M$1666="","",[2]Entry!$M$1666)</f>
        <v/>
      </c>
      <c r="O1663">
        <f>IF([2]Entry!$N$1666="","",[2]Entry!$N$1666)</f>
        <v/>
      </c>
      <c r="P1663">
        <f>IF([2]Entry!$R$1666="","",[2]Entry!$R$1666)</f>
        <v/>
      </c>
    </row>
    <row r="1664">
      <c r="J1664">
        <f>IF([2]Entry!$C$1667="","",[2]Entry!$C$1667)</f>
        <v/>
      </c>
      <c r="K1664">
        <f>IF([2]Entry!$D$1667="","",[2]Entry!$D$1667)</f>
        <v/>
      </c>
      <c r="L1664">
        <f>IF([2]Entry!$E$1667="","",[2]Entry!$E$1667)</f>
        <v/>
      </c>
      <c r="M1664">
        <f>IF([2]Entry!$G$1667="","",[2]Entry!$G$1667)</f>
        <v/>
      </c>
      <c r="N1664">
        <f>IF([2]Entry!$M$1667="","",[2]Entry!$M$1667)</f>
        <v/>
      </c>
      <c r="O1664">
        <f>IF([2]Entry!$N$1667="","",[2]Entry!$N$1667)</f>
        <v/>
      </c>
      <c r="P1664">
        <f>IF([2]Entry!$R$1667="","",[2]Entry!$R$1667)</f>
        <v/>
      </c>
    </row>
    <row r="1665">
      <c r="J1665">
        <f>IF([2]Entry!$C$1668="","",[2]Entry!$C$1668)</f>
        <v/>
      </c>
      <c r="K1665">
        <f>IF([2]Entry!$D$1668="","",[2]Entry!$D$1668)</f>
        <v/>
      </c>
      <c r="L1665">
        <f>IF([2]Entry!$E$1668="","",[2]Entry!$E$1668)</f>
        <v/>
      </c>
      <c r="M1665">
        <f>IF([2]Entry!$G$1668="","",[2]Entry!$G$1668)</f>
        <v/>
      </c>
      <c r="N1665">
        <f>IF([2]Entry!$M$1668="","",[2]Entry!$M$1668)</f>
        <v/>
      </c>
      <c r="O1665">
        <f>IF([2]Entry!$N$1668="","",[2]Entry!$N$1668)</f>
        <v/>
      </c>
      <c r="P1665">
        <f>IF([2]Entry!$R$1668="","",[2]Entry!$R$1668)</f>
        <v/>
      </c>
    </row>
    <row r="1666">
      <c r="J1666">
        <f>IF([2]Entry!$C$1669="","",[2]Entry!$C$1669)</f>
        <v/>
      </c>
      <c r="K1666">
        <f>IF([2]Entry!$D$1669="","",[2]Entry!$D$1669)</f>
        <v/>
      </c>
      <c r="L1666">
        <f>IF([2]Entry!$E$1669="","",[2]Entry!$E$1669)</f>
        <v/>
      </c>
      <c r="M1666">
        <f>IF([2]Entry!$G$1669="","",[2]Entry!$G$1669)</f>
        <v/>
      </c>
      <c r="N1666">
        <f>IF([2]Entry!$M$1669="","",[2]Entry!$M$1669)</f>
        <v/>
      </c>
      <c r="O1666">
        <f>IF([2]Entry!$N$1669="","",[2]Entry!$N$1669)</f>
        <v/>
      </c>
      <c r="P1666">
        <f>IF([2]Entry!$R$1669="","",[2]Entry!$R$1669)</f>
        <v/>
      </c>
    </row>
    <row r="1667">
      <c r="J1667">
        <f>IF([2]Entry!$C$1670="","",[2]Entry!$C$1670)</f>
        <v/>
      </c>
      <c r="K1667">
        <f>IF([2]Entry!$D$1670="","",[2]Entry!$D$1670)</f>
        <v/>
      </c>
      <c r="L1667">
        <f>IF([2]Entry!$E$1670="","",[2]Entry!$E$1670)</f>
        <v/>
      </c>
      <c r="M1667">
        <f>IF([2]Entry!$G$1670="","",[2]Entry!$G$1670)</f>
        <v/>
      </c>
      <c r="N1667">
        <f>IF([2]Entry!$M$1670="","",[2]Entry!$M$1670)</f>
        <v/>
      </c>
      <c r="O1667">
        <f>IF([2]Entry!$N$1670="","",[2]Entry!$N$1670)</f>
        <v/>
      </c>
      <c r="P1667">
        <f>IF([2]Entry!$R$1670="","",[2]Entry!$R$1670)</f>
        <v/>
      </c>
    </row>
    <row r="1668">
      <c r="J1668">
        <f>IF([2]Entry!$C$1671="","",[2]Entry!$C$1671)</f>
        <v/>
      </c>
      <c r="K1668">
        <f>IF([2]Entry!$D$1671="","",[2]Entry!$D$1671)</f>
        <v/>
      </c>
      <c r="L1668">
        <f>IF([2]Entry!$E$1671="","",[2]Entry!$E$1671)</f>
        <v/>
      </c>
      <c r="M1668">
        <f>IF([2]Entry!$G$1671="","",[2]Entry!$G$1671)</f>
        <v/>
      </c>
      <c r="N1668">
        <f>IF([2]Entry!$M$1671="","",[2]Entry!$M$1671)</f>
        <v/>
      </c>
      <c r="O1668">
        <f>IF([2]Entry!$N$1671="","",[2]Entry!$N$1671)</f>
        <v/>
      </c>
      <c r="P1668">
        <f>IF([2]Entry!$R$1671="","",[2]Entry!$R$1671)</f>
        <v/>
      </c>
    </row>
    <row r="1669">
      <c r="J1669">
        <f>IF([2]Entry!$C$1672="","",[2]Entry!$C$1672)</f>
        <v/>
      </c>
      <c r="K1669">
        <f>IF([2]Entry!$D$1672="","",[2]Entry!$D$1672)</f>
        <v/>
      </c>
      <c r="L1669">
        <f>IF([2]Entry!$E$1672="","",[2]Entry!$E$1672)</f>
        <v/>
      </c>
      <c r="M1669">
        <f>IF([2]Entry!$G$1672="","",[2]Entry!$G$1672)</f>
        <v/>
      </c>
      <c r="N1669">
        <f>IF([2]Entry!$M$1672="","",[2]Entry!$M$1672)</f>
        <v/>
      </c>
      <c r="O1669">
        <f>IF([2]Entry!$N$1672="","",[2]Entry!$N$1672)</f>
        <v/>
      </c>
      <c r="P1669">
        <f>IF([2]Entry!$R$1672="","",[2]Entry!$R$1672)</f>
        <v/>
      </c>
    </row>
    <row r="1670">
      <c r="J1670">
        <f>IF([2]Entry!$C$1673="","",[2]Entry!$C$1673)</f>
        <v/>
      </c>
      <c r="K1670">
        <f>IF([2]Entry!$D$1673="","",[2]Entry!$D$1673)</f>
        <v/>
      </c>
      <c r="L1670">
        <f>IF([2]Entry!$E$1673="","",[2]Entry!$E$1673)</f>
        <v/>
      </c>
      <c r="M1670">
        <f>IF([2]Entry!$G$1673="","",[2]Entry!$G$1673)</f>
        <v/>
      </c>
      <c r="N1670">
        <f>IF([2]Entry!$M$1673="","",[2]Entry!$M$1673)</f>
        <v/>
      </c>
      <c r="O1670">
        <f>IF([2]Entry!$N$1673="","",[2]Entry!$N$1673)</f>
        <v/>
      </c>
      <c r="P1670">
        <f>IF([2]Entry!$R$1673="","",[2]Entry!$R$1673)</f>
        <v/>
      </c>
    </row>
    <row r="1671">
      <c r="J1671">
        <f>IF([2]Entry!$C$1674="","",[2]Entry!$C$1674)</f>
        <v/>
      </c>
      <c r="K1671">
        <f>IF([2]Entry!$D$1674="","",[2]Entry!$D$1674)</f>
        <v/>
      </c>
      <c r="L1671">
        <f>IF([2]Entry!$E$1674="","",[2]Entry!$E$1674)</f>
        <v/>
      </c>
      <c r="M1671">
        <f>IF([2]Entry!$G$1674="","",[2]Entry!$G$1674)</f>
        <v/>
      </c>
      <c r="N1671">
        <f>IF([2]Entry!$M$1674="","",[2]Entry!$M$1674)</f>
        <v/>
      </c>
      <c r="O1671">
        <f>IF([2]Entry!$N$1674="","",[2]Entry!$N$1674)</f>
        <v/>
      </c>
      <c r="P1671">
        <f>IF([2]Entry!$R$1674="","",[2]Entry!$R$1674)</f>
        <v/>
      </c>
    </row>
    <row r="1672">
      <c r="J1672">
        <f>IF([2]Entry!$C$1675="","",[2]Entry!$C$1675)</f>
        <v/>
      </c>
      <c r="K1672">
        <f>IF([2]Entry!$D$1675="","",[2]Entry!$D$1675)</f>
        <v/>
      </c>
      <c r="L1672">
        <f>IF([2]Entry!$E$1675="","",[2]Entry!$E$1675)</f>
        <v/>
      </c>
      <c r="M1672">
        <f>IF([2]Entry!$G$1675="","",[2]Entry!$G$1675)</f>
        <v/>
      </c>
      <c r="N1672">
        <f>IF([2]Entry!$M$1675="","",[2]Entry!$M$1675)</f>
        <v/>
      </c>
      <c r="O1672">
        <f>IF([2]Entry!$N$1675="","",[2]Entry!$N$1675)</f>
        <v/>
      </c>
      <c r="P1672">
        <f>IF([2]Entry!$R$1675="","",[2]Entry!$R$1675)</f>
        <v/>
      </c>
    </row>
    <row r="1673">
      <c r="J1673">
        <f>IF([2]Entry!$C$1676="","",[2]Entry!$C$1676)</f>
        <v/>
      </c>
      <c r="K1673">
        <f>IF([2]Entry!$D$1676="","",[2]Entry!$D$1676)</f>
        <v/>
      </c>
      <c r="L1673">
        <f>IF([2]Entry!$E$1676="","",[2]Entry!$E$1676)</f>
        <v/>
      </c>
      <c r="M1673">
        <f>IF([2]Entry!$G$1676="","",[2]Entry!$G$1676)</f>
        <v/>
      </c>
      <c r="N1673">
        <f>IF([2]Entry!$M$1676="","",[2]Entry!$M$1676)</f>
        <v/>
      </c>
      <c r="O1673">
        <f>IF([2]Entry!$N$1676="","",[2]Entry!$N$1676)</f>
        <v/>
      </c>
      <c r="P1673">
        <f>IF([2]Entry!$R$1676="","",[2]Entry!$R$1676)</f>
        <v/>
      </c>
    </row>
    <row r="1674">
      <c r="J1674">
        <f>IF([2]Entry!$C$1677="","",[2]Entry!$C$1677)</f>
        <v/>
      </c>
      <c r="K1674">
        <f>IF([2]Entry!$D$1677="","",[2]Entry!$D$1677)</f>
        <v/>
      </c>
      <c r="L1674">
        <f>IF([2]Entry!$E$1677="","",[2]Entry!$E$1677)</f>
        <v/>
      </c>
      <c r="M1674">
        <f>IF([2]Entry!$G$1677="","",[2]Entry!$G$1677)</f>
        <v/>
      </c>
      <c r="N1674">
        <f>IF([2]Entry!$M$1677="","",[2]Entry!$M$1677)</f>
        <v/>
      </c>
      <c r="O1674">
        <f>IF([2]Entry!$N$1677="","",[2]Entry!$N$1677)</f>
        <v/>
      </c>
      <c r="P1674">
        <f>IF([2]Entry!$R$1677="","",[2]Entry!$R$1677)</f>
        <v/>
      </c>
    </row>
    <row r="1675">
      <c r="J1675">
        <f>IF([2]Entry!$C$1678="","",[2]Entry!$C$1678)</f>
        <v/>
      </c>
      <c r="K1675">
        <f>IF([2]Entry!$D$1678="","",[2]Entry!$D$1678)</f>
        <v/>
      </c>
      <c r="L1675">
        <f>IF([2]Entry!$E$1678="","",[2]Entry!$E$1678)</f>
        <v/>
      </c>
      <c r="M1675">
        <f>IF([2]Entry!$G$1678="","",[2]Entry!$G$1678)</f>
        <v/>
      </c>
      <c r="N1675">
        <f>IF([2]Entry!$M$1678="","",[2]Entry!$M$1678)</f>
        <v/>
      </c>
      <c r="O1675">
        <f>IF([2]Entry!$N$1678="","",[2]Entry!$N$1678)</f>
        <v/>
      </c>
      <c r="P1675">
        <f>IF([2]Entry!$R$1678="","",[2]Entry!$R$1678)</f>
        <v/>
      </c>
    </row>
    <row r="1676">
      <c r="J1676">
        <f>IF([2]Entry!$C$1679="","",[2]Entry!$C$1679)</f>
        <v/>
      </c>
      <c r="K1676">
        <f>IF([2]Entry!$D$1679="","",[2]Entry!$D$1679)</f>
        <v/>
      </c>
      <c r="L1676">
        <f>IF([2]Entry!$E$1679="","",[2]Entry!$E$1679)</f>
        <v/>
      </c>
      <c r="M1676">
        <f>IF([2]Entry!$G$1679="","",[2]Entry!$G$1679)</f>
        <v/>
      </c>
      <c r="N1676">
        <f>IF([2]Entry!$M$1679="","",[2]Entry!$M$1679)</f>
        <v/>
      </c>
      <c r="O1676">
        <f>IF([2]Entry!$N$1679="","",[2]Entry!$N$1679)</f>
        <v/>
      </c>
      <c r="P1676">
        <f>IF([2]Entry!$R$1679="","",[2]Entry!$R$1679)</f>
        <v/>
      </c>
    </row>
    <row r="1677">
      <c r="J1677">
        <f>IF([2]Entry!$C$1680="","",[2]Entry!$C$1680)</f>
        <v/>
      </c>
      <c r="K1677">
        <f>IF([2]Entry!$D$1680="","",[2]Entry!$D$1680)</f>
        <v/>
      </c>
      <c r="L1677">
        <f>IF([2]Entry!$E$1680="","",[2]Entry!$E$1680)</f>
        <v/>
      </c>
      <c r="M1677">
        <f>IF([2]Entry!$G$1680="","",[2]Entry!$G$1680)</f>
        <v/>
      </c>
      <c r="N1677">
        <f>IF([2]Entry!$M$1680="","",[2]Entry!$M$1680)</f>
        <v/>
      </c>
      <c r="O1677">
        <f>IF([2]Entry!$N$1680="","",[2]Entry!$N$1680)</f>
        <v/>
      </c>
      <c r="P1677">
        <f>IF([2]Entry!$R$1680="","",[2]Entry!$R$1680)</f>
        <v/>
      </c>
    </row>
    <row r="1678">
      <c r="J1678">
        <f>IF([2]Entry!$C$1681="","",[2]Entry!$C$1681)</f>
        <v/>
      </c>
      <c r="K1678">
        <f>IF([2]Entry!$D$1681="","",[2]Entry!$D$1681)</f>
        <v/>
      </c>
      <c r="L1678">
        <f>IF([2]Entry!$E$1681="","",[2]Entry!$E$1681)</f>
        <v/>
      </c>
      <c r="M1678">
        <f>IF([2]Entry!$G$1681="","",[2]Entry!$G$1681)</f>
        <v/>
      </c>
      <c r="N1678">
        <f>IF([2]Entry!$M$1681="","",[2]Entry!$M$1681)</f>
        <v/>
      </c>
      <c r="O1678">
        <f>IF([2]Entry!$N$1681="","",[2]Entry!$N$1681)</f>
        <v/>
      </c>
      <c r="P1678">
        <f>IF([2]Entry!$R$1681="","",[2]Entry!$R$1681)</f>
        <v/>
      </c>
    </row>
    <row r="1679">
      <c r="J1679">
        <f>IF([2]Entry!$C$1682="","",[2]Entry!$C$1682)</f>
        <v/>
      </c>
      <c r="K1679">
        <f>IF([2]Entry!$D$1682="","",[2]Entry!$D$1682)</f>
        <v/>
      </c>
      <c r="L1679">
        <f>IF([2]Entry!$E$1682="","",[2]Entry!$E$1682)</f>
        <v/>
      </c>
      <c r="M1679">
        <f>IF([2]Entry!$G$1682="","",[2]Entry!$G$1682)</f>
        <v/>
      </c>
      <c r="N1679">
        <f>IF([2]Entry!$M$1682="","",[2]Entry!$M$1682)</f>
        <v/>
      </c>
      <c r="O1679">
        <f>IF([2]Entry!$N$1682="","",[2]Entry!$N$1682)</f>
        <v/>
      </c>
      <c r="P1679">
        <f>IF([2]Entry!$R$1682="","",[2]Entry!$R$1682)</f>
        <v/>
      </c>
    </row>
    <row r="1680">
      <c r="J1680">
        <f>IF([2]Entry!$C$1683="","",[2]Entry!$C$1683)</f>
        <v/>
      </c>
      <c r="K1680">
        <f>IF([2]Entry!$D$1683="","",[2]Entry!$D$1683)</f>
        <v/>
      </c>
      <c r="L1680">
        <f>IF([2]Entry!$E$1683="","",[2]Entry!$E$1683)</f>
        <v/>
      </c>
      <c r="M1680">
        <f>IF([2]Entry!$G$1683="","",[2]Entry!$G$1683)</f>
        <v/>
      </c>
      <c r="N1680">
        <f>IF([2]Entry!$M$1683="","",[2]Entry!$M$1683)</f>
        <v/>
      </c>
      <c r="O1680">
        <f>IF([2]Entry!$N$1683="","",[2]Entry!$N$1683)</f>
        <v/>
      </c>
      <c r="P1680">
        <f>IF([2]Entry!$R$1683="","",[2]Entry!$R$1683)</f>
        <v/>
      </c>
    </row>
    <row r="1681">
      <c r="J1681">
        <f>IF([2]Entry!$C$1684="","",[2]Entry!$C$1684)</f>
        <v/>
      </c>
      <c r="K1681">
        <f>IF([2]Entry!$D$1684="","",[2]Entry!$D$1684)</f>
        <v/>
      </c>
      <c r="L1681">
        <f>IF([2]Entry!$E$1684="","",[2]Entry!$E$1684)</f>
        <v/>
      </c>
      <c r="M1681">
        <f>IF([2]Entry!$G$1684="","",[2]Entry!$G$1684)</f>
        <v/>
      </c>
      <c r="N1681">
        <f>IF([2]Entry!$M$1684="","",[2]Entry!$M$1684)</f>
        <v/>
      </c>
      <c r="O1681">
        <f>IF([2]Entry!$N$1684="","",[2]Entry!$N$1684)</f>
        <v/>
      </c>
      <c r="P1681">
        <f>IF([2]Entry!$R$1684="","",[2]Entry!$R$1684)</f>
        <v/>
      </c>
    </row>
    <row r="1682">
      <c r="J1682">
        <f>IF([2]Entry!$C$1685="","",[2]Entry!$C$1685)</f>
        <v/>
      </c>
      <c r="K1682">
        <f>IF([2]Entry!$D$1685="","",[2]Entry!$D$1685)</f>
        <v/>
      </c>
      <c r="L1682">
        <f>IF([2]Entry!$E$1685="","",[2]Entry!$E$1685)</f>
        <v/>
      </c>
      <c r="M1682">
        <f>IF([2]Entry!$G$1685="","",[2]Entry!$G$1685)</f>
        <v/>
      </c>
      <c r="N1682">
        <f>IF([2]Entry!$M$1685="","",[2]Entry!$M$1685)</f>
        <v/>
      </c>
      <c r="O1682">
        <f>IF([2]Entry!$N$1685="","",[2]Entry!$N$1685)</f>
        <v/>
      </c>
      <c r="P1682">
        <f>IF([2]Entry!$R$1685="","",[2]Entry!$R$1685)</f>
        <v/>
      </c>
    </row>
    <row r="1683">
      <c r="J1683">
        <f>IF([2]Entry!$C$1686="","",[2]Entry!$C$1686)</f>
        <v/>
      </c>
      <c r="K1683">
        <f>IF([2]Entry!$D$1686="","",[2]Entry!$D$1686)</f>
        <v/>
      </c>
      <c r="L1683">
        <f>IF([2]Entry!$E$1686="","",[2]Entry!$E$1686)</f>
        <v/>
      </c>
      <c r="M1683">
        <f>IF([2]Entry!$G$1686="","",[2]Entry!$G$1686)</f>
        <v/>
      </c>
      <c r="N1683">
        <f>IF([2]Entry!$M$1686="","",[2]Entry!$M$1686)</f>
        <v/>
      </c>
      <c r="O1683">
        <f>IF([2]Entry!$N$1686="","",[2]Entry!$N$1686)</f>
        <v/>
      </c>
      <c r="P1683">
        <f>IF([2]Entry!$R$1686="","",[2]Entry!$R$1686)</f>
        <v/>
      </c>
    </row>
    <row r="1684">
      <c r="J1684">
        <f>IF([2]Entry!$C$1687="","",[2]Entry!$C$1687)</f>
        <v/>
      </c>
      <c r="K1684">
        <f>IF([2]Entry!$D$1687="","",[2]Entry!$D$1687)</f>
        <v/>
      </c>
      <c r="L1684">
        <f>IF([2]Entry!$E$1687="","",[2]Entry!$E$1687)</f>
        <v/>
      </c>
      <c r="M1684">
        <f>IF([2]Entry!$G$1687="","",[2]Entry!$G$1687)</f>
        <v/>
      </c>
      <c r="N1684">
        <f>IF([2]Entry!$M$1687="","",[2]Entry!$M$1687)</f>
        <v/>
      </c>
      <c r="O1684">
        <f>IF([2]Entry!$N$1687="","",[2]Entry!$N$1687)</f>
        <v/>
      </c>
      <c r="P1684">
        <f>IF([2]Entry!$R$1687="","",[2]Entry!$R$1687)</f>
        <v/>
      </c>
    </row>
    <row r="1685">
      <c r="J1685">
        <f>IF([2]Entry!$C$1688="","",[2]Entry!$C$1688)</f>
        <v/>
      </c>
      <c r="K1685">
        <f>IF([2]Entry!$D$1688="","",[2]Entry!$D$1688)</f>
        <v/>
      </c>
      <c r="L1685">
        <f>IF([2]Entry!$E$1688="","",[2]Entry!$E$1688)</f>
        <v/>
      </c>
      <c r="M1685">
        <f>IF([2]Entry!$G$1688="","",[2]Entry!$G$1688)</f>
        <v/>
      </c>
      <c r="N1685">
        <f>IF([2]Entry!$M$1688="","",[2]Entry!$M$1688)</f>
        <v/>
      </c>
      <c r="O1685">
        <f>IF([2]Entry!$N$1688="","",[2]Entry!$N$1688)</f>
        <v/>
      </c>
      <c r="P1685">
        <f>IF([2]Entry!$R$1688="","",[2]Entry!$R$1688)</f>
        <v/>
      </c>
    </row>
    <row r="1686">
      <c r="J1686">
        <f>IF([2]Entry!$C$1689="","",[2]Entry!$C$1689)</f>
        <v/>
      </c>
      <c r="K1686">
        <f>IF([2]Entry!$D$1689="","",[2]Entry!$D$1689)</f>
        <v/>
      </c>
      <c r="L1686">
        <f>IF([2]Entry!$E$1689="","",[2]Entry!$E$1689)</f>
        <v/>
      </c>
      <c r="M1686">
        <f>IF([2]Entry!$G$1689="","",[2]Entry!$G$1689)</f>
        <v/>
      </c>
      <c r="N1686">
        <f>IF([2]Entry!$M$1689="","",[2]Entry!$M$1689)</f>
        <v/>
      </c>
      <c r="O1686">
        <f>IF([2]Entry!$N$1689="","",[2]Entry!$N$1689)</f>
        <v/>
      </c>
      <c r="P1686">
        <f>IF([2]Entry!$R$1689="","",[2]Entry!$R$1689)</f>
        <v/>
      </c>
    </row>
    <row r="1687">
      <c r="J1687">
        <f>IF([2]Entry!$C$1690="","",[2]Entry!$C$1690)</f>
        <v/>
      </c>
      <c r="K1687">
        <f>IF([2]Entry!$D$1690="","",[2]Entry!$D$1690)</f>
        <v/>
      </c>
      <c r="L1687">
        <f>IF([2]Entry!$E$1690="","",[2]Entry!$E$1690)</f>
        <v/>
      </c>
      <c r="M1687">
        <f>IF([2]Entry!$G$1690="","",[2]Entry!$G$1690)</f>
        <v/>
      </c>
      <c r="N1687">
        <f>IF([2]Entry!$M$1690="","",[2]Entry!$M$1690)</f>
        <v/>
      </c>
      <c r="O1687">
        <f>IF([2]Entry!$N$1690="","",[2]Entry!$N$1690)</f>
        <v/>
      </c>
      <c r="P1687">
        <f>IF([2]Entry!$R$1690="","",[2]Entry!$R$1690)</f>
        <v/>
      </c>
    </row>
    <row r="1688">
      <c r="J1688">
        <f>IF([2]Entry!$C$1691="","",[2]Entry!$C$1691)</f>
        <v/>
      </c>
      <c r="K1688">
        <f>IF([2]Entry!$D$1691="","",[2]Entry!$D$1691)</f>
        <v/>
      </c>
      <c r="L1688">
        <f>IF([2]Entry!$E$1691="","",[2]Entry!$E$1691)</f>
        <v/>
      </c>
      <c r="M1688">
        <f>IF([2]Entry!$G$1691="","",[2]Entry!$G$1691)</f>
        <v/>
      </c>
      <c r="N1688">
        <f>IF([2]Entry!$M$1691="","",[2]Entry!$M$1691)</f>
        <v/>
      </c>
      <c r="O1688">
        <f>IF([2]Entry!$N$1691="","",[2]Entry!$N$1691)</f>
        <v/>
      </c>
      <c r="P1688">
        <f>IF([2]Entry!$R$1691="","",[2]Entry!$R$1691)</f>
        <v/>
      </c>
    </row>
    <row r="1689">
      <c r="J1689">
        <f>IF([2]Entry!$C$1692="","",[2]Entry!$C$1692)</f>
        <v/>
      </c>
      <c r="K1689">
        <f>IF([2]Entry!$D$1692="","",[2]Entry!$D$1692)</f>
        <v/>
      </c>
      <c r="L1689">
        <f>IF([2]Entry!$E$1692="","",[2]Entry!$E$1692)</f>
        <v/>
      </c>
      <c r="M1689">
        <f>IF([2]Entry!$G$1692="","",[2]Entry!$G$1692)</f>
        <v/>
      </c>
      <c r="N1689">
        <f>IF([2]Entry!$M$1692="","",[2]Entry!$M$1692)</f>
        <v/>
      </c>
      <c r="O1689">
        <f>IF([2]Entry!$N$1692="","",[2]Entry!$N$1692)</f>
        <v/>
      </c>
      <c r="P1689">
        <f>IF([2]Entry!$R$1692="","",[2]Entry!$R$1692)</f>
        <v/>
      </c>
    </row>
    <row r="1690">
      <c r="J1690">
        <f>IF([2]Entry!$C$1693="","",[2]Entry!$C$1693)</f>
        <v/>
      </c>
      <c r="K1690">
        <f>IF([2]Entry!$D$1693="","",[2]Entry!$D$1693)</f>
        <v/>
      </c>
      <c r="L1690">
        <f>IF([2]Entry!$E$1693="","",[2]Entry!$E$1693)</f>
        <v/>
      </c>
      <c r="M1690">
        <f>IF([2]Entry!$G$1693="","",[2]Entry!$G$1693)</f>
        <v/>
      </c>
      <c r="N1690">
        <f>IF([2]Entry!$M$1693="","",[2]Entry!$M$1693)</f>
        <v/>
      </c>
      <c r="O1690">
        <f>IF([2]Entry!$N$1693="","",[2]Entry!$N$1693)</f>
        <v/>
      </c>
      <c r="P1690">
        <f>IF([2]Entry!$R$1693="","",[2]Entry!$R$1693)</f>
        <v/>
      </c>
    </row>
    <row r="1691">
      <c r="J1691">
        <f>IF([2]Entry!$C$1694="","",[2]Entry!$C$1694)</f>
        <v/>
      </c>
      <c r="K1691">
        <f>IF([2]Entry!$D$1694="","",[2]Entry!$D$1694)</f>
        <v/>
      </c>
      <c r="L1691">
        <f>IF([2]Entry!$E$1694="","",[2]Entry!$E$1694)</f>
        <v/>
      </c>
      <c r="M1691">
        <f>IF([2]Entry!$G$1694="","",[2]Entry!$G$1694)</f>
        <v/>
      </c>
      <c r="N1691">
        <f>IF([2]Entry!$M$1694="","",[2]Entry!$M$1694)</f>
        <v/>
      </c>
      <c r="O1691">
        <f>IF([2]Entry!$N$1694="","",[2]Entry!$N$1694)</f>
        <v/>
      </c>
      <c r="P1691">
        <f>IF([2]Entry!$R$1694="","",[2]Entry!$R$1694)</f>
        <v/>
      </c>
    </row>
    <row r="1692">
      <c r="J1692">
        <f>IF([2]Entry!$C$1695="","",[2]Entry!$C$1695)</f>
        <v/>
      </c>
      <c r="K1692">
        <f>IF([2]Entry!$D$1695="","",[2]Entry!$D$1695)</f>
        <v/>
      </c>
      <c r="L1692">
        <f>IF([2]Entry!$E$1695="","",[2]Entry!$E$1695)</f>
        <v/>
      </c>
      <c r="M1692">
        <f>IF([2]Entry!$G$1695="","",[2]Entry!$G$1695)</f>
        <v/>
      </c>
      <c r="N1692">
        <f>IF([2]Entry!$M$1695="","",[2]Entry!$M$1695)</f>
        <v/>
      </c>
      <c r="O1692">
        <f>IF([2]Entry!$N$1695="","",[2]Entry!$N$1695)</f>
        <v/>
      </c>
      <c r="P1692">
        <f>IF([2]Entry!$R$1695="","",[2]Entry!$R$1695)</f>
        <v/>
      </c>
    </row>
    <row r="1693">
      <c r="J1693">
        <f>IF([2]Entry!$C$1696="","",[2]Entry!$C$1696)</f>
        <v/>
      </c>
      <c r="K1693">
        <f>IF([2]Entry!$D$1696="","",[2]Entry!$D$1696)</f>
        <v/>
      </c>
      <c r="L1693">
        <f>IF([2]Entry!$E$1696="","",[2]Entry!$E$1696)</f>
        <v/>
      </c>
      <c r="M1693">
        <f>IF([2]Entry!$G$1696="","",[2]Entry!$G$1696)</f>
        <v/>
      </c>
      <c r="N1693">
        <f>IF([2]Entry!$M$1696="","",[2]Entry!$M$1696)</f>
        <v/>
      </c>
      <c r="O1693">
        <f>IF([2]Entry!$N$1696="","",[2]Entry!$N$1696)</f>
        <v/>
      </c>
      <c r="P1693">
        <f>IF([2]Entry!$R$1696="","",[2]Entry!$R$1696)</f>
        <v/>
      </c>
    </row>
    <row r="1694">
      <c r="J1694">
        <f>IF([2]Entry!$C$1697="","",[2]Entry!$C$1697)</f>
        <v/>
      </c>
      <c r="K1694">
        <f>IF([2]Entry!$D$1697="","",[2]Entry!$D$1697)</f>
        <v/>
      </c>
      <c r="L1694">
        <f>IF([2]Entry!$E$1697="","",[2]Entry!$E$1697)</f>
        <v/>
      </c>
      <c r="M1694">
        <f>IF([2]Entry!$G$1697="","",[2]Entry!$G$1697)</f>
        <v/>
      </c>
      <c r="N1694">
        <f>IF([2]Entry!$M$1697="","",[2]Entry!$M$1697)</f>
        <v/>
      </c>
      <c r="O1694">
        <f>IF([2]Entry!$N$1697="","",[2]Entry!$N$1697)</f>
        <v/>
      </c>
      <c r="P1694">
        <f>IF([2]Entry!$R$1697="","",[2]Entry!$R$1697)</f>
        <v/>
      </c>
    </row>
    <row r="1695">
      <c r="J1695">
        <f>IF([2]Entry!$C$1698="","",[2]Entry!$C$1698)</f>
        <v/>
      </c>
      <c r="K1695">
        <f>IF([2]Entry!$D$1698="","",[2]Entry!$D$1698)</f>
        <v/>
      </c>
      <c r="L1695">
        <f>IF([2]Entry!$E$1698="","",[2]Entry!$E$1698)</f>
        <v/>
      </c>
      <c r="M1695">
        <f>IF([2]Entry!$G$1698="","",[2]Entry!$G$1698)</f>
        <v/>
      </c>
      <c r="N1695">
        <f>IF([2]Entry!$M$1698="","",[2]Entry!$M$1698)</f>
        <v/>
      </c>
      <c r="O1695">
        <f>IF([2]Entry!$N$1698="","",[2]Entry!$N$1698)</f>
        <v/>
      </c>
      <c r="P1695">
        <f>IF([2]Entry!$R$1698="","",[2]Entry!$R$1698)</f>
        <v/>
      </c>
    </row>
    <row r="1696">
      <c r="J1696">
        <f>IF([2]Entry!$C$1699="","",[2]Entry!$C$1699)</f>
        <v/>
      </c>
      <c r="K1696">
        <f>IF([2]Entry!$D$1699="","",[2]Entry!$D$1699)</f>
        <v/>
      </c>
      <c r="L1696">
        <f>IF([2]Entry!$E$1699="","",[2]Entry!$E$1699)</f>
        <v/>
      </c>
      <c r="M1696">
        <f>IF([2]Entry!$G$1699="","",[2]Entry!$G$1699)</f>
        <v/>
      </c>
      <c r="N1696">
        <f>IF([2]Entry!$M$1699="","",[2]Entry!$M$1699)</f>
        <v/>
      </c>
      <c r="O1696">
        <f>IF([2]Entry!$N$1699="","",[2]Entry!$N$1699)</f>
        <v/>
      </c>
      <c r="P1696">
        <f>IF([2]Entry!$R$1699="","",[2]Entry!$R$1699)</f>
        <v/>
      </c>
    </row>
    <row r="1697">
      <c r="J1697">
        <f>IF([2]Entry!$C$1700="","",[2]Entry!$C$1700)</f>
        <v/>
      </c>
      <c r="K1697">
        <f>IF([2]Entry!$D$1700="","",[2]Entry!$D$1700)</f>
        <v/>
      </c>
      <c r="L1697">
        <f>IF([2]Entry!$E$1700="","",[2]Entry!$E$1700)</f>
        <v/>
      </c>
      <c r="M1697">
        <f>IF([2]Entry!$G$1700="","",[2]Entry!$G$1700)</f>
        <v/>
      </c>
      <c r="N1697">
        <f>IF([2]Entry!$M$1700="","",[2]Entry!$M$1700)</f>
        <v/>
      </c>
      <c r="O1697">
        <f>IF([2]Entry!$N$1700="","",[2]Entry!$N$1700)</f>
        <v/>
      </c>
      <c r="P1697">
        <f>IF([2]Entry!$R$1700="","",[2]Entry!$R$1700)</f>
        <v/>
      </c>
    </row>
    <row r="1698">
      <c r="J1698">
        <f>IF([2]Entry!$C$1701="","",[2]Entry!$C$1701)</f>
        <v/>
      </c>
      <c r="K1698">
        <f>IF([2]Entry!$D$1701="","",[2]Entry!$D$1701)</f>
        <v/>
      </c>
      <c r="L1698">
        <f>IF([2]Entry!$E$1701="","",[2]Entry!$E$1701)</f>
        <v/>
      </c>
      <c r="M1698">
        <f>IF([2]Entry!$G$1701="","",[2]Entry!$G$1701)</f>
        <v/>
      </c>
      <c r="N1698">
        <f>IF([2]Entry!$M$1701="","",[2]Entry!$M$1701)</f>
        <v/>
      </c>
      <c r="O1698">
        <f>IF([2]Entry!$N$1701="","",[2]Entry!$N$1701)</f>
        <v/>
      </c>
      <c r="P1698">
        <f>IF([2]Entry!$R$1701="","",[2]Entry!$R$1701)</f>
        <v/>
      </c>
    </row>
    <row r="1699">
      <c r="J1699">
        <f>IF([2]Entry!$C$1702="","",[2]Entry!$C$1702)</f>
        <v/>
      </c>
      <c r="K1699">
        <f>IF([2]Entry!$D$1702="","",[2]Entry!$D$1702)</f>
        <v/>
      </c>
      <c r="L1699">
        <f>IF([2]Entry!$E$1702="","",[2]Entry!$E$1702)</f>
        <v/>
      </c>
      <c r="M1699">
        <f>IF([2]Entry!$G$1702="","",[2]Entry!$G$1702)</f>
        <v/>
      </c>
      <c r="N1699">
        <f>IF([2]Entry!$M$1702="","",[2]Entry!$M$1702)</f>
        <v/>
      </c>
      <c r="O1699">
        <f>IF([2]Entry!$N$1702="","",[2]Entry!$N$1702)</f>
        <v/>
      </c>
      <c r="P1699">
        <f>IF([2]Entry!$R$1702="","",[2]Entry!$R$1702)</f>
        <v/>
      </c>
    </row>
    <row r="1700">
      <c r="J1700">
        <f>IF([2]Entry!$C$1703="","",[2]Entry!$C$1703)</f>
        <v/>
      </c>
      <c r="K1700">
        <f>IF([2]Entry!$D$1703="","",[2]Entry!$D$1703)</f>
        <v/>
      </c>
      <c r="L1700">
        <f>IF([2]Entry!$E$1703="","",[2]Entry!$E$1703)</f>
        <v/>
      </c>
      <c r="M1700">
        <f>IF([2]Entry!$G$1703="","",[2]Entry!$G$1703)</f>
        <v/>
      </c>
      <c r="N1700">
        <f>IF([2]Entry!$M$1703="","",[2]Entry!$M$1703)</f>
        <v/>
      </c>
      <c r="O1700">
        <f>IF([2]Entry!$N$1703="","",[2]Entry!$N$1703)</f>
        <v/>
      </c>
      <c r="P1700">
        <f>IF([2]Entry!$R$1703="","",[2]Entry!$R$1703)</f>
        <v/>
      </c>
    </row>
    <row r="1701">
      <c r="J1701">
        <f>IF([2]Entry!$C$1704="","",[2]Entry!$C$1704)</f>
        <v/>
      </c>
      <c r="K1701">
        <f>IF([2]Entry!$D$1704="","",[2]Entry!$D$1704)</f>
        <v/>
      </c>
      <c r="L1701">
        <f>IF([2]Entry!$E$1704="","",[2]Entry!$E$1704)</f>
        <v/>
      </c>
      <c r="M1701">
        <f>IF([2]Entry!$G$1704="","",[2]Entry!$G$1704)</f>
        <v/>
      </c>
      <c r="N1701">
        <f>IF([2]Entry!$M$1704="","",[2]Entry!$M$1704)</f>
        <v/>
      </c>
      <c r="O1701">
        <f>IF([2]Entry!$N$1704="","",[2]Entry!$N$1704)</f>
        <v/>
      </c>
      <c r="P1701">
        <f>IF([2]Entry!$R$1704="","",[2]Entry!$R$1704)</f>
        <v/>
      </c>
    </row>
    <row r="1702">
      <c r="J1702">
        <f>IF([2]Entry!$C$1705="","",[2]Entry!$C$1705)</f>
        <v/>
      </c>
      <c r="K1702">
        <f>IF([2]Entry!$D$1705="","",[2]Entry!$D$1705)</f>
        <v/>
      </c>
      <c r="L1702">
        <f>IF([2]Entry!$E$1705="","",[2]Entry!$E$1705)</f>
        <v/>
      </c>
      <c r="M1702">
        <f>IF([2]Entry!$G$1705="","",[2]Entry!$G$1705)</f>
        <v/>
      </c>
      <c r="N1702">
        <f>IF([2]Entry!$M$1705="","",[2]Entry!$M$1705)</f>
        <v/>
      </c>
      <c r="O1702">
        <f>IF([2]Entry!$N$1705="","",[2]Entry!$N$1705)</f>
        <v/>
      </c>
      <c r="P1702">
        <f>IF([2]Entry!$R$1705="","",[2]Entry!$R$1705)</f>
        <v/>
      </c>
    </row>
    <row r="1703">
      <c r="J1703">
        <f>IF([2]Entry!$C$1706="","",[2]Entry!$C$1706)</f>
        <v/>
      </c>
      <c r="K1703">
        <f>IF([2]Entry!$D$1706="","",[2]Entry!$D$1706)</f>
        <v/>
      </c>
      <c r="L1703">
        <f>IF([2]Entry!$E$1706="","",[2]Entry!$E$1706)</f>
        <v/>
      </c>
      <c r="M1703">
        <f>IF([2]Entry!$G$1706="","",[2]Entry!$G$1706)</f>
        <v/>
      </c>
      <c r="N1703">
        <f>IF([2]Entry!$M$1706="","",[2]Entry!$M$1706)</f>
        <v/>
      </c>
      <c r="O1703">
        <f>IF([2]Entry!$N$1706="","",[2]Entry!$N$1706)</f>
        <v/>
      </c>
      <c r="P1703">
        <f>IF([2]Entry!$R$1706="","",[2]Entry!$R$1706)</f>
        <v/>
      </c>
    </row>
    <row r="1704">
      <c r="J1704">
        <f>IF([2]Entry!$C$1707="","",[2]Entry!$C$1707)</f>
        <v/>
      </c>
      <c r="K1704">
        <f>IF([2]Entry!$D$1707="","",[2]Entry!$D$1707)</f>
        <v/>
      </c>
      <c r="L1704">
        <f>IF([2]Entry!$E$1707="","",[2]Entry!$E$1707)</f>
        <v/>
      </c>
      <c r="M1704">
        <f>IF([2]Entry!$G$1707="","",[2]Entry!$G$1707)</f>
        <v/>
      </c>
      <c r="N1704">
        <f>IF([2]Entry!$M$1707="","",[2]Entry!$M$1707)</f>
        <v/>
      </c>
      <c r="O1704">
        <f>IF([2]Entry!$N$1707="","",[2]Entry!$N$1707)</f>
        <v/>
      </c>
      <c r="P1704">
        <f>IF([2]Entry!$R$1707="","",[2]Entry!$R$1707)</f>
        <v/>
      </c>
    </row>
    <row r="1705">
      <c r="J1705">
        <f>IF([2]Entry!$C$1708="","",[2]Entry!$C$1708)</f>
        <v/>
      </c>
      <c r="K1705">
        <f>IF([2]Entry!$D$1708="","",[2]Entry!$D$1708)</f>
        <v/>
      </c>
      <c r="L1705">
        <f>IF([2]Entry!$E$1708="","",[2]Entry!$E$1708)</f>
        <v/>
      </c>
      <c r="M1705">
        <f>IF([2]Entry!$G$1708="","",[2]Entry!$G$1708)</f>
        <v/>
      </c>
      <c r="N1705">
        <f>IF([2]Entry!$M$1708="","",[2]Entry!$M$1708)</f>
        <v/>
      </c>
      <c r="O1705">
        <f>IF([2]Entry!$N$1708="","",[2]Entry!$N$1708)</f>
        <v/>
      </c>
      <c r="P1705">
        <f>IF([2]Entry!$R$1708="","",[2]Entry!$R$1708)</f>
        <v/>
      </c>
    </row>
    <row r="1706">
      <c r="J1706">
        <f>IF([2]Entry!$C$1709="","",[2]Entry!$C$1709)</f>
        <v/>
      </c>
      <c r="K1706">
        <f>IF([2]Entry!$D$1709="","",[2]Entry!$D$1709)</f>
        <v/>
      </c>
      <c r="L1706">
        <f>IF([2]Entry!$E$1709="","",[2]Entry!$E$1709)</f>
        <v/>
      </c>
      <c r="M1706">
        <f>IF([2]Entry!$G$1709="","",[2]Entry!$G$1709)</f>
        <v/>
      </c>
      <c r="N1706">
        <f>IF([2]Entry!$M$1709="","",[2]Entry!$M$1709)</f>
        <v/>
      </c>
      <c r="O1706">
        <f>IF([2]Entry!$N$1709="","",[2]Entry!$N$1709)</f>
        <v/>
      </c>
      <c r="P1706">
        <f>IF([2]Entry!$R$1709="","",[2]Entry!$R$1709)</f>
        <v/>
      </c>
    </row>
    <row r="1707">
      <c r="J1707">
        <f>IF([2]Entry!$C$1710="","",[2]Entry!$C$1710)</f>
        <v/>
      </c>
      <c r="K1707">
        <f>IF([2]Entry!$D$1710="","",[2]Entry!$D$1710)</f>
        <v/>
      </c>
      <c r="L1707">
        <f>IF([2]Entry!$E$1710="","",[2]Entry!$E$1710)</f>
        <v/>
      </c>
      <c r="M1707">
        <f>IF([2]Entry!$G$1710="","",[2]Entry!$G$1710)</f>
        <v/>
      </c>
      <c r="N1707">
        <f>IF([2]Entry!$M$1710="","",[2]Entry!$M$1710)</f>
        <v/>
      </c>
      <c r="O1707">
        <f>IF([2]Entry!$N$1710="","",[2]Entry!$N$1710)</f>
        <v/>
      </c>
      <c r="P1707">
        <f>IF([2]Entry!$R$1710="","",[2]Entry!$R$1710)</f>
        <v/>
      </c>
    </row>
    <row r="1708">
      <c r="J1708">
        <f>IF([2]Entry!$C$1711="","",[2]Entry!$C$1711)</f>
        <v/>
      </c>
      <c r="K1708">
        <f>IF([2]Entry!$D$1711="","",[2]Entry!$D$1711)</f>
        <v/>
      </c>
      <c r="L1708">
        <f>IF([2]Entry!$E$1711="","",[2]Entry!$E$1711)</f>
        <v/>
      </c>
      <c r="M1708">
        <f>IF([2]Entry!$G$1711="","",[2]Entry!$G$1711)</f>
        <v/>
      </c>
      <c r="N1708">
        <f>IF([2]Entry!$M$1711="","",[2]Entry!$M$1711)</f>
        <v/>
      </c>
      <c r="O1708">
        <f>IF([2]Entry!$N$1711="","",[2]Entry!$N$1711)</f>
        <v/>
      </c>
      <c r="P1708">
        <f>IF([2]Entry!$R$1711="","",[2]Entry!$R$1711)</f>
        <v/>
      </c>
    </row>
    <row r="1709">
      <c r="J1709">
        <f>IF([2]Entry!$C$1712="","",[2]Entry!$C$1712)</f>
        <v/>
      </c>
      <c r="K1709">
        <f>IF([2]Entry!$D$1712="","",[2]Entry!$D$1712)</f>
        <v/>
      </c>
      <c r="L1709">
        <f>IF([2]Entry!$E$1712="","",[2]Entry!$E$1712)</f>
        <v/>
      </c>
      <c r="M1709">
        <f>IF([2]Entry!$G$1712="","",[2]Entry!$G$1712)</f>
        <v/>
      </c>
      <c r="N1709">
        <f>IF([2]Entry!$M$1712="","",[2]Entry!$M$1712)</f>
        <v/>
      </c>
      <c r="O1709">
        <f>IF([2]Entry!$N$1712="","",[2]Entry!$N$1712)</f>
        <v/>
      </c>
      <c r="P1709">
        <f>IF([2]Entry!$R$1712="","",[2]Entry!$R$1712)</f>
        <v/>
      </c>
    </row>
    <row r="1710">
      <c r="J1710">
        <f>IF([2]Entry!$C$1713="","",[2]Entry!$C$1713)</f>
        <v/>
      </c>
      <c r="K1710">
        <f>IF([2]Entry!$D$1713="","",[2]Entry!$D$1713)</f>
        <v/>
      </c>
      <c r="L1710">
        <f>IF([2]Entry!$E$1713="","",[2]Entry!$E$1713)</f>
        <v/>
      </c>
      <c r="M1710">
        <f>IF([2]Entry!$G$1713="","",[2]Entry!$G$1713)</f>
        <v/>
      </c>
      <c r="N1710">
        <f>IF([2]Entry!$M$1713="","",[2]Entry!$M$1713)</f>
        <v/>
      </c>
      <c r="O1710">
        <f>IF([2]Entry!$N$1713="","",[2]Entry!$N$1713)</f>
        <v/>
      </c>
      <c r="P1710">
        <f>IF([2]Entry!$R$1713="","",[2]Entry!$R$1713)</f>
        <v/>
      </c>
    </row>
    <row r="1711">
      <c r="J1711">
        <f>IF([2]Entry!$C$1714="","",[2]Entry!$C$1714)</f>
        <v/>
      </c>
      <c r="K1711">
        <f>IF([2]Entry!$D$1714="","",[2]Entry!$D$1714)</f>
        <v/>
      </c>
      <c r="L1711">
        <f>IF([2]Entry!$E$1714="","",[2]Entry!$E$1714)</f>
        <v/>
      </c>
      <c r="M1711">
        <f>IF([2]Entry!$G$1714="","",[2]Entry!$G$1714)</f>
        <v/>
      </c>
      <c r="N1711">
        <f>IF([2]Entry!$M$1714="","",[2]Entry!$M$1714)</f>
        <v/>
      </c>
      <c r="O1711">
        <f>IF([2]Entry!$N$1714="","",[2]Entry!$N$1714)</f>
        <v/>
      </c>
      <c r="P1711">
        <f>IF([2]Entry!$R$1714="","",[2]Entry!$R$1714)</f>
        <v/>
      </c>
    </row>
    <row r="1712">
      <c r="J1712">
        <f>IF([2]Entry!$C$1715="","",[2]Entry!$C$1715)</f>
        <v/>
      </c>
      <c r="K1712">
        <f>IF([2]Entry!$D$1715="","",[2]Entry!$D$1715)</f>
        <v/>
      </c>
      <c r="L1712">
        <f>IF([2]Entry!$E$1715="","",[2]Entry!$E$1715)</f>
        <v/>
      </c>
      <c r="M1712">
        <f>IF([2]Entry!$G$1715="","",[2]Entry!$G$1715)</f>
        <v/>
      </c>
      <c r="N1712">
        <f>IF([2]Entry!$M$1715="","",[2]Entry!$M$1715)</f>
        <v/>
      </c>
      <c r="O1712">
        <f>IF([2]Entry!$N$1715="","",[2]Entry!$N$1715)</f>
        <v/>
      </c>
      <c r="P1712">
        <f>IF([2]Entry!$R$1715="","",[2]Entry!$R$1715)</f>
        <v/>
      </c>
    </row>
    <row r="1713">
      <c r="J1713">
        <f>IF([2]Entry!$C$1716="","",[2]Entry!$C$1716)</f>
        <v/>
      </c>
      <c r="K1713">
        <f>IF([2]Entry!$D$1716="","",[2]Entry!$D$1716)</f>
        <v/>
      </c>
      <c r="L1713">
        <f>IF([2]Entry!$E$1716="","",[2]Entry!$E$1716)</f>
        <v/>
      </c>
      <c r="M1713">
        <f>IF([2]Entry!$G$1716="","",[2]Entry!$G$1716)</f>
        <v/>
      </c>
      <c r="N1713">
        <f>IF([2]Entry!$M$1716="","",[2]Entry!$M$1716)</f>
        <v/>
      </c>
      <c r="O1713">
        <f>IF([2]Entry!$N$1716="","",[2]Entry!$N$1716)</f>
        <v/>
      </c>
      <c r="P1713">
        <f>IF([2]Entry!$R$1716="","",[2]Entry!$R$1716)</f>
        <v/>
      </c>
    </row>
    <row r="1714">
      <c r="J1714">
        <f>IF([2]Entry!$C$1717="","",[2]Entry!$C$1717)</f>
        <v/>
      </c>
      <c r="K1714">
        <f>IF([2]Entry!$D$1717="","",[2]Entry!$D$1717)</f>
        <v/>
      </c>
      <c r="L1714">
        <f>IF([2]Entry!$E$1717="","",[2]Entry!$E$1717)</f>
        <v/>
      </c>
      <c r="M1714">
        <f>IF([2]Entry!$G$1717="","",[2]Entry!$G$1717)</f>
        <v/>
      </c>
      <c r="N1714">
        <f>IF([2]Entry!$M$1717="","",[2]Entry!$M$1717)</f>
        <v/>
      </c>
      <c r="O1714">
        <f>IF([2]Entry!$N$1717="","",[2]Entry!$N$1717)</f>
        <v/>
      </c>
      <c r="P1714">
        <f>IF([2]Entry!$R$1717="","",[2]Entry!$R$1717)</f>
        <v/>
      </c>
    </row>
    <row r="1715">
      <c r="J1715">
        <f>IF([2]Entry!$C$1718="","",[2]Entry!$C$1718)</f>
        <v/>
      </c>
      <c r="K1715">
        <f>IF([2]Entry!$D$1718="","",[2]Entry!$D$1718)</f>
        <v/>
      </c>
      <c r="L1715">
        <f>IF([2]Entry!$E$1718="","",[2]Entry!$E$1718)</f>
        <v/>
      </c>
      <c r="M1715">
        <f>IF([2]Entry!$G$1718="","",[2]Entry!$G$1718)</f>
        <v/>
      </c>
      <c r="N1715">
        <f>IF([2]Entry!$M$1718="","",[2]Entry!$M$1718)</f>
        <v/>
      </c>
      <c r="O1715">
        <f>IF([2]Entry!$N$1718="","",[2]Entry!$N$1718)</f>
        <v/>
      </c>
      <c r="P1715">
        <f>IF([2]Entry!$R$1718="","",[2]Entry!$R$1718)</f>
        <v/>
      </c>
    </row>
    <row r="1716">
      <c r="J1716">
        <f>IF([2]Entry!$C$1719="","",[2]Entry!$C$1719)</f>
        <v/>
      </c>
      <c r="K1716">
        <f>IF([2]Entry!$D$1719="","",[2]Entry!$D$1719)</f>
        <v/>
      </c>
      <c r="L1716">
        <f>IF([2]Entry!$E$1719="","",[2]Entry!$E$1719)</f>
        <v/>
      </c>
      <c r="M1716">
        <f>IF([2]Entry!$G$1719="","",[2]Entry!$G$1719)</f>
        <v/>
      </c>
      <c r="N1716">
        <f>IF([2]Entry!$M$1719="","",[2]Entry!$M$1719)</f>
        <v/>
      </c>
      <c r="O1716">
        <f>IF([2]Entry!$N$1719="","",[2]Entry!$N$1719)</f>
        <v/>
      </c>
      <c r="P1716">
        <f>IF([2]Entry!$R$1719="","",[2]Entry!$R$1719)</f>
        <v/>
      </c>
    </row>
    <row r="1717">
      <c r="J1717">
        <f>IF([2]Entry!$C$1720="","",[2]Entry!$C$1720)</f>
        <v/>
      </c>
      <c r="K1717">
        <f>IF([2]Entry!$D$1720="","",[2]Entry!$D$1720)</f>
        <v/>
      </c>
      <c r="L1717">
        <f>IF([2]Entry!$E$1720="","",[2]Entry!$E$1720)</f>
        <v/>
      </c>
      <c r="M1717">
        <f>IF([2]Entry!$G$1720="","",[2]Entry!$G$1720)</f>
        <v/>
      </c>
      <c r="N1717">
        <f>IF([2]Entry!$M$1720="","",[2]Entry!$M$1720)</f>
        <v/>
      </c>
      <c r="O1717">
        <f>IF([2]Entry!$N$1720="","",[2]Entry!$N$1720)</f>
        <v/>
      </c>
      <c r="P1717">
        <f>IF([2]Entry!$R$1720="","",[2]Entry!$R$1720)</f>
        <v/>
      </c>
    </row>
    <row r="1718">
      <c r="J1718">
        <f>IF([2]Entry!$C$1721="","",[2]Entry!$C$1721)</f>
        <v/>
      </c>
      <c r="K1718">
        <f>IF([2]Entry!$D$1721="","",[2]Entry!$D$1721)</f>
        <v/>
      </c>
      <c r="L1718">
        <f>IF([2]Entry!$E$1721="","",[2]Entry!$E$1721)</f>
        <v/>
      </c>
      <c r="M1718">
        <f>IF([2]Entry!$G$1721="","",[2]Entry!$G$1721)</f>
        <v/>
      </c>
      <c r="N1718">
        <f>IF([2]Entry!$M$1721="","",[2]Entry!$M$1721)</f>
        <v/>
      </c>
      <c r="O1718">
        <f>IF([2]Entry!$N$1721="","",[2]Entry!$N$1721)</f>
        <v/>
      </c>
      <c r="P1718">
        <f>IF([2]Entry!$R$1721="","",[2]Entry!$R$1721)</f>
        <v/>
      </c>
    </row>
    <row r="1719">
      <c r="J1719">
        <f>IF([2]Entry!$C$1722="","",[2]Entry!$C$1722)</f>
        <v/>
      </c>
      <c r="K1719">
        <f>IF([2]Entry!$D$1722="","",[2]Entry!$D$1722)</f>
        <v/>
      </c>
      <c r="L1719">
        <f>IF([2]Entry!$E$1722="","",[2]Entry!$E$1722)</f>
        <v/>
      </c>
      <c r="M1719">
        <f>IF([2]Entry!$G$1722="","",[2]Entry!$G$1722)</f>
        <v/>
      </c>
      <c r="N1719">
        <f>IF([2]Entry!$M$1722="","",[2]Entry!$M$1722)</f>
        <v/>
      </c>
      <c r="O1719">
        <f>IF([2]Entry!$N$1722="","",[2]Entry!$N$1722)</f>
        <v/>
      </c>
      <c r="P1719">
        <f>IF([2]Entry!$R$1722="","",[2]Entry!$R$1722)</f>
        <v/>
      </c>
    </row>
    <row r="1720">
      <c r="J1720">
        <f>IF([2]Entry!$C$1723="","",[2]Entry!$C$1723)</f>
        <v/>
      </c>
      <c r="K1720">
        <f>IF([2]Entry!$D$1723="","",[2]Entry!$D$1723)</f>
        <v/>
      </c>
      <c r="L1720">
        <f>IF([2]Entry!$E$1723="","",[2]Entry!$E$1723)</f>
        <v/>
      </c>
      <c r="M1720">
        <f>IF([2]Entry!$G$1723="","",[2]Entry!$G$1723)</f>
        <v/>
      </c>
      <c r="N1720">
        <f>IF([2]Entry!$M$1723="","",[2]Entry!$M$1723)</f>
        <v/>
      </c>
      <c r="O1720">
        <f>IF([2]Entry!$N$1723="","",[2]Entry!$N$1723)</f>
        <v/>
      </c>
      <c r="P1720">
        <f>IF([2]Entry!$R$1723="","",[2]Entry!$R$1723)</f>
        <v/>
      </c>
    </row>
    <row r="1721">
      <c r="J1721">
        <f>IF([2]Entry!$C$1724="","",[2]Entry!$C$1724)</f>
        <v/>
      </c>
      <c r="K1721">
        <f>IF([2]Entry!$D$1724="","",[2]Entry!$D$1724)</f>
        <v/>
      </c>
      <c r="L1721">
        <f>IF([2]Entry!$E$1724="","",[2]Entry!$E$1724)</f>
        <v/>
      </c>
      <c r="M1721">
        <f>IF([2]Entry!$G$1724="","",[2]Entry!$G$1724)</f>
        <v/>
      </c>
      <c r="N1721">
        <f>IF([2]Entry!$M$1724="","",[2]Entry!$M$1724)</f>
        <v/>
      </c>
      <c r="O1721">
        <f>IF([2]Entry!$N$1724="","",[2]Entry!$N$1724)</f>
        <v/>
      </c>
      <c r="P1721">
        <f>IF([2]Entry!$R$1724="","",[2]Entry!$R$1724)</f>
        <v/>
      </c>
    </row>
    <row r="1722">
      <c r="J1722">
        <f>IF([2]Entry!$C$1725="","",[2]Entry!$C$1725)</f>
        <v/>
      </c>
      <c r="K1722">
        <f>IF([2]Entry!$D$1725="","",[2]Entry!$D$1725)</f>
        <v/>
      </c>
      <c r="L1722">
        <f>IF([2]Entry!$E$1725="","",[2]Entry!$E$1725)</f>
        <v/>
      </c>
      <c r="M1722">
        <f>IF([2]Entry!$G$1725="","",[2]Entry!$G$1725)</f>
        <v/>
      </c>
      <c r="N1722">
        <f>IF([2]Entry!$M$1725="","",[2]Entry!$M$1725)</f>
        <v/>
      </c>
      <c r="O1722">
        <f>IF([2]Entry!$N$1725="","",[2]Entry!$N$1725)</f>
        <v/>
      </c>
      <c r="P1722">
        <f>IF([2]Entry!$R$1725="","",[2]Entry!$R$1725)</f>
        <v/>
      </c>
    </row>
    <row r="1723">
      <c r="J1723">
        <f>IF([2]Entry!$C$1726="","",[2]Entry!$C$1726)</f>
        <v/>
      </c>
      <c r="K1723">
        <f>IF([2]Entry!$D$1726="","",[2]Entry!$D$1726)</f>
        <v/>
      </c>
      <c r="L1723">
        <f>IF([2]Entry!$E$1726="","",[2]Entry!$E$1726)</f>
        <v/>
      </c>
      <c r="M1723">
        <f>IF([2]Entry!$G$1726="","",[2]Entry!$G$1726)</f>
        <v/>
      </c>
      <c r="N1723">
        <f>IF([2]Entry!$M$1726="","",[2]Entry!$M$1726)</f>
        <v/>
      </c>
      <c r="O1723">
        <f>IF([2]Entry!$N$1726="","",[2]Entry!$N$1726)</f>
        <v/>
      </c>
      <c r="P1723">
        <f>IF([2]Entry!$R$1726="","",[2]Entry!$R$1726)</f>
        <v/>
      </c>
    </row>
    <row r="1724">
      <c r="J1724">
        <f>IF([2]Entry!$C$1727="","",[2]Entry!$C$1727)</f>
        <v/>
      </c>
      <c r="K1724">
        <f>IF([2]Entry!$D$1727="","",[2]Entry!$D$1727)</f>
        <v/>
      </c>
      <c r="L1724">
        <f>IF([2]Entry!$E$1727="","",[2]Entry!$E$1727)</f>
        <v/>
      </c>
      <c r="M1724">
        <f>IF([2]Entry!$G$1727="","",[2]Entry!$G$1727)</f>
        <v/>
      </c>
      <c r="N1724">
        <f>IF([2]Entry!$M$1727="","",[2]Entry!$M$1727)</f>
        <v/>
      </c>
      <c r="O1724">
        <f>IF([2]Entry!$N$1727="","",[2]Entry!$N$1727)</f>
        <v/>
      </c>
      <c r="P1724">
        <f>IF([2]Entry!$R$1727="","",[2]Entry!$R$1727)</f>
        <v/>
      </c>
    </row>
    <row r="1725">
      <c r="J1725">
        <f>IF([2]Entry!$C$1728="","",[2]Entry!$C$1728)</f>
        <v/>
      </c>
      <c r="K1725">
        <f>IF([2]Entry!$D$1728="","",[2]Entry!$D$1728)</f>
        <v/>
      </c>
      <c r="L1725">
        <f>IF([2]Entry!$E$1728="","",[2]Entry!$E$1728)</f>
        <v/>
      </c>
      <c r="M1725">
        <f>IF([2]Entry!$G$1728="","",[2]Entry!$G$1728)</f>
        <v/>
      </c>
      <c r="N1725">
        <f>IF([2]Entry!$M$1728="","",[2]Entry!$M$1728)</f>
        <v/>
      </c>
      <c r="O1725">
        <f>IF([2]Entry!$N$1728="","",[2]Entry!$N$1728)</f>
        <v/>
      </c>
      <c r="P1725">
        <f>IF([2]Entry!$R$1728="","",[2]Entry!$R$1728)</f>
        <v/>
      </c>
    </row>
    <row r="1726">
      <c r="J1726">
        <f>IF([2]Entry!$C$1729="","",[2]Entry!$C$1729)</f>
        <v/>
      </c>
      <c r="K1726">
        <f>IF([2]Entry!$D$1729="","",[2]Entry!$D$1729)</f>
        <v/>
      </c>
      <c r="L1726">
        <f>IF([2]Entry!$E$1729="","",[2]Entry!$E$1729)</f>
        <v/>
      </c>
      <c r="M1726">
        <f>IF([2]Entry!$G$1729="","",[2]Entry!$G$1729)</f>
        <v/>
      </c>
      <c r="N1726">
        <f>IF([2]Entry!$M$1729="","",[2]Entry!$M$1729)</f>
        <v/>
      </c>
      <c r="O1726">
        <f>IF([2]Entry!$N$1729="","",[2]Entry!$N$1729)</f>
        <v/>
      </c>
      <c r="P1726">
        <f>IF([2]Entry!$R$1729="","",[2]Entry!$R$1729)</f>
        <v/>
      </c>
    </row>
    <row r="1727">
      <c r="J1727">
        <f>IF([2]Entry!$C$1730="","",[2]Entry!$C$1730)</f>
        <v/>
      </c>
      <c r="K1727">
        <f>IF([2]Entry!$D$1730="","",[2]Entry!$D$1730)</f>
        <v/>
      </c>
      <c r="L1727">
        <f>IF([2]Entry!$E$1730="","",[2]Entry!$E$1730)</f>
        <v/>
      </c>
      <c r="M1727">
        <f>IF([2]Entry!$G$1730="","",[2]Entry!$G$1730)</f>
        <v/>
      </c>
      <c r="N1727">
        <f>IF([2]Entry!$M$1730="","",[2]Entry!$M$1730)</f>
        <v/>
      </c>
      <c r="O1727">
        <f>IF([2]Entry!$N$1730="","",[2]Entry!$N$1730)</f>
        <v/>
      </c>
      <c r="P1727">
        <f>IF([2]Entry!$R$1730="","",[2]Entry!$R$1730)</f>
        <v/>
      </c>
    </row>
    <row r="1728">
      <c r="J1728">
        <f>IF([2]Entry!$C$1731="","",[2]Entry!$C$1731)</f>
        <v/>
      </c>
      <c r="K1728">
        <f>IF([2]Entry!$D$1731="","",[2]Entry!$D$1731)</f>
        <v/>
      </c>
      <c r="L1728">
        <f>IF([2]Entry!$E$1731="","",[2]Entry!$E$1731)</f>
        <v/>
      </c>
      <c r="M1728">
        <f>IF([2]Entry!$G$1731="","",[2]Entry!$G$1731)</f>
        <v/>
      </c>
      <c r="N1728">
        <f>IF([2]Entry!$M$1731="","",[2]Entry!$M$1731)</f>
        <v/>
      </c>
      <c r="O1728">
        <f>IF([2]Entry!$N$1731="","",[2]Entry!$N$1731)</f>
        <v/>
      </c>
      <c r="P1728">
        <f>IF([2]Entry!$R$1731="","",[2]Entry!$R$1731)</f>
        <v/>
      </c>
    </row>
    <row r="1729">
      <c r="J1729">
        <f>IF([2]Entry!$C$1732="","",[2]Entry!$C$1732)</f>
        <v/>
      </c>
      <c r="K1729">
        <f>IF([2]Entry!$D$1732="","",[2]Entry!$D$1732)</f>
        <v/>
      </c>
      <c r="L1729">
        <f>IF([2]Entry!$E$1732="","",[2]Entry!$E$1732)</f>
        <v/>
      </c>
      <c r="M1729">
        <f>IF([2]Entry!$G$1732="","",[2]Entry!$G$1732)</f>
        <v/>
      </c>
      <c r="N1729">
        <f>IF([2]Entry!$M$1732="","",[2]Entry!$M$1732)</f>
        <v/>
      </c>
      <c r="O1729">
        <f>IF([2]Entry!$N$1732="","",[2]Entry!$N$1732)</f>
        <v/>
      </c>
      <c r="P1729">
        <f>IF([2]Entry!$R$1732="","",[2]Entry!$R$1732)</f>
        <v/>
      </c>
    </row>
    <row r="1730">
      <c r="J1730">
        <f>IF([2]Entry!$C$1733="","",[2]Entry!$C$1733)</f>
        <v/>
      </c>
      <c r="K1730">
        <f>IF([2]Entry!$D$1733="","",[2]Entry!$D$1733)</f>
        <v/>
      </c>
      <c r="L1730">
        <f>IF([2]Entry!$E$1733="","",[2]Entry!$E$1733)</f>
        <v/>
      </c>
      <c r="M1730">
        <f>IF([2]Entry!$G$1733="","",[2]Entry!$G$1733)</f>
        <v/>
      </c>
      <c r="N1730">
        <f>IF([2]Entry!$M$1733="","",[2]Entry!$M$1733)</f>
        <v/>
      </c>
      <c r="O1730">
        <f>IF([2]Entry!$N$1733="","",[2]Entry!$N$1733)</f>
        <v/>
      </c>
      <c r="P1730">
        <f>IF([2]Entry!$R$1733="","",[2]Entry!$R$1733)</f>
        <v/>
      </c>
    </row>
    <row r="1731">
      <c r="J1731">
        <f>IF([2]Entry!$C$1734="","",[2]Entry!$C$1734)</f>
        <v/>
      </c>
      <c r="K1731">
        <f>IF([2]Entry!$D$1734="","",[2]Entry!$D$1734)</f>
        <v/>
      </c>
      <c r="L1731">
        <f>IF([2]Entry!$E$1734="","",[2]Entry!$E$1734)</f>
        <v/>
      </c>
      <c r="M1731">
        <f>IF([2]Entry!$G$1734="","",[2]Entry!$G$1734)</f>
        <v/>
      </c>
      <c r="N1731">
        <f>IF([2]Entry!$M$1734="","",[2]Entry!$M$1734)</f>
        <v/>
      </c>
      <c r="O1731">
        <f>IF([2]Entry!$N$1734="","",[2]Entry!$N$1734)</f>
        <v/>
      </c>
      <c r="P1731">
        <f>IF([2]Entry!$R$1734="","",[2]Entry!$R$1734)</f>
        <v/>
      </c>
    </row>
    <row r="1732">
      <c r="J1732">
        <f>IF([2]Entry!$C$1735="","",[2]Entry!$C$1735)</f>
        <v/>
      </c>
      <c r="K1732">
        <f>IF([2]Entry!$D$1735="","",[2]Entry!$D$1735)</f>
        <v/>
      </c>
      <c r="L1732">
        <f>IF([2]Entry!$E$1735="","",[2]Entry!$E$1735)</f>
        <v/>
      </c>
      <c r="M1732">
        <f>IF([2]Entry!$G$1735="","",[2]Entry!$G$1735)</f>
        <v/>
      </c>
      <c r="N1732">
        <f>IF([2]Entry!$M$1735="","",[2]Entry!$M$1735)</f>
        <v/>
      </c>
      <c r="O1732">
        <f>IF([2]Entry!$N$1735="","",[2]Entry!$N$1735)</f>
        <v/>
      </c>
      <c r="P1732">
        <f>IF([2]Entry!$R$1735="","",[2]Entry!$R$1735)</f>
        <v/>
      </c>
    </row>
    <row r="1733">
      <c r="J1733">
        <f>IF([2]Entry!$C$1736="","",[2]Entry!$C$1736)</f>
        <v/>
      </c>
      <c r="K1733">
        <f>IF([2]Entry!$D$1736="","",[2]Entry!$D$1736)</f>
        <v/>
      </c>
      <c r="L1733">
        <f>IF([2]Entry!$E$1736="","",[2]Entry!$E$1736)</f>
        <v/>
      </c>
      <c r="M1733">
        <f>IF([2]Entry!$G$1736="","",[2]Entry!$G$1736)</f>
        <v/>
      </c>
      <c r="N1733">
        <f>IF([2]Entry!$M$1736="","",[2]Entry!$M$1736)</f>
        <v/>
      </c>
      <c r="O1733">
        <f>IF([2]Entry!$N$1736="","",[2]Entry!$N$1736)</f>
        <v/>
      </c>
      <c r="P1733">
        <f>IF([2]Entry!$R$1736="","",[2]Entry!$R$1736)</f>
        <v/>
      </c>
    </row>
    <row r="1734">
      <c r="J1734">
        <f>IF([2]Entry!$C$1737="","",[2]Entry!$C$1737)</f>
        <v/>
      </c>
      <c r="K1734">
        <f>IF([2]Entry!$D$1737="","",[2]Entry!$D$1737)</f>
        <v/>
      </c>
      <c r="L1734">
        <f>IF([2]Entry!$E$1737="","",[2]Entry!$E$1737)</f>
        <v/>
      </c>
      <c r="M1734">
        <f>IF([2]Entry!$G$1737="","",[2]Entry!$G$1737)</f>
        <v/>
      </c>
      <c r="N1734">
        <f>IF([2]Entry!$M$1737="","",[2]Entry!$M$1737)</f>
        <v/>
      </c>
      <c r="O1734">
        <f>IF([2]Entry!$N$1737="","",[2]Entry!$N$1737)</f>
        <v/>
      </c>
      <c r="P1734">
        <f>IF([2]Entry!$R$1737="","",[2]Entry!$R$1737)</f>
        <v/>
      </c>
    </row>
    <row r="1735">
      <c r="J1735">
        <f>IF([2]Entry!$C$1738="","",[2]Entry!$C$1738)</f>
        <v/>
      </c>
      <c r="K1735">
        <f>IF([2]Entry!$D$1738="","",[2]Entry!$D$1738)</f>
        <v/>
      </c>
      <c r="L1735">
        <f>IF([2]Entry!$E$1738="","",[2]Entry!$E$1738)</f>
        <v/>
      </c>
      <c r="M1735">
        <f>IF([2]Entry!$G$1738="","",[2]Entry!$G$1738)</f>
        <v/>
      </c>
      <c r="N1735">
        <f>IF([2]Entry!$M$1738="","",[2]Entry!$M$1738)</f>
        <v/>
      </c>
      <c r="O1735">
        <f>IF([2]Entry!$N$1738="","",[2]Entry!$N$1738)</f>
        <v/>
      </c>
      <c r="P1735">
        <f>IF([2]Entry!$R$1738="","",[2]Entry!$R$1738)</f>
        <v/>
      </c>
    </row>
    <row r="1736">
      <c r="J1736">
        <f>IF([2]Entry!$C$1739="","",[2]Entry!$C$1739)</f>
        <v/>
      </c>
      <c r="K1736">
        <f>IF([2]Entry!$D$1739="","",[2]Entry!$D$1739)</f>
        <v/>
      </c>
      <c r="L1736">
        <f>IF([2]Entry!$E$1739="","",[2]Entry!$E$1739)</f>
        <v/>
      </c>
      <c r="M1736">
        <f>IF([2]Entry!$G$1739="","",[2]Entry!$G$1739)</f>
        <v/>
      </c>
      <c r="N1736">
        <f>IF([2]Entry!$M$1739="","",[2]Entry!$M$1739)</f>
        <v/>
      </c>
      <c r="O1736">
        <f>IF([2]Entry!$N$1739="","",[2]Entry!$N$1739)</f>
        <v/>
      </c>
      <c r="P1736">
        <f>IF([2]Entry!$R$1739="","",[2]Entry!$R$1739)</f>
        <v/>
      </c>
    </row>
    <row r="1737">
      <c r="J1737">
        <f>IF([2]Entry!$C$1740="","",[2]Entry!$C$1740)</f>
        <v/>
      </c>
      <c r="K1737">
        <f>IF([2]Entry!$D$1740="","",[2]Entry!$D$1740)</f>
        <v/>
      </c>
      <c r="L1737">
        <f>IF([2]Entry!$E$1740="","",[2]Entry!$E$1740)</f>
        <v/>
      </c>
      <c r="M1737">
        <f>IF([2]Entry!$G$1740="","",[2]Entry!$G$1740)</f>
        <v/>
      </c>
      <c r="N1737">
        <f>IF([2]Entry!$M$1740="","",[2]Entry!$M$1740)</f>
        <v/>
      </c>
      <c r="O1737">
        <f>IF([2]Entry!$N$1740="","",[2]Entry!$N$1740)</f>
        <v/>
      </c>
      <c r="P1737">
        <f>IF([2]Entry!$R$1740="","",[2]Entry!$R$1740)</f>
        <v/>
      </c>
    </row>
    <row r="1738">
      <c r="J1738">
        <f>IF([2]Entry!$C$1741="","",[2]Entry!$C$1741)</f>
        <v/>
      </c>
      <c r="K1738">
        <f>IF([2]Entry!$D$1741="","",[2]Entry!$D$1741)</f>
        <v/>
      </c>
      <c r="L1738">
        <f>IF([2]Entry!$E$1741="","",[2]Entry!$E$1741)</f>
        <v/>
      </c>
      <c r="M1738">
        <f>IF([2]Entry!$G$1741="","",[2]Entry!$G$1741)</f>
        <v/>
      </c>
      <c r="N1738">
        <f>IF([2]Entry!$M$1741="","",[2]Entry!$M$1741)</f>
        <v/>
      </c>
      <c r="O1738">
        <f>IF([2]Entry!$N$1741="","",[2]Entry!$N$1741)</f>
        <v/>
      </c>
      <c r="P1738">
        <f>IF([2]Entry!$R$1741="","",[2]Entry!$R$1741)</f>
        <v/>
      </c>
    </row>
    <row r="1739">
      <c r="J1739">
        <f>IF([2]Entry!$C$1742="","",[2]Entry!$C$1742)</f>
        <v/>
      </c>
      <c r="K1739">
        <f>IF([2]Entry!$D$1742="","",[2]Entry!$D$1742)</f>
        <v/>
      </c>
      <c r="L1739">
        <f>IF([2]Entry!$E$1742="","",[2]Entry!$E$1742)</f>
        <v/>
      </c>
      <c r="M1739">
        <f>IF([2]Entry!$G$1742="","",[2]Entry!$G$1742)</f>
        <v/>
      </c>
      <c r="N1739">
        <f>IF([2]Entry!$M$1742="","",[2]Entry!$M$1742)</f>
        <v/>
      </c>
      <c r="O1739">
        <f>IF([2]Entry!$N$1742="","",[2]Entry!$N$1742)</f>
        <v/>
      </c>
      <c r="P1739">
        <f>IF([2]Entry!$R$1742="","",[2]Entry!$R$1742)</f>
        <v/>
      </c>
    </row>
    <row r="1740">
      <c r="J1740">
        <f>IF([2]Entry!$C$1743="","",[2]Entry!$C$1743)</f>
        <v/>
      </c>
      <c r="K1740">
        <f>IF([2]Entry!$D$1743="","",[2]Entry!$D$1743)</f>
        <v/>
      </c>
      <c r="L1740">
        <f>IF([2]Entry!$E$1743="","",[2]Entry!$E$1743)</f>
        <v/>
      </c>
      <c r="M1740">
        <f>IF([2]Entry!$G$1743="","",[2]Entry!$G$1743)</f>
        <v/>
      </c>
      <c r="N1740">
        <f>IF([2]Entry!$M$1743="","",[2]Entry!$M$1743)</f>
        <v/>
      </c>
      <c r="O1740">
        <f>IF([2]Entry!$N$1743="","",[2]Entry!$N$1743)</f>
        <v/>
      </c>
      <c r="P1740">
        <f>IF([2]Entry!$R$1743="","",[2]Entry!$R$1743)</f>
        <v/>
      </c>
    </row>
    <row r="1741">
      <c r="J1741">
        <f>IF([2]Entry!$C$1744="","",[2]Entry!$C$1744)</f>
        <v/>
      </c>
      <c r="K1741">
        <f>IF([2]Entry!$D$1744="","",[2]Entry!$D$1744)</f>
        <v/>
      </c>
      <c r="L1741">
        <f>IF([2]Entry!$E$1744="","",[2]Entry!$E$1744)</f>
        <v/>
      </c>
      <c r="M1741">
        <f>IF([2]Entry!$G$1744="","",[2]Entry!$G$1744)</f>
        <v/>
      </c>
      <c r="N1741">
        <f>IF([2]Entry!$M$1744="","",[2]Entry!$M$1744)</f>
        <v/>
      </c>
      <c r="O1741">
        <f>IF([2]Entry!$N$1744="","",[2]Entry!$N$1744)</f>
        <v/>
      </c>
      <c r="P1741">
        <f>IF([2]Entry!$R$1744="","",[2]Entry!$R$1744)</f>
        <v/>
      </c>
    </row>
    <row r="1742">
      <c r="J1742">
        <f>IF([2]Entry!$C$1745="","",[2]Entry!$C$1745)</f>
        <v/>
      </c>
      <c r="K1742">
        <f>IF([2]Entry!$D$1745="","",[2]Entry!$D$1745)</f>
        <v/>
      </c>
      <c r="L1742">
        <f>IF([2]Entry!$E$1745="","",[2]Entry!$E$1745)</f>
        <v/>
      </c>
      <c r="M1742">
        <f>IF([2]Entry!$G$1745="","",[2]Entry!$G$1745)</f>
        <v/>
      </c>
      <c r="N1742">
        <f>IF([2]Entry!$M$1745="","",[2]Entry!$M$1745)</f>
        <v/>
      </c>
      <c r="O1742">
        <f>IF([2]Entry!$N$1745="","",[2]Entry!$N$1745)</f>
        <v/>
      </c>
      <c r="P1742">
        <f>IF([2]Entry!$R$1745="","",[2]Entry!$R$1745)</f>
        <v/>
      </c>
    </row>
    <row r="1743">
      <c r="J1743">
        <f>IF([2]Entry!$C$1746="","",[2]Entry!$C$1746)</f>
        <v/>
      </c>
      <c r="K1743">
        <f>IF([2]Entry!$D$1746="","",[2]Entry!$D$1746)</f>
        <v/>
      </c>
      <c r="L1743">
        <f>IF([2]Entry!$E$1746="","",[2]Entry!$E$1746)</f>
        <v/>
      </c>
      <c r="M1743">
        <f>IF([2]Entry!$G$1746="","",[2]Entry!$G$1746)</f>
        <v/>
      </c>
      <c r="N1743">
        <f>IF([2]Entry!$M$1746="","",[2]Entry!$M$1746)</f>
        <v/>
      </c>
      <c r="O1743">
        <f>IF([2]Entry!$N$1746="","",[2]Entry!$N$1746)</f>
        <v/>
      </c>
      <c r="P1743">
        <f>IF([2]Entry!$R$1746="","",[2]Entry!$R$1746)</f>
        <v/>
      </c>
    </row>
    <row r="1744">
      <c r="J1744">
        <f>IF([2]Entry!$C$1747="","",[2]Entry!$C$1747)</f>
        <v/>
      </c>
      <c r="K1744">
        <f>IF([2]Entry!$D$1747="","",[2]Entry!$D$1747)</f>
        <v/>
      </c>
      <c r="L1744">
        <f>IF([2]Entry!$E$1747="","",[2]Entry!$E$1747)</f>
        <v/>
      </c>
      <c r="M1744">
        <f>IF([2]Entry!$G$1747="","",[2]Entry!$G$1747)</f>
        <v/>
      </c>
      <c r="N1744">
        <f>IF([2]Entry!$M$1747="","",[2]Entry!$M$1747)</f>
        <v/>
      </c>
      <c r="O1744">
        <f>IF([2]Entry!$N$1747="","",[2]Entry!$N$1747)</f>
        <v/>
      </c>
      <c r="P1744">
        <f>IF([2]Entry!$R$1747="","",[2]Entry!$R$1747)</f>
        <v/>
      </c>
    </row>
    <row r="1745">
      <c r="J1745">
        <f>IF([2]Entry!$C$1748="","",[2]Entry!$C$1748)</f>
        <v/>
      </c>
      <c r="K1745">
        <f>IF([2]Entry!$D$1748="","",[2]Entry!$D$1748)</f>
        <v/>
      </c>
      <c r="L1745">
        <f>IF([2]Entry!$E$1748="","",[2]Entry!$E$1748)</f>
        <v/>
      </c>
      <c r="M1745">
        <f>IF([2]Entry!$G$1748="","",[2]Entry!$G$1748)</f>
        <v/>
      </c>
      <c r="N1745">
        <f>IF([2]Entry!$M$1748="","",[2]Entry!$M$1748)</f>
        <v/>
      </c>
      <c r="O1745">
        <f>IF([2]Entry!$N$1748="","",[2]Entry!$N$1748)</f>
        <v/>
      </c>
      <c r="P1745">
        <f>IF([2]Entry!$R$1748="","",[2]Entry!$R$1748)</f>
        <v/>
      </c>
    </row>
    <row r="1746">
      <c r="J1746">
        <f>IF([2]Entry!$C$1749="","",[2]Entry!$C$1749)</f>
        <v/>
      </c>
      <c r="K1746">
        <f>IF([2]Entry!$D$1749="","",[2]Entry!$D$1749)</f>
        <v/>
      </c>
      <c r="L1746">
        <f>IF([2]Entry!$E$1749="","",[2]Entry!$E$1749)</f>
        <v/>
      </c>
      <c r="M1746">
        <f>IF([2]Entry!$G$1749="","",[2]Entry!$G$1749)</f>
        <v/>
      </c>
      <c r="N1746">
        <f>IF([2]Entry!$M$1749="","",[2]Entry!$M$1749)</f>
        <v/>
      </c>
      <c r="O1746">
        <f>IF([2]Entry!$N$1749="","",[2]Entry!$N$1749)</f>
        <v/>
      </c>
      <c r="P1746">
        <f>IF([2]Entry!$R$1749="","",[2]Entry!$R$1749)</f>
        <v/>
      </c>
    </row>
    <row r="1747">
      <c r="J1747">
        <f>IF([2]Entry!$C$1750="","",[2]Entry!$C$1750)</f>
        <v/>
      </c>
      <c r="K1747">
        <f>IF([2]Entry!$D$1750="","",[2]Entry!$D$1750)</f>
        <v/>
      </c>
      <c r="L1747">
        <f>IF([2]Entry!$E$1750="","",[2]Entry!$E$1750)</f>
        <v/>
      </c>
      <c r="M1747">
        <f>IF([2]Entry!$G$1750="","",[2]Entry!$G$1750)</f>
        <v/>
      </c>
      <c r="N1747">
        <f>IF([2]Entry!$M$1750="","",[2]Entry!$M$1750)</f>
        <v/>
      </c>
      <c r="O1747">
        <f>IF([2]Entry!$N$1750="","",[2]Entry!$N$1750)</f>
        <v/>
      </c>
      <c r="P1747">
        <f>IF([2]Entry!$R$1750="","",[2]Entry!$R$1750)</f>
        <v/>
      </c>
    </row>
    <row r="1748">
      <c r="J1748">
        <f>IF([2]Entry!$C$1751="","",[2]Entry!$C$1751)</f>
        <v/>
      </c>
      <c r="K1748">
        <f>IF([2]Entry!$D$1751="","",[2]Entry!$D$1751)</f>
        <v/>
      </c>
      <c r="L1748">
        <f>IF([2]Entry!$E$1751="","",[2]Entry!$E$1751)</f>
        <v/>
      </c>
      <c r="M1748">
        <f>IF([2]Entry!$G$1751="","",[2]Entry!$G$1751)</f>
        <v/>
      </c>
      <c r="N1748">
        <f>IF([2]Entry!$M$1751="","",[2]Entry!$M$1751)</f>
        <v/>
      </c>
      <c r="O1748">
        <f>IF([2]Entry!$N$1751="","",[2]Entry!$N$1751)</f>
        <v/>
      </c>
      <c r="P1748">
        <f>IF([2]Entry!$R$1751="","",[2]Entry!$R$1751)</f>
        <v/>
      </c>
    </row>
    <row r="1749">
      <c r="J1749">
        <f>IF([2]Entry!$C$1752="","",[2]Entry!$C$1752)</f>
        <v/>
      </c>
      <c r="K1749">
        <f>IF([2]Entry!$D$1752="","",[2]Entry!$D$1752)</f>
        <v/>
      </c>
      <c r="L1749">
        <f>IF([2]Entry!$E$1752="","",[2]Entry!$E$1752)</f>
        <v/>
      </c>
      <c r="M1749">
        <f>IF([2]Entry!$G$1752="","",[2]Entry!$G$1752)</f>
        <v/>
      </c>
      <c r="N1749">
        <f>IF([2]Entry!$M$1752="","",[2]Entry!$M$1752)</f>
        <v/>
      </c>
      <c r="O1749">
        <f>IF([2]Entry!$N$1752="","",[2]Entry!$N$1752)</f>
        <v/>
      </c>
      <c r="P1749">
        <f>IF([2]Entry!$R$1752="","",[2]Entry!$R$1752)</f>
        <v/>
      </c>
    </row>
    <row r="1750">
      <c r="J1750">
        <f>IF([2]Entry!$C$1753="","",[2]Entry!$C$1753)</f>
        <v/>
      </c>
      <c r="K1750">
        <f>IF([2]Entry!$D$1753="","",[2]Entry!$D$1753)</f>
        <v/>
      </c>
      <c r="L1750">
        <f>IF([2]Entry!$E$1753="","",[2]Entry!$E$1753)</f>
        <v/>
      </c>
      <c r="M1750">
        <f>IF([2]Entry!$G$1753="","",[2]Entry!$G$1753)</f>
        <v/>
      </c>
      <c r="N1750">
        <f>IF([2]Entry!$M$1753="","",[2]Entry!$M$1753)</f>
        <v/>
      </c>
      <c r="O1750">
        <f>IF([2]Entry!$N$1753="","",[2]Entry!$N$1753)</f>
        <v/>
      </c>
      <c r="P1750">
        <f>IF([2]Entry!$R$1753="","",[2]Entry!$R$1753)</f>
        <v/>
      </c>
    </row>
    <row r="1751">
      <c r="J1751">
        <f>IF([2]Entry!$C$1754="","",[2]Entry!$C$1754)</f>
        <v/>
      </c>
      <c r="K1751">
        <f>IF([2]Entry!$D$1754="","",[2]Entry!$D$1754)</f>
        <v/>
      </c>
      <c r="L1751">
        <f>IF([2]Entry!$E$1754="","",[2]Entry!$E$1754)</f>
        <v/>
      </c>
      <c r="M1751">
        <f>IF([2]Entry!$G$1754="","",[2]Entry!$G$1754)</f>
        <v/>
      </c>
      <c r="N1751">
        <f>IF([2]Entry!$M$1754="","",[2]Entry!$M$1754)</f>
        <v/>
      </c>
      <c r="O1751">
        <f>IF([2]Entry!$N$1754="","",[2]Entry!$N$1754)</f>
        <v/>
      </c>
      <c r="P1751">
        <f>IF([2]Entry!$R$1754="","",[2]Entry!$R$1754)</f>
        <v/>
      </c>
    </row>
    <row r="1752">
      <c r="J1752">
        <f>IF([2]Entry!$C$1755="","",[2]Entry!$C$1755)</f>
        <v/>
      </c>
      <c r="K1752">
        <f>IF([2]Entry!$D$1755="","",[2]Entry!$D$1755)</f>
        <v/>
      </c>
      <c r="L1752">
        <f>IF([2]Entry!$E$1755="","",[2]Entry!$E$1755)</f>
        <v/>
      </c>
      <c r="M1752">
        <f>IF([2]Entry!$G$1755="","",[2]Entry!$G$1755)</f>
        <v/>
      </c>
      <c r="N1752">
        <f>IF([2]Entry!$M$1755="","",[2]Entry!$M$1755)</f>
        <v/>
      </c>
      <c r="O1752">
        <f>IF([2]Entry!$N$1755="","",[2]Entry!$N$1755)</f>
        <v/>
      </c>
      <c r="P1752">
        <f>IF([2]Entry!$R$1755="","",[2]Entry!$R$1755)</f>
        <v/>
      </c>
    </row>
    <row r="1753">
      <c r="J1753">
        <f>IF([2]Entry!$C$1756="","",[2]Entry!$C$1756)</f>
        <v/>
      </c>
      <c r="K1753">
        <f>IF([2]Entry!$D$1756="","",[2]Entry!$D$1756)</f>
        <v/>
      </c>
      <c r="L1753">
        <f>IF([2]Entry!$E$1756="","",[2]Entry!$E$1756)</f>
        <v/>
      </c>
      <c r="M1753">
        <f>IF([2]Entry!$G$1756="","",[2]Entry!$G$1756)</f>
        <v/>
      </c>
      <c r="N1753">
        <f>IF([2]Entry!$M$1756="","",[2]Entry!$M$1756)</f>
        <v/>
      </c>
      <c r="O1753">
        <f>IF([2]Entry!$N$1756="","",[2]Entry!$N$1756)</f>
        <v/>
      </c>
      <c r="P1753">
        <f>IF([2]Entry!$R$1756="","",[2]Entry!$R$1756)</f>
        <v/>
      </c>
    </row>
    <row r="1754">
      <c r="J1754">
        <f>IF([2]Entry!$C$1757="","",[2]Entry!$C$1757)</f>
        <v/>
      </c>
      <c r="K1754">
        <f>IF([2]Entry!$D$1757="","",[2]Entry!$D$1757)</f>
        <v/>
      </c>
      <c r="L1754">
        <f>IF([2]Entry!$E$1757="","",[2]Entry!$E$1757)</f>
        <v/>
      </c>
      <c r="M1754">
        <f>IF([2]Entry!$G$1757="","",[2]Entry!$G$1757)</f>
        <v/>
      </c>
      <c r="N1754">
        <f>IF([2]Entry!$M$1757="","",[2]Entry!$M$1757)</f>
        <v/>
      </c>
      <c r="O1754">
        <f>IF([2]Entry!$N$1757="","",[2]Entry!$N$1757)</f>
        <v/>
      </c>
      <c r="P1754">
        <f>IF([2]Entry!$R$1757="","",[2]Entry!$R$1757)</f>
        <v/>
      </c>
    </row>
    <row r="1755">
      <c r="J1755">
        <f>IF([2]Entry!$C$1758="","",[2]Entry!$C$1758)</f>
        <v/>
      </c>
      <c r="K1755">
        <f>IF([2]Entry!$D$1758="","",[2]Entry!$D$1758)</f>
        <v/>
      </c>
      <c r="L1755">
        <f>IF([2]Entry!$E$1758="","",[2]Entry!$E$1758)</f>
        <v/>
      </c>
      <c r="M1755">
        <f>IF([2]Entry!$G$1758="","",[2]Entry!$G$1758)</f>
        <v/>
      </c>
      <c r="N1755">
        <f>IF([2]Entry!$M$1758="","",[2]Entry!$M$1758)</f>
        <v/>
      </c>
      <c r="O1755">
        <f>IF([2]Entry!$N$1758="","",[2]Entry!$N$1758)</f>
        <v/>
      </c>
      <c r="P1755">
        <f>IF([2]Entry!$R$1758="","",[2]Entry!$R$1758)</f>
        <v/>
      </c>
    </row>
    <row r="1756">
      <c r="J1756">
        <f>IF([2]Entry!$C$1759="","",[2]Entry!$C$1759)</f>
        <v/>
      </c>
      <c r="K1756">
        <f>IF([2]Entry!$D$1759="","",[2]Entry!$D$1759)</f>
        <v/>
      </c>
      <c r="L1756">
        <f>IF([2]Entry!$E$1759="","",[2]Entry!$E$1759)</f>
        <v/>
      </c>
      <c r="M1756">
        <f>IF([2]Entry!$G$1759="","",[2]Entry!$G$1759)</f>
        <v/>
      </c>
      <c r="N1756">
        <f>IF([2]Entry!$M$1759="","",[2]Entry!$M$1759)</f>
        <v/>
      </c>
      <c r="O1756">
        <f>IF([2]Entry!$N$1759="","",[2]Entry!$N$1759)</f>
        <v/>
      </c>
      <c r="P1756">
        <f>IF([2]Entry!$R$1759="","",[2]Entry!$R$1759)</f>
        <v/>
      </c>
    </row>
    <row r="1757">
      <c r="J1757">
        <f>IF([2]Entry!$C$1760="","",[2]Entry!$C$1760)</f>
        <v/>
      </c>
      <c r="K1757">
        <f>IF([2]Entry!$D$1760="","",[2]Entry!$D$1760)</f>
        <v/>
      </c>
      <c r="L1757">
        <f>IF([2]Entry!$E$1760="","",[2]Entry!$E$1760)</f>
        <v/>
      </c>
      <c r="M1757">
        <f>IF([2]Entry!$G$1760="","",[2]Entry!$G$1760)</f>
        <v/>
      </c>
      <c r="N1757">
        <f>IF([2]Entry!$M$1760="","",[2]Entry!$M$1760)</f>
        <v/>
      </c>
      <c r="O1757">
        <f>IF([2]Entry!$N$1760="","",[2]Entry!$N$1760)</f>
        <v/>
      </c>
      <c r="P1757">
        <f>IF([2]Entry!$R$1760="","",[2]Entry!$R$1760)</f>
        <v/>
      </c>
    </row>
    <row r="1758">
      <c r="J1758">
        <f>IF([2]Entry!$C$1761="","",[2]Entry!$C$1761)</f>
        <v/>
      </c>
      <c r="K1758">
        <f>IF([2]Entry!$D$1761="","",[2]Entry!$D$1761)</f>
        <v/>
      </c>
      <c r="L1758">
        <f>IF([2]Entry!$E$1761="","",[2]Entry!$E$1761)</f>
        <v/>
      </c>
      <c r="M1758">
        <f>IF([2]Entry!$G$1761="","",[2]Entry!$G$1761)</f>
        <v/>
      </c>
      <c r="N1758">
        <f>IF([2]Entry!$M$1761="","",[2]Entry!$M$1761)</f>
        <v/>
      </c>
      <c r="O1758">
        <f>IF([2]Entry!$N$1761="","",[2]Entry!$N$1761)</f>
        <v/>
      </c>
      <c r="P1758">
        <f>IF([2]Entry!$R$1761="","",[2]Entry!$R$1761)</f>
        <v/>
      </c>
    </row>
    <row r="1759">
      <c r="J1759">
        <f>IF([2]Entry!$C$1762="","",[2]Entry!$C$1762)</f>
        <v/>
      </c>
      <c r="K1759">
        <f>IF([2]Entry!$D$1762="","",[2]Entry!$D$1762)</f>
        <v/>
      </c>
      <c r="L1759">
        <f>IF([2]Entry!$E$1762="","",[2]Entry!$E$1762)</f>
        <v/>
      </c>
      <c r="M1759">
        <f>IF([2]Entry!$G$1762="","",[2]Entry!$G$1762)</f>
        <v/>
      </c>
      <c r="N1759">
        <f>IF([2]Entry!$M$1762="","",[2]Entry!$M$1762)</f>
        <v/>
      </c>
      <c r="O1759">
        <f>IF([2]Entry!$N$1762="","",[2]Entry!$N$1762)</f>
        <v/>
      </c>
      <c r="P1759">
        <f>IF([2]Entry!$R$1762="","",[2]Entry!$R$1762)</f>
        <v/>
      </c>
    </row>
    <row r="1760">
      <c r="J1760">
        <f>IF([2]Entry!$C$1763="","",[2]Entry!$C$1763)</f>
        <v/>
      </c>
      <c r="K1760">
        <f>IF([2]Entry!$D$1763="","",[2]Entry!$D$1763)</f>
        <v/>
      </c>
      <c r="L1760">
        <f>IF([2]Entry!$E$1763="","",[2]Entry!$E$1763)</f>
        <v/>
      </c>
      <c r="M1760">
        <f>IF([2]Entry!$G$1763="","",[2]Entry!$G$1763)</f>
        <v/>
      </c>
      <c r="N1760">
        <f>IF([2]Entry!$M$1763="","",[2]Entry!$M$1763)</f>
        <v/>
      </c>
      <c r="O1760">
        <f>IF([2]Entry!$N$1763="","",[2]Entry!$N$1763)</f>
        <v/>
      </c>
      <c r="P1760">
        <f>IF([2]Entry!$R$1763="","",[2]Entry!$R$1763)</f>
        <v/>
      </c>
    </row>
    <row r="1761">
      <c r="J1761">
        <f>IF([2]Entry!$C$1764="","",[2]Entry!$C$1764)</f>
        <v/>
      </c>
      <c r="K1761">
        <f>IF([2]Entry!$D$1764="","",[2]Entry!$D$1764)</f>
        <v/>
      </c>
      <c r="L1761">
        <f>IF([2]Entry!$E$1764="","",[2]Entry!$E$1764)</f>
        <v/>
      </c>
      <c r="M1761">
        <f>IF([2]Entry!$G$1764="","",[2]Entry!$G$1764)</f>
        <v/>
      </c>
      <c r="N1761">
        <f>IF([2]Entry!$M$1764="","",[2]Entry!$M$1764)</f>
        <v/>
      </c>
      <c r="O1761">
        <f>IF([2]Entry!$N$1764="","",[2]Entry!$N$1764)</f>
        <v/>
      </c>
      <c r="P1761">
        <f>IF([2]Entry!$R$1764="","",[2]Entry!$R$1764)</f>
        <v/>
      </c>
    </row>
    <row r="1762">
      <c r="J1762">
        <f>IF([2]Entry!$C$1765="","",[2]Entry!$C$1765)</f>
        <v/>
      </c>
      <c r="K1762">
        <f>IF([2]Entry!$D$1765="","",[2]Entry!$D$1765)</f>
        <v/>
      </c>
      <c r="L1762">
        <f>IF([2]Entry!$E$1765="","",[2]Entry!$E$1765)</f>
        <v/>
      </c>
      <c r="M1762">
        <f>IF([2]Entry!$G$1765="","",[2]Entry!$G$1765)</f>
        <v/>
      </c>
      <c r="N1762">
        <f>IF([2]Entry!$M$1765="","",[2]Entry!$M$1765)</f>
        <v/>
      </c>
      <c r="O1762">
        <f>IF([2]Entry!$N$1765="","",[2]Entry!$N$1765)</f>
        <v/>
      </c>
      <c r="P1762">
        <f>IF([2]Entry!$R$1765="","",[2]Entry!$R$1765)</f>
        <v/>
      </c>
    </row>
    <row r="1763">
      <c r="J1763">
        <f>IF([2]Entry!$C$1766="","",[2]Entry!$C$1766)</f>
        <v/>
      </c>
      <c r="K1763">
        <f>IF([2]Entry!$D$1766="","",[2]Entry!$D$1766)</f>
        <v/>
      </c>
      <c r="L1763">
        <f>IF([2]Entry!$E$1766="","",[2]Entry!$E$1766)</f>
        <v/>
      </c>
      <c r="M1763">
        <f>IF([2]Entry!$G$1766="","",[2]Entry!$G$1766)</f>
        <v/>
      </c>
      <c r="N1763">
        <f>IF([2]Entry!$M$1766="","",[2]Entry!$M$1766)</f>
        <v/>
      </c>
      <c r="O1763">
        <f>IF([2]Entry!$N$1766="","",[2]Entry!$N$1766)</f>
        <v/>
      </c>
      <c r="P1763">
        <f>IF([2]Entry!$R$1766="","",[2]Entry!$R$1766)</f>
        <v/>
      </c>
    </row>
    <row r="1764">
      <c r="J1764">
        <f>IF([2]Entry!$C$1767="","",[2]Entry!$C$1767)</f>
        <v/>
      </c>
      <c r="K1764">
        <f>IF([2]Entry!$D$1767="","",[2]Entry!$D$1767)</f>
        <v/>
      </c>
      <c r="L1764">
        <f>IF([2]Entry!$E$1767="","",[2]Entry!$E$1767)</f>
        <v/>
      </c>
      <c r="M1764">
        <f>IF([2]Entry!$G$1767="","",[2]Entry!$G$1767)</f>
        <v/>
      </c>
      <c r="N1764">
        <f>IF([2]Entry!$M$1767="","",[2]Entry!$M$1767)</f>
        <v/>
      </c>
      <c r="O1764">
        <f>IF([2]Entry!$N$1767="","",[2]Entry!$N$1767)</f>
        <v/>
      </c>
      <c r="P1764">
        <f>IF([2]Entry!$R$1767="","",[2]Entry!$R$1767)</f>
        <v/>
      </c>
    </row>
    <row r="1765">
      <c r="J1765">
        <f>IF([2]Entry!$C$1768="","",[2]Entry!$C$1768)</f>
        <v/>
      </c>
      <c r="K1765">
        <f>IF([2]Entry!$D$1768="","",[2]Entry!$D$1768)</f>
        <v/>
      </c>
      <c r="L1765">
        <f>IF([2]Entry!$E$1768="","",[2]Entry!$E$1768)</f>
        <v/>
      </c>
      <c r="M1765">
        <f>IF([2]Entry!$G$1768="","",[2]Entry!$G$1768)</f>
        <v/>
      </c>
      <c r="N1765">
        <f>IF([2]Entry!$M$1768="","",[2]Entry!$M$1768)</f>
        <v/>
      </c>
      <c r="O1765">
        <f>IF([2]Entry!$N$1768="","",[2]Entry!$N$1768)</f>
        <v/>
      </c>
      <c r="P1765">
        <f>IF([2]Entry!$R$1768="","",[2]Entry!$R$1768)</f>
        <v/>
      </c>
    </row>
    <row r="1766">
      <c r="J1766">
        <f>IF([2]Entry!$C$1769="","",[2]Entry!$C$1769)</f>
        <v/>
      </c>
      <c r="K1766">
        <f>IF([2]Entry!$D$1769="","",[2]Entry!$D$1769)</f>
        <v/>
      </c>
      <c r="L1766">
        <f>IF([2]Entry!$E$1769="","",[2]Entry!$E$1769)</f>
        <v/>
      </c>
      <c r="M1766">
        <f>IF([2]Entry!$G$1769="","",[2]Entry!$G$1769)</f>
        <v/>
      </c>
      <c r="N1766">
        <f>IF([2]Entry!$M$1769="","",[2]Entry!$M$1769)</f>
        <v/>
      </c>
      <c r="O1766">
        <f>IF([2]Entry!$N$1769="","",[2]Entry!$N$1769)</f>
        <v/>
      </c>
      <c r="P1766">
        <f>IF([2]Entry!$R$1769="","",[2]Entry!$R$1769)</f>
        <v/>
      </c>
    </row>
    <row r="1767">
      <c r="J1767">
        <f>IF([2]Entry!$C$1770="","",[2]Entry!$C$1770)</f>
        <v/>
      </c>
      <c r="K1767">
        <f>IF([2]Entry!$D$1770="","",[2]Entry!$D$1770)</f>
        <v/>
      </c>
      <c r="L1767">
        <f>IF([2]Entry!$E$1770="","",[2]Entry!$E$1770)</f>
        <v/>
      </c>
      <c r="M1767">
        <f>IF([2]Entry!$G$1770="","",[2]Entry!$G$1770)</f>
        <v/>
      </c>
      <c r="N1767">
        <f>IF([2]Entry!$M$1770="","",[2]Entry!$M$1770)</f>
        <v/>
      </c>
      <c r="O1767">
        <f>IF([2]Entry!$N$1770="","",[2]Entry!$N$1770)</f>
        <v/>
      </c>
      <c r="P1767">
        <f>IF([2]Entry!$R$1770="","",[2]Entry!$R$1770)</f>
        <v/>
      </c>
    </row>
    <row r="1768">
      <c r="J1768">
        <f>IF([2]Entry!$C$1771="","",[2]Entry!$C$1771)</f>
        <v/>
      </c>
      <c r="K1768">
        <f>IF([2]Entry!$D$1771="","",[2]Entry!$D$1771)</f>
        <v/>
      </c>
      <c r="L1768">
        <f>IF([2]Entry!$E$1771="","",[2]Entry!$E$1771)</f>
        <v/>
      </c>
      <c r="M1768">
        <f>IF([2]Entry!$G$1771="","",[2]Entry!$G$1771)</f>
        <v/>
      </c>
      <c r="N1768">
        <f>IF([2]Entry!$M$1771="","",[2]Entry!$M$1771)</f>
        <v/>
      </c>
      <c r="O1768">
        <f>IF([2]Entry!$N$1771="","",[2]Entry!$N$1771)</f>
        <v/>
      </c>
      <c r="P1768">
        <f>IF([2]Entry!$R$1771="","",[2]Entry!$R$1771)</f>
        <v/>
      </c>
    </row>
    <row r="1769">
      <c r="J1769">
        <f>IF([2]Entry!$C$1772="","",[2]Entry!$C$1772)</f>
        <v/>
      </c>
      <c r="K1769">
        <f>IF([2]Entry!$D$1772="","",[2]Entry!$D$1772)</f>
        <v/>
      </c>
      <c r="L1769">
        <f>IF([2]Entry!$E$1772="","",[2]Entry!$E$1772)</f>
        <v/>
      </c>
      <c r="M1769">
        <f>IF([2]Entry!$G$1772="","",[2]Entry!$G$1772)</f>
        <v/>
      </c>
      <c r="N1769">
        <f>IF([2]Entry!$M$1772="","",[2]Entry!$M$1772)</f>
        <v/>
      </c>
      <c r="O1769">
        <f>IF([2]Entry!$N$1772="","",[2]Entry!$N$1772)</f>
        <v/>
      </c>
      <c r="P1769">
        <f>IF([2]Entry!$R$1772="","",[2]Entry!$R$1772)</f>
        <v/>
      </c>
    </row>
    <row r="1770">
      <c r="J1770">
        <f>IF([2]Entry!$C$1773="","",[2]Entry!$C$1773)</f>
        <v/>
      </c>
      <c r="K1770">
        <f>IF([2]Entry!$D$1773="","",[2]Entry!$D$1773)</f>
        <v/>
      </c>
      <c r="L1770">
        <f>IF([2]Entry!$E$1773="","",[2]Entry!$E$1773)</f>
        <v/>
      </c>
      <c r="M1770">
        <f>IF([2]Entry!$G$1773="","",[2]Entry!$G$1773)</f>
        <v/>
      </c>
      <c r="N1770">
        <f>IF([2]Entry!$M$1773="","",[2]Entry!$M$1773)</f>
        <v/>
      </c>
      <c r="O1770">
        <f>IF([2]Entry!$N$1773="","",[2]Entry!$N$1773)</f>
        <v/>
      </c>
      <c r="P1770">
        <f>IF([2]Entry!$R$1773="","",[2]Entry!$R$1773)</f>
        <v/>
      </c>
    </row>
    <row r="1771">
      <c r="J1771">
        <f>IF([2]Entry!$C$1774="","",[2]Entry!$C$1774)</f>
        <v/>
      </c>
      <c r="K1771">
        <f>IF([2]Entry!$D$1774="","",[2]Entry!$D$1774)</f>
        <v/>
      </c>
      <c r="L1771">
        <f>IF([2]Entry!$E$1774="","",[2]Entry!$E$1774)</f>
        <v/>
      </c>
      <c r="M1771">
        <f>IF([2]Entry!$G$1774="","",[2]Entry!$G$1774)</f>
        <v/>
      </c>
      <c r="N1771">
        <f>IF([2]Entry!$M$1774="","",[2]Entry!$M$1774)</f>
        <v/>
      </c>
      <c r="O1771">
        <f>IF([2]Entry!$N$1774="","",[2]Entry!$N$1774)</f>
        <v/>
      </c>
      <c r="P1771">
        <f>IF([2]Entry!$R$1774="","",[2]Entry!$R$1774)</f>
        <v/>
      </c>
    </row>
    <row r="1772">
      <c r="J1772">
        <f>IF([2]Entry!$C$1775="","",[2]Entry!$C$1775)</f>
        <v/>
      </c>
      <c r="K1772">
        <f>IF([2]Entry!$D$1775="","",[2]Entry!$D$1775)</f>
        <v/>
      </c>
      <c r="L1772">
        <f>IF([2]Entry!$E$1775="","",[2]Entry!$E$1775)</f>
        <v/>
      </c>
      <c r="M1772">
        <f>IF([2]Entry!$G$1775="","",[2]Entry!$G$1775)</f>
        <v/>
      </c>
      <c r="N1772">
        <f>IF([2]Entry!$M$1775="","",[2]Entry!$M$1775)</f>
        <v/>
      </c>
      <c r="O1772">
        <f>IF([2]Entry!$N$1775="","",[2]Entry!$N$1775)</f>
        <v/>
      </c>
      <c r="P1772">
        <f>IF([2]Entry!$R$1775="","",[2]Entry!$R$1775)</f>
        <v/>
      </c>
    </row>
    <row r="1773">
      <c r="J1773">
        <f>IF([2]Entry!$C$1776="","",[2]Entry!$C$1776)</f>
        <v/>
      </c>
      <c r="K1773">
        <f>IF([2]Entry!$D$1776="","",[2]Entry!$D$1776)</f>
        <v/>
      </c>
      <c r="L1773">
        <f>IF([2]Entry!$E$1776="","",[2]Entry!$E$1776)</f>
        <v/>
      </c>
      <c r="M1773">
        <f>IF([2]Entry!$G$1776="","",[2]Entry!$G$1776)</f>
        <v/>
      </c>
      <c r="N1773">
        <f>IF([2]Entry!$M$1776="","",[2]Entry!$M$1776)</f>
        <v/>
      </c>
      <c r="O1773">
        <f>IF([2]Entry!$N$1776="","",[2]Entry!$N$1776)</f>
        <v/>
      </c>
      <c r="P1773">
        <f>IF([2]Entry!$R$1776="","",[2]Entry!$R$1776)</f>
        <v/>
      </c>
    </row>
    <row r="1774">
      <c r="J1774">
        <f>IF([2]Entry!$C$1777="","",[2]Entry!$C$1777)</f>
        <v/>
      </c>
      <c r="K1774">
        <f>IF([2]Entry!$D$1777="","",[2]Entry!$D$1777)</f>
        <v/>
      </c>
      <c r="L1774">
        <f>IF([2]Entry!$E$1777="","",[2]Entry!$E$1777)</f>
        <v/>
      </c>
      <c r="M1774">
        <f>IF([2]Entry!$G$1777="","",[2]Entry!$G$1777)</f>
        <v/>
      </c>
      <c r="N1774">
        <f>IF([2]Entry!$M$1777="","",[2]Entry!$M$1777)</f>
        <v/>
      </c>
      <c r="O1774">
        <f>IF([2]Entry!$N$1777="","",[2]Entry!$N$1777)</f>
        <v/>
      </c>
      <c r="P1774">
        <f>IF([2]Entry!$R$1777="","",[2]Entry!$R$1777)</f>
        <v/>
      </c>
    </row>
    <row r="1775">
      <c r="J1775">
        <f>IF([2]Entry!$C$1778="","",[2]Entry!$C$1778)</f>
        <v/>
      </c>
      <c r="K1775">
        <f>IF([2]Entry!$D$1778="","",[2]Entry!$D$1778)</f>
        <v/>
      </c>
      <c r="L1775">
        <f>IF([2]Entry!$E$1778="","",[2]Entry!$E$1778)</f>
        <v/>
      </c>
      <c r="M1775">
        <f>IF([2]Entry!$G$1778="","",[2]Entry!$G$1778)</f>
        <v/>
      </c>
      <c r="N1775">
        <f>IF([2]Entry!$M$1778="","",[2]Entry!$M$1778)</f>
        <v/>
      </c>
      <c r="O1775">
        <f>IF([2]Entry!$N$1778="","",[2]Entry!$N$1778)</f>
        <v/>
      </c>
      <c r="P1775">
        <f>IF([2]Entry!$R$1778="","",[2]Entry!$R$1778)</f>
        <v/>
      </c>
    </row>
    <row r="1776">
      <c r="J1776">
        <f>IF([2]Entry!$C$1779="","",[2]Entry!$C$1779)</f>
        <v/>
      </c>
      <c r="K1776">
        <f>IF([2]Entry!$D$1779="","",[2]Entry!$D$1779)</f>
        <v/>
      </c>
      <c r="L1776">
        <f>IF([2]Entry!$E$1779="","",[2]Entry!$E$1779)</f>
        <v/>
      </c>
      <c r="M1776">
        <f>IF([2]Entry!$G$1779="","",[2]Entry!$G$1779)</f>
        <v/>
      </c>
      <c r="N1776">
        <f>IF([2]Entry!$M$1779="","",[2]Entry!$M$1779)</f>
        <v/>
      </c>
      <c r="O1776">
        <f>IF([2]Entry!$N$1779="","",[2]Entry!$N$1779)</f>
        <v/>
      </c>
      <c r="P1776">
        <f>IF([2]Entry!$R$1779="","",[2]Entry!$R$1779)</f>
        <v/>
      </c>
    </row>
    <row r="1777">
      <c r="J1777">
        <f>IF([2]Entry!$C$1780="","",[2]Entry!$C$1780)</f>
        <v/>
      </c>
      <c r="K1777">
        <f>IF([2]Entry!$D$1780="","",[2]Entry!$D$1780)</f>
        <v/>
      </c>
      <c r="L1777">
        <f>IF([2]Entry!$E$1780="","",[2]Entry!$E$1780)</f>
        <v/>
      </c>
      <c r="M1777">
        <f>IF([2]Entry!$G$1780="","",[2]Entry!$G$1780)</f>
        <v/>
      </c>
      <c r="N1777">
        <f>IF([2]Entry!$M$1780="","",[2]Entry!$M$1780)</f>
        <v/>
      </c>
      <c r="O1777">
        <f>IF([2]Entry!$N$1780="","",[2]Entry!$N$1780)</f>
        <v/>
      </c>
      <c r="P1777">
        <f>IF([2]Entry!$R$1780="","",[2]Entry!$R$1780)</f>
        <v/>
      </c>
    </row>
    <row r="1778">
      <c r="J1778">
        <f>IF([2]Entry!$C$1781="","",[2]Entry!$C$1781)</f>
        <v/>
      </c>
      <c r="K1778">
        <f>IF([2]Entry!$D$1781="","",[2]Entry!$D$1781)</f>
        <v/>
      </c>
      <c r="L1778">
        <f>IF([2]Entry!$E$1781="","",[2]Entry!$E$1781)</f>
        <v/>
      </c>
      <c r="M1778">
        <f>IF([2]Entry!$G$1781="","",[2]Entry!$G$1781)</f>
        <v/>
      </c>
      <c r="N1778">
        <f>IF([2]Entry!$M$1781="","",[2]Entry!$M$1781)</f>
        <v/>
      </c>
      <c r="O1778">
        <f>IF([2]Entry!$N$1781="","",[2]Entry!$N$1781)</f>
        <v/>
      </c>
      <c r="P1778">
        <f>IF([2]Entry!$R$1781="","",[2]Entry!$R$1781)</f>
        <v/>
      </c>
    </row>
    <row r="1779">
      <c r="J1779">
        <f>IF([2]Entry!$C$1782="","",[2]Entry!$C$1782)</f>
        <v/>
      </c>
      <c r="K1779">
        <f>IF([2]Entry!$D$1782="","",[2]Entry!$D$1782)</f>
        <v/>
      </c>
      <c r="L1779">
        <f>IF([2]Entry!$E$1782="","",[2]Entry!$E$1782)</f>
        <v/>
      </c>
      <c r="M1779">
        <f>IF([2]Entry!$G$1782="","",[2]Entry!$G$1782)</f>
        <v/>
      </c>
      <c r="N1779">
        <f>IF([2]Entry!$M$1782="","",[2]Entry!$M$1782)</f>
        <v/>
      </c>
      <c r="O1779">
        <f>IF([2]Entry!$N$1782="","",[2]Entry!$N$1782)</f>
        <v/>
      </c>
      <c r="P1779">
        <f>IF([2]Entry!$R$1782="","",[2]Entry!$R$1782)</f>
        <v/>
      </c>
    </row>
    <row r="1780">
      <c r="J1780">
        <f>IF([2]Entry!$C$1783="","",[2]Entry!$C$1783)</f>
        <v/>
      </c>
      <c r="K1780">
        <f>IF([2]Entry!$D$1783="","",[2]Entry!$D$1783)</f>
        <v/>
      </c>
      <c r="L1780">
        <f>IF([2]Entry!$E$1783="","",[2]Entry!$E$1783)</f>
        <v/>
      </c>
      <c r="M1780">
        <f>IF([2]Entry!$G$1783="","",[2]Entry!$G$1783)</f>
        <v/>
      </c>
      <c r="N1780">
        <f>IF([2]Entry!$M$1783="","",[2]Entry!$M$1783)</f>
        <v/>
      </c>
      <c r="O1780">
        <f>IF([2]Entry!$N$1783="","",[2]Entry!$N$1783)</f>
        <v/>
      </c>
      <c r="P1780">
        <f>IF([2]Entry!$R$1783="","",[2]Entry!$R$1783)</f>
        <v/>
      </c>
    </row>
    <row r="1781">
      <c r="J1781">
        <f>IF([2]Entry!$C$1784="","",[2]Entry!$C$1784)</f>
        <v/>
      </c>
      <c r="K1781">
        <f>IF([2]Entry!$D$1784="","",[2]Entry!$D$1784)</f>
        <v/>
      </c>
      <c r="L1781">
        <f>IF([2]Entry!$E$1784="","",[2]Entry!$E$1784)</f>
        <v/>
      </c>
      <c r="M1781">
        <f>IF([2]Entry!$G$1784="","",[2]Entry!$G$1784)</f>
        <v/>
      </c>
      <c r="N1781">
        <f>IF([2]Entry!$M$1784="","",[2]Entry!$M$1784)</f>
        <v/>
      </c>
      <c r="O1781">
        <f>IF([2]Entry!$N$1784="","",[2]Entry!$N$1784)</f>
        <v/>
      </c>
      <c r="P1781">
        <f>IF([2]Entry!$R$1784="","",[2]Entry!$R$1784)</f>
        <v/>
      </c>
    </row>
    <row r="1782">
      <c r="J1782">
        <f>IF([2]Entry!$C$1785="","",[2]Entry!$C$1785)</f>
        <v/>
      </c>
      <c r="K1782">
        <f>IF([2]Entry!$D$1785="","",[2]Entry!$D$1785)</f>
        <v/>
      </c>
      <c r="L1782">
        <f>IF([2]Entry!$E$1785="","",[2]Entry!$E$1785)</f>
        <v/>
      </c>
      <c r="M1782">
        <f>IF([2]Entry!$G$1785="","",[2]Entry!$G$1785)</f>
        <v/>
      </c>
      <c r="N1782">
        <f>IF([2]Entry!$M$1785="","",[2]Entry!$M$1785)</f>
        <v/>
      </c>
      <c r="O1782">
        <f>IF([2]Entry!$N$1785="","",[2]Entry!$N$1785)</f>
        <v/>
      </c>
      <c r="P1782">
        <f>IF([2]Entry!$R$1785="","",[2]Entry!$R$1785)</f>
        <v/>
      </c>
    </row>
    <row r="1783">
      <c r="J1783">
        <f>IF([2]Entry!$C$1786="","",[2]Entry!$C$1786)</f>
        <v/>
      </c>
      <c r="K1783">
        <f>IF([2]Entry!$D$1786="","",[2]Entry!$D$1786)</f>
        <v/>
      </c>
      <c r="L1783">
        <f>IF([2]Entry!$E$1786="","",[2]Entry!$E$1786)</f>
        <v/>
      </c>
      <c r="M1783">
        <f>IF([2]Entry!$G$1786="","",[2]Entry!$G$1786)</f>
        <v/>
      </c>
      <c r="N1783">
        <f>IF([2]Entry!$M$1786="","",[2]Entry!$M$1786)</f>
        <v/>
      </c>
      <c r="O1783">
        <f>IF([2]Entry!$N$1786="","",[2]Entry!$N$1786)</f>
        <v/>
      </c>
      <c r="P1783">
        <f>IF([2]Entry!$R$1786="","",[2]Entry!$R$1786)</f>
        <v/>
      </c>
    </row>
    <row r="1784">
      <c r="J1784">
        <f>IF([2]Entry!$C$1787="","",[2]Entry!$C$1787)</f>
        <v/>
      </c>
      <c r="K1784">
        <f>IF([2]Entry!$D$1787="","",[2]Entry!$D$1787)</f>
        <v/>
      </c>
      <c r="L1784">
        <f>IF([2]Entry!$E$1787="","",[2]Entry!$E$1787)</f>
        <v/>
      </c>
      <c r="M1784">
        <f>IF([2]Entry!$G$1787="","",[2]Entry!$G$1787)</f>
        <v/>
      </c>
      <c r="N1784">
        <f>IF([2]Entry!$M$1787="","",[2]Entry!$M$1787)</f>
        <v/>
      </c>
      <c r="O1784">
        <f>IF([2]Entry!$N$1787="","",[2]Entry!$N$1787)</f>
        <v/>
      </c>
      <c r="P1784">
        <f>IF([2]Entry!$R$1787="","",[2]Entry!$R$1787)</f>
        <v/>
      </c>
    </row>
    <row r="1785">
      <c r="J1785">
        <f>IF([2]Entry!$C$1788="","",[2]Entry!$C$1788)</f>
        <v/>
      </c>
      <c r="K1785">
        <f>IF([2]Entry!$D$1788="","",[2]Entry!$D$1788)</f>
        <v/>
      </c>
      <c r="L1785">
        <f>IF([2]Entry!$E$1788="","",[2]Entry!$E$1788)</f>
        <v/>
      </c>
      <c r="M1785">
        <f>IF([2]Entry!$G$1788="","",[2]Entry!$G$1788)</f>
        <v/>
      </c>
      <c r="N1785">
        <f>IF([2]Entry!$M$1788="","",[2]Entry!$M$1788)</f>
        <v/>
      </c>
      <c r="O1785">
        <f>IF([2]Entry!$N$1788="","",[2]Entry!$N$1788)</f>
        <v/>
      </c>
      <c r="P1785">
        <f>IF([2]Entry!$R$1788="","",[2]Entry!$R$1788)</f>
        <v/>
      </c>
    </row>
    <row r="1786">
      <c r="J1786">
        <f>IF([2]Entry!$C$1789="","",[2]Entry!$C$1789)</f>
        <v/>
      </c>
      <c r="K1786">
        <f>IF([2]Entry!$D$1789="","",[2]Entry!$D$1789)</f>
        <v/>
      </c>
      <c r="L1786">
        <f>IF([2]Entry!$E$1789="","",[2]Entry!$E$1789)</f>
        <v/>
      </c>
      <c r="M1786">
        <f>IF([2]Entry!$G$1789="","",[2]Entry!$G$1789)</f>
        <v/>
      </c>
      <c r="N1786">
        <f>IF([2]Entry!$M$1789="","",[2]Entry!$M$1789)</f>
        <v/>
      </c>
      <c r="O1786">
        <f>IF([2]Entry!$N$1789="","",[2]Entry!$N$1789)</f>
        <v/>
      </c>
      <c r="P1786">
        <f>IF([2]Entry!$R$1789="","",[2]Entry!$R$1789)</f>
        <v/>
      </c>
    </row>
    <row r="1787">
      <c r="J1787">
        <f>IF([2]Entry!$C$1790="","",[2]Entry!$C$1790)</f>
        <v/>
      </c>
      <c r="K1787">
        <f>IF([2]Entry!$D$1790="","",[2]Entry!$D$1790)</f>
        <v/>
      </c>
      <c r="L1787">
        <f>IF([2]Entry!$E$1790="","",[2]Entry!$E$1790)</f>
        <v/>
      </c>
      <c r="M1787">
        <f>IF([2]Entry!$G$1790="","",[2]Entry!$G$1790)</f>
        <v/>
      </c>
      <c r="N1787">
        <f>IF([2]Entry!$M$1790="","",[2]Entry!$M$1790)</f>
        <v/>
      </c>
      <c r="O1787">
        <f>IF([2]Entry!$N$1790="","",[2]Entry!$N$1790)</f>
        <v/>
      </c>
      <c r="P1787">
        <f>IF([2]Entry!$R$1790="","",[2]Entry!$R$1790)</f>
        <v/>
      </c>
    </row>
    <row r="1788">
      <c r="J1788">
        <f>IF([2]Entry!$C$1791="","",[2]Entry!$C$1791)</f>
        <v/>
      </c>
      <c r="K1788">
        <f>IF([2]Entry!$D$1791="","",[2]Entry!$D$1791)</f>
        <v/>
      </c>
      <c r="L1788">
        <f>IF([2]Entry!$E$1791="","",[2]Entry!$E$1791)</f>
        <v/>
      </c>
      <c r="M1788">
        <f>IF([2]Entry!$G$1791="","",[2]Entry!$G$1791)</f>
        <v/>
      </c>
      <c r="N1788">
        <f>IF([2]Entry!$M$1791="","",[2]Entry!$M$1791)</f>
        <v/>
      </c>
      <c r="O1788">
        <f>IF([2]Entry!$N$1791="","",[2]Entry!$N$1791)</f>
        <v/>
      </c>
      <c r="P1788">
        <f>IF([2]Entry!$R$1791="","",[2]Entry!$R$1791)</f>
        <v/>
      </c>
    </row>
    <row r="1789">
      <c r="J1789">
        <f>IF([2]Entry!$C$1792="","",[2]Entry!$C$1792)</f>
        <v/>
      </c>
      <c r="K1789">
        <f>IF([2]Entry!$D$1792="","",[2]Entry!$D$1792)</f>
        <v/>
      </c>
      <c r="L1789">
        <f>IF([2]Entry!$E$1792="","",[2]Entry!$E$1792)</f>
        <v/>
      </c>
      <c r="M1789">
        <f>IF([2]Entry!$G$1792="","",[2]Entry!$G$1792)</f>
        <v/>
      </c>
      <c r="N1789">
        <f>IF([2]Entry!$M$1792="","",[2]Entry!$M$1792)</f>
        <v/>
      </c>
      <c r="O1789">
        <f>IF([2]Entry!$N$1792="","",[2]Entry!$N$1792)</f>
        <v/>
      </c>
      <c r="P1789">
        <f>IF([2]Entry!$R$1792="","",[2]Entry!$R$1792)</f>
        <v/>
      </c>
    </row>
    <row r="1790">
      <c r="J1790">
        <f>IF([2]Entry!$C$1793="","",[2]Entry!$C$1793)</f>
        <v/>
      </c>
      <c r="K1790">
        <f>IF([2]Entry!$D$1793="","",[2]Entry!$D$1793)</f>
        <v/>
      </c>
      <c r="L1790">
        <f>IF([2]Entry!$E$1793="","",[2]Entry!$E$1793)</f>
        <v/>
      </c>
      <c r="M1790">
        <f>IF([2]Entry!$G$1793="","",[2]Entry!$G$1793)</f>
        <v/>
      </c>
      <c r="N1790">
        <f>IF([2]Entry!$M$1793="","",[2]Entry!$M$1793)</f>
        <v/>
      </c>
      <c r="O1790">
        <f>IF([2]Entry!$N$1793="","",[2]Entry!$N$1793)</f>
        <v/>
      </c>
      <c r="P1790">
        <f>IF([2]Entry!$R$1793="","",[2]Entry!$R$1793)</f>
        <v/>
      </c>
    </row>
    <row r="1791">
      <c r="J1791">
        <f>IF([2]Entry!$C$1794="","",[2]Entry!$C$1794)</f>
        <v/>
      </c>
      <c r="K1791">
        <f>IF([2]Entry!$D$1794="","",[2]Entry!$D$1794)</f>
        <v/>
      </c>
      <c r="L1791">
        <f>IF([2]Entry!$E$1794="","",[2]Entry!$E$1794)</f>
        <v/>
      </c>
      <c r="M1791">
        <f>IF([2]Entry!$G$1794="","",[2]Entry!$G$1794)</f>
        <v/>
      </c>
      <c r="N1791">
        <f>IF([2]Entry!$M$1794="","",[2]Entry!$M$1794)</f>
        <v/>
      </c>
      <c r="O1791">
        <f>IF([2]Entry!$N$1794="","",[2]Entry!$N$1794)</f>
        <v/>
      </c>
      <c r="P1791">
        <f>IF([2]Entry!$R$1794="","",[2]Entry!$R$1794)</f>
        <v/>
      </c>
    </row>
    <row r="1792">
      <c r="J1792">
        <f>IF([2]Entry!$C$1795="","",[2]Entry!$C$1795)</f>
        <v/>
      </c>
      <c r="K1792">
        <f>IF([2]Entry!$D$1795="","",[2]Entry!$D$1795)</f>
        <v/>
      </c>
      <c r="L1792">
        <f>IF([2]Entry!$E$1795="","",[2]Entry!$E$1795)</f>
        <v/>
      </c>
      <c r="M1792">
        <f>IF([2]Entry!$G$1795="","",[2]Entry!$G$1795)</f>
        <v/>
      </c>
      <c r="N1792">
        <f>IF([2]Entry!$M$1795="","",[2]Entry!$M$1795)</f>
        <v/>
      </c>
      <c r="O1792">
        <f>IF([2]Entry!$N$1795="","",[2]Entry!$N$1795)</f>
        <v/>
      </c>
      <c r="P1792">
        <f>IF([2]Entry!$R$1795="","",[2]Entry!$R$1795)</f>
        <v/>
      </c>
    </row>
    <row r="1793">
      <c r="J1793">
        <f>IF([2]Entry!$C$1796="","",[2]Entry!$C$1796)</f>
        <v/>
      </c>
      <c r="K1793">
        <f>IF([2]Entry!$D$1796="","",[2]Entry!$D$1796)</f>
        <v/>
      </c>
      <c r="L1793">
        <f>IF([2]Entry!$E$1796="","",[2]Entry!$E$1796)</f>
        <v/>
      </c>
      <c r="M1793">
        <f>IF([2]Entry!$G$1796="","",[2]Entry!$G$1796)</f>
        <v/>
      </c>
      <c r="N1793">
        <f>IF([2]Entry!$M$1796="","",[2]Entry!$M$1796)</f>
        <v/>
      </c>
      <c r="O1793">
        <f>IF([2]Entry!$N$1796="","",[2]Entry!$N$1796)</f>
        <v/>
      </c>
      <c r="P1793">
        <f>IF([2]Entry!$R$1796="","",[2]Entry!$R$1796)</f>
        <v/>
      </c>
    </row>
    <row r="1794">
      <c r="J1794">
        <f>IF([2]Entry!$C$1797="","",[2]Entry!$C$1797)</f>
        <v/>
      </c>
      <c r="K1794">
        <f>IF([2]Entry!$D$1797="","",[2]Entry!$D$1797)</f>
        <v/>
      </c>
      <c r="L1794">
        <f>IF([2]Entry!$E$1797="","",[2]Entry!$E$1797)</f>
        <v/>
      </c>
      <c r="M1794">
        <f>IF([2]Entry!$G$1797="","",[2]Entry!$G$1797)</f>
        <v/>
      </c>
      <c r="N1794">
        <f>IF([2]Entry!$M$1797="","",[2]Entry!$M$1797)</f>
        <v/>
      </c>
      <c r="O1794">
        <f>IF([2]Entry!$N$1797="","",[2]Entry!$N$1797)</f>
        <v/>
      </c>
      <c r="P1794">
        <f>IF([2]Entry!$R$1797="","",[2]Entry!$R$1797)</f>
        <v/>
      </c>
    </row>
    <row r="1795">
      <c r="J1795">
        <f>IF([2]Entry!$C$1798="","",[2]Entry!$C$1798)</f>
        <v/>
      </c>
      <c r="K1795">
        <f>IF([2]Entry!$D$1798="","",[2]Entry!$D$1798)</f>
        <v/>
      </c>
      <c r="L1795">
        <f>IF([2]Entry!$E$1798="","",[2]Entry!$E$1798)</f>
        <v/>
      </c>
      <c r="M1795">
        <f>IF([2]Entry!$G$1798="","",[2]Entry!$G$1798)</f>
        <v/>
      </c>
      <c r="N1795">
        <f>IF([2]Entry!$M$1798="","",[2]Entry!$M$1798)</f>
        <v/>
      </c>
      <c r="O1795">
        <f>IF([2]Entry!$N$1798="","",[2]Entry!$N$1798)</f>
        <v/>
      </c>
      <c r="P1795">
        <f>IF([2]Entry!$R$1798="","",[2]Entry!$R$1798)</f>
        <v/>
      </c>
    </row>
    <row r="1796">
      <c r="J1796">
        <f>IF([2]Entry!$C$1799="","",[2]Entry!$C$1799)</f>
        <v/>
      </c>
      <c r="K1796">
        <f>IF([2]Entry!$D$1799="","",[2]Entry!$D$1799)</f>
        <v/>
      </c>
      <c r="L1796">
        <f>IF([2]Entry!$E$1799="","",[2]Entry!$E$1799)</f>
        <v/>
      </c>
      <c r="M1796">
        <f>IF([2]Entry!$G$1799="","",[2]Entry!$G$1799)</f>
        <v/>
      </c>
      <c r="N1796">
        <f>IF([2]Entry!$M$1799="","",[2]Entry!$M$1799)</f>
        <v/>
      </c>
      <c r="O1796">
        <f>IF([2]Entry!$N$1799="","",[2]Entry!$N$1799)</f>
        <v/>
      </c>
      <c r="P1796">
        <f>IF([2]Entry!$R$1799="","",[2]Entry!$R$1799)</f>
        <v/>
      </c>
    </row>
    <row r="1797">
      <c r="J1797">
        <f>IF([2]Entry!$C$1800="","",[2]Entry!$C$1800)</f>
        <v/>
      </c>
      <c r="K1797">
        <f>IF([2]Entry!$D$1800="","",[2]Entry!$D$1800)</f>
        <v/>
      </c>
      <c r="L1797">
        <f>IF([2]Entry!$E$1800="","",[2]Entry!$E$1800)</f>
        <v/>
      </c>
      <c r="M1797">
        <f>IF([2]Entry!$G$1800="","",[2]Entry!$G$1800)</f>
        <v/>
      </c>
      <c r="N1797">
        <f>IF([2]Entry!$M$1800="","",[2]Entry!$M$1800)</f>
        <v/>
      </c>
      <c r="O1797">
        <f>IF([2]Entry!$N$1800="","",[2]Entry!$N$1800)</f>
        <v/>
      </c>
      <c r="P1797">
        <f>IF([2]Entry!$R$1800="","",[2]Entry!$R$1800)</f>
        <v/>
      </c>
    </row>
    <row r="1798">
      <c r="J1798">
        <f>IF([2]Entry!$C$1801="","",[2]Entry!$C$1801)</f>
        <v/>
      </c>
      <c r="K1798">
        <f>IF([2]Entry!$D$1801="","",[2]Entry!$D$1801)</f>
        <v/>
      </c>
      <c r="L1798">
        <f>IF([2]Entry!$E$1801="","",[2]Entry!$E$1801)</f>
        <v/>
      </c>
      <c r="M1798">
        <f>IF([2]Entry!$G$1801="","",[2]Entry!$G$1801)</f>
        <v/>
      </c>
      <c r="N1798">
        <f>IF([2]Entry!$M$1801="","",[2]Entry!$M$1801)</f>
        <v/>
      </c>
      <c r="O1798">
        <f>IF([2]Entry!$N$1801="","",[2]Entry!$N$1801)</f>
        <v/>
      </c>
      <c r="P1798">
        <f>IF([2]Entry!$R$1801="","",[2]Entry!$R$1801)</f>
        <v/>
      </c>
    </row>
    <row r="1799">
      <c r="J1799">
        <f>IF([2]Entry!$C$1802="","",[2]Entry!$C$1802)</f>
        <v/>
      </c>
      <c r="K1799">
        <f>IF([2]Entry!$D$1802="","",[2]Entry!$D$1802)</f>
        <v/>
      </c>
      <c r="L1799">
        <f>IF([2]Entry!$E$1802="","",[2]Entry!$E$1802)</f>
        <v/>
      </c>
      <c r="M1799">
        <f>IF([2]Entry!$G$1802="","",[2]Entry!$G$1802)</f>
        <v/>
      </c>
      <c r="N1799">
        <f>IF([2]Entry!$M$1802="","",[2]Entry!$M$1802)</f>
        <v/>
      </c>
      <c r="O1799">
        <f>IF([2]Entry!$N$1802="","",[2]Entry!$N$1802)</f>
        <v/>
      </c>
      <c r="P1799">
        <f>IF([2]Entry!$R$1802="","",[2]Entry!$R$1802)</f>
        <v/>
      </c>
    </row>
    <row r="1800">
      <c r="J1800">
        <f>IF([2]Entry!$C$1803="","",[2]Entry!$C$1803)</f>
        <v/>
      </c>
      <c r="K1800">
        <f>IF([2]Entry!$D$1803="","",[2]Entry!$D$1803)</f>
        <v/>
      </c>
      <c r="L1800">
        <f>IF([2]Entry!$E$1803="","",[2]Entry!$E$1803)</f>
        <v/>
      </c>
      <c r="M1800">
        <f>IF([2]Entry!$G$1803="","",[2]Entry!$G$1803)</f>
        <v/>
      </c>
      <c r="N1800">
        <f>IF([2]Entry!$M$1803="","",[2]Entry!$M$1803)</f>
        <v/>
      </c>
      <c r="O1800">
        <f>IF([2]Entry!$N$1803="","",[2]Entry!$N$1803)</f>
        <v/>
      </c>
      <c r="P1800">
        <f>IF([2]Entry!$R$1803="","",[2]Entry!$R$1803)</f>
        <v/>
      </c>
    </row>
    <row r="1801">
      <c r="J1801">
        <f>IF([2]Entry!$C$1804="","",[2]Entry!$C$1804)</f>
        <v/>
      </c>
      <c r="K1801">
        <f>IF([2]Entry!$D$1804="","",[2]Entry!$D$1804)</f>
        <v/>
      </c>
      <c r="L1801">
        <f>IF([2]Entry!$E$1804="","",[2]Entry!$E$1804)</f>
        <v/>
      </c>
      <c r="M1801">
        <f>IF([2]Entry!$G$1804="","",[2]Entry!$G$1804)</f>
        <v/>
      </c>
      <c r="N1801">
        <f>IF([2]Entry!$M$1804="","",[2]Entry!$M$1804)</f>
        <v/>
      </c>
      <c r="O1801">
        <f>IF([2]Entry!$N$1804="","",[2]Entry!$N$1804)</f>
        <v/>
      </c>
      <c r="P1801">
        <f>IF([2]Entry!$R$1804="","",[2]Entry!$R$1804)</f>
        <v/>
      </c>
    </row>
    <row r="1802">
      <c r="J1802">
        <f>IF([2]Entry!$C$1805="","",[2]Entry!$C$1805)</f>
        <v/>
      </c>
      <c r="K1802">
        <f>IF([2]Entry!$D$1805="","",[2]Entry!$D$1805)</f>
        <v/>
      </c>
      <c r="L1802">
        <f>IF([2]Entry!$E$1805="","",[2]Entry!$E$1805)</f>
        <v/>
      </c>
      <c r="M1802">
        <f>IF([2]Entry!$G$1805="","",[2]Entry!$G$1805)</f>
        <v/>
      </c>
      <c r="N1802">
        <f>IF([2]Entry!$M$1805="","",[2]Entry!$M$1805)</f>
        <v/>
      </c>
      <c r="O1802">
        <f>IF([2]Entry!$N$1805="","",[2]Entry!$N$1805)</f>
        <v/>
      </c>
      <c r="P1802">
        <f>IF([2]Entry!$R$1805="","",[2]Entry!$R$1805)</f>
        <v/>
      </c>
    </row>
    <row r="1803">
      <c r="J1803">
        <f>IF([2]Entry!$C$1806="","",[2]Entry!$C$1806)</f>
        <v/>
      </c>
      <c r="K1803">
        <f>IF([2]Entry!$D$1806="","",[2]Entry!$D$1806)</f>
        <v/>
      </c>
      <c r="L1803">
        <f>IF([2]Entry!$E$1806="","",[2]Entry!$E$1806)</f>
        <v/>
      </c>
      <c r="M1803">
        <f>IF([2]Entry!$G$1806="","",[2]Entry!$G$1806)</f>
        <v/>
      </c>
      <c r="N1803">
        <f>IF([2]Entry!$M$1806="","",[2]Entry!$M$1806)</f>
        <v/>
      </c>
      <c r="O1803">
        <f>IF([2]Entry!$N$1806="","",[2]Entry!$N$1806)</f>
        <v/>
      </c>
      <c r="P1803">
        <f>IF([2]Entry!$R$1806="","",[2]Entry!$R$1806)</f>
        <v/>
      </c>
    </row>
    <row r="1804">
      <c r="J1804">
        <f>IF([2]Entry!$C$1807="","",[2]Entry!$C$1807)</f>
        <v/>
      </c>
      <c r="K1804">
        <f>IF([2]Entry!$D$1807="","",[2]Entry!$D$1807)</f>
        <v/>
      </c>
      <c r="L1804">
        <f>IF([2]Entry!$E$1807="","",[2]Entry!$E$1807)</f>
        <v/>
      </c>
      <c r="M1804">
        <f>IF([2]Entry!$G$1807="","",[2]Entry!$G$1807)</f>
        <v/>
      </c>
      <c r="N1804">
        <f>IF([2]Entry!$M$1807="","",[2]Entry!$M$1807)</f>
        <v/>
      </c>
      <c r="O1804">
        <f>IF([2]Entry!$N$1807="","",[2]Entry!$N$1807)</f>
        <v/>
      </c>
      <c r="P1804">
        <f>IF([2]Entry!$R$1807="","",[2]Entry!$R$1807)</f>
        <v/>
      </c>
    </row>
    <row r="1805">
      <c r="J1805">
        <f>IF([2]Entry!$C$1808="","",[2]Entry!$C$1808)</f>
        <v/>
      </c>
      <c r="K1805">
        <f>IF([2]Entry!$D$1808="","",[2]Entry!$D$1808)</f>
        <v/>
      </c>
      <c r="L1805">
        <f>IF([2]Entry!$E$1808="","",[2]Entry!$E$1808)</f>
        <v/>
      </c>
      <c r="M1805">
        <f>IF([2]Entry!$G$1808="","",[2]Entry!$G$1808)</f>
        <v/>
      </c>
      <c r="N1805">
        <f>IF([2]Entry!$M$1808="","",[2]Entry!$M$1808)</f>
        <v/>
      </c>
      <c r="O1805">
        <f>IF([2]Entry!$N$1808="","",[2]Entry!$N$1808)</f>
        <v/>
      </c>
      <c r="P1805">
        <f>IF([2]Entry!$R$1808="","",[2]Entry!$R$1808)</f>
        <v/>
      </c>
    </row>
    <row r="1806">
      <c r="J1806">
        <f>IF([2]Entry!$C$1809="","",[2]Entry!$C$1809)</f>
        <v/>
      </c>
      <c r="K1806">
        <f>IF([2]Entry!$D$1809="","",[2]Entry!$D$1809)</f>
        <v/>
      </c>
      <c r="L1806">
        <f>IF([2]Entry!$E$1809="","",[2]Entry!$E$1809)</f>
        <v/>
      </c>
      <c r="M1806">
        <f>IF([2]Entry!$G$1809="","",[2]Entry!$G$1809)</f>
        <v/>
      </c>
      <c r="N1806">
        <f>IF([2]Entry!$M$1809="","",[2]Entry!$M$1809)</f>
        <v/>
      </c>
      <c r="O1806">
        <f>IF([2]Entry!$N$1809="","",[2]Entry!$N$1809)</f>
        <v/>
      </c>
      <c r="P1806">
        <f>IF([2]Entry!$R$1809="","",[2]Entry!$R$1809)</f>
        <v/>
      </c>
    </row>
    <row r="1807">
      <c r="J1807">
        <f>IF([2]Entry!$C$1810="","",[2]Entry!$C$1810)</f>
        <v/>
      </c>
      <c r="K1807">
        <f>IF([2]Entry!$D$1810="","",[2]Entry!$D$1810)</f>
        <v/>
      </c>
      <c r="L1807">
        <f>IF([2]Entry!$E$1810="","",[2]Entry!$E$1810)</f>
        <v/>
      </c>
      <c r="M1807">
        <f>IF([2]Entry!$G$1810="","",[2]Entry!$G$1810)</f>
        <v/>
      </c>
      <c r="N1807">
        <f>IF([2]Entry!$M$1810="","",[2]Entry!$M$1810)</f>
        <v/>
      </c>
      <c r="O1807">
        <f>IF([2]Entry!$N$1810="","",[2]Entry!$N$1810)</f>
        <v/>
      </c>
      <c r="P1807">
        <f>IF([2]Entry!$R$1810="","",[2]Entry!$R$1810)</f>
        <v/>
      </c>
    </row>
    <row r="1808">
      <c r="J1808">
        <f>IF([2]Entry!$C$1811="","",[2]Entry!$C$1811)</f>
        <v/>
      </c>
      <c r="K1808">
        <f>IF([2]Entry!$D$1811="","",[2]Entry!$D$1811)</f>
        <v/>
      </c>
      <c r="L1808">
        <f>IF([2]Entry!$E$1811="","",[2]Entry!$E$1811)</f>
        <v/>
      </c>
      <c r="M1808">
        <f>IF([2]Entry!$G$1811="","",[2]Entry!$G$1811)</f>
        <v/>
      </c>
      <c r="N1808">
        <f>IF([2]Entry!$M$1811="","",[2]Entry!$M$1811)</f>
        <v/>
      </c>
      <c r="O1808">
        <f>IF([2]Entry!$N$1811="","",[2]Entry!$N$1811)</f>
        <v/>
      </c>
      <c r="P1808">
        <f>IF([2]Entry!$R$1811="","",[2]Entry!$R$1811)</f>
        <v/>
      </c>
    </row>
    <row r="1809">
      <c r="J1809">
        <f>IF([2]Entry!$C$1812="","",[2]Entry!$C$1812)</f>
        <v/>
      </c>
      <c r="K1809">
        <f>IF([2]Entry!$D$1812="","",[2]Entry!$D$1812)</f>
        <v/>
      </c>
      <c r="L1809">
        <f>IF([2]Entry!$E$1812="","",[2]Entry!$E$1812)</f>
        <v/>
      </c>
      <c r="M1809">
        <f>IF([2]Entry!$G$1812="","",[2]Entry!$G$1812)</f>
        <v/>
      </c>
      <c r="N1809">
        <f>IF([2]Entry!$M$1812="","",[2]Entry!$M$1812)</f>
        <v/>
      </c>
      <c r="O1809">
        <f>IF([2]Entry!$N$1812="","",[2]Entry!$N$1812)</f>
        <v/>
      </c>
      <c r="P1809">
        <f>IF([2]Entry!$R$1812="","",[2]Entry!$R$1812)</f>
        <v/>
      </c>
    </row>
    <row r="1810">
      <c r="J1810">
        <f>IF([2]Entry!$C$1813="","",[2]Entry!$C$1813)</f>
        <v/>
      </c>
      <c r="K1810">
        <f>IF([2]Entry!$D$1813="","",[2]Entry!$D$1813)</f>
        <v/>
      </c>
      <c r="L1810">
        <f>IF([2]Entry!$E$1813="","",[2]Entry!$E$1813)</f>
        <v/>
      </c>
      <c r="M1810">
        <f>IF([2]Entry!$G$1813="","",[2]Entry!$G$1813)</f>
        <v/>
      </c>
      <c r="N1810">
        <f>IF([2]Entry!$M$1813="","",[2]Entry!$M$1813)</f>
        <v/>
      </c>
      <c r="O1810">
        <f>IF([2]Entry!$N$1813="","",[2]Entry!$N$1813)</f>
        <v/>
      </c>
      <c r="P1810">
        <f>IF([2]Entry!$R$1813="","",[2]Entry!$R$1813)</f>
        <v/>
      </c>
    </row>
    <row r="1811">
      <c r="J1811">
        <f>IF([2]Entry!$C$1814="","",[2]Entry!$C$1814)</f>
        <v/>
      </c>
      <c r="K1811">
        <f>IF([2]Entry!$D$1814="","",[2]Entry!$D$1814)</f>
        <v/>
      </c>
      <c r="L1811">
        <f>IF([2]Entry!$E$1814="","",[2]Entry!$E$1814)</f>
        <v/>
      </c>
      <c r="M1811">
        <f>IF([2]Entry!$G$1814="","",[2]Entry!$G$1814)</f>
        <v/>
      </c>
      <c r="N1811">
        <f>IF([2]Entry!$M$1814="","",[2]Entry!$M$1814)</f>
        <v/>
      </c>
      <c r="O1811">
        <f>IF([2]Entry!$N$1814="","",[2]Entry!$N$1814)</f>
        <v/>
      </c>
      <c r="P1811">
        <f>IF([2]Entry!$R$1814="","",[2]Entry!$R$1814)</f>
        <v/>
      </c>
    </row>
    <row r="1812">
      <c r="J1812">
        <f>IF([2]Entry!$C$1815="","",[2]Entry!$C$1815)</f>
        <v/>
      </c>
      <c r="K1812">
        <f>IF([2]Entry!$D$1815="","",[2]Entry!$D$1815)</f>
        <v/>
      </c>
      <c r="L1812">
        <f>IF([2]Entry!$E$1815="","",[2]Entry!$E$1815)</f>
        <v/>
      </c>
      <c r="M1812">
        <f>IF([2]Entry!$G$1815="","",[2]Entry!$G$1815)</f>
        <v/>
      </c>
      <c r="N1812">
        <f>IF([2]Entry!$M$1815="","",[2]Entry!$M$1815)</f>
        <v/>
      </c>
      <c r="O1812">
        <f>IF([2]Entry!$N$1815="","",[2]Entry!$N$1815)</f>
        <v/>
      </c>
      <c r="P1812">
        <f>IF([2]Entry!$R$1815="","",[2]Entry!$R$1815)</f>
        <v/>
      </c>
    </row>
    <row r="1813">
      <c r="J1813">
        <f>IF([2]Entry!$C$1816="","",[2]Entry!$C$1816)</f>
        <v/>
      </c>
      <c r="K1813">
        <f>IF([2]Entry!$D$1816="","",[2]Entry!$D$1816)</f>
        <v/>
      </c>
      <c r="L1813">
        <f>IF([2]Entry!$E$1816="","",[2]Entry!$E$1816)</f>
        <v/>
      </c>
      <c r="M1813">
        <f>IF([2]Entry!$G$1816="","",[2]Entry!$G$1816)</f>
        <v/>
      </c>
      <c r="N1813">
        <f>IF([2]Entry!$M$1816="","",[2]Entry!$M$1816)</f>
        <v/>
      </c>
      <c r="O1813">
        <f>IF([2]Entry!$N$1816="","",[2]Entry!$N$1816)</f>
        <v/>
      </c>
      <c r="P1813">
        <f>IF([2]Entry!$R$1816="","",[2]Entry!$R$1816)</f>
        <v/>
      </c>
    </row>
    <row r="1814">
      <c r="J1814">
        <f>IF([2]Entry!$C$1817="","",[2]Entry!$C$1817)</f>
        <v/>
      </c>
      <c r="K1814">
        <f>IF([2]Entry!$D$1817="","",[2]Entry!$D$1817)</f>
        <v/>
      </c>
      <c r="L1814">
        <f>IF([2]Entry!$E$1817="","",[2]Entry!$E$1817)</f>
        <v/>
      </c>
      <c r="M1814">
        <f>IF([2]Entry!$G$1817="","",[2]Entry!$G$1817)</f>
        <v/>
      </c>
      <c r="N1814">
        <f>IF([2]Entry!$M$1817="","",[2]Entry!$M$1817)</f>
        <v/>
      </c>
      <c r="O1814">
        <f>IF([2]Entry!$N$1817="","",[2]Entry!$N$1817)</f>
        <v/>
      </c>
      <c r="P1814">
        <f>IF([2]Entry!$R$1817="","",[2]Entry!$R$1817)</f>
        <v/>
      </c>
    </row>
    <row r="1815">
      <c r="J1815">
        <f>IF([2]Entry!$C$1818="","",[2]Entry!$C$1818)</f>
        <v/>
      </c>
      <c r="K1815">
        <f>IF([2]Entry!$D$1818="","",[2]Entry!$D$1818)</f>
        <v/>
      </c>
      <c r="L1815">
        <f>IF([2]Entry!$E$1818="","",[2]Entry!$E$1818)</f>
        <v/>
      </c>
      <c r="M1815">
        <f>IF([2]Entry!$G$1818="","",[2]Entry!$G$1818)</f>
        <v/>
      </c>
      <c r="N1815">
        <f>IF([2]Entry!$M$1818="","",[2]Entry!$M$1818)</f>
        <v/>
      </c>
      <c r="O1815">
        <f>IF([2]Entry!$N$1818="","",[2]Entry!$N$1818)</f>
        <v/>
      </c>
      <c r="P1815">
        <f>IF([2]Entry!$R$1818="","",[2]Entry!$R$1818)</f>
        <v/>
      </c>
    </row>
    <row r="1816">
      <c r="J1816">
        <f>IF([2]Entry!$C$1819="","",[2]Entry!$C$1819)</f>
        <v/>
      </c>
      <c r="K1816">
        <f>IF([2]Entry!$D$1819="","",[2]Entry!$D$1819)</f>
        <v/>
      </c>
      <c r="L1816">
        <f>IF([2]Entry!$E$1819="","",[2]Entry!$E$1819)</f>
        <v/>
      </c>
      <c r="M1816">
        <f>IF([2]Entry!$G$1819="","",[2]Entry!$G$1819)</f>
        <v/>
      </c>
      <c r="N1816">
        <f>IF([2]Entry!$M$1819="","",[2]Entry!$M$1819)</f>
        <v/>
      </c>
      <c r="O1816">
        <f>IF([2]Entry!$N$1819="","",[2]Entry!$N$1819)</f>
        <v/>
      </c>
      <c r="P1816">
        <f>IF([2]Entry!$R$1819="","",[2]Entry!$R$1819)</f>
        <v/>
      </c>
    </row>
    <row r="1817">
      <c r="J1817">
        <f>IF([2]Entry!$C$1820="","",[2]Entry!$C$1820)</f>
        <v/>
      </c>
      <c r="K1817">
        <f>IF([2]Entry!$D$1820="","",[2]Entry!$D$1820)</f>
        <v/>
      </c>
      <c r="L1817">
        <f>IF([2]Entry!$E$1820="","",[2]Entry!$E$1820)</f>
        <v/>
      </c>
      <c r="M1817">
        <f>IF([2]Entry!$G$1820="","",[2]Entry!$G$1820)</f>
        <v/>
      </c>
      <c r="N1817">
        <f>IF([2]Entry!$M$1820="","",[2]Entry!$M$1820)</f>
        <v/>
      </c>
      <c r="O1817">
        <f>IF([2]Entry!$N$1820="","",[2]Entry!$N$1820)</f>
        <v/>
      </c>
      <c r="P1817">
        <f>IF([2]Entry!$R$1820="","",[2]Entry!$R$1820)</f>
        <v/>
      </c>
    </row>
    <row r="1818">
      <c r="J1818">
        <f>IF([2]Entry!$C$1821="","",[2]Entry!$C$1821)</f>
        <v/>
      </c>
      <c r="K1818">
        <f>IF([2]Entry!$D$1821="","",[2]Entry!$D$1821)</f>
        <v/>
      </c>
      <c r="L1818">
        <f>IF([2]Entry!$E$1821="","",[2]Entry!$E$1821)</f>
        <v/>
      </c>
      <c r="M1818">
        <f>IF([2]Entry!$G$1821="","",[2]Entry!$G$1821)</f>
        <v/>
      </c>
      <c r="N1818">
        <f>IF([2]Entry!$M$1821="","",[2]Entry!$M$1821)</f>
        <v/>
      </c>
      <c r="O1818">
        <f>IF([2]Entry!$N$1821="","",[2]Entry!$N$1821)</f>
        <v/>
      </c>
      <c r="P1818">
        <f>IF([2]Entry!$R$1821="","",[2]Entry!$R$1821)</f>
        <v/>
      </c>
    </row>
    <row r="1819">
      <c r="J1819">
        <f>IF([2]Entry!$C$1822="","",[2]Entry!$C$1822)</f>
        <v/>
      </c>
      <c r="K1819">
        <f>IF([2]Entry!$D$1822="","",[2]Entry!$D$1822)</f>
        <v/>
      </c>
      <c r="L1819">
        <f>IF([2]Entry!$E$1822="","",[2]Entry!$E$1822)</f>
        <v/>
      </c>
      <c r="M1819">
        <f>IF([2]Entry!$G$1822="","",[2]Entry!$G$1822)</f>
        <v/>
      </c>
      <c r="N1819">
        <f>IF([2]Entry!$M$1822="","",[2]Entry!$M$1822)</f>
        <v/>
      </c>
      <c r="O1819">
        <f>IF([2]Entry!$N$1822="","",[2]Entry!$N$1822)</f>
        <v/>
      </c>
      <c r="P1819">
        <f>IF([2]Entry!$R$1822="","",[2]Entry!$R$1822)</f>
        <v/>
      </c>
    </row>
    <row r="1820">
      <c r="J1820">
        <f>IF([2]Entry!$C$1823="","",[2]Entry!$C$1823)</f>
        <v/>
      </c>
      <c r="K1820">
        <f>IF([2]Entry!$D$1823="","",[2]Entry!$D$1823)</f>
        <v/>
      </c>
      <c r="L1820">
        <f>IF([2]Entry!$E$1823="","",[2]Entry!$E$1823)</f>
        <v/>
      </c>
      <c r="M1820">
        <f>IF([2]Entry!$G$1823="","",[2]Entry!$G$1823)</f>
        <v/>
      </c>
      <c r="N1820">
        <f>IF([2]Entry!$M$1823="","",[2]Entry!$M$1823)</f>
        <v/>
      </c>
      <c r="O1820">
        <f>IF([2]Entry!$N$1823="","",[2]Entry!$N$1823)</f>
        <v/>
      </c>
      <c r="P1820">
        <f>IF([2]Entry!$R$1823="","",[2]Entry!$R$1823)</f>
        <v/>
      </c>
    </row>
    <row r="1821">
      <c r="J1821">
        <f>IF([2]Entry!$C$1824="","",[2]Entry!$C$1824)</f>
        <v/>
      </c>
      <c r="K1821">
        <f>IF([2]Entry!$D$1824="","",[2]Entry!$D$1824)</f>
        <v/>
      </c>
      <c r="L1821">
        <f>IF([2]Entry!$E$1824="","",[2]Entry!$E$1824)</f>
        <v/>
      </c>
      <c r="M1821">
        <f>IF([2]Entry!$G$1824="","",[2]Entry!$G$1824)</f>
        <v/>
      </c>
      <c r="N1821">
        <f>IF([2]Entry!$M$1824="","",[2]Entry!$M$1824)</f>
        <v/>
      </c>
      <c r="O1821">
        <f>IF([2]Entry!$N$1824="","",[2]Entry!$N$1824)</f>
        <v/>
      </c>
      <c r="P1821">
        <f>IF([2]Entry!$R$1824="","",[2]Entry!$R$1824)</f>
        <v/>
      </c>
    </row>
    <row r="1822">
      <c r="J1822">
        <f>IF([2]Entry!$C$1825="","",[2]Entry!$C$1825)</f>
        <v/>
      </c>
      <c r="K1822">
        <f>IF([2]Entry!$D$1825="","",[2]Entry!$D$1825)</f>
        <v/>
      </c>
      <c r="L1822">
        <f>IF([2]Entry!$E$1825="","",[2]Entry!$E$1825)</f>
        <v/>
      </c>
      <c r="M1822">
        <f>IF([2]Entry!$G$1825="","",[2]Entry!$G$1825)</f>
        <v/>
      </c>
      <c r="N1822">
        <f>IF([2]Entry!$M$1825="","",[2]Entry!$M$1825)</f>
        <v/>
      </c>
      <c r="O1822">
        <f>IF([2]Entry!$N$1825="","",[2]Entry!$N$1825)</f>
        <v/>
      </c>
      <c r="P1822">
        <f>IF([2]Entry!$R$1825="","",[2]Entry!$R$1825)</f>
        <v/>
      </c>
    </row>
    <row r="1823">
      <c r="J1823">
        <f>IF([2]Entry!$C$1826="","",[2]Entry!$C$1826)</f>
        <v/>
      </c>
      <c r="K1823">
        <f>IF([2]Entry!$D$1826="","",[2]Entry!$D$1826)</f>
        <v/>
      </c>
      <c r="L1823">
        <f>IF([2]Entry!$E$1826="","",[2]Entry!$E$1826)</f>
        <v/>
      </c>
      <c r="M1823">
        <f>IF([2]Entry!$G$1826="","",[2]Entry!$G$1826)</f>
        <v/>
      </c>
      <c r="N1823">
        <f>IF([2]Entry!$M$1826="","",[2]Entry!$M$1826)</f>
        <v/>
      </c>
      <c r="O1823">
        <f>IF([2]Entry!$N$1826="","",[2]Entry!$N$1826)</f>
        <v/>
      </c>
      <c r="P1823">
        <f>IF([2]Entry!$R$1826="","",[2]Entry!$R$1826)</f>
        <v/>
      </c>
    </row>
    <row r="1824">
      <c r="J1824">
        <f>IF([2]Entry!$C$1827="","",[2]Entry!$C$1827)</f>
        <v/>
      </c>
      <c r="K1824">
        <f>IF([2]Entry!$D$1827="","",[2]Entry!$D$1827)</f>
        <v/>
      </c>
      <c r="L1824">
        <f>IF([2]Entry!$E$1827="","",[2]Entry!$E$1827)</f>
        <v/>
      </c>
      <c r="M1824">
        <f>IF([2]Entry!$G$1827="","",[2]Entry!$G$1827)</f>
        <v/>
      </c>
      <c r="N1824">
        <f>IF([2]Entry!$M$1827="","",[2]Entry!$M$1827)</f>
        <v/>
      </c>
      <c r="O1824">
        <f>IF([2]Entry!$N$1827="","",[2]Entry!$N$1827)</f>
        <v/>
      </c>
      <c r="P1824">
        <f>IF([2]Entry!$R$1827="","",[2]Entry!$R$1827)</f>
        <v/>
      </c>
    </row>
    <row r="1825">
      <c r="J1825">
        <f>IF([2]Entry!$C$1828="","",[2]Entry!$C$1828)</f>
        <v/>
      </c>
      <c r="K1825">
        <f>IF([2]Entry!$D$1828="","",[2]Entry!$D$1828)</f>
        <v/>
      </c>
      <c r="L1825">
        <f>IF([2]Entry!$E$1828="","",[2]Entry!$E$1828)</f>
        <v/>
      </c>
      <c r="M1825">
        <f>IF([2]Entry!$G$1828="","",[2]Entry!$G$1828)</f>
        <v/>
      </c>
      <c r="N1825">
        <f>IF([2]Entry!$M$1828="","",[2]Entry!$M$1828)</f>
        <v/>
      </c>
      <c r="O1825">
        <f>IF([2]Entry!$N$1828="","",[2]Entry!$N$1828)</f>
        <v/>
      </c>
      <c r="P1825">
        <f>IF([2]Entry!$R$1828="","",[2]Entry!$R$1828)</f>
        <v/>
      </c>
    </row>
    <row r="1826">
      <c r="J1826">
        <f>IF([2]Entry!$C$1829="","",[2]Entry!$C$1829)</f>
        <v/>
      </c>
      <c r="K1826">
        <f>IF([2]Entry!$D$1829="","",[2]Entry!$D$1829)</f>
        <v/>
      </c>
      <c r="L1826">
        <f>IF([2]Entry!$E$1829="","",[2]Entry!$E$1829)</f>
        <v/>
      </c>
      <c r="M1826">
        <f>IF([2]Entry!$G$1829="","",[2]Entry!$G$1829)</f>
        <v/>
      </c>
      <c r="N1826">
        <f>IF([2]Entry!$M$1829="","",[2]Entry!$M$1829)</f>
        <v/>
      </c>
      <c r="O1826">
        <f>IF([2]Entry!$N$1829="","",[2]Entry!$N$1829)</f>
        <v/>
      </c>
      <c r="P1826">
        <f>IF([2]Entry!$R$1829="","",[2]Entry!$R$1829)</f>
        <v/>
      </c>
    </row>
    <row r="1827">
      <c r="J1827">
        <f>IF([2]Entry!$C$1830="","",[2]Entry!$C$1830)</f>
        <v/>
      </c>
      <c r="K1827">
        <f>IF([2]Entry!$D$1830="","",[2]Entry!$D$1830)</f>
        <v/>
      </c>
      <c r="L1827">
        <f>IF([2]Entry!$E$1830="","",[2]Entry!$E$1830)</f>
        <v/>
      </c>
      <c r="M1827">
        <f>IF([2]Entry!$G$1830="","",[2]Entry!$G$1830)</f>
        <v/>
      </c>
      <c r="N1827">
        <f>IF([2]Entry!$M$1830="","",[2]Entry!$M$1830)</f>
        <v/>
      </c>
      <c r="O1827">
        <f>IF([2]Entry!$N$1830="","",[2]Entry!$N$1830)</f>
        <v/>
      </c>
      <c r="P1827">
        <f>IF([2]Entry!$R$1830="","",[2]Entry!$R$1830)</f>
        <v/>
      </c>
    </row>
    <row r="1828">
      <c r="J1828">
        <f>IF([2]Entry!$C$1831="","",[2]Entry!$C$1831)</f>
        <v/>
      </c>
      <c r="K1828">
        <f>IF([2]Entry!$D$1831="","",[2]Entry!$D$1831)</f>
        <v/>
      </c>
      <c r="L1828">
        <f>IF([2]Entry!$E$1831="","",[2]Entry!$E$1831)</f>
        <v/>
      </c>
      <c r="M1828">
        <f>IF([2]Entry!$G$1831="","",[2]Entry!$G$1831)</f>
        <v/>
      </c>
      <c r="N1828">
        <f>IF([2]Entry!$M$1831="","",[2]Entry!$M$1831)</f>
        <v/>
      </c>
      <c r="O1828">
        <f>IF([2]Entry!$N$1831="","",[2]Entry!$N$1831)</f>
        <v/>
      </c>
      <c r="P1828">
        <f>IF([2]Entry!$R$1831="","",[2]Entry!$R$1831)</f>
        <v/>
      </c>
    </row>
    <row r="1829">
      <c r="J1829">
        <f>IF([2]Entry!$C$1832="","",[2]Entry!$C$1832)</f>
        <v/>
      </c>
      <c r="K1829">
        <f>IF([2]Entry!$D$1832="","",[2]Entry!$D$1832)</f>
        <v/>
      </c>
      <c r="L1829">
        <f>IF([2]Entry!$E$1832="","",[2]Entry!$E$1832)</f>
        <v/>
      </c>
      <c r="M1829">
        <f>IF([2]Entry!$G$1832="","",[2]Entry!$G$1832)</f>
        <v/>
      </c>
      <c r="N1829">
        <f>IF([2]Entry!$M$1832="","",[2]Entry!$M$1832)</f>
        <v/>
      </c>
      <c r="O1829">
        <f>IF([2]Entry!$N$1832="","",[2]Entry!$N$1832)</f>
        <v/>
      </c>
      <c r="P1829">
        <f>IF([2]Entry!$R$1832="","",[2]Entry!$R$1832)</f>
        <v/>
      </c>
    </row>
    <row r="1830">
      <c r="J1830">
        <f>IF([2]Entry!$C$1833="","",[2]Entry!$C$1833)</f>
        <v/>
      </c>
      <c r="K1830">
        <f>IF([2]Entry!$D$1833="","",[2]Entry!$D$1833)</f>
        <v/>
      </c>
      <c r="L1830">
        <f>IF([2]Entry!$E$1833="","",[2]Entry!$E$1833)</f>
        <v/>
      </c>
      <c r="M1830">
        <f>IF([2]Entry!$G$1833="","",[2]Entry!$G$1833)</f>
        <v/>
      </c>
      <c r="N1830">
        <f>IF([2]Entry!$M$1833="","",[2]Entry!$M$1833)</f>
        <v/>
      </c>
      <c r="O1830">
        <f>IF([2]Entry!$N$1833="","",[2]Entry!$N$1833)</f>
        <v/>
      </c>
      <c r="P1830">
        <f>IF([2]Entry!$R$1833="","",[2]Entry!$R$1833)</f>
        <v/>
      </c>
    </row>
    <row r="1831">
      <c r="J1831">
        <f>IF([2]Entry!$C$1834="","",[2]Entry!$C$1834)</f>
        <v/>
      </c>
      <c r="K1831">
        <f>IF([2]Entry!$D$1834="","",[2]Entry!$D$1834)</f>
        <v/>
      </c>
      <c r="L1831">
        <f>IF([2]Entry!$E$1834="","",[2]Entry!$E$1834)</f>
        <v/>
      </c>
      <c r="M1831">
        <f>IF([2]Entry!$G$1834="","",[2]Entry!$G$1834)</f>
        <v/>
      </c>
      <c r="N1831">
        <f>IF([2]Entry!$M$1834="","",[2]Entry!$M$1834)</f>
        <v/>
      </c>
      <c r="O1831">
        <f>IF([2]Entry!$N$1834="","",[2]Entry!$N$1834)</f>
        <v/>
      </c>
      <c r="P1831">
        <f>IF([2]Entry!$R$1834="","",[2]Entry!$R$1834)</f>
        <v/>
      </c>
    </row>
    <row r="1832">
      <c r="J1832">
        <f>IF([2]Entry!$C$1835="","",[2]Entry!$C$1835)</f>
        <v/>
      </c>
      <c r="K1832">
        <f>IF([2]Entry!$D$1835="","",[2]Entry!$D$1835)</f>
        <v/>
      </c>
      <c r="L1832">
        <f>IF([2]Entry!$E$1835="","",[2]Entry!$E$1835)</f>
        <v/>
      </c>
      <c r="M1832">
        <f>IF([2]Entry!$G$1835="","",[2]Entry!$G$1835)</f>
        <v/>
      </c>
      <c r="N1832">
        <f>IF([2]Entry!$M$1835="","",[2]Entry!$M$1835)</f>
        <v/>
      </c>
      <c r="O1832">
        <f>IF([2]Entry!$N$1835="","",[2]Entry!$N$1835)</f>
        <v/>
      </c>
      <c r="P1832">
        <f>IF([2]Entry!$R$1835="","",[2]Entry!$R$1835)</f>
        <v/>
      </c>
    </row>
    <row r="1833">
      <c r="J1833">
        <f>IF([2]Entry!$C$1836="","",[2]Entry!$C$1836)</f>
        <v/>
      </c>
      <c r="K1833">
        <f>IF([2]Entry!$D$1836="","",[2]Entry!$D$1836)</f>
        <v/>
      </c>
      <c r="L1833">
        <f>IF([2]Entry!$E$1836="","",[2]Entry!$E$1836)</f>
        <v/>
      </c>
      <c r="M1833">
        <f>IF([2]Entry!$G$1836="","",[2]Entry!$G$1836)</f>
        <v/>
      </c>
      <c r="N1833">
        <f>IF([2]Entry!$M$1836="","",[2]Entry!$M$1836)</f>
        <v/>
      </c>
      <c r="O1833">
        <f>IF([2]Entry!$N$1836="","",[2]Entry!$N$1836)</f>
        <v/>
      </c>
      <c r="P1833">
        <f>IF([2]Entry!$R$1836="","",[2]Entry!$R$1836)</f>
        <v/>
      </c>
    </row>
    <row r="1834">
      <c r="J1834">
        <f>IF([2]Entry!$C$1837="","",[2]Entry!$C$1837)</f>
        <v/>
      </c>
      <c r="K1834">
        <f>IF([2]Entry!$D$1837="","",[2]Entry!$D$1837)</f>
        <v/>
      </c>
      <c r="L1834">
        <f>IF([2]Entry!$E$1837="","",[2]Entry!$E$1837)</f>
        <v/>
      </c>
      <c r="M1834">
        <f>IF([2]Entry!$G$1837="","",[2]Entry!$G$1837)</f>
        <v/>
      </c>
      <c r="N1834">
        <f>IF([2]Entry!$M$1837="","",[2]Entry!$M$1837)</f>
        <v/>
      </c>
      <c r="O1834">
        <f>IF([2]Entry!$N$1837="","",[2]Entry!$N$1837)</f>
        <v/>
      </c>
      <c r="P1834">
        <f>IF([2]Entry!$R$1837="","",[2]Entry!$R$1837)</f>
        <v/>
      </c>
    </row>
    <row r="1835">
      <c r="J1835">
        <f>IF([2]Entry!$C$1838="","",[2]Entry!$C$1838)</f>
        <v/>
      </c>
      <c r="K1835">
        <f>IF([2]Entry!$D$1838="","",[2]Entry!$D$1838)</f>
        <v/>
      </c>
      <c r="L1835">
        <f>IF([2]Entry!$E$1838="","",[2]Entry!$E$1838)</f>
        <v/>
      </c>
      <c r="M1835">
        <f>IF([2]Entry!$G$1838="","",[2]Entry!$G$1838)</f>
        <v/>
      </c>
      <c r="N1835">
        <f>IF([2]Entry!$M$1838="","",[2]Entry!$M$1838)</f>
        <v/>
      </c>
      <c r="O1835">
        <f>IF([2]Entry!$N$1838="","",[2]Entry!$N$1838)</f>
        <v/>
      </c>
      <c r="P1835">
        <f>IF([2]Entry!$R$1838="","",[2]Entry!$R$1838)</f>
        <v/>
      </c>
    </row>
    <row r="1836">
      <c r="J1836">
        <f>IF([2]Entry!$C$1839="","",[2]Entry!$C$1839)</f>
        <v/>
      </c>
      <c r="K1836">
        <f>IF([2]Entry!$D$1839="","",[2]Entry!$D$1839)</f>
        <v/>
      </c>
      <c r="L1836">
        <f>IF([2]Entry!$E$1839="","",[2]Entry!$E$1839)</f>
        <v/>
      </c>
      <c r="M1836">
        <f>IF([2]Entry!$G$1839="","",[2]Entry!$G$1839)</f>
        <v/>
      </c>
      <c r="N1836">
        <f>IF([2]Entry!$M$1839="","",[2]Entry!$M$1839)</f>
        <v/>
      </c>
      <c r="O1836">
        <f>IF([2]Entry!$N$1839="","",[2]Entry!$N$1839)</f>
        <v/>
      </c>
      <c r="P1836">
        <f>IF([2]Entry!$R$1839="","",[2]Entry!$R$1839)</f>
        <v/>
      </c>
    </row>
    <row r="1837">
      <c r="J1837">
        <f>IF([2]Entry!$C$1840="","",[2]Entry!$C$1840)</f>
        <v/>
      </c>
      <c r="K1837">
        <f>IF([2]Entry!$D$1840="","",[2]Entry!$D$1840)</f>
        <v/>
      </c>
      <c r="L1837">
        <f>IF([2]Entry!$E$1840="","",[2]Entry!$E$1840)</f>
        <v/>
      </c>
      <c r="M1837">
        <f>IF([2]Entry!$G$1840="","",[2]Entry!$G$1840)</f>
        <v/>
      </c>
      <c r="N1837">
        <f>IF([2]Entry!$M$1840="","",[2]Entry!$M$1840)</f>
        <v/>
      </c>
      <c r="O1837">
        <f>IF([2]Entry!$N$1840="","",[2]Entry!$N$1840)</f>
        <v/>
      </c>
      <c r="P1837">
        <f>IF([2]Entry!$R$1840="","",[2]Entry!$R$1840)</f>
        <v/>
      </c>
    </row>
    <row r="1838">
      <c r="J1838">
        <f>IF([2]Entry!$C$1841="","",[2]Entry!$C$1841)</f>
        <v/>
      </c>
      <c r="K1838">
        <f>IF([2]Entry!$D$1841="","",[2]Entry!$D$1841)</f>
        <v/>
      </c>
      <c r="L1838">
        <f>IF([2]Entry!$E$1841="","",[2]Entry!$E$1841)</f>
        <v/>
      </c>
      <c r="M1838">
        <f>IF([2]Entry!$G$1841="","",[2]Entry!$G$1841)</f>
        <v/>
      </c>
      <c r="N1838">
        <f>IF([2]Entry!$M$1841="","",[2]Entry!$M$1841)</f>
        <v/>
      </c>
      <c r="O1838">
        <f>IF([2]Entry!$N$1841="","",[2]Entry!$N$1841)</f>
        <v/>
      </c>
      <c r="P1838">
        <f>IF([2]Entry!$R$1841="","",[2]Entry!$R$1841)</f>
        <v/>
      </c>
    </row>
    <row r="1839">
      <c r="J1839">
        <f>IF([2]Entry!$C$1842="","",[2]Entry!$C$1842)</f>
        <v/>
      </c>
      <c r="K1839">
        <f>IF([2]Entry!$D$1842="","",[2]Entry!$D$1842)</f>
        <v/>
      </c>
      <c r="L1839">
        <f>IF([2]Entry!$E$1842="","",[2]Entry!$E$1842)</f>
        <v/>
      </c>
      <c r="M1839">
        <f>IF([2]Entry!$G$1842="","",[2]Entry!$G$1842)</f>
        <v/>
      </c>
      <c r="N1839">
        <f>IF([2]Entry!$M$1842="","",[2]Entry!$M$1842)</f>
        <v/>
      </c>
      <c r="O1839">
        <f>IF([2]Entry!$N$1842="","",[2]Entry!$N$1842)</f>
        <v/>
      </c>
      <c r="P1839">
        <f>IF([2]Entry!$R$1842="","",[2]Entry!$R$1842)</f>
        <v/>
      </c>
    </row>
    <row r="1840">
      <c r="J1840">
        <f>IF([2]Entry!$C$1843="","",[2]Entry!$C$1843)</f>
        <v/>
      </c>
      <c r="K1840">
        <f>IF([2]Entry!$D$1843="","",[2]Entry!$D$1843)</f>
        <v/>
      </c>
      <c r="L1840">
        <f>IF([2]Entry!$E$1843="","",[2]Entry!$E$1843)</f>
        <v/>
      </c>
      <c r="M1840">
        <f>IF([2]Entry!$G$1843="","",[2]Entry!$G$1843)</f>
        <v/>
      </c>
      <c r="N1840">
        <f>IF([2]Entry!$M$1843="","",[2]Entry!$M$1843)</f>
        <v/>
      </c>
      <c r="O1840">
        <f>IF([2]Entry!$N$1843="","",[2]Entry!$N$1843)</f>
        <v/>
      </c>
      <c r="P1840">
        <f>IF([2]Entry!$R$1843="","",[2]Entry!$R$1843)</f>
        <v/>
      </c>
    </row>
    <row r="1841">
      <c r="J1841">
        <f>IF([2]Entry!$C$1844="","",[2]Entry!$C$1844)</f>
        <v/>
      </c>
      <c r="K1841">
        <f>IF([2]Entry!$D$1844="","",[2]Entry!$D$1844)</f>
        <v/>
      </c>
      <c r="L1841">
        <f>IF([2]Entry!$E$1844="","",[2]Entry!$E$1844)</f>
        <v/>
      </c>
      <c r="M1841">
        <f>IF([2]Entry!$G$1844="","",[2]Entry!$G$1844)</f>
        <v/>
      </c>
      <c r="N1841">
        <f>IF([2]Entry!$M$1844="","",[2]Entry!$M$1844)</f>
        <v/>
      </c>
      <c r="O1841">
        <f>IF([2]Entry!$N$1844="","",[2]Entry!$N$1844)</f>
        <v/>
      </c>
      <c r="P1841">
        <f>IF([2]Entry!$R$1844="","",[2]Entry!$R$1844)</f>
        <v/>
      </c>
    </row>
    <row r="1842">
      <c r="J1842">
        <f>IF([2]Entry!$C$1845="","",[2]Entry!$C$1845)</f>
        <v/>
      </c>
      <c r="K1842">
        <f>IF([2]Entry!$D$1845="","",[2]Entry!$D$1845)</f>
        <v/>
      </c>
      <c r="L1842">
        <f>IF([2]Entry!$E$1845="","",[2]Entry!$E$1845)</f>
        <v/>
      </c>
      <c r="M1842">
        <f>IF([2]Entry!$G$1845="","",[2]Entry!$G$1845)</f>
        <v/>
      </c>
      <c r="N1842">
        <f>IF([2]Entry!$M$1845="","",[2]Entry!$M$1845)</f>
        <v/>
      </c>
      <c r="O1842">
        <f>IF([2]Entry!$N$1845="","",[2]Entry!$N$1845)</f>
        <v/>
      </c>
      <c r="P1842">
        <f>IF([2]Entry!$R$1845="","",[2]Entry!$R$1845)</f>
        <v/>
      </c>
    </row>
    <row r="1843">
      <c r="J1843">
        <f>IF([2]Entry!$C$1846="","",[2]Entry!$C$1846)</f>
        <v/>
      </c>
      <c r="K1843">
        <f>IF([2]Entry!$D$1846="","",[2]Entry!$D$1846)</f>
        <v/>
      </c>
      <c r="L1843">
        <f>IF([2]Entry!$E$1846="","",[2]Entry!$E$1846)</f>
        <v/>
      </c>
      <c r="M1843">
        <f>IF([2]Entry!$G$1846="","",[2]Entry!$G$1846)</f>
        <v/>
      </c>
      <c r="N1843">
        <f>IF([2]Entry!$M$1846="","",[2]Entry!$M$1846)</f>
        <v/>
      </c>
      <c r="O1843">
        <f>IF([2]Entry!$N$1846="","",[2]Entry!$N$1846)</f>
        <v/>
      </c>
      <c r="P1843">
        <f>IF([2]Entry!$R$1846="","",[2]Entry!$R$1846)</f>
        <v/>
      </c>
    </row>
    <row r="1844">
      <c r="J1844">
        <f>IF([2]Entry!$C$1847="","",[2]Entry!$C$1847)</f>
        <v/>
      </c>
      <c r="K1844">
        <f>IF([2]Entry!$D$1847="","",[2]Entry!$D$1847)</f>
        <v/>
      </c>
      <c r="L1844">
        <f>IF([2]Entry!$E$1847="","",[2]Entry!$E$1847)</f>
        <v/>
      </c>
      <c r="M1844">
        <f>IF([2]Entry!$G$1847="","",[2]Entry!$G$1847)</f>
        <v/>
      </c>
      <c r="N1844">
        <f>IF([2]Entry!$M$1847="","",[2]Entry!$M$1847)</f>
        <v/>
      </c>
      <c r="O1844">
        <f>IF([2]Entry!$N$1847="","",[2]Entry!$N$1847)</f>
        <v/>
      </c>
      <c r="P1844">
        <f>IF([2]Entry!$R$1847="","",[2]Entry!$R$1847)</f>
        <v/>
      </c>
    </row>
    <row r="1845">
      <c r="J1845">
        <f>IF([2]Entry!$C$1848="","",[2]Entry!$C$1848)</f>
        <v/>
      </c>
      <c r="K1845">
        <f>IF([2]Entry!$D$1848="","",[2]Entry!$D$1848)</f>
        <v/>
      </c>
      <c r="L1845">
        <f>IF([2]Entry!$E$1848="","",[2]Entry!$E$1848)</f>
        <v/>
      </c>
      <c r="M1845">
        <f>IF([2]Entry!$G$1848="","",[2]Entry!$G$1848)</f>
        <v/>
      </c>
      <c r="N1845">
        <f>IF([2]Entry!$M$1848="","",[2]Entry!$M$1848)</f>
        <v/>
      </c>
      <c r="O1845">
        <f>IF([2]Entry!$N$1848="","",[2]Entry!$N$1848)</f>
        <v/>
      </c>
      <c r="P1845">
        <f>IF([2]Entry!$R$1848="","",[2]Entry!$R$1848)</f>
        <v/>
      </c>
    </row>
    <row r="1846">
      <c r="J1846">
        <f>IF([2]Entry!$C$1849="","",[2]Entry!$C$1849)</f>
        <v/>
      </c>
      <c r="K1846">
        <f>IF([2]Entry!$D$1849="","",[2]Entry!$D$1849)</f>
        <v/>
      </c>
      <c r="L1846">
        <f>IF([2]Entry!$E$1849="","",[2]Entry!$E$1849)</f>
        <v/>
      </c>
      <c r="M1846">
        <f>IF([2]Entry!$G$1849="","",[2]Entry!$G$1849)</f>
        <v/>
      </c>
      <c r="N1846">
        <f>IF([2]Entry!$M$1849="","",[2]Entry!$M$1849)</f>
        <v/>
      </c>
      <c r="O1846">
        <f>IF([2]Entry!$N$1849="","",[2]Entry!$N$1849)</f>
        <v/>
      </c>
      <c r="P1846">
        <f>IF([2]Entry!$R$1849="","",[2]Entry!$R$1849)</f>
        <v/>
      </c>
    </row>
    <row r="1847">
      <c r="J1847">
        <f>IF([2]Entry!$C$1850="","",[2]Entry!$C$1850)</f>
        <v/>
      </c>
      <c r="K1847">
        <f>IF([2]Entry!$D$1850="","",[2]Entry!$D$1850)</f>
        <v/>
      </c>
      <c r="L1847">
        <f>IF([2]Entry!$E$1850="","",[2]Entry!$E$1850)</f>
        <v/>
      </c>
      <c r="M1847">
        <f>IF([2]Entry!$G$1850="","",[2]Entry!$G$1850)</f>
        <v/>
      </c>
      <c r="N1847">
        <f>IF([2]Entry!$M$1850="","",[2]Entry!$M$1850)</f>
        <v/>
      </c>
      <c r="O1847">
        <f>IF([2]Entry!$N$1850="","",[2]Entry!$N$1850)</f>
        <v/>
      </c>
      <c r="P1847">
        <f>IF([2]Entry!$R$1850="","",[2]Entry!$R$1850)</f>
        <v/>
      </c>
    </row>
    <row r="1848">
      <c r="J1848">
        <f>IF([2]Entry!$C$1851="","",[2]Entry!$C$1851)</f>
        <v/>
      </c>
      <c r="K1848">
        <f>IF([2]Entry!$D$1851="","",[2]Entry!$D$1851)</f>
        <v/>
      </c>
      <c r="L1848">
        <f>IF([2]Entry!$E$1851="","",[2]Entry!$E$1851)</f>
        <v/>
      </c>
      <c r="M1848">
        <f>IF([2]Entry!$G$1851="","",[2]Entry!$G$1851)</f>
        <v/>
      </c>
      <c r="N1848">
        <f>IF([2]Entry!$M$1851="","",[2]Entry!$M$1851)</f>
        <v/>
      </c>
      <c r="O1848">
        <f>IF([2]Entry!$N$1851="","",[2]Entry!$N$1851)</f>
        <v/>
      </c>
      <c r="P1848">
        <f>IF([2]Entry!$R$1851="","",[2]Entry!$R$1851)</f>
        <v/>
      </c>
    </row>
    <row r="1849">
      <c r="J1849">
        <f>IF([2]Entry!$C$1852="","",[2]Entry!$C$1852)</f>
        <v/>
      </c>
      <c r="K1849">
        <f>IF([2]Entry!$D$1852="","",[2]Entry!$D$1852)</f>
        <v/>
      </c>
      <c r="L1849">
        <f>IF([2]Entry!$E$1852="","",[2]Entry!$E$1852)</f>
        <v/>
      </c>
      <c r="M1849">
        <f>IF([2]Entry!$G$1852="","",[2]Entry!$G$1852)</f>
        <v/>
      </c>
      <c r="N1849">
        <f>IF([2]Entry!$M$1852="","",[2]Entry!$M$1852)</f>
        <v/>
      </c>
      <c r="O1849">
        <f>IF([2]Entry!$N$1852="","",[2]Entry!$N$1852)</f>
        <v/>
      </c>
      <c r="P1849">
        <f>IF([2]Entry!$R$1852="","",[2]Entry!$R$1852)</f>
        <v/>
      </c>
    </row>
    <row r="1850">
      <c r="J1850">
        <f>IF([2]Entry!$C$1853="","",[2]Entry!$C$1853)</f>
        <v/>
      </c>
      <c r="K1850">
        <f>IF([2]Entry!$D$1853="","",[2]Entry!$D$1853)</f>
        <v/>
      </c>
      <c r="L1850">
        <f>IF([2]Entry!$E$1853="","",[2]Entry!$E$1853)</f>
        <v/>
      </c>
      <c r="M1850">
        <f>IF([2]Entry!$G$1853="","",[2]Entry!$G$1853)</f>
        <v/>
      </c>
      <c r="N1850">
        <f>IF([2]Entry!$M$1853="","",[2]Entry!$M$1853)</f>
        <v/>
      </c>
      <c r="O1850">
        <f>IF([2]Entry!$N$1853="","",[2]Entry!$N$1853)</f>
        <v/>
      </c>
      <c r="P1850">
        <f>IF([2]Entry!$R$1853="","",[2]Entry!$R$1853)</f>
        <v/>
      </c>
    </row>
    <row r="1851">
      <c r="J1851">
        <f>IF([2]Entry!$C$1854="","",[2]Entry!$C$1854)</f>
        <v/>
      </c>
      <c r="K1851">
        <f>IF([2]Entry!$D$1854="","",[2]Entry!$D$1854)</f>
        <v/>
      </c>
      <c r="L1851">
        <f>IF([2]Entry!$E$1854="","",[2]Entry!$E$1854)</f>
        <v/>
      </c>
      <c r="M1851">
        <f>IF([2]Entry!$G$1854="","",[2]Entry!$G$1854)</f>
        <v/>
      </c>
      <c r="N1851">
        <f>IF([2]Entry!$M$1854="","",[2]Entry!$M$1854)</f>
        <v/>
      </c>
      <c r="O1851">
        <f>IF([2]Entry!$N$1854="","",[2]Entry!$N$1854)</f>
        <v/>
      </c>
      <c r="P1851">
        <f>IF([2]Entry!$R$1854="","",[2]Entry!$R$1854)</f>
        <v/>
      </c>
    </row>
    <row r="1852">
      <c r="J1852">
        <f>IF([2]Entry!$C$1855="","",[2]Entry!$C$1855)</f>
        <v/>
      </c>
      <c r="K1852">
        <f>IF([2]Entry!$D$1855="","",[2]Entry!$D$1855)</f>
        <v/>
      </c>
      <c r="L1852">
        <f>IF([2]Entry!$E$1855="","",[2]Entry!$E$1855)</f>
        <v/>
      </c>
      <c r="M1852">
        <f>IF([2]Entry!$G$1855="","",[2]Entry!$G$1855)</f>
        <v/>
      </c>
      <c r="N1852">
        <f>IF([2]Entry!$M$1855="","",[2]Entry!$M$1855)</f>
        <v/>
      </c>
      <c r="O1852">
        <f>IF([2]Entry!$N$1855="","",[2]Entry!$N$1855)</f>
        <v/>
      </c>
      <c r="P1852">
        <f>IF([2]Entry!$R$1855="","",[2]Entry!$R$1855)</f>
        <v/>
      </c>
    </row>
    <row r="1853">
      <c r="J1853">
        <f>IF([2]Entry!$C$1856="","",[2]Entry!$C$1856)</f>
        <v/>
      </c>
      <c r="K1853">
        <f>IF([2]Entry!$D$1856="","",[2]Entry!$D$1856)</f>
        <v/>
      </c>
      <c r="L1853">
        <f>IF([2]Entry!$E$1856="","",[2]Entry!$E$1856)</f>
        <v/>
      </c>
      <c r="M1853">
        <f>IF([2]Entry!$G$1856="","",[2]Entry!$G$1856)</f>
        <v/>
      </c>
      <c r="N1853">
        <f>IF([2]Entry!$M$1856="","",[2]Entry!$M$1856)</f>
        <v/>
      </c>
      <c r="O1853">
        <f>IF([2]Entry!$N$1856="","",[2]Entry!$N$1856)</f>
        <v/>
      </c>
      <c r="P1853">
        <f>IF([2]Entry!$R$1856="","",[2]Entry!$R$1856)</f>
        <v/>
      </c>
    </row>
    <row r="1854">
      <c r="J1854">
        <f>IF([2]Entry!$C$1857="","",[2]Entry!$C$1857)</f>
        <v/>
      </c>
      <c r="K1854">
        <f>IF([2]Entry!$D$1857="","",[2]Entry!$D$1857)</f>
        <v/>
      </c>
      <c r="L1854">
        <f>IF([2]Entry!$E$1857="","",[2]Entry!$E$1857)</f>
        <v/>
      </c>
      <c r="M1854">
        <f>IF([2]Entry!$G$1857="","",[2]Entry!$G$1857)</f>
        <v/>
      </c>
      <c r="N1854">
        <f>IF([2]Entry!$M$1857="","",[2]Entry!$M$1857)</f>
        <v/>
      </c>
      <c r="O1854">
        <f>IF([2]Entry!$N$1857="","",[2]Entry!$N$1857)</f>
        <v/>
      </c>
      <c r="P1854">
        <f>IF([2]Entry!$R$1857="","",[2]Entry!$R$1857)</f>
        <v/>
      </c>
    </row>
    <row r="1855">
      <c r="J1855">
        <f>IF([2]Entry!$C$1858="","",[2]Entry!$C$1858)</f>
        <v/>
      </c>
      <c r="K1855">
        <f>IF([2]Entry!$D$1858="","",[2]Entry!$D$1858)</f>
        <v/>
      </c>
      <c r="L1855">
        <f>IF([2]Entry!$E$1858="","",[2]Entry!$E$1858)</f>
        <v/>
      </c>
      <c r="M1855">
        <f>IF([2]Entry!$G$1858="","",[2]Entry!$G$1858)</f>
        <v/>
      </c>
      <c r="N1855">
        <f>IF([2]Entry!$M$1858="","",[2]Entry!$M$1858)</f>
        <v/>
      </c>
      <c r="O1855">
        <f>IF([2]Entry!$N$1858="","",[2]Entry!$N$1858)</f>
        <v/>
      </c>
      <c r="P1855">
        <f>IF([2]Entry!$R$1858="","",[2]Entry!$R$1858)</f>
        <v/>
      </c>
    </row>
    <row r="1856">
      <c r="J1856">
        <f>IF([2]Entry!$C$1859="","",[2]Entry!$C$1859)</f>
        <v/>
      </c>
      <c r="K1856">
        <f>IF([2]Entry!$D$1859="","",[2]Entry!$D$1859)</f>
        <v/>
      </c>
      <c r="L1856">
        <f>IF([2]Entry!$E$1859="","",[2]Entry!$E$1859)</f>
        <v/>
      </c>
      <c r="M1856">
        <f>IF([2]Entry!$G$1859="","",[2]Entry!$G$1859)</f>
        <v/>
      </c>
      <c r="N1856">
        <f>IF([2]Entry!$M$1859="","",[2]Entry!$M$1859)</f>
        <v/>
      </c>
      <c r="O1856">
        <f>IF([2]Entry!$N$1859="","",[2]Entry!$N$1859)</f>
        <v/>
      </c>
      <c r="P1856">
        <f>IF([2]Entry!$R$1859="","",[2]Entry!$R$1859)</f>
        <v/>
      </c>
    </row>
    <row r="1857">
      <c r="J1857">
        <f>IF([2]Entry!$C$1860="","",[2]Entry!$C$1860)</f>
        <v/>
      </c>
      <c r="K1857">
        <f>IF([2]Entry!$D$1860="","",[2]Entry!$D$1860)</f>
        <v/>
      </c>
      <c r="L1857">
        <f>IF([2]Entry!$E$1860="","",[2]Entry!$E$1860)</f>
        <v/>
      </c>
      <c r="M1857">
        <f>IF([2]Entry!$G$1860="","",[2]Entry!$G$1860)</f>
        <v/>
      </c>
      <c r="N1857">
        <f>IF([2]Entry!$M$1860="","",[2]Entry!$M$1860)</f>
        <v/>
      </c>
      <c r="O1857">
        <f>IF([2]Entry!$N$1860="","",[2]Entry!$N$1860)</f>
        <v/>
      </c>
      <c r="P1857">
        <f>IF([2]Entry!$R$1860="","",[2]Entry!$R$1860)</f>
        <v/>
      </c>
    </row>
    <row r="1858">
      <c r="J1858">
        <f>IF([2]Entry!$C$1861="","",[2]Entry!$C$1861)</f>
        <v/>
      </c>
      <c r="K1858">
        <f>IF([2]Entry!$D$1861="","",[2]Entry!$D$1861)</f>
        <v/>
      </c>
      <c r="L1858">
        <f>IF([2]Entry!$E$1861="","",[2]Entry!$E$1861)</f>
        <v/>
      </c>
      <c r="M1858">
        <f>IF([2]Entry!$G$1861="","",[2]Entry!$G$1861)</f>
        <v/>
      </c>
      <c r="N1858">
        <f>IF([2]Entry!$M$1861="","",[2]Entry!$M$1861)</f>
        <v/>
      </c>
      <c r="O1858">
        <f>IF([2]Entry!$N$1861="","",[2]Entry!$N$1861)</f>
        <v/>
      </c>
      <c r="P1858">
        <f>IF([2]Entry!$R$1861="","",[2]Entry!$R$1861)</f>
        <v/>
      </c>
    </row>
    <row r="1859">
      <c r="J1859">
        <f>IF([2]Entry!$C$1862="","",[2]Entry!$C$1862)</f>
        <v/>
      </c>
      <c r="K1859">
        <f>IF([2]Entry!$D$1862="","",[2]Entry!$D$1862)</f>
        <v/>
      </c>
      <c r="L1859">
        <f>IF([2]Entry!$E$1862="","",[2]Entry!$E$1862)</f>
        <v/>
      </c>
      <c r="M1859">
        <f>IF([2]Entry!$G$1862="","",[2]Entry!$G$1862)</f>
        <v/>
      </c>
      <c r="N1859">
        <f>IF([2]Entry!$M$1862="","",[2]Entry!$M$1862)</f>
        <v/>
      </c>
      <c r="O1859">
        <f>IF([2]Entry!$N$1862="","",[2]Entry!$N$1862)</f>
        <v/>
      </c>
      <c r="P1859">
        <f>IF([2]Entry!$R$1862="","",[2]Entry!$R$1862)</f>
        <v/>
      </c>
    </row>
    <row r="1860">
      <c r="J1860">
        <f>IF([2]Entry!$C$1863="","",[2]Entry!$C$1863)</f>
        <v/>
      </c>
      <c r="K1860">
        <f>IF([2]Entry!$D$1863="","",[2]Entry!$D$1863)</f>
        <v/>
      </c>
      <c r="L1860">
        <f>IF([2]Entry!$E$1863="","",[2]Entry!$E$1863)</f>
        <v/>
      </c>
      <c r="M1860">
        <f>IF([2]Entry!$G$1863="","",[2]Entry!$G$1863)</f>
        <v/>
      </c>
      <c r="N1860">
        <f>IF([2]Entry!$M$1863="","",[2]Entry!$M$1863)</f>
        <v/>
      </c>
      <c r="O1860">
        <f>IF([2]Entry!$N$1863="","",[2]Entry!$N$1863)</f>
        <v/>
      </c>
      <c r="P1860">
        <f>IF([2]Entry!$R$1863="","",[2]Entry!$R$1863)</f>
        <v/>
      </c>
    </row>
    <row r="1861">
      <c r="J1861">
        <f>IF([2]Entry!$C$1864="","",[2]Entry!$C$1864)</f>
        <v/>
      </c>
      <c r="K1861">
        <f>IF([2]Entry!$D$1864="","",[2]Entry!$D$1864)</f>
        <v/>
      </c>
      <c r="L1861">
        <f>IF([2]Entry!$E$1864="","",[2]Entry!$E$1864)</f>
        <v/>
      </c>
      <c r="M1861">
        <f>IF([2]Entry!$G$1864="","",[2]Entry!$G$1864)</f>
        <v/>
      </c>
      <c r="N1861">
        <f>IF([2]Entry!$M$1864="","",[2]Entry!$M$1864)</f>
        <v/>
      </c>
      <c r="O1861">
        <f>IF([2]Entry!$N$1864="","",[2]Entry!$N$1864)</f>
        <v/>
      </c>
      <c r="P1861">
        <f>IF([2]Entry!$R$1864="","",[2]Entry!$R$1864)</f>
        <v/>
      </c>
    </row>
    <row r="1862">
      <c r="J1862">
        <f>IF([2]Entry!$C$1865="","",[2]Entry!$C$1865)</f>
        <v/>
      </c>
      <c r="K1862">
        <f>IF([2]Entry!$D$1865="","",[2]Entry!$D$1865)</f>
        <v/>
      </c>
      <c r="L1862">
        <f>IF([2]Entry!$E$1865="","",[2]Entry!$E$1865)</f>
        <v/>
      </c>
      <c r="M1862">
        <f>IF([2]Entry!$G$1865="","",[2]Entry!$G$1865)</f>
        <v/>
      </c>
      <c r="N1862">
        <f>IF([2]Entry!$M$1865="","",[2]Entry!$M$1865)</f>
        <v/>
      </c>
      <c r="O1862">
        <f>IF([2]Entry!$N$1865="","",[2]Entry!$N$1865)</f>
        <v/>
      </c>
      <c r="P1862">
        <f>IF([2]Entry!$R$1865="","",[2]Entry!$R$1865)</f>
        <v/>
      </c>
    </row>
    <row r="1863">
      <c r="J1863">
        <f>IF([2]Entry!$C$1866="","",[2]Entry!$C$1866)</f>
        <v/>
      </c>
      <c r="K1863">
        <f>IF([2]Entry!$D$1866="","",[2]Entry!$D$1866)</f>
        <v/>
      </c>
      <c r="L1863">
        <f>IF([2]Entry!$E$1866="","",[2]Entry!$E$1866)</f>
        <v/>
      </c>
      <c r="M1863">
        <f>IF([2]Entry!$G$1866="","",[2]Entry!$G$1866)</f>
        <v/>
      </c>
      <c r="N1863">
        <f>IF([2]Entry!$M$1866="","",[2]Entry!$M$1866)</f>
        <v/>
      </c>
      <c r="O1863">
        <f>IF([2]Entry!$N$1866="","",[2]Entry!$N$1866)</f>
        <v/>
      </c>
      <c r="P1863">
        <f>IF([2]Entry!$R$1866="","",[2]Entry!$R$1866)</f>
        <v/>
      </c>
    </row>
    <row r="1864">
      <c r="J1864">
        <f>IF([2]Entry!$C$1867="","",[2]Entry!$C$1867)</f>
        <v/>
      </c>
      <c r="K1864">
        <f>IF([2]Entry!$D$1867="","",[2]Entry!$D$1867)</f>
        <v/>
      </c>
      <c r="L1864">
        <f>IF([2]Entry!$E$1867="","",[2]Entry!$E$1867)</f>
        <v/>
      </c>
      <c r="M1864">
        <f>IF([2]Entry!$G$1867="","",[2]Entry!$G$1867)</f>
        <v/>
      </c>
      <c r="N1864">
        <f>IF([2]Entry!$M$1867="","",[2]Entry!$M$1867)</f>
        <v/>
      </c>
      <c r="O1864">
        <f>IF([2]Entry!$N$1867="","",[2]Entry!$N$1867)</f>
        <v/>
      </c>
      <c r="P1864">
        <f>IF([2]Entry!$R$1867="","",[2]Entry!$R$1867)</f>
        <v/>
      </c>
    </row>
    <row r="1865">
      <c r="J1865">
        <f>IF([2]Entry!$C$1868="","",[2]Entry!$C$1868)</f>
        <v/>
      </c>
      <c r="K1865">
        <f>IF([2]Entry!$D$1868="","",[2]Entry!$D$1868)</f>
        <v/>
      </c>
      <c r="L1865">
        <f>IF([2]Entry!$E$1868="","",[2]Entry!$E$1868)</f>
        <v/>
      </c>
      <c r="M1865">
        <f>IF([2]Entry!$G$1868="","",[2]Entry!$G$1868)</f>
        <v/>
      </c>
      <c r="N1865">
        <f>IF([2]Entry!$M$1868="","",[2]Entry!$M$1868)</f>
        <v/>
      </c>
      <c r="O1865">
        <f>IF([2]Entry!$N$1868="","",[2]Entry!$N$1868)</f>
        <v/>
      </c>
      <c r="P1865">
        <f>IF([2]Entry!$R$1868="","",[2]Entry!$R$1868)</f>
        <v/>
      </c>
    </row>
    <row r="1866">
      <c r="J1866">
        <f>IF([2]Entry!$C$1869="","",[2]Entry!$C$1869)</f>
        <v/>
      </c>
      <c r="K1866">
        <f>IF([2]Entry!$D$1869="","",[2]Entry!$D$1869)</f>
        <v/>
      </c>
      <c r="L1866">
        <f>IF([2]Entry!$E$1869="","",[2]Entry!$E$1869)</f>
        <v/>
      </c>
      <c r="M1866">
        <f>IF([2]Entry!$G$1869="","",[2]Entry!$G$1869)</f>
        <v/>
      </c>
      <c r="N1866">
        <f>IF([2]Entry!$M$1869="","",[2]Entry!$M$1869)</f>
        <v/>
      </c>
      <c r="O1866">
        <f>IF([2]Entry!$N$1869="","",[2]Entry!$N$1869)</f>
        <v/>
      </c>
      <c r="P1866">
        <f>IF([2]Entry!$R$1869="","",[2]Entry!$R$1869)</f>
        <v/>
      </c>
    </row>
    <row r="1867">
      <c r="J1867">
        <f>IF([2]Entry!$C$1870="","",[2]Entry!$C$1870)</f>
        <v/>
      </c>
      <c r="K1867">
        <f>IF([2]Entry!$D$1870="","",[2]Entry!$D$1870)</f>
        <v/>
      </c>
      <c r="L1867">
        <f>IF([2]Entry!$E$1870="","",[2]Entry!$E$1870)</f>
        <v/>
      </c>
      <c r="M1867">
        <f>IF([2]Entry!$G$1870="","",[2]Entry!$G$1870)</f>
        <v/>
      </c>
      <c r="N1867">
        <f>IF([2]Entry!$M$1870="","",[2]Entry!$M$1870)</f>
        <v/>
      </c>
      <c r="O1867">
        <f>IF([2]Entry!$N$1870="","",[2]Entry!$N$1870)</f>
        <v/>
      </c>
      <c r="P1867">
        <f>IF([2]Entry!$R$1870="","",[2]Entry!$R$1870)</f>
        <v/>
      </c>
    </row>
    <row r="1868">
      <c r="J1868">
        <f>IF([2]Entry!$C$1871="","",[2]Entry!$C$1871)</f>
        <v/>
      </c>
      <c r="K1868">
        <f>IF([2]Entry!$D$1871="","",[2]Entry!$D$1871)</f>
        <v/>
      </c>
      <c r="L1868">
        <f>IF([2]Entry!$E$1871="","",[2]Entry!$E$1871)</f>
        <v/>
      </c>
      <c r="M1868">
        <f>IF([2]Entry!$G$1871="","",[2]Entry!$G$1871)</f>
        <v/>
      </c>
      <c r="N1868">
        <f>IF([2]Entry!$M$1871="","",[2]Entry!$M$1871)</f>
        <v/>
      </c>
      <c r="O1868">
        <f>IF([2]Entry!$N$1871="","",[2]Entry!$N$1871)</f>
        <v/>
      </c>
      <c r="P1868">
        <f>IF([2]Entry!$R$1871="","",[2]Entry!$R$1871)</f>
        <v/>
      </c>
    </row>
    <row r="1869">
      <c r="J1869">
        <f>IF([2]Entry!$C$1872="","",[2]Entry!$C$1872)</f>
        <v/>
      </c>
      <c r="K1869">
        <f>IF([2]Entry!$D$1872="","",[2]Entry!$D$1872)</f>
        <v/>
      </c>
      <c r="L1869">
        <f>IF([2]Entry!$E$1872="","",[2]Entry!$E$1872)</f>
        <v/>
      </c>
      <c r="M1869">
        <f>IF([2]Entry!$G$1872="","",[2]Entry!$G$1872)</f>
        <v/>
      </c>
      <c r="N1869">
        <f>IF([2]Entry!$M$1872="","",[2]Entry!$M$1872)</f>
        <v/>
      </c>
      <c r="O1869">
        <f>IF([2]Entry!$N$1872="","",[2]Entry!$N$1872)</f>
        <v/>
      </c>
      <c r="P1869">
        <f>IF([2]Entry!$R$1872="","",[2]Entry!$R$1872)</f>
        <v/>
      </c>
    </row>
    <row r="1870">
      <c r="J1870">
        <f>IF([2]Entry!$C$1873="","",[2]Entry!$C$1873)</f>
        <v/>
      </c>
      <c r="K1870">
        <f>IF([2]Entry!$D$1873="","",[2]Entry!$D$1873)</f>
        <v/>
      </c>
      <c r="L1870">
        <f>IF([2]Entry!$E$1873="","",[2]Entry!$E$1873)</f>
        <v/>
      </c>
      <c r="M1870">
        <f>IF([2]Entry!$G$1873="","",[2]Entry!$G$1873)</f>
        <v/>
      </c>
      <c r="N1870">
        <f>IF([2]Entry!$M$1873="","",[2]Entry!$M$1873)</f>
        <v/>
      </c>
      <c r="O1870">
        <f>IF([2]Entry!$N$1873="","",[2]Entry!$N$1873)</f>
        <v/>
      </c>
      <c r="P1870">
        <f>IF([2]Entry!$R$1873="","",[2]Entry!$R$1873)</f>
        <v/>
      </c>
    </row>
    <row r="1871">
      <c r="J1871">
        <f>IF([2]Entry!$C$1874="","",[2]Entry!$C$1874)</f>
        <v/>
      </c>
      <c r="K1871">
        <f>IF([2]Entry!$D$1874="","",[2]Entry!$D$1874)</f>
        <v/>
      </c>
      <c r="L1871">
        <f>IF([2]Entry!$E$1874="","",[2]Entry!$E$1874)</f>
        <v/>
      </c>
      <c r="M1871">
        <f>IF([2]Entry!$G$1874="","",[2]Entry!$G$1874)</f>
        <v/>
      </c>
      <c r="N1871">
        <f>IF([2]Entry!$M$1874="","",[2]Entry!$M$1874)</f>
        <v/>
      </c>
      <c r="O1871">
        <f>IF([2]Entry!$N$1874="","",[2]Entry!$N$1874)</f>
        <v/>
      </c>
      <c r="P1871">
        <f>IF([2]Entry!$R$1874="","",[2]Entry!$R$1874)</f>
        <v/>
      </c>
    </row>
    <row r="1872">
      <c r="J1872">
        <f>IF([2]Entry!$C$1875="","",[2]Entry!$C$1875)</f>
        <v/>
      </c>
      <c r="K1872">
        <f>IF([2]Entry!$D$1875="","",[2]Entry!$D$1875)</f>
        <v/>
      </c>
      <c r="L1872">
        <f>IF([2]Entry!$E$1875="","",[2]Entry!$E$1875)</f>
        <v/>
      </c>
      <c r="M1872">
        <f>IF([2]Entry!$G$1875="","",[2]Entry!$G$1875)</f>
        <v/>
      </c>
      <c r="N1872">
        <f>IF([2]Entry!$M$1875="","",[2]Entry!$M$1875)</f>
        <v/>
      </c>
      <c r="O1872">
        <f>IF([2]Entry!$N$1875="","",[2]Entry!$N$1875)</f>
        <v/>
      </c>
      <c r="P1872">
        <f>IF([2]Entry!$R$1875="","",[2]Entry!$R$1875)</f>
        <v/>
      </c>
    </row>
    <row r="1873">
      <c r="J1873">
        <f>IF([2]Entry!$C$1876="","",[2]Entry!$C$1876)</f>
        <v/>
      </c>
      <c r="K1873">
        <f>IF([2]Entry!$D$1876="","",[2]Entry!$D$1876)</f>
        <v/>
      </c>
      <c r="L1873">
        <f>IF([2]Entry!$E$1876="","",[2]Entry!$E$1876)</f>
        <v/>
      </c>
      <c r="M1873">
        <f>IF([2]Entry!$G$1876="","",[2]Entry!$G$1876)</f>
        <v/>
      </c>
      <c r="N1873">
        <f>IF([2]Entry!$M$1876="","",[2]Entry!$M$1876)</f>
        <v/>
      </c>
      <c r="O1873">
        <f>IF([2]Entry!$N$1876="","",[2]Entry!$N$1876)</f>
        <v/>
      </c>
      <c r="P1873">
        <f>IF([2]Entry!$R$1876="","",[2]Entry!$R$1876)</f>
        <v/>
      </c>
    </row>
    <row r="1874">
      <c r="J1874">
        <f>IF([2]Entry!$C$1877="","",[2]Entry!$C$1877)</f>
        <v/>
      </c>
      <c r="K1874">
        <f>IF([2]Entry!$D$1877="","",[2]Entry!$D$1877)</f>
        <v/>
      </c>
      <c r="L1874">
        <f>IF([2]Entry!$E$1877="","",[2]Entry!$E$1877)</f>
        <v/>
      </c>
      <c r="M1874">
        <f>IF([2]Entry!$G$1877="","",[2]Entry!$G$1877)</f>
        <v/>
      </c>
      <c r="N1874">
        <f>IF([2]Entry!$M$1877="","",[2]Entry!$M$1877)</f>
        <v/>
      </c>
      <c r="O1874">
        <f>IF([2]Entry!$N$1877="","",[2]Entry!$N$1877)</f>
        <v/>
      </c>
      <c r="P1874">
        <f>IF([2]Entry!$R$1877="","",[2]Entry!$R$1877)</f>
        <v/>
      </c>
    </row>
    <row r="1875">
      <c r="J1875">
        <f>IF([2]Entry!$C$1878="","",[2]Entry!$C$1878)</f>
        <v/>
      </c>
      <c r="K1875">
        <f>IF([2]Entry!$D$1878="","",[2]Entry!$D$1878)</f>
        <v/>
      </c>
      <c r="L1875">
        <f>IF([2]Entry!$E$1878="","",[2]Entry!$E$1878)</f>
        <v/>
      </c>
      <c r="M1875">
        <f>IF([2]Entry!$G$1878="","",[2]Entry!$G$1878)</f>
        <v/>
      </c>
      <c r="N1875">
        <f>IF([2]Entry!$M$1878="","",[2]Entry!$M$1878)</f>
        <v/>
      </c>
      <c r="O1875">
        <f>IF([2]Entry!$N$1878="","",[2]Entry!$N$1878)</f>
        <v/>
      </c>
      <c r="P1875">
        <f>IF([2]Entry!$R$1878="","",[2]Entry!$R$1878)</f>
        <v/>
      </c>
    </row>
    <row r="1876">
      <c r="J1876">
        <f>IF([2]Entry!$C$1879="","",[2]Entry!$C$1879)</f>
        <v/>
      </c>
      <c r="K1876">
        <f>IF([2]Entry!$D$1879="","",[2]Entry!$D$1879)</f>
        <v/>
      </c>
      <c r="L1876">
        <f>IF([2]Entry!$E$1879="","",[2]Entry!$E$1879)</f>
        <v/>
      </c>
      <c r="M1876">
        <f>IF([2]Entry!$G$1879="","",[2]Entry!$G$1879)</f>
        <v/>
      </c>
      <c r="N1876">
        <f>IF([2]Entry!$M$1879="","",[2]Entry!$M$1879)</f>
        <v/>
      </c>
      <c r="O1876">
        <f>IF([2]Entry!$N$1879="","",[2]Entry!$N$1879)</f>
        <v/>
      </c>
      <c r="P1876">
        <f>IF([2]Entry!$R$1879="","",[2]Entry!$R$1879)</f>
        <v/>
      </c>
    </row>
    <row r="1877">
      <c r="J1877">
        <f>IF([2]Entry!$C$1880="","",[2]Entry!$C$1880)</f>
        <v/>
      </c>
      <c r="K1877">
        <f>IF([2]Entry!$D$1880="","",[2]Entry!$D$1880)</f>
        <v/>
      </c>
      <c r="L1877">
        <f>IF([2]Entry!$E$1880="","",[2]Entry!$E$1880)</f>
        <v/>
      </c>
      <c r="M1877">
        <f>IF([2]Entry!$G$1880="","",[2]Entry!$G$1880)</f>
        <v/>
      </c>
      <c r="N1877">
        <f>IF([2]Entry!$M$1880="","",[2]Entry!$M$1880)</f>
        <v/>
      </c>
      <c r="O1877">
        <f>IF([2]Entry!$N$1880="","",[2]Entry!$N$1880)</f>
        <v/>
      </c>
      <c r="P1877">
        <f>IF([2]Entry!$R$1880="","",[2]Entry!$R$1880)</f>
        <v/>
      </c>
    </row>
    <row r="1878">
      <c r="J1878">
        <f>IF([2]Entry!$C$1881="","",[2]Entry!$C$1881)</f>
        <v/>
      </c>
      <c r="K1878">
        <f>IF([2]Entry!$D$1881="","",[2]Entry!$D$1881)</f>
        <v/>
      </c>
      <c r="L1878">
        <f>IF([2]Entry!$E$1881="","",[2]Entry!$E$1881)</f>
        <v/>
      </c>
      <c r="M1878">
        <f>IF([2]Entry!$G$1881="","",[2]Entry!$G$1881)</f>
        <v/>
      </c>
      <c r="N1878">
        <f>IF([2]Entry!$M$1881="","",[2]Entry!$M$1881)</f>
        <v/>
      </c>
      <c r="O1878">
        <f>IF([2]Entry!$N$1881="","",[2]Entry!$N$1881)</f>
        <v/>
      </c>
      <c r="P1878">
        <f>IF([2]Entry!$R$1881="","",[2]Entry!$R$1881)</f>
        <v/>
      </c>
    </row>
    <row r="1879">
      <c r="J1879">
        <f>IF([2]Entry!$C$1882="","",[2]Entry!$C$1882)</f>
        <v/>
      </c>
      <c r="K1879">
        <f>IF([2]Entry!$D$1882="","",[2]Entry!$D$1882)</f>
        <v/>
      </c>
      <c r="L1879">
        <f>IF([2]Entry!$E$1882="","",[2]Entry!$E$1882)</f>
        <v/>
      </c>
      <c r="M1879">
        <f>IF([2]Entry!$G$1882="","",[2]Entry!$G$1882)</f>
        <v/>
      </c>
      <c r="N1879">
        <f>IF([2]Entry!$M$1882="","",[2]Entry!$M$1882)</f>
        <v/>
      </c>
      <c r="O1879">
        <f>IF([2]Entry!$N$1882="","",[2]Entry!$N$1882)</f>
        <v/>
      </c>
      <c r="P1879">
        <f>IF([2]Entry!$R$1882="","",[2]Entry!$R$1882)</f>
        <v/>
      </c>
    </row>
    <row r="1880">
      <c r="J1880">
        <f>IF([2]Entry!$C$1883="","",[2]Entry!$C$1883)</f>
        <v/>
      </c>
      <c r="K1880">
        <f>IF([2]Entry!$D$1883="","",[2]Entry!$D$1883)</f>
        <v/>
      </c>
      <c r="L1880">
        <f>IF([2]Entry!$E$1883="","",[2]Entry!$E$1883)</f>
        <v/>
      </c>
      <c r="M1880">
        <f>IF([2]Entry!$G$1883="","",[2]Entry!$G$1883)</f>
        <v/>
      </c>
      <c r="N1880">
        <f>IF([2]Entry!$M$1883="","",[2]Entry!$M$1883)</f>
        <v/>
      </c>
      <c r="O1880">
        <f>IF([2]Entry!$N$1883="","",[2]Entry!$N$1883)</f>
        <v/>
      </c>
      <c r="P1880">
        <f>IF([2]Entry!$R$1883="","",[2]Entry!$R$1883)</f>
        <v/>
      </c>
    </row>
    <row r="1881">
      <c r="J1881">
        <f>IF([2]Entry!$C$1884="","",[2]Entry!$C$1884)</f>
        <v/>
      </c>
      <c r="K1881">
        <f>IF([2]Entry!$D$1884="","",[2]Entry!$D$1884)</f>
        <v/>
      </c>
      <c r="L1881">
        <f>IF([2]Entry!$E$1884="","",[2]Entry!$E$1884)</f>
        <v/>
      </c>
      <c r="M1881">
        <f>IF([2]Entry!$G$1884="","",[2]Entry!$G$1884)</f>
        <v/>
      </c>
      <c r="N1881">
        <f>IF([2]Entry!$M$1884="","",[2]Entry!$M$1884)</f>
        <v/>
      </c>
      <c r="O1881">
        <f>IF([2]Entry!$N$1884="","",[2]Entry!$N$1884)</f>
        <v/>
      </c>
      <c r="P1881">
        <f>IF([2]Entry!$R$1884="","",[2]Entry!$R$1884)</f>
        <v/>
      </c>
    </row>
    <row r="1882">
      <c r="J1882">
        <f>IF([2]Entry!$C$1885="","",[2]Entry!$C$1885)</f>
        <v/>
      </c>
      <c r="K1882">
        <f>IF([2]Entry!$D$1885="","",[2]Entry!$D$1885)</f>
        <v/>
      </c>
      <c r="L1882">
        <f>IF([2]Entry!$E$1885="","",[2]Entry!$E$1885)</f>
        <v/>
      </c>
      <c r="M1882">
        <f>IF([2]Entry!$G$1885="","",[2]Entry!$G$1885)</f>
        <v/>
      </c>
      <c r="N1882">
        <f>IF([2]Entry!$M$1885="","",[2]Entry!$M$1885)</f>
        <v/>
      </c>
      <c r="O1882">
        <f>IF([2]Entry!$N$1885="","",[2]Entry!$N$1885)</f>
        <v/>
      </c>
      <c r="P1882">
        <f>IF([2]Entry!$R$1885="","",[2]Entry!$R$1885)</f>
        <v/>
      </c>
    </row>
    <row r="1883">
      <c r="J1883">
        <f>IF([2]Entry!$C$1886="","",[2]Entry!$C$1886)</f>
        <v/>
      </c>
      <c r="K1883">
        <f>IF([2]Entry!$D$1886="","",[2]Entry!$D$1886)</f>
        <v/>
      </c>
      <c r="L1883">
        <f>IF([2]Entry!$E$1886="","",[2]Entry!$E$1886)</f>
        <v/>
      </c>
      <c r="M1883">
        <f>IF([2]Entry!$G$1886="","",[2]Entry!$G$1886)</f>
        <v/>
      </c>
      <c r="N1883">
        <f>IF([2]Entry!$M$1886="","",[2]Entry!$M$1886)</f>
        <v/>
      </c>
      <c r="O1883">
        <f>IF([2]Entry!$N$1886="","",[2]Entry!$N$1886)</f>
        <v/>
      </c>
      <c r="P1883">
        <f>IF([2]Entry!$R$1886="","",[2]Entry!$R$1886)</f>
        <v/>
      </c>
    </row>
    <row r="1884">
      <c r="J1884">
        <f>IF([2]Entry!$C$1887="","",[2]Entry!$C$1887)</f>
        <v/>
      </c>
      <c r="K1884">
        <f>IF([2]Entry!$D$1887="","",[2]Entry!$D$1887)</f>
        <v/>
      </c>
      <c r="L1884">
        <f>IF([2]Entry!$E$1887="","",[2]Entry!$E$1887)</f>
        <v/>
      </c>
      <c r="M1884">
        <f>IF([2]Entry!$G$1887="","",[2]Entry!$G$1887)</f>
        <v/>
      </c>
      <c r="N1884">
        <f>IF([2]Entry!$M$1887="","",[2]Entry!$M$1887)</f>
        <v/>
      </c>
      <c r="O1884">
        <f>IF([2]Entry!$N$1887="","",[2]Entry!$N$1887)</f>
        <v/>
      </c>
      <c r="P1884">
        <f>IF([2]Entry!$R$1887="","",[2]Entry!$R$1887)</f>
        <v/>
      </c>
    </row>
    <row r="1885">
      <c r="J1885">
        <f>IF([2]Entry!$C$1888="","",[2]Entry!$C$1888)</f>
        <v/>
      </c>
      <c r="K1885">
        <f>IF([2]Entry!$D$1888="","",[2]Entry!$D$1888)</f>
        <v/>
      </c>
      <c r="L1885">
        <f>IF([2]Entry!$E$1888="","",[2]Entry!$E$1888)</f>
        <v/>
      </c>
      <c r="M1885">
        <f>IF([2]Entry!$G$1888="","",[2]Entry!$G$1888)</f>
        <v/>
      </c>
      <c r="N1885">
        <f>IF([2]Entry!$M$1888="","",[2]Entry!$M$1888)</f>
        <v/>
      </c>
      <c r="O1885">
        <f>IF([2]Entry!$N$1888="","",[2]Entry!$N$1888)</f>
        <v/>
      </c>
      <c r="P1885">
        <f>IF([2]Entry!$R$1888="","",[2]Entry!$R$1888)</f>
        <v/>
      </c>
    </row>
    <row r="1886">
      <c r="J1886">
        <f>IF([2]Entry!$C$1889="","",[2]Entry!$C$1889)</f>
        <v/>
      </c>
      <c r="K1886">
        <f>IF([2]Entry!$D$1889="","",[2]Entry!$D$1889)</f>
        <v/>
      </c>
      <c r="L1886">
        <f>IF([2]Entry!$E$1889="","",[2]Entry!$E$1889)</f>
        <v/>
      </c>
      <c r="M1886">
        <f>IF([2]Entry!$G$1889="","",[2]Entry!$G$1889)</f>
        <v/>
      </c>
      <c r="N1886">
        <f>IF([2]Entry!$M$1889="","",[2]Entry!$M$1889)</f>
        <v/>
      </c>
      <c r="O1886">
        <f>IF([2]Entry!$N$1889="","",[2]Entry!$N$1889)</f>
        <v/>
      </c>
      <c r="P1886">
        <f>IF([2]Entry!$R$1889="","",[2]Entry!$R$1889)</f>
        <v/>
      </c>
    </row>
    <row r="1887">
      <c r="J1887">
        <f>IF([2]Entry!$C$1890="","",[2]Entry!$C$1890)</f>
        <v/>
      </c>
      <c r="K1887">
        <f>IF([2]Entry!$D$1890="","",[2]Entry!$D$1890)</f>
        <v/>
      </c>
      <c r="L1887">
        <f>IF([2]Entry!$E$1890="","",[2]Entry!$E$1890)</f>
        <v/>
      </c>
      <c r="M1887">
        <f>IF([2]Entry!$G$1890="","",[2]Entry!$G$1890)</f>
        <v/>
      </c>
      <c r="N1887">
        <f>IF([2]Entry!$M$1890="","",[2]Entry!$M$1890)</f>
        <v/>
      </c>
      <c r="O1887">
        <f>IF([2]Entry!$N$1890="","",[2]Entry!$N$1890)</f>
        <v/>
      </c>
      <c r="P1887">
        <f>IF([2]Entry!$R$1890="","",[2]Entry!$R$1890)</f>
        <v/>
      </c>
    </row>
    <row r="1888">
      <c r="J1888">
        <f>IF([2]Entry!$C$1891="","",[2]Entry!$C$1891)</f>
        <v/>
      </c>
      <c r="K1888">
        <f>IF([2]Entry!$D$1891="","",[2]Entry!$D$1891)</f>
        <v/>
      </c>
      <c r="L1888">
        <f>IF([2]Entry!$E$1891="","",[2]Entry!$E$1891)</f>
        <v/>
      </c>
      <c r="M1888">
        <f>IF([2]Entry!$G$1891="","",[2]Entry!$G$1891)</f>
        <v/>
      </c>
      <c r="N1888">
        <f>IF([2]Entry!$M$1891="","",[2]Entry!$M$1891)</f>
        <v/>
      </c>
      <c r="O1888">
        <f>IF([2]Entry!$N$1891="","",[2]Entry!$N$1891)</f>
        <v/>
      </c>
      <c r="P1888">
        <f>IF([2]Entry!$R$1891="","",[2]Entry!$R$1891)</f>
        <v/>
      </c>
    </row>
    <row r="1889">
      <c r="J1889">
        <f>IF([2]Entry!$C$1892="","",[2]Entry!$C$1892)</f>
        <v/>
      </c>
      <c r="K1889">
        <f>IF([2]Entry!$D$1892="","",[2]Entry!$D$1892)</f>
        <v/>
      </c>
      <c r="L1889">
        <f>IF([2]Entry!$E$1892="","",[2]Entry!$E$1892)</f>
        <v/>
      </c>
      <c r="M1889">
        <f>IF([2]Entry!$G$1892="","",[2]Entry!$G$1892)</f>
        <v/>
      </c>
      <c r="N1889">
        <f>IF([2]Entry!$M$1892="","",[2]Entry!$M$1892)</f>
        <v/>
      </c>
      <c r="O1889">
        <f>IF([2]Entry!$N$1892="","",[2]Entry!$N$1892)</f>
        <v/>
      </c>
      <c r="P1889">
        <f>IF([2]Entry!$R$1892="","",[2]Entry!$R$1892)</f>
        <v/>
      </c>
    </row>
    <row r="1890">
      <c r="J1890">
        <f>IF([2]Entry!$C$1893="","",[2]Entry!$C$1893)</f>
        <v/>
      </c>
      <c r="K1890">
        <f>IF([2]Entry!$D$1893="","",[2]Entry!$D$1893)</f>
        <v/>
      </c>
      <c r="L1890">
        <f>IF([2]Entry!$E$1893="","",[2]Entry!$E$1893)</f>
        <v/>
      </c>
      <c r="M1890">
        <f>IF([2]Entry!$G$1893="","",[2]Entry!$G$1893)</f>
        <v/>
      </c>
      <c r="N1890">
        <f>IF([2]Entry!$M$1893="","",[2]Entry!$M$1893)</f>
        <v/>
      </c>
      <c r="O1890">
        <f>IF([2]Entry!$N$1893="","",[2]Entry!$N$1893)</f>
        <v/>
      </c>
      <c r="P1890">
        <f>IF([2]Entry!$R$1893="","",[2]Entry!$R$1893)</f>
        <v/>
      </c>
    </row>
    <row r="1891">
      <c r="J1891">
        <f>IF([2]Entry!$C$1894="","",[2]Entry!$C$1894)</f>
        <v/>
      </c>
      <c r="K1891">
        <f>IF([2]Entry!$D$1894="","",[2]Entry!$D$1894)</f>
        <v/>
      </c>
      <c r="L1891">
        <f>IF([2]Entry!$E$1894="","",[2]Entry!$E$1894)</f>
        <v/>
      </c>
      <c r="M1891">
        <f>IF([2]Entry!$G$1894="","",[2]Entry!$G$1894)</f>
        <v/>
      </c>
      <c r="N1891">
        <f>IF([2]Entry!$M$1894="","",[2]Entry!$M$1894)</f>
        <v/>
      </c>
      <c r="O1891">
        <f>IF([2]Entry!$N$1894="","",[2]Entry!$N$1894)</f>
        <v/>
      </c>
      <c r="P1891">
        <f>IF([2]Entry!$R$1894="","",[2]Entry!$R$1894)</f>
        <v/>
      </c>
    </row>
    <row r="1892">
      <c r="J1892">
        <f>IF([2]Entry!$C$1895="","",[2]Entry!$C$1895)</f>
        <v/>
      </c>
      <c r="K1892">
        <f>IF([2]Entry!$D$1895="","",[2]Entry!$D$1895)</f>
        <v/>
      </c>
      <c r="L1892">
        <f>IF([2]Entry!$E$1895="","",[2]Entry!$E$1895)</f>
        <v/>
      </c>
      <c r="M1892">
        <f>IF([2]Entry!$G$1895="","",[2]Entry!$G$1895)</f>
        <v/>
      </c>
      <c r="N1892">
        <f>IF([2]Entry!$M$1895="","",[2]Entry!$M$1895)</f>
        <v/>
      </c>
      <c r="O1892">
        <f>IF([2]Entry!$N$1895="","",[2]Entry!$N$1895)</f>
        <v/>
      </c>
      <c r="P1892">
        <f>IF([2]Entry!$R$1895="","",[2]Entry!$R$1895)</f>
        <v/>
      </c>
    </row>
    <row r="1893">
      <c r="J1893">
        <f>IF([2]Entry!$C$1896="","",[2]Entry!$C$1896)</f>
        <v/>
      </c>
      <c r="K1893">
        <f>IF([2]Entry!$D$1896="","",[2]Entry!$D$1896)</f>
        <v/>
      </c>
      <c r="L1893">
        <f>IF([2]Entry!$E$1896="","",[2]Entry!$E$1896)</f>
        <v/>
      </c>
      <c r="M1893">
        <f>IF([2]Entry!$G$1896="","",[2]Entry!$G$1896)</f>
        <v/>
      </c>
      <c r="N1893">
        <f>IF([2]Entry!$M$1896="","",[2]Entry!$M$1896)</f>
        <v/>
      </c>
      <c r="O1893">
        <f>IF([2]Entry!$N$1896="","",[2]Entry!$N$1896)</f>
        <v/>
      </c>
      <c r="P1893">
        <f>IF([2]Entry!$R$1896="","",[2]Entry!$R$1896)</f>
        <v/>
      </c>
    </row>
    <row r="1894">
      <c r="J1894">
        <f>IF([2]Entry!$C$1897="","",[2]Entry!$C$1897)</f>
        <v/>
      </c>
      <c r="K1894">
        <f>IF([2]Entry!$D$1897="","",[2]Entry!$D$1897)</f>
        <v/>
      </c>
      <c r="L1894">
        <f>IF([2]Entry!$E$1897="","",[2]Entry!$E$1897)</f>
        <v/>
      </c>
      <c r="M1894">
        <f>IF([2]Entry!$G$1897="","",[2]Entry!$G$1897)</f>
        <v/>
      </c>
      <c r="N1894">
        <f>IF([2]Entry!$M$1897="","",[2]Entry!$M$1897)</f>
        <v/>
      </c>
      <c r="O1894">
        <f>IF([2]Entry!$N$1897="","",[2]Entry!$N$1897)</f>
        <v/>
      </c>
      <c r="P1894">
        <f>IF([2]Entry!$R$1897="","",[2]Entry!$R$1897)</f>
        <v/>
      </c>
    </row>
    <row r="1895">
      <c r="J1895">
        <f>IF([2]Entry!$C$1898="","",[2]Entry!$C$1898)</f>
        <v/>
      </c>
      <c r="K1895">
        <f>IF([2]Entry!$D$1898="","",[2]Entry!$D$1898)</f>
        <v/>
      </c>
      <c r="L1895">
        <f>IF([2]Entry!$E$1898="","",[2]Entry!$E$1898)</f>
        <v/>
      </c>
      <c r="M1895">
        <f>IF([2]Entry!$G$1898="","",[2]Entry!$G$1898)</f>
        <v/>
      </c>
      <c r="N1895">
        <f>IF([2]Entry!$M$1898="","",[2]Entry!$M$1898)</f>
        <v/>
      </c>
      <c r="O1895">
        <f>IF([2]Entry!$N$1898="","",[2]Entry!$N$1898)</f>
        <v/>
      </c>
      <c r="P1895">
        <f>IF([2]Entry!$R$1898="","",[2]Entry!$R$1898)</f>
        <v/>
      </c>
    </row>
    <row r="1896">
      <c r="J1896">
        <f>IF([2]Entry!$C$1899="","",[2]Entry!$C$1899)</f>
        <v/>
      </c>
      <c r="K1896">
        <f>IF([2]Entry!$D$1899="","",[2]Entry!$D$1899)</f>
        <v/>
      </c>
      <c r="L1896">
        <f>IF([2]Entry!$E$1899="","",[2]Entry!$E$1899)</f>
        <v/>
      </c>
      <c r="M1896">
        <f>IF([2]Entry!$G$1899="","",[2]Entry!$G$1899)</f>
        <v/>
      </c>
      <c r="N1896">
        <f>IF([2]Entry!$M$1899="","",[2]Entry!$M$1899)</f>
        <v/>
      </c>
      <c r="O1896">
        <f>IF([2]Entry!$N$1899="","",[2]Entry!$N$1899)</f>
        <v/>
      </c>
      <c r="P1896">
        <f>IF([2]Entry!$R$1899="","",[2]Entry!$R$1899)</f>
        <v/>
      </c>
    </row>
    <row r="1897">
      <c r="J1897">
        <f>IF([2]Entry!$C$1900="","",[2]Entry!$C$1900)</f>
        <v/>
      </c>
      <c r="K1897">
        <f>IF([2]Entry!$D$1900="","",[2]Entry!$D$1900)</f>
        <v/>
      </c>
      <c r="L1897">
        <f>IF([2]Entry!$E$1900="","",[2]Entry!$E$1900)</f>
        <v/>
      </c>
      <c r="M1897">
        <f>IF([2]Entry!$G$1900="","",[2]Entry!$G$1900)</f>
        <v/>
      </c>
      <c r="N1897">
        <f>IF([2]Entry!$M$1900="","",[2]Entry!$M$1900)</f>
        <v/>
      </c>
      <c r="O1897">
        <f>IF([2]Entry!$N$1900="","",[2]Entry!$N$1900)</f>
        <v/>
      </c>
      <c r="P1897">
        <f>IF([2]Entry!$R$1900="","",[2]Entry!$R$1900)</f>
        <v/>
      </c>
    </row>
    <row r="1898">
      <c r="J1898">
        <f>IF([2]Entry!$C$1901="","",[2]Entry!$C$1901)</f>
        <v/>
      </c>
      <c r="K1898">
        <f>IF([2]Entry!$D$1901="","",[2]Entry!$D$1901)</f>
        <v/>
      </c>
      <c r="L1898">
        <f>IF([2]Entry!$E$1901="","",[2]Entry!$E$1901)</f>
        <v/>
      </c>
      <c r="M1898">
        <f>IF([2]Entry!$G$1901="","",[2]Entry!$G$1901)</f>
        <v/>
      </c>
      <c r="N1898">
        <f>IF([2]Entry!$M$1901="","",[2]Entry!$M$1901)</f>
        <v/>
      </c>
      <c r="O1898">
        <f>IF([2]Entry!$N$1901="","",[2]Entry!$N$1901)</f>
        <v/>
      </c>
      <c r="P1898">
        <f>IF([2]Entry!$R$1901="","",[2]Entry!$R$1901)</f>
        <v/>
      </c>
    </row>
    <row r="1899">
      <c r="J1899">
        <f>IF([2]Entry!$C$1902="","",[2]Entry!$C$1902)</f>
        <v/>
      </c>
      <c r="K1899">
        <f>IF([2]Entry!$D$1902="","",[2]Entry!$D$1902)</f>
        <v/>
      </c>
      <c r="L1899">
        <f>IF([2]Entry!$E$1902="","",[2]Entry!$E$1902)</f>
        <v/>
      </c>
      <c r="M1899">
        <f>IF([2]Entry!$G$1902="","",[2]Entry!$G$1902)</f>
        <v/>
      </c>
      <c r="N1899">
        <f>IF([2]Entry!$M$1902="","",[2]Entry!$M$1902)</f>
        <v/>
      </c>
      <c r="O1899">
        <f>IF([2]Entry!$N$1902="","",[2]Entry!$N$1902)</f>
        <v/>
      </c>
      <c r="P1899">
        <f>IF([2]Entry!$R$1902="","",[2]Entry!$R$1902)</f>
        <v/>
      </c>
    </row>
    <row r="1900">
      <c r="J1900">
        <f>IF([2]Entry!$C$1903="","",[2]Entry!$C$1903)</f>
        <v/>
      </c>
      <c r="K1900">
        <f>IF([2]Entry!$D$1903="","",[2]Entry!$D$1903)</f>
        <v/>
      </c>
      <c r="L1900">
        <f>IF([2]Entry!$E$1903="","",[2]Entry!$E$1903)</f>
        <v/>
      </c>
      <c r="M1900">
        <f>IF([2]Entry!$G$1903="","",[2]Entry!$G$1903)</f>
        <v/>
      </c>
      <c r="N1900">
        <f>IF([2]Entry!$M$1903="","",[2]Entry!$M$1903)</f>
        <v/>
      </c>
      <c r="O1900">
        <f>IF([2]Entry!$N$1903="","",[2]Entry!$N$1903)</f>
        <v/>
      </c>
      <c r="P1900">
        <f>IF([2]Entry!$R$1903="","",[2]Entry!$R$1903)</f>
        <v/>
      </c>
    </row>
    <row r="1901">
      <c r="J1901">
        <f>IF([2]Entry!$C$1904="","",[2]Entry!$C$1904)</f>
        <v/>
      </c>
      <c r="K1901">
        <f>IF([2]Entry!$D$1904="","",[2]Entry!$D$1904)</f>
        <v/>
      </c>
      <c r="L1901">
        <f>IF([2]Entry!$E$1904="","",[2]Entry!$E$1904)</f>
        <v/>
      </c>
      <c r="M1901">
        <f>IF([2]Entry!$G$1904="","",[2]Entry!$G$1904)</f>
        <v/>
      </c>
      <c r="N1901">
        <f>IF([2]Entry!$M$1904="","",[2]Entry!$M$1904)</f>
        <v/>
      </c>
      <c r="O1901">
        <f>IF([2]Entry!$N$1904="","",[2]Entry!$N$1904)</f>
        <v/>
      </c>
      <c r="P1901">
        <f>IF([2]Entry!$R$1904="","",[2]Entry!$R$1904)</f>
        <v/>
      </c>
    </row>
    <row r="1902">
      <c r="J1902">
        <f>IF([2]Entry!$C$1905="","",[2]Entry!$C$1905)</f>
        <v/>
      </c>
      <c r="K1902">
        <f>IF([2]Entry!$D$1905="","",[2]Entry!$D$1905)</f>
        <v/>
      </c>
      <c r="L1902">
        <f>IF([2]Entry!$E$1905="","",[2]Entry!$E$1905)</f>
        <v/>
      </c>
      <c r="M1902">
        <f>IF([2]Entry!$G$1905="","",[2]Entry!$G$1905)</f>
        <v/>
      </c>
      <c r="N1902">
        <f>IF([2]Entry!$M$1905="","",[2]Entry!$M$1905)</f>
        <v/>
      </c>
      <c r="O1902">
        <f>IF([2]Entry!$N$1905="","",[2]Entry!$N$1905)</f>
        <v/>
      </c>
      <c r="P1902">
        <f>IF([2]Entry!$R$1905="","",[2]Entry!$R$1905)</f>
        <v/>
      </c>
    </row>
    <row r="1903">
      <c r="J1903">
        <f>IF([2]Entry!$C$1906="","",[2]Entry!$C$1906)</f>
        <v/>
      </c>
      <c r="K1903">
        <f>IF([2]Entry!$D$1906="","",[2]Entry!$D$1906)</f>
        <v/>
      </c>
      <c r="L1903">
        <f>IF([2]Entry!$E$1906="","",[2]Entry!$E$1906)</f>
        <v/>
      </c>
      <c r="M1903">
        <f>IF([2]Entry!$G$1906="","",[2]Entry!$G$1906)</f>
        <v/>
      </c>
      <c r="N1903">
        <f>IF([2]Entry!$M$1906="","",[2]Entry!$M$1906)</f>
        <v/>
      </c>
      <c r="O1903">
        <f>IF([2]Entry!$N$1906="","",[2]Entry!$N$1906)</f>
        <v/>
      </c>
      <c r="P1903">
        <f>IF([2]Entry!$R$1906="","",[2]Entry!$R$1906)</f>
        <v/>
      </c>
    </row>
    <row r="1904">
      <c r="J1904">
        <f>IF([2]Entry!$C$1907="","",[2]Entry!$C$1907)</f>
        <v/>
      </c>
      <c r="K1904">
        <f>IF([2]Entry!$D$1907="","",[2]Entry!$D$1907)</f>
        <v/>
      </c>
      <c r="L1904">
        <f>IF([2]Entry!$E$1907="","",[2]Entry!$E$1907)</f>
        <v/>
      </c>
      <c r="M1904">
        <f>IF([2]Entry!$G$1907="","",[2]Entry!$G$1907)</f>
        <v/>
      </c>
      <c r="N1904">
        <f>IF([2]Entry!$M$1907="","",[2]Entry!$M$1907)</f>
        <v/>
      </c>
      <c r="O1904">
        <f>IF([2]Entry!$N$1907="","",[2]Entry!$N$1907)</f>
        <v/>
      </c>
      <c r="P1904">
        <f>IF([2]Entry!$R$1907="","",[2]Entry!$R$1907)</f>
        <v/>
      </c>
    </row>
    <row r="1905">
      <c r="J1905">
        <f>IF([2]Entry!$C$1908="","",[2]Entry!$C$1908)</f>
        <v/>
      </c>
      <c r="K1905">
        <f>IF([2]Entry!$D$1908="","",[2]Entry!$D$1908)</f>
        <v/>
      </c>
      <c r="L1905">
        <f>IF([2]Entry!$E$1908="","",[2]Entry!$E$1908)</f>
        <v/>
      </c>
      <c r="M1905">
        <f>IF([2]Entry!$G$1908="","",[2]Entry!$G$1908)</f>
        <v/>
      </c>
      <c r="N1905">
        <f>IF([2]Entry!$M$1908="","",[2]Entry!$M$1908)</f>
        <v/>
      </c>
      <c r="O1905">
        <f>IF([2]Entry!$N$1908="","",[2]Entry!$N$1908)</f>
        <v/>
      </c>
      <c r="P1905">
        <f>IF([2]Entry!$R$1908="","",[2]Entry!$R$1908)</f>
        <v/>
      </c>
    </row>
    <row r="1906">
      <c r="J1906">
        <f>IF([2]Entry!$C$1909="","",[2]Entry!$C$1909)</f>
        <v/>
      </c>
      <c r="K1906">
        <f>IF([2]Entry!$D$1909="","",[2]Entry!$D$1909)</f>
        <v/>
      </c>
      <c r="L1906">
        <f>IF([2]Entry!$E$1909="","",[2]Entry!$E$1909)</f>
        <v/>
      </c>
      <c r="M1906">
        <f>IF([2]Entry!$G$1909="","",[2]Entry!$G$1909)</f>
        <v/>
      </c>
      <c r="N1906">
        <f>IF([2]Entry!$M$1909="","",[2]Entry!$M$1909)</f>
        <v/>
      </c>
      <c r="O1906">
        <f>IF([2]Entry!$N$1909="","",[2]Entry!$N$1909)</f>
        <v/>
      </c>
      <c r="P1906">
        <f>IF([2]Entry!$R$1909="","",[2]Entry!$R$1909)</f>
        <v/>
      </c>
    </row>
    <row r="1907">
      <c r="J1907">
        <f>IF([2]Entry!$C$1910="","",[2]Entry!$C$1910)</f>
        <v/>
      </c>
      <c r="K1907">
        <f>IF([2]Entry!$D$1910="","",[2]Entry!$D$1910)</f>
        <v/>
      </c>
      <c r="L1907">
        <f>IF([2]Entry!$E$1910="","",[2]Entry!$E$1910)</f>
        <v/>
      </c>
      <c r="M1907">
        <f>IF([2]Entry!$G$1910="","",[2]Entry!$G$1910)</f>
        <v/>
      </c>
      <c r="N1907">
        <f>IF([2]Entry!$M$1910="","",[2]Entry!$M$1910)</f>
        <v/>
      </c>
      <c r="O1907">
        <f>IF([2]Entry!$N$1910="","",[2]Entry!$N$1910)</f>
        <v/>
      </c>
      <c r="P1907">
        <f>IF([2]Entry!$R$1910="","",[2]Entry!$R$1910)</f>
        <v/>
      </c>
    </row>
    <row r="1908">
      <c r="J1908">
        <f>IF([2]Entry!$C$1911="","",[2]Entry!$C$1911)</f>
        <v/>
      </c>
      <c r="K1908">
        <f>IF([2]Entry!$D$1911="","",[2]Entry!$D$1911)</f>
        <v/>
      </c>
      <c r="L1908">
        <f>IF([2]Entry!$E$1911="","",[2]Entry!$E$1911)</f>
        <v/>
      </c>
      <c r="M1908">
        <f>IF([2]Entry!$G$1911="","",[2]Entry!$G$1911)</f>
        <v/>
      </c>
      <c r="N1908">
        <f>IF([2]Entry!$M$1911="","",[2]Entry!$M$1911)</f>
        <v/>
      </c>
      <c r="O1908">
        <f>IF([2]Entry!$N$1911="","",[2]Entry!$N$1911)</f>
        <v/>
      </c>
      <c r="P1908">
        <f>IF([2]Entry!$R$1911="","",[2]Entry!$R$1911)</f>
        <v/>
      </c>
    </row>
    <row r="1909">
      <c r="J1909">
        <f>IF([2]Entry!$C$1912="","",[2]Entry!$C$1912)</f>
        <v/>
      </c>
      <c r="K1909">
        <f>IF([2]Entry!$D$1912="","",[2]Entry!$D$1912)</f>
        <v/>
      </c>
      <c r="L1909">
        <f>IF([2]Entry!$E$1912="","",[2]Entry!$E$1912)</f>
        <v/>
      </c>
      <c r="M1909">
        <f>IF([2]Entry!$G$1912="","",[2]Entry!$G$1912)</f>
        <v/>
      </c>
      <c r="N1909">
        <f>IF([2]Entry!$M$1912="","",[2]Entry!$M$1912)</f>
        <v/>
      </c>
      <c r="O1909">
        <f>IF([2]Entry!$N$1912="","",[2]Entry!$N$1912)</f>
        <v/>
      </c>
      <c r="P1909">
        <f>IF([2]Entry!$R$1912="","",[2]Entry!$R$1912)</f>
        <v/>
      </c>
    </row>
    <row r="1910">
      <c r="J1910">
        <f>IF([2]Entry!$C$1913="","",[2]Entry!$C$1913)</f>
        <v/>
      </c>
      <c r="K1910">
        <f>IF([2]Entry!$D$1913="","",[2]Entry!$D$1913)</f>
        <v/>
      </c>
      <c r="L1910">
        <f>IF([2]Entry!$E$1913="","",[2]Entry!$E$1913)</f>
        <v/>
      </c>
      <c r="M1910">
        <f>IF([2]Entry!$G$1913="","",[2]Entry!$G$1913)</f>
        <v/>
      </c>
      <c r="N1910">
        <f>IF([2]Entry!$M$1913="","",[2]Entry!$M$1913)</f>
        <v/>
      </c>
      <c r="O1910">
        <f>IF([2]Entry!$N$1913="","",[2]Entry!$N$1913)</f>
        <v/>
      </c>
      <c r="P1910">
        <f>IF([2]Entry!$R$1913="","",[2]Entry!$R$1913)</f>
        <v/>
      </c>
    </row>
    <row r="1911">
      <c r="J1911">
        <f>IF([2]Entry!$C$1914="","",[2]Entry!$C$1914)</f>
        <v/>
      </c>
      <c r="K1911">
        <f>IF([2]Entry!$D$1914="","",[2]Entry!$D$1914)</f>
        <v/>
      </c>
      <c r="L1911">
        <f>IF([2]Entry!$E$1914="","",[2]Entry!$E$1914)</f>
        <v/>
      </c>
      <c r="M1911">
        <f>IF([2]Entry!$G$1914="","",[2]Entry!$G$1914)</f>
        <v/>
      </c>
      <c r="N1911">
        <f>IF([2]Entry!$M$1914="","",[2]Entry!$M$1914)</f>
        <v/>
      </c>
      <c r="O1911">
        <f>IF([2]Entry!$N$1914="","",[2]Entry!$N$1914)</f>
        <v/>
      </c>
      <c r="P1911">
        <f>IF([2]Entry!$R$1914="","",[2]Entry!$R$1914)</f>
        <v/>
      </c>
    </row>
    <row r="1912">
      <c r="J1912">
        <f>IF([2]Entry!$C$1915="","",[2]Entry!$C$1915)</f>
        <v/>
      </c>
      <c r="K1912">
        <f>IF([2]Entry!$D$1915="","",[2]Entry!$D$1915)</f>
        <v/>
      </c>
      <c r="L1912">
        <f>IF([2]Entry!$E$1915="","",[2]Entry!$E$1915)</f>
        <v/>
      </c>
      <c r="M1912">
        <f>IF([2]Entry!$G$1915="","",[2]Entry!$G$1915)</f>
        <v/>
      </c>
      <c r="N1912">
        <f>IF([2]Entry!$M$1915="","",[2]Entry!$M$1915)</f>
        <v/>
      </c>
      <c r="O1912">
        <f>IF([2]Entry!$N$1915="","",[2]Entry!$N$1915)</f>
        <v/>
      </c>
      <c r="P1912">
        <f>IF([2]Entry!$R$1915="","",[2]Entry!$R$1915)</f>
        <v/>
      </c>
    </row>
    <row r="1913">
      <c r="J1913">
        <f>IF([2]Entry!$C$1916="","",[2]Entry!$C$1916)</f>
        <v/>
      </c>
      <c r="K1913">
        <f>IF([2]Entry!$D$1916="","",[2]Entry!$D$1916)</f>
        <v/>
      </c>
      <c r="L1913">
        <f>IF([2]Entry!$E$1916="","",[2]Entry!$E$1916)</f>
        <v/>
      </c>
      <c r="M1913">
        <f>IF([2]Entry!$G$1916="","",[2]Entry!$G$1916)</f>
        <v/>
      </c>
      <c r="N1913">
        <f>IF([2]Entry!$M$1916="","",[2]Entry!$M$1916)</f>
        <v/>
      </c>
      <c r="O1913">
        <f>IF([2]Entry!$N$1916="","",[2]Entry!$N$1916)</f>
        <v/>
      </c>
      <c r="P1913">
        <f>IF([2]Entry!$R$1916="","",[2]Entry!$R$1916)</f>
        <v/>
      </c>
    </row>
    <row r="1914">
      <c r="J1914">
        <f>IF([2]Entry!$C$1917="","",[2]Entry!$C$1917)</f>
        <v/>
      </c>
      <c r="K1914">
        <f>IF([2]Entry!$D$1917="","",[2]Entry!$D$1917)</f>
        <v/>
      </c>
      <c r="L1914">
        <f>IF([2]Entry!$E$1917="","",[2]Entry!$E$1917)</f>
        <v/>
      </c>
      <c r="M1914">
        <f>IF([2]Entry!$G$1917="","",[2]Entry!$G$1917)</f>
        <v/>
      </c>
      <c r="N1914">
        <f>IF([2]Entry!$M$1917="","",[2]Entry!$M$1917)</f>
        <v/>
      </c>
      <c r="O1914">
        <f>IF([2]Entry!$N$1917="","",[2]Entry!$N$1917)</f>
        <v/>
      </c>
      <c r="P1914">
        <f>IF([2]Entry!$R$1917="","",[2]Entry!$R$1917)</f>
        <v/>
      </c>
    </row>
    <row r="1915">
      <c r="J1915">
        <f>IF([2]Entry!$C$1918="","",[2]Entry!$C$1918)</f>
        <v/>
      </c>
      <c r="K1915">
        <f>IF([2]Entry!$D$1918="","",[2]Entry!$D$1918)</f>
        <v/>
      </c>
      <c r="L1915">
        <f>IF([2]Entry!$E$1918="","",[2]Entry!$E$1918)</f>
        <v/>
      </c>
      <c r="M1915">
        <f>IF([2]Entry!$G$1918="","",[2]Entry!$G$1918)</f>
        <v/>
      </c>
      <c r="N1915">
        <f>IF([2]Entry!$M$1918="","",[2]Entry!$M$1918)</f>
        <v/>
      </c>
      <c r="O1915">
        <f>IF([2]Entry!$N$1918="","",[2]Entry!$N$1918)</f>
        <v/>
      </c>
      <c r="P1915">
        <f>IF([2]Entry!$R$1918="","",[2]Entry!$R$1918)</f>
        <v/>
      </c>
    </row>
    <row r="1916">
      <c r="J1916">
        <f>IF([2]Entry!$C$1919="","",[2]Entry!$C$1919)</f>
        <v/>
      </c>
      <c r="K1916">
        <f>IF([2]Entry!$D$1919="","",[2]Entry!$D$1919)</f>
        <v/>
      </c>
      <c r="L1916">
        <f>IF([2]Entry!$E$1919="","",[2]Entry!$E$1919)</f>
        <v/>
      </c>
      <c r="M1916">
        <f>IF([2]Entry!$G$1919="","",[2]Entry!$G$1919)</f>
        <v/>
      </c>
      <c r="N1916">
        <f>IF([2]Entry!$M$1919="","",[2]Entry!$M$1919)</f>
        <v/>
      </c>
      <c r="O1916">
        <f>IF([2]Entry!$N$1919="","",[2]Entry!$N$1919)</f>
        <v/>
      </c>
      <c r="P1916">
        <f>IF([2]Entry!$R$1919="","",[2]Entry!$R$1919)</f>
        <v/>
      </c>
    </row>
    <row r="1917">
      <c r="J1917">
        <f>IF([2]Entry!$C$1920="","",[2]Entry!$C$1920)</f>
        <v/>
      </c>
      <c r="K1917">
        <f>IF([2]Entry!$D$1920="","",[2]Entry!$D$1920)</f>
        <v/>
      </c>
      <c r="L1917">
        <f>IF([2]Entry!$E$1920="","",[2]Entry!$E$1920)</f>
        <v/>
      </c>
      <c r="M1917">
        <f>IF([2]Entry!$G$1920="","",[2]Entry!$G$1920)</f>
        <v/>
      </c>
      <c r="N1917">
        <f>IF([2]Entry!$M$1920="","",[2]Entry!$M$1920)</f>
        <v/>
      </c>
      <c r="O1917">
        <f>IF([2]Entry!$N$1920="","",[2]Entry!$N$1920)</f>
        <v/>
      </c>
      <c r="P1917">
        <f>IF([2]Entry!$R$1920="","",[2]Entry!$R$1920)</f>
        <v/>
      </c>
    </row>
    <row r="1918">
      <c r="J1918">
        <f>IF([2]Entry!$C$1921="","",[2]Entry!$C$1921)</f>
        <v/>
      </c>
      <c r="K1918">
        <f>IF([2]Entry!$D$1921="","",[2]Entry!$D$1921)</f>
        <v/>
      </c>
      <c r="L1918">
        <f>IF([2]Entry!$E$1921="","",[2]Entry!$E$1921)</f>
        <v/>
      </c>
      <c r="M1918">
        <f>IF([2]Entry!$G$1921="","",[2]Entry!$G$1921)</f>
        <v/>
      </c>
      <c r="N1918">
        <f>IF([2]Entry!$M$1921="","",[2]Entry!$M$1921)</f>
        <v/>
      </c>
      <c r="O1918">
        <f>IF([2]Entry!$N$1921="","",[2]Entry!$N$1921)</f>
        <v/>
      </c>
      <c r="P1918">
        <f>IF([2]Entry!$R$1921="","",[2]Entry!$R$1921)</f>
        <v/>
      </c>
    </row>
    <row r="1919">
      <c r="J1919">
        <f>IF([2]Entry!$C$1922="","",[2]Entry!$C$1922)</f>
        <v/>
      </c>
      <c r="K1919">
        <f>IF([2]Entry!$D$1922="","",[2]Entry!$D$1922)</f>
        <v/>
      </c>
      <c r="L1919">
        <f>IF([2]Entry!$E$1922="","",[2]Entry!$E$1922)</f>
        <v/>
      </c>
      <c r="M1919">
        <f>IF([2]Entry!$G$1922="","",[2]Entry!$G$1922)</f>
        <v/>
      </c>
      <c r="N1919">
        <f>IF([2]Entry!$M$1922="","",[2]Entry!$M$1922)</f>
        <v/>
      </c>
      <c r="O1919">
        <f>IF([2]Entry!$N$1922="","",[2]Entry!$N$1922)</f>
        <v/>
      </c>
      <c r="P1919">
        <f>IF([2]Entry!$R$1922="","",[2]Entry!$R$1922)</f>
        <v/>
      </c>
    </row>
    <row r="1920">
      <c r="J1920">
        <f>IF([2]Entry!$C$1923="","",[2]Entry!$C$1923)</f>
        <v/>
      </c>
      <c r="K1920">
        <f>IF([2]Entry!$D$1923="","",[2]Entry!$D$1923)</f>
        <v/>
      </c>
      <c r="L1920">
        <f>IF([2]Entry!$E$1923="","",[2]Entry!$E$1923)</f>
        <v/>
      </c>
      <c r="M1920">
        <f>IF([2]Entry!$G$1923="","",[2]Entry!$G$1923)</f>
        <v/>
      </c>
      <c r="N1920">
        <f>IF([2]Entry!$M$1923="","",[2]Entry!$M$1923)</f>
        <v/>
      </c>
      <c r="O1920">
        <f>IF([2]Entry!$N$1923="","",[2]Entry!$N$1923)</f>
        <v/>
      </c>
      <c r="P1920">
        <f>IF([2]Entry!$R$1923="","",[2]Entry!$R$1923)</f>
        <v/>
      </c>
    </row>
    <row r="1921">
      <c r="J1921">
        <f>IF([2]Entry!$C$1924="","",[2]Entry!$C$1924)</f>
        <v/>
      </c>
      <c r="K1921">
        <f>IF([2]Entry!$D$1924="","",[2]Entry!$D$1924)</f>
        <v/>
      </c>
      <c r="L1921">
        <f>IF([2]Entry!$E$1924="","",[2]Entry!$E$1924)</f>
        <v/>
      </c>
      <c r="M1921">
        <f>IF([2]Entry!$G$1924="","",[2]Entry!$G$1924)</f>
        <v/>
      </c>
      <c r="N1921">
        <f>IF([2]Entry!$M$1924="","",[2]Entry!$M$1924)</f>
        <v/>
      </c>
      <c r="O1921">
        <f>IF([2]Entry!$N$1924="","",[2]Entry!$N$1924)</f>
        <v/>
      </c>
      <c r="P1921">
        <f>IF([2]Entry!$R$1924="","",[2]Entry!$R$1924)</f>
        <v/>
      </c>
    </row>
    <row r="1922">
      <c r="J1922">
        <f>IF([2]Entry!$C$1925="","",[2]Entry!$C$1925)</f>
        <v/>
      </c>
      <c r="K1922">
        <f>IF([2]Entry!$D$1925="","",[2]Entry!$D$1925)</f>
        <v/>
      </c>
      <c r="L1922">
        <f>IF([2]Entry!$E$1925="","",[2]Entry!$E$1925)</f>
        <v/>
      </c>
      <c r="M1922">
        <f>IF([2]Entry!$G$1925="","",[2]Entry!$G$1925)</f>
        <v/>
      </c>
      <c r="N1922">
        <f>IF([2]Entry!$M$1925="","",[2]Entry!$M$1925)</f>
        <v/>
      </c>
      <c r="O1922">
        <f>IF([2]Entry!$N$1925="","",[2]Entry!$N$1925)</f>
        <v/>
      </c>
      <c r="P1922">
        <f>IF([2]Entry!$R$1925="","",[2]Entry!$R$1925)</f>
        <v/>
      </c>
    </row>
    <row r="1923">
      <c r="J1923">
        <f>IF([2]Entry!$C$1926="","",[2]Entry!$C$1926)</f>
        <v/>
      </c>
      <c r="K1923">
        <f>IF([2]Entry!$D$1926="","",[2]Entry!$D$1926)</f>
        <v/>
      </c>
      <c r="L1923">
        <f>IF([2]Entry!$E$1926="","",[2]Entry!$E$1926)</f>
        <v/>
      </c>
      <c r="M1923">
        <f>IF([2]Entry!$G$1926="","",[2]Entry!$G$1926)</f>
        <v/>
      </c>
      <c r="N1923">
        <f>IF([2]Entry!$M$1926="","",[2]Entry!$M$1926)</f>
        <v/>
      </c>
      <c r="O1923">
        <f>IF([2]Entry!$N$1926="","",[2]Entry!$N$1926)</f>
        <v/>
      </c>
      <c r="P1923">
        <f>IF([2]Entry!$R$1926="","",[2]Entry!$R$1926)</f>
        <v/>
      </c>
    </row>
    <row r="1924">
      <c r="J1924">
        <f>IF([2]Entry!$C$1927="","",[2]Entry!$C$1927)</f>
        <v/>
      </c>
      <c r="K1924">
        <f>IF([2]Entry!$D$1927="","",[2]Entry!$D$1927)</f>
        <v/>
      </c>
      <c r="L1924">
        <f>IF([2]Entry!$E$1927="","",[2]Entry!$E$1927)</f>
        <v/>
      </c>
      <c r="M1924">
        <f>IF([2]Entry!$G$1927="","",[2]Entry!$G$1927)</f>
        <v/>
      </c>
      <c r="N1924">
        <f>IF([2]Entry!$M$1927="","",[2]Entry!$M$1927)</f>
        <v/>
      </c>
      <c r="O1924">
        <f>IF([2]Entry!$N$1927="","",[2]Entry!$N$1927)</f>
        <v/>
      </c>
      <c r="P1924">
        <f>IF([2]Entry!$R$1927="","",[2]Entry!$R$1927)</f>
        <v/>
      </c>
    </row>
    <row r="1925">
      <c r="J1925">
        <f>IF([2]Entry!$C$1928="","",[2]Entry!$C$1928)</f>
        <v/>
      </c>
      <c r="K1925">
        <f>IF([2]Entry!$D$1928="","",[2]Entry!$D$1928)</f>
        <v/>
      </c>
      <c r="L1925">
        <f>IF([2]Entry!$E$1928="","",[2]Entry!$E$1928)</f>
        <v/>
      </c>
      <c r="M1925">
        <f>IF([2]Entry!$G$1928="","",[2]Entry!$G$1928)</f>
        <v/>
      </c>
      <c r="N1925">
        <f>IF([2]Entry!$M$1928="","",[2]Entry!$M$1928)</f>
        <v/>
      </c>
      <c r="O1925">
        <f>IF([2]Entry!$N$1928="","",[2]Entry!$N$1928)</f>
        <v/>
      </c>
      <c r="P1925">
        <f>IF([2]Entry!$R$1928="","",[2]Entry!$R$1928)</f>
        <v/>
      </c>
    </row>
    <row r="1926">
      <c r="J1926">
        <f>IF([2]Entry!$C$1929="","",[2]Entry!$C$1929)</f>
        <v/>
      </c>
      <c r="K1926">
        <f>IF([2]Entry!$D$1929="","",[2]Entry!$D$1929)</f>
        <v/>
      </c>
      <c r="L1926">
        <f>IF([2]Entry!$E$1929="","",[2]Entry!$E$1929)</f>
        <v/>
      </c>
      <c r="M1926">
        <f>IF([2]Entry!$G$1929="","",[2]Entry!$G$1929)</f>
        <v/>
      </c>
      <c r="N1926">
        <f>IF([2]Entry!$M$1929="","",[2]Entry!$M$1929)</f>
        <v/>
      </c>
      <c r="O1926">
        <f>IF([2]Entry!$N$1929="","",[2]Entry!$N$1929)</f>
        <v/>
      </c>
      <c r="P1926">
        <f>IF([2]Entry!$R$1929="","",[2]Entry!$R$1929)</f>
        <v/>
      </c>
    </row>
    <row r="1927">
      <c r="J1927">
        <f>IF([2]Entry!$C$1930="","",[2]Entry!$C$1930)</f>
        <v/>
      </c>
      <c r="K1927">
        <f>IF([2]Entry!$D$1930="","",[2]Entry!$D$1930)</f>
        <v/>
      </c>
      <c r="L1927">
        <f>IF([2]Entry!$E$1930="","",[2]Entry!$E$1930)</f>
        <v/>
      </c>
      <c r="M1927">
        <f>IF([2]Entry!$G$1930="","",[2]Entry!$G$1930)</f>
        <v/>
      </c>
      <c r="N1927">
        <f>IF([2]Entry!$M$1930="","",[2]Entry!$M$1930)</f>
        <v/>
      </c>
      <c r="O1927">
        <f>IF([2]Entry!$N$1930="","",[2]Entry!$N$1930)</f>
        <v/>
      </c>
      <c r="P1927">
        <f>IF([2]Entry!$R$1930="","",[2]Entry!$R$1930)</f>
        <v/>
      </c>
    </row>
    <row r="1928">
      <c r="J1928">
        <f>IF([2]Entry!$C$1931="","",[2]Entry!$C$1931)</f>
        <v/>
      </c>
      <c r="K1928">
        <f>IF([2]Entry!$D$1931="","",[2]Entry!$D$1931)</f>
        <v/>
      </c>
      <c r="L1928">
        <f>IF([2]Entry!$E$1931="","",[2]Entry!$E$1931)</f>
        <v/>
      </c>
      <c r="M1928">
        <f>IF([2]Entry!$G$1931="","",[2]Entry!$G$1931)</f>
        <v/>
      </c>
      <c r="N1928">
        <f>IF([2]Entry!$M$1931="","",[2]Entry!$M$1931)</f>
        <v/>
      </c>
      <c r="O1928">
        <f>IF([2]Entry!$N$1931="","",[2]Entry!$N$1931)</f>
        <v/>
      </c>
      <c r="P1928">
        <f>IF([2]Entry!$R$1931="","",[2]Entry!$R$1931)</f>
        <v/>
      </c>
    </row>
    <row r="1929">
      <c r="J1929">
        <f>IF([2]Entry!$C$1932="","",[2]Entry!$C$1932)</f>
        <v/>
      </c>
      <c r="K1929">
        <f>IF([2]Entry!$D$1932="","",[2]Entry!$D$1932)</f>
        <v/>
      </c>
      <c r="L1929">
        <f>IF([2]Entry!$E$1932="","",[2]Entry!$E$1932)</f>
        <v/>
      </c>
      <c r="M1929">
        <f>IF([2]Entry!$G$1932="","",[2]Entry!$G$1932)</f>
        <v/>
      </c>
      <c r="N1929">
        <f>IF([2]Entry!$M$1932="","",[2]Entry!$M$1932)</f>
        <v/>
      </c>
      <c r="O1929">
        <f>IF([2]Entry!$N$1932="","",[2]Entry!$N$1932)</f>
        <v/>
      </c>
      <c r="P1929">
        <f>IF([2]Entry!$R$1932="","",[2]Entry!$R$1932)</f>
        <v/>
      </c>
    </row>
    <row r="1930">
      <c r="J1930">
        <f>IF([2]Entry!$C$1933="","",[2]Entry!$C$1933)</f>
        <v/>
      </c>
      <c r="K1930">
        <f>IF([2]Entry!$D$1933="","",[2]Entry!$D$1933)</f>
        <v/>
      </c>
      <c r="L1930">
        <f>IF([2]Entry!$E$1933="","",[2]Entry!$E$1933)</f>
        <v/>
      </c>
      <c r="M1930">
        <f>IF([2]Entry!$G$1933="","",[2]Entry!$G$1933)</f>
        <v/>
      </c>
      <c r="N1930">
        <f>IF([2]Entry!$M$1933="","",[2]Entry!$M$1933)</f>
        <v/>
      </c>
      <c r="O1930">
        <f>IF([2]Entry!$N$1933="","",[2]Entry!$N$1933)</f>
        <v/>
      </c>
      <c r="P1930">
        <f>IF([2]Entry!$R$1933="","",[2]Entry!$R$1933)</f>
        <v/>
      </c>
    </row>
    <row r="1931">
      <c r="J1931">
        <f>IF([2]Entry!$C$1934="","",[2]Entry!$C$1934)</f>
        <v/>
      </c>
      <c r="K1931">
        <f>IF([2]Entry!$D$1934="","",[2]Entry!$D$1934)</f>
        <v/>
      </c>
      <c r="L1931">
        <f>IF([2]Entry!$E$1934="","",[2]Entry!$E$1934)</f>
        <v/>
      </c>
      <c r="M1931">
        <f>IF([2]Entry!$G$1934="","",[2]Entry!$G$1934)</f>
        <v/>
      </c>
      <c r="N1931">
        <f>IF([2]Entry!$M$1934="","",[2]Entry!$M$1934)</f>
        <v/>
      </c>
      <c r="O1931">
        <f>IF([2]Entry!$N$1934="","",[2]Entry!$N$1934)</f>
        <v/>
      </c>
      <c r="P1931">
        <f>IF([2]Entry!$R$1934="","",[2]Entry!$R$1934)</f>
        <v/>
      </c>
    </row>
    <row r="1932">
      <c r="J1932">
        <f>IF([2]Entry!$C$1935="","",[2]Entry!$C$1935)</f>
        <v/>
      </c>
      <c r="K1932">
        <f>IF([2]Entry!$D$1935="","",[2]Entry!$D$1935)</f>
        <v/>
      </c>
      <c r="L1932">
        <f>IF([2]Entry!$E$1935="","",[2]Entry!$E$1935)</f>
        <v/>
      </c>
      <c r="M1932">
        <f>IF([2]Entry!$G$1935="","",[2]Entry!$G$1935)</f>
        <v/>
      </c>
      <c r="N1932">
        <f>IF([2]Entry!$M$1935="","",[2]Entry!$M$1935)</f>
        <v/>
      </c>
      <c r="O1932">
        <f>IF([2]Entry!$N$1935="","",[2]Entry!$N$1935)</f>
        <v/>
      </c>
      <c r="P1932">
        <f>IF([2]Entry!$R$1935="","",[2]Entry!$R$1935)</f>
        <v/>
      </c>
    </row>
    <row r="1933">
      <c r="J1933">
        <f>IF([2]Entry!$C$1936="","",[2]Entry!$C$1936)</f>
        <v/>
      </c>
      <c r="K1933">
        <f>IF([2]Entry!$D$1936="","",[2]Entry!$D$1936)</f>
        <v/>
      </c>
      <c r="L1933">
        <f>IF([2]Entry!$E$1936="","",[2]Entry!$E$1936)</f>
        <v/>
      </c>
      <c r="M1933">
        <f>IF([2]Entry!$G$1936="","",[2]Entry!$G$1936)</f>
        <v/>
      </c>
      <c r="N1933">
        <f>IF([2]Entry!$M$1936="","",[2]Entry!$M$1936)</f>
        <v/>
      </c>
      <c r="O1933">
        <f>IF([2]Entry!$N$1936="","",[2]Entry!$N$1936)</f>
        <v/>
      </c>
      <c r="P1933">
        <f>IF([2]Entry!$R$1936="","",[2]Entry!$R$1936)</f>
        <v/>
      </c>
    </row>
    <row r="1934">
      <c r="J1934">
        <f>IF([2]Entry!$C$1937="","",[2]Entry!$C$1937)</f>
        <v/>
      </c>
      <c r="K1934">
        <f>IF([2]Entry!$D$1937="","",[2]Entry!$D$1937)</f>
        <v/>
      </c>
      <c r="L1934">
        <f>IF([2]Entry!$E$1937="","",[2]Entry!$E$1937)</f>
        <v/>
      </c>
      <c r="M1934">
        <f>IF([2]Entry!$G$1937="","",[2]Entry!$G$1937)</f>
        <v/>
      </c>
      <c r="N1934">
        <f>IF([2]Entry!$M$1937="","",[2]Entry!$M$1937)</f>
        <v/>
      </c>
      <c r="O1934">
        <f>IF([2]Entry!$N$1937="","",[2]Entry!$N$1937)</f>
        <v/>
      </c>
      <c r="P1934">
        <f>IF([2]Entry!$R$1937="","",[2]Entry!$R$1937)</f>
        <v/>
      </c>
    </row>
    <row r="1935">
      <c r="J1935">
        <f>IF([2]Entry!$C$1938="","",[2]Entry!$C$1938)</f>
        <v/>
      </c>
      <c r="K1935">
        <f>IF([2]Entry!$D$1938="","",[2]Entry!$D$1938)</f>
        <v/>
      </c>
      <c r="L1935">
        <f>IF([2]Entry!$E$1938="","",[2]Entry!$E$1938)</f>
        <v/>
      </c>
      <c r="M1935">
        <f>IF([2]Entry!$G$1938="","",[2]Entry!$G$1938)</f>
        <v/>
      </c>
      <c r="N1935">
        <f>IF([2]Entry!$M$1938="","",[2]Entry!$M$1938)</f>
        <v/>
      </c>
      <c r="O1935">
        <f>IF([2]Entry!$N$1938="","",[2]Entry!$N$1938)</f>
        <v/>
      </c>
      <c r="P1935">
        <f>IF([2]Entry!$R$1938="","",[2]Entry!$R$1938)</f>
        <v/>
      </c>
    </row>
    <row r="1936">
      <c r="J1936">
        <f>IF([2]Entry!$C$1939="","",[2]Entry!$C$1939)</f>
        <v/>
      </c>
      <c r="K1936">
        <f>IF([2]Entry!$D$1939="","",[2]Entry!$D$1939)</f>
        <v/>
      </c>
      <c r="L1936">
        <f>IF([2]Entry!$E$1939="","",[2]Entry!$E$1939)</f>
        <v/>
      </c>
      <c r="M1936">
        <f>IF([2]Entry!$G$1939="","",[2]Entry!$G$1939)</f>
        <v/>
      </c>
      <c r="N1936">
        <f>IF([2]Entry!$M$1939="","",[2]Entry!$M$1939)</f>
        <v/>
      </c>
      <c r="O1936">
        <f>IF([2]Entry!$N$1939="","",[2]Entry!$N$1939)</f>
        <v/>
      </c>
      <c r="P1936">
        <f>IF([2]Entry!$R$1939="","",[2]Entry!$R$1939)</f>
        <v/>
      </c>
    </row>
    <row r="1937">
      <c r="J1937">
        <f>IF([2]Entry!$C$1940="","",[2]Entry!$C$1940)</f>
        <v/>
      </c>
      <c r="K1937">
        <f>IF([2]Entry!$D$1940="","",[2]Entry!$D$1940)</f>
        <v/>
      </c>
      <c r="L1937">
        <f>IF([2]Entry!$E$1940="","",[2]Entry!$E$1940)</f>
        <v/>
      </c>
      <c r="M1937">
        <f>IF([2]Entry!$G$1940="","",[2]Entry!$G$1940)</f>
        <v/>
      </c>
      <c r="N1937">
        <f>IF([2]Entry!$M$1940="","",[2]Entry!$M$1940)</f>
        <v/>
      </c>
      <c r="O1937">
        <f>IF([2]Entry!$N$1940="","",[2]Entry!$N$1940)</f>
        <v/>
      </c>
      <c r="P1937">
        <f>IF([2]Entry!$R$1940="","",[2]Entry!$R$1940)</f>
        <v/>
      </c>
    </row>
    <row r="1938">
      <c r="J1938">
        <f>IF([2]Entry!$C$1941="","",[2]Entry!$C$1941)</f>
        <v/>
      </c>
      <c r="K1938">
        <f>IF([2]Entry!$D$1941="","",[2]Entry!$D$1941)</f>
        <v/>
      </c>
      <c r="L1938">
        <f>IF([2]Entry!$E$1941="","",[2]Entry!$E$1941)</f>
        <v/>
      </c>
      <c r="M1938">
        <f>IF([2]Entry!$G$1941="","",[2]Entry!$G$1941)</f>
        <v/>
      </c>
      <c r="N1938">
        <f>IF([2]Entry!$M$1941="","",[2]Entry!$M$1941)</f>
        <v/>
      </c>
      <c r="O1938">
        <f>IF([2]Entry!$N$1941="","",[2]Entry!$N$1941)</f>
        <v/>
      </c>
      <c r="P1938">
        <f>IF([2]Entry!$R$1941="","",[2]Entry!$R$1941)</f>
        <v/>
      </c>
    </row>
    <row r="1939">
      <c r="J1939">
        <f>IF([2]Entry!$C$1942="","",[2]Entry!$C$1942)</f>
        <v/>
      </c>
      <c r="K1939">
        <f>IF([2]Entry!$D$1942="","",[2]Entry!$D$1942)</f>
        <v/>
      </c>
      <c r="L1939">
        <f>IF([2]Entry!$E$1942="","",[2]Entry!$E$1942)</f>
        <v/>
      </c>
      <c r="M1939">
        <f>IF([2]Entry!$G$1942="","",[2]Entry!$G$1942)</f>
        <v/>
      </c>
      <c r="N1939">
        <f>IF([2]Entry!$M$1942="","",[2]Entry!$M$1942)</f>
        <v/>
      </c>
      <c r="O1939">
        <f>IF([2]Entry!$N$1942="","",[2]Entry!$N$1942)</f>
        <v/>
      </c>
      <c r="P1939">
        <f>IF([2]Entry!$R$1942="","",[2]Entry!$R$1942)</f>
        <v/>
      </c>
    </row>
    <row r="1940">
      <c r="J1940">
        <f>IF([2]Entry!$C$1943="","",[2]Entry!$C$1943)</f>
        <v/>
      </c>
      <c r="K1940">
        <f>IF([2]Entry!$D$1943="","",[2]Entry!$D$1943)</f>
        <v/>
      </c>
      <c r="L1940">
        <f>IF([2]Entry!$E$1943="","",[2]Entry!$E$1943)</f>
        <v/>
      </c>
      <c r="M1940">
        <f>IF([2]Entry!$G$1943="","",[2]Entry!$G$1943)</f>
        <v/>
      </c>
      <c r="N1940">
        <f>IF([2]Entry!$M$1943="","",[2]Entry!$M$1943)</f>
        <v/>
      </c>
      <c r="O1940">
        <f>IF([2]Entry!$N$1943="","",[2]Entry!$N$1943)</f>
        <v/>
      </c>
      <c r="P1940">
        <f>IF([2]Entry!$R$1943="","",[2]Entry!$R$1943)</f>
        <v/>
      </c>
    </row>
    <row r="1941">
      <c r="J1941">
        <f>IF([2]Entry!$C$1944="","",[2]Entry!$C$1944)</f>
        <v/>
      </c>
      <c r="K1941">
        <f>IF([2]Entry!$D$1944="","",[2]Entry!$D$1944)</f>
        <v/>
      </c>
      <c r="L1941">
        <f>IF([2]Entry!$E$1944="","",[2]Entry!$E$1944)</f>
        <v/>
      </c>
      <c r="M1941">
        <f>IF([2]Entry!$G$1944="","",[2]Entry!$G$1944)</f>
        <v/>
      </c>
      <c r="N1941">
        <f>IF([2]Entry!$M$1944="","",[2]Entry!$M$1944)</f>
        <v/>
      </c>
      <c r="O1941">
        <f>IF([2]Entry!$N$1944="","",[2]Entry!$N$1944)</f>
        <v/>
      </c>
      <c r="P1941">
        <f>IF([2]Entry!$R$1944="","",[2]Entry!$R$1944)</f>
        <v/>
      </c>
    </row>
    <row r="1942">
      <c r="J1942">
        <f>IF([2]Entry!$C$1945="","",[2]Entry!$C$1945)</f>
        <v/>
      </c>
      <c r="K1942">
        <f>IF([2]Entry!$D$1945="","",[2]Entry!$D$1945)</f>
        <v/>
      </c>
      <c r="L1942">
        <f>IF([2]Entry!$E$1945="","",[2]Entry!$E$1945)</f>
        <v/>
      </c>
      <c r="M1942">
        <f>IF([2]Entry!$G$1945="","",[2]Entry!$G$1945)</f>
        <v/>
      </c>
      <c r="N1942">
        <f>IF([2]Entry!$M$1945="","",[2]Entry!$M$1945)</f>
        <v/>
      </c>
      <c r="O1942">
        <f>IF([2]Entry!$N$1945="","",[2]Entry!$N$1945)</f>
        <v/>
      </c>
      <c r="P1942">
        <f>IF([2]Entry!$R$1945="","",[2]Entry!$R$1945)</f>
        <v/>
      </c>
    </row>
    <row r="1943">
      <c r="J1943">
        <f>IF([2]Entry!$C$1946="","",[2]Entry!$C$1946)</f>
        <v/>
      </c>
      <c r="K1943">
        <f>IF([2]Entry!$D$1946="","",[2]Entry!$D$1946)</f>
        <v/>
      </c>
      <c r="L1943">
        <f>IF([2]Entry!$E$1946="","",[2]Entry!$E$1946)</f>
        <v/>
      </c>
      <c r="M1943">
        <f>IF([2]Entry!$G$1946="","",[2]Entry!$G$1946)</f>
        <v/>
      </c>
      <c r="N1943">
        <f>IF([2]Entry!$M$1946="","",[2]Entry!$M$1946)</f>
        <v/>
      </c>
      <c r="O1943">
        <f>IF([2]Entry!$N$1946="","",[2]Entry!$N$1946)</f>
        <v/>
      </c>
      <c r="P1943">
        <f>IF([2]Entry!$R$1946="","",[2]Entry!$R$1946)</f>
        <v/>
      </c>
    </row>
    <row r="1944">
      <c r="J1944">
        <f>IF([2]Entry!$C$1947="","",[2]Entry!$C$1947)</f>
        <v/>
      </c>
      <c r="K1944">
        <f>IF([2]Entry!$D$1947="","",[2]Entry!$D$1947)</f>
        <v/>
      </c>
      <c r="L1944">
        <f>IF([2]Entry!$E$1947="","",[2]Entry!$E$1947)</f>
        <v/>
      </c>
      <c r="M1944">
        <f>IF([2]Entry!$G$1947="","",[2]Entry!$G$1947)</f>
        <v/>
      </c>
      <c r="N1944">
        <f>IF([2]Entry!$M$1947="","",[2]Entry!$M$1947)</f>
        <v/>
      </c>
      <c r="O1944">
        <f>IF([2]Entry!$N$1947="","",[2]Entry!$N$1947)</f>
        <v/>
      </c>
      <c r="P1944">
        <f>IF([2]Entry!$R$1947="","",[2]Entry!$R$1947)</f>
        <v/>
      </c>
    </row>
    <row r="1945">
      <c r="J1945">
        <f>IF([2]Entry!$C$1948="","",[2]Entry!$C$1948)</f>
        <v/>
      </c>
      <c r="K1945">
        <f>IF([2]Entry!$D$1948="","",[2]Entry!$D$1948)</f>
        <v/>
      </c>
      <c r="L1945">
        <f>IF([2]Entry!$E$1948="","",[2]Entry!$E$1948)</f>
        <v/>
      </c>
      <c r="M1945">
        <f>IF([2]Entry!$G$1948="","",[2]Entry!$G$1948)</f>
        <v/>
      </c>
      <c r="N1945">
        <f>IF([2]Entry!$M$1948="","",[2]Entry!$M$1948)</f>
        <v/>
      </c>
      <c r="O1945">
        <f>IF([2]Entry!$N$1948="","",[2]Entry!$N$1948)</f>
        <v/>
      </c>
      <c r="P1945">
        <f>IF([2]Entry!$R$1948="","",[2]Entry!$R$1948)</f>
        <v/>
      </c>
    </row>
    <row r="1946">
      <c r="J1946">
        <f>IF([2]Entry!$C$1949="","",[2]Entry!$C$1949)</f>
        <v/>
      </c>
      <c r="K1946">
        <f>IF([2]Entry!$D$1949="","",[2]Entry!$D$1949)</f>
        <v/>
      </c>
      <c r="L1946">
        <f>IF([2]Entry!$E$1949="","",[2]Entry!$E$1949)</f>
        <v/>
      </c>
      <c r="M1946">
        <f>IF([2]Entry!$G$1949="","",[2]Entry!$G$1949)</f>
        <v/>
      </c>
      <c r="N1946">
        <f>IF([2]Entry!$M$1949="","",[2]Entry!$M$1949)</f>
        <v/>
      </c>
      <c r="O1946">
        <f>IF([2]Entry!$N$1949="","",[2]Entry!$N$1949)</f>
        <v/>
      </c>
      <c r="P1946">
        <f>IF([2]Entry!$R$1949="","",[2]Entry!$R$1949)</f>
        <v/>
      </c>
    </row>
    <row r="1947">
      <c r="J1947">
        <f>IF([2]Entry!$C$1950="","",[2]Entry!$C$1950)</f>
        <v/>
      </c>
      <c r="K1947">
        <f>IF([2]Entry!$D$1950="","",[2]Entry!$D$1950)</f>
        <v/>
      </c>
      <c r="L1947">
        <f>IF([2]Entry!$E$1950="","",[2]Entry!$E$1950)</f>
        <v/>
      </c>
      <c r="M1947">
        <f>IF([2]Entry!$G$1950="","",[2]Entry!$G$1950)</f>
        <v/>
      </c>
      <c r="N1947">
        <f>IF([2]Entry!$M$1950="","",[2]Entry!$M$1950)</f>
        <v/>
      </c>
      <c r="O1947">
        <f>IF([2]Entry!$N$1950="","",[2]Entry!$N$1950)</f>
        <v/>
      </c>
      <c r="P1947">
        <f>IF([2]Entry!$R$1950="","",[2]Entry!$R$1950)</f>
        <v/>
      </c>
    </row>
    <row r="1948">
      <c r="J1948">
        <f>IF([2]Entry!$C$1951="","",[2]Entry!$C$1951)</f>
        <v/>
      </c>
      <c r="K1948">
        <f>IF([2]Entry!$D$1951="","",[2]Entry!$D$1951)</f>
        <v/>
      </c>
      <c r="L1948">
        <f>IF([2]Entry!$E$1951="","",[2]Entry!$E$1951)</f>
        <v/>
      </c>
      <c r="M1948">
        <f>IF([2]Entry!$G$1951="","",[2]Entry!$G$1951)</f>
        <v/>
      </c>
      <c r="N1948">
        <f>IF([2]Entry!$M$1951="","",[2]Entry!$M$1951)</f>
        <v/>
      </c>
      <c r="O1948">
        <f>IF([2]Entry!$N$1951="","",[2]Entry!$N$1951)</f>
        <v/>
      </c>
      <c r="P1948">
        <f>IF([2]Entry!$R$1951="","",[2]Entry!$R$1951)</f>
        <v/>
      </c>
    </row>
    <row r="1949">
      <c r="J1949">
        <f>IF([2]Entry!$C$1952="","",[2]Entry!$C$1952)</f>
        <v/>
      </c>
      <c r="K1949">
        <f>IF([2]Entry!$D$1952="","",[2]Entry!$D$1952)</f>
        <v/>
      </c>
      <c r="L1949">
        <f>IF([2]Entry!$E$1952="","",[2]Entry!$E$1952)</f>
        <v/>
      </c>
      <c r="M1949">
        <f>IF([2]Entry!$G$1952="","",[2]Entry!$G$1952)</f>
        <v/>
      </c>
      <c r="N1949">
        <f>IF([2]Entry!$M$1952="","",[2]Entry!$M$1952)</f>
        <v/>
      </c>
      <c r="O1949">
        <f>IF([2]Entry!$N$1952="","",[2]Entry!$N$1952)</f>
        <v/>
      </c>
      <c r="P1949">
        <f>IF([2]Entry!$R$1952="","",[2]Entry!$R$1952)</f>
        <v/>
      </c>
    </row>
    <row r="1950">
      <c r="J1950">
        <f>IF([2]Entry!$C$1953="","",[2]Entry!$C$1953)</f>
        <v/>
      </c>
      <c r="K1950">
        <f>IF([2]Entry!$D$1953="","",[2]Entry!$D$1953)</f>
        <v/>
      </c>
      <c r="L1950">
        <f>IF([2]Entry!$E$1953="","",[2]Entry!$E$1953)</f>
        <v/>
      </c>
      <c r="M1950">
        <f>IF([2]Entry!$G$1953="","",[2]Entry!$G$1953)</f>
        <v/>
      </c>
      <c r="N1950">
        <f>IF([2]Entry!$M$1953="","",[2]Entry!$M$1953)</f>
        <v/>
      </c>
      <c r="O1950">
        <f>IF([2]Entry!$N$1953="","",[2]Entry!$N$1953)</f>
        <v/>
      </c>
      <c r="P1950">
        <f>IF([2]Entry!$R$1953="","",[2]Entry!$R$1953)</f>
        <v/>
      </c>
    </row>
    <row r="1951">
      <c r="J1951">
        <f>IF([2]Entry!$C$1954="","",[2]Entry!$C$1954)</f>
        <v/>
      </c>
      <c r="K1951">
        <f>IF([2]Entry!$D$1954="","",[2]Entry!$D$1954)</f>
        <v/>
      </c>
      <c r="L1951">
        <f>IF([2]Entry!$E$1954="","",[2]Entry!$E$1954)</f>
        <v/>
      </c>
      <c r="M1951">
        <f>IF([2]Entry!$G$1954="","",[2]Entry!$G$1954)</f>
        <v/>
      </c>
      <c r="N1951">
        <f>IF([2]Entry!$M$1954="","",[2]Entry!$M$1954)</f>
        <v/>
      </c>
      <c r="O1951">
        <f>IF([2]Entry!$N$1954="","",[2]Entry!$N$1954)</f>
        <v/>
      </c>
      <c r="P1951">
        <f>IF([2]Entry!$R$1954="","",[2]Entry!$R$1954)</f>
        <v/>
      </c>
    </row>
    <row r="1952">
      <c r="J1952">
        <f>IF([2]Entry!$C$1955="","",[2]Entry!$C$1955)</f>
        <v/>
      </c>
      <c r="K1952">
        <f>IF([2]Entry!$D$1955="","",[2]Entry!$D$1955)</f>
        <v/>
      </c>
      <c r="L1952">
        <f>IF([2]Entry!$E$1955="","",[2]Entry!$E$1955)</f>
        <v/>
      </c>
      <c r="M1952">
        <f>IF([2]Entry!$G$1955="","",[2]Entry!$G$1955)</f>
        <v/>
      </c>
      <c r="N1952">
        <f>IF([2]Entry!$M$1955="","",[2]Entry!$M$1955)</f>
        <v/>
      </c>
      <c r="O1952">
        <f>IF([2]Entry!$N$1955="","",[2]Entry!$N$1955)</f>
        <v/>
      </c>
      <c r="P1952">
        <f>IF([2]Entry!$R$1955="","",[2]Entry!$R$1955)</f>
        <v/>
      </c>
    </row>
    <row r="1953">
      <c r="J1953">
        <f>IF([2]Entry!$C$1956="","",[2]Entry!$C$1956)</f>
        <v/>
      </c>
      <c r="K1953">
        <f>IF([2]Entry!$D$1956="","",[2]Entry!$D$1956)</f>
        <v/>
      </c>
      <c r="L1953">
        <f>IF([2]Entry!$E$1956="","",[2]Entry!$E$1956)</f>
        <v/>
      </c>
      <c r="M1953">
        <f>IF([2]Entry!$G$1956="","",[2]Entry!$G$1956)</f>
        <v/>
      </c>
      <c r="N1953">
        <f>IF([2]Entry!$M$1956="","",[2]Entry!$M$1956)</f>
        <v/>
      </c>
      <c r="O1953">
        <f>IF([2]Entry!$N$1956="","",[2]Entry!$N$1956)</f>
        <v/>
      </c>
      <c r="P1953">
        <f>IF([2]Entry!$R$1956="","",[2]Entry!$R$1956)</f>
        <v/>
      </c>
    </row>
    <row r="1954">
      <c r="J1954">
        <f>IF([2]Entry!$C$1957="","",[2]Entry!$C$1957)</f>
        <v/>
      </c>
      <c r="K1954">
        <f>IF([2]Entry!$D$1957="","",[2]Entry!$D$1957)</f>
        <v/>
      </c>
      <c r="L1954">
        <f>IF([2]Entry!$E$1957="","",[2]Entry!$E$1957)</f>
        <v/>
      </c>
      <c r="M1954">
        <f>IF([2]Entry!$G$1957="","",[2]Entry!$G$1957)</f>
        <v/>
      </c>
      <c r="N1954">
        <f>IF([2]Entry!$M$1957="","",[2]Entry!$M$1957)</f>
        <v/>
      </c>
      <c r="O1954">
        <f>IF([2]Entry!$N$1957="","",[2]Entry!$N$1957)</f>
        <v/>
      </c>
      <c r="P1954">
        <f>IF([2]Entry!$R$1957="","",[2]Entry!$R$1957)</f>
        <v/>
      </c>
    </row>
    <row r="1955">
      <c r="J1955">
        <f>IF([2]Entry!$C$1958="","",[2]Entry!$C$1958)</f>
        <v/>
      </c>
      <c r="K1955">
        <f>IF([2]Entry!$D$1958="","",[2]Entry!$D$1958)</f>
        <v/>
      </c>
      <c r="L1955">
        <f>IF([2]Entry!$E$1958="","",[2]Entry!$E$1958)</f>
        <v/>
      </c>
      <c r="M1955">
        <f>IF([2]Entry!$G$1958="","",[2]Entry!$G$1958)</f>
        <v/>
      </c>
      <c r="N1955">
        <f>IF([2]Entry!$M$1958="","",[2]Entry!$M$1958)</f>
        <v/>
      </c>
      <c r="O1955">
        <f>IF([2]Entry!$N$1958="","",[2]Entry!$N$1958)</f>
        <v/>
      </c>
      <c r="P1955">
        <f>IF([2]Entry!$R$1958="","",[2]Entry!$R$1958)</f>
        <v/>
      </c>
    </row>
    <row r="1956">
      <c r="J1956">
        <f>IF([2]Entry!$C$1959="","",[2]Entry!$C$1959)</f>
        <v/>
      </c>
      <c r="K1956">
        <f>IF([2]Entry!$D$1959="","",[2]Entry!$D$1959)</f>
        <v/>
      </c>
      <c r="L1956">
        <f>IF([2]Entry!$E$1959="","",[2]Entry!$E$1959)</f>
        <v/>
      </c>
      <c r="M1956">
        <f>IF([2]Entry!$G$1959="","",[2]Entry!$G$1959)</f>
        <v/>
      </c>
      <c r="N1956">
        <f>IF([2]Entry!$M$1959="","",[2]Entry!$M$1959)</f>
        <v/>
      </c>
      <c r="O1956">
        <f>IF([2]Entry!$N$1959="","",[2]Entry!$N$1959)</f>
        <v/>
      </c>
      <c r="P1956">
        <f>IF([2]Entry!$R$1959="","",[2]Entry!$R$1959)</f>
        <v/>
      </c>
    </row>
    <row r="1957">
      <c r="J1957">
        <f>IF([2]Entry!$C$1960="","",[2]Entry!$C$1960)</f>
        <v/>
      </c>
      <c r="K1957">
        <f>IF([2]Entry!$D$1960="","",[2]Entry!$D$1960)</f>
        <v/>
      </c>
      <c r="L1957">
        <f>IF([2]Entry!$E$1960="","",[2]Entry!$E$1960)</f>
        <v/>
      </c>
      <c r="M1957">
        <f>IF([2]Entry!$G$1960="","",[2]Entry!$G$1960)</f>
        <v/>
      </c>
      <c r="N1957">
        <f>IF([2]Entry!$M$1960="","",[2]Entry!$M$1960)</f>
        <v/>
      </c>
      <c r="O1957">
        <f>IF([2]Entry!$N$1960="","",[2]Entry!$N$1960)</f>
        <v/>
      </c>
      <c r="P1957">
        <f>IF([2]Entry!$R$1960="","",[2]Entry!$R$1960)</f>
        <v/>
      </c>
    </row>
    <row r="1958">
      <c r="J1958">
        <f>IF([2]Entry!$C$1961="","",[2]Entry!$C$1961)</f>
        <v/>
      </c>
      <c r="K1958">
        <f>IF([2]Entry!$D$1961="","",[2]Entry!$D$1961)</f>
        <v/>
      </c>
      <c r="L1958">
        <f>IF([2]Entry!$E$1961="","",[2]Entry!$E$1961)</f>
        <v/>
      </c>
      <c r="M1958">
        <f>IF([2]Entry!$G$1961="","",[2]Entry!$G$1961)</f>
        <v/>
      </c>
      <c r="N1958">
        <f>IF([2]Entry!$M$1961="","",[2]Entry!$M$1961)</f>
        <v/>
      </c>
      <c r="O1958">
        <f>IF([2]Entry!$N$1961="","",[2]Entry!$N$1961)</f>
        <v/>
      </c>
      <c r="P1958">
        <f>IF([2]Entry!$R$1961="","",[2]Entry!$R$1961)</f>
        <v/>
      </c>
    </row>
    <row r="1959">
      <c r="J1959">
        <f>IF([2]Entry!$C$1962="","",[2]Entry!$C$1962)</f>
        <v/>
      </c>
      <c r="K1959">
        <f>IF([2]Entry!$D$1962="","",[2]Entry!$D$1962)</f>
        <v/>
      </c>
      <c r="L1959">
        <f>IF([2]Entry!$E$1962="","",[2]Entry!$E$1962)</f>
        <v/>
      </c>
      <c r="M1959">
        <f>IF([2]Entry!$G$1962="","",[2]Entry!$G$1962)</f>
        <v/>
      </c>
      <c r="N1959">
        <f>IF([2]Entry!$M$1962="","",[2]Entry!$M$1962)</f>
        <v/>
      </c>
      <c r="O1959">
        <f>IF([2]Entry!$N$1962="","",[2]Entry!$N$1962)</f>
        <v/>
      </c>
      <c r="P1959">
        <f>IF([2]Entry!$R$1962="","",[2]Entry!$R$1962)</f>
        <v/>
      </c>
    </row>
    <row r="1960">
      <c r="J1960">
        <f>IF([2]Entry!$C$1963="","",[2]Entry!$C$1963)</f>
        <v/>
      </c>
      <c r="K1960">
        <f>IF([2]Entry!$D$1963="","",[2]Entry!$D$1963)</f>
        <v/>
      </c>
      <c r="L1960">
        <f>IF([2]Entry!$E$1963="","",[2]Entry!$E$1963)</f>
        <v/>
      </c>
      <c r="M1960">
        <f>IF([2]Entry!$G$1963="","",[2]Entry!$G$1963)</f>
        <v/>
      </c>
      <c r="N1960">
        <f>IF([2]Entry!$M$1963="","",[2]Entry!$M$1963)</f>
        <v/>
      </c>
      <c r="O1960">
        <f>IF([2]Entry!$N$1963="","",[2]Entry!$N$1963)</f>
        <v/>
      </c>
      <c r="P1960">
        <f>IF([2]Entry!$R$1963="","",[2]Entry!$R$1963)</f>
        <v/>
      </c>
    </row>
    <row r="1961">
      <c r="J1961">
        <f>IF([2]Entry!$C$1964="","",[2]Entry!$C$1964)</f>
        <v/>
      </c>
      <c r="K1961">
        <f>IF([2]Entry!$D$1964="","",[2]Entry!$D$1964)</f>
        <v/>
      </c>
      <c r="L1961">
        <f>IF([2]Entry!$E$1964="","",[2]Entry!$E$1964)</f>
        <v/>
      </c>
      <c r="M1961">
        <f>IF([2]Entry!$G$1964="","",[2]Entry!$G$1964)</f>
        <v/>
      </c>
      <c r="N1961">
        <f>IF([2]Entry!$M$1964="","",[2]Entry!$M$1964)</f>
        <v/>
      </c>
      <c r="O1961">
        <f>IF([2]Entry!$N$1964="","",[2]Entry!$N$1964)</f>
        <v/>
      </c>
      <c r="P1961">
        <f>IF([2]Entry!$R$1964="","",[2]Entry!$R$1964)</f>
        <v/>
      </c>
    </row>
    <row r="1962">
      <c r="J1962">
        <f>IF([2]Entry!$C$1965="","",[2]Entry!$C$1965)</f>
        <v/>
      </c>
      <c r="K1962">
        <f>IF([2]Entry!$D$1965="","",[2]Entry!$D$1965)</f>
        <v/>
      </c>
      <c r="L1962">
        <f>IF([2]Entry!$E$1965="","",[2]Entry!$E$1965)</f>
        <v/>
      </c>
      <c r="M1962">
        <f>IF([2]Entry!$G$1965="","",[2]Entry!$G$1965)</f>
        <v/>
      </c>
      <c r="N1962">
        <f>IF([2]Entry!$M$1965="","",[2]Entry!$M$1965)</f>
        <v/>
      </c>
      <c r="O1962">
        <f>IF([2]Entry!$N$1965="","",[2]Entry!$N$1965)</f>
        <v/>
      </c>
      <c r="P1962">
        <f>IF([2]Entry!$R$1965="","",[2]Entry!$R$1965)</f>
        <v/>
      </c>
    </row>
    <row r="1963">
      <c r="J1963">
        <f>IF([2]Entry!$C$1966="","",[2]Entry!$C$1966)</f>
        <v/>
      </c>
      <c r="K1963">
        <f>IF([2]Entry!$D$1966="","",[2]Entry!$D$1966)</f>
        <v/>
      </c>
      <c r="L1963">
        <f>IF([2]Entry!$E$1966="","",[2]Entry!$E$1966)</f>
        <v/>
      </c>
      <c r="M1963">
        <f>IF([2]Entry!$G$1966="","",[2]Entry!$G$1966)</f>
        <v/>
      </c>
      <c r="N1963">
        <f>IF([2]Entry!$M$1966="","",[2]Entry!$M$1966)</f>
        <v/>
      </c>
      <c r="O1963">
        <f>IF([2]Entry!$N$1966="","",[2]Entry!$N$1966)</f>
        <v/>
      </c>
      <c r="P1963">
        <f>IF([2]Entry!$R$1966="","",[2]Entry!$R$1966)</f>
        <v/>
      </c>
    </row>
    <row r="1964">
      <c r="J1964">
        <f>IF([2]Entry!$C$1967="","",[2]Entry!$C$1967)</f>
        <v/>
      </c>
      <c r="K1964">
        <f>IF([2]Entry!$D$1967="","",[2]Entry!$D$1967)</f>
        <v/>
      </c>
      <c r="L1964">
        <f>IF([2]Entry!$E$1967="","",[2]Entry!$E$1967)</f>
        <v/>
      </c>
      <c r="M1964">
        <f>IF([2]Entry!$G$1967="","",[2]Entry!$G$1967)</f>
        <v/>
      </c>
      <c r="N1964">
        <f>IF([2]Entry!$M$1967="","",[2]Entry!$M$1967)</f>
        <v/>
      </c>
      <c r="O1964">
        <f>IF([2]Entry!$N$1967="","",[2]Entry!$N$1967)</f>
        <v/>
      </c>
      <c r="P1964">
        <f>IF([2]Entry!$R$1967="","",[2]Entry!$R$1967)</f>
        <v/>
      </c>
    </row>
    <row r="1965">
      <c r="J1965">
        <f>IF([2]Entry!$C$1968="","",[2]Entry!$C$1968)</f>
        <v/>
      </c>
      <c r="K1965">
        <f>IF([2]Entry!$D$1968="","",[2]Entry!$D$1968)</f>
        <v/>
      </c>
      <c r="L1965">
        <f>IF([2]Entry!$E$1968="","",[2]Entry!$E$1968)</f>
        <v/>
      </c>
      <c r="M1965">
        <f>IF([2]Entry!$G$1968="","",[2]Entry!$G$1968)</f>
        <v/>
      </c>
      <c r="N1965">
        <f>IF([2]Entry!$M$1968="","",[2]Entry!$M$1968)</f>
        <v/>
      </c>
      <c r="O1965">
        <f>IF([2]Entry!$N$1968="","",[2]Entry!$N$1968)</f>
        <v/>
      </c>
      <c r="P1965">
        <f>IF([2]Entry!$R$1968="","",[2]Entry!$R$1968)</f>
        <v/>
      </c>
    </row>
    <row r="1966">
      <c r="J1966">
        <f>IF([2]Entry!$C$1969="","",[2]Entry!$C$1969)</f>
        <v/>
      </c>
      <c r="K1966">
        <f>IF([2]Entry!$D$1969="","",[2]Entry!$D$1969)</f>
        <v/>
      </c>
      <c r="L1966">
        <f>IF([2]Entry!$E$1969="","",[2]Entry!$E$1969)</f>
        <v/>
      </c>
      <c r="M1966">
        <f>IF([2]Entry!$G$1969="","",[2]Entry!$G$1969)</f>
        <v/>
      </c>
      <c r="N1966">
        <f>IF([2]Entry!$M$1969="","",[2]Entry!$M$1969)</f>
        <v/>
      </c>
      <c r="O1966">
        <f>IF([2]Entry!$N$1969="","",[2]Entry!$N$1969)</f>
        <v/>
      </c>
      <c r="P1966">
        <f>IF([2]Entry!$R$1969="","",[2]Entry!$R$1969)</f>
        <v/>
      </c>
    </row>
    <row r="1967">
      <c r="J1967">
        <f>IF([2]Entry!$C$1970="","",[2]Entry!$C$1970)</f>
        <v/>
      </c>
      <c r="K1967">
        <f>IF([2]Entry!$D$1970="","",[2]Entry!$D$1970)</f>
        <v/>
      </c>
      <c r="L1967">
        <f>IF([2]Entry!$E$1970="","",[2]Entry!$E$1970)</f>
        <v/>
      </c>
      <c r="M1967">
        <f>IF([2]Entry!$G$1970="","",[2]Entry!$G$1970)</f>
        <v/>
      </c>
      <c r="N1967">
        <f>IF([2]Entry!$M$1970="","",[2]Entry!$M$1970)</f>
        <v/>
      </c>
      <c r="O1967">
        <f>IF([2]Entry!$N$1970="","",[2]Entry!$N$1970)</f>
        <v/>
      </c>
      <c r="P1967">
        <f>IF([2]Entry!$R$1970="","",[2]Entry!$R$1970)</f>
        <v/>
      </c>
    </row>
    <row r="1968">
      <c r="J1968">
        <f>IF([2]Entry!$C$1971="","",[2]Entry!$C$1971)</f>
        <v/>
      </c>
      <c r="K1968">
        <f>IF([2]Entry!$D$1971="","",[2]Entry!$D$1971)</f>
        <v/>
      </c>
      <c r="L1968">
        <f>IF([2]Entry!$E$1971="","",[2]Entry!$E$1971)</f>
        <v/>
      </c>
      <c r="M1968">
        <f>IF([2]Entry!$G$1971="","",[2]Entry!$G$1971)</f>
        <v/>
      </c>
      <c r="N1968">
        <f>IF([2]Entry!$M$1971="","",[2]Entry!$M$1971)</f>
        <v/>
      </c>
      <c r="O1968">
        <f>IF([2]Entry!$N$1971="","",[2]Entry!$N$1971)</f>
        <v/>
      </c>
      <c r="P1968">
        <f>IF([2]Entry!$R$1971="","",[2]Entry!$R$1971)</f>
        <v/>
      </c>
    </row>
    <row r="1969">
      <c r="J1969">
        <f>IF([2]Entry!$C$1972="","",[2]Entry!$C$1972)</f>
        <v/>
      </c>
      <c r="K1969">
        <f>IF([2]Entry!$D$1972="","",[2]Entry!$D$1972)</f>
        <v/>
      </c>
      <c r="L1969">
        <f>IF([2]Entry!$E$1972="","",[2]Entry!$E$1972)</f>
        <v/>
      </c>
      <c r="M1969">
        <f>IF([2]Entry!$G$1972="","",[2]Entry!$G$1972)</f>
        <v/>
      </c>
      <c r="N1969">
        <f>IF([2]Entry!$M$1972="","",[2]Entry!$M$1972)</f>
        <v/>
      </c>
      <c r="O1969">
        <f>IF([2]Entry!$N$1972="","",[2]Entry!$N$1972)</f>
        <v/>
      </c>
      <c r="P1969">
        <f>IF([2]Entry!$R$1972="","",[2]Entry!$R$1972)</f>
        <v/>
      </c>
    </row>
    <row r="1970">
      <c r="J1970">
        <f>IF([2]Entry!$C$1973="","",[2]Entry!$C$1973)</f>
        <v/>
      </c>
      <c r="K1970">
        <f>IF([2]Entry!$D$1973="","",[2]Entry!$D$1973)</f>
        <v/>
      </c>
      <c r="L1970">
        <f>IF([2]Entry!$E$1973="","",[2]Entry!$E$1973)</f>
        <v/>
      </c>
      <c r="M1970">
        <f>IF([2]Entry!$G$1973="","",[2]Entry!$G$1973)</f>
        <v/>
      </c>
      <c r="N1970">
        <f>IF([2]Entry!$M$1973="","",[2]Entry!$M$1973)</f>
        <v/>
      </c>
      <c r="O1970">
        <f>IF([2]Entry!$N$1973="","",[2]Entry!$N$1973)</f>
        <v/>
      </c>
      <c r="P1970">
        <f>IF([2]Entry!$R$1973="","",[2]Entry!$R$1973)</f>
        <v/>
      </c>
    </row>
    <row r="1971">
      <c r="J1971">
        <f>IF([2]Entry!$C$1974="","",[2]Entry!$C$1974)</f>
        <v/>
      </c>
      <c r="K1971">
        <f>IF([2]Entry!$D$1974="","",[2]Entry!$D$1974)</f>
        <v/>
      </c>
      <c r="L1971">
        <f>IF([2]Entry!$E$1974="","",[2]Entry!$E$1974)</f>
        <v/>
      </c>
      <c r="M1971">
        <f>IF([2]Entry!$G$1974="","",[2]Entry!$G$1974)</f>
        <v/>
      </c>
      <c r="N1971">
        <f>IF([2]Entry!$M$1974="","",[2]Entry!$M$1974)</f>
        <v/>
      </c>
      <c r="O1971">
        <f>IF([2]Entry!$N$1974="","",[2]Entry!$N$1974)</f>
        <v/>
      </c>
      <c r="P1971">
        <f>IF([2]Entry!$R$1974="","",[2]Entry!$R$1974)</f>
        <v/>
      </c>
    </row>
    <row r="1972">
      <c r="J1972">
        <f>IF([2]Entry!$C$1975="","",[2]Entry!$C$1975)</f>
        <v/>
      </c>
      <c r="K1972">
        <f>IF([2]Entry!$D$1975="","",[2]Entry!$D$1975)</f>
        <v/>
      </c>
      <c r="L1972">
        <f>IF([2]Entry!$E$1975="","",[2]Entry!$E$1975)</f>
        <v/>
      </c>
      <c r="M1972">
        <f>IF([2]Entry!$G$1975="","",[2]Entry!$G$1975)</f>
        <v/>
      </c>
      <c r="N1972">
        <f>IF([2]Entry!$M$1975="","",[2]Entry!$M$1975)</f>
        <v/>
      </c>
      <c r="O1972">
        <f>IF([2]Entry!$N$1975="","",[2]Entry!$N$1975)</f>
        <v/>
      </c>
      <c r="P1972">
        <f>IF([2]Entry!$R$1975="","",[2]Entry!$R$1975)</f>
        <v/>
      </c>
    </row>
    <row r="1973">
      <c r="J1973">
        <f>IF([2]Entry!$C$1976="","",[2]Entry!$C$1976)</f>
        <v/>
      </c>
      <c r="K1973">
        <f>IF([2]Entry!$D$1976="","",[2]Entry!$D$1976)</f>
        <v/>
      </c>
      <c r="L1973">
        <f>IF([2]Entry!$E$1976="","",[2]Entry!$E$1976)</f>
        <v/>
      </c>
      <c r="M1973">
        <f>IF([2]Entry!$G$1976="","",[2]Entry!$G$1976)</f>
        <v/>
      </c>
      <c r="N1973">
        <f>IF([2]Entry!$M$1976="","",[2]Entry!$M$1976)</f>
        <v/>
      </c>
      <c r="O1973">
        <f>IF([2]Entry!$N$1976="","",[2]Entry!$N$1976)</f>
        <v/>
      </c>
      <c r="P1973">
        <f>IF([2]Entry!$R$1976="","",[2]Entry!$R$1976)</f>
        <v/>
      </c>
    </row>
    <row r="1974">
      <c r="J1974">
        <f>IF([2]Entry!$C$1977="","",[2]Entry!$C$1977)</f>
        <v/>
      </c>
      <c r="K1974">
        <f>IF([2]Entry!$D$1977="","",[2]Entry!$D$1977)</f>
        <v/>
      </c>
      <c r="L1974">
        <f>IF([2]Entry!$E$1977="","",[2]Entry!$E$1977)</f>
        <v/>
      </c>
      <c r="M1974">
        <f>IF([2]Entry!$G$1977="","",[2]Entry!$G$1977)</f>
        <v/>
      </c>
      <c r="N1974">
        <f>IF([2]Entry!$M$1977="","",[2]Entry!$M$1977)</f>
        <v/>
      </c>
      <c r="O1974">
        <f>IF([2]Entry!$N$1977="","",[2]Entry!$N$1977)</f>
        <v/>
      </c>
      <c r="P1974">
        <f>IF([2]Entry!$R$1977="","",[2]Entry!$R$1977)</f>
        <v/>
      </c>
    </row>
    <row r="1975">
      <c r="J1975">
        <f>IF([2]Entry!$C$1978="","",[2]Entry!$C$1978)</f>
        <v/>
      </c>
      <c r="K1975">
        <f>IF([2]Entry!$D$1978="","",[2]Entry!$D$1978)</f>
        <v/>
      </c>
      <c r="L1975">
        <f>IF([2]Entry!$E$1978="","",[2]Entry!$E$1978)</f>
        <v/>
      </c>
      <c r="M1975">
        <f>IF([2]Entry!$G$1978="","",[2]Entry!$G$1978)</f>
        <v/>
      </c>
      <c r="N1975">
        <f>IF([2]Entry!$M$1978="","",[2]Entry!$M$1978)</f>
        <v/>
      </c>
      <c r="O1975">
        <f>IF([2]Entry!$N$1978="","",[2]Entry!$N$1978)</f>
        <v/>
      </c>
      <c r="P1975">
        <f>IF([2]Entry!$R$1978="","",[2]Entry!$R$1978)</f>
        <v/>
      </c>
    </row>
    <row r="1976">
      <c r="J1976">
        <f>IF([2]Entry!$C$1979="","",[2]Entry!$C$1979)</f>
        <v/>
      </c>
      <c r="K1976">
        <f>IF([2]Entry!$D$1979="","",[2]Entry!$D$1979)</f>
        <v/>
      </c>
      <c r="L1976">
        <f>IF([2]Entry!$E$1979="","",[2]Entry!$E$1979)</f>
        <v/>
      </c>
      <c r="M1976">
        <f>IF([2]Entry!$G$1979="","",[2]Entry!$G$1979)</f>
        <v/>
      </c>
      <c r="N1976">
        <f>IF([2]Entry!$M$1979="","",[2]Entry!$M$1979)</f>
        <v/>
      </c>
      <c r="O1976">
        <f>IF([2]Entry!$N$1979="","",[2]Entry!$N$1979)</f>
        <v/>
      </c>
      <c r="P1976">
        <f>IF([2]Entry!$R$1979="","",[2]Entry!$R$1979)</f>
        <v/>
      </c>
    </row>
    <row r="1977">
      <c r="J1977">
        <f>IF([2]Entry!$C$1980="","",[2]Entry!$C$1980)</f>
        <v/>
      </c>
      <c r="K1977">
        <f>IF([2]Entry!$D$1980="","",[2]Entry!$D$1980)</f>
        <v/>
      </c>
      <c r="L1977">
        <f>IF([2]Entry!$E$1980="","",[2]Entry!$E$1980)</f>
        <v/>
      </c>
      <c r="M1977">
        <f>IF([2]Entry!$G$1980="","",[2]Entry!$G$1980)</f>
        <v/>
      </c>
      <c r="N1977">
        <f>IF([2]Entry!$M$1980="","",[2]Entry!$M$1980)</f>
        <v/>
      </c>
      <c r="O1977">
        <f>IF([2]Entry!$N$1980="","",[2]Entry!$N$1980)</f>
        <v/>
      </c>
      <c r="P1977">
        <f>IF([2]Entry!$R$1980="","",[2]Entry!$R$1980)</f>
        <v/>
      </c>
    </row>
    <row r="1978">
      <c r="J1978">
        <f>IF([2]Entry!$C$1981="","",[2]Entry!$C$1981)</f>
        <v/>
      </c>
      <c r="K1978">
        <f>IF([2]Entry!$D$1981="","",[2]Entry!$D$1981)</f>
        <v/>
      </c>
      <c r="L1978">
        <f>IF([2]Entry!$E$1981="","",[2]Entry!$E$1981)</f>
        <v/>
      </c>
      <c r="M1978">
        <f>IF([2]Entry!$G$1981="","",[2]Entry!$G$1981)</f>
        <v/>
      </c>
      <c r="N1978">
        <f>IF([2]Entry!$M$1981="","",[2]Entry!$M$1981)</f>
        <v/>
      </c>
      <c r="O1978">
        <f>IF([2]Entry!$N$1981="","",[2]Entry!$N$1981)</f>
        <v/>
      </c>
      <c r="P1978">
        <f>IF([2]Entry!$R$1981="","",[2]Entry!$R$1981)</f>
        <v/>
      </c>
    </row>
    <row r="1979">
      <c r="J1979">
        <f>IF([2]Entry!$C$1982="","",[2]Entry!$C$1982)</f>
        <v/>
      </c>
      <c r="K1979">
        <f>IF([2]Entry!$D$1982="","",[2]Entry!$D$1982)</f>
        <v/>
      </c>
      <c r="L1979">
        <f>IF([2]Entry!$E$1982="","",[2]Entry!$E$1982)</f>
        <v/>
      </c>
      <c r="M1979">
        <f>IF([2]Entry!$G$1982="","",[2]Entry!$G$1982)</f>
        <v/>
      </c>
      <c r="N1979">
        <f>IF([2]Entry!$M$1982="","",[2]Entry!$M$1982)</f>
        <v/>
      </c>
      <c r="O1979">
        <f>IF([2]Entry!$N$1982="","",[2]Entry!$N$1982)</f>
        <v/>
      </c>
      <c r="P1979">
        <f>IF([2]Entry!$R$1982="","",[2]Entry!$R$1982)</f>
        <v/>
      </c>
    </row>
    <row r="1980">
      <c r="J1980">
        <f>IF([2]Entry!$C$1983="","",[2]Entry!$C$1983)</f>
        <v/>
      </c>
      <c r="K1980">
        <f>IF([2]Entry!$D$1983="","",[2]Entry!$D$1983)</f>
        <v/>
      </c>
      <c r="L1980">
        <f>IF([2]Entry!$E$1983="","",[2]Entry!$E$1983)</f>
        <v/>
      </c>
      <c r="M1980">
        <f>IF([2]Entry!$G$1983="","",[2]Entry!$G$1983)</f>
        <v/>
      </c>
      <c r="N1980">
        <f>IF([2]Entry!$M$1983="","",[2]Entry!$M$1983)</f>
        <v/>
      </c>
      <c r="O1980">
        <f>IF([2]Entry!$N$1983="","",[2]Entry!$N$1983)</f>
        <v/>
      </c>
      <c r="P1980">
        <f>IF([2]Entry!$R$1983="","",[2]Entry!$R$1983)</f>
        <v/>
      </c>
    </row>
    <row r="1981">
      <c r="J1981">
        <f>IF([2]Entry!$C$1984="","",[2]Entry!$C$1984)</f>
        <v/>
      </c>
      <c r="K1981">
        <f>IF([2]Entry!$D$1984="","",[2]Entry!$D$1984)</f>
        <v/>
      </c>
      <c r="L1981">
        <f>IF([2]Entry!$E$1984="","",[2]Entry!$E$1984)</f>
        <v/>
      </c>
      <c r="M1981">
        <f>IF([2]Entry!$G$1984="","",[2]Entry!$G$1984)</f>
        <v/>
      </c>
      <c r="N1981">
        <f>IF([2]Entry!$M$1984="","",[2]Entry!$M$1984)</f>
        <v/>
      </c>
      <c r="O1981">
        <f>IF([2]Entry!$N$1984="","",[2]Entry!$N$1984)</f>
        <v/>
      </c>
      <c r="P1981">
        <f>IF([2]Entry!$R$1984="","",[2]Entry!$R$1984)</f>
        <v/>
      </c>
    </row>
    <row r="1982">
      <c r="J1982">
        <f>IF([2]Entry!$C$1985="","",[2]Entry!$C$1985)</f>
        <v/>
      </c>
      <c r="K1982">
        <f>IF([2]Entry!$D$1985="","",[2]Entry!$D$1985)</f>
        <v/>
      </c>
      <c r="L1982">
        <f>IF([2]Entry!$E$1985="","",[2]Entry!$E$1985)</f>
        <v/>
      </c>
      <c r="M1982">
        <f>IF([2]Entry!$G$1985="","",[2]Entry!$G$1985)</f>
        <v/>
      </c>
      <c r="N1982">
        <f>IF([2]Entry!$M$1985="","",[2]Entry!$M$1985)</f>
        <v/>
      </c>
      <c r="O1982">
        <f>IF([2]Entry!$N$1985="","",[2]Entry!$N$1985)</f>
        <v/>
      </c>
      <c r="P1982">
        <f>IF([2]Entry!$R$1985="","",[2]Entry!$R$1985)</f>
        <v/>
      </c>
    </row>
    <row r="1983">
      <c r="J1983">
        <f>IF([2]Entry!$C$1986="","",[2]Entry!$C$1986)</f>
        <v/>
      </c>
      <c r="K1983">
        <f>IF([2]Entry!$D$1986="","",[2]Entry!$D$1986)</f>
        <v/>
      </c>
      <c r="L1983">
        <f>IF([2]Entry!$E$1986="","",[2]Entry!$E$1986)</f>
        <v/>
      </c>
      <c r="M1983">
        <f>IF([2]Entry!$G$1986="","",[2]Entry!$G$1986)</f>
        <v/>
      </c>
      <c r="N1983">
        <f>IF([2]Entry!$M$1986="","",[2]Entry!$M$1986)</f>
        <v/>
      </c>
      <c r="O1983">
        <f>IF([2]Entry!$N$1986="","",[2]Entry!$N$1986)</f>
        <v/>
      </c>
      <c r="P1983">
        <f>IF([2]Entry!$R$1986="","",[2]Entry!$R$1986)</f>
        <v/>
      </c>
    </row>
    <row r="1984">
      <c r="J1984">
        <f>IF([2]Entry!$C$1987="","",[2]Entry!$C$1987)</f>
        <v/>
      </c>
      <c r="K1984">
        <f>IF([2]Entry!$D$1987="","",[2]Entry!$D$1987)</f>
        <v/>
      </c>
      <c r="L1984">
        <f>IF([2]Entry!$E$1987="","",[2]Entry!$E$1987)</f>
        <v/>
      </c>
      <c r="M1984">
        <f>IF([2]Entry!$G$1987="","",[2]Entry!$G$1987)</f>
        <v/>
      </c>
      <c r="N1984">
        <f>IF([2]Entry!$M$1987="","",[2]Entry!$M$1987)</f>
        <v/>
      </c>
      <c r="O1984">
        <f>IF([2]Entry!$N$1987="","",[2]Entry!$N$1987)</f>
        <v/>
      </c>
      <c r="P1984">
        <f>IF([2]Entry!$R$1987="","",[2]Entry!$R$1987)</f>
        <v/>
      </c>
    </row>
    <row r="1985">
      <c r="J1985">
        <f>IF([2]Entry!$C$1988="","",[2]Entry!$C$1988)</f>
        <v/>
      </c>
      <c r="K1985">
        <f>IF([2]Entry!$D$1988="","",[2]Entry!$D$1988)</f>
        <v/>
      </c>
      <c r="L1985">
        <f>IF([2]Entry!$E$1988="","",[2]Entry!$E$1988)</f>
        <v/>
      </c>
      <c r="M1985">
        <f>IF([2]Entry!$G$1988="","",[2]Entry!$G$1988)</f>
        <v/>
      </c>
      <c r="N1985">
        <f>IF([2]Entry!$M$1988="","",[2]Entry!$M$1988)</f>
        <v/>
      </c>
      <c r="O1985">
        <f>IF([2]Entry!$N$1988="","",[2]Entry!$N$1988)</f>
        <v/>
      </c>
      <c r="P1985">
        <f>IF([2]Entry!$R$1988="","",[2]Entry!$R$1988)</f>
        <v/>
      </c>
    </row>
    <row r="1986">
      <c r="J1986">
        <f>IF([2]Entry!$C$1989="","",[2]Entry!$C$1989)</f>
        <v/>
      </c>
      <c r="K1986">
        <f>IF([2]Entry!$D$1989="","",[2]Entry!$D$1989)</f>
        <v/>
      </c>
      <c r="L1986">
        <f>IF([2]Entry!$E$1989="","",[2]Entry!$E$1989)</f>
        <v/>
      </c>
      <c r="M1986">
        <f>IF([2]Entry!$G$1989="","",[2]Entry!$G$1989)</f>
        <v/>
      </c>
      <c r="N1986">
        <f>IF([2]Entry!$M$1989="","",[2]Entry!$M$1989)</f>
        <v/>
      </c>
      <c r="O1986">
        <f>IF([2]Entry!$N$1989="","",[2]Entry!$N$1989)</f>
        <v/>
      </c>
      <c r="P1986">
        <f>IF([2]Entry!$R$1989="","",[2]Entry!$R$1989)</f>
        <v/>
      </c>
    </row>
    <row r="1987">
      <c r="J1987">
        <f>IF([2]Entry!$C$1990="","",[2]Entry!$C$1990)</f>
        <v/>
      </c>
      <c r="K1987">
        <f>IF([2]Entry!$D$1990="","",[2]Entry!$D$1990)</f>
        <v/>
      </c>
      <c r="L1987">
        <f>IF([2]Entry!$E$1990="","",[2]Entry!$E$1990)</f>
        <v/>
      </c>
      <c r="M1987">
        <f>IF([2]Entry!$G$1990="","",[2]Entry!$G$1990)</f>
        <v/>
      </c>
      <c r="N1987">
        <f>IF([2]Entry!$M$1990="","",[2]Entry!$M$1990)</f>
        <v/>
      </c>
      <c r="O1987">
        <f>IF([2]Entry!$N$1990="","",[2]Entry!$N$1990)</f>
        <v/>
      </c>
      <c r="P1987">
        <f>IF([2]Entry!$R$1990="","",[2]Entry!$R$1990)</f>
        <v/>
      </c>
    </row>
    <row r="1988">
      <c r="J1988">
        <f>IF([2]Entry!$C$1991="","",[2]Entry!$C$1991)</f>
        <v/>
      </c>
      <c r="K1988">
        <f>IF([2]Entry!$D$1991="","",[2]Entry!$D$1991)</f>
        <v/>
      </c>
      <c r="L1988">
        <f>IF([2]Entry!$E$1991="","",[2]Entry!$E$1991)</f>
        <v/>
      </c>
      <c r="M1988">
        <f>IF([2]Entry!$G$1991="","",[2]Entry!$G$1991)</f>
        <v/>
      </c>
      <c r="N1988">
        <f>IF([2]Entry!$M$1991="","",[2]Entry!$M$1991)</f>
        <v/>
      </c>
      <c r="O1988">
        <f>IF([2]Entry!$N$1991="","",[2]Entry!$N$1991)</f>
        <v/>
      </c>
      <c r="P1988">
        <f>IF([2]Entry!$R$1991="","",[2]Entry!$R$1991)</f>
        <v/>
      </c>
    </row>
    <row r="1989">
      <c r="J1989">
        <f>IF([2]Entry!$C$1992="","",[2]Entry!$C$1992)</f>
        <v/>
      </c>
      <c r="K1989">
        <f>IF([2]Entry!$D$1992="","",[2]Entry!$D$1992)</f>
        <v/>
      </c>
      <c r="L1989">
        <f>IF([2]Entry!$E$1992="","",[2]Entry!$E$1992)</f>
        <v/>
      </c>
      <c r="M1989">
        <f>IF([2]Entry!$G$1992="","",[2]Entry!$G$1992)</f>
        <v/>
      </c>
      <c r="N1989">
        <f>IF([2]Entry!$M$1992="","",[2]Entry!$M$1992)</f>
        <v/>
      </c>
      <c r="O1989">
        <f>IF([2]Entry!$N$1992="","",[2]Entry!$N$1992)</f>
        <v/>
      </c>
      <c r="P1989">
        <f>IF([2]Entry!$R$1992="","",[2]Entry!$R$1992)</f>
        <v/>
      </c>
    </row>
    <row r="1990">
      <c r="J1990">
        <f>IF([2]Entry!$C$1993="","",[2]Entry!$C$1993)</f>
        <v/>
      </c>
      <c r="K1990">
        <f>IF([2]Entry!$D$1993="","",[2]Entry!$D$1993)</f>
        <v/>
      </c>
      <c r="L1990">
        <f>IF([2]Entry!$E$1993="","",[2]Entry!$E$1993)</f>
        <v/>
      </c>
      <c r="M1990">
        <f>IF([2]Entry!$G$1993="","",[2]Entry!$G$1993)</f>
        <v/>
      </c>
      <c r="N1990">
        <f>IF([2]Entry!$M$1993="","",[2]Entry!$M$1993)</f>
        <v/>
      </c>
      <c r="O1990">
        <f>IF([2]Entry!$N$1993="","",[2]Entry!$N$1993)</f>
        <v/>
      </c>
      <c r="P1990">
        <f>IF([2]Entry!$R$1993="","",[2]Entry!$R$1993)</f>
        <v/>
      </c>
    </row>
    <row r="1991">
      <c r="J1991">
        <f>IF([2]Entry!$C$1994="","",[2]Entry!$C$1994)</f>
        <v/>
      </c>
      <c r="K1991">
        <f>IF([2]Entry!$D$1994="","",[2]Entry!$D$1994)</f>
        <v/>
      </c>
      <c r="L1991">
        <f>IF([2]Entry!$E$1994="","",[2]Entry!$E$1994)</f>
        <v/>
      </c>
      <c r="M1991">
        <f>IF([2]Entry!$G$1994="","",[2]Entry!$G$1994)</f>
        <v/>
      </c>
      <c r="N1991">
        <f>IF([2]Entry!$M$1994="","",[2]Entry!$M$1994)</f>
        <v/>
      </c>
      <c r="O1991">
        <f>IF([2]Entry!$N$1994="","",[2]Entry!$N$1994)</f>
        <v/>
      </c>
      <c r="P1991">
        <f>IF([2]Entry!$R$1994="","",[2]Entry!$R$1994)</f>
        <v/>
      </c>
    </row>
    <row r="1992">
      <c r="J1992">
        <f>IF([2]Entry!$C$1995="","",[2]Entry!$C$1995)</f>
        <v/>
      </c>
      <c r="K1992">
        <f>IF([2]Entry!$D$1995="","",[2]Entry!$D$1995)</f>
        <v/>
      </c>
      <c r="L1992">
        <f>IF([2]Entry!$E$1995="","",[2]Entry!$E$1995)</f>
        <v/>
      </c>
      <c r="M1992">
        <f>IF([2]Entry!$G$1995="","",[2]Entry!$G$1995)</f>
        <v/>
      </c>
      <c r="N1992">
        <f>IF([2]Entry!$M$1995="","",[2]Entry!$M$1995)</f>
        <v/>
      </c>
      <c r="O1992">
        <f>IF([2]Entry!$N$1995="","",[2]Entry!$N$1995)</f>
        <v/>
      </c>
      <c r="P1992">
        <f>IF([2]Entry!$R$1995="","",[2]Entry!$R$1995)</f>
        <v/>
      </c>
    </row>
    <row r="1993">
      <c r="J1993">
        <f>IF([2]Entry!$C$1996="","",[2]Entry!$C$1996)</f>
        <v/>
      </c>
      <c r="K1993">
        <f>IF([2]Entry!$D$1996="","",[2]Entry!$D$1996)</f>
        <v/>
      </c>
      <c r="L1993">
        <f>IF([2]Entry!$E$1996="","",[2]Entry!$E$1996)</f>
        <v/>
      </c>
      <c r="M1993">
        <f>IF([2]Entry!$G$1996="","",[2]Entry!$G$1996)</f>
        <v/>
      </c>
      <c r="N1993">
        <f>IF([2]Entry!$M$1996="","",[2]Entry!$M$1996)</f>
        <v/>
      </c>
      <c r="O1993">
        <f>IF([2]Entry!$N$1996="","",[2]Entry!$N$1996)</f>
        <v/>
      </c>
      <c r="P1993">
        <f>IF([2]Entry!$R$1996="","",[2]Entry!$R$1996)</f>
        <v/>
      </c>
    </row>
    <row r="1994">
      <c r="J1994">
        <f>IF([2]Entry!$C$1997="","",[2]Entry!$C$1997)</f>
        <v/>
      </c>
      <c r="K1994">
        <f>IF([2]Entry!$D$1997="","",[2]Entry!$D$1997)</f>
        <v/>
      </c>
      <c r="L1994">
        <f>IF([2]Entry!$E$1997="","",[2]Entry!$E$1997)</f>
        <v/>
      </c>
      <c r="M1994">
        <f>IF([2]Entry!$G$1997="","",[2]Entry!$G$1997)</f>
        <v/>
      </c>
      <c r="N1994">
        <f>IF([2]Entry!$M$1997="","",[2]Entry!$M$1997)</f>
        <v/>
      </c>
      <c r="O1994">
        <f>IF([2]Entry!$N$1997="","",[2]Entry!$N$1997)</f>
        <v/>
      </c>
      <c r="P1994">
        <f>IF([2]Entry!$R$1997="","",[2]Entry!$R$1997)</f>
        <v/>
      </c>
    </row>
    <row r="1995">
      <c r="J1995">
        <f>IF([2]Entry!$C$1998="","",[2]Entry!$C$1998)</f>
        <v/>
      </c>
      <c r="K1995">
        <f>IF([2]Entry!$D$1998="","",[2]Entry!$D$1998)</f>
        <v/>
      </c>
      <c r="L1995">
        <f>IF([2]Entry!$E$1998="","",[2]Entry!$E$1998)</f>
        <v/>
      </c>
      <c r="M1995">
        <f>IF([2]Entry!$G$1998="","",[2]Entry!$G$1998)</f>
        <v/>
      </c>
      <c r="N1995">
        <f>IF([2]Entry!$M$1998="","",[2]Entry!$M$1998)</f>
        <v/>
      </c>
      <c r="O1995">
        <f>IF([2]Entry!$N$1998="","",[2]Entry!$N$1998)</f>
        <v/>
      </c>
      <c r="P1995">
        <f>IF([2]Entry!$R$1998="","",[2]Entry!$R$1998)</f>
        <v/>
      </c>
    </row>
    <row r="1996">
      <c r="J1996">
        <f>IF([2]Entry!$C$1999="","",[2]Entry!$C$1999)</f>
        <v/>
      </c>
      <c r="K1996">
        <f>IF([2]Entry!$D$1999="","",[2]Entry!$D$1999)</f>
        <v/>
      </c>
      <c r="L1996">
        <f>IF([2]Entry!$E$1999="","",[2]Entry!$E$1999)</f>
        <v/>
      </c>
      <c r="M1996">
        <f>IF([2]Entry!$G$1999="","",[2]Entry!$G$1999)</f>
        <v/>
      </c>
      <c r="N1996">
        <f>IF([2]Entry!$M$1999="","",[2]Entry!$M$1999)</f>
        <v/>
      </c>
      <c r="O1996">
        <f>IF([2]Entry!$N$1999="","",[2]Entry!$N$1999)</f>
        <v/>
      </c>
      <c r="P1996">
        <f>IF([2]Entry!$R$1999="","",[2]Entry!$R$1999)</f>
        <v/>
      </c>
    </row>
    <row r="1997">
      <c r="J1997">
        <f>IF([2]Entry!$C$2000="","",[2]Entry!$C$2000)</f>
        <v/>
      </c>
      <c r="K1997">
        <f>IF([2]Entry!$D$2000="","",[2]Entry!$D$2000)</f>
        <v/>
      </c>
      <c r="L1997">
        <f>IF([2]Entry!$E$2000="","",[2]Entry!$E$2000)</f>
        <v/>
      </c>
      <c r="M1997">
        <f>IF([2]Entry!$G$2000="","",[2]Entry!$G$2000)</f>
        <v/>
      </c>
      <c r="N1997">
        <f>IF([2]Entry!$M$2000="","",[2]Entry!$M$2000)</f>
        <v/>
      </c>
      <c r="O1997">
        <f>IF([2]Entry!$N$2000="","",[2]Entry!$N$2000)</f>
        <v/>
      </c>
      <c r="P1997">
        <f>IF([2]Entry!$R$2000="","",[2]Entry!$R$2000)</f>
        <v/>
      </c>
    </row>
    <row r="1998">
      <c r="J1998">
        <f>IF([2]Entry!$C$2001="","",[2]Entry!$C$2001)</f>
        <v/>
      </c>
      <c r="K1998">
        <f>IF([2]Entry!$D$2001="","",[2]Entry!$D$2001)</f>
        <v/>
      </c>
      <c r="L1998">
        <f>IF([2]Entry!$E$2001="","",[2]Entry!$E$2001)</f>
        <v/>
      </c>
      <c r="M1998">
        <f>IF([2]Entry!$G$2001="","",[2]Entry!$G$2001)</f>
        <v/>
      </c>
      <c r="N1998">
        <f>IF([2]Entry!$M$2001="","",[2]Entry!$M$2001)</f>
        <v/>
      </c>
      <c r="O1998">
        <f>IF([2]Entry!$N$2001="","",[2]Entry!$N$2001)</f>
        <v/>
      </c>
      <c r="P1998">
        <f>IF([2]Entry!$R$2001="","",[2]Entry!$R$2001)</f>
        <v/>
      </c>
    </row>
    <row r="1999">
      <c r="J1999">
        <f>IF([2]Entry!$C$2002="","",[2]Entry!$C$2002)</f>
        <v/>
      </c>
      <c r="K1999">
        <f>IF([2]Entry!$D$2002="","",[2]Entry!$D$2002)</f>
        <v/>
      </c>
      <c r="L1999">
        <f>IF([2]Entry!$E$2002="","",[2]Entry!$E$2002)</f>
        <v/>
      </c>
      <c r="M1999">
        <f>IF([2]Entry!$G$2002="","",[2]Entry!$G$2002)</f>
        <v/>
      </c>
      <c r="N1999">
        <f>IF([2]Entry!$M$2002="","",[2]Entry!$M$2002)</f>
        <v/>
      </c>
      <c r="O1999">
        <f>IF([2]Entry!$N$2002="","",[2]Entry!$N$2002)</f>
        <v/>
      </c>
      <c r="P1999">
        <f>IF([2]Entry!$R$2002="","",[2]Entry!$R$2002)</f>
        <v/>
      </c>
    </row>
    <row r="2000">
      <c r="J2000">
        <f>IF([2]Entry!$C$2003="","",[2]Entry!$C$2003)</f>
        <v/>
      </c>
      <c r="K2000">
        <f>IF([2]Entry!$D$2003="","",[2]Entry!$D$2003)</f>
        <v/>
      </c>
      <c r="L2000">
        <f>IF([2]Entry!$E$2003="","",[2]Entry!$E$2003)</f>
        <v/>
      </c>
      <c r="M2000">
        <f>IF([2]Entry!$G$2003="","",[2]Entry!$G$2003)</f>
        <v/>
      </c>
      <c r="N2000">
        <f>IF([2]Entry!$M$2003="","",[2]Entry!$M$2003)</f>
        <v/>
      </c>
      <c r="O2000">
        <f>IF([2]Entry!$N$2003="","",[2]Entry!$N$2003)</f>
        <v/>
      </c>
      <c r="P2000">
        <f>IF([2]Entry!$R$2003="","",[2]Entry!$R$2003)</f>
        <v/>
      </c>
    </row>
    <row r="2001">
      <c r="J2001">
        <f>IF([2]Entry!$C$2004="","",[2]Entry!$C$2004)</f>
        <v/>
      </c>
      <c r="K2001">
        <f>IF([2]Entry!$D$2004="","",[2]Entry!$D$2004)</f>
        <v/>
      </c>
      <c r="L2001">
        <f>IF([2]Entry!$E$2004="","",[2]Entry!$E$2004)</f>
        <v/>
      </c>
      <c r="M2001">
        <f>IF([2]Entry!$G$2004="","",[2]Entry!$G$2004)</f>
        <v/>
      </c>
      <c r="N2001">
        <f>IF([2]Entry!$M$2004="","",[2]Entry!$M$2004)</f>
        <v/>
      </c>
      <c r="O2001">
        <f>IF([2]Entry!$N$2004="","",[2]Entry!$N$2004)</f>
        <v/>
      </c>
      <c r="P2001">
        <f>IF([2]Entry!$R$2004="","",[2]Entry!$R$2004)</f>
        <v/>
      </c>
    </row>
    <row r="2002">
      <c r="J2002">
        <f>IF([2]Entry!$C$2005="","",[2]Entry!$C$2005)</f>
        <v/>
      </c>
      <c r="K2002">
        <f>IF([2]Entry!$D$2005="","",[2]Entry!$D$2005)</f>
        <v/>
      </c>
      <c r="L2002">
        <f>IF([2]Entry!$E$2005="","",[2]Entry!$E$2005)</f>
        <v/>
      </c>
      <c r="M2002">
        <f>IF([2]Entry!$G$2005="","",[2]Entry!$G$2005)</f>
        <v/>
      </c>
      <c r="N2002">
        <f>IF([2]Entry!$M$2005="","",[2]Entry!$M$2005)</f>
        <v/>
      </c>
      <c r="O2002">
        <f>IF([2]Entry!$N$2005="","",[2]Entry!$N$2005)</f>
        <v/>
      </c>
      <c r="P2002">
        <f>IF([2]Entry!$R$2005="","",[2]Entry!$R$2005)</f>
        <v/>
      </c>
    </row>
    <row r="2003">
      <c r="J2003">
        <f>IF([2]Entry!$C$2006="","",[2]Entry!$C$2006)</f>
        <v/>
      </c>
      <c r="K2003">
        <f>IF([2]Entry!$D$2006="","",[2]Entry!$D$2006)</f>
        <v/>
      </c>
      <c r="L2003">
        <f>IF([2]Entry!$E$2006="","",[2]Entry!$E$2006)</f>
        <v/>
      </c>
      <c r="M2003">
        <f>IF([2]Entry!$G$2006="","",[2]Entry!$G$2006)</f>
        <v/>
      </c>
      <c r="N2003">
        <f>IF([2]Entry!$M$2006="","",[2]Entry!$M$2006)</f>
        <v/>
      </c>
      <c r="O2003">
        <f>IF([2]Entry!$N$2006="","",[2]Entry!$N$2006)</f>
        <v/>
      </c>
      <c r="P2003">
        <f>IF([2]Entry!$R$2006="","",[2]Entry!$R$2006)</f>
        <v/>
      </c>
    </row>
    <row r="2004">
      <c r="J2004">
        <f>IF([2]Entry!$C$2007="","",[2]Entry!$C$2007)</f>
        <v/>
      </c>
      <c r="K2004">
        <f>IF([2]Entry!$D$2007="","",[2]Entry!$D$2007)</f>
        <v/>
      </c>
      <c r="L2004">
        <f>IF([2]Entry!$E$2007="","",[2]Entry!$E$2007)</f>
        <v/>
      </c>
      <c r="M2004">
        <f>IF([2]Entry!$G$2007="","",[2]Entry!$G$2007)</f>
        <v/>
      </c>
      <c r="N2004">
        <f>IF([2]Entry!$M$2007="","",[2]Entry!$M$2007)</f>
        <v/>
      </c>
      <c r="O2004">
        <f>IF([2]Entry!$N$2007="","",[2]Entry!$N$2007)</f>
        <v/>
      </c>
      <c r="P2004">
        <f>IF([2]Entry!$R$2007="","",[2]Entry!$R$2007)</f>
        <v/>
      </c>
    </row>
    <row r="2005">
      <c r="J2005">
        <f>IF([2]Entry!$C$2008="","",[2]Entry!$C$2008)</f>
        <v/>
      </c>
      <c r="K2005">
        <f>IF([2]Entry!$D$2008="","",[2]Entry!$D$2008)</f>
        <v/>
      </c>
      <c r="L2005">
        <f>IF([2]Entry!$E$2008="","",[2]Entry!$E$2008)</f>
        <v/>
      </c>
      <c r="M2005">
        <f>IF([2]Entry!$G$2008="","",[2]Entry!$G$2008)</f>
        <v/>
      </c>
      <c r="N2005">
        <f>IF([2]Entry!$M$2008="","",[2]Entry!$M$2008)</f>
        <v/>
      </c>
      <c r="O2005">
        <f>IF([2]Entry!$N$2008="","",[2]Entry!$N$2008)</f>
        <v/>
      </c>
      <c r="P2005">
        <f>IF([2]Entry!$R$2008="","",[2]Entry!$R$2008)</f>
        <v/>
      </c>
    </row>
  </sheetData>
  <mergeCells count="3">
    <mergeCell ref="A3:R3"/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0A4AE"/>
    <outlinePr summaryBelow="1" summaryRight="1"/>
    <pageSetUpPr/>
  </sheetPr>
  <dimension ref="A1:AD2005"/>
  <sheetViews>
    <sheetView showGridLines="0" rightToLeft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6" customWidth="1" min="3" max="3"/>
    <col width="15" customWidth="1" min="4" max="4"/>
    <col width="12" customWidth="1" min="5" max="5"/>
    <col width="7" customWidth="1" min="6" max="6"/>
    <col width="14" customWidth="1" min="7" max="7"/>
    <col width="9" customWidth="1" min="8" max="8"/>
    <col width="11" customWidth="1" min="9" max="9"/>
    <col width="14" customWidth="1" min="10" max="10"/>
    <col width="9" customWidth="1" min="11" max="11"/>
    <col width="22" customWidth="1" min="12" max="12"/>
    <col width="9" customWidth="1" min="14" max="14"/>
    <col width="12" customWidth="1" min="15" max="15"/>
    <col width="18" customWidth="1" min="16" max="16"/>
    <col width="12" customWidth="1" min="17" max="17"/>
    <col width="6" customWidth="1" min="18" max="18"/>
    <col width="15" customWidth="1" min="19" max="19"/>
    <col width="13" customWidth="1" min="20" max="20"/>
    <col width="13" customWidth="1" min="21" max="21"/>
    <col width="24" customWidth="1" min="22" max="22"/>
    <col width="24" customWidth="1" min="23" max="23"/>
    <col width="5" customWidth="1" min="27" max="27"/>
    <col width="6" customWidth="1" min="28" max="28"/>
    <col width="9" customWidth="1" min="29" max="29"/>
  </cols>
  <sheetData>
    <row r="1" ht="26" customHeight="1">
      <c r="A1" s="1" t="inlineStr">
        <is>
          <t>مازندشت — سورتینگ و بسته‌بندی مرکبات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14" customHeight="1">
      <c r="A2" s="2" t="inlineStr">
        <is>
          <t>باغدشت، بخش مرکزی، شهرستان قائم‌شهر، استان مازندران، ایران     |     MAZANDASHT · CITRUS SORTING &amp; PACKING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>
      <c r="A3" s="41" t="inlineStr">
        <is>
          <t>برگه فنی — موتور دفتر سبد: نرمال‌سازی تاریخ، کلید ترتیبی (تاریخ+ساعت)، رتبه هر رویداد در حساب و پک فروشندگان. فرمول‌ها را تغییر ندهید.</t>
        </is>
      </c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</row>
    <row r="5">
      <c r="A5" s="42" t="inlineStr">
        <is>
          <t>پک·flg</t>
        </is>
      </c>
      <c r="B5" s="42" t="inlineStr">
        <is>
          <t>پک·cum</t>
        </is>
      </c>
      <c r="C5" s="42" t="inlineStr">
        <is>
          <t>پک·کد</t>
        </is>
      </c>
      <c r="D5" s="40" t="inlineStr">
        <is>
          <t>A·رتبه‌کلید</t>
        </is>
      </c>
      <c r="E5" s="40" t="inlineStr">
        <is>
          <t>A·تاریخ</t>
        </is>
      </c>
      <c r="F5" s="40" t="inlineStr">
        <is>
          <t>A·ساعت</t>
        </is>
      </c>
      <c r="G5" s="40" t="inlineStr">
        <is>
          <t>A·نوع</t>
        </is>
      </c>
      <c r="H5" s="40" t="inlineStr">
        <is>
          <t>A·تعداد</t>
        </is>
      </c>
      <c r="I5" s="40" t="inlineStr">
        <is>
          <t>A·فی</t>
        </is>
      </c>
      <c r="J5" s="40" t="inlineStr">
        <is>
          <t>A·مبلغ</t>
        </is>
      </c>
      <c r="K5" s="40" t="inlineStr">
        <is>
          <t>A·سند</t>
        </is>
      </c>
      <c r="L5" s="40" t="inlineStr">
        <is>
          <t>A·توضیح</t>
        </is>
      </c>
      <c r="N5" s="43" t="inlineStr">
        <is>
          <t>B·طرف</t>
        </is>
      </c>
      <c r="O5" s="43" t="inlineStr">
        <is>
          <t>B·تاریخ</t>
        </is>
      </c>
      <c r="P5" s="43" t="inlineStr">
        <is>
          <t>B·کلید</t>
        </is>
      </c>
      <c r="Q5" s="43" t="inlineStr">
        <is>
          <t>B·رتبه</t>
        </is>
      </c>
      <c r="R5" s="43" t="inlineStr">
        <is>
          <t>B·رتبه‌کلید</t>
        </is>
      </c>
      <c r="S5" s="43" t="inlineStr">
        <is>
          <t>B·واریز</t>
        </is>
      </c>
      <c r="T5" s="43" t="inlineStr">
        <is>
          <t>B·برداشت</t>
        </is>
      </c>
      <c r="U5" s="43" t="inlineStr">
        <is>
          <t>B·بانک</t>
        </is>
      </c>
      <c r="V5" s="43" t="inlineStr">
        <is>
          <t>B·توضیح</t>
        </is>
      </c>
    </row>
    <row r="6">
      <c r="A6">
        <f>IF(OR(Entry!$B9="",Entry!$E9="",$E6="نامعتبر"),"",Entry!$E9)</f>
        <v/>
      </c>
      <c r="B6">
        <f>IF($A6="","",LEFT($E6,4)&amp;MID($E6,6,2)&amp;RIGHT($E6,2)&amp;$F6&amp;"|"&amp;"1"&amp;RIGHT("00000"&amp;1,5))</f>
        <v/>
      </c>
      <c r="C6">
        <f>IF($B6="","",COUNTIFS($A$6:$A$1005,$A6,$B$6:$B$1005,"&lt;"&amp;$B6)+COUNTIFS($N$6:$N$2005,$A6,$P$6:$P$2005,"&lt;"&amp;$B6)+1)</f>
        <v/>
      </c>
      <c r="D6">
        <f>IF($C6="","",$A6&amp;"|"&amp;RIGHT("000000"&amp;$C6,6))</f>
        <v/>
      </c>
      <c r="E6">
        <f>IF(Entry!$B9="","",IF(ISNUMBER(Entry!$B9),IF(AND(Entry!$B9&gt;=10000101,Entry!$B9&lt;=99991231),INT(Entry!$B9/10000)&amp;"/"&amp;RIGHT("00"&amp;INT(MOD(Entry!$B9,10000)/100),2)&amp;"/"&amp;RIGHT("00"&amp;MOD(Entry!$B9,100),2),"نامعتبر"),IF(LEN(Entry!$B9)=10,Entry!$B9,"نامعتبر")))</f>
        <v/>
      </c>
      <c r="F6">
        <f>IF(Entry!$B9="","",IF(Entry!$C9="","0000",IF(AND(ISNUMBER(Entry!$C9),Entry!$C9&gt;=0,Entry!$C9&lt;1),RIGHT("00"&amp;HOUR(Entry!$C9),2)&amp;RIGHT("00"&amp;MINUTE(Entry!$C9),2),IFERROR(RIGHT("00"&amp;VALUE(LEFT(Entry!$C9,FIND(":",Entry!$C9)-1)),2)&amp;RIGHT("00"&amp;VALUE(MID(Entry!$C9,FIND(":",Entry!$C9)+1,2)),2),"0000"))))</f>
        <v/>
      </c>
      <c r="G6">
        <f>IF($A6="","",Entry!$G9)</f>
        <v/>
      </c>
      <c r="H6">
        <f>IF($A6="","",IF(Entry!$H9="",0,Entry!$H9))</f>
        <v/>
      </c>
      <c r="I6">
        <f>IF($A6="","",IF(Entry!$I9="",0,Entry!$I9))</f>
        <v/>
      </c>
      <c r="J6">
        <f>IF($A6="","",ROUND($H6*$I6,0))</f>
        <v/>
      </c>
      <c r="K6">
        <f>IF($A6="","",Entry!$D9)</f>
        <v/>
      </c>
      <c r="L6">
        <f>IF($A6="","",Entry!$L9)</f>
        <v/>
      </c>
      <c r="N6">
        <f>IF(OR(Sync!$M6="",$Q6="",$Q6="نامعتبر"),"",Sync!$M6)</f>
        <v/>
      </c>
      <c r="O6">
        <f>IF($N6="","",$Q6)</f>
        <v/>
      </c>
      <c r="P6">
        <f>IF($N6="","",LEFT($Q6,4)&amp;MID($Q6,6,2)&amp;RIGHT($Q6,2)&amp;IF(Sync!$K6="","0000",IF(AND(ISNUMBER(Sync!$K6),Sync!$K6&gt;=0,Sync!$K6&lt;1),RIGHT("00"&amp;HOUR(Sync!$K6),2)&amp;RIGHT("00"&amp;MINUTE(Sync!$K6),2),IFERROR(RIGHT("00"&amp;VALUE(LEFT(Sync!$K6,FIND(":",Sync!$K6)-1)),2)&amp;RIGHT("00"&amp;VALUE(MID(Sync!$K6,FIND(":",Sync!$K6)+1,2)),2),"0000")))&amp;"|"&amp;"2"&amp;RIGHT("00000"&amp;1,5))</f>
        <v/>
      </c>
      <c r="Q6">
        <f>IF(Sync!$J6="","",IF(ISNUMBER(Sync!$J6),IF(AND(Sync!$J6&gt;=10000101,Sync!$J6&lt;=99991231),INT(Sync!$J6/10000)&amp;"/"&amp;RIGHT("00"&amp;INT(MOD(Sync!$J6,10000)/100),2)&amp;"/"&amp;RIGHT("00"&amp;MOD(Sync!$J6,100),2),"نامعتبر"),IF(LEN(Sync!$J6)=10,Sync!$J6,"نامعتبر")))</f>
        <v/>
      </c>
      <c r="R6">
        <f>IF($P6="","",COUNTIFS($N$6:$N$2005,$N6,$P$6:$P$2005,"&lt;"&amp;$P6)+COUNTIFS($A$6:$A$1005,$N6,$B$6:$B$1005,"&lt;"&amp;$P6)+1)</f>
        <v/>
      </c>
      <c r="S6">
        <f>IF($N6="","",$N6&amp;"|"&amp;RIGHT("000000"&amp;$R6,6))</f>
        <v/>
      </c>
      <c r="T6">
        <f>IF($N6="","",IF(Sync!$N6="",0,Sync!$N6))</f>
        <v/>
      </c>
      <c r="U6">
        <f>IF($N6="","",IF(Sync!$O6="",0,Sync!$O6))</f>
        <v/>
      </c>
      <c r="V6">
        <f>IF($N6="","",Sync!$L6)</f>
        <v/>
      </c>
      <c r="W6">
        <f>IF($N6="","",Sync!$P6)</f>
        <v/>
      </c>
      <c r="AA6">
        <f>IF($A6="","",IF(COUNTIF($A$6:$A6,$A6)=1,1,0))</f>
        <v/>
      </c>
      <c r="AB6">
        <f>SUM($AA$6:$AA6)</f>
        <v/>
      </c>
      <c r="AC6">
        <f>IFERROR(INDEX($A$6:$A$1005,MATCH(ROW()-5,$AB$6:$AB$1005,0)),"")</f>
        <v/>
      </c>
    </row>
    <row r="7">
      <c r="A7">
        <f>IF(OR(Entry!$B10="",Entry!$E10="",$E7="نامعتبر"),"",Entry!$E10)</f>
        <v/>
      </c>
      <c r="B7">
        <f>IF($A7="","",LEFT($E7,4)&amp;MID($E7,6,2)&amp;RIGHT($E7,2)&amp;$F7&amp;"|"&amp;"1"&amp;RIGHT("00000"&amp;2,5))</f>
        <v/>
      </c>
      <c r="C7">
        <f>IF($B7="","",COUNTIFS($A$6:$A$1005,$A7,$B$6:$B$1005,"&lt;"&amp;$B7)+COUNTIFS($N$6:$N$2005,$A7,$P$6:$P$2005,"&lt;"&amp;$B7)+1)</f>
        <v/>
      </c>
      <c r="D7">
        <f>IF($C7="","",$A7&amp;"|"&amp;RIGHT("000000"&amp;$C7,6))</f>
        <v/>
      </c>
      <c r="E7">
        <f>IF(Entry!$B10="","",IF(ISNUMBER(Entry!$B10),IF(AND(Entry!$B10&gt;=10000101,Entry!$B10&lt;=99991231),INT(Entry!$B10/10000)&amp;"/"&amp;RIGHT("00"&amp;INT(MOD(Entry!$B10,10000)/100),2)&amp;"/"&amp;RIGHT("00"&amp;MOD(Entry!$B10,100),2),"نامعتبر"),IF(LEN(Entry!$B10)=10,Entry!$B10,"نامعتبر")))</f>
        <v/>
      </c>
      <c r="F7">
        <f>IF(Entry!$B10="","",IF(Entry!$C10="","0000",IF(AND(ISNUMBER(Entry!$C10),Entry!$C10&gt;=0,Entry!$C10&lt;1),RIGHT("00"&amp;HOUR(Entry!$C10),2)&amp;RIGHT("00"&amp;MINUTE(Entry!$C10),2),IFERROR(RIGHT("00"&amp;VALUE(LEFT(Entry!$C10,FIND(":",Entry!$C10)-1)),2)&amp;RIGHT("00"&amp;VALUE(MID(Entry!$C10,FIND(":",Entry!$C10)+1,2)),2),"0000"))))</f>
        <v/>
      </c>
      <c r="G7">
        <f>IF($A7="","",Entry!$G10)</f>
        <v/>
      </c>
      <c r="H7">
        <f>IF($A7="","",IF(Entry!$H10="",0,Entry!$H10))</f>
        <v/>
      </c>
      <c r="I7">
        <f>IF($A7="","",IF(Entry!$I10="",0,Entry!$I10))</f>
        <v/>
      </c>
      <c r="J7">
        <f>IF($A7="","",ROUND($H7*$I7,0))</f>
        <v/>
      </c>
      <c r="K7">
        <f>IF($A7="","",Entry!$D10)</f>
        <v/>
      </c>
      <c r="L7">
        <f>IF($A7="","",Entry!$L10)</f>
        <v/>
      </c>
      <c r="N7">
        <f>IF(OR(Sync!$M7="",$Q7="",$Q7="نامعتبر"),"",Sync!$M7)</f>
        <v/>
      </c>
      <c r="O7">
        <f>IF($N7="","",$Q7)</f>
        <v/>
      </c>
      <c r="P7">
        <f>IF($N7="","",LEFT($Q7,4)&amp;MID($Q7,6,2)&amp;RIGHT($Q7,2)&amp;IF(Sync!$K7="","0000",IF(AND(ISNUMBER(Sync!$K7),Sync!$K7&gt;=0,Sync!$K7&lt;1),RIGHT("00"&amp;HOUR(Sync!$K7),2)&amp;RIGHT("00"&amp;MINUTE(Sync!$K7),2),IFERROR(RIGHT("00"&amp;VALUE(LEFT(Sync!$K7,FIND(":",Sync!$K7)-1)),2)&amp;RIGHT("00"&amp;VALUE(MID(Sync!$K7,FIND(":",Sync!$K7)+1,2)),2),"0000")))&amp;"|"&amp;"2"&amp;RIGHT("00000"&amp;2,5))</f>
        <v/>
      </c>
      <c r="Q7">
        <f>IF(Sync!$J7="","",IF(ISNUMBER(Sync!$J7),IF(AND(Sync!$J7&gt;=10000101,Sync!$J7&lt;=99991231),INT(Sync!$J7/10000)&amp;"/"&amp;RIGHT("00"&amp;INT(MOD(Sync!$J7,10000)/100),2)&amp;"/"&amp;RIGHT("00"&amp;MOD(Sync!$J7,100),2),"نامعتبر"),IF(LEN(Sync!$J7)=10,Sync!$J7,"نامعتبر")))</f>
        <v/>
      </c>
      <c r="R7">
        <f>IF($P7="","",COUNTIFS($N$6:$N$2005,$N7,$P$6:$P$2005,"&lt;"&amp;$P7)+COUNTIFS($A$6:$A$1005,$N7,$B$6:$B$1005,"&lt;"&amp;$P7)+1)</f>
        <v/>
      </c>
      <c r="S7">
        <f>IF($N7="","",$N7&amp;"|"&amp;RIGHT("000000"&amp;$R7,6))</f>
        <v/>
      </c>
      <c r="T7">
        <f>IF($N7="","",IF(Sync!$N7="",0,Sync!$N7))</f>
        <v/>
      </c>
      <c r="U7">
        <f>IF($N7="","",IF(Sync!$O7="",0,Sync!$O7))</f>
        <v/>
      </c>
      <c r="V7">
        <f>IF($N7="","",Sync!$L7)</f>
        <v/>
      </c>
      <c r="W7">
        <f>IF($N7="","",Sync!$P7)</f>
        <v/>
      </c>
      <c r="AA7">
        <f>IF($A7="","",IF(COUNTIF($A$6:$A7,$A7)=1,1,0))</f>
        <v/>
      </c>
      <c r="AB7">
        <f>SUM($AA$6:$AA7)</f>
        <v/>
      </c>
      <c r="AC7">
        <f>IFERROR(INDEX($A$6:$A$1005,MATCH(ROW()-5,$AB$6:$AB$1005,0)),"")</f>
        <v/>
      </c>
    </row>
    <row r="8">
      <c r="A8">
        <f>IF(OR(Entry!$B11="",Entry!$E11="",$E8="نامعتبر"),"",Entry!$E11)</f>
        <v/>
      </c>
      <c r="B8">
        <f>IF($A8="","",LEFT($E8,4)&amp;MID($E8,6,2)&amp;RIGHT($E8,2)&amp;$F8&amp;"|"&amp;"1"&amp;RIGHT("00000"&amp;3,5))</f>
        <v/>
      </c>
      <c r="C8">
        <f>IF($B8="","",COUNTIFS($A$6:$A$1005,$A8,$B$6:$B$1005,"&lt;"&amp;$B8)+COUNTIFS($N$6:$N$2005,$A8,$P$6:$P$2005,"&lt;"&amp;$B8)+1)</f>
        <v/>
      </c>
      <c r="D8">
        <f>IF($C8="","",$A8&amp;"|"&amp;RIGHT("000000"&amp;$C8,6))</f>
        <v/>
      </c>
      <c r="E8">
        <f>IF(Entry!$B11="","",IF(ISNUMBER(Entry!$B11),IF(AND(Entry!$B11&gt;=10000101,Entry!$B11&lt;=99991231),INT(Entry!$B11/10000)&amp;"/"&amp;RIGHT("00"&amp;INT(MOD(Entry!$B11,10000)/100),2)&amp;"/"&amp;RIGHT("00"&amp;MOD(Entry!$B11,100),2),"نامعتبر"),IF(LEN(Entry!$B11)=10,Entry!$B11,"نامعتبر")))</f>
        <v/>
      </c>
      <c r="F8">
        <f>IF(Entry!$B11="","",IF(Entry!$C11="","0000",IF(AND(ISNUMBER(Entry!$C11),Entry!$C11&gt;=0,Entry!$C11&lt;1),RIGHT("00"&amp;HOUR(Entry!$C11),2)&amp;RIGHT("00"&amp;MINUTE(Entry!$C11),2),IFERROR(RIGHT("00"&amp;VALUE(LEFT(Entry!$C11,FIND(":",Entry!$C11)-1)),2)&amp;RIGHT("00"&amp;VALUE(MID(Entry!$C11,FIND(":",Entry!$C11)+1,2)),2),"0000"))))</f>
        <v/>
      </c>
      <c r="G8">
        <f>IF($A8="","",Entry!$G11)</f>
        <v/>
      </c>
      <c r="H8">
        <f>IF($A8="","",IF(Entry!$H11="",0,Entry!$H11))</f>
        <v/>
      </c>
      <c r="I8">
        <f>IF($A8="","",IF(Entry!$I11="",0,Entry!$I11))</f>
        <v/>
      </c>
      <c r="J8">
        <f>IF($A8="","",ROUND($H8*$I8,0))</f>
        <v/>
      </c>
      <c r="K8">
        <f>IF($A8="","",Entry!$D11)</f>
        <v/>
      </c>
      <c r="L8">
        <f>IF($A8="","",Entry!$L11)</f>
        <v/>
      </c>
      <c r="N8">
        <f>IF(OR(Sync!$M8="",$Q8="",$Q8="نامعتبر"),"",Sync!$M8)</f>
        <v/>
      </c>
      <c r="O8">
        <f>IF($N8="","",$Q8)</f>
        <v/>
      </c>
      <c r="P8">
        <f>IF($N8="","",LEFT($Q8,4)&amp;MID($Q8,6,2)&amp;RIGHT($Q8,2)&amp;IF(Sync!$K8="","0000",IF(AND(ISNUMBER(Sync!$K8),Sync!$K8&gt;=0,Sync!$K8&lt;1),RIGHT("00"&amp;HOUR(Sync!$K8),2)&amp;RIGHT("00"&amp;MINUTE(Sync!$K8),2),IFERROR(RIGHT("00"&amp;VALUE(LEFT(Sync!$K8,FIND(":",Sync!$K8)-1)),2)&amp;RIGHT("00"&amp;VALUE(MID(Sync!$K8,FIND(":",Sync!$K8)+1,2)),2),"0000")))&amp;"|"&amp;"2"&amp;RIGHT("00000"&amp;3,5))</f>
        <v/>
      </c>
      <c r="Q8">
        <f>IF(Sync!$J8="","",IF(ISNUMBER(Sync!$J8),IF(AND(Sync!$J8&gt;=10000101,Sync!$J8&lt;=99991231),INT(Sync!$J8/10000)&amp;"/"&amp;RIGHT("00"&amp;INT(MOD(Sync!$J8,10000)/100),2)&amp;"/"&amp;RIGHT("00"&amp;MOD(Sync!$J8,100),2),"نامعتبر"),IF(LEN(Sync!$J8)=10,Sync!$J8,"نامعتبر")))</f>
        <v/>
      </c>
      <c r="R8">
        <f>IF($P8="","",COUNTIFS($N$6:$N$2005,$N8,$P$6:$P$2005,"&lt;"&amp;$P8)+COUNTIFS($A$6:$A$1005,$N8,$B$6:$B$1005,"&lt;"&amp;$P8)+1)</f>
        <v/>
      </c>
      <c r="S8">
        <f>IF($N8="","",$N8&amp;"|"&amp;RIGHT("000000"&amp;$R8,6))</f>
        <v/>
      </c>
      <c r="T8">
        <f>IF($N8="","",IF(Sync!$N8="",0,Sync!$N8))</f>
        <v/>
      </c>
      <c r="U8">
        <f>IF($N8="","",IF(Sync!$O8="",0,Sync!$O8))</f>
        <v/>
      </c>
      <c r="V8">
        <f>IF($N8="","",Sync!$L8)</f>
        <v/>
      </c>
      <c r="W8">
        <f>IF($N8="","",Sync!$P8)</f>
        <v/>
      </c>
      <c r="AA8">
        <f>IF($A8="","",IF(COUNTIF($A$6:$A8,$A8)=1,1,0))</f>
        <v/>
      </c>
      <c r="AB8">
        <f>SUM($AA$6:$AA8)</f>
        <v/>
      </c>
      <c r="AC8">
        <f>IFERROR(INDEX($A$6:$A$1005,MATCH(ROW()-5,$AB$6:$AB$1005,0)),"")</f>
        <v/>
      </c>
    </row>
    <row r="9">
      <c r="A9">
        <f>IF(OR(Entry!$B12="",Entry!$E12="",$E9="نامعتبر"),"",Entry!$E12)</f>
        <v/>
      </c>
      <c r="B9">
        <f>IF($A9="","",LEFT($E9,4)&amp;MID($E9,6,2)&amp;RIGHT($E9,2)&amp;$F9&amp;"|"&amp;"1"&amp;RIGHT("00000"&amp;4,5))</f>
        <v/>
      </c>
      <c r="C9">
        <f>IF($B9="","",COUNTIFS($A$6:$A$1005,$A9,$B$6:$B$1005,"&lt;"&amp;$B9)+COUNTIFS($N$6:$N$2005,$A9,$P$6:$P$2005,"&lt;"&amp;$B9)+1)</f>
        <v/>
      </c>
      <c r="D9">
        <f>IF($C9="","",$A9&amp;"|"&amp;RIGHT("000000"&amp;$C9,6))</f>
        <v/>
      </c>
      <c r="E9">
        <f>IF(Entry!$B12="","",IF(ISNUMBER(Entry!$B12),IF(AND(Entry!$B12&gt;=10000101,Entry!$B12&lt;=99991231),INT(Entry!$B12/10000)&amp;"/"&amp;RIGHT("00"&amp;INT(MOD(Entry!$B12,10000)/100),2)&amp;"/"&amp;RIGHT("00"&amp;MOD(Entry!$B12,100),2),"نامعتبر"),IF(LEN(Entry!$B12)=10,Entry!$B12,"نامعتبر")))</f>
        <v/>
      </c>
      <c r="F9">
        <f>IF(Entry!$B12="","",IF(Entry!$C12="","0000",IF(AND(ISNUMBER(Entry!$C12),Entry!$C12&gt;=0,Entry!$C12&lt;1),RIGHT("00"&amp;HOUR(Entry!$C12),2)&amp;RIGHT("00"&amp;MINUTE(Entry!$C12),2),IFERROR(RIGHT("00"&amp;VALUE(LEFT(Entry!$C12,FIND(":",Entry!$C12)-1)),2)&amp;RIGHT("00"&amp;VALUE(MID(Entry!$C12,FIND(":",Entry!$C12)+1,2)),2),"0000"))))</f>
        <v/>
      </c>
      <c r="G9">
        <f>IF($A9="","",Entry!$G12)</f>
        <v/>
      </c>
      <c r="H9">
        <f>IF($A9="","",IF(Entry!$H12="",0,Entry!$H12))</f>
        <v/>
      </c>
      <c r="I9">
        <f>IF($A9="","",IF(Entry!$I12="",0,Entry!$I12))</f>
        <v/>
      </c>
      <c r="J9">
        <f>IF($A9="","",ROUND($H9*$I9,0))</f>
        <v/>
      </c>
      <c r="K9">
        <f>IF($A9="","",Entry!$D12)</f>
        <v/>
      </c>
      <c r="L9">
        <f>IF($A9="","",Entry!$L12)</f>
        <v/>
      </c>
      <c r="N9">
        <f>IF(OR(Sync!$M9="",$Q9="",$Q9="نامعتبر"),"",Sync!$M9)</f>
        <v/>
      </c>
      <c r="O9">
        <f>IF($N9="","",$Q9)</f>
        <v/>
      </c>
      <c r="P9">
        <f>IF($N9="","",LEFT($Q9,4)&amp;MID($Q9,6,2)&amp;RIGHT($Q9,2)&amp;IF(Sync!$K9="","0000",IF(AND(ISNUMBER(Sync!$K9),Sync!$K9&gt;=0,Sync!$K9&lt;1),RIGHT("00"&amp;HOUR(Sync!$K9),2)&amp;RIGHT("00"&amp;MINUTE(Sync!$K9),2),IFERROR(RIGHT("00"&amp;VALUE(LEFT(Sync!$K9,FIND(":",Sync!$K9)-1)),2)&amp;RIGHT("00"&amp;VALUE(MID(Sync!$K9,FIND(":",Sync!$K9)+1,2)),2),"0000")))&amp;"|"&amp;"2"&amp;RIGHT("00000"&amp;4,5))</f>
        <v/>
      </c>
      <c r="Q9">
        <f>IF(Sync!$J9="","",IF(ISNUMBER(Sync!$J9),IF(AND(Sync!$J9&gt;=10000101,Sync!$J9&lt;=99991231),INT(Sync!$J9/10000)&amp;"/"&amp;RIGHT("00"&amp;INT(MOD(Sync!$J9,10000)/100),2)&amp;"/"&amp;RIGHT("00"&amp;MOD(Sync!$J9,100),2),"نامعتبر"),IF(LEN(Sync!$J9)=10,Sync!$J9,"نامعتبر")))</f>
        <v/>
      </c>
      <c r="R9">
        <f>IF($P9="","",COUNTIFS($N$6:$N$2005,$N9,$P$6:$P$2005,"&lt;"&amp;$P9)+COUNTIFS($A$6:$A$1005,$N9,$B$6:$B$1005,"&lt;"&amp;$P9)+1)</f>
        <v/>
      </c>
      <c r="S9">
        <f>IF($N9="","",$N9&amp;"|"&amp;RIGHT("000000"&amp;$R9,6))</f>
        <v/>
      </c>
      <c r="T9">
        <f>IF($N9="","",IF(Sync!$N9="",0,Sync!$N9))</f>
        <v/>
      </c>
      <c r="U9">
        <f>IF($N9="","",IF(Sync!$O9="",0,Sync!$O9))</f>
        <v/>
      </c>
      <c r="V9">
        <f>IF($N9="","",Sync!$L9)</f>
        <v/>
      </c>
      <c r="W9">
        <f>IF($N9="","",Sync!$P9)</f>
        <v/>
      </c>
      <c r="AA9">
        <f>IF($A9="","",IF(COUNTIF($A$6:$A9,$A9)=1,1,0))</f>
        <v/>
      </c>
      <c r="AB9">
        <f>SUM($AA$6:$AA9)</f>
        <v/>
      </c>
      <c r="AC9">
        <f>IFERROR(INDEX($A$6:$A$1005,MATCH(ROW()-5,$AB$6:$AB$1005,0)),"")</f>
        <v/>
      </c>
    </row>
    <row r="10">
      <c r="A10">
        <f>IF(OR(Entry!$B13="",Entry!$E13="",$E10="نامعتبر"),"",Entry!$E13)</f>
        <v/>
      </c>
      <c r="B10">
        <f>IF($A10="","",LEFT($E10,4)&amp;MID($E10,6,2)&amp;RIGHT($E10,2)&amp;$F10&amp;"|"&amp;"1"&amp;RIGHT("00000"&amp;5,5))</f>
        <v/>
      </c>
      <c r="C10">
        <f>IF($B10="","",COUNTIFS($A$6:$A$1005,$A10,$B$6:$B$1005,"&lt;"&amp;$B10)+COUNTIFS($N$6:$N$2005,$A10,$P$6:$P$2005,"&lt;"&amp;$B10)+1)</f>
        <v/>
      </c>
      <c r="D10">
        <f>IF($C10="","",$A10&amp;"|"&amp;RIGHT("000000"&amp;$C10,6))</f>
        <v/>
      </c>
      <c r="E10">
        <f>IF(Entry!$B13="","",IF(ISNUMBER(Entry!$B13),IF(AND(Entry!$B13&gt;=10000101,Entry!$B13&lt;=99991231),INT(Entry!$B13/10000)&amp;"/"&amp;RIGHT("00"&amp;INT(MOD(Entry!$B13,10000)/100),2)&amp;"/"&amp;RIGHT("00"&amp;MOD(Entry!$B13,100),2),"نامعتبر"),IF(LEN(Entry!$B13)=10,Entry!$B13,"نامعتبر")))</f>
        <v/>
      </c>
      <c r="F10">
        <f>IF(Entry!$B13="","",IF(Entry!$C13="","0000",IF(AND(ISNUMBER(Entry!$C13),Entry!$C13&gt;=0,Entry!$C13&lt;1),RIGHT("00"&amp;HOUR(Entry!$C13),2)&amp;RIGHT("00"&amp;MINUTE(Entry!$C13),2),IFERROR(RIGHT("00"&amp;VALUE(LEFT(Entry!$C13,FIND(":",Entry!$C13)-1)),2)&amp;RIGHT("00"&amp;VALUE(MID(Entry!$C13,FIND(":",Entry!$C13)+1,2)),2),"0000"))))</f>
        <v/>
      </c>
      <c r="G10">
        <f>IF($A10="","",Entry!$G13)</f>
        <v/>
      </c>
      <c r="H10">
        <f>IF($A10="","",IF(Entry!$H13="",0,Entry!$H13))</f>
        <v/>
      </c>
      <c r="I10">
        <f>IF($A10="","",IF(Entry!$I13="",0,Entry!$I13))</f>
        <v/>
      </c>
      <c r="J10">
        <f>IF($A10="","",ROUND($H10*$I10,0))</f>
        <v/>
      </c>
      <c r="K10">
        <f>IF($A10="","",Entry!$D13)</f>
        <v/>
      </c>
      <c r="L10">
        <f>IF($A10="","",Entry!$L13)</f>
        <v/>
      </c>
      <c r="N10">
        <f>IF(OR(Sync!$M10="",$Q10="",$Q10="نامعتبر"),"",Sync!$M10)</f>
        <v/>
      </c>
      <c r="O10">
        <f>IF($N10="","",$Q10)</f>
        <v/>
      </c>
      <c r="P10">
        <f>IF($N10="","",LEFT($Q10,4)&amp;MID($Q10,6,2)&amp;RIGHT($Q10,2)&amp;IF(Sync!$K10="","0000",IF(AND(ISNUMBER(Sync!$K10),Sync!$K10&gt;=0,Sync!$K10&lt;1),RIGHT("00"&amp;HOUR(Sync!$K10),2)&amp;RIGHT("00"&amp;MINUTE(Sync!$K10),2),IFERROR(RIGHT("00"&amp;VALUE(LEFT(Sync!$K10,FIND(":",Sync!$K10)-1)),2)&amp;RIGHT("00"&amp;VALUE(MID(Sync!$K10,FIND(":",Sync!$K10)+1,2)),2),"0000")))&amp;"|"&amp;"2"&amp;RIGHT("00000"&amp;5,5))</f>
        <v/>
      </c>
      <c r="Q10">
        <f>IF(Sync!$J10="","",IF(ISNUMBER(Sync!$J10),IF(AND(Sync!$J10&gt;=10000101,Sync!$J10&lt;=99991231),INT(Sync!$J10/10000)&amp;"/"&amp;RIGHT("00"&amp;INT(MOD(Sync!$J10,10000)/100),2)&amp;"/"&amp;RIGHT("00"&amp;MOD(Sync!$J10,100),2),"نامعتبر"),IF(LEN(Sync!$J10)=10,Sync!$J10,"نامعتبر")))</f>
        <v/>
      </c>
      <c r="R10">
        <f>IF($P10="","",COUNTIFS($N$6:$N$2005,$N10,$P$6:$P$2005,"&lt;"&amp;$P10)+COUNTIFS($A$6:$A$1005,$N10,$B$6:$B$1005,"&lt;"&amp;$P10)+1)</f>
        <v/>
      </c>
      <c r="S10">
        <f>IF($N10="","",$N10&amp;"|"&amp;RIGHT("000000"&amp;$R10,6))</f>
        <v/>
      </c>
      <c r="T10">
        <f>IF($N10="","",IF(Sync!$N10="",0,Sync!$N10))</f>
        <v/>
      </c>
      <c r="U10">
        <f>IF($N10="","",IF(Sync!$O10="",0,Sync!$O10))</f>
        <v/>
      </c>
      <c r="V10">
        <f>IF($N10="","",Sync!$L10)</f>
        <v/>
      </c>
      <c r="W10">
        <f>IF($N10="","",Sync!$P10)</f>
        <v/>
      </c>
      <c r="AA10">
        <f>IF($A10="","",IF(COUNTIF($A$6:$A10,$A10)=1,1,0))</f>
        <v/>
      </c>
      <c r="AB10">
        <f>SUM($AA$6:$AA10)</f>
        <v/>
      </c>
      <c r="AC10">
        <f>IFERROR(INDEX($A$6:$A$1005,MATCH(ROW()-5,$AB$6:$AB$1005,0)),"")</f>
        <v/>
      </c>
    </row>
    <row r="11">
      <c r="A11">
        <f>IF(OR(Entry!$B14="",Entry!$E14="",$E11="نامعتبر"),"",Entry!$E14)</f>
        <v/>
      </c>
      <c r="B11">
        <f>IF($A11="","",LEFT($E11,4)&amp;MID($E11,6,2)&amp;RIGHT($E11,2)&amp;$F11&amp;"|"&amp;"1"&amp;RIGHT("00000"&amp;6,5))</f>
        <v/>
      </c>
      <c r="C11">
        <f>IF($B11="","",COUNTIFS($A$6:$A$1005,$A11,$B$6:$B$1005,"&lt;"&amp;$B11)+COUNTIFS($N$6:$N$2005,$A11,$P$6:$P$2005,"&lt;"&amp;$B11)+1)</f>
        <v/>
      </c>
      <c r="D11">
        <f>IF($C11="","",$A11&amp;"|"&amp;RIGHT("000000"&amp;$C11,6))</f>
        <v/>
      </c>
      <c r="E11">
        <f>IF(Entry!$B14="","",IF(ISNUMBER(Entry!$B14),IF(AND(Entry!$B14&gt;=10000101,Entry!$B14&lt;=99991231),INT(Entry!$B14/10000)&amp;"/"&amp;RIGHT("00"&amp;INT(MOD(Entry!$B14,10000)/100),2)&amp;"/"&amp;RIGHT("00"&amp;MOD(Entry!$B14,100),2),"نامعتبر"),IF(LEN(Entry!$B14)=10,Entry!$B14,"نامعتبر")))</f>
        <v/>
      </c>
      <c r="F11">
        <f>IF(Entry!$B14="","",IF(Entry!$C14="","0000",IF(AND(ISNUMBER(Entry!$C14),Entry!$C14&gt;=0,Entry!$C14&lt;1),RIGHT("00"&amp;HOUR(Entry!$C14),2)&amp;RIGHT("00"&amp;MINUTE(Entry!$C14),2),IFERROR(RIGHT("00"&amp;VALUE(LEFT(Entry!$C14,FIND(":",Entry!$C14)-1)),2)&amp;RIGHT("00"&amp;VALUE(MID(Entry!$C14,FIND(":",Entry!$C14)+1,2)),2),"0000"))))</f>
        <v/>
      </c>
      <c r="G11">
        <f>IF($A11="","",Entry!$G14)</f>
        <v/>
      </c>
      <c r="H11">
        <f>IF($A11="","",IF(Entry!$H14="",0,Entry!$H14))</f>
        <v/>
      </c>
      <c r="I11">
        <f>IF($A11="","",IF(Entry!$I14="",0,Entry!$I14))</f>
        <v/>
      </c>
      <c r="J11">
        <f>IF($A11="","",ROUND($H11*$I11,0))</f>
        <v/>
      </c>
      <c r="K11">
        <f>IF($A11="","",Entry!$D14)</f>
        <v/>
      </c>
      <c r="L11">
        <f>IF($A11="","",Entry!$L14)</f>
        <v/>
      </c>
      <c r="N11">
        <f>IF(OR(Sync!$M11="",$Q11="",$Q11="نامعتبر"),"",Sync!$M11)</f>
        <v/>
      </c>
      <c r="O11">
        <f>IF($N11="","",$Q11)</f>
        <v/>
      </c>
      <c r="P11">
        <f>IF($N11="","",LEFT($Q11,4)&amp;MID($Q11,6,2)&amp;RIGHT($Q11,2)&amp;IF(Sync!$K11="","0000",IF(AND(ISNUMBER(Sync!$K11),Sync!$K11&gt;=0,Sync!$K11&lt;1),RIGHT("00"&amp;HOUR(Sync!$K11),2)&amp;RIGHT("00"&amp;MINUTE(Sync!$K11),2),IFERROR(RIGHT("00"&amp;VALUE(LEFT(Sync!$K11,FIND(":",Sync!$K11)-1)),2)&amp;RIGHT("00"&amp;VALUE(MID(Sync!$K11,FIND(":",Sync!$K11)+1,2)),2),"0000")))&amp;"|"&amp;"2"&amp;RIGHT("00000"&amp;6,5))</f>
        <v/>
      </c>
      <c r="Q11">
        <f>IF(Sync!$J11="","",IF(ISNUMBER(Sync!$J11),IF(AND(Sync!$J11&gt;=10000101,Sync!$J11&lt;=99991231),INT(Sync!$J11/10000)&amp;"/"&amp;RIGHT("00"&amp;INT(MOD(Sync!$J11,10000)/100),2)&amp;"/"&amp;RIGHT("00"&amp;MOD(Sync!$J11,100),2),"نامعتبر"),IF(LEN(Sync!$J11)=10,Sync!$J11,"نامعتبر")))</f>
        <v/>
      </c>
      <c r="R11">
        <f>IF($P11="","",COUNTIFS($N$6:$N$2005,$N11,$P$6:$P$2005,"&lt;"&amp;$P11)+COUNTIFS($A$6:$A$1005,$N11,$B$6:$B$1005,"&lt;"&amp;$P11)+1)</f>
        <v/>
      </c>
      <c r="S11">
        <f>IF($N11="","",$N11&amp;"|"&amp;RIGHT("000000"&amp;$R11,6))</f>
        <v/>
      </c>
      <c r="T11">
        <f>IF($N11="","",IF(Sync!$N11="",0,Sync!$N11))</f>
        <v/>
      </c>
      <c r="U11">
        <f>IF($N11="","",IF(Sync!$O11="",0,Sync!$O11))</f>
        <v/>
      </c>
      <c r="V11">
        <f>IF($N11="","",Sync!$L11)</f>
        <v/>
      </c>
      <c r="W11">
        <f>IF($N11="","",Sync!$P11)</f>
        <v/>
      </c>
      <c r="AA11">
        <f>IF($A11="","",IF(COUNTIF($A$6:$A11,$A11)=1,1,0))</f>
        <v/>
      </c>
      <c r="AB11">
        <f>SUM($AA$6:$AA11)</f>
        <v/>
      </c>
      <c r="AC11">
        <f>IFERROR(INDEX($A$6:$A$1005,MATCH(ROW()-5,$AB$6:$AB$1005,0)),"")</f>
        <v/>
      </c>
    </row>
    <row r="12">
      <c r="A12">
        <f>IF(OR(Entry!$B15="",Entry!$E15="",$E12="نامعتبر"),"",Entry!$E15)</f>
        <v/>
      </c>
      <c r="B12">
        <f>IF($A12="","",LEFT($E12,4)&amp;MID($E12,6,2)&amp;RIGHT($E12,2)&amp;$F12&amp;"|"&amp;"1"&amp;RIGHT("00000"&amp;7,5))</f>
        <v/>
      </c>
      <c r="C12">
        <f>IF($B12="","",COUNTIFS($A$6:$A$1005,$A12,$B$6:$B$1005,"&lt;"&amp;$B12)+COUNTIFS($N$6:$N$2005,$A12,$P$6:$P$2005,"&lt;"&amp;$B12)+1)</f>
        <v/>
      </c>
      <c r="D12">
        <f>IF($C12="","",$A12&amp;"|"&amp;RIGHT("000000"&amp;$C12,6))</f>
        <v/>
      </c>
      <c r="E12">
        <f>IF(Entry!$B15="","",IF(ISNUMBER(Entry!$B15),IF(AND(Entry!$B15&gt;=10000101,Entry!$B15&lt;=99991231),INT(Entry!$B15/10000)&amp;"/"&amp;RIGHT("00"&amp;INT(MOD(Entry!$B15,10000)/100),2)&amp;"/"&amp;RIGHT("00"&amp;MOD(Entry!$B15,100),2),"نامعتبر"),IF(LEN(Entry!$B15)=10,Entry!$B15,"نامعتبر")))</f>
        <v/>
      </c>
      <c r="F12">
        <f>IF(Entry!$B15="","",IF(Entry!$C15="","0000",IF(AND(ISNUMBER(Entry!$C15),Entry!$C15&gt;=0,Entry!$C15&lt;1),RIGHT("00"&amp;HOUR(Entry!$C15),2)&amp;RIGHT("00"&amp;MINUTE(Entry!$C15),2),IFERROR(RIGHT("00"&amp;VALUE(LEFT(Entry!$C15,FIND(":",Entry!$C15)-1)),2)&amp;RIGHT("00"&amp;VALUE(MID(Entry!$C15,FIND(":",Entry!$C15)+1,2)),2),"0000"))))</f>
        <v/>
      </c>
      <c r="G12">
        <f>IF($A12="","",Entry!$G15)</f>
        <v/>
      </c>
      <c r="H12">
        <f>IF($A12="","",IF(Entry!$H15="",0,Entry!$H15))</f>
        <v/>
      </c>
      <c r="I12">
        <f>IF($A12="","",IF(Entry!$I15="",0,Entry!$I15))</f>
        <v/>
      </c>
      <c r="J12">
        <f>IF($A12="","",ROUND($H12*$I12,0))</f>
        <v/>
      </c>
      <c r="K12">
        <f>IF($A12="","",Entry!$D15)</f>
        <v/>
      </c>
      <c r="L12">
        <f>IF($A12="","",Entry!$L15)</f>
        <v/>
      </c>
      <c r="N12">
        <f>IF(OR(Sync!$M12="",$Q12="",$Q12="نامعتبر"),"",Sync!$M12)</f>
        <v/>
      </c>
      <c r="O12">
        <f>IF($N12="","",$Q12)</f>
        <v/>
      </c>
      <c r="P12">
        <f>IF($N12="","",LEFT($Q12,4)&amp;MID($Q12,6,2)&amp;RIGHT($Q12,2)&amp;IF(Sync!$K12="","0000",IF(AND(ISNUMBER(Sync!$K12),Sync!$K12&gt;=0,Sync!$K12&lt;1),RIGHT("00"&amp;HOUR(Sync!$K12),2)&amp;RIGHT("00"&amp;MINUTE(Sync!$K12),2),IFERROR(RIGHT("00"&amp;VALUE(LEFT(Sync!$K12,FIND(":",Sync!$K12)-1)),2)&amp;RIGHT("00"&amp;VALUE(MID(Sync!$K12,FIND(":",Sync!$K12)+1,2)),2),"0000")))&amp;"|"&amp;"2"&amp;RIGHT("00000"&amp;7,5))</f>
        <v/>
      </c>
      <c r="Q12">
        <f>IF(Sync!$J12="","",IF(ISNUMBER(Sync!$J12),IF(AND(Sync!$J12&gt;=10000101,Sync!$J12&lt;=99991231),INT(Sync!$J12/10000)&amp;"/"&amp;RIGHT("00"&amp;INT(MOD(Sync!$J12,10000)/100),2)&amp;"/"&amp;RIGHT("00"&amp;MOD(Sync!$J12,100),2),"نامعتبر"),IF(LEN(Sync!$J12)=10,Sync!$J12,"نامعتبر")))</f>
        <v/>
      </c>
      <c r="R12">
        <f>IF($P12="","",COUNTIFS($N$6:$N$2005,$N12,$P$6:$P$2005,"&lt;"&amp;$P12)+COUNTIFS($A$6:$A$1005,$N12,$B$6:$B$1005,"&lt;"&amp;$P12)+1)</f>
        <v/>
      </c>
      <c r="S12">
        <f>IF($N12="","",$N12&amp;"|"&amp;RIGHT("000000"&amp;$R12,6))</f>
        <v/>
      </c>
      <c r="T12">
        <f>IF($N12="","",IF(Sync!$N12="",0,Sync!$N12))</f>
        <v/>
      </c>
      <c r="U12">
        <f>IF($N12="","",IF(Sync!$O12="",0,Sync!$O12))</f>
        <v/>
      </c>
      <c r="V12">
        <f>IF($N12="","",Sync!$L12)</f>
        <v/>
      </c>
      <c r="W12">
        <f>IF($N12="","",Sync!$P12)</f>
        <v/>
      </c>
      <c r="AA12">
        <f>IF($A12="","",IF(COUNTIF($A$6:$A12,$A12)=1,1,0))</f>
        <v/>
      </c>
      <c r="AB12">
        <f>SUM($AA$6:$AA12)</f>
        <v/>
      </c>
      <c r="AC12">
        <f>IFERROR(INDEX($A$6:$A$1005,MATCH(ROW()-5,$AB$6:$AB$1005,0)),"")</f>
        <v/>
      </c>
    </row>
    <row r="13">
      <c r="A13">
        <f>IF(OR(Entry!$B16="",Entry!$E16="",$E13="نامعتبر"),"",Entry!$E16)</f>
        <v/>
      </c>
      <c r="B13">
        <f>IF($A13="","",LEFT($E13,4)&amp;MID($E13,6,2)&amp;RIGHT($E13,2)&amp;$F13&amp;"|"&amp;"1"&amp;RIGHT("00000"&amp;8,5))</f>
        <v/>
      </c>
      <c r="C13">
        <f>IF($B13="","",COUNTIFS($A$6:$A$1005,$A13,$B$6:$B$1005,"&lt;"&amp;$B13)+COUNTIFS($N$6:$N$2005,$A13,$P$6:$P$2005,"&lt;"&amp;$B13)+1)</f>
        <v/>
      </c>
      <c r="D13">
        <f>IF($C13="","",$A13&amp;"|"&amp;RIGHT("000000"&amp;$C13,6))</f>
        <v/>
      </c>
      <c r="E13">
        <f>IF(Entry!$B16="","",IF(ISNUMBER(Entry!$B16),IF(AND(Entry!$B16&gt;=10000101,Entry!$B16&lt;=99991231),INT(Entry!$B16/10000)&amp;"/"&amp;RIGHT("00"&amp;INT(MOD(Entry!$B16,10000)/100),2)&amp;"/"&amp;RIGHT("00"&amp;MOD(Entry!$B16,100),2),"نامعتبر"),IF(LEN(Entry!$B16)=10,Entry!$B16,"نامعتبر")))</f>
        <v/>
      </c>
      <c r="F13">
        <f>IF(Entry!$B16="","",IF(Entry!$C16="","0000",IF(AND(ISNUMBER(Entry!$C16),Entry!$C16&gt;=0,Entry!$C16&lt;1),RIGHT("00"&amp;HOUR(Entry!$C16),2)&amp;RIGHT("00"&amp;MINUTE(Entry!$C16),2),IFERROR(RIGHT("00"&amp;VALUE(LEFT(Entry!$C16,FIND(":",Entry!$C16)-1)),2)&amp;RIGHT("00"&amp;VALUE(MID(Entry!$C16,FIND(":",Entry!$C16)+1,2)),2),"0000"))))</f>
        <v/>
      </c>
      <c r="G13">
        <f>IF($A13="","",Entry!$G16)</f>
        <v/>
      </c>
      <c r="H13">
        <f>IF($A13="","",IF(Entry!$H16="",0,Entry!$H16))</f>
        <v/>
      </c>
      <c r="I13">
        <f>IF($A13="","",IF(Entry!$I16="",0,Entry!$I16))</f>
        <v/>
      </c>
      <c r="J13">
        <f>IF($A13="","",ROUND($H13*$I13,0))</f>
        <v/>
      </c>
      <c r="K13">
        <f>IF($A13="","",Entry!$D16)</f>
        <v/>
      </c>
      <c r="L13">
        <f>IF($A13="","",Entry!$L16)</f>
        <v/>
      </c>
      <c r="N13">
        <f>IF(OR(Sync!$M13="",$Q13="",$Q13="نامعتبر"),"",Sync!$M13)</f>
        <v/>
      </c>
      <c r="O13">
        <f>IF($N13="","",$Q13)</f>
        <v/>
      </c>
      <c r="P13">
        <f>IF($N13="","",LEFT($Q13,4)&amp;MID($Q13,6,2)&amp;RIGHT($Q13,2)&amp;IF(Sync!$K13="","0000",IF(AND(ISNUMBER(Sync!$K13),Sync!$K13&gt;=0,Sync!$K13&lt;1),RIGHT("00"&amp;HOUR(Sync!$K13),2)&amp;RIGHT("00"&amp;MINUTE(Sync!$K13),2),IFERROR(RIGHT("00"&amp;VALUE(LEFT(Sync!$K13,FIND(":",Sync!$K13)-1)),2)&amp;RIGHT("00"&amp;VALUE(MID(Sync!$K13,FIND(":",Sync!$K13)+1,2)),2),"0000")))&amp;"|"&amp;"2"&amp;RIGHT("00000"&amp;8,5))</f>
        <v/>
      </c>
      <c r="Q13">
        <f>IF(Sync!$J13="","",IF(ISNUMBER(Sync!$J13),IF(AND(Sync!$J13&gt;=10000101,Sync!$J13&lt;=99991231),INT(Sync!$J13/10000)&amp;"/"&amp;RIGHT("00"&amp;INT(MOD(Sync!$J13,10000)/100),2)&amp;"/"&amp;RIGHT("00"&amp;MOD(Sync!$J13,100),2),"نامعتبر"),IF(LEN(Sync!$J13)=10,Sync!$J13,"نامعتبر")))</f>
        <v/>
      </c>
      <c r="R13">
        <f>IF($P13="","",COUNTIFS($N$6:$N$2005,$N13,$P$6:$P$2005,"&lt;"&amp;$P13)+COUNTIFS($A$6:$A$1005,$N13,$B$6:$B$1005,"&lt;"&amp;$P13)+1)</f>
        <v/>
      </c>
      <c r="S13">
        <f>IF($N13="","",$N13&amp;"|"&amp;RIGHT("000000"&amp;$R13,6))</f>
        <v/>
      </c>
      <c r="T13">
        <f>IF($N13="","",IF(Sync!$N13="",0,Sync!$N13))</f>
        <v/>
      </c>
      <c r="U13">
        <f>IF($N13="","",IF(Sync!$O13="",0,Sync!$O13))</f>
        <v/>
      </c>
      <c r="V13">
        <f>IF($N13="","",Sync!$L13)</f>
        <v/>
      </c>
      <c r="W13">
        <f>IF($N13="","",Sync!$P13)</f>
        <v/>
      </c>
      <c r="AA13">
        <f>IF($A13="","",IF(COUNTIF($A$6:$A13,$A13)=1,1,0))</f>
        <v/>
      </c>
      <c r="AB13">
        <f>SUM($AA$6:$AA13)</f>
        <v/>
      </c>
      <c r="AC13">
        <f>IFERROR(INDEX($A$6:$A$1005,MATCH(ROW()-5,$AB$6:$AB$1005,0)),"")</f>
        <v/>
      </c>
    </row>
    <row r="14">
      <c r="A14">
        <f>IF(OR(Entry!$B17="",Entry!$E17="",$E14="نامعتبر"),"",Entry!$E17)</f>
        <v/>
      </c>
      <c r="B14">
        <f>IF($A14="","",LEFT($E14,4)&amp;MID($E14,6,2)&amp;RIGHT($E14,2)&amp;$F14&amp;"|"&amp;"1"&amp;RIGHT("00000"&amp;9,5))</f>
        <v/>
      </c>
      <c r="C14">
        <f>IF($B14="","",COUNTIFS($A$6:$A$1005,$A14,$B$6:$B$1005,"&lt;"&amp;$B14)+COUNTIFS($N$6:$N$2005,$A14,$P$6:$P$2005,"&lt;"&amp;$B14)+1)</f>
        <v/>
      </c>
      <c r="D14">
        <f>IF($C14="","",$A14&amp;"|"&amp;RIGHT("000000"&amp;$C14,6))</f>
        <v/>
      </c>
      <c r="E14">
        <f>IF(Entry!$B17="","",IF(ISNUMBER(Entry!$B17),IF(AND(Entry!$B17&gt;=10000101,Entry!$B17&lt;=99991231),INT(Entry!$B17/10000)&amp;"/"&amp;RIGHT("00"&amp;INT(MOD(Entry!$B17,10000)/100),2)&amp;"/"&amp;RIGHT("00"&amp;MOD(Entry!$B17,100),2),"نامعتبر"),IF(LEN(Entry!$B17)=10,Entry!$B17,"نامعتبر")))</f>
        <v/>
      </c>
      <c r="F14">
        <f>IF(Entry!$B17="","",IF(Entry!$C17="","0000",IF(AND(ISNUMBER(Entry!$C17),Entry!$C17&gt;=0,Entry!$C17&lt;1),RIGHT("00"&amp;HOUR(Entry!$C17),2)&amp;RIGHT("00"&amp;MINUTE(Entry!$C17),2),IFERROR(RIGHT("00"&amp;VALUE(LEFT(Entry!$C17,FIND(":",Entry!$C17)-1)),2)&amp;RIGHT("00"&amp;VALUE(MID(Entry!$C17,FIND(":",Entry!$C17)+1,2)),2),"0000"))))</f>
        <v/>
      </c>
      <c r="G14">
        <f>IF($A14="","",Entry!$G17)</f>
        <v/>
      </c>
      <c r="H14">
        <f>IF($A14="","",IF(Entry!$H17="",0,Entry!$H17))</f>
        <v/>
      </c>
      <c r="I14">
        <f>IF($A14="","",IF(Entry!$I17="",0,Entry!$I17))</f>
        <v/>
      </c>
      <c r="J14">
        <f>IF($A14="","",ROUND($H14*$I14,0))</f>
        <v/>
      </c>
      <c r="K14">
        <f>IF($A14="","",Entry!$D17)</f>
        <v/>
      </c>
      <c r="L14">
        <f>IF($A14="","",Entry!$L17)</f>
        <v/>
      </c>
      <c r="N14">
        <f>IF(OR(Sync!$M14="",$Q14="",$Q14="نامعتبر"),"",Sync!$M14)</f>
        <v/>
      </c>
      <c r="O14">
        <f>IF($N14="","",$Q14)</f>
        <v/>
      </c>
      <c r="P14">
        <f>IF($N14="","",LEFT($Q14,4)&amp;MID($Q14,6,2)&amp;RIGHT($Q14,2)&amp;IF(Sync!$K14="","0000",IF(AND(ISNUMBER(Sync!$K14),Sync!$K14&gt;=0,Sync!$K14&lt;1),RIGHT("00"&amp;HOUR(Sync!$K14),2)&amp;RIGHT("00"&amp;MINUTE(Sync!$K14),2),IFERROR(RIGHT("00"&amp;VALUE(LEFT(Sync!$K14,FIND(":",Sync!$K14)-1)),2)&amp;RIGHT("00"&amp;VALUE(MID(Sync!$K14,FIND(":",Sync!$K14)+1,2)),2),"0000")))&amp;"|"&amp;"2"&amp;RIGHT("00000"&amp;9,5))</f>
        <v/>
      </c>
      <c r="Q14">
        <f>IF(Sync!$J14="","",IF(ISNUMBER(Sync!$J14),IF(AND(Sync!$J14&gt;=10000101,Sync!$J14&lt;=99991231),INT(Sync!$J14/10000)&amp;"/"&amp;RIGHT("00"&amp;INT(MOD(Sync!$J14,10000)/100),2)&amp;"/"&amp;RIGHT("00"&amp;MOD(Sync!$J14,100),2),"نامعتبر"),IF(LEN(Sync!$J14)=10,Sync!$J14,"نامعتبر")))</f>
        <v/>
      </c>
      <c r="R14">
        <f>IF($P14="","",COUNTIFS($N$6:$N$2005,$N14,$P$6:$P$2005,"&lt;"&amp;$P14)+COUNTIFS($A$6:$A$1005,$N14,$B$6:$B$1005,"&lt;"&amp;$P14)+1)</f>
        <v/>
      </c>
      <c r="S14">
        <f>IF($N14="","",$N14&amp;"|"&amp;RIGHT("000000"&amp;$R14,6))</f>
        <v/>
      </c>
      <c r="T14">
        <f>IF($N14="","",IF(Sync!$N14="",0,Sync!$N14))</f>
        <v/>
      </c>
      <c r="U14">
        <f>IF($N14="","",IF(Sync!$O14="",0,Sync!$O14))</f>
        <v/>
      </c>
      <c r="V14">
        <f>IF($N14="","",Sync!$L14)</f>
        <v/>
      </c>
      <c r="W14">
        <f>IF($N14="","",Sync!$P14)</f>
        <v/>
      </c>
      <c r="AA14">
        <f>IF($A14="","",IF(COUNTIF($A$6:$A14,$A14)=1,1,0))</f>
        <v/>
      </c>
      <c r="AB14">
        <f>SUM($AA$6:$AA14)</f>
        <v/>
      </c>
      <c r="AC14">
        <f>IFERROR(INDEX($A$6:$A$1005,MATCH(ROW()-5,$AB$6:$AB$1005,0)),"")</f>
        <v/>
      </c>
    </row>
    <row r="15">
      <c r="A15">
        <f>IF(OR(Entry!$B18="",Entry!$E18="",$E15="نامعتبر"),"",Entry!$E18)</f>
        <v/>
      </c>
      <c r="B15">
        <f>IF($A15="","",LEFT($E15,4)&amp;MID($E15,6,2)&amp;RIGHT($E15,2)&amp;$F15&amp;"|"&amp;"1"&amp;RIGHT("00000"&amp;10,5))</f>
        <v/>
      </c>
      <c r="C15">
        <f>IF($B15="","",COUNTIFS($A$6:$A$1005,$A15,$B$6:$B$1005,"&lt;"&amp;$B15)+COUNTIFS($N$6:$N$2005,$A15,$P$6:$P$2005,"&lt;"&amp;$B15)+1)</f>
        <v/>
      </c>
      <c r="D15">
        <f>IF($C15="","",$A15&amp;"|"&amp;RIGHT("000000"&amp;$C15,6))</f>
        <v/>
      </c>
      <c r="E15">
        <f>IF(Entry!$B18="","",IF(ISNUMBER(Entry!$B18),IF(AND(Entry!$B18&gt;=10000101,Entry!$B18&lt;=99991231),INT(Entry!$B18/10000)&amp;"/"&amp;RIGHT("00"&amp;INT(MOD(Entry!$B18,10000)/100),2)&amp;"/"&amp;RIGHT("00"&amp;MOD(Entry!$B18,100),2),"نامعتبر"),IF(LEN(Entry!$B18)=10,Entry!$B18,"نامعتبر")))</f>
        <v/>
      </c>
      <c r="F15">
        <f>IF(Entry!$B18="","",IF(Entry!$C18="","0000",IF(AND(ISNUMBER(Entry!$C18),Entry!$C18&gt;=0,Entry!$C18&lt;1),RIGHT("00"&amp;HOUR(Entry!$C18),2)&amp;RIGHT("00"&amp;MINUTE(Entry!$C18),2),IFERROR(RIGHT("00"&amp;VALUE(LEFT(Entry!$C18,FIND(":",Entry!$C18)-1)),2)&amp;RIGHT("00"&amp;VALUE(MID(Entry!$C18,FIND(":",Entry!$C18)+1,2)),2),"0000"))))</f>
        <v/>
      </c>
      <c r="G15">
        <f>IF($A15="","",Entry!$G18)</f>
        <v/>
      </c>
      <c r="H15">
        <f>IF($A15="","",IF(Entry!$H18="",0,Entry!$H18))</f>
        <v/>
      </c>
      <c r="I15">
        <f>IF($A15="","",IF(Entry!$I18="",0,Entry!$I18))</f>
        <v/>
      </c>
      <c r="J15">
        <f>IF($A15="","",ROUND($H15*$I15,0))</f>
        <v/>
      </c>
      <c r="K15">
        <f>IF($A15="","",Entry!$D18)</f>
        <v/>
      </c>
      <c r="L15">
        <f>IF($A15="","",Entry!$L18)</f>
        <v/>
      </c>
      <c r="N15">
        <f>IF(OR(Sync!$M15="",$Q15="",$Q15="نامعتبر"),"",Sync!$M15)</f>
        <v/>
      </c>
      <c r="O15">
        <f>IF($N15="","",$Q15)</f>
        <v/>
      </c>
      <c r="P15">
        <f>IF($N15="","",LEFT($Q15,4)&amp;MID($Q15,6,2)&amp;RIGHT($Q15,2)&amp;IF(Sync!$K15="","0000",IF(AND(ISNUMBER(Sync!$K15),Sync!$K15&gt;=0,Sync!$K15&lt;1),RIGHT("00"&amp;HOUR(Sync!$K15),2)&amp;RIGHT("00"&amp;MINUTE(Sync!$K15),2),IFERROR(RIGHT("00"&amp;VALUE(LEFT(Sync!$K15,FIND(":",Sync!$K15)-1)),2)&amp;RIGHT("00"&amp;VALUE(MID(Sync!$K15,FIND(":",Sync!$K15)+1,2)),2),"0000")))&amp;"|"&amp;"2"&amp;RIGHT("00000"&amp;10,5))</f>
        <v/>
      </c>
      <c r="Q15">
        <f>IF(Sync!$J15="","",IF(ISNUMBER(Sync!$J15),IF(AND(Sync!$J15&gt;=10000101,Sync!$J15&lt;=99991231),INT(Sync!$J15/10000)&amp;"/"&amp;RIGHT("00"&amp;INT(MOD(Sync!$J15,10000)/100),2)&amp;"/"&amp;RIGHT("00"&amp;MOD(Sync!$J15,100),2),"نامعتبر"),IF(LEN(Sync!$J15)=10,Sync!$J15,"نامعتبر")))</f>
        <v/>
      </c>
      <c r="R15">
        <f>IF($P15="","",COUNTIFS($N$6:$N$2005,$N15,$P$6:$P$2005,"&lt;"&amp;$P15)+COUNTIFS($A$6:$A$1005,$N15,$B$6:$B$1005,"&lt;"&amp;$P15)+1)</f>
        <v/>
      </c>
      <c r="S15">
        <f>IF($N15="","",$N15&amp;"|"&amp;RIGHT("000000"&amp;$R15,6))</f>
        <v/>
      </c>
      <c r="T15">
        <f>IF($N15="","",IF(Sync!$N15="",0,Sync!$N15))</f>
        <v/>
      </c>
      <c r="U15">
        <f>IF($N15="","",IF(Sync!$O15="",0,Sync!$O15))</f>
        <v/>
      </c>
      <c r="V15">
        <f>IF($N15="","",Sync!$L15)</f>
        <v/>
      </c>
      <c r="W15">
        <f>IF($N15="","",Sync!$P15)</f>
        <v/>
      </c>
      <c r="AA15">
        <f>IF($A15="","",IF(COUNTIF($A$6:$A15,$A15)=1,1,0))</f>
        <v/>
      </c>
      <c r="AB15">
        <f>SUM($AA$6:$AA15)</f>
        <v/>
      </c>
      <c r="AC15">
        <f>IFERROR(INDEX($A$6:$A$1005,MATCH(ROW()-5,$AB$6:$AB$1005,0)),"")</f>
        <v/>
      </c>
    </row>
    <row r="16">
      <c r="A16">
        <f>IF(OR(Entry!$B19="",Entry!$E19="",$E16="نامعتبر"),"",Entry!$E19)</f>
        <v/>
      </c>
      <c r="B16">
        <f>IF($A16="","",LEFT($E16,4)&amp;MID($E16,6,2)&amp;RIGHT($E16,2)&amp;$F16&amp;"|"&amp;"1"&amp;RIGHT("00000"&amp;11,5))</f>
        <v/>
      </c>
      <c r="C16">
        <f>IF($B16="","",COUNTIFS($A$6:$A$1005,$A16,$B$6:$B$1005,"&lt;"&amp;$B16)+COUNTIFS($N$6:$N$2005,$A16,$P$6:$P$2005,"&lt;"&amp;$B16)+1)</f>
        <v/>
      </c>
      <c r="D16">
        <f>IF($C16="","",$A16&amp;"|"&amp;RIGHT("000000"&amp;$C16,6))</f>
        <v/>
      </c>
      <c r="E16">
        <f>IF(Entry!$B19="","",IF(ISNUMBER(Entry!$B19),IF(AND(Entry!$B19&gt;=10000101,Entry!$B19&lt;=99991231),INT(Entry!$B19/10000)&amp;"/"&amp;RIGHT("00"&amp;INT(MOD(Entry!$B19,10000)/100),2)&amp;"/"&amp;RIGHT("00"&amp;MOD(Entry!$B19,100),2),"نامعتبر"),IF(LEN(Entry!$B19)=10,Entry!$B19,"نامعتبر")))</f>
        <v/>
      </c>
      <c r="F16">
        <f>IF(Entry!$B19="","",IF(Entry!$C19="","0000",IF(AND(ISNUMBER(Entry!$C19),Entry!$C19&gt;=0,Entry!$C19&lt;1),RIGHT("00"&amp;HOUR(Entry!$C19),2)&amp;RIGHT("00"&amp;MINUTE(Entry!$C19),2),IFERROR(RIGHT("00"&amp;VALUE(LEFT(Entry!$C19,FIND(":",Entry!$C19)-1)),2)&amp;RIGHT("00"&amp;VALUE(MID(Entry!$C19,FIND(":",Entry!$C19)+1,2)),2),"0000"))))</f>
        <v/>
      </c>
      <c r="G16">
        <f>IF($A16="","",Entry!$G19)</f>
        <v/>
      </c>
      <c r="H16">
        <f>IF($A16="","",IF(Entry!$H19="",0,Entry!$H19))</f>
        <v/>
      </c>
      <c r="I16">
        <f>IF($A16="","",IF(Entry!$I19="",0,Entry!$I19))</f>
        <v/>
      </c>
      <c r="J16">
        <f>IF($A16="","",ROUND($H16*$I16,0))</f>
        <v/>
      </c>
      <c r="K16">
        <f>IF($A16="","",Entry!$D19)</f>
        <v/>
      </c>
      <c r="L16">
        <f>IF($A16="","",Entry!$L19)</f>
        <v/>
      </c>
      <c r="N16">
        <f>IF(OR(Sync!$M16="",$Q16="",$Q16="نامعتبر"),"",Sync!$M16)</f>
        <v/>
      </c>
      <c r="O16">
        <f>IF($N16="","",$Q16)</f>
        <v/>
      </c>
      <c r="P16">
        <f>IF($N16="","",LEFT($Q16,4)&amp;MID($Q16,6,2)&amp;RIGHT($Q16,2)&amp;IF(Sync!$K16="","0000",IF(AND(ISNUMBER(Sync!$K16),Sync!$K16&gt;=0,Sync!$K16&lt;1),RIGHT("00"&amp;HOUR(Sync!$K16),2)&amp;RIGHT("00"&amp;MINUTE(Sync!$K16),2),IFERROR(RIGHT("00"&amp;VALUE(LEFT(Sync!$K16,FIND(":",Sync!$K16)-1)),2)&amp;RIGHT("00"&amp;VALUE(MID(Sync!$K16,FIND(":",Sync!$K16)+1,2)),2),"0000")))&amp;"|"&amp;"2"&amp;RIGHT("00000"&amp;11,5))</f>
        <v/>
      </c>
      <c r="Q16">
        <f>IF(Sync!$J16="","",IF(ISNUMBER(Sync!$J16),IF(AND(Sync!$J16&gt;=10000101,Sync!$J16&lt;=99991231),INT(Sync!$J16/10000)&amp;"/"&amp;RIGHT("00"&amp;INT(MOD(Sync!$J16,10000)/100),2)&amp;"/"&amp;RIGHT("00"&amp;MOD(Sync!$J16,100),2),"نامعتبر"),IF(LEN(Sync!$J16)=10,Sync!$J16,"نامعتبر")))</f>
        <v/>
      </c>
      <c r="R16">
        <f>IF($P16="","",COUNTIFS($N$6:$N$2005,$N16,$P$6:$P$2005,"&lt;"&amp;$P16)+COUNTIFS($A$6:$A$1005,$N16,$B$6:$B$1005,"&lt;"&amp;$P16)+1)</f>
        <v/>
      </c>
      <c r="S16">
        <f>IF($N16="","",$N16&amp;"|"&amp;RIGHT("000000"&amp;$R16,6))</f>
        <v/>
      </c>
      <c r="T16">
        <f>IF($N16="","",IF(Sync!$N16="",0,Sync!$N16))</f>
        <v/>
      </c>
      <c r="U16">
        <f>IF($N16="","",IF(Sync!$O16="",0,Sync!$O16))</f>
        <v/>
      </c>
      <c r="V16">
        <f>IF($N16="","",Sync!$L16)</f>
        <v/>
      </c>
      <c r="W16">
        <f>IF($N16="","",Sync!$P16)</f>
        <v/>
      </c>
      <c r="AA16">
        <f>IF($A16="","",IF(COUNTIF($A$6:$A16,$A16)=1,1,0))</f>
        <v/>
      </c>
      <c r="AB16">
        <f>SUM($AA$6:$AA16)</f>
        <v/>
      </c>
      <c r="AC16">
        <f>IFERROR(INDEX($A$6:$A$1005,MATCH(ROW()-5,$AB$6:$AB$1005,0)),"")</f>
        <v/>
      </c>
    </row>
    <row r="17">
      <c r="A17">
        <f>IF(OR(Entry!$B20="",Entry!$E20="",$E17="نامعتبر"),"",Entry!$E20)</f>
        <v/>
      </c>
      <c r="B17">
        <f>IF($A17="","",LEFT($E17,4)&amp;MID($E17,6,2)&amp;RIGHT($E17,2)&amp;$F17&amp;"|"&amp;"1"&amp;RIGHT("00000"&amp;12,5))</f>
        <v/>
      </c>
      <c r="C17">
        <f>IF($B17="","",COUNTIFS($A$6:$A$1005,$A17,$B$6:$B$1005,"&lt;"&amp;$B17)+COUNTIFS($N$6:$N$2005,$A17,$P$6:$P$2005,"&lt;"&amp;$B17)+1)</f>
        <v/>
      </c>
      <c r="D17">
        <f>IF($C17="","",$A17&amp;"|"&amp;RIGHT("000000"&amp;$C17,6))</f>
        <v/>
      </c>
      <c r="E17">
        <f>IF(Entry!$B20="","",IF(ISNUMBER(Entry!$B20),IF(AND(Entry!$B20&gt;=10000101,Entry!$B20&lt;=99991231),INT(Entry!$B20/10000)&amp;"/"&amp;RIGHT("00"&amp;INT(MOD(Entry!$B20,10000)/100),2)&amp;"/"&amp;RIGHT("00"&amp;MOD(Entry!$B20,100),2),"نامعتبر"),IF(LEN(Entry!$B20)=10,Entry!$B20,"نامعتبر")))</f>
        <v/>
      </c>
      <c r="F17">
        <f>IF(Entry!$B20="","",IF(Entry!$C20="","0000",IF(AND(ISNUMBER(Entry!$C20),Entry!$C20&gt;=0,Entry!$C20&lt;1),RIGHT("00"&amp;HOUR(Entry!$C20),2)&amp;RIGHT("00"&amp;MINUTE(Entry!$C20),2),IFERROR(RIGHT("00"&amp;VALUE(LEFT(Entry!$C20,FIND(":",Entry!$C20)-1)),2)&amp;RIGHT("00"&amp;VALUE(MID(Entry!$C20,FIND(":",Entry!$C20)+1,2)),2),"0000"))))</f>
        <v/>
      </c>
      <c r="G17">
        <f>IF($A17="","",Entry!$G20)</f>
        <v/>
      </c>
      <c r="H17">
        <f>IF($A17="","",IF(Entry!$H20="",0,Entry!$H20))</f>
        <v/>
      </c>
      <c r="I17">
        <f>IF($A17="","",IF(Entry!$I20="",0,Entry!$I20))</f>
        <v/>
      </c>
      <c r="J17">
        <f>IF($A17="","",ROUND($H17*$I17,0))</f>
        <v/>
      </c>
      <c r="K17">
        <f>IF($A17="","",Entry!$D20)</f>
        <v/>
      </c>
      <c r="L17">
        <f>IF($A17="","",Entry!$L20)</f>
        <v/>
      </c>
      <c r="N17">
        <f>IF(OR(Sync!$M17="",$Q17="",$Q17="نامعتبر"),"",Sync!$M17)</f>
        <v/>
      </c>
      <c r="O17">
        <f>IF($N17="","",$Q17)</f>
        <v/>
      </c>
      <c r="P17">
        <f>IF($N17="","",LEFT($Q17,4)&amp;MID($Q17,6,2)&amp;RIGHT($Q17,2)&amp;IF(Sync!$K17="","0000",IF(AND(ISNUMBER(Sync!$K17),Sync!$K17&gt;=0,Sync!$K17&lt;1),RIGHT("00"&amp;HOUR(Sync!$K17),2)&amp;RIGHT("00"&amp;MINUTE(Sync!$K17),2),IFERROR(RIGHT("00"&amp;VALUE(LEFT(Sync!$K17,FIND(":",Sync!$K17)-1)),2)&amp;RIGHT("00"&amp;VALUE(MID(Sync!$K17,FIND(":",Sync!$K17)+1,2)),2),"0000")))&amp;"|"&amp;"2"&amp;RIGHT("00000"&amp;12,5))</f>
        <v/>
      </c>
      <c r="Q17">
        <f>IF(Sync!$J17="","",IF(ISNUMBER(Sync!$J17),IF(AND(Sync!$J17&gt;=10000101,Sync!$J17&lt;=99991231),INT(Sync!$J17/10000)&amp;"/"&amp;RIGHT("00"&amp;INT(MOD(Sync!$J17,10000)/100),2)&amp;"/"&amp;RIGHT("00"&amp;MOD(Sync!$J17,100),2),"نامعتبر"),IF(LEN(Sync!$J17)=10,Sync!$J17,"نامعتبر")))</f>
        <v/>
      </c>
      <c r="R17">
        <f>IF($P17="","",COUNTIFS($N$6:$N$2005,$N17,$P$6:$P$2005,"&lt;"&amp;$P17)+COUNTIFS($A$6:$A$1005,$N17,$B$6:$B$1005,"&lt;"&amp;$P17)+1)</f>
        <v/>
      </c>
      <c r="S17">
        <f>IF($N17="","",$N17&amp;"|"&amp;RIGHT("000000"&amp;$R17,6))</f>
        <v/>
      </c>
      <c r="T17">
        <f>IF($N17="","",IF(Sync!$N17="",0,Sync!$N17))</f>
        <v/>
      </c>
      <c r="U17">
        <f>IF($N17="","",IF(Sync!$O17="",0,Sync!$O17))</f>
        <v/>
      </c>
      <c r="V17">
        <f>IF($N17="","",Sync!$L17)</f>
        <v/>
      </c>
      <c r="W17">
        <f>IF($N17="","",Sync!$P17)</f>
        <v/>
      </c>
      <c r="AA17">
        <f>IF($A17="","",IF(COUNTIF($A$6:$A17,$A17)=1,1,0))</f>
        <v/>
      </c>
      <c r="AB17">
        <f>SUM($AA$6:$AA17)</f>
        <v/>
      </c>
      <c r="AC17">
        <f>IFERROR(INDEX($A$6:$A$1005,MATCH(ROW()-5,$AB$6:$AB$1005,0)),"")</f>
        <v/>
      </c>
    </row>
    <row r="18">
      <c r="A18">
        <f>IF(OR(Entry!$B21="",Entry!$E21="",$E18="نامعتبر"),"",Entry!$E21)</f>
        <v/>
      </c>
      <c r="B18">
        <f>IF($A18="","",LEFT($E18,4)&amp;MID($E18,6,2)&amp;RIGHT($E18,2)&amp;$F18&amp;"|"&amp;"1"&amp;RIGHT("00000"&amp;13,5))</f>
        <v/>
      </c>
      <c r="C18">
        <f>IF($B18="","",COUNTIFS($A$6:$A$1005,$A18,$B$6:$B$1005,"&lt;"&amp;$B18)+COUNTIFS($N$6:$N$2005,$A18,$P$6:$P$2005,"&lt;"&amp;$B18)+1)</f>
        <v/>
      </c>
      <c r="D18">
        <f>IF($C18="","",$A18&amp;"|"&amp;RIGHT("000000"&amp;$C18,6))</f>
        <v/>
      </c>
      <c r="E18">
        <f>IF(Entry!$B21="","",IF(ISNUMBER(Entry!$B21),IF(AND(Entry!$B21&gt;=10000101,Entry!$B21&lt;=99991231),INT(Entry!$B21/10000)&amp;"/"&amp;RIGHT("00"&amp;INT(MOD(Entry!$B21,10000)/100),2)&amp;"/"&amp;RIGHT("00"&amp;MOD(Entry!$B21,100),2),"نامعتبر"),IF(LEN(Entry!$B21)=10,Entry!$B21,"نامعتبر")))</f>
        <v/>
      </c>
      <c r="F18">
        <f>IF(Entry!$B21="","",IF(Entry!$C21="","0000",IF(AND(ISNUMBER(Entry!$C21),Entry!$C21&gt;=0,Entry!$C21&lt;1),RIGHT("00"&amp;HOUR(Entry!$C21),2)&amp;RIGHT("00"&amp;MINUTE(Entry!$C21),2),IFERROR(RIGHT("00"&amp;VALUE(LEFT(Entry!$C21,FIND(":",Entry!$C21)-1)),2)&amp;RIGHT("00"&amp;VALUE(MID(Entry!$C21,FIND(":",Entry!$C21)+1,2)),2),"0000"))))</f>
        <v/>
      </c>
      <c r="G18">
        <f>IF($A18="","",Entry!$G21)</f>
        <v/>
      </c>
      <c r="H18">
        <f>IF($A18="","",IF(Entry!$H21="",0,Entry!$H21))</f>
        <v/>
      </c>
      <c r="I18">
        <f>IF($A18="","",IF(Entry!$I21="",0,Entry!$I21))</f>
        <v/>
      </c>
      <c r="J18">
        <f>IF($A18="","",ROUND($H18*$I18,0))</f>
        <v/>
      </c>
      <c r="K18">
        <f>IF($A18="","",Entry!$D21)</f>
        <v/>
      </c>
      <c r="L18">
        <f>IF($A18="","",Entry!$L21)</f>
        <v/>
      </c>
      <c r="N18">
        <f>IF(OR(Sync!$M18="",$Q18="",$Q18="نامعتبر"),"",Sync!$M18)</f>
        <v/>
      </c>
      <c r="O18">
        <f>IF($N18="","",$Q18)</f>
        <v/>
      </c>
      <c r="P18">
        <f>IF($N18="","",LEFT($Q18,4)&amp;MID($Q18,6,2)&amp;RIGHT($Q18,2)&amp;IF(Sync!$K18="","0000",IF(AND(ISNUMBER(Sync!$K18),Sync!$K18&gt;=0,Sync!$K18&lt;1),RIGHT("00"&amp;HOUR(Sync!$K18),2)&amp;RIGHT("00"&amp;MINUTE(Sync!$K18),2),IFERROR(RIGHT("00"&amp;VALUE(LEFT(Sync!$K18,FIND(":",Sync!$K18)-1)),2)&amp;RIGHT("00"&amp;VALUE(MID(Sync!$K18,FIND(":",Sync!$K18)+1,2)),2),"0000")))&amp;"|"&amp;"2"&amp;RIGHT("00000"&amp;13,5))</f>
        <v/>
      </c>
      <c r="Q18">
        <f>IF(Sync!$J18="","",IF(ISNUMBER(Sync!$J18),IF(AND(Sync!$J18&gt;=10000101,Sync!$J18&lt;=99991231),INT(Sync!$J18/10000)&amp;"/"&amp;RIGHT("00"&amp;INT(MOD(Sync!$J18,10000)/100),2)&amp;"/"&amp;RIGHT("00"&amp;MOD(Sync!$J18,100),2),"نامعتبر"),IF(LEN(Sync!$J18)=10,Sync!$J18,"نامعتبر")))</f>
        <v/>
      </c>
      <c r="R18">
        <f>IF($P18="","",COUNTIFS($N$6:$N$2005,$N18,$P$6:$P$2005,"&lt;"&amp;$P18)+COUNTIFS($A$6:$A$1005,$N18,$B$6:$B$1005,"&lt;"&amp;$P18)+1)</f>
        <v/>
      </c>
      <c r="S18">
        <f>IF($N18="","",$N18&amp;"|"&amp;RIGHT("000000"&amp;$R18,6))</f>
        <v/>
      </c>
      <c r="T18">
        <f>IF($N18="","",IF(Sync!$N18="",0,Sync!$N18))</f>
        <v/>
      </c>
      <c r="U18">
        <f>IF($N18="","",IF(Sync!$O18="",0,Sync!$O18))</f>
        <v/>
      </c>
      <c r="V18">
        <f>IF($N18="","",Sync!$L18)</f>
        <v/>
      </c>
      <c r="W18">
        <f>IF($N18="","",Sync!$P18)</f>
        <v/>
      </c>
      <c r="AA18">
        <f>IF($A18="","",IF(COUNTIF($A$6:$A18,$A18)=1,1,0))</f>
        <v/>
      </c>
      <c r="AB18">
        <f>SUM($AA$6:$AA18)</f>
        <v/>
      </c>
      <c r="AC18">
        <f>IFERROR(INDEX($A$6:$A$1005,MATCH(ROW()-5,$AB$6:$AB$1005,0)),"")</f>
        <v/>
      </c>
    </row>
    <row r="19">
      <c r="A19">
        <f>IF(OR(Entry!$B22="",Entry!$E22="",$E19="نامعتبر"),"",Entry!$E22)</f>
        <v/>
      </c>
      <c r="B19">
        <f>IF($A19="","",LEFT($E19,4)&amp;MID($E19,6,2)&amp;RIGHT($E19,2)&amp;$F19&amp;"|"&amp;"1"&amp;RIGHT("00000"&amp;14,5))</f>
        <v/>
      </c>
      <c r="C19">
        <f>IF($B19="","",COUNTIFS($A$6:$A$1005,$A19,$B$6:$B$1005,"&lt;"&amp;$B19)+COUNTIFS($N$6:$N$2005,$A19,$P$6:$P$2005,"&lt;"&amp;$B19)+1)</f>
        <v/>
      </c>
      <c r="D19">
        <f>IF($C19="","",$A19&amp;"|"&amp;RIGHT("000000"&amp;$C19,6))</f>
        <v/>
      </c>
      <c r="E19">
        <f>IF(Entry!$B22="","",IF(ISNUMBER(Entry!$B22),IF(AND(Entry!$B22&gt;=10000101,Entry!$B22&lt;=99991231),INT(Entry!$B22/10000)&amp;"/"&amp;RIGHT("00"&amp;INT(MOD(Entry!$B22,10000)/100),2)&amp;"/"&amp;RIGHT("00"&amp;MOD(Entry!$B22,100),2),"نامعتبر"),IF(LEN(Entry!$B22)=10,Entry!$B22,"نامعتبر")))</f>
        <v/>
      </c>
      <c r="F19">
        <f>IF(Entry!$B22="","",IF(Entry!$C22="","0000",IF(AND(ISNUMBER(Entry!$C22),Entry!$C22&gt;=0,Entry!$C22&lt;1),RIGHT("00"&amp;HOUR(Entry!$C22),2)&amp;RIGHT("00"&amp;MINUTE(Entry!$C22),2),IFERROR(RIGHT("00"&amp;VALUE(LEFT(Entry!$C22,FIND(":",Entry!$C22)-1)),2)&amp;RIGHT("00"&amp;VALUE(MID(Entry!$C22,FIND(":",Entry!$C22)+1,2)),2),"0000"))))</f>
        <v/>
      </c>
      <c r="G19">
        <f>IF($A19="","",Entry!$G22)</f>
        <v/>
      </c>
      <c r="H19">
        <f>IF($A19="","",IF(Entry!$H22="",0,Entry!$H22))</f>
        <v/>
      </c>
      <c r="I19">
        <f>IF($A19="","",IF(Entry!$I22="",0,Entry!$I22))</f>
        <v/>
      </c>
      <c r="J19">
        <f>IF($A19="","",ROUND($H19*$I19,0))</f>
        <v/>
      </c>
      <c r="K19">
        <f>IF($A19="","",Entry!$D22)</f>
        <v/>
      </c>
      <c r="L19">
        <f>IF($A19="","",Entry!$L22)</f>
        <v/>
      </c>
      <c r="N19">
        <f>IF(OR(Sync!$M19="",$Q19="",$Q19="نامعتبر"),"",Sync!$M19)</f>
        <v/>
      </c>
      <c r="O19">
        <f>IF($N19="","",$Q19)</f>
        <v/>
      </c>
      <c r="P19">
        <f>IF($N19="","",LEFT($Q19,4)&amp;MID($Q19,6,2)&amp;RIGHT($Q19,2)&amp;IF(Sync!$K19="","0000",IF(AND(ISNUMBER(Sync!$K19),Sync!$K19&gt;=0,Sync!$K19&lt;1),RIGHT("00"&amp;HOUR(Sync!$K19),2)&amp;RIGHT("00"&amp;MINUTE(Sync!$K19),2),IFERROR(RIGHT("00"&amp;VALUE(LEFT(Sync!$K19,FIND(":",Sync!$K19)-1)),2)&amp;RIGHT("00"&amp;VALUE(MID(Sync!$K19,FIND(":",Sync!$K19)+1,2)),2),"0000")))&amp;"|"&amp;"2"&amp;RIGHT("00000"&amp;14,5))</f>
        <v/>
      </c>
      <c r="Q19">
        <f>IF(Sync!$J19="","",IF(ISNUMBER(Sync!$J19),IF(AND(Sync!$J19&gt;=10000101,Sync!$J19&lt;=99991231),INT(Sync!$J19/10000)&amp;"/"&amp;RIGHT("00"&amp;INT(MOD(Sync!$J19,10000)/100),2)&amp;"/"&amp;RIGHT("00"&amp;MOD(Sync!$J19,100),2),"نامعتبر"),IF(LEN(Sync!$J19)=10,Sync!$J19,"نامعتبر")))</f>
        <v/>
      </c>
      <c r="R19">
        <f>IF($P19="","",COUNTIFS($N$6:$N$2005,$N19,$P$6:$P$2005,"&lt;"&amp;$P19)+COUNTIFS($A$6:$A$1005,$N19,$B$6:$B$1005,"&lt;"&amp;$P19)+1)</f>
        <v/>
      </c>
      <c r="S19">
        <f>IF($N19="","",$N19&amp;"|"&amp;RIGHT("000000"&amp;$R19,6))</f>
        <v/>
      </c>
      <c r="T19">
        <f>IF($N19="","",IF(Sync!$N19="",0,Sync!$N19))</f>
        <v/>
      </c>
      <c r="U19">
        <f>IF($N19="","",IF(Sync!$O19="",0,Sync!$O19))</f>
        <v/>
      </c>
      <c r="V19">
        <f>IF($N19="","",Sync!$L19)</f>
        <v/>
      </c>
      <c r="W19">
        <f>IF($N19="","",Sync!$P19)</f>
        <v/>
      </c>
      <c r="AA19">
        <f>IF($A19="","",IF(COUNTIF($A$6:$A19,$A19)=1,1,0))</f>
        <v/>
      </c>
      <c r="AB19">
        <f>SUM($AA$6:$AA19)</f>
        <v/>
      </c>
      <c r="AC19">
        <f>IFERROR(INDEX($A$6:$A$1005,MATCH(ROW()-5,$AB$6:$AB$1005,0)),"")</f>
        <v/>
      </c>
    </row>
    <row r="20">
      <c r="A20">
        <f>IF(OR(Entry!$B23="",Entry!$E23="",$E20="نامعتبر"),"",Entry!$E23)</f>
        <v/>
      </c>
      <c r="B20">
        <f>IF($A20="","",LEFT($E20,4)&amp;MID($E20,6,2)&amp;RIGHT($E20,2)&amp;$F20&amp;"|"&amp;"1"&amp;RIGHT("00000"&amp;15,5))</f>
        <v/>
      </c>
      <c r="C20">
        <f>IF($B20="","",COUNTIFS($A$6:$A$1005,$A20,$B$6:$B$1005,"&lt;"&amp;$B20)+COUNTIFS($N$6:$N$2005,$A20,$P$6:$P$2005,"&lt;"&amp;$B20)+1)</f>
        <v/>
      </c>
      <c r="D20">
        <f>IF($C20="","",$A20&amp;"|"&amp;RIGHT("000000"&amp;$C20,6))</f>
        <v/>
      </c>
      <c r="E20">
        <f>IF(Entry!$B23="","",IF(ISNUMBER(Entry!$B23),IF(AND(Entry!$B23&gt;=10000101,Entry!$B23&lt;=99991231),INT(Entry!$B23/10000)&amp;"/"&amp;RIGHT("00"&amp;INT(MOD(Entry!$B23,10000)/100),2)&amp;"/"&amp;RIGHT("00"&amp;MOD(Entry!$B23,100),2),"نامعتبر"),IF(LEN(Entry!$B23)=10,Entry!$B23,"نامعتبر")))</f>
        <v/>
      </c>
      <c r="F20">
        <f>IF(Entry!$B23="","",IF(Entry!$C23="","0000",IF(AND(ISNUMBER(Entry!$C23),Entry!$C23&gt;=0,Entry!$C23&lt;1),RIGHT("00"&amp;HOUR(Entry!$C23),2)&amp;RIGHT("00"&amp;MINUTE(Entry!$C23),2),IFERROR(RIGHT("00"&amp;VALUE(LEFT(Entry!$C23,FIND(":",Entry!$C23)-1)),2)&amp;RIGHT("00"&amp;VALUE(MID(Entry!$C23,FIND(":",Entry!$C23)+1,2)),2),"0000"))))</f>
        <v/>
      </c>
      <c r="G20">
        <f>IF($A20="","",Entry!$G23)</f>
        <v/>
      </c>
      <c r="H20">
        <f>IF($A20="","",IF(Entry!$H23="",0,Entry!$H23))</f>
        <v/>
      </c>
      <c r="I20">
        <f>IF($A20="","",IF(Entry!$I23="",0,Entry!$I23))</f>
        <v/>
      </c>
      <c r="J20">
        <f>IF($A20="","",ROUND($H20*$I20,0))</f>
        <v/>
      </c>
      <c r="K20">
        <f>IF($A20="","",Entry!$D23)</f>
        <v/>
      </c>
      <c r="L20">
        <f>IF($A20="","",Entry!$L23)</f>
        <v/>
      </c>
      <c r="N20">
        <f>IF(OR(Sync!$M20="",$Q20="",$Q20="نامعتبر"),"",Sync!$M20)</f>
        <v/>
      </c>
      <c r="O20">
        <f>IF($N20="","",$Q20)</f>
        <v/>
      </c>
      <c r="P20">
        <f>IF($N20="","",LEFT($Q20,4)&amp;MID($Q20,6,2)&amp;RIGHT($Q20,2)&amp;IF(Sync!$K20="","0000",IF(AND(ISNUMBER(Sync!$K20),Sync!$K20&gt;=0,Sync!$K20&lt;1),RIGHT("00"&amp;HOUR(Sync!$K20),2)&amp;RIGHT("00"&amp;MINUTE(Sync!$K20),2),IFERROR(RIGHT("00"&amp;VALUE(LEFT(Sync!$K20,FIND(":",Sync!$K20)-1)),2)&amp;RIGHT("00"&amp;VALUE(MID(Sync!$K20,FIND(":",Sync!$K20)+1,2)),2),"0000")))&amp;"|"&amp;"2"&amp;RIGHT("00000"&amp;15,5))</f>
        <v/>
      </c>
      <c r="Q20">
        <f>IF(Sync!$J20="","",IF(ISNUMBER(Sync!$J20),IF(AND(Sync!$J20&gt;=10000101,Sync!$J20&lt;=99991231),INT(Sync!$J20/10000)&amp;"/"&amp;RIGHT("00"&amp;INT(MOD(Sync!$J20,10000)/100),2)&amp;"/"&amp;RIGHT("00"&amp;MOD(Sync!$J20,100),2),"نامعتبر"),IF(LEN(Sync!$J20)=10,Sync!$J20,"نامعتبر")))</f>
        <v/>
      </c>
      <c r="R20">
        <f>IF($P20="","",COUNTIFS($N$6:$N$2005,$N20,$P$6:$P$2005,"&lt;"&amp;$P20)+COUNTIFS($A$6:$A$1005,$N20,$B$6:$B$1005,"&lt;"&amp;$P20)+1)</f>
        <v/>
      </c>
      <c r="S20">
        <f>IF($N20="","",$N20&amp;"|"&amp;RIGHT("000000"&amp;$R20,6))</f>
        <v/>
      </c>
      <c r="T20">
        <f>IF($N20="","",IF(Sync!$N20="",0,Sync!$N20))</f>
        <v/>
      </c>
      <c r="U20">
        <f>IF($N20="","",IF(Sync!$O20="",0,Sync!$O20))</f>
        <v/>
      </c>
      <c r="V20">
        <f>IF($N20="","",Sync!$L20)</f>
        <v/>
      </c>
      <c r="W20">
        <f>IF($N20="","",Sync!$P20)</f>
        <v/>
      </c>
      <c r="AA20">
        <f>IF($A20="","",IF(COUNTIF($A$6:$A20,$A20)=1,1,0))</f>
        <v/>
      </c>
      <c r="AB20">
        <f>SUM($AA$6:$AA20)</f>
        <v/>
      </c>
      <c r="AC20">
        <f>IFERROR(INDEX($A$6:$A$1005,MATCH(ROW()-5,$AB$6:$AB$1005,0)),"")</f>
        <v/>
      </c>
    </row>
    <row r="21">
      <c r="A21">
        <f>IF(OR(Entry!$B24="",Entry!$E24="",$E21="نامعتبر"),"",Entry!$E24)</f>
        <v/>
      </c>
      <c r="B21">
        <f>IF($A21="","",LEFT($E21,4)&amp;MID($E21,6,2)&amp;RIGHT($E21,2)&amp;$F21&amp;"|"&amp;"1"&amp;RIGHT("00000"&amp;16,5))</f>
        <v/>
      </c>
      <c r="C21">
        <f>IF($B21="","",COUNTIFS($A$6:$A$1005,$A21,$B$6:$B$1005,"&lt;"&amp;$B21)+COUNTIFS($N$6:$N$2005,$A21,$P$6:$P$2005,"&lt;"&amp;$B21)+1)</f>
        <v/>
      </c>
      <c r="D21">
        <f>IF($C21="","",$A21&amp;"|"&amp;RIGHT("000000"&amp;$C21,6))</f>
        <v/>
      </c>
      <c r="E21">
        <f>IF(Entry!$B24="","",IF(ISNUMBER(Entry!$B24),IF(AND(Entry!$B24&gt;=10000101,Entry!$B24&lt;=99991231),INT(Entry!$B24/10000)&amp;"/"&amp;RIGHT("00"&amp;INT(MOD(Entry!$B24,10000)/100),2)&amp;"/"&amp;RIGHT("00"&amp;MOD(Entry!$B24,100),2),"نامعتبر"),IF(LEN(Entry!$B24)=10,Entry!$B24,"نامعتبر")))</f>
        <v/>
      </c>
      <c r="F21">
        <f>IF(Entry!$B24="","",IF(Entry!$C24="","0000",IF(AND(ISNUMBER(Entry!$C24),Entry!$C24&gt;=0,Entry!$C24&lt;1),RIGHT("00"&amp;HOUR(Entry!$C24),2)&amp;RIGHT("00"&amp;MINUTE(Entry!$C24),2),IFERROR(RIGHT("00"&amp;VALUE(LEFT(Entry!$C24,FIND(":",Entry!$C24)-1)),2)&amp;RIGHT("00"&amp;VALUE(MID(Entry!$C24,FIND(":",Entry!$C24)+1,2)),2),"0000"))))</f>
        <v/>
      </c>
      <c r="G21">
        <f>IF($A21="","",Entry!$G24)</f>
        <v/>
      </c>
      <c r="H21">
        <f>IF($A21="","",IF(Entry!$H24="",0,Entry!$H24))</f>
        <v/>
      </c>
      <c r="I21">
        <f>IF($A21="","",IF(Entry!$I24="",0,Entry!$I24))</f>
        <v/>
      </c>
      <c r="J21">
        <f>IF($A21="","",ROUND($H21*$I21,0))</f>
        <v/>
      </c>
      <c r="K21">
        <f>IF($A21="","",Entry!$D24)</f>
        <v/>
      </c>
      <c r="L21">
        <f>IF($A21="","",Entry!$L24)</f>
        <v/>
      </c>
      <c r="N21">
        <f>IF(OR(Sync!$M21="",$Q21="",$Q21="نامعتبر"),"",Sync!$M21)</f>
        <v/>
      </c>
      <c r="O21">
        <f>IF($N21="","",$Q21)</f>
        <v/>
      </c>
      <c r="P21">
        <f>IF($N21="","",LEFT($Q21,4)&amp;MID($Q21,6,2)&amp;RIGHT($Q21,2)&amp;IF(Sync!$K21="","0000",IF(AND(ISNUMBER(Sync!$K21),Sync!$K21&gt;=0,Sync!$K21&lt;1),RIGHT("00"&amp;HOUR(Sync!$K21),2)&amp;RIGHT("00"&amp;MINUTE(Sync!$K21),2),IFERROR(RIGHT("00"&amp;VALUE(LEFT(Sync!$K21,FIND(":",Sync!$K21)-1)),2)&amp;RIGHT("00"&amp;VALUE(MID(Sync!$K21,FIND(":",Sync!$K21)+1,2)),2),"0000")))&amp;"|"&amp;"2"&amp;RIGHT("00000"&amp;16,5))</f>
        <v/>
      </c>
      <c r="Q21">
        <f>IF(Sync!$J21="","",IF(ISNUMBER(Sync!$J21),IF(AND(Sync!$J21&gt;=10000101,Sync!$J21&lt;=99991231),INT(Sync!$J21/10000)&amp;"/"&amp;RIGHT("00"&amp;INT(MOD(Sync!$J21,10000)/100),2)&amp;"/"&amp;RIGHT("00"&amp;MOD(Sync!$J21,100),2),"نامعتبر"),IF(LEN(Sync!$J21)=10,Sync!$J21,"نامعتبر")))</f>
        <v/>
      </c>
      <c r="R21">
        <f>IF($P21="","",COUNTIFS($N$6:$N$2005,$N21,$P$6:$P$2005,"&lt;"&amp;$P21)+COUNTIFS($A$6:$A$1005,$N21,$B$6:$B$1005,"&lt;"&amp;$P21)+1)</f>
        <v/>
      </c>
      <c r="S21">
        <f>IF($N21="","",$N21&amp;"|"&amp;RIGHT("000000"&amp;$R21,6))</f>
        <v/>
      </c>
      <c r="T21">
        <f>IF($N21="","",IF(Sync!$N21="",0,Sync!$N21))</f>
        <v/>
      </c>
      <c r="U21">
        <f>IF($N21="","",IF(Sync!$O21="",0,Sync!$O21))</f>
        <v/>
      </c>
      <c r="V21">
        <f>IF($N21="","",Sync!$L21)</f>
        <v/>
      </c>
      <c r="W21">
        <f>IF($N21="","",Sync!$P21)</f>
        <v/>
      </c>
      <c r="AA21">
        <f>IF($A21="","",IF(COUNTIF($A$6:$A21,$A21)=1,1,0))</f>
        <v/>
      </c>
      <c r="AB21">
        <f>SUM($AA$6:$AA21)</f>
        <v/>
      </c>
      <c r="AC21">
        <f>IFERROR(INDEX($A$6:$A$1005,MATCH(ROW()-5,$AB$6:$AB$1005,0)),"")</f>
        <v/>
      </c>
    </row>
    <row r="22">
      <c r="A22">
        <f>IF(OR(Entry!$B25="",Entry!$E25="",$E22="نامعتبر"),"",Entry!$E25)</f>
        <v/>
      </c>
      <c r="B22">
        <f>IF($A22="","",LEFT($E22,4)&amp;MID($E22,6,2)&amp;RIGHT($E22,2)&amp;$F22&amp;"|"&amp;"1"&amp;RIGHT("00000"&amp;17,5))</f>
        <v/>
      </c>
      <c r="C22">
        <f>IF($B22="","",COUNTIFS($A$6:$A$1005,$A22,$B$6:$B$1005,"&lt;"&amp;$B22)+COUNTIFS($N$6:$N$2005,$A22,$P$6:$P$2005,"&lt;"&amp;$B22)+1)</f>
        <v/>
      </c>
      <c r="D22">
        <f>IF($C22="","",$A22&amp;"|"&amp;RIGHT("000000"&amp;$C22,6))</f>
        <v/>
      </c>
      <c r="E22">
        <f>IF(Entry!$B25="","",IF(ISNUMBER(Entry!$B25),IF(AND(Entry!$B25&gt;=10000101,Entry!$B25&lt;=99991231),INT(Entry!$B25/10000)&amp;"/"&amp;RIGHT("00"&amp;INT(MOD(Entry!$B25,10000)/100),2)&amp;"/"&amp;RIGHT("00"&amp;MOD(Entry!$B25,100),2),"نامعتبر"),IF(LEN(Entry!$B25)=10,Entry!$B25,"نامعتبر")))</f>
        <v/>
      </c>
      <c r="F22">
        <f>IF(Entry!$B25="","",IF(Entry!$C25="","0000",IF(AND(ISNUMBER(Entry!$C25),Entry!$C25&gt;=0,Entry!$C25&lt;1),RIGHT("00"&amp;HOUR(Entry!$C25),2)&amp;RIGHT("00"&amp;MINUTE(Entry!$C25),2),IFERROR(RIGHT("00"&amp;VALUE(LEFT(Entry!$C25,FIND(":",Entry!$C25)-1)),2)&amp;RIGHT("00"&amp;VALUE(MID(Entry!$C25,FIND(":",Entry!$C25)+1,2)),2),"0000"))))</f>
        <v/>
      </c>
      <c r="G22">
        <f>IF($A22="","",Entry!$G25)</f>
        <v/>
      </c>
      <c r="H22">
        <f>IF($A22="","",IF(Entry!$H25="",0,Entry!$H25))</f>
        <v/>
      </c>
      <c r="I22">
        <f>IF($A22="","",IF(Entry!$I25="",0,Entry!$I25))</f>
        <v/>
      </c>
      <c r="J22">
        <f>IF($A22="","",ROUND($H22*$I22,0))</f>
        <v/>
      </c>
      <c r="K22">
        <f>IF($A22="","",Entry!$D25)</f>
        <v/>
      </c>
      <c r="L22">
        <f>IF($A22="","",Entry!$L25)</f>
        <v/>
      </c>
      <c r="N22">
        <f>IF(OR(Sync!$M22="",$Q22="",$Q22="نامعتبر"),"",Sync!$M22)</f>
        <v/>
      </c>
      <c r="O22">
        <f>IF($N22="","",$Q22)</f>
        <v/>
      </c>
      <c r="P22">
        <f>IF($N22="","",LEFT($Q22,4)&amp;MID($Q22,6,2)&amp;RIGHT($Q22,2)&amp;IF(Sync!$K22="","0000",IF(AND(ISNUMBER(Sync!$K22),Sync!$K22&gt;=0,Sync!$K22&lt;1),RIGHT("00"&amp;HOUR(Sync!$K22),2)&amp;RIGHT("00"&amp;MINUTE(Sync!$K22),2),IFERROR(RIGHT("00"&amp;VALUE(LEFT(Sync!$K22,FIND(":",Sync!$K22)-1)),2)&amp;RIGHT("00"&amp;VALUE(MID(Sync!$K22,FIND(":",Sync!$K22)+1,2)),2),"0000")))&amp;"|"&amp;"2"&amp;RIGHT("00000"&amp;17,5))</f>
        <v/>
      </c>
      <c r="Q22">
        <f>IF(Sync!$J22="","",IF(ISNUMBER(Sync!$J22),IF(AND(Sync!$J22&gt;=10000101,Sync!$J22&lt;=99991231),INT(Sync!$J22/10000)&amp;"/"&amp;RIGHT("00"&amp;INT(MOD(Sync!$J22,10000)/100),2)&amp;"/"&amp;RIGHT("00"&amp;MOD(Sync!$J22,100),2),"نامعتبر"),IF(LEN(Sync!$J22)=10,Sync!$J22,"نامعتبر")))</f>
        <v/>
      </c>
      <c r="R22">
        <f>IF($P22="","",COUNTIFS($N$6:$N$2005,$N22,$P$6:$P$2005,"&lt;"&amp;$P22)+COUNTIFS($A$6:$A$1005,$N22,$B$6:$B$1005,"&lt;"&amp;$P22)+1)</f>
        <v/>
      </c>
      <c r="S22">
        <f>IF($N22="","",$N22&amp;"|"&amp;RIGHT("000000"&amp;$R22,6))</f>
        <v/>
      </c>
      <c r="T22">
        <f>IF($N22="","",IF(Sync!$N22="",0,Sync!$N22))</f>
        <v/>
      </c>
      <c r="U22">
        <f>IF($N22="","",IF(Sync!$O22="",0,Sync!$O22))</f>
        <v/>
      </c>
      <c r="V22">
        <f>IF($N22="","",Sync!$L22)</f>
        <v/>
      </c>
      <c r="W22">
        <f>IF($N22="","",Sync!$P22)</f>
        <v/>
      </c>
      <c r="AA22">
        <f>IF($A22="","",IF(COUNTIF($A$6:$A22,$A22)=1,1,0))</f>
        <v/>
      </c>
      <c r="AB22">
        <f>SUM($AA$6:$AA22)</f>
        <v/>
      </c>
      <c r="AC22">
        <f>IFERROR(INDEX($A$6:$A$1005,MATCH(ROW()-5,$AB$6:$AB$1005,0)),"")</f>
        <v/>
      </c>
    </row>
    <row r="23">
      <c r="A23">
        <f>IF(OR(Entry!$B26="",Entry!$E26="",$E23="نامعتبر"),"",Entry!$E26)</f>
        <v/>
      </c>
      <c r="B23">
        <f>IF($A23="","",LEFT($E23,4)&amp;MID($E23,6,2)&amp;RIGHT($E23,2)&amp;$F23&amp;"|"&amp;"1"&amp;RIGHT("00000"&amp;18,5))</f>
        <v/>
      </c>
      <c r="C23">
        <f>IF($B23="","",COUNTIFS($A$6:$A$1005,$A23,$B$6:$B$1005,"&lt;"&amp;$B23)+COUNTIFS($N$6:$N$2005,$A23,$P$6:$P$2005,"&lt;"&amp;$B23)+1)</f>
        <v/>
      </c>
      <c r="D23">
        <f>IF($C23="","",$A23&amp;"|"&amp;RIGHT("000000"&amp;$C23,6))</f>
        <v/>
      </c>
      <c r="E23">
        <f>IF(Entry!$B26="","",IF(ISNUMBER(Entry!$B26),IF(AND(Entry!$B26&gt;=10000101,Entry!$B26&lt;=99991231),INT(Entry!$B26/10000)&amp;"/"&amp;RIGHT("00"&amp;INT(MOD(Entry!$B26,10000)/100),2)&amp;"/"&amp;RIGHT("00"&amp;MOD(Entry!$B26,100),2),"نامعتبر"),IF(LEN(Entry!$B26)=10,Entry!$B26,"نامعتبر")))</f>
        <v/>
      </c>
      <c r="F23">
        <f>IF(Entry!$B26="","",IF(Entry!$C26="","0000",IF(AND(ISNUMBER(Entry!$C26),Entry!$C26&gt;=0,Entry!$C26&lt;1),RIGHT("00"&amp;HOUR(Entry!$C26),2)&amp;RIGHT("00"&amp;MINUTE(Entry!$C26),2),IFERROR(RIGHT("00"&amp;VALUE(LEFT(Entry!$C26,FIND(":",Entry!$C26)-1)),2)&amp;RIGHT("00"&amp;VALUE(MID(Entry!$C26,FIND(":",Entry!$C26)+1,2)),2),"0000"))))</f>
        <v/>
      </c>
      <c r="G23">
        <f>IF($A23="","",Entry!$G26)</f>
        <v/>
      </c>
      <c r="H23">
        <f>IF($A23="","",IF(Entry!$H26="",0,Entry!$H26))</f>
        <v/>
      </c>
      <c r="I23">
        <f>IF($A23="","",IF(Entry!$I26="",0,Entry!$I26))</f>
        <v/>
      </c>
      <c r="J23">
        <f>IF($A23="","",ROUND($H23*$I23,0))</f>
        <v/>
      </c>
      <c r="K23">
        <f>IF($A23="","",Entry!$D26)</f>
        <v/>
      </c>
      <c r="L23">
        <f>IF($A23="","",Entry!$L26)</f>
        <v/>
      </c>
      <c r="N23">
        <f>IF(OR(Sync!$M23="",$Q23="",$Q23="نامعتبر"),"",Sync!$M23)</f>
        <v/>
      </c>
      <c r="O23">
        <f>IF($N23="","",$Q23)</f>
        <v/>
      </c>
      <c r="P23">
        <f>IF($N23="","",LEFT($Q23,4)&amp;MID($Q23,6,2)&amp;RIGHT($Q23,2)&amp;IF(Sync!$K23="","0000",IF(AND(ISNUMBER(Sync!$K23),Sync!$K23&gt;=0,Sync!$K23&lt;1),RIGHT("00"&amp;HOUR(Sync!$K23),2)&amp;RIGHT("00"&amp;MINUTE(Sync!$K23),2),IFERROR(RIGHT("00"&amp;VALUE(LEFT(Sync!$K23,FIND(":",Sync!$K23)-1)),2)&amp;RIGHT("00"&amp;VALUE(MID(Sync!$K23,FIND(":",Sync!$K23)+1,2)),2),"0000")))&amp;"|"&amp;"2"&amp;RIGHT("00000"&amp;18,5))</f>
        <v/>
      </c>
      <c r="Q23">
        <f>IF(Sync!$J23="","",IF(ISNUMBER(Sync!$J23),IF(AND(Sync!$J23&gt;=10000101,Sync!$J23&lt;=99991231),INT(Sync!$J23/10000)&amp;"/"&amp;RIGHT("00"&amp;INT(MOD(Sync!$J23,10000)/100),2)&amp;"/"&amp;RIGHT("00"&amp;MOD(Sync!$J23,100),2),"نامعتبر"),IF(LEN(Sync!$J23)=10,Sync!$J23,"نامعتبر")))</f>
        <v/>
      </c>
      <c r="R23">
        <f>IF($P23="","",COUNTIFS($N$6:$N$2005,$N23,$P$6:$P$2005,"&lt;"&amp;$P23)+COUNTIFS($A$6:$A$1005,$N23,$B$6:$B$1005,"&lt;"&amp;$P23)+1)</f>
        <v/>
      </c>
      <c r="S23">
        <f>IF($N23="","",$N23&amp;"|"&amp;RIGHT("000000"&amp;$R23,6))</f>
        <v/>
      </c>
      <c r="T23">
        <f>IF($N23="","",IF(Sync!$N23="",0,Sync!$N23))</f>
        <v/>
      </c>
      <c r="U23">
        <f>IF($N23="","",IF(Sync!$O23="",0,Sync!$O23))</f>
        <v/>
      </c>
      <c r="V23">
        <f>IF($N23="","",Sync!$L23)</f>
        <v/>
      </c>
      <c r="W23">
        <f>IF($N23="","",Sync!$P23)</f>
        <v/>
      </c>
      <c r="AA23">
        <f>IF($A23="","",IF(COUNTIF($A$6:$A23,$A23)=1,1,0))</f>
        <v/>
      </c>
      <c r="AB23">
        <f>SUM($AA$6:$AA23)</f>
        <v/>
      </c>
      <c r="AC23">
        <f>IFERROR(INDEX($A$6:$A$1005,MATCH(ROW()-5,$AB$6:$AB$1005,0)),"")</f>
        <v/>
      </c>
    </row>
    <row r="24">
      <c r="A24">
        <f>IF(OR(Entry!$B27="",Entry!$E27="",$E24="نامعتبر"),"",Entry!$E27)</f>
        <v/>
      </c>
      <c r="B24">
        <f>IF($A24="","",LEFT($E24,4)&amp;MID($E24,6,2)&amp;RIGHT($E24,2)&amp;$F24&amp;"|"&amp;"1"&amp;RIGHT("00000"&amp;19,5))</f>
        <v/>
      </c>
      <c r="C24">
        <f>IF($B24="","",COUNTIFS($A$6:$A$1005,$A24,$B$6:$B$1005,"&lt;"&amp;$B24)+COUNTIFS($N$6:$N$2005,$A24,$P$6:$P$2005,"&lt;"&amp;$B24)+1)</f>
        <v/>
      </c>
      <c r="D24">
        <f>IF($C24="","",$A24&amp;"|"&amp;RIGHT("000000"&amp;$C24,6))</f>
        <v/>
      </c>
      <c r="E24">
        <f>IF(Entry!$B27="","",IF(ISNUMBER(Entry!$B27),IF(AND(Entry!$B27&gt;=10000101,Entry!$B27&lt;=99991231),INT(Entry!$B27/10000)&amp;"/"&amp;RIGHT("00"&amp;INT(MOD(Entry!$B27,10000)/100),2)&amp;"/"&amp;RIGHT("00"&amp;MOD(Entry!$B27,100),2),"نامعتبر"),IF(LEN(Entry!$B27)=10,Entry!$B27,"نامعتبر")))</f>
        <v/>
      </c>
      <c r="F24">
        <f>IF(Entry!$B27="","",IF(Entry!$C27="","0000",IF(AND(ISNUMBER(Entry!$C27),Entry!$C27&gt;=0,Entry!$C27&lt;1),RIGHT("00"&amp;HOUR(Entry!$C27),2)&amp;RIGHT("00"&amp;MINUTE(Entry!$C27),2),IFERROR(RIGHT("00"&amp;VALUE(LEFT(Entry!$C27,FIND(":",Entry!$C27)-1)),2)&amp;RIGHT("00"&amp;VALUE(MID(Entry!$C27,FIND(":",Entry!$C27)+1,2)),2),"0000"))))</f>
        <v/>
      </c>
      <c r="G24">
        <f>IF($A24="","",Entry!$G27)</f>
        <v/>
      </c>
      <c r="H24">
        <f>IF($A24="","",IF(Entry!$H27="",0,Entry!$H27))</f>
        <v/>
      </c>
      <c r="I24">
        <f>IF($A24="","",IF(Entry!$I27="",0,Entry!$I27))</f>
        <v/>
      </c>
      <c r="J24">
        <f>IF($A24="","",ROUND($H24*$I24,0))</f>
        <v/>
      </c>
      <c r="K24">
        <f>IF($A24="","",Entry!$D27)</f>
        <v/>
      </c>
      <c r="L24">
        <f>IF($A24="","",Entry!$L27)</f>
        <v/>
      </c>
      <c r="N24">
        <f>IF(OR(Sync!$M24="",$Q24="",$Q24="نامعتبر"),"",Sync!$M24)</f>
        <v/>
      </c>
      <c r="O24">
        <f>IF($N24="","",$Q24)</f>
        <v/>
      </c>
      <c r="P24">
        <f>IF($N24="","",LEFT($Q24,4)&amp;MID($Q24,6,2)&amp;RIGHT($Q24,2)&amp;IF(Sync!$K24="","0000",IF(AND(ISNUMBER(Sync!$K24),Sync!$K24&gt;=0,Sync!$K24&lt;1),RIGHT("00"&amp;HOUR(Sync!$K24),2)&amp;RIGHT("00"&amp;MINUTE(Sync!$K24),2),IFERROR(RIGHT("00"&amp;VALUE(LEFT(Sync!$K24,FIND(":",Sync!$K24)-1)),2)&amp;RIGHT("00"&amp;VALUE(MID(Sync!$K24,FIND(":",Sync!$K24)+1,2)),2),"0000")))&amp;"|"&amp;"2"&amp;RIGHT("00000"&amp;19,5))</f>
        <v/>
      </c>
      <c r="Q24">
        <f>IF(Sync!$J24="","",IF(ISNUMBER(Sync!$J24),IF(AND(Sync!$J24&gt;=10000101,Sync!$J24&lt;=99991231),INT(Sync!$J24/10000)&amp;"/"&amp;RIGHT("00"&amp;INT(MOD(Sync!$J24,10000)/100),2)&amp;"/"&amp;RIGHT("00"&amp;MOD(Sync!$J24,100),2),"نامعتبر"),IF(LEN(Sync!$J24)=10,Sync!$J24,"نامعتبر")))</f>
        <v/>
      </c>
      <c r="R24">
        <f>IF($P24="","",COUNTIFS($N$6:$N$2005,$N24,$P$6:$P$2005,"&lt;"&amp;$P24)+COUNTIFS($A$6:$A$1005,$N24,$B$6:$B$1005,"&lt;"&amp;$P24)+1)</f>
        <v/>
      </c>
      <c r="S24">
        <f>IF($N24="","",$N24&amp;"|"&amp;RIGHT("000000"&amp;$R24,6))</f>
        <v/>
      </c>
      <c r="T24">
        <f>IF($N24="","",IF(Sync!$N24="",0,Sync!$N24))</f>
        <v/>
      </c>
      <c r="U24">
        <f>IF($N24="","",IF(Sync!$O24="",0,Sync!$O24))</f>
        <v/>
      </c>
      <c r="V24">
        <f>IF($N24="","",Sync!$L24)</f>
        <v/>
      </c>
      <c r="W24">
        <f>IF($N24="","",Sync!$P24)</f>
        <v/>
      </c>
      <c r="AA24">
        <f>IF($A24="","",IF(COUNTIF($A$6:$A24,$A24)=1,1,0))</f>
        <v/>
      </c>
      <c r="AB24">
        <f>SUM($AA$6:$AA24)</f>
        <v/>
      </c>
      <c r="AC24">
        <f>IFERROR(INDEX($A$6:$A$1005,MATCH(ROW()-5,$AB$6:$AB$1005,0)),"")</f>
        <v/>
      </c>
    </row>
    <row r="25">
      <c r="A25">
        <f>IF(OR(Entry!$B28="",Entry!$E28="",$E25="نامعتبر"),"",Entry!$E28)</f>
        <v/>
      </c>
      <c r="B25">
        <f>IF($A25="","",LEFT($E25,4)&amp;MID($E25,6,2)&amp;RIGHT($E25,2)&amp;$F25&amp;"|"&amp;"1"&amp;RIGHT("00000"&amp;20,5))</f>
        <v/>
      </c>
      <c r="C25">
        <f>IF($B25="","",COUNTIFS($A$6:$A$1005,$A25,$B$6:$B$1005,"&lt;"&amp;$B25)+COUNTIFS($N$6:$N$2005,$A25,$P$6:$P$2005,"&lt;"&amp;$B25)+1)</f>
        <v/>
      </c>
      <c r="D25">
        <f>IF($C25="","",$A25&amp;"|"&amp;RIGHT("000000"&amp;$C25,6))</f>
        <v/>
      </c>
      <c r="E25">
        <f>IF(Entry!$B28="","",IF(ISNUMBER(Entry!$B28),IF(AND(Entry!$B28&gt;=10000101,Entry!$B28&lt;=99991231),INT(Entry!$B28/10000)&amp;"/"&amp;RIGHT("00"&amp;INT(MOD(Entry!$B28,10000)/100),2)&amp;"/"&amp;RIGHT("00"&amp;MOD(Entry!$B28,100),2),"نامعتبر"),IF(LEN(Entry!$B28)=10,Entry!$B28,"نامعتبر")))</f>
        <v/>
      </c>
      <c r="F25">
        <f>IF(Entry!$B28="","",IF(Entry!$C28="","0000",IF(AND(ISNUMBER(Entry!$C28),Entry!$C28&gt;=0,Entry!$C28&lt;1),RIGHT("00"&amp;HOUR(Entry!$C28),2)&amp;RIGHT("00"&amp;MINUTE(Entry!$C28),2),IFERROR(RIGHT("00"&amp;VALUE(LEFT(Entry!$C28,FIND(":",Entry!$C28)-1)),2)&amp;RIGHT("00"&amp;VALUE(MID(Entry!$C28,FIND(":",Entry!$C28)+1,2)),2),"0000"))))</f>
        <v/>
      </c>
      <c r="G25">
        <f>IF($A25="","",Entry!$G28)</f>
        <v/>
      </c>
      <c r="H25">
        <f>IF($A25="","",IF(Entry!$H28="",0,Entry!$H28))</f>
        <v/>
      </c>
      <c r="I25">
        <f>IF($A25="","",IF(Entry!$I28="",0,Entry!$I28))</f>
        <v/>
      </c>
      <c r="J25">
        <f>IF($A25="","",ROUND($H25*$I25,0))</f>
        <v/>
      </c>
      <c r="K25">
        <f>IF($A25="","",Entry!$D28)</f>
        <v/>
      </c>
      <c r="L25">
        <f>IF($A25="","",Entry!$L28)</f>
        <v/>
      </c>
      <c r="N25">
        <f>IF(OR(Sync!$M25="",$Q25="",$Q25="نامعتبر"),"",Sync!$M25)</f>
        <v/>
      </c>
      <c r="O25">
        <f>IF($N25="","",$Q25)</f>
        <v/>
      </c>
      <c r="P25">
        <f>IF($N25="","",LEFT($Q25,4)&amp;MID($Q25,6,2)&amp;RIGHT($Q25,2)&amp;IF(Sync!$K25="","0000",IF(AND(ISNUMBER(Sync!$K25),Sync!$K25&gt;=0,Sync!$K25&lt;1),RIGHT("00"&amp;HOUR(Sync!$K25),2)&amp;RIGHT("00"&amp;MINUTE(Sync!$K25),2),IFERROR(RIGHT("00"&amp;VALUE(LEFT(Sync!$K25,FIND(":",Sync!$K25)-1)),2)&amp;RIGHT("00"&amp;VALUE(MID(Sync!$K25,FIND(":",Sync!$K25)+1,2)),2),"0000")))&amp;"|"&amp;"2"&amp;RIGHT("00000"&amp;20,5))</f>
        <v/>
      </c>
      <c r="Q25">
        <f>IF(Sync!$J25="","",IF(ISNUMBER(Sync!$J25),IF(AND(Sync!$J25&gt;=10000101,Sync!$J25&lt;=99991231),INT(Sync!$J25/10000)&amp;"/"&amp;RIGHT("00"&amp;INT(MOD(Sync!$J25,10000)/100),2)&amp;"/"&amp;RIGHT("00"&amp;MOD(Sync!$J25,100),2),"نامعتبر"),IF(LEN(Sync!$J25)=10,Sync!$J25,"نامعتبر")))</f>
        <v/>
      </c>
      <c r="R25">
        <f>IF($P25="","",COUNTIFS($N$6:$N$2005,$N25,$P$6:$P$2005,"&lt;"&amp;$P25)+COUNTIFS($A$6:$A$1005,$N25,$B$6:$B$1005,"&lt;"&amp;$P25)+1)</f>
        <v/>
      </c>
      <c r="S25">
        <f>IF($N25="","",$N25&amp;"|"&amp;RIGHT("000000"&amp;$R25,6))</f>
        <v/>
      </c>
      <c r="T25">
        <f>IF($N25="","",IF(Sync!$N25="",0,Sync!$N25))</f>
        <v/>
      </c>
      <c r="U25">
        <f>IF($N25="","",IF(Sync!$O25="",0,Sync!$O25))</f>
        <v/>
      </c>
      <c r="V25">
        <f>IF($N25="","",Sync!$L25)</f>
        <v/>
      </c>
      <c r="W25">
        <f>IF($N25="","",Sync!$P25)</f>
        <v/>
      </c>
      <c r="AA25">
        <f>IF($A25="","",IF(COUNTIF($A$6:$A25,$A25)=1,1,0))</f>
        <v/>
      </c>
      <c r="AB25">
        <f>SUM($AA$6:$AA25)</f>
        <v/>
      </c>
      <c r="AC25">
        <f>IFERROR(INDEX($A$6:$A$1005,MATCH(ROW()-5,$AB$6:$AB$1005,0)),"")</f>
        <v/>
      </c>
    </row>
    <row r="26">
      <c r="A26">
        <f>IF(OR(Entry!$B29="",Entry!$E29="",$E26="نامعتبر"),"",Entry!$E29)</f>
        <v/>
      </c>
      <c r="B26">
        <f>IF($A26="","",LEFT($E26,4)&amp;MID($E26,6,2)&amp;RIGHT($E26,2)&amp;$F26&amp;"|"&amp;"1"&amp;RIGHT("00000"&amp;21,5))</f>
        <v/>
      </c>
      <c r="C26">
        <f>IF($B26="","",COUNTIFS($A$6:$A$1005,$A26,$B$6:$B$1005,"&lt;"&amp;$B26)+COUNTIFS($N$6:$N$2005,$A26,$P$6:$P$2005,"&lt;"&amp;$B26)+1)</f>
        <v/>
      </c>
      <c r="D26">
        <f>IF($C26="","",$A26&amp;"|"&amp;RIGHT("000000"&amp;$C26,6))</f>
        <v/>
      </c>
      <c r="E26">
        <f>IF(Entry!$B29="","",IF(ISNUMBER(Entry!$B29),IF(AND(Entry!$B29&gt;=10000101,Entry!$B29&lt;=99991231),INT(Entry!$B29/10000)&amp;"/"&amp;RIGHT("00"&amp;INT(MOD(Entry!$B29,10000)/100),2)&amp;"/"&amp;RIGHT("00"&amp;MOD(Entry!$B29,100),2),"نامعتبر"),IF(LEN(Entry!$B29)=10,Entry!$B29,"نامعتبر")))</f>
        <v/>
      </c>
      <c r="F26">
        <f>IF(Entry!$B29="","",IF(Entry!$C29="","0000",IF(AND(ISNUMBER(Entry!$C29),Entry!$C29&gt;=0,Entry!$C29&lt;1),RIGHT("00"&amp;HOUR(Entry!$C29),2)&amp;RIGHT("00"&amp;MINUTE(Entry!$C29),2),IFERROR(RIGHT("00"&amp;VALUE(LEFT(Entry!$C29,FIND(":",Entry!$C29)-1)),2)&amp;RIGHT("00"&amp;VALUE(MID(Entry!$C29,FIND(":",Entry!$C29)+1,2)),2),"0000"))))</f>
        <v/>
      </c>
      <c r="G26">
        <f>IF($A26="","",Entry!$G29)</f>
        <v/>
      </c>
      <c r="H26">
        <f>IF($A26="","",IF(Entry!$H29="",0,Entry!$H29))</f>
        <v/>
      </c>
      <c r="I26">
        <f>IF($A26="","",IF(Entry!$I29="",0,Entry!$I29))</f>
        <v/>
      </c>
      <c r="J26">
        <f>IF($A26="","",ROUND($H26*$I26,0))</f>
        <v/>
      </c>
      <c r="K26">
        <f>IF($A26="","",Entry!$D29)</f>
        <v/>
      </c>
      <c r="L26">
        <f>IF($A26="","",Entry!$L29)</f>
        <v/>
      </c>
      <c r="N26">
        <f>IF(OR(Sync!$M26="",$Q26="",$Q26="نامعتبر"),"",Sync!$M26)</f>
        <v/>
      </c>
      <c r="O26">
        <f>IF($N26="","",$Q26)</f>
        <v/>
      </c>
      <c r="P26">
        <f>IF($N26="","",LEFT($Q26,4)&amp;MID($Q26,6,2)&amp;RIGHT($Q26,2)&amp;IF(Sync!$K26="","0000",IF(AND(ISNUMBER(Sync!$K26),Sync!$K26&gt;=0,Sync!$K26&lt;1),RIGHT("00"&amp;HOUR(Sync!$K26),2)&amp;RIGHT("00"&amp;MINUTE(Sync!$K26),2),IFERROR(RIGHT("00"&amp;VALUE(LEFT(Sync!$K26,FIND(":",Sync!$K26)-1)),2)&amp;RIGHT("00"&amp;VALUE(MID(Sync!$K26,FIND(":",Sync!$K26)+1,2)),2),"0000")))&amp;"|"&amp;"2"&amp;RIGHT("00000"&amp;21,5))</f>
        <v/>
      </c>
      <c r="Q26">
        <f>IF(Sync!$J26="","",IF(ISNUMBER(Sync!$J26),IF(AND(Sync!$J26&gt;=10000101,Sync!$J26&lt;=99991231),INT(Sync!$J26/10000)&amp;"/"&amp;RIGHT("00"&amp;INT(MOD(Sync!$J26,10000)/100),2)&amp;"/"&amp;RIGHT("00"&amp;MOD(Sync!$J26,100),2),"نامعتبر"),IF(LEN(Sync!$J26)=10,Sync!$J26,"نامعتبر")))</f>
        <v/>
      </c>
      <c r="R26">
        <f>IF($P26="","",COUNTIFS($N$6:$N$2005,$N26,$P$6:$P$2005,"&lt;"&amp;$P26)+COUNTIFS($A$6:$A$1005,$N26,$B$6:$B$1005,"&lt;"&amp;$P26)+1)</f>
        <v/>
      </c>
      <c r="S26">
        <f>IF($N26="","",$N26&amp;"|"&amp;RIGHT("000000"&amp;$R26,6))</f>
        <v/>
      </c>
      <c r="T26">
        <f>IF($N26="","",IF(Sync!$N26="",0,Sync!$N26))</f>
        <v/>
      </c>
      <c r="U26">
        <f>IF($N26="","",IF(Sync!$O26="",0,Sync!$O26))</f>
        <v/>
      </c>
      <c r="V26">
        <f>IF($N26="","",Sync!$L26)</f>
        <v/>
      </c>
      <c r="W26">
        <f>IF($N26="","",Sync!$P26)</f>
        <v/>
      </c>
      <c r="AA26">
        <f>IF($A26="","",IF(COUNTIF($A$6:$A26,$A26)=1,1,0))</f>
        <v/>
      </c>
      <c r="AB26">
        <f>SUM($AA$6:$AA26)</f>
        <v/>
      </c>
      <c r="AC26">
        <f>IFERROR(INDEX($A$6:$A$1005,MATCH(ROW()-5,$AB$6:$AB$1005,0)),"")</f>
        <v/>
      </c>
    </row>
    <row r="27">
      <c r="A27">
        <f>IF(OR(Entry!$B30="",Entry!$E30="",$E27="نامعتبر"),"",Entry!$E30)</f>
        <v/>
      </c>
      <c r="B27">
        <f>IF($A27="","",LEFT($E27,4)&amp;MID($E27,6,2)&amp;RIGHT($E27,2)&amp;$F27&amp;"|"&amp;"1"&amp;RIGHT("00000"&amp;22,5))</f>
        <v/>
      </c>
      <c r="C27">
        <f>IF($B27="","",COUNTIFS($A$6:$A$1005,$A27,$B$6:$B$1005,"&lt;"&amp;$B27)+COUNTIFS($N$6:$N$2005,$A27,$P$6:$P$2005,"&lt;"&amp;$B27)+1)</f>
        <v/>
      </c>
      <c r="D27">
        <f>IF($C27="","",$A27&amp;"|"&amp;RIGHT("000000"&amp;$C27,6))</f>
        <v/>
      </c>
      <c r="E27">
        <f>IF(Entry!$B30="","",IF(ISNUMBER(Entry!$B30),IF(AND(Entry!$B30&gt;=10000101,Entry!$B30&lt;=99991231),INT(Entry!$B30/10000)&amp;"/"&amp;RIGHT("00"&amp;INT(MOD(Entry!$B30,10000)/100),2)&amp;"/"&amp;RIGHT("00"&amp;MOD(Entry!$B30,100),2),"نامعتبر"),IF(LEN(Entry!$B30)=10,Entry!$B30,"نامعتبر")))</f>
        <v/>
      </c>
      <c r="F27">
        <f>IF(Entry!$B30="","",IF(Entry!$C30="","0000",IF(AND(ISNUMBER(Entry!$C30),Entry!$C30&gt;=0,Entry!$C30&lt;1),RIGHT("00"&amp;HOUR(Entry!$C30),2)&amp;RIGHT("00"&amp;MINUTE(Entry!$C30),2),IFERROR(RIGHT("00"&amp;VALUE(LEFT(Entry!$C30,FIND(":",Entry!$C30)-1)),2)&amp;RIGHT("00"&amp;VALUE(MID(Entry!$C30,FIND(":",Entry!$C30)+1,2)),2),"0000"))))</f>
        <v/>
      </c>
      <c r="G27">
        <f>IF($A27="","",Entry!$G30)</f>
        <v/>
      </c>
      <c r="H27">
        <f>IF($A27="","",IF(Entry!$H30="",0,Entry!$H30))</f>
        <v/>
      </c>
      <c r="I27">
        <f>IF($A27="","",IF(Entry!$I30="",0,Entry!$I30))</f>
        <v/>
      </c>
      <c r="J27">
        <f>IF($A27="","",ROUND($H27*$I27,0))</f>
        <v/>
      </c>
      <c r="K27">
        <f>IF($A27="","",Entry!$D30)</f>
        <v/>
      </c>
      <c r="L27">
        <f>IF($A27="","",Entry!$L30)</f>
        <v/>
      </c>
      <c r="N27">
        <f>IF(OR(Sync!$M27="",$Q27="",$Q27="نامعتبر"),"",Sync!$M27)</f>
        <v/>
      </c>
      <c r="O27">
        <f>IF($N27="","",$Q27)</f>
        <v/>
      </c>
      <c r="P27">
        <f>IF($N27="","",LEFT($Q27,4)&amp;MID($Q27,6,2)&amp;RIGHT($Q27,2)&amp;IF(Sync!$K27="","0000",IF(AND(ISNUMBER(Sync!$K27),Sync!$K27&gt;=0,Sync!$K27&lt;1),RIGHT("00"&amp;HOUR(Sync!$K27),2)&amp;RIGHT("00"&amp;MINUTE(Sync!$K27),2),IFERROR(RIGHT("00"&amp;VALUE(LEFT(Sync!$K27,FIND(":",Sync!$K27)-1)),2)&amp;RIGHT("00"&amp;VALUE(MID(Sync!$K27,FIND(":",Sync!$K27)+1,2)),2),"0000")))&amp;"|"&amp;"2"&amp;RIGHT("00000"&amp;22,5))</f>
        <v/>
      </c>
      <c r="Q27">
        <f>IF(Sync!$J27="","",IF(ISNUMBER(Sync!$J27),IF(AND(Sync!$J27&gt;=10000101,Sync!$J27&lt;=99991231),INT(Sync!$J27/10000)&amp;"/"&amp;RIGHT("00"&amp;INT(MOD(Sync!$J27,10000)/100),2)&amp;"/"&amp;RIGHT("00"&amp;MOD(Sync!$J27,100),2),"نامعتبر"),IF(LEN(Sync!$J27)=10,Sync!$J27,"نامعتبر")))</f>
        <v/>
      </c>
      <c r="R27">
        <f>IF($P27="","",COUNTIFS($N$6:$N$2005,$N27,$P$6:$P$2005,"&lt;"&amp;$P27)+COUNTIFS($A$6:$A$1005,$N27,$B$6:$B$1005,"&lt;"&amp;$P27)+1)</f>
        <v/>
      </c>
      <c r="S27">
        <f>IF($N27="","",$N27&amp;"|"&amp;RIGHT("000000"&amp;$R27,6))</f>
        <v/>
      </c>
      <c r="T27">
        <f>IF($N27="","",IF(Sync!$N27="",0,Sync!$N27))</f>
        <v/>
      </c>
      <c r="U27">
        <f>IF($N27="","",IF(Sync!$O27="",0,Sync!$O27))</f>
        <v/>
      </c>
      <c r="V27">
        <f>IF($N27="","",Sync!$L27)</f>
        <v/>
      </c>
      <c r="W27">
        <f>IF($N27="","",Sync!$P27)</f>
        <v/>
      </c>
      <c r="AA27">
        <f>IF($A27="","",IF(COUNTIF($A$6:$A27,$A27)=1,1,0))</f>
        <v/>
      </c>
      <c r="AB27">
        <f>SUM($AA$6:$AA27)</f>
        <v/>
      </c>
      <c r="AC27">
        <f>IFERROR(INDEX($A$6:$A$1005,MATCH(ROW()-5,$AB$6:$AB$1005,0)),"")</f>
        <v/>
      </c>
    </row>
    <row r="28">
      <c r="A28">
        <f>IF(OR(Entry!$B31="",Entry!$E31="",$E28="نامعتبر"),"",Entry!$E31)</f>
        <v/>
      </c>
      <c r="B28">
        <f>IF($A28="","",LEFT($E28,4)&amp;MID($E28,6,2)&amp;RIGHT($E28,2)&amp;$F28&amp;"|"&amp;"1"&amp;RIGHT("00000"&amp;23,5))</f>
        <v/>
      </c>
      <c r="C28">
        <f>IF($B28="","",COUNTIFS($A$6:$A$1005,$A28,$B$6:$B$1005,"&lt;"&amp;$B28)+COUNTIFS($N$6:$N$2005,$A28,$P$6:$P$2005,"&lt;"&amp;$B28)+1)</f>
        <v/>
      </c>
      <c r="D28">
        <f>IF($C28="","",$A28&amp;"|"&amp;RIGHT("000000"&amp;$C28,6))</f>
        <v/>
      </c>
      <c r="E28">
        <f>IF(Entry!$B31="","",IF(ISNUMBER(Entry!$B31),IF(AND(Entry!$B31&gt;=10000101,Entry!$B31&lt;=99991231),INT(Entry!$B31/10000)&amp;"/"&amp;RIGHT("00"&amp;INT(MOD(Entry!$B31,10000)/100),2)&amp;"/"&amp;RIGHT("00"&amp;MOD(Entry!$B31,100),2),"نامعتبر"),IF(LEN(Entry!$B31)=10,Entry!$B31,"نامعتبر")))</f>
        <v/>
      </c>
      <c r="F28">
        <f>IF(Entry!$B31="","",IF(Entry!$C31="","0000",IF(AND(ISNUMBER(Entry!$C31),Entry!$C31&gt;=0,Entry!$C31&lt;1),RIGHT("00"&amp;HOUR(Entry!$C31),2)&amp;RIGHT("00"&amp;MINUTE(Entry!$C31),2),IFERROR(RIGHT("00"&amp;VALUE(LEFT(Entry!$C31,FIND(":",Entry!$C31)-1)),2)&amp;RIGHT("00"&amp;VALUE(MID(Entry!$C31,FIND(":",Entry!$C31)+1,2)),2),"0000"))))</f>
        <v/>
      </c>
      <c r="G28">
        <f>IF($A28="","",Entry!$G31)</f>
        <v/>
      </c>
      <c r="H28">
        <f>IF($A28="","",IF(Entry!$H31="",0,Entry!$H31))</f>
        <v/>
      </c>
      <c r="I28">
        <f>IF($A28="","",IF(Entry!$I31="",0,Entry!$I31))</f>
        <v/>
      </c>
      <c r="J28">
        <f>IF($A28="","",ROUND($H28*$I28,0))</f>
        <v/>
      </c>
      <c r="K28">
        <f>IF($A28="","",Entry!$D31)</f>
        <v/>
      </c>
      <c r="L28">
        <f>IF($A28="","",Entry!$L31)</f>
        <v/>
      </c>
      <c r="N28">
        <f>IF(OR(Sync!$M28="",$Q28="",$Q28="نامعتبر"),"",Sync!$M28)</f>
        <v/>
      </c>
      <c r="O28">
        <f>IF($N28="","",$Q28)</f>
        <v/>
      </c>
      <c r="P28">
        <f>IF($N28="","",LEFT($Q28,4)&amp;MID($Q28,6,2)&amp;RIGHT($Q28,2)&amp;IF(Sync!$K28="","0000",IF(AND(ISNUMBER(Sync!$K28),Sync!$K28&gt;=0,Sync!$K28&lt;1),RIGHT("00"&amp;HOUR(Sync!$K28),2)&amp;RIGHT("00"&amp;MINUTE(Sync!$K28),2),IFERROR(RIGHT("00"&amp;VALUE(LEFT(Sync!$K28,FIND(":",Sync!$K28)-1)),2)&amp;RIGHT("00"&amp;VALUE(MID(Sync!$K28,FIND(":",Sync!$K28)+1,2)),2),"0000")))&amp;"|"&amp;"2"&amp;RIGHT("00000"&amp;23,5))</f>
        <v/>
      </c>
      <c r="Q28">
        <f>IF(Sync!$J28="","",IF(ISNUMBER(Sync!$J28),IF(AND(Sync!$J28&gt;=10000101,Sync!$J28&lt;=99991231),INT(Sync!$J28/10000)&amp;"/"&amp;RIGHT("00"&amp;INT(MOD(Sync!$J28,10000)/100),2)&amp;"/"&amp;RIGHT("00"&amp;MOD(Sync!$J28,100),2),"نامعتبر"),IF(LEN(Sync!$J28)=10,Sync!$J28,"نامعتبر")))</f>
        <v/>
      </c>
      <c r="R28">
        <f>IF($P28="","",COUNTIFS($N$6:$N$2005,$N28,$P$6:$P$2005,"&lt;"&amp;$P28)+COUNTIFS($A$6:$A$1005,$N28,$B$6:$B$1005,"&lt;"&amp;$P28)+1)</f>
        <v/>
      </c>
      <c r="S28">
        <f>IF($N28="","",$N28&amp;"|"&amp;RIGHT("000000"&amp;$R28,6))</f>
        <v/>
      </c>
      <c r="T28">
        <f>IF($N28="","",IF(Sync!$N28="",0,Sync!$N28))</f>
        <v/>
      </c>
      <c r="U28">
        <f>IF($N28="","",IF(Sync!$O28="",0,Sync!$O28))</f>
        <v/>
      </c>
      <c r="V28">
        <f>IF($N28="","",Sync!$L28)</f>
        <v/>
      </c>
      <c r="W28">
        <f>IF($N28="","",Sync!$P28)</f>
        <v/>
      </c>
      <c r="AA28">
        <f>IF($A28="","",IF(COUNTIF($A$6:$A28,$A28)=1,1,0))</f>
        <v/>
      </c>
      <c r="AB28">
        <f>SUM($AA$6:$AA28)</f>
        <v/>
      </c>
      <c r="AC28">
        <f>IFERROR(INDEX($A$6:$A$1005,MATCH(ROW()-5,$AB$6:$AB$1005,0)),"")</f>
        <v/>
      </c>
    </row>
    <row r="29">
      <c r="A29">
        <f>IF(OR(Entry!$B32="",Entry!$E32="",$E29="نامعتبر"),"",Entry!$E32)</f>
        <v/>
      </c>
      <c r="B29">
        <f>IF($A29="","",LEFT($E29,4)&amp;MID($E29,6,2)&amp;RIGHT($E29,2)&amp;$F29&amp;"|"&amp;"1"&amp;RIGHT("00000"&amp;24,5))</f>
        <v/>
      </c>
      <c r="C29">
        <f>IF($B29="","",COUNTIFS($A$6:$A$1005,$A29,$B$6:$B$1005,"&lt;"&amp;$B29)+COUNTIFS($N$6:$N$2005,$A29,$P$6:$P$2005,"&lt;"&amp;$B29)+1)</f>
        <v/>
      </c>
      <c r="D29">
        <f>IF($C29="","",$A29&amp;"|"&amp;RIGHT("000000"&amp;$C29,6))</f>
        <v/>
      </c>
      <c r="E29">
        <f>IF(Entry!$B32="","",IF(ISNUMBER(Entry!$B32),IF(AND(Entry!$B32&gt;=10000101,Entry!$B32&lt;=99991231),INT(Entry!$B32/10000)&amp;"/"&amp;RIGHT("00"&amp;INT(MOD(Entry!$B32,10000)/100),2)&amp;"/"&amp;RIGHT("00"&amp;MOD(Entry!$B32,100),2),"نامعتبر"),IF(LEN(Entry!$B32)=10,Entry!$B32,"نامعتبر")))</f>
        <v/>
      </c>
      <c r="F29">
        <f>IF(Entry!$B32="","",IF(Entry!$C32="","0000",IF(AND(ISNUMBER(Entry!$C32),Entry!$C32&gt;=0,Entry!$C32&lt;1),RIGHT("00"&amp;HOUR(Entry!$C32),2)&amp;RIGHT("00"&amp;MINUTE(Entry!$C32),2),IFERROR(RIGHT("00"&amp;VALUE(LEFT(Entry!$C32,FIND(":",Entry!$C32)-1)),2)&amp;RIGHT("00"&amp;VALUE(MID(Entry!$C32,FIND(":",Entry!$C32)+1,2)),2),"0000"))))</f>
        <v/>
      </c>
      <c r="G29">
        <f>IF($A29="","",Entry!$G32)</f>
        <v/>
      </c>
      <c r="H29">
        <f>IF($A29="","",IF(Entry!$H32="",0,Entry!$H32))</f>
        <v/>
      </c>
      <c r="I29">
        <f>IF($A29="","",IF(Entry!$I32="",0,Entry!$I32))</f>
        <v/>
      </c>
      <c r="J29">
        <f>IF($A29="","",ROUND($H29*$I29,0))</f>
        <v/>
      </c>
      <c r="K29">
        <f>IF($A29="","",Entry!$D32)</f>
        <v/>
      </c>
      <c r="L29">
        <f>IF($A29="","",Entry!$L32)</f>
        <v/>
      </c>
      <c r="N29">
        <f>IF(OR(Sync!$M29="",$Q29="",$Q29="نامعتبر"),"",Sync!$M29)</f>
        <v/>
      </c>
      <c r="O29">
        <f>IF($N29="","",$Q29)</f>
        <v/>
      </c>
      <c r="P29">
        <f>IF($N29="","",LEFT($Q29,4)&amp;MID($Q29,6,2)&amp;RIGHT($Q29,2)&amp;IF(Sync!$K29="","0000",IF(AND(ISNUMBER(Sync!$K29),Sync!$K29&gt;=0,Sync!$K29&lt;1),RIGHT("00"&amp;HOUR(Sync!$K29),2)&amp;RIGHT("00"&amp;MINUTE(Sync!$K29),2),IFERROR(RIGHT("00"&amp;VALUE(LEFT(Sync!$K29,FIND(":",Sync!$K29)-1)),2)&amp;RIGHT("00"&amp;VALUE(MID(Sync!$K29,FIND(":",Sync!$K29)+1,2)),2),"0000")))&amp;"|"&amp;"2"&amp;RIGHT("00000"&amp;24,5))</f>
        <v/>
      </c>
      <c r="Q29">
        <f>IF(Sync!$J29="","",IF(ISNUMBER(Sync!$J29),IF(AND(Sync!$J29&gt;=10000101,Sync!$J29&lt;=99991231),INT(Sync!$J29/10000)&amp;"/"&amp;RIGHT("00"&amp;INT(MOD(Sync!$J29,10000)/100),2)&amp;"/"&amp;RIGHT("00"&amp;MOD(Sync!$J29,100),2),"نامعتبر"),IF(LEN(Sync!$J29)=10,Sync!$J29,"نامعتبر")))</f>
        <v/>
      </c>
      <c r="R29">
        <f>IF($P29="","",COUNTIFS($N$6:$N$2005,$N29,$P$6:$P$2005,"&lt;"&amp;$P29)+COUNTIFS($A$6:$A$1005,$N29,$B$6:$B$1005,"&lt;"&amp;$P29)+1)</f>
        <v/>
      </c>
      <c r="S29">
        <f>IF($N29="","",$N29&amp;"|"&amp;RIGHT("000000"&amp;$R29,6))</f>
        <v/>
      </c>
      <c r="T29">
        <f>IF($N29="","",IF(Sync!$N29="",0,Sync!$N29))</f>
        <v/>
      </c>
      <c r="U29">
        <f>IF($N29="","",IF(Sync!$O29="",0,Sync!$O29))</f>
        <v/>
      </c>
      <c r="V29">
        <f>IF($N29="","",Sync!$L29)</f>
        <v/>
      </c>
      <c r="W29">
        <f>IF($N29="","",Sync!$P29)</f>
        <v/>
      </c>
      <c r="AA29">
        <f>IF($A29="","",IF(COUNTIF($A$6:$A29,$A29)=1,1,0))</f>
        <v/>
      </c>
      <c r="AB29">
        <f>SUM($AA$6:$AA29)</f>
        <v/>
      </c>
      <c r="AC29">
        <f>IFERROR(INDEX($A$6:$A$1005,MATCH(ROW()-5,$AB$6:$AB$1005,0)),"")</f>
        <v/>
      </c>
    </row>
    <row r="30">
      <c r="A30">
        <f>IF(OR(Entry!$B33="",Entry!$E33="",$E30="نامعتبر"),"",Entry!$E33)</f>
        <v/>
      </c>
      <c r="B30">
        <f>IF($A30="","",LEFT($E30,4)&amp;MID($E30,6,2)&amp;RIGHT($E30,2)&amp;$F30&amp;"|"&amp;"1"&amp;RIGHT("00000"&amp;25,5))</f>
        <v/>
      </c>
      <c r="C30">
        <f>IF($B30="","",COUNTIFS($A$6:$A$1005,$A30,$B$6:$B$1005,"&lt;"&amp;$B30)+COUNTIFS($N$6:$N$2005,$A30,$P$6:$P$2005,"&lt;"&amp;$B30)+1)</f>
        <v/>
      </c>
      <c r="D30">
        <f>IF($C30="","",$A30&amp;"|"&amp;RIGHT("000000"&amp;$C30,6))</f>
        <v/>
      </c>
      <c r="E30">
        <f>IF(Entry!$B33="","",IF(ISNUMBER(Entry!$B33),IF(AND(Entry!$B33&gt;=10000101,Entry!$B33&lt;=99991231),INT(Entry!$B33/10000)&amp;"/"&amp;RIGHT("00"&amp;INT(MOD(Entry!$B33,10000)/100),2)&amp;"/"&amp;RIGHT("00"&amp;MOD(Entry!$B33,100),2),"نامعتبر"),IF(LEN(Entry!$B33)=10,Entry!$B33,"نامعتبر")))</f>
        <v/>
      </c>
      <c r="F30">
        <f>IF(Entry!$B33="","",IF(Entry!$C33="","0000",IF(AND(ISNUMBER(Entry!$C33),Entry!$C33&gt;=0,Entry!$C33&lt;1),RIGHT("00"&amp;HOUR(Entry!$C33),2)&amp;RIGHT("00"&amp;MINUTE(Entry!$C33),2),IFERROR(RIGHT("00"&amp;VALUE(LEFT(Entry!$C33,FIND(":",Entry!$C33)-1)),2)&amp;RIGHT("00"&amp;VALUE(MID(Entry!$C33,FIND(":",Entry!$C33)+1,2)),2),"0000"))))</f>
        <v/>
      </c>
      <c r="G30">
        <f>IF($A30="","",Entry!$G33)</f>
        <v/>
      </c>
      <c r="H30">
        <f>IF($A30="","",IF(Entry!$H33="",0,Entry!$H33))</f>
        <v/>
      </c>
      <c r="I30">
        <f>IF($A30="","",IF(Entry!$I33="",0,Entry!$I33))</f>
        <v/>
      </c>
      <c r="J30">
        <f>IF($A30="","",ROUND($H30*$I30,0))</f>
        <v/>
      </c>
      <c r="K30">
        <f>IF($A30="","",Entry!$D33)</f>
        <v/>
      </c>
      <c r="L30">
        <f>IF($A30="","",Entry!$L33)</f>
        <v/>
      </c>
      <c r="N30">
        <f>IF(OR(Sync!$M30="",$Q30="",$Q30="نامعتبر"),"",Sync!$M30)</f>
        <v/>
      </c>
      <c r="O30">
        <f>IF($N30="","",$Q30)</f>
        <v/>
      </c>
      <c r="P30">
        <f>IF($N30="","",LEFT($Q30,4)&amp;MID($Q30,6,2)&amp;RIGHT($Q30,2)&amp;IF(Sync!$K30="","0000",IF(AND(ISNUMBER(Sync!$K30),Sync!$K30&gt;=0,Sync!$K30&lt;1),RIGHT("00"&amp;HOUR(Sync!$K30),2)&amp;RIGHT("00"&amp;MINUTE(Sync!$K30),2),IFERROR(RIGHT("00"&amp;VALUE(LEFT(Sync!$K30,FIND(":",Sync!$K30)-1)),2)&amp;RIGHT("00"&amp;VALUE(MID(Sync!$K30,FIND(":",Sync!$K30)+1,2)),2),"0000")))&amp;"|"&amp;"2"&amp;RIGHT("00000"&amp;25,5))</f>
        <v/>
      </c>
      <c r="Q30">
        <f>IF(Sync!$J30="","",IF(ISNUMBER(Sync!$J30),IF(AND(Sync!$J30&gt;=10000101,Sync!$J30&lt;=99991231),INT(Sync!$J30/10000)&amp;"/"&amp;RIGHT("00"&amp;INT(MOD(Sync!$J30,10000)/100),2)&amp;"/"&amp;RIGHT("00"&amp;MOD(Sync!$J30,100),2),"نامعتبر"),IF(LEN(Sync!$J30)=10,Sync!$J30,"نامعتبر")))</f>
        <v/>
      </c>
      <c r="R30">
        <f>IF($P30="","",COUNTIFS($N$6:$N$2005,$N30,$P$6:$P$2005,"&lt;"&amp;$P30)+COUNTIFS($A$6:$A$1005,$N30,$B$6:$B$1005,"&lt;"&amp;$P30)+1)</f>
        <v/>
      </c>
      <c r="S30">
        <f>IF($N30="","",$N30&amp;"|"&amp;RIGHT("000000"&amp;$R30,6))</f>
        <v/>
      </c>
      <c r="T30">
        <f>IF($N30="","",IF(Sync!$N30="",0,Sync!$N30))</f>
        <v/>
      </c>
      <c r="U30">
        <f>IF($N30="","",IF(Sync!$O30="",0,Sync!$O30))</f>
        <v/>
      </c>
      <c r="V30">
        <f>IF($N30="","",Sync!$L30)</f>
        <v/>
      </c>
      <c r="W30">
        <f>IF($N30="","",Sync!$P30)</f>
        <v/>
      </c>
      <c r="AA30">
        <f>IF($A30="","",IF(COUNTIF($A$6:$A30,$A30)=1,1,0))</f>
        <v/>
      </c>
      <c r="AB30">
        <f>SUM($AA$6:$AA30)</f>
        <v/>
      </c>
      <c r="AC30">
        <f>IFERROR(INDEX($A$6:$A$1005,MATCH(ROW()-5,$AB$6:$AB$1005,0)),"")</f>
        <v/>
      </c>
    </row>
    <row r="31">
      <c r="A31">
        <f>IF(OR(Entry!$B34="",Entry!$E34="",$E31="نامعتبر"),"",Entry!$E34)</f>
        <v/>
      </c>
      <c r="B31">
        <f>IF($A31="","",LEFT($E31,4)&amp;MID($E31,6,2)&amp;RIGHT($E31,2)&amp;$F31&amp;"|"&amp;"1"&amp;RIGHT("00000"&amp;26,5))</f>
        <v/>
      </c>
      <c r="C31">
        <f>IF($B31="","",COUNTIFS($A$6:$A$1005,$A31,$B$6:$B$1005,"&lt;"&amp;$B31)+COUNTIFS($N$6:$N$2005,$A31,$P$6:$P$2005,"&lt;"&amp;$B31)+1)</f>
        <v/>
      </c>
      <c r="D31">
        <f>IF($C31="","",$A31&amp;"|"&amp;RIGHT("000000"&amp;$C31,6))</f>
        <v/>
      </c>
      <c r="E31">
        <f>IF(Entry!$B34="","",IF(ISNUMBER(Entry!$B34),IF(AND(Entry!$B34&gt;=10000101,Entry!$B34&lt;=99991231),INT(Entry!$B34/10000)&amp;"/"&amp;RIGHT("00"&amp;INT(MOD(Entry!$B34,10000)/100),2)&amp;"/"&amp;RIGHT("00"&amp;MOD(Entry!$B34,100),2),"نامعتبر"),IF(LEN(Entry!$B34)=10,Entry!$B34,"نامعتبر")))</f>
        <v/>
      </c>
      <c r="F31">
        <f>IF(Entry!$B34="","",IF(Entry!$C34="","0000",IF(AND(ISNUMBER(Entry!$C34),Entry!$C34&gt;=0,Entry!$C34&lt;1),RIGHT("00"&amp;HOUR(Entry!$C34),2)&amp;RIGHT("00"&amp;MINUTE(Entry!$C34),2),IFERROR(RIGHT("00"&amp;VALUE(LEFT(Entry!$C34,FIND(":",Entry!$C34)-1)),2)&amp;RIGHT("00"&amp;VALUE(MID(Entry!$C34,FIND(":",Entry!$C34)+1,2)),2),"0000"))))</f>
        <v/>
      </c>
      <c r="G31">
        <f>IF($A31="","",Entry!$G34)</f>
        <v/>
      </c>
      <c r="H31">
        <f>IF($A31="","",IF(Entry!$H34="",0,Entry!$H34))</f>
        <v/>
      </c>
      <c r="I31">
        <f>IF($A31="","",IF(Entry!$I34="",0,Entry!$I34))</f>
        <v/>
      </c>
      <c r="J31">
        <f>IF($A31="","",ROUND($H31*$I31,0))</f>
        <v/>
      </c>
      <c r="K31">
        <f>IF($A31="","",Entry!$D34)</f>
        <v/>
      </c>
      <c r="L31">
        <f>IF($A31="","",Entry!$L34)</f>
        <v/>
      </c>
      <c r="N31">
        <f>IF(OR(Sync!$M31="",$Q31="",$Q31="نامعتبر"),"",Sync!$M31)</f>
        <v/>
      </c>
      <c r="O31">
        <f>IF($N31="","",$Q31)</f>
        <v/>
      </c>
      <c r="P31">
        <f>IF($N31="","",LEFT($Q31,4)&amp;MID($Q31,6,2)&amp;RIGHT($Q31,2)&amp;IF(Sync!$K31="","0000",IF(AND(ISNUMBER(Sync!$K31),Sync!$K31&gt;=0,Sync!$K31&lt;1),RIGHT("00"&amp;HOUR(Sync!$K31),2)&amp;RIGHT("00"&amp;MINUTE(Sync!$K31),2),IFERROR(RIGHT("00"&amp;VALUE(LEFT(Sync!$K31,FIND(":",Sync!$K31)-1)),2)&amp;RIGHT("00"&amp;VALUE(MID(Sync!$K31,FIND(":",Sync!$K31)+1,2)),2),"0000")))&amp;"|"&amp;"2"&amp;RIGHT("00000"&amp;26,5))</f>
        <v/>
      </c>
      <c r="Q31">
        <f>IF(Sync!$J31="","",IF(ISNUMBER(Sync!$J31),IF(AND(Sync!$J31&gt;=10000101,Sync!$J31&lt;=99991231),INT(Sync!$J31/10000)&amp;"/"&amp;RIGHT("00"&amp;INT(MOD(Sync!$J31,10000)/100),2)&amp;"/"&amp;RIGHT("00"&amp;MOD(Sync!$J31,100),2),"نامعتبر"),IF(LEN(Sync!$J31)=10,Sync!$J31,"نامعتبر")))</f>
        <v/>
      </c>
      <c r="R31">
        <f>IF($P31="","",COUNTIFS($N$6:$N$2005,$N31,$P$6:$P$2005,"&lt;"&amp;$P31)+COUNTIFS($A$6:$A$1005,$N31,$B$6:$B$1005,"&lt;"&amp;$P31)+1)</f>
        <v/>
      </c>
      <c r="S31">
        <f>IF($N31="","",$N31&amp;"|"&amp;RIGHT("000000"&amp;$R31,6))</f>
        <v/>
      </c>
      <c r="T31">
        <f>IF($N31="","",IF(Sync!$N31="",0,Sync!$N31))</f>
        <v/>
      </c>
      <c r="U31">
        <f>IF($N31="","",IF(Sync!$O31="",0,Sync!$O31))</f>
        <v/>
      </c>
      <c r="V31">
        <f>IF($N31="","",Sync!$L31)</f>
        <v/>
      </c>
      <c r="W31">
        <f>IF($N31="","",Sync!$P31)</f>
        <v/>
      </c>
      <c r="AA31">
        <f>IF($A31="","",IF(COUNTIF($A$6:$A31,$A31)=1,1,0))</f>
        <v/>
      </c>
      <c r="AB31">
        <f>SUM($AA$6:$AA31)</f>
        <v/>
      </c>
      <c r="AC31">
        <f>IFERROR(INDEX($A$6:$A$1005,MATCH(ROW()-5,$AB$6:$AB$1005,0)),"")</f>
        <v/>
      </c>
    </row>
    <row r="32">
      <c r="A32">
        <f>IF(OR(Entry!$B35="",Entry!$E35="",$E32="نامعتبر"),"",Entry!$E35)</f>
        <v/>
      </c>
      <c r="B32">
        <f>IF($A32="","",LEFT($E32,4)&amp;MID($E32,6,2)&amp;RIGHT($E32,2)&amp;$F32&amp;"|"&amp;"1"&amp;RIGHT("00000"&amp;27,5))</f>
        <v/>
      </c>
      <c r="C32">
        <f>IF($B32="","",COUNTIFS($A$6:$A$1005,$A32,$B$6:$B$1005,"&lt;"&amp;$B32)+COUNTIFS($N$6:$N$2005,$A32,$P$6:$P$2005,"&lt;"&amp;$B32)+1)</f>
        <v/>
      </c>
      <c r="D32">
        <f>IF($C32="","",$A32&amp;"|"&amp;RIGHT("000000"&amp;$C32,6))</f>
        <v/>
      </c>
      <c r="E32">
        <f>IF(Entry!$B35="","",IF(ISNUMBER(Entry!$B35),IF(AND(Entry!$B35&gt;=10000101,Entry!$B35&lt;=99991231),INT(Entry!$B35/10000)&amp;"/"&amp;RIGHT("00"&amp;INT(MOD(Entry!$B35,10000)/100),2)&amp;"/"&amp;RIGHT("00"&amp;MOD(Entry!$B35,100),2),"نامعتبر"),IF(LEN(Entry!$B35)=10,Entry!$B35,"نامعتبر")))</f>
        <v/>
      </c>
      <c r="F32">
        <f>IF(Entry!$B35="","",IF(Entry!$C35="","0000",IF(AND(ISNUMBER(Entry!$C35),Entry!$C35&gt;=0,Entry!$C35&lt;1),RIGHT("00"&amp;HOUR(Entry!$C35),2)&amp;RIGHT("00"&amp;MINUTE(Entry!$C35),2),IFERROR(RIGHT("00"&amp;VALUE(LEFT(Entry!$C35,FIND(":",Entry!$C35)-1)),2)&amp;RIGHT("00"&amp;VALUE(MID(Entry!$C35,FIND(":",Entry!$C35)+1,2)),2),"0000"))))</f>
        <v/>
      </c>
      <c r="G32">
        <f>IF($A32="","",Entry!$G35)</f>
        <v/>
      </c>
      <c r="H32">
        <f>IF($A32="","",IF(Entry!$H35="",0,Entry!$H35))</f>
        <v/>
      </c>
      <c r="I32">
        <f>IF($A32="","",IF(Entry!$I35="",0,Entry!$I35))</f>
        <v/>
      </c>
      <c r="J32">
        <f>IF($A32="","",ROUND($H32*$I32,0))</f>
        <v/>
      </c>
      <c r="K32">
        <f>IF($A32="","",Entry!$D35)</f>
        <v/>
      </c>
      <c r="L32">
        <f>IF($A32="","",Entry!$L35)</f>
        <v/>
      </c>
      <c r="N32">
        <f>IF(OR(Sync!$M32="",$Q32="",$Q32="نامعتبر"),"",Sync!$M32)</f>
        <v/>
      </c>
      <c r="O32">
        <f>IF($N32="","",$Q32)</f>
        <v/>
      </c>
      <c r="P32">
        <f>IF($N32="","",LEFT($Q32,4)&amp;MID($Q32,6,2)&amp;RIGHT($Q32,2)&amp;IF(Sync!$K32="","0000",IF(AND(ISNUMBER(Sync!$K32),Sync!$K32&gt;=0,Sync!$K32&lt;1),RIGHT("00"&amp;HOUR(Sync!$K32),2)&amp;RIGHT("00"&amp;MINUTE(Sync!$K32),2),IFERROR(RIGHT("00"&amp;VALUE(LEFT(Sync!$K32,FIND(":",Sync!$K32)-1)),2)&amp;RIGHT("00"&amp;VALUE(MID(Sync!$K32,FIND(":",Sync!$K32)+1,2)),2),"0000")))&amp;"|"&amp;"2"&amp;RIGHT("00000"&amp;27,5))</f>
        <v/>
      </c>
      <c r="Q32">
        <f>IF(Sync!$J32="","",IF(ISNUMBER(Sync!$J32),IF(AND(Sync!$J32&gt;=10000101,Sync!$J32&lt;=99991231),INT(Sync!$J32/10000)&amp;"/"&amp;RIGHT("00"&amp;INT(MOD(Sync!$J32,10000)/100),2)&amp;"/"&amp;RIGHT("00"&amp;MOD(Sync!$J32,100),2),"نامعتبر"),IF(LEN(Sync!$J32)=10,Sync!$J32,"نامعتبر")))</f>
        <v/>
      </c>
      <c r="R32">
        <f>IF($P32="","",COUNTIFS($N$6:$N$2005,$N32,$P$6:$P$2005,"&lt;"&amp;$P32)+COUNTIFS($A$6:$A$1005,$N32,$B$6:$B$1005,"&lt;"&amp;$P32)+1)</f>
        <v/>
      </c>
      <c r="S32">
        <f>IF($N32="","",$N32&amp;"|"&amp;RIGHT("000000"&amp;$R32,6))</f>
        <v/>
      </c>
      <c r="T32">
        <f>IF($N32="","",IF(Sync!$N32="",0,Sync!$N32))</f>
        <v/>
      </c>
      <c r="U32">
        <f>IF($N32="","",IF(Sync!$O32="",0,Sync!$O32))</f>
        <v/>
      </c>
      <c r="V32">
        <f>IF($N32="","",Sync!$L32)</f>
        <v/>
      </c>
      <c r="W32">
        <f>IF($N32="","",Sync!$P32)</f>
        <v/>
      </c>
      <c r="AA32">
        <f>IF($A32="","",IF(COUNTIF($A$6:$A32,$A32)=1,1,0))</f>
        <v/>
      </c>
      <c r="AB32">
        <f>SUM($AA$6:$AA32)</f>
        <v/>
      </c>
      <c r="AC32">
        <f>IFERROR(INDEX($A$6:$A$1005,MATCH(ROW()-5,$AB$6:$AB$1005,0)),"")</f>
        <v/>
      </c>
    </row>
    <row r="33">
      <c r="A33">
        <f>IF(OR(Entry!$B36="",Entry!$E36="",$E33="نامعتبر"),"",Entry!$E36)</f>
        <v/>
      </c>
      <c r="B33">
        <f>IF($A33="","",LEFT($E33,4)&amp;MID($E33,6,2)&amp;RIGHT($E33,2)&amp;$F33&amp;"|"&amp;"1"&amp;RIGHT("00000"&amp;28,5))</f>
        <v/>
      </c>
      <c r="C33">
        <f>IF($B33="","",COUNTIFS($A$6:$A$1005,$A33,$B$6:$B$1005,"&lt;"&amp;$B33)+COUNTIFS($N$6:$N$2005,$A33,$P$6:$P$2005,"&lt;"&amp;$B33)+1)</f>
        <v/>
      </c>
      <c r="D33">
        <f>IF($C33="","",$A33&amp;"|"&amp;RIGHT("000000"&amp;$C33,6))</f>
        <v/>
      </c>
      <c r="E33">
        <f>IF(Entry!$B36="","",IF(ISNUMBER(Entry!$B36),IF(AND(Entry!$B36&gt;=10000101,Entry!$B36&lt;=99991231),INT(Entry!$B36/10000)&amp;"/"&amp;RIGHT("00"&amp;INT(MOD(Entry!$B36,10000)/100),2)&amp;"/"&amp;RIGHT("00"&amp;MOD(Entry!$B36,100),2),"نامعتبر"),IF(LEN(Entry!$B36)=10,Entry!$B36,"نامعتبر")))</f>
        <v/>
      </c>
      <c r="F33">
        <f>IF(Entry!$B36="","",IF(Entry!$C36="","0000",IF(AND(ISNUMBER(Entry!$C36),Entry!$C36&gt;=0,Entry!$C36&lt;1),RIGHT("00"&amp;HOUR(Entry!$C36),2)&amp;RIGHT("00"&amp;MINUTE(Entry!$C36),2),IFERROR(RIGHT("00"&amp;VALUE(LEFT(Entry!$C36,FIND(":",Entry!$C36)-1)),2)&amp;RIGHT("00"&amp;VALUE(MID(Entry!$C36,FIND(":",Entry!$C36)+1,2)),2),"0000"))))</f>
        <v/>
      </c>
      <c r="G33">
        <f>IF($A33="","",Entry!$G36)</f>
        <v/>
      </c>
      <c r="H33">
        <f>IF($A33="","",IF(Entry!$H36="",0,Entry!$H36))</f>
        <v/>
      </c>
      <c r="I33">
        <f>IF($A33="","",IF(Entry!$I36="",0,Entry!$I36))</f>
        <v/>
      </c>
      <c r="J33">
        <f>IF($A33="","",ROUND($H33*$I33,0))</f>
        <v/>
      </c>
      <c r="K33">
        <f>IF($A33="","",Entry!$D36)</f>
        <v/>
      </c>
      <c r="L33">
        <f>IF($A33="","",Entry!$L36)</f>
        <v/>
      </c>
      <c r="N33">
        <f>IF(OR(Sync!$M33="",$Q33="",$Q33="نامعتبر"),"",Sync!$M33)</f>
        <v/>
      </c>
      <c r="O33">
        <f>IF($N33="","",$Q33)</f>
        <v/>
      </c>
      <c r="P33">
        <f>IF($N33="","",LEFT($Q33,4)&amp;MID($Q33,6,2)&amp;RIGHT($Q33,2)&amp;IF(Sync!$K33="","0000",IF(AND(ISNUMBER(Sync!$K33),Sync!$K33&gt;=0,Sync!$K33&lt;1),RIGHT("00"&amp;HOUR(Sync!$K33),2)&amp;RIGHT("00"&amp;MINUTE(Sync!$K33),2),IFERROR(RIGHT("00"&amp;VALUE(LEFT(Sync!$K33,FIND(":",Sync!$K33)-1)),2)&amp;RIGHT("00"&amp;VALUE(MID(Sync!$K33,FIND(":",Sync!$K33)+1,2)),2),"0000")))&amp;"|"&amp;"2"&amp;RIGHT("00000"&amp;28,5))</f>
        <v/>
      </c>
      <c r="Q33">
        <f>IF(Sync!$J33="","",IF(ISNUMBER(Sync!$J33),IF(AND(Sync!$J33&gt;=10000101,Sync!$J33&lt;=99991231),INT(Sync!$J33/10000)&amp;"/"&amp;RIGHT("00"&amp;INT(MOD(Sync!$J33,10000)/100),2)&amp;"/"&amp;RIGHT("00"&amp;MOD(Sync!$J33,100),2),"نامعتبر"),IF(LEN(Sync!$J33)=10,Sync!$J33,"نامعتبر")))</f>
        <v/>
      </c>
      <c r="R33">
        <f>IF($P33="","",COUNTIFS($N$6:$N$2005,$N33,$P$6:$P$2005,"&lt;"&amp;$P33)+COUNTIFS($A$6:$A$1005,$N33,$B$6:$B$1005,"&lt;"&amp;$P33)+1)</f>
        <v/>
      </c>
      <c r="S33">
        <f>IF($N33="","",$N33&amp;"|"&amp;RIGHT("000000"&amp;$R33,6))</f>
        <v/>
      </c>
      <c r="T33">
        <f>IF($N33="","",IF(Sync!$N33="",0,Sync!$N33))</f>
        <v/>
      </c>
      <c r="U33">
        <f>IF($N33="","",IF(Sync!$O33="",0,Sync!$O33))</f>
        <v/>
      </c>
      <c r="V33">
        <f>IF($N33="","",Sync!$L33)</f>
        <v/>
      </c>
      <c r="W33">
        <f>IF($N33="","",Sync!$P33)</f>
        <v/>
      </c>
      <c r="AA33">
        <f>IF($A33="","",IF(COUNTIF($A$6:$A33,$A33)=1,1,0))</f>
        <v/>
      </c>
      <c r="AB33">
        <f>SUM($AA$6:$AA33)</f>
        <v/>
      </c>
      <c r="AC33">
        <f>IFERROR(INDEX($A$6:$A$1005,MATCH(ROW()-5,$AB$6:$AB$1005,0)),"")</f>
        <v/>
      </c>
    </row>
    <row r="34">
      <c r="A34">
        <f>IF(OR(Entry!$B37="",Entry!$E37="",$E34="نامعتبر"),"",Entry!$E37)</f>
        <v/>
      </c>
      <c r="B34">
        <f>IF($A34="","",LEFT($E34,4)&amp;MID($E34,6,2)&amp;RIGHT($E34,2)&amp;$F34&amp;"|"&amp;"1"&amp;RIGHT("00000"&amp;29,5))</f>
        <v/>
      </c>
      <c r="C34">
        <f>IF($B34="","",COUNTIFS($A$6:$A$1005,$A34,$B$6:$B$1005,"&lt;"&amp;$B34)+COUNTIFS($N$6:$N$2005,$A34,$P$6:$P$2005,"&lt;"&amp;$B34)+1)</f>
        <v/>
      </c>
      <c r="D34">
        <f>IF($C34="","",$A34&amp;"|"&amp;RIGHT("000000"&amp;$C34,6))</f>
        <v/>
      </c>
      <c r="E34">
        <f>IF(Entry!$B37="","",IF(ISNUMBER(Entry!$B37),IF(AND(Entry!$B37&gt;=10000101,Entry!$B37&lt;=99991231),INT(Entry!$B37/10000)&amp;"/"&amp;RIGHT("00"&amp;INT(MOD(Entry!$B37,10000)/100),2)&amp;"/"&amp;RIGHT("00"&amp;MOD(Entry!$B37,100),2),"نامعتبر"),IF(LEN(Entry!$B37)=10,Entry!$B37,"نامعتبر")))</f>
        <v/>
      </c>
      <c r="F34">
        <f>IF(Entry!$B37="","",IF(Entry!$C37="","0000",IF(AND(ISNUMBER(Entry!$C37),Entry!$C37&gt;=0,Entry!$C37&lt;1),RIGHT("00"&amp;HOUR(Entry!$C37),2)&amp;RIGHT("00"&amp;MINUTE(Entry!$C37),2),IFERROR(RIGHT("00"&amp;VALUE(LEFT(Entry!$C37,FIND(":",Entry!$C37)-1)),2)&amp;RIGHT("00"&amp;VALUE(MID(Entry!$C37,FIND(":",Entry!$C37)+1,2)),2),"0000"))))</f>
        <v/>
      </c>
      <c r="G34">
        <f>IF($A34="","",Entry!$G37)</f>
        <v/>
      </c>
      <c r="H34">
        <f>IF($A34="","",IF(Entry!$H37="",0,Entry!$H37))</f>
        <v/>
      </c>
      <c r="I34">
        <f>IF($A34="","",IF(Entry!$I37="",0,Entry!$I37))</f>
        <v/>
      </c>
      <c r="J34">
        <f>IF($A34="","",ROUND($H34*$I34,0))</f>
        <v/>
      </c>
      <c r="K34">
        <f>IF($A34="","",Entry!$D37)</f>
        <v/>
      </c>
      <c r="L34">
        <f>IF($A34="","",Entry!$L37)</f>
        <v/>
      </c>
      <c r="N34">
        <f>IF(OR(Sync!$M34="",$Q34="",$Q34="نامعتبر"),"",Sync!$M34)</f>
        <v/>
      </c>
      <c r="O34">
        <f>IF($N34="","",$Q34)</f>
        <v/>
      </c>
      <c r="P34">
        <f>IF($N34="","",LEFT($Q34,4)&amp;MID($Q34,6,2)&amp;RIGHT($Q34,2)&amp;IF(Sync!$K34="","0000",IF(AND(ISNUMBER(Sync!$K34),Sync!$K34&gt;=0,Sync!$K34&lt;1),RIGHT("00"&amp;HOUR(Sync!$K34),2)&amp;RIGHT("00"&amp;MINUTE(Sync!$K34),2),IFERROR(RIGHT("00"&amp;VALUE(LEFT(Sync!$K34,FIND(":",Sync!$K34)-1)),2)&amp;RIGHT("00"&amp;VALUE(MID(Sync!$K34,FIND(":",Sync!$K34)+1,2)),2),"0000")))&amp;"|"&amp;"2"&amp;RIGHT("00000"&amp;29,5))</f>
        <v/>
      </c>
      <c r="Q34">
        <f>IF(Sync!$J34="","",IF(ISNUMBER(Sync!$J34),IF(AND(Sync!$J34&gt;=10000101,Sync!$J34&lt;=99991231),INT(Sync!$J34/10000)&amp;"/"&amp;RIGHT("00"&amp;INT(MOD(Sync!$J34,10000)/100),2)&amp;"/"&amp;RIGHT("00"&amp;MOD(Sync!$J34,100),2),"نامعتبر"),IF(LEN(Sync!$J34)=10,Sync!$J34,"نامعتبر")))</f>
        <v/>
      </c>
      <c r="R34">
        <f>IF($P34="","",COUNTIFS($N$6:$N$2005,$N34,$P$6:$P$2005,"&lt;"&amp;$P34)+COUNTIFS($A$6:$A$1005,$N34,$B$6:$B$1005,"&lt;"&amp;$P34)+1)</f>
        <v/>
      </c>
      <c r="S34">
        <f>IF($N34="","",$N34&amp;"|"&amp;RIGHT("000000"&amp;$R34,6))</f>
        <v/>
      </c>
      <c r="T34">
        <f>IF($N34="","",IF(Sync!$N34="",0,Sync!$N34))</f>
        <v/>
      </c>
      <c r="U34">
        <f>IF($N34="","",IF(Sync!$O34="",0,Sync!$O34))</f>
        <v/>
      </c>
      <c r="V34">
        <f>IF($N34="","",Sync!$L34)</f>
        <v/>
      </c>
      <c r="W34">
        <f>IF($N34="","",Sync!$P34)</f>
        <v/>
      </c>
      <c r="AA34">
        <f>IF($A34="","",IF(COUNTIF($A$6:$A34,$A34)=1,1,0))</f>
        <v/>
      </c>
      <c r="AB34">
        <f>SUM($AA$6:$AA34)</f>
        <v/>
      </c>
      <c r="AC34">
        <f>IFERROR(INDEX($A$6:$A$1005,MATCH(ROW()-5,$AB$6:$AB$1005,0)),"")</f>
        <v/>
      </c>
    </row>
    <row r="35">
      <c r="A35">
        <f>IF(OR(Entry!$B38="",Entry!$E38="",$E35="نامعتبر"),"",Entry!$E38)</f>
        <v/>
      </c>
      <c r="B35">
        <f>IF($A35="","",LEFT($E35,4)&amp;MID($E35,6,2)&amp;RIGHT($E35,2)&amp;$F35&amp;"|"&amp;"1"&amp;RIGHT("00000"&amp;30,5))</f>
        <v/>
      </c>
      <c r="C35">
        <f>IF($B35="","",COUNTIFS($A$6:$A$1005,$A35,$B$6:$B$1005,"&lt;"&amp;$B35)+COUNTIFS($N$6:$N$2005,$A35,$P$6:$P$2005,"&lt;"&amp;$B35)+1)</f>
        <v/>
      </c>
      <c r="D35">
        <f>IF($C35="","",$A35&amp;"|"&amp;RIGHT("000000"&amp;$C35,6))</f>
        <v/>
      </c>
      <c r="E35">
        <f>IF(Entry!$B38="","",IF(ISNUMBER(Entry!$B38),IF(AND(Entry!$B38&gt;=10000101,Entry!$B38&lt;=99991231),INT(Entry!$B38/10000)&amp;"/"&amp;RIGHT("00"&amp;INT(MOD(Entry!$B38,10000)/100),2)&amp;"/"&amp;RIGHT("00"&amp;MOD(Entry!$B38,100),2),"نامعتبر"),IF(LEN(Entry!$B38)=10,Entry!$B38,"نامعتبر")))</f>
        <v/>
      </c>
      <c r="F35">
        <f>IF(Entry!$B38="","",IF(Entry!$C38="","0000",IF(AND(ISNUMBER(Entry!$C38),Entry!$C38&gt;=0,Entry!$C38&lt;1),RIGHT("00"&amp;HOUR(Entry!$C38),2)&amp;RIGHT("00"&amp;MINUTE(Entry!$C38),2),IFERROR(RIGHT("00"&amp;VALUE(LEFT(Entry!$C38,FIND(":",Entry!$C38)-1)),2)&amp;RIGHT("00"&amp;VALUE(MID(Entry!$C38,FIND(":",Entry!$C38)+1,2)),2),"0000"))))</f>
        <v/>
      </c>
      <c r="G35">
        <f>IF($A35="","",Entry!$G38)</f>
        <v/>
      </c>
      <c r="H35">
        <f>IF($A35="","",IF(Entry!$H38="",0,Entry!$H38))</f>
        <v/>
      </c>
      <c r="I35">
        <f>IF($A35="","",IF(Entry!$I38="",0,Entry!$I38))</f>
        <v/>
      </c>
      <c r="J35">
        <f>IF($A35="","",ROUND($H35*$I35,0))</f>
        <v/>
      </c>
      <c r="K35">
        <f>IF($A35="","",Entry!$D38)</f>
        <v/>
      </c>
      <c r="L35">
        <f>IF($A35="","",Entry!$L38)</f>
        <v/>
      </c>
      <c r="N35">
        <f>IF(OR(Sync!$M35="",$Q35="",$Q35="نامعتبر"),"",Sync!$M35)</f>
        <v/>
      </c>
      <c r="O35">
        <f>IF($N35="","",$Q35)</f>
        <v/>
      </c>
      <c r="P35">
        <f>IF($N35="","",LEFT($Q35,4)&amp;MID($Q35,6,2)&amp;RIGHT($Q35,2)&amp;IF(Sync!$K35="","0000",IF(AND(ISNUMBER(Sync!$K35),Sync!$K35&gt;=0,Sync!$K35&lt;1),RIGHT("00"&amp;HOUR(Sync!$K35),2)&amp;RIGHT("00"&amp;MINUTE(Sync!$K35),2),IFERROR(RIGHT("00"&amp;VALUE(LEFT(Sync!$K35,FIND(":",Sync!$K35)-1)),2)&amp;RIGHT("00"&amp;VALUE(MID(Sync!$K35,FIND(":",Sync!$K35)+1,2)),2),"0000")))&amp;"|"&amp;"2"&amp;RIGHT("00000"&amp;30,5))</f>
        <v/>
      </c>
      <c r="Q35">
        <f>IF(Sync!$J35="","",IF(ISNUMBER(Sync!$J35),IF(AND(Sync!$J35&gt;=10000101,Sync!$J35&lt;=99991231),INT(Sync!$J35/10000)&amp;"/"&amp;RIGHT("00"&amp;INT(MOD(Sync!$J35,10000)/100),2)&amp;"/"&amp;RIGHT("00"&amp;MOD(Sync!$J35,100),2),"نامعتبر"),IF(LEN(Sync!$J35)=10,Sync!$J35,"نامعتبر")))</f>
        <v/>
      </c>
      <c r="R35">
        <f>IF($P35="","",COUNTIFS($N$6:$N$2005,$N35,$P$6:$P$2005,"&lt;"&amp;$P35)+COUNTIFS($A$6:$A$1005,$N35,$B$6:$B$1005,"&lt;"&amp;$P35)+1)</f>
        <v/>
      </c>
      <c r="S35">
        <f>IF($N35="","",$N35&amp;"|"&amp;RIGHT("000000"&amp;$R35,6))</f>
        <v/>
      </c>
      <c r="T35">
        <f>IF($N35="","",IF(Sync!$N35="",0,Sync!$N35))</f>
        <v/>
      </c>
      <c r="U35">
        <f>IF($N35="","",IF(Sync!$O35="",0,Sync!$O35))</f>
        <v/>
      </c>
      <c r="V35">
        <f>IF($N35="","",Sync!$L35)</f>
        <v/>
      </c>
      <c r="W35">
        <f>IF($N35="","",Sync!$P35)</f>
        <v/>
      </c>
      <c r="AA35">
        <f>IF($A35="","",IF(COUNTIF($A$6:$A35,$A35)=1,1,0))</f>
        <v/>
      </c>
      <c r="AB35">
        <f>SUM($AA$6:$AA35)</f>
        <v/>
      </c>
      <c r="AC35">
        <f>IFERROR(INDEX($A$6:$A$1005,MATCH(ROW()-5,$AB$6:$AB$1005,0)),"")</f>
        <v/>
      </c>
    </row>
    <row r="36">
      <c r="A36">
        <f>IF(OR(Entry!$B39="",Entry!$E39="",$E36="نامعتبر"),"",Entry!$E39)</f>
        <v/>
      </c>
      <c r="B36">
        <f>IF($A36="","",LEFT($E36,4)&amp;MID($E36,6,2)&amp;RIGHT($E36,2)&amp;$F36&amp;"|"&amp;"1"&amp;RIGHT("00000"&amp;31,5))</f>
        <v/>
      </c>
      <c r="C36">
        <f>IF($B36="","",COUNTIFS($A$6:$A$1005,$A36,$B$6:$B$1005,"&lt;"&amp;$B36)+COUNTIFS($N$6:$N$2005,$A36,$P$6:$P$2005,"&lt;"&amp;$B36)+1)</f>
        <v/>
      </c>
      <c r="D36">
        <f>IF($C36="","",$A36&amp;"|"&amp;RIGHT("000000"&amp;$C36,6))</f>
        <v/>
      </c>
      <c r="E36">
        <f>IF(Entry!$B39="","",IF(ISNUMBER(Entry!$B39),IF(AND(Entry!$B39&gt;=10000101,Entry!$B39&lt;=99991231),INT(Entry!$B39/10000)&amp;"/"&amp;RIGHT("00"&amp;INT(MOD(Entry!$B39,10000)/100),2)&amp;"/"&amp;RIGHT("00"&amp;MOD(Entry!$B39,100),2),"نامعتبر"),IF(LEN(Entry!$B39)=10,Entry!$B39,"نامعتبر")))</f>
        <v/>
      </c>
      <c r="F36">
        <f>IF(Entry!$B39="","",IF(Entry!$C39="","0000",IF(AND(ISNUMBER(Entry!$C39),Entry!$C39&gt;=0,Entry!$C39&lt;1),RIGHT("00"&amp;HOUR(Entry!$C39),2)&amp;RIGHT("00"&amp;MINUTE(Entry!$C39),2),IFERROR(RIGHT("00"&amp;VALUE(LEFT(Entry!$C39,FIND(":",Entry!$C39)-1)),2)&amp;RIGHT("00"&amp;VALUE(MID(Entry!$C39,FIND(":",Entry!$C39)+1,2)),2),"0000"))))</f>
        <v/>
      </c>
      <c r="G36">
        <f>IF($A36="","",Entry!$G39)</f>
        <v/>
      </c>
      <c r="H36">
        <f>IF($A36="","",IF(Entry!$H39="",0,Entry!$H39))</f>
        <v/>
      </c>
      <c r="I36">
        <f>IF($A36="","",IF(Entry!$I39="",0,Entry!$I39))</f>
        <v/>
      </c>
      <c r="J36">
        <f>IF($A36="","",ROUND($H36*$I36,0))</f>
        <v/>
      </c>
      <c r="K36">
        <f>IF($A36="","",Entry!$D39)</f>
        <v/>
      </c>
      <c r="L36">
        <f>IF($A36="","",Entry!$L39)</f>
        <v/>
      </c>
      <c r="N36">
        <f>IF(OR(Sync!$M36="",$Q36="",$Q36="نامعتبر"),"",Sync!$M36)</f>
        <v/>
      </c>
      <c r="O36">
        <f>IF($N36="","",$Q36)</f>
        <v/>
      </c>
      <c r="P36">
        <f>IF($N36="","",LEFT($Q36,4)&amp;MID($Q36,6,2)&amp;RIGHT($Q36,2)&amp;IF(Sync!$K36="","0000",IF(AND(ISNUMBER(Sync!$K36),Sync!$K36&gt;=0,Sync!$K36&lt;1),RIGHT("00"&amp;HOUR(Sync!$K36),2)&amp;RIGHT("00"&amp;MINUTE(Sync!$K36),2),IFERROR(RIGHT("00"&amp;VALUE(LEFT(Sync!$K36,FIND(":",Sync!$K36)-1)),2)&amp;RIGHT("00"&amp;VALUE(MID(Sync!$K36,FIND(":",Sync!$K36)+1,2)),2),"0000")))&amp;"|"&amp;"2"&amp;RIGHT("00000"&amp;31,5))</f>
        <v/>
      </c>
      <c r="Q36">
        <f>IF(Sync!$J36="","",IF(ISNUMBER(Sync!$J36),IF(AND(Sync!$J36&gt;=10000101,Sync!$J36&lt;=99991231),INT(Sync!$J36/10000)&amp;"/"&amp;RIGHT("00"&amp;INT(MOD(Sync!$J36,10000)/100),2)&amp;"/"&amp;RIGHT("00"&amp;MOD(Sync!$J36,100),2),"نامعتبر"),IF(LEN(Sync!$J36)=10,Sync!$J36,"نامعتبر")))</f>
        <v/>
      </c>
      <c r="R36">
        <f>IF($P36="","",COUNTIFS($N$6:$N$2005,$N36,$P$6:$P$2005,"&lt;"&amp;$P36)+COUNTIFS($A$6:$A$1005,$N36,$B$6:$B$1005,"&lt;"&amp;$P36)+1)</f>
        <v/>
      </c>
      <c r="S36">
        <f>IF($N36="","",$N36&amp;"|"&amp;RIGHT("000000"&amp;$R36,6))</f>
        <v/>
      </c>
      <c r="T36">
        <f>IF($N36="","",IF(Sync!$N36="",0,Sync!$N36))</f>
        <v/>
      </c>
      <c r="U36">
        <f>IF($N36="","",IF(Sync!$O36="",0,Sync!$O36))</f>
        <v/>
      </c>
      <c r="V36">
        <f>IF($N36="","",Sync!$L36)</f>
        <v/>
      </c>
      <c r="W36">
        <f>IF($N36="","",Sync!$P36)</f>
        <v/>
      </c>
      <c r="AA36">
        <f>IF($A36="","",IF(COUNTIF($A$6:$A36,$A36)=1,1,0))</f>
        <v/>
      </c>
      <c r="AB36">
        <f>SUM($AA$6:$AA36)</f>
        <v/>
      </c>
      <c r="AC36">
        <f>IFERROR(INDEX($A$6:$A$1005,MATCH(ROW()-5,$AB$6:$AB$1005,0)),"")</f>
        <v/>
      </c>
    </row>
    <row r="37">
      <c r="A37">
        <f>IF(OR(Entry!$B40="",Entry!$E40="",$E37="نامعتبر"),"",Entry!$E40)</f>
        <v/>
      </c>
      <c r="B37">
        <f>IF($A37="","",LEFT($E37,4)&amp;MID($E37,6,2)&amp;RIGHT($E37,2)&amp;$F37&amp;"|"&amp;"1"&amp;RIGHT("00000"&amp;32,5))</f>
        <v/>
      </c>
      <c r="C37">
        <f>IF($B37="","",COUNTIFS($A$6:$A$1005,$A37,$B$6:$B$1005,"&lt;"&amp;$B37)+COUNTIFS($N$6:$N$2005,$A37,$P$6:$P$2005,"&lt;"&amp;$B37)+1)</f>
        <v/>
      </c>
      <c r="D37">
        <f>IF($C37="","",$A37&amp;"|"&amp;RIGHT("000000"&amp;$C37,6))</f>
        <v/>
      </c>
      <c r="E37">
        <f>IF(Entry!$B40="","",IF(ISNUMBER(Entry!$B40),IF(AND(Entry!$B40&gt;=10000101,Entry!$B40&lt;=99991231),INT(Entry!$B40/10000)&amp;"/"&amp;RIGHT("00"&amp;INT(MOD(Entry!$B40,10000)/100),2)&amp;"/"&amp;RIGHT("00"&amp;MOD(Entry!$B40,100),2),"نامعتبر"),IF(LEN(Entry!$B40)=10,Entry!$B40,"نامعتبر")))</f>
        <v/>
      </c>
      <c r="F37">
        <f>IF(Entry!$B40="","",IF(Entry!$C40="","0000",IF(AND(ISNUMBER(Entry!$C40),Entry!$C40&gt;=0,Entry!$C40&lt;1),RIGHT("00"&amp;HOUR(Entry!$C40),2)&amp;RIGHT("00"&amp;MINUTE(Entry!$C40),2),IFERROR(RIGHT("00"&amp;VALUE(LEFT(Entry!$C40,FIND(":",Entry!$C40)-1)),2)&amp;RIGHT("00"&amp;VALUE(MID(Entry!$C40,FIND(":",Entry!$C40)+1,2)),2),"0000"))))</f>
        <v/>
      </c>
      <c r="G37">
        <f>IF($A37="","",Entry!$G40)</f>
        <v/>
      </c>
      <c r="H37">
        <f>IF($A37="","",IF(Entry!$H40="",0,Entry!$H40))</f>
        <v/>
      </c>
      <c r="I37">
        <f>IF($A37="","",IF(Entry!$I40="",0,Entry!$I40))</f>
        <v/>
      </c>
      <c r="J37">
        <f>IF($A37="","",ROUND($H37*$I37,0))</f>
        <v/>
      </c>
      <c r="K37">
        <f>IF($A37="","",Entry!$D40)</f>
        <v/>
      </c>
      <c r="L37">
        <f>IF($A37="","",Entry!$L40)</f>
        <v/>
      </c>
      <c r="N37">
        <f>IF(OR(Sync!$M37="",$Q37="",$Q37="نامعتبر"),"",Sync!$M37)</f>
        <v/>
      </c>
      <c r="O37">
        <f>IF($N37="","",$Q37)</f>
        <v/>
      </c>
      <c r="P37">
        <f>IF($N37="","",LEFT($Q37,4)&amp;MID($Q37,6,2)&amp;RIGHT($Q37,2)&amp;IF(Sync!$K37="","0000",IF(AND(ISNUMBER(Sync!$K37),Sync!$K37&gt;=0,Sync!$K37&lt;1),RIGHT("00"&amp;HOUR(Sync!$K37),2)&amp;RIGHT("00"&amp;MINUTE(Sync!$K37),2),IFERROR(RIGHT("00"&amp;VALUE(LEFT(Sync!$K37,FIND(":",Sync!$K37)-1)),2)&amp;RIGHT("00"&amp;VALUE(MID(Sync!$K37,FIND(":",Sync!$K37)+1,2)),2),"0000")))&amp;"|"&amp;"2"&amp;RIGHT("00000"&amp;32,5))</f>
        <v/>
      </c>
      <c r="Q37">
        <f>IF(Sync!$J37="","",IF(ISNUMBER(Sync!$J37),IF(AND(Sync!$J37&gt;=10000101,Sync!$J37&lt;=99991231),INT(Sync!$J37/10000)&amp;"/"&amp;RIGHT("00"&amp;INT(MOD(Sync!$J37,10000)/100),2)&amp;"/"&amp;RIGHT("00"&amp;MOD(Sync!$J37,100),2),"نامعتبر"),IF(LEN(Sync!$J37)=10,Sync!$J37,"نامعتبر")))</f>
        <v/>
      </c>
      <c r="R37">
        <f>IF($P37="","",COUNTIFS($N$6:$N$2005,$N37,$P$6:$P$2005,"&lt;"&amp;$P37)+COUNTIFS($A$6:$A$1005,$N37,$B$6:$B$1005,"&lt;"&amp;$P37)+1)</f>
        <v/>
      </c>
      <c r="S37">
        <f>IF($N37="","",$N37&amp;"|"&amp;RIGHT("000000"&amp;$R37,6))</f>
        <v/>
      </c>
      <c r="T37">
        <f>IF($N37="","",IF(Sync!$N37="",0,Sync!$N37))</f>
        <v/>
      </c>
      <c r="U37">
        <f>IF($N37="","",IF(Sync!$O37="",0,Sync!$O37))</f>
        <v/>
      </c>
      <c r="V37">
        <f>IF($N37="","",Sync!$L37)</f>
        <v/>
      </c>
      <c r="W37">
        <f>IF($N37="","",Sync!$P37)</f>
        <v/>
      </c>
      <c r="AA37">
        <f>IF($A37="","",IF(COUNTIF($A$6:$A37,$A37)=1,1,0))</f>
        <v/>
      </c>
      <c r="AB37">
        <f>SUM($AA$6:$AA37)</f>
        <v/>
      </c>
      <c r="AC37">
        <f>IFERROR(INDEX($A$6:$A$1005,MATCH(ROW()-5,$AB$6:$AB$1005,0)),"")</f>
        <v/>
      </c>
    </row>
    <row r="38">
      <c r="A38">
        <f>IF(OR(Entry!$B41="",Entry!$E41="",$E38="نامعتبر"),"",Entry!$E41)</f>
        <v/>
      </c>
      <c r="B38">
        <f>IF($A38="","",LEFT($E38,4)&amp;MID($E38,6,2)&amp;RIGHT($E38,2)&amp;$F38&amp;"|"&amp;"1"&amp;RIGHT("00000"&amp;33,5))</f>
        <v/>
      </c>
      <c r="C38">
        <f>IF($B38="","",COUNTIFS($A$6:$A$1005,$A38,$B$6:$B$1005,"&lt;"&amp;$B38)+COUNTIFS($N$6:$N$2005,$A38,$P$6:$P$2005,"&lt;"&amp;$B38)+1)</f>
        <v/>
      </c>
      <c r="D38">
        <f>IF($C38="","",$A38&amp;"|"&amp;RIGHT("000000"&amp;$C38,6))</f>
        <v/>
      </c>
      <c r="E38">
        <f>IF(Entry!$B41="","",IF(ISNUMBER(Entry!$B41),IF(AND(Entry!$B41&gt;=10000101,Entry!$B41&lt;=99991231),INT(Entry!$B41/10000)&amp;"/"&amp;RIGHT("00"&amp;INT(MOD(Entry!$B41,10000)/100),2)&amp;"/"&amp;RIGHT("00"&amp;MOD(Entry!$B41,100),2),"نامعتبر"),IF(LEN(Entry!$B41)=10,Entry!$B41,"نامعتبر")))</f>
        <v/>
      </c>
      <c r="F38">
        <f>IF(Entry!$B41="","",IF(Entry!$C41="","0000",IF(AND(ISNUMBER(Entry!$C41),Entry!$C41&gt;=0,Entry!$C41&lt;1),RIGHT("00"&amp;HOUR(Entry!$C41),2)&amp;RIGHT("00"&amp;MINUTE(Entry!$C41),2),IFERROR(RIGHT("00"&amp;VALUE(LEFT(Entry!$C41,FIND(":",Entry!$C41)-1)),2)&amp;RIGHT("00"&amp;VALUE(MID(Entry!$C41,FIND(":",Entry!$C41)+1,2)),2),"0000"))))</f>
        <v/>
      </c>
      <c r="G38">
        <f>IF($A38="","",Entry!$G41)</f>
        <v/>
      </c>
      <c r="H38">
        <f>IF($A38="","",IF(Entry!$H41="",0,Entry!$H41))</f>
        <v/>
      </c>
      <c r="I38">
        <f>IF($A38="","",IF(Entry!$I41="",0,Entry!$I41))</f>
        <v/>
      </c>
      <c r="J38">
        <f>IF($A38="","",ROUND($H38*$I38,0))</f>
        <v/>
      </c>
      <c r="K38">
        <f>IF($A38="","",Entry!$D41)</f>
        <v/>
      </c>
      <c r="L38">
        <f>IF($A38="","",Entry!$L41)</f>
        <v/>
      </c>
      <c r="N38">
        <f>IF(OR(Sync!$M38="",$Q38="",$Q38="نامعتبر"),"",Sync!$M38)</f>
        <v/>
      </c>
      <c r="O38">
        <f>IF($N38="","",$Q38)</f>
        <v/>
      </c>
      <c r="P38">
        <f>IF($N38="","",LEFT($Q38,4)&amp;MID($Q38,6,2)&amp;RIGHT($Q38,2)&amp;IF(Sync!$K38="","0000",IF(AND(ISNUMBER(Sync!$K38),Sync!$K38&gt;=0,Sync!$K38&lt;1),RIGHT("00"&amp;HOUR(Sync!$K38),2)&amp;RIGHT("00"&amp;MINUTE(Sync!$K38),2),IFERROR(RIGHT("00"&amp;VALUE(LEFT(Sync!$K38,FIND(":",Sync!$K38)-1)),2)&amp;RIGHT("00"&amp;VALUE(MID(Sync!$K38,FIND(":",Sync!$K38)+1,2)),2),"0000")))&amp;"|"&amp;"2"&amp;RIGHT("00000"&amp;33,5))</f>
        <v/>
      </c>
      <c r="Q38">
        <f>IF(Sync!$J38="","",IF(ISNUMBER(Sync!$J38),IF(AND(Sync!$J38&gt;=10000101,Sync!$J38&lt;=99991231),INT(Sync!$J38/10000)&amp;"/"&amp;RIGHT("00"&amp;INT(MOD(Sync!$J38,10000)/100),2)&amp;"/"&amp;RIGHT("00"&amp;MOD(Sync!$J38,100),2),"نامعتبر"),IF(LEN(Sync!$J38)=10,Sync!$J38,"نامعتبر")))</f>
        <v/>
      </c>
      <c r="R38">
        <f>IF($P38="","",COUNTIFS($N$6:$N$2005,$N38,$P$6:$P$2005,"&lt;"&amp;$P38)+COUNTIFS($A$6:$A$1005,$N38,$B$6:$B$1005,"&lt;"&amp;$P38)+1)</f>
        <v/>
      </c>
      <c r="S38">
        <f>IF($N38="","",$N38&amp;"|"&amp;RIGHT("000000"&amp;$R38,6))</f>
        <v/>
      </c>
      <c r="T38">
        <f>IF($N38="","",IF(Sync!$N38="",0,Sync!$N38))</f>
        <v/>
      </c>
      <c r="U38">
        <f>IF($N38="","",IF(Sync!$O38="",0,Sync!$O38))</f>
        <v/>
      </c>
      <c r="V38">
        <f>IF($N38="","",Sync!$L38)</f>
        <v/>
      </c>
      <c r="W38">
        <f>IF($N38="","",Sync!$P38)</f>
        <v/>
      </c>
      <c r="AA38">
        <f>IF($A38="","",IF(COUNTIF($A$6:$A38,$A38)=1,1,0))</f>
        <v/>
      </c>
      <c r="AB38">
        <f>SUM($AA$6:$AA38)</f>
        <v/>
      </c>
      <c r="AC38">
        <f>IFERROR(INDEX($A$6:$A$1005,MATCH(ROW()-5,$AB$6:$AB$1005,0)),"")</f>
        <v/>
      </c>
    </row>
    <row r="39">
      <c r="A39">
        <f>IF(OR(Entry!$B42="",Entry!$E42="",$E39="نامعتبر"),"",Entry!$E42)</f>
        <v/>
      </c>
      <c r="B39">
        <f>IF($A39="","",LEFT($E39,4)&amp;MID($E39,6,2)&amp;RIGHT($E39,2)&amp;$F39&amp;"|"&amp;"1"&amp;RIGHT("00000"&amp;34,5))</f>
        <v/>
      </c>
      <c r="C39">
        <f>IF($B39="","",COUNTIFS($A$6:$A$1005,$A39,$B$6:$B$1005,"&lt;"&amp;$B39)+COUNTIFS($N$6:$N$2005,$A39,$P$6:$P$2005,"&lt;"&amp;$B39)+1)</f>
        <v/>
      </c>
      <c r="D39">
        <f>IF($C39="","",$A39&amp;"|"&amp;RIGHT("000000"&amp;$C39,6))</f>
        <v/>
      </c>
      <c r="E39">
        <f>IF(Entry!$B42="","",IF(ISNUMBER(Entry!$B42),IF(AND(Entry!$B42&gt;=10000101,Entry!$B42&lt;=99991231),INT(Entry!$B42/10000)&amp;"/"&amp;RIGHT("00"&amp;INT(MOD(Entry!$B42,10000)/100),2)&amp;"/"&amp;RIGHT("00"&amp;MOD(Entry!$B42,100),2),"نامعتبر"),IF(LEN(Entry!$B42)=10,Entry!$B42,"نامعتبر")))</f>
        <v/>
      </c>
      <c r="F39">
        <f>IF(Entry!$B42="","",IF(Entry!$C42="","0000",IF(AND(ISNUMBER(Entry!$C42),Entry!$C42&gt;=0,Entry!$C42&lt;1),RIGHT("00"&amp;HOUR(Entry!$C42),2)&amp;RIGHT("00"&amp;MINUTE(Entry!$C42),2),IFERROR(RIGHT("00"&amp;VALUE(LEFT(Entry!$C42,FIND(":",Entry!$C42)-1)),2)&amp;RIGHT("00"&amp;VALUE(MID(Entry!$C42,FIND(":",Entry!$C42)+1,2)),2),"0000"))))</f>
        <v/>
      </c>
      <c r="G39">
        <f>IF($A39="","",Entry!$G42)</f>
        <v/>
      </c>
      <c r="H39">
        <f>IF($A39="","",IF(Entry!$H42="",0,Entry!$H42))</f>
        <v/>
      </c>
      <c r="I39">
        <f>IF($A39="","",IF(Entry!$I42="",0,Entry!$I42))</f>
        <v/>
      </c>
      <c r="J39">
        <f>IF($A39="","",ROUND($H39*$I39,0))</f>
        <v/>
      </c>
      <c r="K39">
        <f>IF($A39="","",Entry!$D42)</f>
        <v/>
      </c>
      <c r="L39">
        <f>IF($A39="","",Entry!$L42)</f>
        <v/>
      </c>
      <c r="N39">
        <f>IF(OR(Sync!$M39="",$Q39="",$Q39="نامعتبر"),"",Sync!$M39)</f>
        <v/>
      </c>
      <c r="O39">
        <f>IF($N39="","",$Q39)</f>
        <v/>
      </c>
      <c r="P39">
        <f>IF($N39="","",LEFT($Q39,4)&amp;MID($Q39,6,2)&amp;RIGHT($Q39,2)&amp;IF(Sync!$K39="","0000",IF(AND(ISNUMBER(Sync!$K39),Sync!$K39&gt;=0,Sync!$K39&lt;1),RIGHT("00"&amp;HOUR(Sync!$K39),2)&amp;RIGHT("00"&amp;MINUTE(Sync!$K39),2),IFERROR(RIGHT("00"&amp;VALUE(LEFT(Sync!$K39,FIND(":",Sync!$K39)-1)),2)&amp;RIGHT("00"&amp;VALUE(MID(Sync!$K39,FIND(":",Sync!$K39)+1,2)),2),"0000")))&amp;"|"&amp;"2"&amp;RIGHT("00000"&amp;34,5))</f>
        <v/>
      </c>
      <c r="Q39">
        <f>IF(Sync!$J39="","",IF(ISNUMBER(Sync!$J39),IF(AND(Sync!$J39&gt;=10000101,Sync!$J39&lt;=99991231),INT(Sync!$J39/10000)&amp;"/"&amp;RIGHT("00"&amp;INT(MOD(Sync!$J39,10000)/100),2)&amp;"/"&amp;RIGHT("00"&amp;MOD(Sync!$J39,100),2),"نامعتبر"),IF(LEN(Sync!$J39)=10,Sync!$J39,"نامعتبر")))</f>
        <v/>
      </c>
      <c r="R39">
        <f>IF($P39="","",COUNTIFS($N$6:$N$2005,$N39,$P$6:$P$2005,"&lt;"&amp;$P39)+COUNTIFS($A$6:$A$1005,$N39,$B$6:$B$1005,"&lt;"&amp;$P39)+1)</f>
        <v/>
      </c>
      <c r="S39">
        <f>IF($N39="","",$N39&amp;"|"&amp;RIGHT("000000"&amp;$R39,6))</f>
        <v/>
      </c>
      <c r="T39">
        <f>IF($N39="","",IF(Sync!$N39="",0,Sync!$N39))</f>
        <v/>
      </c>
      <c r="U39">
        <f>IF($N39="","",IF(Sync!$O39="",0,Sync!$O39))</f>
        <v/>
      </c>
      <c r="V39">
        <f>IF($N39="","",Sync!$L39)</f>
        <v/>
      </c>
      <c r="W39">
        <f>IF($N39="","",Sync!$P39)</f>
        <v/>
      </c>
      <c r="AA39">
        <f>IF($A39="","",IF(COUNTIF($A$6:$A39,$A39)=1,1,0))</f>
        <v/>
      </c>
      <c r="AB39">
        <f>SUM($AA$6:$AA39)</f>
        <v/>
      </c>
      <c r="AC39">
        <f>IFERROR(INDEX($A$6:$A$1005,MATCH(ROW()-5,$AB$6:$AB$1005,0)),"")</f>
        <v/>
      </c>
    </row>
    <row r="40">
      <c r="A40">
        <f>IF(OR(Entry!$B43="",Entry!$E43="",$E40="نامعتبر"),"",Entry!$E43)</f>
        <v/>
      </c>
      <c r="B40">
        <f>IF($A40="","",LEFT($E40,4)&amp;MID($E40,6,2)&amp;RIGHT($E40,2)&amp;$F40&amp;"|"&amp;"1"&amp;RIGHT("00000"&amp;35,5))</f>
        <v/>
      </c>
      <c r="C40">
        <f>IF($B40="","",COUNTIFS($A$6:$A$1005,$A40,$B$6:$B$1005,"&lt;"&amp;$B40)+COUNTIFS($N$6:$N$2005,$A40,$P$6:$P$2005,"&lt;"&amp;$B40)+1)</f>
        <v/>
      </c>
      <c r="D40">
        <f>IF($C40="","",$A40&amp;"|"&amp;RIGHT("000000"&amp;$C40,6))</f>
        <v/>
      </c>
      <c r="E40">
        <f>IF(Entry!$B43="","",IF(ISNUMBER(Entry!$B43),IF(AND(Entry!$B43&gt;=10000101,Entry!$B43&lt;=99991231),INT(Entry!$B43/10000)&amp;"/"&amp;RIGHT("00"&amp;INT(MOD(Entry!$B43,10000)/100),2)&amp;"/"&amp;RIGHT("00"&amp;MOD(Entry!$B43,100),2),"نامعتبر"),IF(LEN(Entry!$B43)=10,Entry!$B43,"نامعتبر")))</f>
        <v/>
      </c>
      <c r="F40">
        <f>IF(Entry!$B43="","",IF(Entry!$C43="","0000",IF(AND(ISNUMBER(Entry!$C43),Entry!$C43&gt;=0,Entry!$C43&lt;1),RIGHT("00"&amp;HOUR(Entry!$C43),2)&amp;RIGHT("00"&amp;MINUTE(Entry!$C43),2),IFERROR(RIGHT("00"&amp;VALUE(LEFT(Entry!$C43,FIND(":",Entry!$C43)-1)),2)&amp;RIGHT("00"&amp;VALUE(MID(Entry!$C43,FIND(":",Entry!$C43)+1,2)),2),"0000"))))</f>
        <v/>
      </c>
      <c r="G40">
        <f>IF($A40="","",Entry!$G43)</f>
        <v/>
      </c>
      <c r="H40">
        <f>IF($A40="","",IF(Entry!$H43="",0,Entry!$H43))</f>
        <v/>
      </c>
      <c r="I40">
        <f>IF($A40="","",IF(Entry!$I43="",0,Entry!$I43))</f>
        <v/>
      </c>
      <c r="J40">
        <f>IF($A40="","",ROUND($H40*$I40,0))</f>
        <v/>
      </c>
      <c r="K40">
        <f>IF($A40="","",Entry!$D43)</f>
        <v/>
      </c>
      <c r="L40">
        <f>IF($A40="","",Entry!$L43)</f>
        <v/>
      </c>
      <c r="N40">
        <f>IF(OR(Sync!$M40="",$Q40="",$Q40="نامعتبر"),"",Sync!$M40)</f>
        <v/>
      </c>
      <c r="O40">
        <f>IF($N40="","",$Q40)</f>
        <v/>
      </c>
      <c r="P40">
        <f>IF($N40="","",LEFT($Q40,4)&amp;MID($Q40,6,2)&amp;RIGHT($Q40,2)&amp;IF(Sync!$K40="","0000",IF(AND(ISNUMBER(Sync!$K40),Sync!$K40&gt;=0,Sync!$K40&lt;1),RIGHT("00"&amp;HOUR(Sync!$K40),2)&amp;RIGHT("00"&amp;MINUTE(Sync!$K40),2),IFERROR(RIGHT("00"&amp;VALUE(LEFT(Sync!$K40,FIND(":",Sync!$K40)-1)),2)&amp;RIGHT("00"&amp;VALUE(MID(Sync!$K40,FIND(":",Sync!$K40)+1,2)),2),"0000")))&amp;"|"&amp;"2"&amp;RIGHT("00000"&amp;35,5))</f>
        <v/>
      </c>
      <c r="Q40">
        <f>IF(Sync!$J40="","",IF(ISNUMBER(Sync!$J40),IF(AND(Sync!$J40&gt;=10000101,Sync!$J40&lt;=99991231),INT(Sync!$J40/10000)&amp;"/"&amp;RIGHT("00"&amp;INT(MOD(Sync!$J40,10000)/100),2)&amp;"/"&amp;RIGHT("00"&amp;MOD(Sync!$J40,100),2),"نامعتبر"),IF(LEN(Sync!$J40)=10,Sync!$J40,"نامعتبر")))</f>
        <v/>
      </c>
      <c r="R40">
        <f>IF($P40="","",COUNTIFS($N$6:$N$2005,$N40,$P$6:$P$2005,"&lt;"&amp;$P40)+COUNTIFS($A$6:$A$1005,$N40,$B$6:$B$1005,"&lt;"&amp;$P40)+1)</f>
        <v/>
      </c>
      <c r="S40">
        <f>IF($N40="","",$N40&amp;"|"&amp;RIGHT("000000"&amp;$R40,6))</f>
        <v/>
      </c>
      <c r="T40">
        <f>IF($N40="","",IF(Sync!$N40="",0,Sync!$N40))</f>
        <v/>
      </c>
      <c r="U40">
        <f>IF($N40="","",IF(Sync!$O40="",0,Sync!$O40))</f>
        <v/>
      </c>
      <c r="V40">
        <f>IF($N40="","",Sync!$L40)</f>
        <v/>
      </c>
      <c r="W40">
        <f>IF($N40="","",Sync!$P40)</f>
        <v/>
      </c>
      <c r="AA40">
        <f>IF($A40="","",IF(COUNTIF($A$6:$A40,$A40)=1,1,0))</f>
        <v/>
      </c>
      <c r="AB40">
        <f>SUM($AA$6:$AA40)</f>
        <v/>
      </c>
      <c r="AC40">
        <f>IFERROR(INDEX($A$6:$A$1005,MATCH(ROW()-5,$AB$6:$AB$1005,0)),"")</f>
        <v/>
      </c>
    </row>
    <row r="41">
      <c r="A41">
        <f>IF(OR(Entry!$B44="",Entry!$E44="",$E41="نامعتبر"),"",Entry!$E44)</f>
        <v/>
      </c>
      <c r="B41">
        <f>IF($A41="","",LEFT($E41,4)&amp;MID($E41,6,2)&amp;RIGHT($E41,2)&amp;$F41&amp;"|"&amp;"1"&amp;RIGHT("00000"&amp;36,5))</f>
        <v/>
      </c>
      <c r="C41">
        <f>IF($B41="","",COUNTIFS($A$6:$A$1005,$A41,$B$6:$B$1005,"&lt;"&amp;$B41)+COUNTIFS($N$6:$N$2005,$A41,$P$6:$P$2005,"&lt;"&amp;$B41)+1)</f>
        <v/>
      </c>
      <c r="D41">
        <f>IF($C41="","",$A41&amp;"|"&amp;RIGHT("000000"&amp;$C41,6))</f>
        <v/>
      </c>
      <c r="E41">
        <f>IF(Entry!$B44="","",IF(ISNUMBER(Entry!$B44),IF(AND(Entry!$B44&gt;=10000101,Entry!$B44&lt;=99991231),INT(Entry!$B44/10000)&amp;"/"&amp;RIGHT("00"&amp;INT(MOD(Entry!$B44,10000)/100),2)&amp;"/"&amp;RIGHT("00"&amp;MOD(Entry!$B44,100),2),"نامعتبر"),IF(LEN(Entry!$B44)=10,Entry!$B44,"نامعتبر")))</f>
        <v/>
      </c>
      <c r="F41">
        <f>IF(Entry!$B44="","",IF(Entry!$C44="","0000",IF(AND(ISNUMBER(Entry!$C44),Entry!$C44&gt;=0,Entry!$C44&lt;1),RIGHT("00"&amp;HOUR(Entry!$C44),2)&amp;RIGHT("00"&amp;MINUTE(Entry!$C44),2),IFERROR(RIGHT("00"&amp;VALUE(LEFT(Entry!$C44,FIND(":",Entry!$C44)-1)),2)&amp;RIGHT("00"&amp;VALUE(MID(Entry!$C44,FIND(":",Entry!$C44)+1,2)),2),"0000"))))</f>
        <v/>
      </c>
      <c r="G41">
        <f>IF($A41="","",Entry!$G44)</f>
        <v/>
      </c>
      <c r="H41">
        <f>IF($A41="","",IF(Entry!$H44="",0,Entry!$H44))</f>
        <v/>
      </c>
      <c r="I41">
        <f>IF($A41="","",IF(Entry!$I44="",0,Entry!$I44))</f>
        <v/>
      </c>
      <c r="J41">
        <f>IF($A41="","",ROUND($H41*$I41,0))</f>
        <v/>
      </c>
      <c r="K41">
        <f>IF($A41="","",Entry!$D44)</f>
        <v/>
      </c>
      <c r="L41">
        <f>IF($A41="","",Entry!$L44)</f>
        <v/>
      </c>
      <c r="N41">
        <f>IF(OR(Sync!$M41="",$Q41="",$Q41="نامعتبر"),"",Sync!$M41)</f>
        <v/>
      </c>
      <c r="O41">
        <f>IF($N41="","",$Q41)</f>
        <v/>
      </c>
      <c r="P41">
        <f>IF($N41="","",LEFT($Q41,4)&amp;MID($Q41,6,2)&amp;RIGHT($Q41,2)&amp;IF(Sync!$K41="","0000",IF(AND(ISNUMBER(Sync!$K41),Sync!$K41&gt;=0,Sync!$K41&lt;1),RIGHT("00"&amp;HOUR(Sync!$K41),2)&amp;RIGHT("00"&amp;MINUTE(Sync!$K41),2),IFERROR(RIGHT("00"&amp;VALUE(LEFT(Sync!$K41,FIND(":",Sync!$K41)-1)),2)&amp;RIGHT("00"&amp;VALUE(MID(Sync!$K41,FIND(":",Sync!$K41)+1,2)),2),"0000")))&amp;"|"&amp;"2"&amp;RIGHT("00000"&amp;36,5))</f>
        <v/>
      </c>
      <c r="Q41">
        <f>IF(Sync!$J41="","",IF(ISNUMBER(Sync!$J41),IF(AND(Sync!$J41&gt;=10000101,Sync!$J41&lt;=99991231),INT(Sync!$J41/10000)&amp;"/"&amp;RIGHT("00"&amp;INT(MOD(Sync!$J41,10000)/100),2)&amp;"/"&amp;RIGHT("00"&amp;MOD(Sync!$J41,100),2),"نامعتبر"),IF(LEN(Sync!$J41)=10,Sync!$J41,"نامعتبر")))</f>
        <v/>
      </c>
      <c r="R41">
        <f>IF($P41="","",COUNTIFS($N$6:$N$2005,$N41,$P$6:$P$2005,"&lt;"&amp;$P41)+COUNTIFS($A$6:$A$1005,$N41,$B$6:$B$1005,"&lt;"&amp;$P41)+1)</f>
        <v/>
      </c>
      <c r="S41">
        <f>IF($N41="","",$N41&amp;"|"&amp;RIGHT("000000"&amp;$R41,6))</f>
        <v/>
      </c>
      <c r="T41">
        <f>IF($N41="","",IF(Sync!$N41="",0,Sync!$N41))</f>
        <v/>
      </c>
      <c r="U41">
        <f>IF($N41="","",IF(Sync!$O41="",0,Sync!$O41))</f>
        <v/>
      </c>
      <c r="V41">
        <f>IF($N41="","",Sync!$L41)</f>
        <v/>
      </c>
      <c r="W41">
        <f>IF($N41="","",Sync!$P41)</f>
        <v/>
      </c>
      <c r="AA41">
        <f>IF($A41="","",IF(COUNTIF($A$6:$A41,$A41)=1,1,0))</f>
        <v/>
      </c>
      <c r="AB41">
        <f>SUM($AA$6:$AA41)</f>
        <v/>
      </c>
      <c r="AC41">
        <f>IFERROR(INDEX($A$6:$A$1005,MATCH(ROW()-5,$AB$6:$AB$1005,0)),"")</f>
        <v/>
      </c>
    </row>
    <row r="42">
      <c r="A42">
        <f>IF(OR(Entry!$B45="",Entry!$E45="",$E42="نامعتبر"),"",Entry!$E45)</f>
        <v/>
      </c>
      <c r="B42">
        <f>IF($A42="","",LEFT($E42,4)&amp;MID($E42,6,2)&amp;RIGHT($E42,2)&amp;$F42&amp;"|"&amp;"1"&amp;RIGHT("00000"&amp;37,5))</f>
        <v/>
      </c>
      <c r="C42">
        <f>IF($B42="","",COUNTIFS($A$6:$A$1005,$A42,$B$6:$B$1005,"&lt;"&amp;$B42)+COUNTIFS($N$6:$N$2005,$A42,$P$6:$P$2005,"&lt;"&amp;$B42)+1)</f>
        <v/>
      </c>
      <c r="D42">
        <f>IF($C42="","",$A42&amp;"|"&amp;RIGHT("000000"&amp;$C42,6))</f>
        <v/>
      </c>
      <c r="E42">
        <f>IF(Entry!$B45="","",IF(ISNUMBER(Entry!$B45),IF(AND(Entry!$B45&gt;=10000101,Entry!$B45&lt;=99991231),INT(Entry!$B45/10000)&amp;"/"&amp;RIGHT("00"&amp;INT(MOD(Entry!$B45,10000)/100),2)&amp;"/"&amp;RIGHT("00"&amp;MOD(Entry!$B45,100),2),"نامعتبر"),IF(LEN(Entry!$B45)=10,Entry!$B45,"نامعتبر")))</f>
        <v/>
      </c>
      <c r="F42">
        <f>IF(Entry!$B45="","",IF(Entry!$C45="","0000",IF(AND(ISNUMBER(Entry!$C45),Entry!$C45&gt;=0,Entry!$C45&lt;1),RIGHT("00"&amp;HOUR(Entry!$C45),2)&amp;RIGHT("00"&amp;MINUTE(Entry!$C45),2),IFERROR(RIGHT("00"&amp;VALUE(LEFT(Entry!$C45,FIND(":",Entry!$C45)-1)),2)&amp;RIGHT("00"&amp;VALUE(MID(Entry!$C45,FIND(":",Entry!$C45)+1,2)),2),"0000"))))</f>
        <v/>
      </c>
      <c r="G42">
        <f>IF($A42="","",Entry!$G45)</f>
        <v/>
      </c>
      <c r="H42">
        <f>IF($A42="","",IF(Entry!$H45="",0,Entry!$H45))</f>
        <v/>
      </c>
      <c r="I42">
        <f>IF($A42="","",IF(Entry!$I45="",0,Entry!$I45))</f>
        <v/>
      </c>
      <c r="J42">
        <f>IF($A42="","",ROUND($H42*$I42,0))</f>
        <v/>
      </c>
      <c r="K42">
        <f>IF($A42="","",Entry!$D45)</f>
        <v/>
      </c>
      <c r="L42">
        <f>IF($A42="","",Entry!$L45)</f>
        <v/>
      </c>
      <c r="N42">
        <f>IF(OR(Sync!$M42="",$Q42="",$Q42="نامعتبر"),"",Sync!$M42)</f>
        <v/>
      </c>
      <c r="O42">
        <f>IF($N42="","",$Q42)</f>
        <v/>
      </c>
      <c r="P42">
        <f>IF($N42="","",LEFT($Q42,4)&amp;MID($Q42,6,2)&amp;RIGHT($Q42,2)&amp;IF(Sync!$K42="","0000",IF(AND(ISNUMBER(Sync!$K42),Sync!$K42&gt;=0,Sync!$K42&lt;1),RIGHT("00"&amp;HOUR(Sync!$K42),2)&amp;RIGHT("00"&amp;MINUTE(Sync!$K42),2),IFERROR(RIGHT("00"&amp;VALUE(LEFT(Sync!$K42,FIND(":",Sync!$K42)-1)),2)&amp;RIGHT("00"&amp;VALUE(MID(Sync!$K42,FIND(":",Sync!$K42)+1,2)),2),"0000")))&amp;"|"&amp;"2"&amp;RIGHT("00000"&amp;37,5))</f>
        <v/>
      </c>
      <c r="Q42">
        <f>IF(Sync!$J42="","",IF(ISNUMBER(Sync!$J42),IF(AND(Sync!$J42&gt;=10000101,Sync!$J42&lt;=99991231),INT(Sync!$J42/10000)&amp;"/"&amp;RIGHT("00"&amp;INT(MOD(Sync!$J42,10000)/100),2)&amp;"/"&amp;RIGHT("00"&amp;MOD(Sync!$J42,100),2),"نامعتبر"),IF(LEN(Sync!$J42)=10,Sync!$J42,"نامعتبر")))</f>
        <v/>
      </c>
      <c r="R42">
        <f>IF($P42="","",COUNTIFS($N$6:$N$2005,$N42,$P$6:$P$2005,"&lt;"&amp;$P42)+COUNTIFS($A$6:$A$1005,$N42,$B$6:$B$1005,"&lt;"&amp;$P42)+1)</f>
        <v/>
      </c>
      <c r="S42">
        <f>IF($N42="","",$N42&amp;"|"&amp;RIGHT("000000"&amp;$R42,6))</f>
        <v/>
      </c>
      <c r="T42">
        <f>IF($N42="","",IF(Sync!$N42="",0,Sync!$N42))</f>
        <v/>
      </c>
      <c r="U42">
        <f>IF($N42="","",IF(Sync!$O42="",0,Sync!$O42))</f>
        <v/>
      </c>
      <c r="V42">
        <f>IF($N42="","",Sync!$L42)</f>
        <v/>
      </c>
      <c r="W42">
        <f>IF($N42="","",Sync!$P42)</f>
        <v/>
      </c>
      <c r="AA42">
        <f>IF($A42="","",IF(COUNTIF($A$6:$A42,$A42)=1,1,0))</f>
        <v/>
      </c>
      <c r="AB42">
        <f>SUM($AA$6:$AA42)</f>
        <v/>
      </c>
      <c r="AC42">
        <f>IFERROR(INDEX($A$6:$A$1005,MATCH(ROW()-5,$AB$6:$AB$1005,0)),"")</f>
        <v/>
      </c>
    </row>
    <row r="43">
      <c r="A43">
        <f>IF(OR(Entry!$B46="",Entry!$E46="",$E43="نامعتبر"),"",Entry!$E46)</f>
        <v/>
      </c>
      <c r="B43">
        <f>IF($A43="","",LEFT($E43,4)&amp;MID($E43,6,2)&amp;RIGHT($E43,2)&amp;$F43&amp;"|"&amp;"1"&amp;RIGHT("00000"&amp;38,5))</f>
        <v/>
      </c>
      <c r="C43">
        <f>IF($B43="","",COUNTIFS($A$6:$A$1005,$A43,$B$6:$B$1005,"&lt;"&amp;$B43)+COUNTIFS($N$6:$N$2005,$A43,$P$6:$P$2005,"&lt;"&amp;$B43)+1)</f>
        <v/>
      </c>
      <c r="D43">
        <f>IF($C43="","",$A43&amp;"|"&amp;RIGHT("000000"&amp;$C43,6))</f>
        <v/>
      </c>
      <c r="E43">
        <f>IF(Entry!$B46="","",IF(ISNUMBER(Entry!$B46),IF(AND(Entry!$B46&gt;=10000101,Entry!$B46&lt;=99991231),INT(Entry!$B46/10000)&amp;"/"&amp;RIGHT("00"&amp;INT(MOD(Entry!$B46,10000)/100),2)&amp;"/"&amp;RIGHT("00"&amp;MOD(Entry!$B46,100),2),"نامعتبر"),IF(LEN(Entry!$B46)=10,Entry!$B46,"نامعتبر")))</f>
        <v/>
      </c>
      <c r="F43">
        <f>IF(Entry!$B46="","",IF(Entry!$C46="","0000",IF(AND(ISNUMBER(Entry!$C46),Entry!$C46&gt;=0,Entry!$C46&lt;1),RIGHT("00"&amp;HOUR(Entry!$C46),2)&amp;RIGHT("00"&amp;MINUTE(Entry!$C46),2),IFERROR(RIGHT("00"&amp;VALUE(LEFT(Entry!$C46,FIND(":",Entry!$C46)-1)),2)&amp;RIGHT("00"&amp;VALUE(MID(Entry!$C46,FIND(":",Entry!$C46)+1,2)),2),"0000"))))</f>
        <v/>
      </c>
      <c r="G43">
        <f>IF($A43="","",Entry!$G46)</f>
        <v/>
      </c>
      <c r="H43">
        <f>IF($A43="","",IF(Entry!$H46="",0,Entry!$H46))</f>
        <v/>
      </c>
      <c r="I43">
        <f>IF($A43="","",IF(Entry!$I46="",0,Entry!$I46))</f>
        <v/>
      </c>
      <c r="J43">
        <f>IF($A43="","",ROUND($H43*$I43,0))</f>
        <v/>
      </c>
      <c r="K43">
        <f>IF($A43="","",Entry!$D46)</f>
        <v/>
      </c>
      <c r="L43">
        <f>IF($A43="","",Entry!$L46)</f>
        <v/>
      </c>
      <c r="N43">
        <f>IF(OR(Sync!$M43="",$Q43="",$Q43="نامعتبر"),"",Sync!$M43)</f>
        <v/>
      </c>
      <c r="O43">
        <f>IF($N43="","",$Q43)</f>
        <v/>
      </c>
      <c r="P43">
        <f>IF($N43="","",LEFT($Q43,4)&amp;MID($Q43,6,2)&amp;RIGHT($Q43,2)&amp;IF(Sync!$K43="","0000",IF(AND(ISNUMBER(Sync!$K43),Sync!$K43&gt;=0,Sync!$K43&lt;1),RIGHT("00"&amp;HOUR(Sync!$K43),2)&amp;RIGHT("00"&amp;MINUTE(Sync!$K43),2),IFERROR(RIGHT("00"&amp;VALUE(LEFT(Sync!$K43,FIND(":",Sync!$K43)-1)),2)&amp;RIGHT("00"&amp;VALUE(MID(Sync!$K43,FIND(":",Sync!$K43)+1,2)),2),"0000")))&amp;"|"&amp;"2"&amp;RIGHT("00000"&amp;38,5))</f>
        <v/>
      </c>
      <c r="Q43">
        <f>IF(Sync!$J43="","",IF(ISNUMBER(Sync!$J43),IF(AND(Sync!$J43&gt;=10000101,Sync!$J43&lt;=99991231),INT(Sync!$J43/10000)&amp;"/"&amp;RIGHT("00"&amp;INT(MOD(Sync!$J43,10000)/100),2)&amp;"/"&amp;RIGHT("00"&amp;MOD(Sync!$J43,100),2),"نامعتبر"),IF(LEN(Sync!$J43)=10,Sync!$J43,"نامعتبر")))</f>
        <v/>
      </c>
      <c r="R43">
        <f>IF($P43="","",COUNTIFS($N$6:$N$2005,$N43,$P$6:$P$2005,"&lt;"&amp;$P43)+COUNTIFS($A$6:$A$1005,$N43,$B$6:$B$1005,"&lt;"&amp;$P43)+1)</f>
        <v/>
      </c>
      <c r="S43">
        <f>IF($N43="","",$N43&amp;"|"&amp;RIGHT("000000"&amp;$R43,6))</f>
        <v/>
      </c>
      <c r="T43">
        <f>IF($N43="","",IF(Sync!$N43="",0,Sync!$N43))</f>
        <v/>
      </c>
      <c r="U43">
        <f>IF($N43="","",IF(Sync!$O43="",0,Sync!$O43))</f>
        <v/>
      </c>
      <c r="V43">
        <f>IF($N43="","",Sync!$L43)</f>
        <v/>
      </c>
      <c r="W43">
        <f>IF($N43="","",Sync!$P43)</f>
        <v/>
      </c>
      <c r="AA43">
        <f>IF($A43="","",IF(COUNTIF($A$6:$A43,$A43)=1,1,0))</f>
        <v/>
      </c>
      <c r="AB43">
        <f>SUM($AA$6:$AA43)</f>
        <v/>
      </c>
      <c r="AC43">
        <f>IFERROR(INDEX($A$6:$A$1005,MATCH(ROW()-5,$AB$6:$AB$1005,0)),"")</f>
        <v/>
      </c>
    </row>
    <row r="44">
      <c r="A44">
        <f>IF(OR(Entry!$B47="",Entry!$E47="",$E44="نامعتبر"),"",Entry!$E47)</f>
        <v/>
      </c>
      <c r="B44">
        <f>IF($A44="","",LEFT($E44,4)&amp;MID($E44,6,2)&amp;RIGHT($E44,2)&amp;$F44&amp;"|"&amp;"1"&amp;RIGHT("00000"&amp;39,5))</f>
        <v/>
      </c>
      <c r="C44">
        <f>IF($B44="","",COUNTIFS($A$6:$A$1005,$A44,$B$6:$B$1005,"&lt;"&amp;$B44)+COUNTIFS($N$6:$N$2005,$A44,$P$6:$P$2005,"&lt;"&amp;$B44)+1)</f>
        <v/>
      </c>
      <c r="D44">
        <f>IF($C44="","",$A44&amp;"|"&amp;RIGHT("000000"&amp;$C44,6))</f>
        <v/>
      </c>
      <c r="E44">
        <f>IF(Entry!$B47="","",IF(ISNUMBER(Entry!$B47),IF(AND(Entry!$B47&gt;=10000101,Entry!$B47&lt;=99991231),INT(Entry!$B47/10000)&amp;"/"&amp;RIGHT("00"&amp;INT(MOD(Entry!$B47,10000)/100),2)&amp;"/"&amp;RIGHT("00"&amp;MOD(Entry!$B47,100),2),"نامعتبر"),IF(LEN(Entry!$B47)=10,Entry!$B47,"نامعتبر")))</f>
        <v/>
      </c>
      <c r="F44">
        <f>IF(Entry!$B47="","",IF(Entry!$C47="","0000",IF(AND(ISNUMBER(Entry!$C47),Entry!$C47&gt;=0,Entry!$C47&lt;1),RIGHT("00"&amp;HOUR(Entry!$C47),2)&amp;RIGHT("00"&amp;MINUTE(Entry!$C47),2),IFERROR(RIGHT("00"&amp;VALUE(LEFT(Entry!$C47,FIND(":",Entry!$C47)-1)),2)&amp;RIGHT("00"&amp;VALUE(MID(Entry!$C47,FIND(":",Entry!$C47)+1,2)),2),"0000"))))</f>
        <v/>
      </c>
      <c r="G44">
        <f>IF($A44="","",Entry!$G47)</f>
        <v/>
      </c>
      <c r="H44">
        <f>IF($A44="","",IF(Entry!$H47="",0,Entry!$H47))</f>
        <v/>
      </c>
      <c r="I44">
        <f>IF($A44="","",IF(Entry!$I47="",0,Entry!$I47))</f>
        <v/>
      </c>
      <c r="J44">
        <f>IF($A44="","",ROUND($H44*$I44,0))</f>
        <v/>
      </c>
      <c r="K44">
        <f>IF($A44="","",Entry!$D47)</f>
        <v/>
      </c>
      <c r="L44">
        <f>IF($A44="","",Entry!$L47)</f>
        <v/>
      </c>
      <c r="N44">
        <f>IF(OR(Sync!$M44="",$Q44="",$Q44="نامعتبر"),"",Sync!$M44)</f>
        <v/>
      </c>
      <c r="O44">
        <f>IF($N44="","",$Q44)</f>
        <v/>
      </c>
      <c r="P44">
        <f>IF($N44="","",LEFT($Q44,4)&amp;MID($Q44,6,2)&amp;RIGHT($Q44,2)&amp;IF(Sync!$K44="","0000",IF(AND(ISNUMBER(Sync!$K44),Sync!$K44&gt;=0,Sync!$K44&lt;1),RIGHT("00"&amp;HOUR(Sync!$K44),2)&amp;RIGHT("00"&amp;MINUTE(Sync!$K44),2),IFERROR(RIGHT("00"&amp;VALUE(LEFT(Sync!$K44,FIND(":",Sync!$K44)-1)),2)&amp;RIGHT("00"&amp;VALUE(MID(Sync!$K44,FIND(":",Sync!$K44)+1,2)),2),"0000")))&amp;"|"&amp;"2"&amp;RIGHT("00000"&amp;39,5))</f>
        <v/>
      </c>
      <c r="Q44">
        <f>IF(Sync!$J44="","",IF(ISNUMBER(Sync!$J44),IF(AND(Sync!$J44&gt;=10000101,Sync!$J44&lt;=99991231),INT(Sync!$J44/10000)&amp;"/"&amp;RIGHT("00"&amp;INT(MOD(Sync!$J44,10000)/100),2)&amp;"/"&amp;RIGHT("00"&amp;MOD(Sync!$J44,100),2),"نامعتبر"),IF(LEN(Sync!$J44)=10,Sync!$J44,"نامعتبر")))</f>
        <v/>
      </c>
      <c r="R44">
        <f>IF($P44="","",COUNTIFS($N$6:$N$2005,$N44,$P$6:$P$2005,"&lt;"&amp;$P44)+COUNTIFS($A$6:$A$1005,$N44,$B$6:$B$1005,"&lt;"&amp;$P44)+1)</f>
        <v/>
      </c>
      <c r="S44">
        <f>IF($N44="","",$N44&amp;"|"&amp;RIGHT("000000"&amp;$R44,6))</f>
        <v/>
      </c>
      <c r="T44">
        <f>IF($N44="","",IF(Sync!$N44="",0,Sync!$N44))</f>
        <v/>
      </c>
      <c r="U44">
        <f>IF($N44="","",IF(Sync!$O44="",0,Sync!$O44))</f>
        <v/>
      </c>
      <c r="V44">
        <f>IF($N44="","",Sync!$L44)</f>
        <v/>
      </c>
      <c r="W44">
        <f>IF($N44="","",Sync!$P44)</f>
        <v/>
      </c>
      <c r="AA44">
        <f>IF($A44="","",IF(COUNTIF($A$6:$A44,$A44)=1,1,0))</f>
        <v/>
      </c>
      <c r="AB44">
        <f>SUM($AA$6:$AA44)</f>
        <v/>
      </c>
      <c r="AC44">
        <f>IFERROR(INDEX($A$6:$A$1005,MATCH(ROW()-5,$AB$6:$AB$1005,0)),"")</f>
        <v/>
      </c>
    </row>
    <row r="45">
      <c r="A45">
        <f>IF(OR(Entry!$B48="",Entry!$E48="",$E45="نامعتبر"),"",Entry!$E48)</f>
        <v/>
      </c>
      <c r="B45">
        <f>IF($A45="","",LEFT($E45,4)&amp;MID($E45,6,2)&amp;RIGHT($E45,2)&amp;$F45&amp;"|"&amp;"1"&amp;RIGHT("00000"&amp;40,5))</f>
        <v/>
      </c>
      <c r="C45">
        <f>IF($B45="","",COUNTIFS($A$6:$A$1005,$A45,$B$6:$B$1005,"&lt;"&amp;$B45)+COUNTIFS($N$6:$N$2005,$A45,$P$6:$P$2005,"&lt;"&amp;$B45)+1)</f>
        <v/>
      </c>
      <c r="D45">
        <f>IF($C45="","",$A45&amp;"|"&amp;RIGHT("000000"&amp;$C45,6))</f>
        <v/>
      </c>
      <c r="E45">
        <f>IF(Entry!$B48="","",IF(ISNUMBER(Entry!$B48),IF(AND(Entry!$B48&gt;=10000101,Entry!$B48&lt;=99991231),INT(Entry!$B48/10000)&amp;"/"&amp;RIGHT("00"&amp;INT(MOD(Entry!$B48,10000)/100),2)&amp;"/"&amp;RIGHT("00"&amp;MOD(Entry!$B48,100),2),"نامعتبر"),IF(LEN(Entry!$B48)=10,Entry!$B48,"نامعتبر")))</f>
        <v/>
      </c>
      <c r="F45">
        <f>IF(Entry!$B48="","",IF(Entry!$C48="","0000",IF(AND(ISNUMBER(Entry!$C48),Entry!$C48&gt;=0,Entry!$C48&lt;1),RIGHT("00"&amp;HOUR(Entry!$C48),2)&amp;RIGHT("00"&amp;MINUTE(Entry!$C48),2),IFERROR(RIGHT("00"&amp;VALUE(LEFT(Entry!$C48,FIND(":",Entry!$C48)-1)),2)&amp;RIGHT("00"&amp;VALUE(MID(Entry!$C48,FIND(":",Entry!$C48)+1,2)),2),"0000"))))</f>
        <v/>
      </c>
      <c r="G45">
        <f>IF($A45="","",Entry!$G48)</f>
        <v/>
      </c>
      <c r="H45">
        <f>IF($A45="","",IF(Entry!$H48="",0,Entry!$H48))</f>
        <v/>
      </c>
      <c r="I45">
        <f>IF($A45="","",IF(Entry!$I48="",0,Entry!$I48))</f>
        <v/>
      </c>
      <c r="J45">
        <f>IF($A45="","",ROUND($H45*$I45,0))</f>
        <v/>
      </c>
      <c r="K45">
        <f>IF($A45="","",Entry!$D48)</f>
        <v/>
      </c>
      <c r="L45">
        <f>IF($A45="","",Entry!$L48)</f>
        <v/>
      </c>
      <c r="N45">
        <f>IF(OR(Sync!$M45="",$Q45="",$Q45="نامعتبر"),"",Sync!$M45)</f>
        <v/>
      </c>
      <c r="O45">
        <f>IF($N45="","",$Q45)</f>
        <v/>
      </c>
      <c r="P45">
        <f>IF($N45="","",LEFT($Q45,4)&amp;MID($Q45,6,2)&amp;RIGHT($Q45,2)&amp;IF(Sync!$K45="","0000",IF(AND(ISNUMBER(Sync!$K45),Sync!$K45&gt;=0,Sync!$K45&lt;1),RIGHT("00"&amp;HOUR(Sync!$K45),2)&amp;RIGHT("00"&amp;MINUTE(Sync!$K45),2),IFERROR(RIGHT("00"&amp;VALUE(LEFT(Sync!$K45,FIND(":",Sync!$K45)-1)),2)&amp;RIGHT("00"&amp;VALUE(MID(Sync!$K45,FIND(":",Sync!$K45)+1,2)),2),"0000")))&amp;"|"&amp;"2"&amp;RIGHT("00000"&amp;40,5))</f>
        <v/>
      </c>
      <c r="Q45">
        <f>IF(Sync!$J45="","",IF(ISNUMBER(Sync!$J45),IF(AND(Sync!$J45&gt;=10000101,Sync!$J45&lt;=99991231),INT(Sync!$J45/10000)&amp;"/"&amp;RIGHT("00"&amp;INT(MOD(Sync!$J45,10000)/100),2)&amp;"/"&amp;RIGHT("00"&amp;MOD(Sync!$J45,100),2),"نامعتبر"),IF(LEN(Sync!$J45)=10,Sync!$J45,"نامعتبر")))</f>
        <v/>
      </c>
      <c r="R45">
        <f>IF($P45="","",COUNTIFS($N$6:$N$2005,$N45,$P$6:$P$2005,"&lt;"&amp;$P45)+COUNTIFS($A$6:$A$1005,$N45,$B$6:$B$1005,"&lt;"&amp;$P45)+1)</f>
        <v/>
      </c>
      <c r="S45">
        <f>IF($N45="","",$N45&amp;"|"&amp;RIGHT("000000"&amp;$R45,6))</f>
        <v/>
      </c>
      <c r="T45">
        <f>IF($N45="","",IF(Sync!$N45="",0,Sync!$N45))</f>
        <v/>
      </c>
      <c r="U45">
        <f>IF($N45="","",IF(Sync!$O45="",0,Sync!$O45))</f>
        <v/>
      </c>
      <c r="V45">
        <f>IF($N45="","",Sync!$L45)</f>
        <v/>
      </c>
      <c r="W45">
        <f>IF($N45="","",Sync!$P45)</f>
        <v/>
      </c>
      <c r="AA45">
        <f>IF($A45="","",IF(COUNTIF($A$6:$A45,$A45)=1,1,0))</f>
        <v/>
      </c>
      <c r="AB45">
        <f>SUM($AA$6:$AA45)</f>
        <v/>
      </c>
      <c r="AC45">
        <f>IFERROR(INDEX($A$6:$A$1005,MATCH(ROW()-5,$AB$6:$AB$1005,0)),"")</f>
        <v/>
      </c>
    </row>
    <row r="46">
      <c r="A46">
        <f>IF(OR(Entry!$B49="",Entry!$E49="",$E46="نامعتبر"),"",Entry!$E49)</f>
        <v/>
      </c>
      <c r="B46">
        <f>IF($A46="","",LEFT($E46,4)&amp;MID($E46,6,2)&amp;RIGHT($E46,2)&amp;$F46&amp;"|"&amp;"1"&amp;RIGHT("00000"&amp;41,5))</f>
        <v/>
      </c>
      <c r="C46">
        <f>IF($B46="","",COUNTIFS($A$6:$A$1005,$A46,$B$6:$B$1005,"&lt;"&amp;$B46)+COUNTIFS($N$6:$N$2005,$A46,$P$6:$P$2005,"&lt;"&amp;$B46)+1)</f>
        <v/>
      </c>
      <c r="D46">
        <f>IF($C46="","",$A46&amp;"|"&amp;RIGHT("000000"&amp;$C46,6))</f>
        <v/>
      </c>
      <c r="E46">
        <f>IF(Entry!$B49="","",IF(ISNUMBER(Entry!$B49),IF(AND(Entry!$B49&gt;=10000101,Entry!$B49&lt;=99991231),INT(Entry!$B49/10000)&amp;"/"&amp;RIGHT("00"&amp;INT(MOD(Entry!$B49,10000)/100),2)&amp;"/"&amp;RIGHT("00"&amp;MOD(Entry!$B49,100),2),"نامعتبر"),IF(LEN(Entry!$B49)=10,Entry!$B49,"نامعتبر")))</f>
        <v/>
      </c>
      <c r="F46">
        <f>IF(Entry!$B49="","",IF(Entry!$C49="","0000",IF(AND(ISNUMBER(Entry!$C49),Entry!$C49&gt;=0,Entry!$C49&lt;1),RIGHT("00"&amp;HOUR(Entry!$C49),2)&amp;RIGHT("00"&amp;MINUTE(Entry!$C49),2),IFERROR(RIGHT("00"&amp;VALUE(LEFT(Entry!$C49,FIND(":",Entry!$C49)-1)),2)&amp;RIGHT("00"&amp;VALUE(MID(Entry!$C49,FIND(":",Entry!$C49)+1,2)),2),"0000"))))</f>
        <v/>
      </c>
      <c r="G46">
        <f>IF($A46="","",Entry!$G49)</f>
        <v/>
      </c>
      <c r="H46">
        <f>IF($A46="","",IF(Entry!$H49="",0,Entry!$H49))</f>
        <v/>
      </c>
      <c r="I46">
        <f>IF($A46="","",IF(Entry!$I49="",0,Entry!$I49))</f>
        <v/>
      </c>
      <c r="J46">
        <f>IF($A46="","",ROUND($H46*$I46,0))</f>
        <v/>
      </c>
      <c r="K46">
        <f>IF($A46="","",Entry!$D49)</f>
        <v/>
      </c>
      <c r="L46">
        <f>IF($A46="","",Entry!$L49)</f>
        <v/>
      </c>
      <c r="N46">
        <f>IF(OR(Sync!$M46="",$Q46="",$Q46="نامعتبر"),"",Sync!$M46)</f>
        <v/>
      </c>
      <c r="O46">
        <f>IF($N46="","",$Q46)</f>
        <v/>
      </c>
      <c r="P46">
        <f>IF($N46="","",LEFT($Q46,4)&amp;MID($Q46,6,2)&amp;RIGHT($Q46,2)&amp;IF(Sync!$K46="","0000",IF(AND(ISNUMBER(Sync!$K46),Sync!$K46&gt;=0,Sync!$K46&lt;1),RIGHT("00"&amp;HOUR(Sync!$K46),2)&amp;RIGHT("00"&amp;MINUTE(Sync!$K46),2),IFERROR(RIGHT("00"&amp;VALUE(LEFT(Sync!$K46,FIND(":",Sync!$K46)-1)),2)&amp;RIGHT("00"&amp;VALUE(MID(Sync!$K46,FIND(":",Sync!$K46)+1,2)),2),"0000")))&amp;"|"&amp;"2"&amp;RIGHT("00000"&amp;41,5))</f>
        <v/>
      </c>
      <c r="Q46">
        <f>IF(Sync!$J46="","",IF(ISNUMBER(Sync!$J46),IF(AND(Sync!$J46&gt;=10000101,Sync!$J46&lt;=99991231),INT(Sync!$J46/10000)&amp;"/"&amp;RIGHT("00"&amp;INT(MOD(Sync!$J46,10000)/100),2)&amp;"/"&amp;RIGHT("00"&amp;MOD(Sync!$J46,100),2),"نامعتبر"),IF(LEN(Sync!$J46)=10,Sync!$J46,"نامعتبر")))</f>
        <v/>
      </c>
      <c r="R46">
        <f>IF($P46="","",COUNTIFS($N$6:$N$2005,$N46,$P$6:$P$2005,"&lt;"&amp;$P46)+COUNTIFS($A$6:$A$1005,$N46,$B$6:$B$1005,"&lt;"&amp;$P46)+1)</f>
        <v/>
      </c>
      <c r="S46">
        <f>IF($N46="","",$N46&amp;"|"&amp;RIGHT("000000"&amp;$R46,6))</f>
        <v/>
      </c>
      <c r="T46">
        <f>IF($N46="","",IF(Sync!$N46="",0,Sync!$N46))</f>
        <v/>
      </c>
      <c r="U46">
        <f>IF($N46="","",IF(Sync!$O46="",0,Sync!$O46))</f>
        <v/>
      </c>
      <c r="V46">
        <f>IF($N46="","",Sync!$L46)</f>
        <v/>
      </c>
      <c r="W46">
        <f>IF($N46="","",Sync!$P46)</f>
        <v/>
      </c>
      <c r="AA46">
        <f>IF($A46="","",IF(COUNTIF($A$6:$A46,$A46)=1,1,0))</f>
        <v/>
      </c>
      <c r="AB46">
        <f>SUM($AA$6:$AA46)</f>
        <v/>
      </c>
      <c r="AC46">
        <f>IFERROR(INDEX($A$6:$A$1005,MATCH(ROW()-5,$AB$6:$AB$1005,0)),"")</f>
        <v/>
      </c>
    </row>
    <row r="47">
      <c r="A47">
        <f>IF(OR(Entry!$B50="",Entry!$E50="",$E47="نامعتبر"),"",Entry!$E50)</f>
        <v/>
      </c>
      <c r="B47">
        <f>IF($A47="","",LEFT($E47,4)&amp;MID($E47,6,2)&amp;RIGHT($E47,2)&amp;$F47&amp;"|"&amp;"1"&amp;RIGHT("00000"&amp;42,5))</f>
        <v/>
      </c>
      <c r="C47">
        <f>IF($B47="","",COUNTIFS($A$6:$A$1005,$A47,$B$6:$B$1005,"&lt;"&amp;$B47)+COUNTIFS($N$6:$N$2005,$A47,$P$6:$P$2005,"&lt;"&amp;$B47)+1)</f>
        <v/>
      </c>
      <c r="D47">
        <f>IF($C47="","",$A47&amp;"|"&amp;RIGHT("000000"&amp;$C47,6))</f>
        <v/>
      </c>
      <c r="E47">
        <f>IF(Entry!$B50="","",IF(ISNUMBER(Entry!$B50),IF(AND(Entry!$B50&gt;=10000101,Entry!$B50&lt;=99991231),INT(Entry!$B50/10000)&amp;"/"&amp;RIGHT("00"&amp;INT(MOD(Entry!$B50,10000)/100),2)&amp;"/"&amp;RIGHT("00"&amp;MOD(Entry!$B50,100),2),"نامعتبر"),IF(LEN(Entry!$B50)=10,Entry!$B50,"نامعتبر")))</f>
        <v/>
      </c>
      <c r="F47">
        <f>IF(Entry!$B50="","",IF(Entry!$C50="","0000",IF(AND(ISNUMBER(Entry!$C50),Entry!$C50&gt;=0,Entry!$C50&lt;1),RIGHT("00"&amp;HOUR(Entry!$C50),2)&amp;RIGHT("00"&amp;MINUTE(Entry!$C50),2),IFERROR(RIGHT("00"&amp;VALUE(LEFT(Entry!$C50,FIND(":",Entry!$C50)-1)),2)&amp;RIGHT("00"&amp;VALUE(MID(Entry!$C50,FIND(":",Entry!$C50)+1,2)),2),"0000"))))</f>
        <v/>
      </c>
      <c r="G47">
        <f>IF($A47="","",Entry!$G50)</f>
        <v/>
      </c>
      <c r="H47">
        <f>IF($A47="","",IF(Entry!$H50="",0,Entry!$H50))</f>
        <v/>
      </c>
      <c r="I47">
        <f>IF($A47="","",IF(Entry!$I50="",0,Entry!$I50))</f>
        <v/>
      </c>
      <c r="J47">
        <f>IF($A47="","",ROUND($H47*$I47,0))</f>
        <v/>
      </c>
      <c r="K47">
        <f>IF($A47="","",Entry!$D50)</f>
        <v/>
      </c>
      <c r="L47">
        <f>IF($A47="","",Entry!$L50)</f>
        <v/>
      </c>
      <c r="N47">
        <f>IF(OR(Sync!$M47="",$Q47="",$Q47="نامعتبر"),"",Sync!$M47)</f>
        <v/>
      </c>
      <c r="O47">
        <f>IF($N47="","",$Q47)</f>
        <v/>
      </c>
      <c r="P47">
        <f>IF($N47="","",LEFT($Q47,4)&amp;MID($Q47,6,2)&amp;RIGHT($Q47,2)&amp;IF(Sync!$K47="","0000",IF(AND(ISNUMBER(Sync!$K47),Sync!$K47&gt;=0,Sync!$K47&lt;1),RIGHT("00"&amp;HOUR(Sync!$K47),2)&amp;RIGHT("00"&amp;MINUTE(Sync!$K47),2),IFERROR(RIGHT("00"&amp;VALUE(LEFT(Sync!$K47,FIND(":",Sync!$K47)-1)),2)&amp;RIGHT("00"&amp;VALUE(MID(Sync!$K47,FIND(":",Sync!$K47)+1,2)),2),"0000")))&amp;"|"&amp;"2"&amp;RIGHT("00000"&amp;42,5))</f>
        <v/>
      </c>
      <c r="Q47">
        <f>IF(Sync!$J47="","",IF(ISNUMBER(Sync!$J47),IF(AND(Sync!$J47&gt;=10000101,Sync!$J47&lt;=99991231),INT(Sync!$J47/10000)&amp;"/"&amp;RIGHT("00"&amp;INT(MOD(Sync!$J47,10000)/100),2)&amp;"/"&amp;RIGHT("00"&amp;MOD(Sync!$J47,100),2),"نامعتبر"),IF(LEN(Sync!$J47)=10,Sync!$J47,"نامعتبر")))</f>
        <v/>
      </c>
      <c r="R47">
        <f>IF($P47="","",COUNTIFS($N$6:$N$2005,$N47,$P$6:$P$2005,"&lt;"&amp;$P47)+COUNTIFS($A$6:$A$1005,$N47,$B$6:$B$1005,"&lt;"&amp;$P47)+1)</f>
        <v/>
      </c>
      <c r="S47">
        <f>IF($N47="","",$N47&amp;"|"&amp;RIGHT("000000"&amp;$R47,6))</f>
        <v/>
      </c>
      <c r="T47">
        <f>IF($N47="","",IF(Sync!$N47="",0,Sync!$N47))</f>
        <v/>
      </c>
      <c r="U47">
        <f>IF($N47="","",IF(Sync!$O47="",0,Sync!$O47))</f>
        <v/>
      </c>
      <c r="V47">
        <f>IF($N47="","",Sync!$L47)</f>
        <v/>
      </c>
      <c r="W47">
        <f>IF($N47="","",Sync!$P47)</f>
        <v/>
      </c>
      <c r="AA47">
        <f>IF($A47="","",IF(COUNTIF($A$6:$A47,$A47)=1,1,0))</f>
        <v/>
      </c>
      <c r="AB47">
        <f>SUM($AA$6:$AA47)</f>
        <v/>
      </c>
      <c r="AC47">
        <f>IFERROR(INDEX($A$6:$A$1005,MATCH(ROW()-5,$AB$6:$AB$1005,0)),"")</f>
        <v/>
      </c>
    </row>
    <row r="48">
      <c r="A48">
        <f>IF(OR(Entry!$B51="",Entry!$E51="",$E48="نامعتبر"),"",Entry!$E51)</f>
        <v/>
      </c>
      <c r="B48">
        <f>IF($A48="","",LEFT($E48,4)&amp;MID($E48,6,2)&amp;RIGHT($E48,2)&amp;$F48&amp;"|"&amp;"1"&amp;RIGHT("00000"&amp;43,5))</f>
        <v/>
      </c>
      <c r="C48">
        <f>IF($B48="","",COUNTIFS($A$6:$A$1005,$A48,$B$6:$B$1005,"&lt;"&amp;$B48)+COUNTIFS($N$6:$N$2005,$A48,$P$6:$P$2005,"&lt;"&amp;$B48)+1)</f>
        <v/>
      </c>
      <c r="D48">
        <f>IF($C48="","",$A48&amp;"|"&amp;RIGHT("000000"&amp;$C48,6))</f>
        <v/>
      </c>
      <c r="E48">
        <f>IF(Entry!$B51="","",IF(ISNUMBER(Entry!$B51),IF(AND(Entry!$B51&gt;=10000101,Entry!$B51&lt;=99991231),INT(Entry!$B51/10000)&amp;"/"&amp;RIGHT("00"&amp;INT(MOD(Entry!$B51,10000)/100),2)&amp;"/"&amp;RIGHT("00"&amp;MOD(Entry!$B51,100),2),"نامعتبر"),IF(LEN(Entry!$B51)=10,Entry!$B51,"نامعتبر")))</f>
        <v/>
      </c>
      <c r="F48">
        <f>IF(Entry!$B51="","",IF(Entry!$C51="","0000",IF(AND(ISNUMBER(Entry!$C51),Entry!$C51&gt;=0,Entry!$C51&lt;1),RIGHT("00"&amp;HOUR(Entry!$C51),2)&amp;RIGHT("00"&amp;MINUTE(Entry!$C51),2),IFERROR(RIGHT("00"&amp;VALUE(LEFT(Entry!$C51,FIND(":",Entry!$C51)-1)),2)&amp;RIGHT("00"&amp;VALUE(MID(Entry!$C51,FIND(":",Entry!$C51)+1,2)),2),"0000"))))</f>
        <v/>
      </c>
      <c r="G48">
        <f>IF($A48="","",Entry!$G51)</f>
        <v/>
      </c>
      <c r="H48">
        <f>IF($A48="","",IF(Entry!$H51="",0,Entry!$H51))</f>
        <v/>
      </c>
      <c r="I48">
        <f>IF($A48="","",IF(Entry!$I51="",0,Entry!$I51))</f>
        <v/>
      </c>
      <c r="J48">
        <f>IF($A48="","",ROUND($H48*$I48,0))</f>
        <v/>
      </c>
      <c r="K48">
        <f>IF($A48="","",Entry!$D51)</f>
        <v/>
      </c>
      <c r="L48">
        <f>IF($A48="","",Entry!$L51)</f>
        <v/>
      </c>
      <c r="N48">
        <f>IF(OR(Sync!$M48="",$Q48="",$Q48="نامعتبر"),"",Sync!$M48)</f>
        <v/>
      </c>
      <c r="O48">
        <f>IF($N48="","",$Q48)</f>
        <v/>
      </c>
      <c r="P48">
        <f>IF($N48="","",LEFT($Q48,4)&amp;MID($Q48,6,2)&amp;RIGHT($Q48,2)&amp;IF(Sync!$K48="","0000",IF(AND(ISNUMBER(Sync!$K48),Sync!$K48&gt;=0,Sync!$K48&lt;1),RIGHT("00"&amp;HOUR(Sync!$K48),2)&amp;RIGHT("00"&amp;MINUTE(Sync!$K48),2),IFERROR(RIGHT("00"&amp;VALUE(LEFT(Sync!$K48,FIND(":",Sync!$K48)-1)),2)&amp;RIGHT("00"&amp;VALUE(MID(Sync!$K48,FIND(":",Sync!$K48)+1,2)),2),"0000")))&amp;"|"&amp;"2"&amp;RIGHT("00000"&amp;43,5))</f>
        <v/>
      </c>
      <c r="Q48">
        <f>IF(Sync!$J48="","",IF(ISNUMBER(Sync!$J48),IF(AND(Sync!$J48&gt;=10000101,Sync!$J48&lt;=99991231),INT(Sync!$J48/10000)&amp;"/"&amp;RIGHT("00"&amp;INT(MOD(Sync!$J48,10000)/100),2)&amp;"/"&amp;RIGHT("00"&amp;MOD(Sync!$J48,100),2),"نامعتبر"),IF(LEN(Sync!$J48)=10,Sync!$J48,"نامعتبر")))</f>
        <v/>
      </c>
      <c r="R48">
        <f>IF($P48="","",COUNTIFS($N$6:$N$2005,$N48,$P$6:$P$2005,"&lt;"&amp;$P48)+COUNTIFS($A$6:$A$1005,$N48,$B$6:$B$1005,"&lt;"&amp;$P48)+1)</f>
        <v/>
      </c>
      <c r="S48">
        <f>IF($N48="","",$N48&amp;"|"&amp;RIGHT("000000"&amp;$R48,6))</f>
        <v/>
      </c>
      <c r="T48">
        <f>IF($N48="","",IF(Sync!$N48="",0,Sync!$N48))</f>
        <v/>
      </c>
      <c r="U48">
        <f>IF($N48="","",IF(Sync!$O48="",0,Sync!$O48))</f>
        <v/>
      </c>
      <c r="V48">
        <f>IF($N48="","",Sync!$L48)</f>
        <v/>
      </c>
      <c r="W48">
        <f>IF($N48="","",Sync!$P48)</f>
        <v/>
      </c>
      <c r="AA48">
        <f>IF($A48="","",IF(COUNTIF($A$6:$A48,$A48)=1,1,0))</f>
        <v/>
      </c>
      <c r="AB48">
        <f>SUM($AA$6:$AA48)</f>
        <v/>
      </c>
      <c r="AC48">
        <f>IFERROR(INDEX($A$6:$A$1005,MATCH(ROW()-5,$AB$6:$AB$1005,0)),"")</f>
        <v/>
      </c>
    </row>
    <row r="49">
      <c r="A49">
        <f>IF(OR(Entry!$B52="",Entry!$E52="",$E49="نامعتبر"),"",Entry!$E52)</f>
        <v/>
      </c>
      <c r="B49">
        <f>IF($A49="","",LEFT($E49,4)&amp;MID($E49,6,2)&amp;RIGHT($E49,2)&amp;$F49&amp;"|"&amp;"1"&amp;RIGHT("00000"&amp;44,5))</f>
        <v/>
      </c>
      <c r="C49">
        <f>IF($B49="","",COUNTIFS($A$6:$A$1005,$A49,$B$6:$B$1005,"&lt;"&amp;$B49)+COUNTIFS($N$6:$N$2005,$A49,$P$6:$P$2005,"&lt;"&amp;$B49)+1)</f>
        <v/>
      </c>
      <c r="D49">
        <f>IF($C49="","",$A49&amp;"|"&amp;RIGHT("000000"&amp;$C49,6))</f>
        <v/>
      </c>
      <c r="E49">
        <f>IF(Entry!$B52="","",IF(ISNUMBER(Entry!$B52),IF(AND(Entry!$B52&gt;=10000101,Entry!$B52&lt;=99991231),INT(Entry!$B52/10000)&amp;"/"&amp;RIGHT("00"&amp;INT(MOD(Entry!$B52,10000)/100),2)&amp;"/"&amp;RIGHT("00"&amp;MOD(Entry!$B52,100),2),"نامعتبر"),IF(LEN(Entry!$B52)=10,Entry!$B52,"نامعتبر")))</f>
        <v/>
      </c>
      <c r="F49">
        <f>IF(Entry!$B52="","",IF(Entry!$C52="","0000",IF(AND(ISNUMBER(Entry!$C52),Entry!$C52&gt;=0,Entry!$C52&lt;1),RIGHT("00"&amp;HOUR(Entry!$C52),2)&amp;RIGHT("00"&amp;MINUTE(Entry!$C52),2),IFERROR(RIGHT("00"&amp;VALUE(LEFT(Entry!$C52,FIND(":",Entry!$C52)-1)),2)&amp;RIGHT("00"&amp;VALUE(MID(Entry!$C52,FIND(":",Entry!$C52)+1,2)),2),"0000"))))</f>
        <v/>
      </c>
      <c r="G49">
        <f>IF($A49="","",Entry!$G52)</f>
        <v/>
      </c>
      <c r="H49">
        <f>IF($A49="","",IF(Entry!$H52="",0,Entry!$H52))</f>
        <v/>
      </c>
      <c r="I49">
        <f>IF($A49="","",IF(Entry!$I52="",0,Entry!$I52))</f>
        <v/>
      </c>
      <c r="J49">
        <f>IF($A49="","",ROUND($H49*$I49,0))</f>
        <v/>
      </c>
      <c r="K49">
        <f>IF($A49="","",Entry!$D52)</f>
        <v/>
      </c>
      <c r="L49">
        <f>IF($A49="","",Entry!$L52)</f>
        <v/>
      </c>
      <c r="N49">
        <f>IF(OR(Sync!$M49="",$Q49="",$Q49="نامعتبر"),"",Sync!$M49)</f>
        <v/>
      </c>
      <c r="O49">
        <f>IF($N49="","",$Q49)</f>
        <v/>
      </c>
      <c r="P49">
        <f>IF($N49="","",LEFT($Q49,4)&amp;MID($Q49,6,2)&amp;RIGHT($Q49,2)&amp;IF(Sync!$K49="","0000",IF(AND(ISNUMBER(Sync!$K49),Sync!$K49&gt;=0,Sync!$K49&lt;1),RIGHT("00"&amp;HOUR(Sync!$K49),2)&amp;RIGHT("00"&amp;MINUTE(Sync!$K49),2),IFERROR(RIGHT("00"&amp;VALUE(LEFT(Sync!$K49,FIND(":",Sync!$K49)-1)),2)&amp;RIGHT("00"&amp;VALUE(MID(Sync!$K49,FIND(":",Sync!$K49)+1,2)),2),"0000")))&amp;"|"&amp;"2"&amp;RIGHT("00000"&amp;44,5))</f>
        <v/>
      </c>
      <c r="Q49">
        <f>IF(Sync!$J49="","",IF(ISNUMBER(Sync!$J49),IF(AND(Sync!$J49&gt;=10000101,Sync!$J49&lt;=99991231),INT(Sync!$J49/10000)&amp;"/"&amp;RIGHT("00"&amp;INT(MOD(Sync!$J49,10000)/100),2)&amp;"/"&amp;RIGHT("00"&amp;MOD(Sync!$J49,100),2),"نامعتبر"),IF(LEN(Sync!$J49)=10,Sync!$J49,"نامعتبر")))</f>
        <v/>
      </c>
      <c r="R49">
        <f>IF($P49="","",COUNTIFS($N$6:$N$2005,$N49,$P$6:$P$2005,"&lt;"&amp;$P49)+COUNTIFS($A$6:$A$1005,$N49,$B$6:$B$1005,"&lt;"&amp;$P49)+1)</f>
        <v/>
      </c>
      <c r="S49">
        <f>IF($N49="","",$N49&amp;"|"&amp;RIGHT("000000"&amp;$R49,6))</f>
        <v/>
      </c>
      <c r="T49">
        <f>IF($N49="","",IF(Sync!$N49="",0,Sync!$N49))</f>
        <v/>
      </c>
      <c r="U49">
        <f>IF($N49="","",IF(Sync!$O49="",0,Sync!$O49))</f>
        <v/>
      </c>
      <c r="V49">
        <f>IF($N49="","",Sync!$L49)</f>
        <v/>
      </c>
      <c r="W49">
        <f>IF($N49="","",Sync!$P49)</f>
        <v/>
      </c>
      <c r="AA49">
        <f>IF($A49="","",IF(COUNTIF($A$6:$A49,$A49)=1,1,0))</f>
        <v/>
      </c>
      <c r="AB49">
        <f>SUM($AA$6:$AA49)</f>
        <v/>
      </c>
      <c r="AC49">
        <f>IFERROR(INDEX($A$6:$A$1005,MATCH(ROW()-5,$AB$6:$AB$1005,0)),"")</f>
        <v/>
      </c>
    </row>
    <row r="50">
      <c r="A50">
        <f>IF(OR(Entry!$B53="",Entry!$E53="",$E50="نامعتبر"),"",Entry!$E53)</f>
        <v/>
      </c>
      <c r="B50">
        <f>IF($A50="","",LEFT($E50,4)&amp;MID($E50,6,2)&amp;RIGHT($E50,2)&amp;$F50&amp;"|"&amp;"1"&amp;RIGHT("00000"&amp;45,5))</f>
        <v/>
      </c>
      <c r="C50">
        <f>IF($B50="","",COUNTIFS($A$6:$A$1005,$A50,$B$6:$B$1005,"&lt;"&amp;$B50)+COUNTIFS($N$6:$N$2005,$A50,$P$6:$P$2005,"&lt;"&amp;$B50)+1)</f>
        <v/>
      </c>
      <c r="D50">
        <f>IF($C50="","",$A50&amp;"|"&amp;RIGHT("000000"&amp;$C50,6))</f>
        <v/>
      </c>
      <c r="E50">
        <f>IF(Entry!$B53="","",IF(ISNUMBER(Entry!$B53),IF(AND(Entry!$B53&gt;=10000101,Entry!$B53&lt;=99991231),INT(Entry!$B53/10000)&amp;"/"&amp;RIGHT("00"&amp;INT(MOD(Entry!$B53,10000)/100),2)&amp;"/"&amp;RIGHT("00"&amp;MOD(Entry!$B53,100),2),"نامعتبر"),IF(LEN(Entry!$B53)=10,Entry!$B53,"نامعتبر")))</f>
        <v/>
      </c>
      <c r="F50">
        <f>IF(Entry!$B53="","",IF(Entry!$C53="","0000",IF(AND(ISNUMBER(Entry!$C53),Entry!$C53&gt;=0,Entry!$C53&lt;1),RIGHT("00"&amp;HOUR(Entry!$C53),2)&amp;RIGHT("00"&amp;MINUTE(Entry!$C53),2),IFERROR(RIGHT("00"&amp;VALUE(LEFT(Entry!$C53,FIND(":",Entry!$C53)-1)),2)&amp;RIGHT("00"&amp;VALUE(MID(Entry!$C53,FIND(":",Entry!$C53)+1,2)),2),"0000"))))</f>
        <v/>
      </c>
      <c r="G50">
        <f>IF($A50="","",Entry!$G53)</f>
        <v/>
      </c>
      <c r="H50">
        <f>IF($A50="","",IF(Entry!$H53="",0,Entry!$H53))</f>
        <v/>
      </c>
      <c r="I50">
        <f>IF($A50="","",IF(Entry!$I53="",0,Entry!$I53))</f>
        <v/>
      </c>
      <c r="J50">
        <f>IF($A50="","",ROUND($H50*$I50,0))</f>
        <v/>
      </c>
      <c r="K50">
        <f>IF($A50="","",Entry!$D53)</f>
        <v/>
      </c>
      <c r="L50">
        <f>IF($A50="","",Entry!$L53)</f>
        <v/>
      </c>
      <c r="N50">
        <f>IF(OR(Sync!$M50="",$Q50="",$Q50="نامعتبر"),"",Sync!$M50)</f>
        <v/>
      </c>
      <c r="O50">
        <f>IF($N50="","",$Q50)</f>
        <v/>
      </c>
      <c r="P50">
        <f>IF($N50="","",LEFT($Q50,4)&amp;MID($Q50,6,2)&amp;RIGHT($Q50,2)&amp;IF(Sync!$K50="","0000",IF(AND(ISNUMBER(Sync!$K50),Sync!$K50&gt;=0,Sync!$K50&lt;1),RIGHT("00"&amp;HOUR(Sync!$K50),2)&amp;RIGHT("00"&amp;MINUTE(Sync!$K50),2),IFERROR(RIGHT("00"&amp;VALUE(LEFT(Sync!$K50,FIND(":",Sync!$K50)-1)),2)&amp;RIGHT("00"&amp;VALUE(MID(Sync!$K50,FIND(":",Sync!$K50)+1,2)),2),"0000")))&amp;"|"&amp;"2"&amp;RIGHT("00000"&amp;45,5))</f>
        <v/>
      </c>
      <c r="Q50">
        <f>IF(Sync!$J50="","",IF(ISNUMBER(Sync!$J50),IF(AND(Sync!$J50&gt;=10000101,Sync!$J50&lt;=99991231),INT(Sync!$J50/10000)&amp;"/"&amp;RIGHT("00"&amp;INT(MOD(Sync!$J50,10000)/100),2)&amp;"/"&amp;RIGHT("00"&amp;MOD(Sync!$J50,100),2),"نامعتبر"),IF(LEN(Sync!$J50)=10,Sync!$J50,"نامعتبر")))</f>
        <v/>
      </c>
      <c r="R50">
        <f>IF($P50="","",COUNTIFS($N$6:$N$2005,$N50,$P$6:$P$2005,"&lt;"&amp;$P50)+COUNTIFS($A$6:$A$1005,$N50,$B$6:$B$1005,"&lt;"&amp;$P50)+1)</f>
        <v/>
      </c>
      <c r="S50">
        <f>IF($N50="","",$N50&amp;"|"&amp;RIGHT("000000"&amp;$R50,6))</f>
        <v/>
      </c>
      <c r="T50">
        <f>IF($N50="","",IF(Sync!$N50="",0,Sync!$N50))</f>
        <v/>
      </c>
      <c r="U50">
        <f>IF($N50="","",IF(Sync!$O50="",0,Sync!$O50))</f>
        <v/>
      </c>
      <c r="V50">
        <f>IF($N50="","",Sync!$L50)</f>
        <v/>
      </c>
      <c r="W50">
        <f>IF($N50="","",Sync!$P50)</f>
        <v/>
      </c>
      <c r="AA50">
        <f>IF($A50="","",IF(COUNTIF($A$6:$A50,$A50)=1,1,0))</f>
        <v/>
      </c>
      <c r="AB50">
        <f>SUM($AA$6:$AA50)</f>
        <v/>
      </c>
      <c r="AC50">
        <f>IFERROR(INDEX($A$6:$A$1005,MATCH(ROW()-5,$AB$6:$AB$1005,0)),"")</f>
        <v/>
      </c>
    </row>
    <row r="51">
      <c r="A51">
        <f>IF(OR(Entry!$B54="",Entry!$E54="",$E51="نامعتبر"),"",Entry!$E54)</f>
        <v/>
      </c>
      <c r="B51">
        <f>IF($A51="","",LEFT($E51,4)&amp;MID($E51,6,2)&amp;RIGHT($E51,2)&amp;$F51&amp;"|"&amp;"1"&amp;RIGHT("00000"&amp;46,5))</f>
        <v/>
      </c>
      <c r="C51">
        <f>IF($B51="","",COUNTIFS($A$6:$A$1005,$A51,$B$6:$B$1005,"&lt;"&amp;$B51)+COUNTIFS($N$6:$N$2005,$A51,$P$6:$P$2005,"&lt;"&amp;$B51)+1)</f>
        <v/>
      </c>
      <c r="D51">
        <f>IF($C51="","",$A51&amp;"|"&amp;RIGHT("000000"&amp;$C51,6))</f>
        <v/>
      </c>
      <c r="E51">
        <f>IF(Entry!$B54="","",IF(ISNUMBER(Entry!$B54),IF(AND(Entry!$B54&gt;=10000101,Entry!$B54&lt;=99991231),INT(Entry!$B54/10000)&amp;"/"&amp;RIGHT("00"&amp;INT(MOD(Entry!$B54,10000)/100),2)&amp;"/"&amp;RIGHT("00"&amp;MOD(Entry!$B54,100),2),"نامعتبر"),IF(LEN(Entry!$B54)=10,Entry!$B54,"نامعتبر")))</f>
        <v/>
      </c>
      <c r="F51">
        <f>IF(Entry!$B54="","",IF(Entry!$C54="","0000",IF(AND(ISNUMBER(Entry!$C54),Entry!$C54&gt;=0,Entry!$C54&lt;1),RIGHT("00"&amp;HOUR(Entry!$C54),2)&amp;RIGHT("00"&amp;MINUTE(Entry!$C54),2),IFERROR(RIGHT("00"&amp;VALUE(LEFT(Entry!$C54,FIND(":",Entry!$C54)-1)),2)&amp;RIGHT("00"&amp;VALUE(MID(Entry!$C54,FIND(":",Entry!$C54)+1,2)),2),"0000"))))</f>
        <v/>
      </c>
      <c r="G51">
        <f>IF($A51="","",Entry!$G54)</f>
        <v/>
      </c>
      <c r="H51">
        <f>IF($A51="","",IF(Entry!$H54="",0,Entry!$H54))</f>
        <v/>
      </c>
      <c r="I51">
        <f>IF($A51="","",IF(Entry!$I54="",0,Entry!$I54))</f>
        <v/>
      </c>
      <c r="J51">
        <f>IF($A51="","",ROUND($H51*$I51,0))</f>
        <v/>
      </c>
      <c r="K51">
        <f>IF($A51="","",Entry!$D54)</f>
        <v/>
      </c>
      <c r="L51">
        <f>IF($A51="","",Entry!$L54)</f>
        <v/>
      </c>
      <c r="N51">
        <f>IF(OR(Sync!$M51="",$Q51="",$Q51="نامعتبر"),"",Sync!$M51)</f>
        <v/>
      </c>
      <c r="O51">
        <f>IF($N51="","",$Q51)</f>
        <v/>
      </c>
      <c r="P51">
        <f>IF($N51="","",LEFT($Q51,4)&amp;MID($Q51,6,2)&amp;RIGHT($Q51,2)&amp;IF(Sync!$K51="","0000",IF(AND(ISNUMBER(Sync!$K51),Sync!$K51&gt;=0,Sync!$K51&lt;1),RIGHT("00"&amp;HOUR(Sync!$K51),2)&amp;RIGHT("00"&amp;MINUTE(Sync!$K51),2),IFERROR(RIGHT("00"&amp;VALUE(LEFT(Sync!$K51,FIND(":",Sync!$K51)-1)),2)&amp;RIGHT("00"&amp;VALUE(MID(Sync!$K51,FIND(":",Sync!$K51)+1,2)),2),"0000")))&amp;"|"&amp;"2"&amp;RIGHT("00000"&amp;46,5))</f>
        <v/>
      </c>
      <c r="Q51">
        <f>IF(Sync!$J51="","",IF(ISNUMBER(Sync!$J51),IF(AND(Sync!$J51&gt;=10000101,Sync!$J51&lt;=99991231),INT(Sync!$J51/10000)&amp;"/"&amp;RIGHT("00"&amp;INT(MOD(Sync!$J51,10000)/100),2)&amp;"/"&amp;RIGHT("00"&amp;MOD(Sync!$J51,100),2),"نامعتبر"),IF(LEN(Sync!$J51)=10,Sync!$J51,"نامعتبر")))</f>
        <v/>
      </c>
      <c r="R51">
        <f>IF($P51="","",COUNTIFS($N$6:$N$2005,$N51,$P$6:$P$2005,"&lt;"&amp;$P51)+COUNTIFS($A$6:$A$1005,$N51,$B$6:$B$1005,"&lt;"&amp;$P51)+1)</f>
        <v/>
      </c>
      <c r="S51">
        <f>IF($N51="","",$N51&amp;"|"&amp;RIGHT("000000"&amp;$R51,6))</f>
        <v/>
      </c>
      <c r="T51">
        <f>IF($N51="","",IF(Sync!$N51="",0,Sync!$N51))</f>
        <v/>
      </c>
      <c r="U51">
        <f>IF($N51="","",IF(Sync!$O51="",0,Sync!$O51))</f>
        <v/>
      </c>
      <c r="V51">
        <f>IF($N51="","",Sync!$L51)</f>
        <v/>
      </c>
      <c r="W51">
        <f>IF($N51="","",Sync!$P51)</f>
        <v/>
      </c>
      <c r="AA51">
        <f>IF($A51="","",IF(COUNTIF($A$6:$A51,$A51)=1,1,0))</f>
        <v/>
      </c>
      <c r="AB51">
        <f>SUM($AA$6:$AA51)</f>
        <v/>
      </c>
      <c r="AC51">
        <f>IFERROR(INDEX($A$6:$A$1005,MATCH(ROW()-5,$AB$6:$AB$1005,0)),"")</f>
        <v/>
      </c>
    </row>
    <row r="52">
      <c r="A52">
        <f>IF(OR(Entry!$B55="",Entry!$E55="",$E52="نامعتبر"),"",Entry!$E55)</f>
        <v/>
      </c>
      <c r="B52">
        <f>IF($A52="","",LEFT($E52,4)&amp;MID($E52,6,2)&amp;RIGHT($E52,2)&amp;$F52&amp;"|"&amp;"1"&amp;RIGHT("00000"&amp;47,5))</f>
        <v/>
      </c>
      <c r="C52">
        <f>IF($B52="","",COUNTIFS($A$6:$A$1005,$A52,$B$6:$B$1005,"&lt;"&amp;$B52)+COUNTIFS($N$6:$N$2005,$A52,$P$6:$P$2005,"&lt;"&amp;$B52)+1)</f>
        <v/>
      </c>
      <c r="D52">
        <f>IF($C52="","",$A52&amp;"|"&amp;RIGHT("000000"&amp;$C52,6))</f>
        <v/>
      </c>
      <c r="E52">
        <f>IF(Entry!$B55="","",IF(ISNUMBER(Entry!$B55),IF(AND(Entry!$B55&gt;=10000101,Entry!$B55&lt;=99991231),INT(Entry!$B55/10000)&amp;"/"&amp;RIGHT("00"&amp;INT(MOD(Entry!$B55,10000)/100),2)&amp;"/"&amp;RIGHT("00"&amp;MOD(Entry!$B55,100),2),"نامعتبر"),IF(LEN(Entry!$B55)=10,Entry!$B55,"نامعتبر")))</f>
        <v/>
      </c>
      <c r="F52">
        <f>IF(Entry!$B55="","",IF(Entry!$C55="","0000",IF(AND(ISNUMBER(Entry!$C55),Entry!$C55&gt;=0,Entry!$C55&lt;1),RIGHT("00"&amp;HOUR(Entry!$C55),2)&amp;RIGHT("00"&amp;MINUTE(Entry!$C55),2),IFERROR(RIGHT("00"&amp;VALUE(LEFT(Entry!$C55,FIND(":",Entry!$C55)-1)),2)&amp;RIGHT("00"&amp;VALUE(MID(Entry!$C55,FIND(":",Entry!$C55)+1,2)),2),"0000"))))</f>
        <v/>
      </c>
      <c r="G52">
        <f>IF($A52="","",Entry!$G55)</f>
        <v/>
      </c>
      <c r="H52">
        <f>IF($A52="","",IF(Entry!$H55="",0,Entry!$H55))</f>
        <v/>
      </c>
      <c r="I52">
        <f>IF($A52="","",IF(Entry!$I55="",0,Entry!$I55))</f>
        <v/>
      </c>
      <c r="J52">
        <f>IF($A52="","",ROUND($H52*$I52,0))</f>
        <v/>
      </c>
      <c r="K52">
        <f>IF($A52="","",Entry!$D55)</f>
        <v/>
      </c>
      <c r="L52">
        <f>IF($A52="","",Entry!$L55)</f>
        <v/>
      </c>
      <c r="N52">
        <f>IF(OR(Sync!$M52="",$Q52="",$Q52="نامعتبر"),"",Sync!$M52)</f>
        <v/>
      </c>
      <c r="O52">
        <f>IF($N52="","",$Q52)</f>
        <v/>
      </c>
      <c r="P52">
        <f>IF($N52="","",LEFT($Q52,4)&amp;MID($Q52,6,2)&amp;RIGHT($Q52,2)&amp;IF(Sync!$K52="","0000",IF(AND(ISNUMBER(Sync!$K52),Sync!$K52&gt;=0,Sync!$K52&lt;1),RIGHT("00"&amp;HOUR(Sync!$K52),2)&amp;RIGHT("00"&amp;MINUTE(Sync!$K52),2),IFERROR(RIGHT("00"&amp;VALUE(LEFT(Sync!$K52,FIND(":",Sync!$K52)-1)),2)&amp;RIGHT("00"&amp;VALUE(MID(Sync!$K52,FIND(":",Sync!$K52)+1,2)),2),"0000")))&amp;"|"&amp;"2"&amp;RIGHT("00000"&amp;47,5))</f>
        <v/>
      </c>
      <c r="Q52">
        <f>IF(Sync!$J52="","",IF(ISNUMBER(Sync!$J52),IF(AND(Sync!$J52&gt;=10000101,Sync!$J52&lt;=99991231),INT(Sync!$J52/10000)&amp;"/"&amp;RIGHT("00"&amp;INT(MOD(Sync!$J52,10000)/100),2)&amp;"/"&amp;RIGHT("00"&amp;MOD(Sync!$J52,100),2),"نامعتبر"),IF(LEN(Sync!$J52)=10,Sync!$J52,"نامعتبر")))</f>
        <v/>
      </c>
      <c r="R52">
        <f>IF($P52="","",COUNTIFS($N$6:$N$2005,$N52,$P$6:$P$2005,"&lt;"&amp;$P52)+COUNTIFS($A$6:$A$1005,$N52,$B$6:$B$1005,"&lt;"&amp;$P52)+1)</f>
        <v/>
      </c>
      <c r="S52">
        <f>IF($N52="","",$N52&amp;"|"&amp;RIGHT("000000"&amp;$R52,6))</f>
        <v/>
      </c>
      <c r="T52">
        <f>IF($N52="","",IF(Sync!$N52="",0,Sync!$N52))</f>
        <v/>
      </c>
      <c r="U52">
        <f>IF($N52="","",IF(Sync!$O52="",0,Sync!$O52))</f>
        <v/>
      </c>
      <c r="V52">
        <f>IF($N52="","",Sync!$L52)</f>
        <v/>
      </c>
      <c r="W52">
        <f>IF($N52="","",Sync!$P52)</f>
        <v/>
      </c>
      <c r="AA52">
        <f>IF($A52="","",IF(COUNTIF($A$6:$A52,$A52)=1,1,0))</f>
        <v/>
      </c>
      <c r="AB52">
        <f>SUM($AA$6:$AA52)</f>
        <v/>
      </c>
      <c r="AC52">
        <f>IFERROR(INDEX($A$6:$A$1005,MATCH(ROW()-5,$AB$6:$AB$1005,0)),"")</f>
        <v/>
      </c>
    </row>
    <row r="53">
      <c r="A53">
        <f>IF(OR(Entry!$B56="",Entry!$E56="",$E53="نامعتبر"),"",Entry!$E56)</f>
        <v/>
      </c>
      <c r="B53">
        <f>IF($A53="","",LEFT($E53,4)&amp;MID($E53,6,2)&amp;RIGHT($E53,2)&amp;$F53&amp;"|"&amp;"1"&amp;RIGHT("00000"&amp;48,5))</f>
        <v/>
      </c>
      <c r="C53">
        <f>IF($B53="","",COUNTIFS($A$6:$A$1005,$A53,$B$6:$B$1005,"&lt;"&amp;$B53)+COUNTIFS($N$6:$N$2005,$A53,$P$6:$P$2005,"&lt;"&amp;$B53)+1)</f>
        <v/>
      </c>
      <c r="D53">
        <f>IF($C53="","",$A53&amp;"|"&amp;RIGHT("000000"&amp;$C53,6))</f>
        <v/>
      </c>
      <c r="E53">
        <f>IF(Entry!$B56="","",IF(ISNUMBER(Entry!$B56),IF(AND(Entry!$B56&gt;=10000101,Entry!$B56&lt;=99991231),INT(Entry!$B56/10000)&amp;"/"&amp;RIGHT("00"&amp;INT(MOD(Entry!$B56,10000)/100),2)&amp;"/"&amp;RIGHT("00"&amp;MOD(Entry!$B56,100),2),"نامعتبر"),IF(LEN(Entry!$B56)=10,Entry!$B56,"نامعتبر")))</f>
        <v/>
      </c>
      <c r="F53">
        <f>IF(Entry!$B56="","",IF(Entry!$C56="","0000",IF(AND(ISNUMBER(Entry!$C56),Entry!$C56&gt;=0,Entry!$C56&lt;1),RIGHT("00"&amp;HOUR(Entry!$C56),2)&amp;RIGHT("00"&amp;MINUTE(Entry!$C56),2),IFERROR(RIGHT("00"&amp;VALUE(LEFT(Entry!$C56,FIND(":",Entry!$C56)-1)),2)&amp;RIGHT("00"&amp;VALUE(MID(Entry!$C56,FIND(":",Entry!$C56)+1,2)),2),"0000"))))</f>
        <v/>
      </c>
      <c r="G53">
        <f>IF($A53="","",Entry!$G56)</f>
        <v/>
      </c>
      <c r="H53">
        <f>IF($A53="","",IF(Entry!$H56="",0,Entry!$H56))</f>
        <v/>
      </c>
      <c r="I53">
        <f>IF($A53="","",IF(Entry!$I56="",0,Entry!$I56))</f>
        <v/>
      </c>
      <c r="J53">
        <f>IF($A53="","",ROUND($H53*$I53,0))</f>
        <v/>
      </c>
      <c r="K53">
        <f>IF($A53="","",Entry!$D56)</f>
        <v/>
      </c>
      <c r="L53">
        <f>IF($A53="","",Entry!$L56)</f>
        <v/>
      </c>
      <c r="N53">
        <f>IF(OR(Sync!$M53="",$Q53="",$Q53="نامعتبر"),"",Sync!$M53)</f>
        <v/>
      </c>
      <c r="O53">
        <f>IF($N53="","",$Q53)</f>
        <v/>
      </c>
      <c r="P53">
        <f>IF($N53="","",LEFT($Q53,4)&amp;MID($Q53,6,2)&amp;RIGHT($Q53,2)&amp;IF(Sync!$K53="","0000",IF(AND(ISNUMBER(Sync!$K53),Sync!$K53&gt;=0,Sync!$K53&lt;1),RIGHT("00"&amp;HOUR(Sync!$K53),2)&amp;RIGHT("00"&amp;MINUTE(Sync!$K53),2),IFERROR(RIGHT("00"&amp;VALUE(LEFT(Sync!$K53,FIND(":",Sync!$K53)-1)),2)&amp;RIGHT("00"&amp;VALUE(MID(Sync!$K53,FIND(":",Sync!$K53)+1,2)),2),"0000")))&amp;"|"&amp;"2"&amp;RIGHT("00000"&amp;48,5))</f>
        <v/>
      </c>
      <c r="Q53">
        <f>IF(Sync!$J53="","",IF(ISNUMBER(Sync!$J53),IF(AND(Sync!$J53&gt;=10000101,Sync!$J53&lt;=99991231),INT(Sync!$J53/10000)&amp;"/"&amp;RIGHT("00"&amp;INT(MOD(Sync!$J53,10000)/100),2)&amp;"/"&amp;RIGHT("00"&amp;MOD(Sync!$J53,100),2),"نامعتبر"),IF(LEN(Sync!$J53)=10,Sync!$J53,"نامعتبر")))</f>
        <v/>
      </c>
      <c r="R53">
        <f>IF($P53="","",COUNTIFS($N$6:$N$2005,$N53,$P$6:$P$2005,"&lt;"&amp;$P53)+COUNTIFS($A$6:$A$1005,$N53,$B$6:$B$1005,"&lt;"&amp;$P53)+1)</f>
        <v/>
      </c>
      <c r="S53">
        <f>IF($N53="","",$N53&amp;"|"&amp;RIGHT("000000"&amp;$R53,6))</f>
        <v/>
      </c>
      <c r="T53">
        <f>IF($N53="","",IF(Sync!$N53="",0,Sync!$N53))</f>
        <v/>
      </c>
      <c r="U53">
        <f>IF($N53="","",IF(Sync!$O53="",0,Sync!$O53))</f>
        <v/>
      </c>
      <c r="V53">
        <f>IF($N53="","",Sync!$L53)</f>
        <v/>
      </c>
      <c r="W53">
        <f>IF($N53="","",Sync!$P53)</f>
        <v/>
      </c>
      <c r="AA53">
        <f>IF($A53="","",IF(COUNTIF($A$6:$A53,$A53)=1,1,0))</f>
        <v/>
      </c>
      <c r="AB53">
        <f>SUM($AA$6:$AA53)</f>
        <v/>
      </c>
      <c r="AC53">
        <f>IFERROR(INDEX($A$6:$A$1005,MATCH(ROW()-5,$AB$6:$AB$1005,0)),"")</f>
        <v/>
      </c>
    </row>
    <row r="54">
      <c r="A54">
        <f>IF(OR(Entry!$B57="",Entry!$E57="",$E54="نامعتبر"),"",Entry!$E57)</f>
        <v/>
      </c>
      <c r="B54">
        <f>IF($A54="","",LEFT($E54,4)&amp;MID($E54,6,2)&amp;RIGHT($E54,2)&amp;$F54&amp;"|"&amp;"1"&amp;RIGHT("00000"&amp;49,5))</f>
        <v/>
      </c>
      <c r="C54">
        <f>IF($B54="","",COUNTIFS($A$6:$A$1005,$A54,$B$6:$B$1005,"&lt;"&amp;$B54)+COUNTIFS($N$6:$N$2005,$A54,$P$6:$P$2005,"&lt;"&amp;$B54)+1)</f>
        <v/>
      </c>
      <c r="D54">
        <f>IF($C54="","",$A54&amp;"|"&amp;RIGHT("000000"&amp;$C54,6))</f>
        <v/>
      </c>
      <c r="E54">
        <f>IF(Entry!$B57="","",IF(ISNUMBER(Entry!$B57),IF(AND(Entry!$B57&gt;=10000101,Entry!$B57&lt;=99991231),INT(Entry!$B57/10000)&amp;"/"&amp;RIGHT("00"&amp;INT(MOD(Entry!$B57,10000)/100),2)&amp;"/"&amp;RIGHT("00"&amp;MOD(Entry!$B57,100),2),"نامعتبر"),IF(LEN(Entry!$B57)=10,Entry!$B57,"نامعتبر")))</f>
        <v/>
      </c>
      <c r="F54">
        <f>IF(Entry!$B57="","",IF(Entry!$C57="","0000",IF(AND(ISNUMBER(Entry!$C57),Entry!$C57&gt;=0,Entry!$C57&lt;1),RIGHT("00"&amp;HOUR(Entry!$C57),2)&amp;RIGHT("00"&amp;MINUTE(Entry!$C57),2),IFERROR(RIGHT("00"&amp;VALUE(LEFT(Entry!$C57,FIND(":",Entry!$C57)-1)),2)&amp;RIGHT("00"&amp;VALUE(MID(Entry!$C57,FIND(":",Entry!$C57)+1,2)),2),"0000"))))</f>
        <v/>
      </c>
      <c r="G54">
        <f>IF($A54="","",Entry!$G57)</f>
        <v/>
      </c>
      <c r="H54">
        <f>IF($A54="","",IF(Entry!$H57="",0,Entry!$H57))</f>
        <v/>
      </c>
      <c r="I54">
        <f>IF($A54="","",IF(Entry!$I57="",0,Entry!$I57))</f>
        <v/>
      </c>
      <c r="J54">
        <f>IF($A54="","",ROUND($H54*$I54,0))</f>
        <v/>
      </c>
      <c r="K54">
        <f>IF($A54="","",Entry!$D57)</f>
        <v/>
      </c>
      <c r="L54">
        <f>IF($A54="","",Entry!$L57)</f>
        <v/>
      </c>
      <c r="N54">
        <f>IF(OR(Sync!$M54="",$Q54="",$Q54="نامعتبر"),"",Sync!$M54)</f>
        <v/>
      </c>
      <c r="O54">
        <f>IF($N54="","",$Q54)</f>
        <v/>
      </c>
      <c r="P54">
        <f>IF($N54="","",LEFT($Q54,4)&amp;MID($Q54,6,2)&amp;RIGHT($Q54,2)&amp;IF(Sync!$K54="","0000",IF(AND(ISNUMBER(Sync!$K54),Sync!$K54&gt;=0,Sync!$K54&lt;1),RIGHT("00"&amp;HOUR(Sync!$K54),2)&amp;RIGHT("00"&amp;MINUTE(Sync!$K54),2),IFERROR(RIGHT("00"&amp;VALUE(LEFT(Sync!$K54,FIND(":",Sync!$K54)-1)),2)&amp;RIGHT("00"&amp;VALUE(MID(Sync!$K54,FIND(":",Sync!$K54)+1,2)),2),"0000")))&amp;"|"&amp;"2"&amp;RIGHT("00000"&amp;49,5))</f>
        <v/>
      </c>
      <c r="Q54">
        <f>IF(Sync!$J54="","",IF(ISNUMBER(Sync!$J54),IF(AND(Sync!$J54&gt;=10000101,Sync!$J54&lt;=99991231),INT(Sync!$J54/10000)&amp;"/"&amp;RIGHT("00"&amp;INT(MOD(Sync!$J54,10000)/100),2)&amp;"/"&amp;RIGHT("00"&amp;MOD(Sync!$J54,100),2),"نامعتبر"),IF(LEN(Sync!$J54)=10,Sync!$J54,"نامعتبر")))</f>
        <v/>
      </c>
      <c r="R54">
        <f>IF($P54="","",COUNTIFS($N$6:$N$2005,$N54,$P$6:$P$2005,"&lt;"&amp;$P54)+COUNTIFS($A$6:$A$1005,$N54,$B$6:$B$1005,"&lt;"&amp;$P54)+1)</f>
        <v/>
      </c>
      <c r="S54">
        <f>IF($N54="","",$N54&amp;"|"&amp;RIGHT("000000"&amp;$R54,6))</f>
        <v/>
      </c>
      <c r="T54">
        <f>IF($N54="","",IF(Sync!$N54="",0,Sync!$N54))</f>
        <v/>
      </c>
      <c r="U54">
        <f>IF($N54="","",IF(Sync!$O54="",0,Sync!$O54))</f>
        <v/>
      </c>
      <c r="V54">
        <f>IF($N54="","",Sync!$L54)</f>
        <v/>
      </c>
      <c r="W54">
        <f>IF($N54="","",Sync!$P54)</f>
        <v/>
      </c>
      <c r="AA54">
        <f>IF($A54="","",IF(COUNTIF($A$6:$A54,$A54)=1,1,0))</f>
        <v/>
      </c>
      <c r="AB54">
        <f>SUM($AA$6:$AA54)</f>
        <v/>
      </c>
      <c r="AC54">
        <f>IFERROR(INDEX($A$6:$A$1005,MATCH(ROW()-5,$AB$6:$AB$1005,0)),"")</f>
        <v/>
      </c>
    </row>
    <row r="55">
      <c r="A55">
        <f>IF(OR(Entry!$B58="",Entry!$E58="",$E55="نامعتبر"),"",Entry!$E58)</f>
        <v/>
      </c>
      <c r="B55">
        <f>IF($A55="","",LEFT($E55,4)&amp;MID($E55,6,2)&amp;RIGHT($E55,2)&amp;$F55&amp;"|"&amp;"1"&amp;RIGHT("00000"&amp;50,5))</f>
        <v/>
      </c>
      <c r="C55">
        <f>IF($B55="","",COUNTIFS($A$6:$A$1005,$A55,$B$6:$B$1005,"&lt;"&amp;$B55)+COUNTIFS($N$6:$N$2005,$A55,$P$6:$P$2005,"&lt;"&amp;$B55)+1)</f>
        <v/>
      </c>
      <c r="D55">
        <f>IF($C55="","",$A55&amp;"|"&amp;RIGHT("000000"&amp;$C55,6))</f>
        <v/>
      </c>
      <c r="E55">
        <f>IF(Entry!$B58="","",IF(ISNUMBER(Entry!$B58),IF(AND(Entry!$B58&gt;=10000101,Entry!$B58&lt;=99991231),INT(Entry!$B58/10000)&amp;"/"&amp;RIGHT("00"&amp;INT(MOD(Entry!$B58,10000)/100),2)&amp;"/"&amp;RIGHT("00"&amp;MOD(Entry!$B58,100),2),"نامعتبر"),IF(LEN(Entry!$B58)=10,Entry!$B58,"نامعتبر")))</f>
        <v/>
      </c>
      <c r="F55">
        <f>IF(Entry!$B58="","",IF(Entry!$C58="","0000",IF(AND(ISNUMBER(Entry!$C58),Entry!$C58&gt;=0,Entry!$C58&lt;1),RIGHT("00"&amp;HOUR(Entry!$C58),2)&amp;RIGHT("00"&amp;MINUTE(Entry!$C58),2),IFERROR(RIGHT("00"&amp;VALUE(LEFT(Entry!$C58,FIND(":",Entry!$C58)-1)),2)&amp;RIGHT("00"&amp;VALUE(MID(Entry!$C58,FIND(":",Entry!$C58)+1,2)),2),"0000"))))</f>
        <v/>
      </c>
      <c r="G55">
        <f>IF($A55="","",Entry!$G58)</f>
        <v/>
      </c>
      <c r="H55">
        <f>IF($A55="","",IF(Entry!$H58="",0,Entry!$H58))</f>
        <v/>
      </c>
      <c r="I55">
        <f>IF($A55="","",IF(Entry!$I58="",0,Entry!$I58))</f>
        <v/>
      </c>
      <c r="J55">
        <f>IF($A55="","",ROUND($H55*$I55,0))</f>
        <v/>
      </c>
      <c r="K55">
        <f>IF($A55="","",Entry!$D58)</f>
        <v/>
      </c>
      <c r="L55">
        <f>IF($A55="","",Entry!$L58)</f>
        <v/>
      </c>
      <c r="N55">
        <f>IF(OR(Sync!$M55="",$Q55="",$Q55="نامعتبر"),"",Sync!$M55)</f>
        <v/>
      </c>
      <c r="O55">
        <f>IF($N55="","",$Q55)</f>
        <v/>
      </c>
      <c r="P55">
        <f>IF($N55="","",LEFT($Q55,4)&amp;MID($Q55,6,2)&amp;RIGHT($Q55,2)&amp;IF(Sync!$K55="","0000",IF(AND(ISNUMBER(Sync!$K55),Sync!$K55&gt;=0,Sync!$K55&lt;1),RIGHT("00"&amp;HOUR(Sync!$K55),2)&amp;RIGHT("00"&amp;MINUTE(Sync!$K55),2),IFERROR(RIGHT("00"&amp;VALUE(LEFT(Sync!$K55,FIND(":",Sync!$K55)-1)),2)&amp;RIGHT("00"&amp;VALUE(MID(Sync!$K55,FIND(":",Sync!$K55)+1,2)),2),"0000")))&amp;"|"&amp;"2"&amp;RIGHT("00000"&amp;50,5))</f>
        <v/>
      </c>
      <c r="Q55">
        <f>IF(Sync!$J55="","",IF(ISNUMBER(Sync!$J55),IF(AND(Sync!$J55&gt;=10000101,Sync!$J55&lt;=99991231),INT(Sync!$J55/10000)&amp;"/"&amp;RIGHT("00"&amp;INT(MOD(Sync!$J55,10000)/100),2)&amp;"/"&amp;RIGHT("00"&amp;MOD(Sync!$J55,100),2),"نامعتبر"),IF(LEN(Sync!$J55)=10,Sync!$J55,"نامعتبر")))</f>
        <v/>
      </c>
      <c r="R55">
        <f>IF($P55="","",COUNTIFS($N$6:$N$2005,$N55,$P$6:$P$2005,"&lt;"&amp;$P55)+COUNTIFS($A$6:$A$1005,$N55,$B$6:$B$1005,"&lt;"&amp;$P55)+1)</f>
        <v/>
      </c>
      <c r="S55">
        <f>IF($N55="","",$N55&amp;"|"&amp;RIGHT("000000"&amp;$R55,6))</f>
        <v/>
      </c>
      <c r="T55">
        <f>IF($N55="","",IF(Sync!$N55="",0,Sync!$N55))</f>
        <v/>
      </c>
      <c r="U55">
        <f>IF($N55="","",IF(Sync!$O55="",0,Sync!$O55))</f>
        <v/>
      </c>
      <c r="V55">
        <f>IF($N55="","",Sync!$L55)</f>
        <v/>
      </c>
      <c r="W55">
        <f>IF($N55="","",Sync!$P55)</f>
        <v/>
      </c>
      <c r="AA55">
        <f>IF($A55="","",IF(COUNTIF($A$6:$A55,$A55)=1,1,0))</f>
        <v/>
      </c>
      <c r="AB55">
        <f>SUM($AA$6:$AA55)</f>
        <v/>
      </c>
      <c r="AC55">
        <f>IFERROR(INDEX($A$6:$A$1005,MATCH(ROW()-5,$AB$6:$AB$1005,0)),"")</f>
        <v/>
      </c>
    </row>
    <row r="56">
      <c r="A56">
        <f>IF(OR(Entry!$B59="",Entry!$E59="",$E56="نامعتبر"),"",Entry!$E59)</f>
        <v/>
      </c>
      <c r="B56">
        <f>IF($A56="","",LEFT($E56,4)&amp;MID($E56,6,2)&amp;RIGHT($E56,2)&amp;$F56&amp;"|"&amp;"1"&amp;RIGHT("00000"&amp;51,5))</f>
        <v/>
      </c>
      <c r="C56">
        <f>IF($B56="","",COUNTIFS($A$6:$A$1005,$A56,$B$6:$B$1005,"&lt;"&amp;$B56)+COUNTIFS($N$6:$N$2005,$A56,$P$6:$P$2005,"&lt;"&amp;$B56)+1)</f>
        <v/>
      </c>
      <c r="D56">
        <f>IF($C56="","",$A56&amp;"|"&amp;RIGHT("000000"&amp;$C56,6))</f>
        <v/>
      </c>
      <c r="E56">
        <f>IF(Entry!$B59="","",IF(ISNUMBER(Entry!$B59),IF(AND(Entry!$B59&gt;=10000101,Entry!$B59&lt;=99991231),INT(Entry!$B59/10000)&amp;"/"&amp;RIGHT("00"&amp;INT(MOD(Entry!$B59,10000)/100),2)&amp;"/"&amp;RIGHT("00"&amp;MOD(Entry!$B59,100),2),"نامعتبر"),IF(LEN(Entry!$B59)=10,Entry!$B59,"نامعتبر")))</f>
        <v/>
      </c>
      <c r="F56">
        <f>IF(Entry!$B59="","",IF(Entry!$C59="","0000",IF(AND(ISNUMBER(Entry!$C59),Entry!$C59&gt;=0,Entry!$C59&lt;1),RIGHT("00"&amp;HOUR(Entry!$C59),2)&amp;RIGHT("00"&amp;MINUTE(Entry!$C59),2),IFERROR(RIGHT("00"&amp;VALUE(LEFT(Entry!$C59,FIND(":",Entry!$C59)-1)),2)&amp;RIGHT("00"&amp;VALUE(MID(Entry!$C59,FIND(":",Entry!$C59)+1,2)),2),"0000"))))</f>
        <v/>
      </c>
      <c r="G56">
        <f>IF($A56="","",Entry!$G59)</f>
        <v/>
      </c>
      <c r="H56">
        <f>IF($A56="","",IF(Entry!$H59="",0,Entry!$H59))</f>
        <v/>
      </c>
      <c r="I56">
        <f>IF($A56="","",IF(Entry!$I59="",0,Entry!$I59))</f>
        <v/>
      </c>
      <c r="J56">
        <f>IF($A56="","",ROUND($H56*$I56,0))</f>
        <v/>
      </c>
      <c r="K56">
        <f>IF($A56="","",Entry!$D59)</f>
        <v/>
      </c>
      <c r="L56">
        <f>IF($A56="","",Entry!$L59)</f>
        <v/>
      </c>
      <c r="N56">
        <f>IF(OR(Sync!$M56="",$Q56="",$Q56="نامعتبر"),"",Sync!$M56)</f>
        <v/>
      </c>
      <c r="O56">
        <f>IF($N56="","",$Q56)</f>
        <v/>
      </c>
      <c r="P56">
        <f>IF($N56="","",LEFT($Q56,4)&amp;MID($Q56,6,2)&amp;RIGHT($Q56,2)&amp;IF(Sync!$K56="","0000",IF(AND(ISNUMBER(Sync!$K56),Sync!$K56&gt;=0,Sync!$K56&lt;1),RIGHT("00"&amp;HOUR(Sync!$K56),2)&amp;RIGHT("00"&amp;MINUTE(Sync!$K56),2),IFERROR(RIGHT("00"&amp;VALUE(LEFT(Sync!$K56,FIND(":",Sync!$K56)-1)),2)&amp;RIGHT("00"&amp;VALUE(MID(Sync!$K56,FIND(":",Sync!$K56)+1,2)),2),"0000")))&amp;"|"&amp;"2"&amp;RIGHT("00000"&amp;51,5))</f>
        <v/>
      </c>
      <c r="Q56">
        <f>IF(Sync!$J56="","",IF(ISNUMBER(Sync!$J56),IF(AND(Sync!$J56&gt;=10000101,Sync!$J56&lt;=99991231),INT(Sync!$J56/10000)&amp;"/"&amp;RIGHT("00"&amp;INT(MOD(Sync!$J56,10000)/100),2)&amp;"/"&amp;RIGHT("00"&amp;MOD(Sync!$J56,100),2),"نامعتبر"),IF(LEN(Sync!$J56)=10,Sync!$J56,"نامعتبر")))</f>
        <v/>
      </c>
      <c r="R56">
        <f>IF($P56="","",COUNTIFS($N$6:$N$2005,$N56,$P$6:$P$2005,"&lt;"&amp;$P56)+COUNTIFS($A$6:$A$1005,$N56,$B$6:$B$1005,"&lt;"&amp;$P56)+1)</f>
        <v/>
      </c>
      <c r="S56">
        <f>IF($N56="","",$N56&amp;"|"&amp;RIGHT("000000"&amp;$R56,6))</f>
        <v/>
      </c>
      <c r="T56">
        <f>IF($N56="","",IF(Sync!$N56="",0,Sync!$N56))</f>
        <v/>
      </c>
      <c r="U56">
        <f>IF($N56="","",IF(Sync!$O56="",0,Sync!$O56))</f>
        <v/>
      </c>
      <c r="V56">
        <f>IF($N56="","",Sync!$L56)</f>
        <v/>
      </c>
      <c r="W56">
        <f>IF($N56="","",Sync!$P56)</f>
        <v/>
      </c>
      <c r="AA56">
        <f>IF($A56="","",IF(COUNTIF($A$6:$A56,$A56)=1,1,0))</f>
        <v/>
      </c>
      <c r="AB56">
        <f>SUM($AA$6:$AA56)</f>
        <v/>
      </c>
      <c r="AC56">
        <f>IFERROR(INDEX($A$6:$A$1005,MATCH(ROW()-5,$AB$6:$AB$1005,0)),"")</f>
        <v/>
      </c>
    </row>
    <row r="57">
      <c r="A57">
        <f>IF(OR(Entry!$B60="",Entry!$E60="",$E57="نامعتبر"),"",Entry!$E60)</f>
        <v/>
      </c>
      <c r="B57">
        <f>IF($A57="","",LEFT($E57,4)&amp;MID($E57,6,2)&amp;RIGHT($E57,2)&amp;$F57&amp;"|"&amp;"1"&amp;RIGHT("00000"&amp;52,5))</f>
        <v/>
      </c>
      <c r="C57">
        <f>IF($B57="","",COUNTIFS($A$6:$A$1005,$A57,$B$6:$B$1005,"&lt;"&amp;$B57)+COUNTIFS($N$6:$N$2005,$A57,$P$6:$P$2005,"&lt;"&amp;$B57)+1)</f>
        <v/>
      </c>
      <c r="D57">
        <f>IF($C57="","",$A57&amp;"|"&amp;RIGHT("000000"&amp;$C57,6))</f>
        <v/>
      </c>
      <c r="E57">
        <f>IF(Entry!$B60="","",IF(ISNUMBER(Entry!$B60),IF(AND(Entry!$B60&gt;=10000101,Entry!$B60&lt;=99991231),INT(Entry!$B60/10000)&amp;"/"&amp;RIGHT("00"&amp;INT(MOD(Entry!$B60,10000)/100),2)&amp;"/"&amp;RIGHT("00"&amp;MOD(Entry!$B60,100),2),"نامعتبر"),IF(LEN(Entry!$B60)=10,Entry!$B60,"نامعتبر")))</f>
        <v/>
      </c>
      <c r="F57">
        <f>IF(Entry!$B60="","",IF(Entry!$C60="","0000",IF(AND(ISNUMBER(Entry!$C60),Entry!$C60&gt;=0,Entry!$C60&lt;1),RIGHT("00"&amp;HOUR(Entry!$C60),2)&amp;RIGHT("00"&amp;MINUTE(Entry!$C60),2),IFERROR(RIGHT("00"&amp;VALUE(LEFT(Entry!$C60,FIND(":",Entry!$C60)-1)),2)&amp;RIGHT("00"&amp;VALUE(MID(Entry!$C60,FIND(":",Entry!$C60)+1,2)),2),"0000"))))</f>
        <v/>
      </c>
      <c r="G57">
        <f>IF($A57="","",Entry!$G60)</f>
        <v/>
      </c>
      <c r="H57">
        <f>IF($A57="","",IF(Entry!$H60="",0,Entry!$H60))</f>
        <v/>
      </c>
      <c r="I57">
        <f>IF($A57="","",IF(Entry!$I60="",0,Entry!$I60))</f>
        <v/>
      </c>
      <c r="J57">
        <f>IF($A57="","",ROUND($H57*$I57,0))</f>
        <v/>
      </c>
      <c r="K57">
        <f>IF($A57="","",Entry!$D60)</f>
        <v/>
      </c>
      <c r="L57">
        <f>IF($A57="","",Entry!$L60)</f>
        <v/>
      </c>
      <c r="N57">
        <f>IF(OR(Sync!$M57="",$Q57="",$Q57="نامعتبر"),"",Sync!$M57)</f>
        <v/>
      </c>
      <c r="O57">
        <f>IF($N57="","",$Q57)</f>
        <v/>
      </c>
      <c r="P57">
        <f>IF($N57="","",LEFT($Q57,4)&amp;MID($Q57,6,2)&amp;RIGHT($Q57,2)&amp;IF(Sync!$K57="","0000",IF(AND(ISNUMBER(Sync!$K57),Sync!$K57&gt;=0,Sync!$K57&lt;1),RIGHT("00"&amp;HOUR(Sync!$K57),2)&amp;RIGHT("00"&amp;MINUTE(Sync!$K57),2),IFERROR(RIGHT("00"&amp;VALUE(LEFT(Sync!$K57,FIND(":",Sync!$K57)-1)),2)&amp;RIGHT("00"&amp;VALUE(MID(Sync!$K57,FIND(":",Sync!$K57)+1,2)),2),"0000")))&amp;"|"&amp;"2"&amp;RIGHT("00000"&amp;52,5))</f>
        <v/>
      </c>
      <c r="Q57">
        <f>IF(Sync!$J57="","",IF(ISNUMBER(Sync!$J57),IF(AND(Sync!$J57&gt;=10000101,Sync!$J57&lt;=99991231),INT(Sync!$J57/10000)&amp;"/"&amp;RIGHT("00"&amp;INT(MOD(Sync!$J57,10000)/100),2)&amp;"/"&amp;RIGHT("00"&amp;MOD(Sync!$J57,100),2),"نامعتبر"),IF(LEN(Sync!$J57)=10,Sync!$J57,"نامعتبر")))</f>
        <v/>
      </c>
      <c r="R57">
        <f>IF($P57="","",COUNTIFS($N$6:$N$2005,$N57,$P$6:$P$2005,"&lt;"&amp;$P57)+COUNTIFS($A$6:$A$1005,$N57,$B$6:$B$1005,"&lt;"&amp;$P57)+1)</f>
        <v/>
      </c>
      <c r="S57">
        <f>IF($N57="","",$N57&amp;"|"&amp;RIGHT("000000"&amp;$R57,6))</f>
        <v/>
      </c>
      <c r="T57">
        <f>IF($N57="","",IF(Sync!$N57="",0,Sync!$N57))</f>
        <v/>
      </c>
      <c r="U57">
        <f>IF($N57="","",IF(Sync!$O57="",0,Sync!$O57))</f>
        <v/>
      </c>
      <c r="V57">
        <f>IF($N57="","",Sync!$L57)</f>
        <v/>
      </c>
      <c r="W57">
        <f>IF($N57="","",Sync!$P57)</f>
        <v/>
      </c>
      <c r="AA57">
        <f>IF($A57="","",IF(COUNTIF($A$6:$A57,$A57)=1,1,0))</f>
        <v/>
      </c>
      <c r="AB57">
        <f>SUM($AA$6:$AA57)</f>
        <v/>
      </c>
      <c r="AC57">
        <f>IFERROR(INDEX($A$6:$A$1005,MATCH(ROW()-5,$AB$6:$AB$1005,0)),"")</f>
        <v/>
      </c>
    </row>
    <row r="58">
      <c r="A58">
        <f>IF(OR(Entry!$B61="",Entry!$E61="",$E58="نامعتبر"),"",Entry!$E61)</f>
        <v/>
      </c>
      <c r="B58">
        <f>IF($A58="","",LEFT($E58,4)&amp;MID($E58,6,2)&amp;RIGHT($E58,2)&amp;$F58&amp;"|"&amp;"1"&amp;RIGHT("00000"&amp;53,5))</f>
        <v/>
      </c>
      <c r="C58">
        <f>IF($B58="","",COUNTIFS($A$6:$A$1005,$A58,$B$6:$B$1005,"&lt;"&amp;$B58)+COUNTIFS($N$6:$N$2005,$A58,$P$6:$P$2005,"&lt;"&amp;$B58)+1)</f>
        <v/>
      </c>
      <c r="D58">
        <f>IF($C58="","",$A58&amp;"|"&amp;RIGHT("000000"&amp;$C58,6))</f>
        <v/>
      </c>
      <c r="E58">
        <f>IF(Entry!$B61="","",IF(ISNUMBER(Entry!$B61),IF(AND(Entry!$B61&gt;=10000101,Entry!$B61&lt;=99991231),INT(Entry!$B61/10000)&amp;"/"&amp;RIGHT("00"&amp;INT(MOD(Entry!$B61,10000)/100),2)&amp;"/"&amp;RIGHT("00"&amp;MOD(Entry!$B61,100),2),"نامعتبر"),IF(LEN(Entry!$B61)=10,Entry!$B61,"نامعتبر")))</f>
        <v/>
      </c>
      <c r="F58">
        <f>IF(Entry!$B61="","",IF(Entry!$C61="","0000",IF(AND(ISNUMBER(Entry!$C61),Entry!$C61&gt;=0,Entry!$C61&lt;1),RIGHT("00"&amp;HOUR(Entry!$C61),2)&amp;RIGHT("00"&amp;MINUTE(Entry!$C61),2),IFERROR(RIGHT("00"&amp;VALUE(LEFT(Entry!$C61,FIND(":",Entry!$C61)-1)),2)&amp;RIGHT("00"&amp;VALUE(MID(Entry!$C61,FIND(":",Entry!$C61)+1,2)),2),"0000"))))</f>
        <v/>
      </c>
      <c r="G58">
        <f>IF($A58="","",Entry!$G61)</f>
        <v/>
      </c>
      <c r="H58">
        <f>IF($A58="","",IF(Entry!$H61="",0,Entry!$H61))</f>
        <v/>
      </c>
      <c r="I58">
        <f>IF($A58="","",IF(Entry!$I61="",0,Entry!$I61))</f>
        <v/>
      </c>
      <c r="J58">
        <f>IF($A58="","",ROUND($H58*$I58,0))</f>
        <v/>
      </c>
      <c r="K58">
        <f>IF($A58="","",Entry!$D61)</f>
        <v/>
      </c>
      <c r="L58">
        <f>IF($A58="","",Entry!$L61)</f>
        <v/>
      </c>
      <c r="N58">
        <f>IF(OR(Sync!$M58="",$Q58="",$Q58="نامعتبر"),"",Sync!$M58)</f>
        <v/>
      </c>
      <c r="O58">
        <f>IF($N58="","",$Q58)</f>
        <v/>
      </c>
      <c r="P58">
        <f>IF($N58="","",LEFT($Q58,4)&amp;MID($Q58,6,2)&amp;RIGHT($Q58,2)&amp;IF(Sync!$K58="","0000",IF(AND(ISNUMBER(Sync!$K58),Sync!$K58&gt;=0,Sync!$K58&lt;1),RIGHT("00"&amp;HOUR(Sync!$K58),2)&amp;RIGHT("00"&amp;MINUTE(Sync!$K58),2),IFERROR(RIGHT("00"&amp;VALUE(LEFT(Sync!$K58,FIND(":",Sync!$K58)-1)),2)&amp;RIGHT("00"&amp;VALUE(MID(Sync!$K58,FIND(":",Sync!$K58)+1,2)),2),"0000")))&amp;"|"&amp;"2"&amp;RIGHT("00000"&amp;53,5))</f>
        <v/>
      </c>
      <c r="Q58">
        <f>IF(Sync!$J58="","",IF(ISNUMBER(Sync!$J58),IF(AND(Sync!$J58&gt;=10000101,Sync!$J58&lt;=99991231),INT(Sync!$J58/10000)&amp;"/"&amp;RIGHT("00"&amp;INT(MOD(Sync!$J58,10000)/100),2)&amp;"/"&amp;RIGHT("00"&amp;MOD(Sync!$J58,100),2),"نامعتبر"),IF(LEN(Sync!$J58)=10,Sync!$J58,"نامعتبر")))</f>
        <v/>
      </c>
      <c r="R58">
        <f>IF($P58="","",COUNTIFS($N$6:$N$2005,$N58,$P$6:$P$2005,"&lt;"&amp;$P58)+COUNTIFS($A$6:$A$1005,$N58,$B$6:$B$1005,"&lt;"&amp;$P58)+1)</f>
        <v/>
      </c>
      <c r="S58">
        <f>IF($N58="","",$N58&amp;"|"&amp;RIGHT("000000"&amp;$R58,6))</f>
        <v/>
      </c>
      <c r="T58">
        <f>IF($N58="","",IF(Sync!$N58="",0,Sync!$N58))</f>
        <v/>
      </c>
      <c r="U58">
        <f>IF($N58="","",IF(Sync!$O58="",0,Sync!$O58))</f>
        <v/>
      </c>
      <c r="V58">
        <f>IF($N58="","",Sync!$L58)</f>
        <v/>
      </c>
      <c r="W58">
        <f>IF($N58="","",Sync!$P58)</f>
        <v/>
      </c>
      <c r="AA58">
        <f>IF($A58="","",IF(COUNTIF($A$6:$A58,$A58)=1,1,0))</f>
        <v/>
      </c>
      <c r="AB58">
        <f>SUM($AA$6:$AA58)</f>
        <v/>
      </c>
      <c r="AC58">
        <f>IFERROR(INDEX($A$6:$A$1005,MATCH(ROW()-5,$AB$6:$AB$1005,0)),"")</f>
        <v/>
      </c>
    </row>
    <row r="59">
      <c r="A59">
        <f>IF(OR(Entry!$B62="",Entry!$E62="",$E59="نامعتبر"),"",Entry!$E62)</f>
        <v/>
      </c>
      <c r="B59">
        <f>IF($A59="","",LEFT($E59,4)&amp;MID($E59,6,2)&amp;RIGHT($E59,2)&amp;$F59&amp;"|"&amp;"1"&amp;RIGHT("00000"&amp;54,5))</f>
        <v/>
      </c>
      <c r="C59">
        <f>IF($B59="","",COUNTIFS($A$6:$A$1005,$A59,$B$6:$B$1005,"&lt;"&amp;$B59)+COUNTIFS($N$6:$N$2005,$A59,$P$6:$P$2005,"&lt;"&amp;$B59)+1)</f>
        <v/>
      </c>
      <c r="D59">
        <f>IF($C59="","",$A59&amp;"|"&amp;RIGHT("000000"&amp;$C59,6))</f>
        <v/>
      </c>
      <c r="E59">
        <f>IF(Entry!$B62="","",IF(ISNUMBER(Entry!$B62),IF(AND(Entry!$B62&gt;=10000101,Entry!$B62&lt;=99991231),INT(Entry!$B62/10000)&amp;"/"&amp;RIGHT("00"&amp;INT(MOD(Entry!$B62,10000)/100),2)&amp;"/"&amp;RIGHT("00"&amp;MOD(Entry!$B62,100),2),"نامعتبر"),IF(LEN(Entry!$B62)=10,Entry!$B62,"نامعتبر")))</f>
        <v/>
      </c>
      <c r="F59">
        <f>IF(Entry!$B62="","",IF(Entry!$C62="","0000",IF(AND(ISNUMBER(Entry!$C62),Entry!$C62&gt;=0,Entry!$C62&lt;1),RIGHT("00"&amp;HOUR(Entry!$C62),2)&amp;RIGHT("00"&amp;MINUTE(Entry!$C62),2),IFERROR(RIGHT("00"&amp;VALUE(LEFT(Entry!$C62,FIND(":",Entry!$C62)-1)),2)&amp;RIGHT("00"&amp;VALUE(MID(Entry!$C62,FIND(":",Entry!$C62)+1,2)),2),"0000"))))</f>
        <v/>
      </c>
      <c r="G59">
        <f>IF($A59="","",Entry!$G62)</f>
        <v/>
      </c>
      <c r="H59">
        <f>IF($A59="","",IF(Entry!$H62="",0,Entry!$H62))</f>
        <v/>
      </c>
      <c r="I59">
        <f>IF($A59="","",IF(Entry!$I62="",0,Entry!$I62))</f>
        <v/>
      </c>
      <c r="J59">
        <f>IF($A59="","",ROUND($H59*$I59,0))</f>
        <v/>
      </c>
      <c r="K59">
        <f>IF($A59="","",Entry!$D62)</f>
        <v/>
      </c>
      <c r="L59">
        <f>IF($A59="","",Entry!$L62)</f>
        <v/>
      </c>
      <c r="N59">
        <f>IF(OR(Sync!$M59="",$Q59="",$Q59="نامعتبر"),"",Sync!$M59)</f>
        <v/>
      </c>
      <c r="O59">
        <f>IF($N59="","",$Q59)</f>
        <v/>
      </c>
      <c r="P59">
        <f>IF($N59="","",LEFT($Q59,4)&amp;MID($Q59,6,2)&amp;RIGHT($Q59,2)&amp;IF(Sync!$K59="","0000",IF(AND(ISNUMBER(Sync!$K59),Sync!$K59&gt;=0,Sync!$K59&lt;1),RIGHT("00"&amp;HOUR(Sync!$K59),2)&amp;RIGHT("00"&amp;MINUTE(Sync!$K59),2),IFERROR(RIGHT("00"&amp;VALUE(LEFT(Sync!$K59,FIND(":",Sync!$K59)-1)),2)&amp;RIGHT("00"&amp;VALUE(MID(Sync!$K59,FIND(":",Sync!$K59)+1,2)),2),"0000")))&amp;"|"&amp;"2"&amp;RIGHT("00000"&amp;54,5))</f>
        <v/>
      </c>
      <c r="Q59">
        <f>IF(Sync!$J59="","",IF(ISNUMBER(Sync!$J59),IF(AND(Sync!$J59&gt;=10000101,Sync!$J59&lt;=99991231),INT(Sync!$J59/10000)&amp;"/"&amp;RIGHT("00"&amp;INT(MOD(Sync!$J59,10000)/100),2)&amp;"/"&amp;RIGHT("00"&amp;MOD(Sync!$J59,100),2),"نامعتبر"),IF(LEN(Sync!$J59)=10,Sync!$J59,"نامعتبر")))</f>
        <v/>
      </c>
      <c r="R59">
        <f>IF($P59="","",COUNTIFS($N$6:$N$2005,$N59,$P$6:$P$2005,"&lt;"&amp;$P59)+COUNTIFS($A$6:$A$1005,$N59,$B$6:$B$1005,"&lt;"&amp;$P59)+1)</f>
        <v/>
      </c>
      <c r="S59">
        <f>IF($N59="","",$N59&amp;"|"&amp;RIGHT("000000"&amp;$R59,6))</f>
        <v/>
      </c>
      <c r="T59">
        <f>IF($N59="","",IF(Sync!$N59="",0,Sync!$N59))</f>
        <v/>
      </c>
      <c r="U59">
        <f>IF($N59="","",IF(Sync!$O59="",0,Sync!$O59))</f>
        <v/>
      </c>
      <c r="V59">
        <f>IF($N59="","",Sync!$L59)</f>
        <v/>
      </c>
      <c r="W59">
        <f>IF($N59="","",Sync!$P59)</f>
        <v/>
      </c>
      <c r="AA59">
        <f>IF($A59="","",IF(COUNTIF($A$6:$A59,$A59)=1,1,0))</f>
        <v/>
      </c>
      <c r="AB59">
        <f>SUM($AA$6:$AA59)</f>
        <v/>
      </c>
      <c r="AC59">
        <f>IFERROR(INDEX($A$6:$A$1005,MATCH(ROW()-5,$AB$6:$AB$1005,0)),"")</f>
        <v/>
      </c>
    </row>
    <row r="60">
      <c r="A60">
        <f>IF(OR(Entry!$B63="",Entry!$E63="",$E60="نامعتبر"),"",Entry!$E63)</f>
        <v/>
      </c>
      <c r="B60">
        <f>IF($A60="","",LEFT($E60,4)&amp;MID($E60,6,2)&amp;RIGHT($E60,2)&amp;$F60&amp;"|"&amp;"1"&amp;RIGHT("00000"&amp;55,5))</f>
        <v/>
      </c>
      <c r="C60">
        <f>IF($B60="","",COUNTIFS($A$6:$A$1005,$A60,$B$6:$B$1005,"&lt;"&amp;$B60)+COUNTIFS($N$6:$N$2005,$A60,$P$6:$P$2005,"&lt;"&amp;$B60)+1)</f>
        <v/>
      </c>
      <c r="D60">
        <f>IF($C60="","",$A60&amp;"|"&amp;RIGHT("000000"&amp;$C60,6))</f>
        <v/>
      </c>
      <c r="E60">
        <f>IF(Entry!$B63="","",IF(ISNUMBER(Entry!$B63),IF(AND(Entry!$B63&gt;=10000101,Entry!$B63&lt;=99991231),INT(Entry!$B63/10000)&amp;"/"&amp;RIGHT("00"&amp;INT(MOD(Entry!$B63,10000)/100),2)&amp;"/"&amp;RIGHT("00"&amp;MOD(Entry!$B63,100),2),"نامعتبر"),IF(LEN(Entry!$B63)=10,Entry!$B63,"نامعتبر")))</f>
        <v/>
      </c>
      <c r="F60">
        <f>IF(Entry!$B63="","",IF(Entry!$C63="","0000",IF(AND(ISNUMBER(Entry!$C63),Entry!$C63&gt;=0,Entry!$C63&lt;1),RIGHT("00"&amp;HOUR(Entry!$C63),2)&amp;RIGHT("00"&amp;MINUTE(Entry!$C63),2),IFERROR(RIGHT("00"&amp;VALUE(LEFT(Entry!$C63,FIND(":",Entry!$C63)-1)),2)&amp;RIGHT("00"&amp;VALUE(MID(Entry!$C63,FIND(":",Entry!$C63)+1,2)),2),"0000"))))</f>
        <v/>
      </c>
      <c r="G60">
        <f>IF($A60="","",Entry!$G63)</f>
        <v/>
      </c>
      <c r="H60">
        <f>IF($A60="","",IF(Entry!$H63="",0,Entry!$H63))</f>
        <v/>
      </c>
      <c r="I60">
        <f>IF($A60="","",IF(Entry!$I63="",0,Entry!$I63))</f>
        <v/>
      </c>
      <c r="J60">
        <f>IF($A60="","",ROUND($H60*$I60,0))</f>
        <v/>
      </c>
      <c r="K60">
        <f>IF($A60="","",Entry!$D63)</f>
        <v/>
      </c>
      <c r="L60">
        <f>IF($A60="","",Entry!$L63)</f>
        <v/>
      </c>
      <c r="N60">
        <f>IF(OR(Sync!$M60="",$Q60="",$Q60="نامعتبر"),"",Sync!$M60)</f>
        <v/>
      </c>
      <c r="O60">
        <f>IF($N60="","",$Q60)</f>
        <v/>
      </c>
      <c r="P60">
        <f>IF($N60="","",LEFT($Q60,4)&amp;MID($Q60,6,2)&amp;RIGHT($Q60,2)&amp;IF(Sync!$K60="","0000",IF(AND(ISNUMBER(Sync!$K60),Sync!$K60&gt;=0,Sync!$K60&lt;1),RIGHT("00"&amp;HOUR(Sync!$K60),2)&amp;RIGHT("00"&amp;MINUTE(Sync!$K60),2),IFERROR(RIGHT("00"&amp;VALUE(LEFT(Sync!$K60,FIND(":",Sync!$K60)-1)),2)&amp;RIGHT("00"&amp;VALUE(MID(Sync!$K60,FIND(":",Sync!$K60)+1,2)),2),"0000")))&amp;"|"&amp;"2"&amp;RIGHT("00000"&amp;55,5))</f>
        <v/>
      </c>
      <c r="Q60">
        <f>IF(Sync!$J60="","",IF(ISNUMBER(Sync!$J60),IF(AND(Sync!$J60&gt;=10000101,Sync!$J60&lt;=99991231),INT(Sync!$J60/10000)&amp;"/"&amp;RIGHT("00"&amp;INT(MOD(Sync!$J60,10000)/100),2)&amp;"/"&amp;RIGHT("00"&amp;MOD(Sync!$J60,100),2),"نامعتبر"),IF(LEN(Sync!$J60)=10,Sync!$J60,"نامعتبر")))</f>
        <v/>
      </c>
      <c r="R60">
        <f>IF($P60="","",COUNTIFS($N$6:$N$2005,$N60,$P$6:$P$2005,"&lt;"&amp;$P60)+COUNTIFS($A$6:$A$1005,$N60,$B$6:$B$1005,"&lt;"&amp;$P60)+1)</f>
        <v/>
      </c>
      <c r="S60">
        <f>IF($N60="","",$N60&amp;"|"&amp;RIGHT("000000"&amp;$R60,6))</f>
        <v/>
      </c>
      <c r="T60">
        <f>IF($N60="","",IF(Sync!$N60="",0,Sync!$N60))</f>
        <v/>
      </c>
      <c r="U60">
        <f>IF($N60="","",IF(Sync!$O60="",0,Sync!$O60))</f>
        <v/>
      </c>
      <c r="V60">
        <f>IF($N60="","",Sync!$L60)</f>
        <v/>
      </c>
      <c r="W60">
        <f>IF($N60="","",Sync!$P60)</f>
        <v/>
      </c>
      <c r="AA60">
        <f>IF($A60="","",IF(COUNTIF($A$6:$A60,$A60)=1,1,0))</f>
        <v/>
      </c>
      <c r="AB60">
        <f>SUM($AA$6:$AA60)</f>
        <v/>
      </c>
      <c r="AC60">
        <f>IFERROR(INDEX($A$6:$A$1005,MATCH(ROW()-5,$AB$6:$AB$1005,0)),"")</f>
        <v/>
      </c>
    </row>
    <row r="61">
      <c r="A61">
        <f>IF(OR(Entry!$B64="",Entry!$E64="",$E61="نامعتبر"),"",Entry!$E64)</f>
        <v/>
      </c>
      <c r="B61">
        <f>IF($A61="","",LEFT($E61,4)&amp;MID($E61,6,2)&amp;RIGHT($E61,2)&amp;$F61&amp;"|"&amp;"1"&amp;RIGHT("00000"&amp;56,5))</f>
        <v/>
      </c>
      <c r="C61">
        <f>IF($B61="","",COUNTIFS($A$6:$A$1005,$A61,$B$6:$B$1005,"&lt;"&amp;$B61)+COUNTIFS($N$6:$N$2005,$A61,$P$6:$P$2005,"&lt;"&amp;$B61)+1)</f>
        <v/>
      </c>
      <c r="D61">
        <f>IF($C61="","",$A61&amp;"|"&amp;RIGHT("000000"&amp;$C61,6))</f>
        <v/>
      </c>
      <c r="E61">
        <f>IF(Entry!$B64="","",IF(ISNUMBER(Entry!$B64),IF(AND(Entry!$B64&gt;=10000101,Entry!$B64&lt;=99991231),INT(Entry!$B64/10000)&amp;"/"&amp;RIGHT("00"&amp;INT(MOD(Entry!$B64,10000)/100),2)&amp;"/"&amp;RIGHT("00"&amp;MOD(Entry!$B64,100),2),"نامعتبر"),IF(LEN(Entry!$B64)=10,Entry!$B64,"نامعتبر")))</f>
        <v/>
      </c>
      <c r="F61">
        <f>IF(Entry!$B64="","",IF(Entry!$C64="","0000",IF(AND(ISNUMBER(Entry!$C64),Entry!$C64&gt;=0,Entry!$C64&lt;1),RIGHT("00"&amp;HOUR(Entry!$C64),2)&amp;RIGHT("00"&amp;MINUTE(Entry!$C64),2),IFERROR(RIGHT("00"&amp;VALUE(LEFT(Entry!$C64,FIND(":",Entry!$C64)-1)),2)&amp;RIGHT("00"&amp;VALUE(MID(Entry!$C64,FIND(":",Entry!$C64)+1,2)),2),"0000"))))</f>
        <v/>
      </c>
      <c r="G61">
        <f>IF($A61="","",Entry!$G64)</f>
        <v/>
      </c>
      <c r="H61">
        <f>IF($A61="","",IF(Entry!$H64="",0,Entry!$H64))</f>
        <v/>
      </c>
      <c r="I61">
        <f>IF($A61="","",IF(Entry!$I64="",0,Entry!$I64))</f>
        <v/>
      </c>
      <c r="J61">
        <f>IF($A61="","",ROUND($H61*$I61,0))</f>
        <v/>
      </c>
      <c r="K61">
        <f>IF($A61="","",Entry!$D64)</f>
        <v/>
      </c>
      <c r="L61">
        <f>IF($A61="","",Entry!$L64)</f>
        <v/>
      </c>
      <c r="N61">
        <f>IF(OR(Sync!$M61="",$Q61="",$Q61="نامعتبر"),"",Sync!$M61)</f>
        <v/>
      </c>
      <c r="O61">
        <f>IF($N61="","",$Q61)</f>
        <v/>
      </c>
      <c r="P61">
        <f>IF($N61="","",LEFT($Q61,4)&amp;MID($Q61,6,2)&amp;RIGHT($Q61,2)&amp;IF(Sync!$K61="","0000",IF(AND(ISNUMBER(Sync!$K61),Sync!$K61&gt;=0,Sync!$K61&lt;1),RIGHT("00"&amp;HOUR(Sync!$K61),2)&amp;RIGHT("00"&amp;MINUTE(Sync!$K61),2),IFERROR(RIGHT("00"&amp;VALUE(LEFT(Sync!$K61,FIND(":",Sync!$K61)-1)),2)&amp;RIGHT("00"&amp;VALUE(MID(Sync!$K61,FIND(":",Sync!$K61)+1,2)),2),"0000")))&amp;"|"&amp;"2"&amp;RIGHT("00000"&amp;56,5))</f>
        <v/>
      </c>
      <c r="Q61">
        <f>IF(Sync!$J61="","",IF(ISNUMBER(Sync!$J61),IF(AND(Sync!$J61&gt;=10000101,Sync!$J61&lt;=99991231),INT(Sync!$J61/10000)&amp;"/"&amp;RIGHT("00"&amp;INT(MOD(Sync!$J61,10000)/100),2)&amp;"/"&amp;RIGHT("00"&amp;MOD(Sync!$J61,100),2),"نامعتبر"),IF(LEN(Sync!$J61)=10,Sync!$J61,"نامعتبر")))</f>
        <v/>
      </c>
      <c r="R61">
        <f>IF($P61="","",COUNTIFS($N$6:$N$2005,$N61,$P$6:$P$2005,"&lt;"&amp;$P61)+COUNTIFS($A$6:$A$1005,$N61,$B$6:$B$1005,"&lt;"&amp;$P61)+1)</f>
        <v/>
      </c>
      <c r="S61">
        <f>IF($N61="","",$N61&amp;"|"&amp;RIGHT("000000"&amp;$R61,6))</f>
        <v/>
      </c>
      <c r="T61">
        <f>IF($N61="","",IF(Sync!$N61="",0,Sync!$N61))</f>
        <v/>
      </c>
      <c r="U61">
        <f>IF($N61="","",IF(Sync!$O61="",0,Sync!$O61))</f>
        <v/>
      </c>
      <c r="V61">
        <f>IF($N61="","",Sync!$L61)</f>
        <v/>
      </c>
      <c r="W61">
        <f>IF($N61="","",Sync!$P61)</f>
        <v/>
      </c>
      <c r="AA61">
        <f>IF($A61="","",IF(COUNTIF($A$6:$A61,$A61)=1,1,0))</f>
        <v/>
      </c>
      <c r="AB61">
        <f>SUM($AA$6:$AA61)</f>
        <v/>
      </c>
      <c r="AC61">
        <f>IFERROR(INDEX($A$6:$A$1005,MATCH(ROW()-5,$AB$6:$AB$1005,0)),"")</f>
        <v/>
      </c>
    </row>
    <row r="62">
      <c r="A62">
        <f>IF(OR(Entry!$B65="",Entry!$E65="",$E62="نامعتبر"),"",Entry!$E65)</f>
        <v/>
      </c>
      <c r="B62">
        <f>IF($A62="","",LEFT($E62,4)&amp;MID($E62,6,2)&amp;RIGHT($E62,2)&amp;$F62&amp;"|"&amp;"1"&amp;RIGHT("00000"&amp;57,5))</f>
        <v/>
      </c>
      <c r="C62">
        <f>IF($B62="","",COUNTIFS($A$6:$A$1005,$A62,$B$6:$B$1005,"&lt;"&amp;$B62)+COUNTIFS($N$6:$N$2005,$A62,$P$6:$P$2005,"&lt;"&amp;$B62)+1)</f>
        <v/>
      </c>
      <c r="D62">
        <f>IF($C62="","",$A62&amp;"|"&amp;RIGHT("000000"&amp;$C62,6))</f>
        <v/>
      </c>
      <c r="E62">
        <f>IF(Entry!$B65="","",IF(ISNUMBER(Entry!$B65),IF(AND(Entry!$B65&gt;=10000101,Entry!$B65&lt;=99991231),INT(Entry!$B65/10000)&amp;"/"&amp;RIGHT("00"&amp;INT(MOD(Entry!$B65,10000)/100),2)&amp;"/"&amp;RIGHT("00"&amp;MOD(Entry!$B65,100),2),"نامعتبر"),IF(LEN(Entry!$B65)=10,Entry!$B65,"نامعتبر")))</f>
        <v/>
      </c>
      <c r="F62">
        <f>IF(Entry!$B65="","",IF(Entry!$C65="","0000",IF(AND(ISNUMBER(Entry!$C65),Entry!$C65&gt;=0,Entry!$C65&lt;1),RIGHT("00"&amp;HOUR(Entry!$C65),2)&amp;RIGHT("00"&amp;MINUTE(Entry!$C65),2),IFERROR(RIGHT("00"&amp;VALUE(LEFT(Entry!$C65,FIND(":",Entry!$C65)-1)),2)&amp;RIGHT("00"&amp;VALUE(MID(Entry!$C65,FIND(":",Entry!$C65)+1,2)),2),"0000"))))</f>
        <v/>
      </c>
      <c r="G62">
        <f>IF($A62="","",Entry!$G65)</f>
        <v/>
      </c>
      <c r="H62">
        <f>IF($A62="","",IF(Entry!$H65="",0,Entry!$H65))</f>
        <v/>
      </c>
      <c r="I62">
        <f>IF($A62="","",IF(Entry!$I65="",0,Entry!$I65))</f>
        <v/>
      </c>
      <c r="J62">
        <f>IF($A62="","",ROUND($H62*$I62,0))</f>
        <v/>
      </c>
      <c r="K62">
        <f>IF($A62="","",Entry!$D65)</f>
        <v/>
      </c>
      <c r="L62">
        <f>IF($A62="","",Entry!$L65)</f>
        <v/>
      </c>
      <c r="N62">
        <f>IF(OR(Sync!$M62="",$Q62="",$Q62="نامعتبر"),"",Sync!$M62)</f>
        <v/>
      </c>
      <c r="O62">
        <f>IF($N62="","",$Q62)</f>
        <v/>
      </c>
      <c r="P62">
        <f>IF($N62="","",LEFT($Q62,4)&amp;MID($Q62,6,2)&amp;RIGHT($Q62,2)&amp;IF(Sync!$K62="","0000",IF(AND(ISNUMBER(Sync!$K62),Sync!$K62&gt;=0,Sync!$K62&lt;1),RIGHT("00"&amp;HOUR(Sync!$K62),2)&amp;RIGHT("00"&amp;MINUTE(Sync!$K62),2),IFERROR(RIGHT("00"&amp;VALUE(LEFT(Sync!$K62,FIND(":",Sync!$K62)-1)),2)&amp;RIGHT("00"&amp;VALUE(MID(Sync!$K62,FIND(":",Sync!$K62)+1,2)),2),"0000")))&amp;"|"&amp;"2"&amp;RIGHT("00000"&amp;57,5))</f>
        <v/>
      </c>
      <c r="Q62">
        <f>IF(Sync!$J62="","",IF(ISNUMBER(Sync!$J62),IF(AND(Sync!$J62&gt;=10000101,Sync!$J62&lt;=99991231),INT(Sync!$J62/10000)&amp;"/"&amp;RIGHT("00"&amp;INT(MOD(Sync!$J62,10000)/100),2)&amp;"/"&amp;RIGHT("00"&amp;MOD(Sync!$J62,100),2),"نامعتبر"),IF(LEN(Sync!$J62)=10,Sync!$J62,"نامعتبر")))</f>
        <v/>
      </c>
      <c r="R62">
        <f>IF($P62="","",COUNTIFS($N$6:$N$2005,$N62,$P$6:$P$2005,"&lt;"&amp;$P62)+COUNTIFS($A$6:$A$1005,$N62,$B$6:$B$1005,"&lt;"&amp;$P62)+1)</f>
        <v/>
      </c>
      <c r="S62">
        <f>IF($N62="","",$N62&amp;"|"&amp;RIGHT("000000"&amp;$R62,6))</f>
        <v/>
      </c>
      <c r="T62">
        <f>IF($N62="","",IF(Sync!$N62="",0,Sync!$N62))</f>
        <v/>
      </c>
      <c r="U62">
        <f>IF($N62="","",IF(Sync!$O62="",0,Sync!$O62))</f>
        <v/>
      </c>
      <c r="V62">
        <f>IF($N62="","",Sync!$L62)</f>
        <v/>
      </c>
      <c r="W62">
        <f>IF($N62="","",Sync!$P62)</f>
        <v/>
      </c>
      <c r="AA62">
        <f>IF($A62="","",IF(COUNTIF($A$6:$A62,$A62)=1,1,0))</f>
        <v/>
      </c>
      <c r="AB62">
        <f>SUM($AA$6:$AA62)</f>
        <v/>
      </c>
      <c r="AC62">
        <f>IFERROR(INDEX($A$6:$A$1005,MATCH(ROW()-5,$AB$6:$AB$1005,0)),"")</f>
        <v/>
      </c>
    </row>
    <row r="63">
      <c r="A63">
        <f>IF(OR(Entry!$B66="",Entry!$E66="",$E63="نامعتبر"),"",Entry!$E66)</f>
        <v/>
      </c>
      <c r="B63">
        <f>IF($A63="","",LEFT($E63,4)&amp;MID($E63,6,2)&amp;RIGHT($E63,2)&amp;$F63&amp;"|"&amp;"1"&amp;RIGHT("00000"&amp;58,5))</f>
        <v/>
      </c>
      <c r="C63">
        <f>IF($B63="","",COUNTIFS($A$6:$A$1005,$A63,$B$6:$B$1005,"&lt;"&amp;$B63)+COUNTIFS($N$6:$N$2005,$A63,$P$6:$P$2005,"&lt;"&amp;$B63)+1)</f>
        <v/>
      </c>
      <c r="D63">
        <f>IF($C63="","",$A63&amp;"|"&amp;RIGHT("000000"&amp;$C63,6))</f>
        <v/>
      </c>
      <c r="E63">
        <f>IF(Entry!$B66="","",IF(ISNUMBER(Entry!$B66),IF(AND(Entry!$B66&gt;=10000101,Entry!$B66&lt;=99991231),INT(Entry!$B66/10000)&amp;"/"&amp;RIGHT("00"&amp;INT(MOD(Entry!$B66,10000)/100),2)&amp;"/"&amp;RIGHT("00"&amp;MOD(Entry!$B66,100),2),"نامعتبر"),IF(LEN(Entry!$B66)=10,Entry!$B66,"نامعتبر")))</f>
        <v/>
      </c>
      <c r="F63">
        <f>IF(Entry!$B66="","",IF(Entry!$C66="","0000",IF(AND(ISNUMBER(Entry!$C66),Entry!$C66&gt;=0,Entry!$C66&lt;1),RIGHT("00"&amp;HOUR(Entry!$C66),2)&amp;RIGHT("00"&amp;MINUTE(Entry!$C66),2),IFERROR(RIGHT("00"&amp;VALUE(LEFT(Entry!$C66,FIND(":",Entry!$C66)-1)),2)&amp;RIGHT("00"&amp;VALUE(MID(Entry!$C66,FIND(":",Entry!$C66)+1,2)),2),"0000"))))</f>
        <v/>
      </c>
      <c r="G63">
        <f>IF($A63="","",Entry!$G66)</f>
        <v/>
      </c>
      <c r="H63">
        <f>IF($A63="","",IF(Entry!$H66="",0,Entry!$H66))</f>
        <v/>
      </c>
      <c r="I63">
        <f>IF($A63="","",IF(Entry!$I66="",0,Entry!$I66))</f>
        <v/>
      </c>
      <c r="J63">
        <f>IF($A63="","",ROUND($H63*$I63,0))</f>
        <v/>
      </c>
      <c r="K63">
        <f>IF($A63="","",Entry!$D66)</f>
        <v/>
      </c>
      <c r="L63">
        <f>IF($A63="","",Entry!$L66)</f>
        <v/>
      </c>
      <c r="N63">
        <f>IF(OR(Sync!$M63="",$Q63="",$Q63="نامعتبر"),"",Sync!$M63)</f>
        <v/>
      </c>
      <c r="O63">
        <f>IF($N63="","",$Q63)</f>
        <v/>
      </c>
      <c r="P63">
        <f>IF($N63="","",LEFT($Q63,4)&amp;MID($Q63,6,2)&amp;RIGHT($Q63,2)&amp;IF(Sync!$K63="","0000",IF(AND(ISNUMBER(Sync!$K63),Sync!$K63&gt;=0,Sync!$K63&lt;1),RIGHT("00"&amp;HOUR(Sync!$K63),2)&amp;RIGHT("00"&amp;MINUTE(Sync!$K63),2),IFERROR(RIGHT("00"&amp;VALUE(LEFT(Sync!$K63,FIND(":",Sync!$K63)-1)),2)&amp;RIGHT("00"&amp;VALUE(MID(Sync!$K63,FIND(":",Sync!$K63)+1,2)),2),"0000")))&amp;"|"&amp;"2"&amp;RIGHT("00000"&amp;58,5))</f>
        <v/>
      </c>
      <c r="Q63">
        <f>IF(Sync!$J63="","",IF(ISNUMBER(Sync!$J63),IF(AND(Sync!$J63&gt;=10000101,Sync!$J63&lt;=99991231),INT(Sync!$J63/10000)&amp;"/"&amp;RIGHT("00"&amp;INT(MOD(Sync!$J63,10000)/100),2)&amp;"/"&amp;RIGHT("00"&amp;MOD(Sync!$J63,100),2),"نامعتبر"),IF(LEN(Sync!$J63)=10,Sync!$J63,"نامعتبر")))</f>
        <v/>
      </c>
      <c r="R63">
        <f>IF($P63="","",COUNTIFS($N$6:$N$2005,$N63,$P$6:$P$2005,"&lt;"&amp;$P63)+COUNTIFS($A$6:$A$1005,$N63,$B$6:$B$1005,"&lt;"&amp;$P63)+1)</f>
        <v/>
      </c>
      <c r="S63">
        <f>IF($N63="","",$N63&amp;"|"&amp;RIGHT("000000"&amp;$R63,6))</f>
        <v/>
      </c>
      <c r="T63">
        <f>IF($N63="","",IF(Sync!$N63="",0,Sync!$N63))</f>
        <v/>
      </c>
      <c r="U63">
        <f>IF($N63="","",IF(Sync!$O63="",0,Sync!$O63))</f>
        <v/>
      </c>
      <c r="V63">
        <f>IF($N63="","",Sync!$L63)</f>
        <v/>
      </c>
      <c r="W63">
        <f>IF($N63="","",Sync!$P63)</f>
        <v/>
      </c>
      <c r="AA63">
        <f>IF($A63="","",IF(COUNTIF($A$6:$A63,$A63)=1,1,0))</f>
        <v/>
      </c>
      <c r="AB63">
        <f>SUM($AA$6:$AA63)</f>
        <v/>
      </c>
      <c r="AC63">
        <f>IFERROR(INDEX($A$6:$A$1005,MATCH(ROW()-5,$AB$6:$AB$1005,0)),"")</f>
        <v/>
      </c>
    </row>
    <row r="64">
      <c r="A64">
        <f>IF(OR(Entry!$B67="",Entry!$E67="",$E64="نامعتبر"),"",Entry!$E67)</f>
        <v/>
      </c>
      <c r="B64">
        <f>IF($A64="","",LEFT($E64,4)&amp;MID($E64,6,2)&amp;RIGHT($E64,2)&amp;$F64&amp;"|"&amp;"1"&amp;RIGHT("00000"&amp;59,5))</f>
        <v/>
      </c>
      <c r="C64">
        <f>IF($B64="","",COUNTIFS($A$6:$A$1005,$A64,$B$6:$B$1005,"&lt;"&amp;$B64)+COUNTIFS($N$6:$N$2005,$A64,$P$6:$P$2005,"&lt;"&amp;$B64)+1)</f>
        <v/>
      </c>
      <c r="D64">
        <f>IF($C64="","",$A64&amp;"|"&amp;RIGHT("000000"&amp;$C64,6))</f>
        <v/>
      </c>
      <c r="E64">
        <f>IF(Entry!$B67="","",IF(ISNUMBER(Entry!$B67),IF(AND(Entry!$B67&gt;=10000101,Entry!$B67&lt;=99991231),INT(Entry!$B67/10000)&amp;"/"&amp;RIGHT("00"&amp;INT(MOD(Entry!$B67,10000)/100),2)&amp;"/"&amp;RIGHT("00"&amp;MOD(Entry!$B67,100),2),"نامعتبر"),IF(LEN(Entry!$B67)=10,Entry!$B67,"نامعتبر")))</f>
        <v/>
      </c>
      <c r="F64">
        <f>IF(Entry!$B67="","",IF(Entry!$C67="","0000",IF(AND(ISNUMBER(Entry!$C67),Entry!$C67&gt;=0,Entry!$C67&lt;1),RIGHT("00"&amp;HOUR(Entry!$C67),2)&amp;RIGHT("00"&amp;MINUTE(Entry!$C67),2),IFERROR(RIGHT("00"&amp;VALUE(LEFT(Entry!$C67,FIND(":",Entry!$C67)-1)),2)&amp;RIGHT("00"&amp;VALUE(MID(Entry!$C67,FIND(":",Entry!$C67)+1,2)),2),"0000"))))</f>
        <v/>
      </c>
      <c r="G64">
        <f>IF($A64="","",Entry!$G67)</f>
        <v/>
      </c>
      <c r="H64">
        <f>IF($A64="","",IF(Entry!$H67="",0,Entry!$H67))</f>
        <v/>
      </c>
      <c r="I64">
        <f>IF($A64="","",IF(Entry!$I67="",0,Entry!$I67))</f>
        <v/>
      </c>
      <c r="J64">
        <f>IF($A64="","",ROUND($H64*$I64,0))</f>
        <v/>
      </c>
      <c r="K64">
        <f>IF($A64="","",Entry!$D67)</f>
        <v/>
      </c>
      <c r="L64">
        <f>IF($A64="","",Entry!$L67)</f>
        <v/>
      </c>
      <c r="N64">
        <f>IF(OR(Sync!$M64="",$Q64="",$Q64="نامعتبر"),"",Sync!$M64)</f>
        <v/>
      </c>
      <c r="O64">
        <f>IF($N64="","",$Q64)</f>
        <v/>
      </c>
      <c r="P64">
        <f>IF($N64="","",LEFT($Q64,4)&amp;MID($Q64,6,2)&amp;RIGHT($Q64,2)&amp;IF(Sync!$K64="","0000",IF(AND(ISNUMBER(Sync!$K64),Sync!$K64&gt;=0,Sync!$K64&lt;1),RIGHT("00"&amp;HOUR(Sync!$K64),2)&amp;RIGHT("00"&amp;MINUTE(Sync!$K64),2),IFERROR(RIGHT("00"&amp;VALUE(LEFT(Sync!$K64,FIND(":",Sync!$K64)-1)),2)&amp;RIGHT("00"&amp;VALUE(MID(Sync!$K64,FIND(":",Sync!$K64)+1,2)),2),"0000")))&amp;"|"&amp;"2"&amp;RIGHT("00000"&amp;59,5))</f>
        <v/>
      </c>
      <c r="Q64">
        <f>IF(Sync!$J64="","",IF(ISNUMBER(Sync!$J64),IF(AND(Sync!$J64&gt;=10000101,Sync!$J64&lt;=99991231),INT(Sync!$J64/10000)&amp;"/"&amp;RIGHT("00"&amp;INT(MOD(Sync!$J64,10000)/100),2)&amp;"/"&amp;RIGHT("00"&amp;MOD(Sync!$J64,100),2),"نامعتبر"),IF(LEN(Sync!$J64)=10,Sync!$J64,"نامعتبر")))</f>
        <v/>
      </c>
      <c r="R64">
        <f>IF($P64="","",COUNTIFS($N$6:$N$2005,$N64,$P$6:$P$2005,"&lt;"&amp;$P64)+COUNTIFS($A$6:$A$1005,$N64,$B$6:$B$1005,"&lt;"&amp;$P64)+1)</f>
        <v/>
      </c>
      <c r="S64">
        <f>IF($N64="","",$N64&amp;"|"&amp;RIGHT("000000"&amp;$R64,6))</f>
        <v/>
      </c>
      <c r="T64">
        <f>IF($N64="","",IF(Sync!$N64="",0,Sync!$N64))</f>
        <v/>
      </c>
      <c r="U64">
        <f>IF($N64="","",IF(Sync!$O64="",0,Sync!$O64))</f>
        <v/>
      </c>
      <c r="V64">
        <f>IF($N64="","",Sync!$L64)</f>
        <v/>
      </c>
      <c r="W64">
        <f>IF($N64="","",Sync!$P64)</f>
        <v/>
      </c>
      <c r="AA64">
        <f>IF($A64="","",IF(COUNTIF($A$6:$A64,$A64)=1,1,0))</f>
        <v/>
      </c>
      <c r="AB64">
        <f>SUM($AA$6:$AA64)</f>
        <v/>
      </c>
      <c r="AC64">
        <f>IFERROR(INDEX($A$6:$A$1005,MATCH(ROW()-5,$AB$6:$AB$1005,0)),"")</f>
        <v/>
      </c>
    </row>
    <row r="65">
      <c r="A65">
        <f>IF(OR(Entry!$B68="",Entry!$E68="",$E65="نامعتبر"),"",Entry!$E68)</f>
        <v/>
      </c>
      <c r="B65">
        <f>IF($A65="","",LEFT($E65,4)&amp;MID($E65,6,2)&amp;RIGHT($E65,2)&amp;$F65&amp;"|"&amp;"1"&amp;RIGHT("00000"&amp;60,5))</f>
        <v/>
      </c>
      <c r="C65">
        <f>IF($B65="","",COUNTIFS($A$6:$A$1005,$A65,$B$6:$B$1005,"&lt;"&amp;$B65)+COUNTIFS($N$6:$N$2005,$A65,$P$6:$P$2005,"&lt;"&amp;$B65)+1)</f>
        <v/>
      </c>
      <c r="D65">
        <f>IF($C65="","",$A65&amp;"|"&amp;RIGHT("000000"&amp;$C65,6))</f>
        <v/>
      </c>
      <c r="E65">
        <f>IF(Entry!$B68="","",IF(ISNUMBER(Entry!$B68),IF(AND(Entry!$B68&gt;=10000101,Entry!$B68&lt;=99991231),INT(Entry!$B68/10000)&amp;"/"&amp;RIGHT("00"&amp;INT(MOD(Entry!$B68,10000)/100),2)&amp;"/"&amp;RIGHT("00"&amp;MOD(Entry!$B68,100),2),"نامعتبر"),IF(LEN(Entry!$B68)=10,Entry!$B68,"نامعتبر")))</f>
        <v/>
      </c>
      <c r="F65">
        <f>IF(Entry!$B68="","",IF(Entry!$C68="","0000",IF(AND(ISNUMBER(Entry!$C68),Entry!$C68&gt;=0,Entry!$C68&lt;1),RIGHT("00"&amp;HOUR(Entry!$C68),2)&amp;RIGHT("00"&amp;MINUTE(Entry!$C68),2),IFERROR(RIGHT("00"&amp;VALUE(LEFT(Entry!$C68,FIND(":",Entry!$C68)-1)),2)&amp;RIGHT("00"&amp;VALUE(MID(Entry!$C68,FIND(":",Entry!$C68)+1,2)),2),"0000"))))</f>
        <v/>
      </c>
      <c r="G65">
        <f>IF($A65="","",Entry!$G68)</f>
        <v/>
      </c>
      <c r="H65">
        <f>IF($A65="","",IF(Entry!$H68="",0,Entry!$H68))</f>
        <v/>
      </c>
      <c r="I65">
        <f>IF($A65="","",IF(Entry!$I68="",0,Entry!$I68))</f>
        <v/>
      </c>
      <c r="J65">
        <f>IF($A65="","",ROUND($H65*$I65,0))</f>
        <v/>
      </c>
      <c r="K65">
        <f>IF($A65="","",Entry!$D68)</f>
        <v/>
      </c>
      <c r="L65">
        <f>IF($A65="","",Entry!$L68)</f>
        <v/>
      </c>
      <c r="N65">
        <f>IF(OR(Sync!$M65="",$Q65="",$Q65="نامعتبر"),"",Sync!$M65)</f>
        <v/>
      </c>
      <c r="O65">
        <f>IF($N65="","",$Q65)</f>
        <v/>
      </c>
      <c r="P65">
        <f>IF($N65="","",LEFT($Q65,4)&amp;MID($Q65,6,2)&amp;RIGHT($Q65,2)&amp;IF(Sync!$K65="","0000",IF(AND(ISNUMBER(Sync!$K65),Sync!$K65&gt;=0,Sync!$K65&lt;1),RIGHT("00"&amp;HOUR(Sync!$K65),2)&amp;RIGHT("00"&amp;MINUTE(Sync!$K65),2),IFERROR(RIGHT("00"&amp;VALUE(LEFT(Sync!$K65,FIND(":",Sync!$K65)-1)),2)&amp;RIGHT("00"&amp;VALUE(MID(Sync!$K65,FIND(":",Sync!$K65)+1,2)),2),"0000")))&amp;"|"&amp;"2"&amp;RIGHT("00000"&amp;60,5))</f>
        <v/>
      </c>
      <c r="Q65">
        <f>IF(Sync!$J65="","",IF(ISNUMBER(Sync!$J65),IF(AND(Sync!$J65&gt;=10000101,Sync!$J65&lt;=99991231),INT(Sync!$J65/10000)&amp;"/"&amp;RIGHT("00"&amp;INT(MOD(Sync!$J65,10000)/100),2)&amp;"/"&amp;RIGHT("00"&amp;MOD(Sync!$J65,100),2),"نامعتبر"),IF(LEN(Sync!$J65)=10,Sync!$J65,"نامعتبر")))</f>
        <v/>
      </c>
      <c r="R65">
        <f>IF($P65="","",COUNTIFS($N$6:$N$2005,$N65,$P$6:$P$2005,"&lt;"&amp;$P65)+COUNTIFS($A$6:$A$1005,$N65,$B$6:$B$1005,"&lt;"&amp;$P65)+1)</f>
        <v/>
      </c>
      <c r="S65">
        <f>IF($N65="","",$N65&amp;"|"&amp;RIGHT("000000"&amp;$R65,6))</f>
        <v/>
      </c>
      <c r="T65">
        <f>IF($N65="","",IF(Sync!$N65="",0,Sync!$N65))</f>
        <v/>
      </c>
      <c r="U65">
        <f>IF($N65="","",IF(Sync!$O65="",0,Sync!$O65))</f>
        <v/>
      </c>
      <c r="V65">
        <f>IF($N65="","",Sync!$L65)</f>
        <v/>
      </c>
      <c r="W65">
        <f>IF($N65="","",Sync!$P65)</f>
        <v/>
      </c>
      <c r="AA65">
        <f>IF($A65="","",IF(COUNTIF($A$6:$A65,$A65)=1,1,0))</f>
        <v/>
      </c>
      <c r="AB65">
        <f>SUM($AA$6:$AA65)</f>
        <v/>
      </c>
      <c r="AC65">
        <f>IFERROR(INDEX($A$6:$A$1005,MATCH(ROW()-5,$AB$6:$AB$1005,0)),"")</f>
        <v/>
      </c>
    </row>
    <row r="66">
      <c r="A66">
        <f>IF(OR(Entry!$B69="",Entry!$E69="",$E66="نامعتبر"),"",Entry!$E69)</f>
        <v/>
      </c>
      <c r="B66">
        <f>IF($A66="","",LEFT($E66,4)&amp;MID($E66,6,2)&amp;RIGHT($E66,2)&amp;$F66&amp;"|"&amp;"1"&amp;RIGHT("00000"&amp;61,5))</f>
        <v/>
      </c>
      <c r="C66">
        <f>IF($B66="","",COUNTIFS($A$6:$A$1005,$A66,$B$6:$B$1005,"&lt;"&amp;$B66)+COUNTIFS($N$6:$N$2005,$A66,$P$6:$P$2005,"&lt;"&amp;$B66)+1)</f>
        <v/>
      </c>
      <c r="D66">
        <f>IF($C66="","",$A66&amp;"|"&amp;RIGHT("000000"&amp;$C66,6))</f>
        <v/>
      </c>
      <c r="E66">
        <f>IF(Entry!$B69="","",IF(ISNUMBER(Entry!$B69),IF(AND(Entry!$B69&gt;=10000101,Entry!$B69&lt;=99991231),INT(Entry!$B69/10000)&amp;"/"&amp;RIGHT("00"&amp;INT(MOD(Entry!$B69,10000)/100),2)&amp;"/"&amp;RIGHT("00"&amp;MOD(Entry!$B69,100),2),"نامعتبر"),IF(LEN(Entry!$B69)=10,Entry!$B69,"نامعتبر")))</f>
        <v/>
      </c>
      <c r="F66">
        <f>IF(Entry!$B69="","",IF(Entry!$C69="","0000",IF(AND(ISNUMBER(Entry!$C69),Entry!$C69&gt;=0,Entry!$C69&lt;1),RIGHT("00"&amp;HOUR(Entry!$C69),2)&amp;RIGHT("00"&amp;MINUTE(Entry!$C69),2),IFERROR(RIGHT("00"&amp;VALUE(LEFT(Entry!$C69,FIND(":",Entry!$C69)-1)),2)&amp;RIGHT("00"&amp;VALUE(MID(Entry!$C69,FIND(":",Entry!$C69)+1,2)),2),"0000"))))</f>
        <v/>
      </c>
      <c r="G66">
        <f>IF($A66="","",Entry!$G69)</f>
        <v/>
      </c>
      <c r="H66">
        <f>IF($A66="","",IF(Entry!$H69="",0,Entry!$H69))</f>
        <v/>
      </c>
      <c r="I66">
        <f>IF($A66="","",IF(Entry!$I69="",0,Entry!$I69))</f>
        <v/>
      </c>
      <c r="J66">
        <f>IF($A66="","",ROUND($H66*$I66,0))</f>
        <v/>
      </c>
      <c r="K66">
        <f>IF($A66="","",Entry!$D69)</f>
        <v/>
      </c>
      <c r="L66">
        <f>IF($A66="","",Entry!$L69)</f>
        <v/>
      </c>
      <c r="N66">
        <f>IF(OR(Sync!$M66="",$Q66="",$Q66="نامعتبر"),"",Sync!$M66)</f>
        <v/>
      </c>
      <c r="O66">
        <f>IF($N66="","",$Q66)</f>
        <v/>
      </c>
      <c r="P66">
        <f>IF($N66="","",LEFT($Q66,4)&amp;MID($Q66,6,2)&amp;RIGHT($Q66,2)&amp;IF(Sync!$K66="","0000",IF(AND(ISNUMBER(Sync!$K66),Sync!$K66&gt;=0,Sync!$K66&lt;1),RIGHT("00"&amp;HOUR(Sync!$K66),2)&amp;RIGHT("00"&amp;MINUTE(Sync!$K66),2),IFERROR(RIGHT("00"&amp;VALUE(LEFT(Sync!$K66,FIND(":",Sync!$K66)-1)),2)&amp;RIGHT("00"&amp;VALUE(MID(Sync!$K66,FIND(":",Sync!$K66)+1,2)),2),"0000")))&amp;"|"&amp;"2"&amp;RIGHT("00000"&amp;61,5))</f>
        <v/>
      </c>
      <c r="Q66">
        <f>IF(Sync!$J66="","",IF(ISNUMBER(Sync!$J66),IF(AND(Sync!$J66&gt;=10000101,Sync!$J66&lt;=99991231),INT(Sync!$J66/10000)&amp;"/"&amp;RIGHT("00"&amp;INT(MOD(Sync!$J66,10000)/100),2)&amp;"/"&amp;RIGHT("00"&amp;MOD(Sync!$J66,100),2),"نامعتبر"),IF(LEN(Sync!$J66)=10,Sync!$J66,"نامعتبر")))</f>
        <v/>
      </c>
      <c r="R66">
        <f>IF($P66="","",COUNTIFS($N$6:$N$2005,$N66,$P$6:$P$2005,"&lt;"&amp;$P66)+COUNTIFS($A$6:$A$1005,$N66,$B$6:$B$1005,"&lt;"&amp;$P66)+1)</f>
        <v/>
      </c>
      <c r="S66">
        <f>IF($N66="","",$N66&amp;"|"&amp;RIGHT("000000"&amp;$R66,6))</f>
        <v/>
      </c>
      <c r="T66">
        <f>IF($N66="","",IF(Sync!$N66="",0,Sync!$N66))</f>
        <v/>
      </c>
      <c r="U66">
        <f>IF($N66="","",IF(Sync!$O66="",0,Sync!$O66))</f>
        <v/>
      </c>
      <c r="V66">
        <f>IF($N66="","",Sync!$L66)</f>
        <v/>
      </c>
      <c r="W66">
        <f>IF($N66="","",Sync!$P66)</f>
        <v/>
      </c>
      <c r="AA66">
        <f>IF($A66="","",IF(COUNTIF($A$6:$A66,$A66)=1,1,0))</f>
        <v/>
      </c>
      <c r="AB66">
        <f>SUM($AA$6:$AA66)</f>
        <v/>
      </c>
      <c r="AC66">
        <f>IFERROR(INDEX($A$6:$A$1005,MATCH(ROW()-5,$AB$6:$AB$1005,0)),"")</f>
        <v/>
      </c>
    </row>
    <row r="67">
      <c r="A67">
        <f>IF(OR(Entry!$B70="",Entry!$E70="",$E67="نامعتبر"),"",Entry!$E70)</f>
        <v/>
      </c>
      <c r="B67">
        <f>IF($A67="","",LEFT($E67,4)&amp;MID($E67,6,2)&amp;RIGHT($E67,2)&amp;$F67&amp;"|"&amp;"1"&amp;RIGHT("00000"&amp;62,5))</f>
        <v/>
      </c>
      <c r="C67">
        <f>IF($B67="","",COUNTIFS($A$6:$A$1005,$A67,$B$6:$B$1005,"&lt;"&amp;$B67)+COUNTIFS($N$6:$N$2005,$A67,$P$6:$P$2005,"&lt;"&amp;$B67)+1)</f>
        <v/>
      </c>
      <c r="D67">
        <f>IF($C67="","",$A67&amp;"|"&amp;RIGHT("000000"&amp;$C67,6))</f>
        <v/>
      </c>
      <c r="E67">
        <f>IF(Entry!$B70="","",IF(ISNUMBER(Entry!$B70),IF(AND(Entry!$B70&gt;=10000101,Entry!$B70&lt;=99991231),INT(Entry!$B70/10000)&amp;"/"&amp;RIGHT("00"&amp;INT(MOD(Entry!$B70,10000)/100),2)&amp;"/"&amp;RIGHT("00"&amp;MOD(Entry!$B70,100),2),"نامعتبر"),IF(LEN(Entry!$B70)=10,Entry!$B70,"نامعتبر")))</f>
        <v/>
      </c>
      <c r="F67">
        <f>IF(Entry!$B70="","",IF(Entry!$C70="","0000",IF(AND(ISNUMBER(Entry!$C70),Entry!$C70&gt;=0,Entry!$C70&lt;1),RIGHT("00"&amp;HOUR(Entry!$C70),2)&amp;RIGHT("00"&amp;MINUTE(Entry!$C70),2),IFERROR(RIGHT("00"&amp;VALUE(LEFT(Entry!$C70,FIND(":",Entry!$C70)-1)),2)&amp;RIGHT("00"&amp;VALUE(MID(Entry!$C70,FIND(":",Entry!$C70)+1,2)),2),"0000"))))</f>
        <v/>
      </c>
      <c r="G67">
        <f>IF($A67="","",Entry!$G70)</f>
        <v/>
      </c>
      <c r="H67">
        <f>IF($A67="","",IF(Entry!$H70="",0,Entry!$H70))</f>
        <v/>
      </c>
      <c r="I67">
        <f>IF($A67="","",IF(Entry!$I70="",0,Entry!$I70))</f>
        <v/>
      </c>
      <c r="J67">
        <f>IF($A67="","",ROUND($H67*$I67,0))</f>
        <v/>
      </c>
      <c r="K67">
        <f>IF($A67="","",Entry!$D70)</f>
        <v/>
      </c>
      <c r="L67">
        <f>IF($A67="","",Entry!$L70)</f>
        <v/>
      </c>
      <c r="N67">
        <f>IF(OR(Sync!$M67="",$Q67="",$Q67="نامعتبر"),"",Sync!$M67)</f>
        <v/>
      </c>
      <c r="O67">
        <f>IF($N67="","",$Q67)</f>
        <v/>
      </c>
      <c r="P67">
        <f>IF($N67="","",LEFT($Q67,4)&amp;MID($Q67,6,2)&amp;RIGHT($Q67,2)&amp;IF(Sync!$K67="","0000",IF(AND(ISNUMBER(Sync!$K67),Sync!$K67&gt;=0,Sync!$K67&lt;1),RIGHT("00"&amp;HOUR(Sync!$K67),2)&amp;RIGHT("00"&amp;MINUTE(Sync!$K67),2),IFERROR(RIGHT("00"&amp;VALUE(LEFT(Sync!$K67,FIND(":",Sync!$K67)-1)),2)&amp;RIGHT("00"&amp;VALUE(MID(Sync!$K67,FIND(":",Sync!$K67)+1,2)),2),"0000")))&amp;"|"&amp;"2"&amp;RIGHT("00000"&amp;62,5))</f>
        <v/>
      </c>
      <c r="Q67">
        <f>IF(Sync!$J67="","",IF(ISNUMBER(Sync!$J67),IF(AND(Sync!$J67&gt;=10000101,Sync!$J67&lt;=99991231),INT(Sync!$J67/10000)&amp;"/"&amp;RIGHT("00"&amp;INT(MOD(Sync!$J67,10000)/100),2)&amp;"/"&amp;RIGHT("00"&amp;MOD(Sync!$J67,100),2),"نامعتبر"),IF(LEN(Sync!$J67)=10,Sync!$J67,"نامعتبر")))</f>
        <v/>
      </c>
      <c r="R67">
        <f>IF($P67="","",COUNTIFS($N$6:$N$2005,$N67,$P$6:$P$2005,"&lt;"&amp;$P67)+COUNTIFS($A$6:$A$1005,$N67,$B$6:$B$1005,"&lt;"&amp;$P67)+1)</f>
        <v/>
      </c>
      <c r="S67">
        <f>IF($N67="","",$N67&amp;"|"&amp;RIGHT("000000"&amp;$R67,6))</f>
        <v/>
      </c>
      <c r="T67">
        <f>IF($N67="","",IF(Sync!$N67="",0,Sync!$N67))</f>
        <v/>
      </c>
      <c r="U67">
        <f>IF($N67="","",IF(Sync!$O67="",0,Sync!$O67))</f>
        <v/>
      </c>
      <c r="V67">
        <f>IF($N67="","",Sync!$L67)</f>
        <v/>
      </c>
      <c r="W67">
        <f>IF($N67="","",Sync!$P67)</f>
        <v/>
      </c>
      <c r="AA67">
        <f>IF($A67="","",IF(COUNTIF($A$6:$A67,$A67)=1,1,0))</f>
        <v/>
      </c>
      <c r="AB67">
        <f>SUM($AA$6:$AA67)</f>
        <v/>
      </c>
      <c r="AC67">
        <f>IFERROR(INDEX($A$6:$A$1005,MATCH(ROW()-5,$AB$6:$AB$1005,0)),"")</f>
        <v/>
      </c>
    </row>
    <row r="68">
      <c r="A68">
        <f>IF(OR(Entry!$B71="",Entry!$E71="",$E68="نامعتبر"),"",Entry!$E71)</f>
        <v/>
      </c>
      <c r="B68">
        <f>IF($A68="","",LEFT($E68,4)&amp;MID($E68,6,2)&amp;RIGHT($E68,2)&amp;$F68&amp;"|"&amp;"1"&amp;RIGHT("00000"&amp;63,5))</f>
        <v/>
      </c>
      <c r="C68">
        <f>IF($B68="","",COUNTIFS($A$6:$A$1005,$A68,$B$6:$B$1005,"&lt;"&amp;$B68)+COUNTIFS($N$6:$N$2005,$A68,$P$6:$P$2005,"&lt;"&amp;$B68)+1)</f>
        <v/>
      </c>
      <c r="D68">
        <f>IF($C68="","",$A68&amp;"|"&amp;RIGHT("000000"&amp;$C68,6))</f>
        <v/>
      </c>
      <c r="E68">
        <f>IF(Entry!$B71="","",IF(ISNUMBER(Entry!$B71),IF(AND(Entry!$B71&gt;=10000101,Entry!$B71&lt;=99991231),INT(Entry!$B71/10000)&amp;"/"&amp;RIGHT("00"&amp;INT(MOD(Entry!$B71,10000)/100),2)&amp;"/"&amp;RIGHT("00"&amp;MOD(Entry!$B71,100),2),"نامعتبر"),IF(LEN(Entry!$B71)=10,Entry!$B71,"نامعتبر")))</f>
        <v/>
      </c>
      <c r="F68">
        <f>IF(Entry!$B71="","",IF(Entry!$C71="","0000",IF(AND(ISNUMBER(Entry!$C71),Entry!$C71&gt;=0,Entry!$C71&lt;1),RIGHT("00"&amp;HOUR(Entry!$C71),2)&amp;RIGHT("00"&amp;MINUTE(Entry!$C71),2),IFERROR(RIGHT("00"&amp;VALUE(LEFT(Entry!$C71,FIND(":",Entry!$C71)-1)),2)&amp;RIGHT("00"&amp;VALUE(MID(Entry!$C71,FIND(":",Entry!$C71)+1,2)),2),"0000"))))</f>
        <v/>
      </c>
      <c r="G68">
        <f>IF($A68="","",Entry!$G71)</f>
        <v/>
      </c>
      <c r="H68">
        <f>IF($A68="","",IF(Entry!$H71="",0,Entry!$H71))</f>
        <v/>
      </c>
      <c r="I68">
        <f>IF($A68="","",IF(Entry!$I71="",0,Entry!$I71))</f>
        <v/>
      </c>
      <c r="J68">
        <f>IF($A68="","",ROUND($H68*$I68,0))</f>
        <v/>
      </c>
      <c r="K68">
        <f>IF($A68="","",Entry!$D71)</f>
        <v/>
      </c>
      <c r="L68">
        <f>IF($A68="","",Entry!$L71)</f>
        <v/>
      </c>
      <c r="N68">
        <f>IF(OR(Sync!$M68="",$Q68="",$Q68="نامعتبر"),"",Sync!$M68)</f>
        <v/>
      </c>
      <c r="O68">
        <f>IF($N68="","",$Q68)</f>
        <v/>
      </c>
      <c r="P68">
        <f>IF($N68="","",LEFT($Q68,4)&amp;MID($Q68,6,2)&amp;RIGHT($Q68,2)&amp;IF(Sync!$K68="","0000",IF(AND(ISNUMBER(Sync!$K68),Sync!$K68&gt;=0,Sync!$K68&lt;1),RIGHT("00"&amp;HOUR(Sync!$K68),2)&amp;RIGHT("00"&amp;MINUTE(Sync!$K68),2),IFERROR(RIGHT("00"&amp;VALUE(LEFT(Sync!$K68,FIND(":",Sync!$K68)-1)),2)&amp;RIGHT("00"&amp;VALUE(MID(Sync!$K68,FIND(":",Sync!$K68)+1,2)),2),"0000")))&amp;"|"&amp;"2"&amp;RIGHT("00000"&amp;63,5))</f>
        <v/>
      </c>
      <c r="Q68">
        <f>IF(Sync!$J68="","",IF(ISNUMBER(Sync!$J68),IF(AND(Sync!$J68&gt;=10000101,Sync!$J68&lt;=99991231),INT(Sync!$J68/10000)&amp;"/"&amp;RIGHT("00"&amp;INT(MOD(Sync!$J68,10000)/100),2)&amp;"/"&amp;RIGHT("00"&amp;MOD(Sync!$J68,100),2),"نامعتبر"),IF(LEN(Sync!$J68)=10,Sync!$J68,"نامعتبر")))</f>
        <v/>
      </c>
      <c r="R68">
        <f>IF($P68="","",COUNTIFS($N$6:$N$2005,$N68,$P$6:$P$2005,"&lt;"&amp;$P68)+COUNTIFS($A$6:$A$1005,$N68,$B$6:$B$1005,"&lt;"&amp;$P68)+1)</f>
        <v/>
      </c>
      <c r="S68">
        <f>IF($N68="","",$N68&amp;"|"&amp;RIGHT("000000"&amp;$R68,6))</f>
        <v/>
      </c>
      <c r="T68">
        <f>IF($N68="","",IF(Sync!$N68="",0,Sync!$N68))</f>
        <v/>
      </c>
      <c r="U68">
        <f>IF($N68="","",IF(Sync!$O68="",0,Sync!$O68))</f>
        <v/>
      </c>
      <c r="V68">
        <f>IF($N68="","",Sync!$L68)</f>
        <v/>
      </c>
      <c r="W68">
        <f>IF($N68="","",Sync!$P68)</f>
        <v/>
      </c>
      <c r="AA68">
        <f>IF($A68="","",IF(COUNTIF($A$6:$A68,$A68)=1,1,0))</f>
        <v/>
      </c>
      <c r="AB68">
        <f>SUM($AA$6:$AA68)</f>
        <v/>
      </c>
      <c r="AC68">
        <f>IFERROR(INDEX($A$6:$A$1005,MATCH(ROW()-5,$AB$6:$AB$1005,0)),"")</f>
        <v/>
      </c>
    </row>
    <row r="69">
      <c r="A69">
        <f>IF(OR(Entry!$B72="",Entry!$E72="",$E69="نامعتبر"),"",Entry!$E72)</f>
        <v/>
      </c>
      <c r="B69">
        <f>IF($A69="","",LEFT($E69,4)&amp;MID($E69,6,2)&amp;RIGHT($E69,2)&amp;$F69&amp;"|"&amp;"1"&amp;RIGHT("00000"&amp;64,5))</f>
        <v/>
      </c>
      <c r="C69">
        <f>IF($B69="","",COUNTIFS($A$6:$A$1005,$A69,$B$6:$B$1005,"&lt;"&amp;$B69)+COUNTIFS($N$6:$N$2005,$A69,$P$6:$P$2005,"&lt;"&amp;$B69)+1)</f>
        <v/>
      </c>
      <c r="D69">
        <f>IF($C69="","",$A69&amp;"|"&amp;RIGHT("000000"&amp;$C69,6))</f>
        <v/>
      </c>
      <c r="E69">
        <f>IF(Entry!$B72="","",IF(ISNUMBER(Entry!$B72),IF(AND(Entry!$B72&gt;=10000101,Entry!$B72&lt;=99991231),INT(Entry!$B72/10000)&amp;"/"&amp;RIGHT("00"&amp;INT(MOD(Entry!$B72,10000)/100),2)&amp;"/"&amp;RIGHT("00"&amp;MOD(Entry!$B72,100),2),"نامعتبر"),IF(LEN(Entry!$B72)=10,Entry!$B72,"نامعتبر")))</f>
        <v/>
      </c>
      <c r="F69">
        <f>IF(Entry!$B72="","",IF(Entry!$C72="","0000",IF(AND(ISNUMBER(Entry!$C72),Entry!$C72&gt;=0,Entry!$C72&lt;1),RIGHT("00"&amp;HOUR(Entry!$C72),2)&amp;RIGHT("00"&amp;MINUTE(Entry!$C72),2),IFERROR(RIGHT("00"&amp;VALUE(LEFT(Entry!$C72,FIND(":",Entry!$C72)-1)),2)&amp;RIGHT("00"&amp;VALUE(MID(Entry!$C72,FIND(":",Entry!$C72)+1,2)),2),"0000"))))</f>
        <v/>
      </c>
      <c r="G69">
        <f>IF($A69="","",Entry!$G72)</f>
        <v/>
      </c>
      <c r="H69">
        <f>IF($A69="","",IF(Entry!$H72="",0,Entry!$H72))</f>
        <v/>
      </c>
      <c r="I69">
        <f>IF($A69="","",IF(Entry!$I72="",0,Entry!$I72))</f>
        <v/>
      </c>
      <c r="J69">
        <f>IF($A69="","",ROUND($H69*$I69,0))</f>
        <v/>
      </c>
      <c r="K69">
        <f>IF($A69="","",Entry!$D72)</f>
        <v/>
      </c>
      <c r="L69">
        <f>IF($A69="","",Entry!$L72)</f>
        <v/>
      </c>
      <c r="N69">
        <f>IF(OR(Sync!$M69="",$Q69="",$Q69="نامعتبر"),"",Sync!$M69)</f>
        <v/>
      </c>
      <c r="O69">
        <f>IF($N69="","",$Q69)</f>
        <v/>
      </c>
      <c r="P69">
        <f>IF($N69="","",LEFT($Q69,4)&amp;MID($Q69,6,2)&amp;RIGHT($Q69,2)&amp;IF(Sync!$K69="","0000",IF(AND(ISNUMBER(Sync!$K69),Sync!$K69&gt;=0,Sync!$K69&lt;1),RIGHT("00"&amp;HOUR(Sync!$K69),2)&amp;RIGHT("00"&amp;MINUTE(Sync!$K69),2),IFERROR(RIGHT("00"&amp;VALUE(LEFT(Sync!$K69,FIND(":",Sync!$K69)-1)),2)&amp;RIGHT("00"&amp;VALUE(MID(Sync!$K69,FIND(":",Sync!$K69)+1,2)),2),"0000")))&amp;"|"&amp;"2"&amp;RIGHT("00000"&amp;64,5))</f>
        <v/>
      </c>
      <c r="Q69">
        <f>IF(Sync!$J69="","",IF(ISNUMBER(Sync!$J69),IF(AND(Sync!$J69&gt;=10000101,Sync!$J69&lt;=99991231),INT(Sync!$J69/10000)&amp;"/"&amp;RIGHT("00"&amp;INT(MOD(Sync!$J69,10000)/100),2)&amp;"/"&amp;RIGHT("00"&amp;MOD(Sync!$J69,100),2),"نامعتبر"),IF(LEN(Sync!$J69)=10,Sync!$J69,"نامعتبر")))</f>
        <v/>
      </c>
      <c r="R69">
        <f>IF($P69="","",COUNTIFS($N$6:$N$2005,$N69,$P$6:$P$2005,"&lt;"&amp;$P69)+COUNTIFS($A$6:$A$1005,$N69,$B$6:$B$1005,"&lt;"&amp;$P69)+1)</f>
        <v/>
      </c>
      <c r="S69">
        <f>IF($N69="","",$N69&amp;"|"&amp;RIGHT("000000"&amp;$R69,6))</f>
        <v/>
      </c>
      <c r="T69">
        <f>IF($N69="","",IF(Sync!$N69="",0,Sync!$N69))</f>
        <v/>
      </c>
      <c r="U69">
        <f>IF($N69="","",IF(Sync!$O69="",0,Sync!$O69))</f>
        <v/>
      </c>
      <c r="V69">
        <f>IF($N69="","",Sync!$L69)</f>
        <v/>
      </c>
      <c r="W69">
        <f>IF($N69="","",Sync!$P69)</f>
        <v/>
      </c>
      <c r="AA69">
        <f>IF($A69="","",IF(COUNTIF($A$6:$A69,$A69)=1,1,0))</f>
        <v/>
      </c>
      <c r="AB69">
        <f>SUM($AA$6:$AA69)</f>
        <v/>
      </c>
      <c r="AC69">
        <f>IFERROR(INDEX($A$6:$A$1005,MATCH(ROW()-5,$AB$6:$AB$1005,0)),"")</f>
        <v/>
      </c>
    </row>
    <row r="70">
      <c r="A70">
        <f>IF(OR(Entry!$B73="",Entry!$E73="",$E70="نامعتبر"),"",Entry!$E73)</f>
        <v/>
      </c>
      <c r="B70">
        <f>IF($A70="","",LEFT($E70,4)&amp;MID($E70,6,2)&amp;RIGHT($E70,2)&amp;$F70&amp;"|"&amp;"1"&amp;RIGHT("00000"&amp;65,5))</f>
        <v/>
      </c>
      <c r="C70">
        <f>IF($B70="","",COUNTIFS($A$6:$A$1005,$A70,$B$6:$B$1005,"&lt;"&amp;$B70)+COUNTIFS($N$6:$N$2005,$A70,$P$6:$P$2005,"&lt;"&amp;$B70)+1)</f>
        <v/>
      </c>
      <c r="D70">
        <f>IF($C70="","",$A70&amp;"|"&amp;RIGHT("000000"&amp;$C70,6))</f>
        <v/>
      </c>
      <c r="E70">
        <f>IF(Entry!$B73="","",IF(ISNUMBER(Entry!$B73),IF(AND(Entry!$B73&gt;=10000101,Entry!$B73&lt;=99991231),INT(Entry!$B73/10000)&amp;"/"&amp;RIGHT("00"&amp;INT(MOD(Entry!$B73,10000)/100),2)&amp;"/"&amp;RIGHT("00"&amp;MOD(Entry!$B73,100),2),"نامعتبر"),IF(LEN(Entry!$B73)=10,Entry!$B73,"نامعتبر")))</f>
        <v/>
      </c>
      <c r="F70">
        <f>IF(Entry!$B73="","",IF(Entry!$C73="","0000",IF(AND(ISNUMBER(Entry!$C73),Entry!$C73&gt;=0,Entry!$C73&lt;1),RIGHT("00"&amp;HOUR(Entry!$C73),2)&amp;RIGHT("00"&amp;MINUTE(Entry!$C73),2),IFERROR(RIGHT("00"&amp;VALUE(LEFT(Entry!$C73,FIND(":",Entry!$C73)-1)),2)&amp;RIGHT("00"&amp;VALUE(MID(Entry!$C73,FIND(":",Entry!$C73)+1,2)),2),"0000"))))</f>
        <v/>
      </c>
      <c r="G70">
        <f>IF($A70="","",Entry!$G73)</f>
        <v/>
      </c>
      <c r="H70">
        <f>IF($A70="","",IF(Entry!$H73="",0,Entry!$H73))</f>
        <v/>
      </c>
      <c r="I70">
        <f>IF($A70="","",IF(Entry!$I73="",0,Entry!$I73))</f>
        <v/>
      </c>
      <c r="J70">
        <f>IF($A70="","",ROUND($H70*$I70,0))</f>
        <v/>
      </c>
      <c r="K70">
        <f>IF($A70="","",Entry!$D73)</f>
        <v/>
      </c>
      <c r="L70">
        <f>IF($A70="","",Entry!$L73)</f>
        <v/>
      </c>
      <c r="N70">
        <f>IF(OR(Sync!$M70="",$Q70="",$Q70="نامعتبر"),"",Sync!$M70)</f>
        <v/>
      </c>
      <c r="O70">
        <f>IF($N70="","",$Q70)</f>
        <v/>
      </c>
      <c r="P70">
        <f>IF($N70="","",LEFT($Q70,4)&amp;MID($Q70,6,2)&amp;RIGHT($Q70,2)&amp;IF(Sync!$K70="","0000",IF(AND(ISNUMBER(Sync!$K70),Sync!$K70&gt;=0,Sync!$K70&lt;1),RIGHT("00"&amp;HOUR(Sync!$K70),2)&amp;RIGHT("00"&amp;MINUTE(Sync!$K70),2),IFERROR(RIGHT("00"&amp;VALUE(LEFT(Sync!$K70,FIND(":",Sync!$K70)-1)),2)&amp;RIGHT("00"&amp;VALUE(MID(Sync!$K70,FIND(":",Sync!$K70)+1,2)),2),"0000")))&amp;"|"&amp;"2"&amp;RIGHT("00000"&amp;65,5))</f>
        <v/>
      </c>
      <c r="Q70">
        <f>IF(Sync!$J70="","",IF(ISNUMBER(Sync!$J70),IF(AND(Sync!$J70&gt;=10000101,Sync!$J70&lt;=99991231),INT(Sync!$J70/10000)&amp;"/"&amp;RIGHT("00"&amp;INT(MOD(Sync!$J70,10000)/100),2)&amp;"/"&amp;RIGHT("00"&amp;MOD(Sync!$J70,100),2),"نامعتبر"),IF(LEN(Sync!$J70)=10,Sync!$J70,"نامعتبر")))</f>
        <v/>
      </c>
      <c r="R70">
        <f>IF($P70="","",COUNTIFS($N$6:$N$2005,$N70,$P$6:$P$2005,"&lt;"&amp;$P70)+COUNTIFS($A$6:$A$1005,$N70,$B$6:$B$1005,"&lt;"&amp;$P70)+1)</f>
        <v/>
      </c>
      <c r="S70">
        <f>IF($N70="","",$N70&amp;"|"&amp;RIGHT("000000"&amp;$R70,6))</f>
        <v/>
      </c>
      <c r="T70">
        <f>IF($N70="","",IF(Sync!$N70="",0,Sync!$N70))</f>
        <v/>
      </c>
      <c r="U70">
        <f>IF($N70="","",IF(Sync!$O70="",0,Sync!$O70))</f>
        <v/>
      </c>
      <c r="V70">
        <f>IF($N70="","",Sync!$L70)</f>
        <v/>
      </c>
      <c r="W70">
        <f>IF($N70="","",Sync!$P70)</f>
        <v/>
      </c>
      <c r="AA70">
        <f>IF($A70="","",IF(COUNTIF($A$6:$A70,$A70)=1,1,0))</f>
        <v/>
      </c>
      <c r="AB70">
        <f>SUM($AA$6:$AA70)</f>
        <v/>
      </c>
      <c r="AC70">
        <f>IFERROR(INDEX($A$6:$A$1005,MATCH(ROW()-5,$AB$6:$AB$1005,0)),"")</f>
        <v/>
      </c>
    </row>
    <row r="71">
      <c r="A71">
        <f>IF(OR(Entry!$B74="",Entry!$E74="",$E71="نامعتبر"),"",Entry!$E74)</f>
        <v/>
      </c>
      <c r="B71">
        <f>IF($A71="","",LEFT($E71,4)&amp;MID($E71,6,2)&amp;RIGHT($E71,2)&amp;$F71&amp;"|"&amp;"1"&amp;RIGHT("00000"&amp;66,5))</f>
        <v/>
      </c>
      <c r="C71">
        <f>IF($B71="","",COUNTIFS($A$6:$A$1005,$A71,$B$6:$B$1005,"&lt;"&amp;$B71)+COUNTIFS($N$6:$N$2005,$A71,$P$6:$P$2005,"&lt;"&amp;$B71)+1)</f>
        <v/>
      </c>
      <c r="D71">
        <f>IF($C71="","",$A71&amp;"|"&amp;RIGHT("000000"&amp;$C71,6))</f>
        <v/>
      </c>
      <c r="E71">
        <f>IF(Entry!$B74="","",IF(ISNUMBER(Entry!$B74),IF(AND(Entry!$B74&gt;=10000101,Entry!$B74&lt;=99991231),INT(Entry!$B74/10000)&amp;"/"&amp;RIGHT("00"&amp;INT(MOD(Entry!$B74,10000)/100),2)&amp;"/"&amp;RIGHT("00"&amp;MOD(Entry!$B74,100),2),"نامعتبر"),IF(LEN(Entry!$B74)=10,Entry!$B74,"نامعتبر")))</f>
        <v/>
      </c>
      <c r="F71">
        <f>IF(Entry!$B74="","",IF(Entry!$C74="","0000",IF(AND(ISNUMBER(Entry!$C74),Entry!$C74&gt;=0,Entry!$C74&lt;1),RIGHT("00"&amp;HOUR(Entry!$C74),2)&amp;RIGHT("00"&amp;MINUTE(Entry!$C74),2),IFERROR(RIGHT("00"&amp;VALUE(LEFT(Entry!$C74,FIND(":",Entry!$C74)-1)),2)&amp;RIGHT("00"&amp;VALUE(MID(Entry!$C74,FIND(":",Entry!$C74)+1,2)),2),"0000"))))</f>
        <v/>
      </c>
      <c r="G71">
        <f>IF($A71="","",Entry!$G74)</f>
        <v/>
      </c>
      <c r="H71">
        <f>IF($A71="","",IF(Entry!$H74="",0,Entry!$H74))</f>
        <v/>
      </c>
      <c r="I71">
        <f>IF($A71="","",IF(Entry!$I74="",0,Entry!$I74))</f>
        <v/>
      </c>
      <c r="J71">
        <f>IF($A71="","",ROUND($H71*$I71,0))</f>
        <v/>
      </c>
      <c r="K71">
        <f>IF($A71="","",Entry!$D74)</f>
        <v/>
      </c>
      <c r="L71">
        <f>IF($A71="","",Entry!$L74)</f>
        <v/>
      </c>
      <c r="N71">
        <f>IF(OR(Sync!$M71="",$Q71="",$Q71="نامعتبر"),"",Sync!$M71)</f>
        <v/>
      </c>
      <c r="O71">
        <f>IF($N71="","",$Q71)</f>
        <v/>
      </c>
      <c r="P71">
        <f>IF($N71="","",LEFT($Q71,4)&amp;MID($Q71,6,2)&amp;RIGHT($Q71,2)&amp;IF(Sync!$K71="","0000",IF(AND(ISNUMBER(Sync!$K71),Sync!$K71&gt;=0,Sync!$K71&lt;1),RIGHT("00"&amp;HOUR(Sync!$K71),2)&amp;RIGHT("00"&amp;MINUTE(Sync!$K71),2),IFERROR(RIGHT("00"&amp;VALUE(LEFT(Sync!$K71,FIND(":",Sync!$K71)-1)),2)&amp;RIGHT("00"&amp;VALUE(MID(Sync!$K71,FIND(":",Sync!$K71)+1,2)),2),"0000")))&amp;"|"&amp;"2"&amp;RIGHT("00000"&amp;66,5))</f>
        <v/>
      </c>
      <c r="Q71">
        <f>IF(Sync!$J71="","",IF(ISNUMBER(Sync!$J71),IF(AND(Sync!$J71&gt;=10000101,Sync!$J71&lt;=99991231),INT(Sync!$J71/10000)&amp;"/"&amp;RIGHT("00"&amp;INT(MOD(Sync!$J71,10000)/100),2)&amp;"/"&amp;RIGHT("00"&amp;MOD(Sync!$J71,100),2),"نامعتبر"),IF(LEN(Sync!$J71)=10,Sync!$J71,"نامعتبر")))</f>
        <v/>
      </c>
      <c r="R71">
        <f>IF($P71="","",COUNTIFS($N$6:$N$2005,$N71,$P$6:$P$2005,"&lt;"&amp;$P71)+COUNTIFS($A$6:$A$1005,$N71,$B$6:$B$1005,"&lt;"&amp;$P71)+1)</f>
        <v/>
      </c>
      <c r="S71">
        <f>IF($N71="","",$N71&amp;"|"&amp;RIGHT("000000"&amp;$R71,6))</f>
        <v/>
      </c>
      <c r="T71">
        <f>IF($N71="","",IF(Sync!$N71="",0,Sync!$N71))</f>
        <v/>
      </c>
      <c r="U71">
        <f>IF($N71="","",IF(Sync!$O71="",0,Sync!$O71))</f>
        <v/>
      </c>
      <c r="V71">
        <f>IF($N71="","",Sync!$L71)</f>
        <v/>
      </c>
      <c r="W71">
        <f>IF($N71="","",Sync!$P71)</f>
        <v/>
      </c>
      <c r="AA71">
        <f>IF($A71="","",IF(COUNTIF($A$6:$A71,$A71)=1,1,0))</f>
        <v/>
      </c>
      <c r="AB71">
        <f>SUM($AA$6:$AA71)</f>
        <v/>
      </c>
      <c r="AC71">
        <f>IFERROR(INDEX($A$6:$A$1005,MATCH(ROW()-5,$AB$6:$AB$1005,0)),"")</f>
        <v/>
      </c>
    </row>
    <row r="72">
      <c r="A72">
        <f>IF(OR(Entry!$B75="",Entry!$E75="",$E72="نامعتبر"),"",Entry!$E75)</f>
        <v/>
      </c>
      <c r="B72">
        <f>IF($A72="","",LEFT($E72,4)&amp;MID($E72,6,2)&amp;RIGHT($E72,2)&amp;$F72&amp;"|"&amp;"1"&amp;RIGHT("00000"&amp;67,5))</f>
        <v/>
      </c>
      <c r="C72">
        <f>IF($B72="","",COUNTIFS($A$6:$A$1005,$A72,$B$6:$B$1005,"&lt;"&amp;$B72)+COUNTIFS($N$6:$N$2005,$A72,$P$6:$P$2005,"&lt;"&amp;$B72)+1)</f>
        <v/>
      </c>
      <c r="D72">
        <f>IF($C72="","",$A72&amp;"|"&amp;RIGHT("000000"&amp;$C72,6))</f>
        <v/>
      </c>
      <c r="E72">
        <f>IF(Entry!$B75="","",IF(ISNUMBER(Entry!$B75),IF(AND(Entry!$B75&gt;=10000101,Entry!$B75&lt;=99991231),INT(Entry!$B75/10000)&amp;"/"&amp;RIGHT("00"&amp;INT(MOD(Entry!$B75,10000)/100),2)&amp;"/"&amp;RIGHT("00"&amp;MOD(Entry!$B75,100),2),"نامعتبر"),IF(LEN(Entry!$B75)=10,Entry!$B75,"نامعتبر")))</f>
        <v/>
      </c>
      <c r="F72">
        <f>IF(Entry!$B75="","",IF(Entry!$C75="","0000",IF(AND(ISNUMBER(Entry!$C75),Entry!$C75&gt;=0,Entry!$C75&lt;1),RIGHT("00"&amp;HOUR(Entry!$C75),2)&amp;RIGHT("00"&amp;MINUTE(Entry!$C75),2),IFERROR(RIGHT("00"&amp;VALUE(LEFT(Entry!$C75,FIND(":",Entry!$C75)-1)),2)&amp;RIGHT("00"&amp;VALUE(MID(Entry!$C75,FIND(":",Entry!$C75)+1,2)),2),"0000"))))</f>
        <v/>
      </c>
      <c r="G72">
        <f>IF($A72="","",Entry!$G75)</f>
        <v/>
      </c>
      <c r="H72">
        <f>IF($A72="","",IF(Entry!$H75="",0,Entry!$H75))</f>
        <v/>
      </c>
      <c r="I72">
        <f>IF($A72="","",IF(Entry!$I75="",0,Entry!$I75))</f>
        <v/>
      </c>
      <c r="J72">
        <f>IF($A72="","",ROUND($H72*$I72,0))</f>
        <v/>
      </c>
      <c r="K72">
        <f>IF($A72="","",Entry!$D75)</f>
        <v/>
      </c>
      <c r="L72">
        <f>IF($A72="","",Entry!$L75)</f>
        <v/>
      </c>
      <c r="N72">
        <f>IF(OR(Sync!$M72="",$Q72="",$Q72="نامعتبر"),"",Sync!$M72)</f>
        <v/>
      </c>
      <c r="O72">
        <f>IF($N72="","",$Q72)</f>
        <v/>
      </c>
      <c r="P72">
        <f>IF($N72="","",LEFT($Q72,4)&amp;MID($Q72,6,2)&amp;RIGHT($Q72,2)&amp;IF(Sync!$K72="","0000",IF(AND(ISNUMBER(Sync!$K72),Sync!$K72&gt;=0,Sync!$K72&lt;1),RIGHT("00"&amp;HOUR(Sync!$K72),2)&amp;RIGHT("00"&amp;MINUTE(Sync!$K72),2),IFERROR(RIGHT("00"&amp;VALUE(LEFT(Sync!$K72,FIND(":",Sync!$K72)-1)),2)&amp;RIGHT("00"&amp;VALUE(MID(Sync!$K72,FIND(":",Sync!$K72)+1,2)),2),"0000")))&amp;"|"&amp;"2"&amp;RIGHT("00000"&amp;67,5))</f>
        <v/>
      </c>
      <c r="Q72">
        <f>IF(Sync!$J72="","",IF(ISNUMBER(Sync!$J72),IF(AND(Sync!$J72&gt;=10000101,Sync!$J72&lt;=99991231),INT(Sync!$J72/10000)&amp;"/"&amp;RIGHT("00"&amp;INT(MOD(Sync!$J72,10000)/100),2)&amp;"/"&amp;RIGHT("00"&amp;MOD(Sync!$J72,100),2),"نامعتبر"),IF(LEN(Sync!$J72)=10,Sync!$J72,"نامعتبر")))</f>
        <v/>
      </c>
      <c r="R72">
        <f>IF($P72="","",COUNTIFS($N$6:$N$2005,$N72,$P$6:$P$2005,"&lt;"&amp;$P72)+COUNTIFS($A$6:$A$1005,$N72,$B$6:$B$1005,"&lt;"&amp;$P72)+1)</f>
        <v/>
      </c>
      <c r="S72">
        <f>IF($N72="","",$N72&amp;"|"&amp;RIGHT("000000"&amp;$R72,6))</f>
        <v/>
      </c>
      <c r="T72">
        <f>IF($N72="","",IF(Sync!$N72="",0,Sync!$N72))</f>
        <v/>
      </c>
      <c r="U72">
        <f>IF($N72="","",IF(Sync!$O72="",0,Sync!$O72))</f>
        <v/>
      </c>
      <c r="V72">
        <f>IF($N72="","",Sync!$L72)</f>
        <v/>
      </c>
      <c r="W72">
        <f>IF($N72="","",Sync!$P72)</f>
        <v/>
      </c>
      <c r="AA72">
        <f>IF($A72="","",IF(COUNTIF($A$6:$A72,$A72)=1,1,0))</f>
        <v/>
      </c>
      <c r="AB72">
        <f>SUM($AA$6:$AA72)</f>
        <v/>
      </c>
      <c r="AC72">
        <f>IFERROR(INDEX($A$6:$A$1005,MATCH(ROW()-5,$AB$6:$AB$1005,0)),"")</f>
        <v/>
      </c>
    </row>
    <row r="73">
      <c r="A73">
        <f>IF(OR(Entry!$B76="",Entry!$E76="",$E73="نامعتبر"),"",Entry!$E76)</f>
        <v/>
      </c>
      <c r="B73">
        <f>IF($A73="","",LEFT($E73,4)&amp;MID($E73,6,2)&amp;RIGHT($E73,2)&amp;$F73&amp;"|"&amp;"1"&amp;RIGHT("00000"&amp;68,5))</f>
        <v/>
      </c>
      <c r="C73">
        <f>IF($B73="","",COUNTIFS($A$6:$A$1005,$A73,$B$6:$B$1005,"&lt;"&amp;$B73)+COUNTIFS($N$6:$N$2005,$A73,$P$6:$P$2005,"&lt;"&amp;$B73)+1)</f>
        <v/>
      </c>
      <c r="D73">
        <f>IF($C73="","",$A73&amp;"|"&amp;RIGHT("000000"&amp;$C73,6))</f>
        <v/>
      </c>
      <c r="E73">
        <f>IF(Entry!$B76="","",IF(ISNUMBER(Entry!$B76),IF(AND(Entry!$B76&gt;=10000101,Entry!$B76&lt;=99991231),INT(Entry!$B76/10000)&amp;"/"&amp;RIGHT("00"&amp;INT(MOD(Entry!$B76,10000)/100),2)&amp;"/"&amp;RIGHT("00"&amp;MOD(Entry!$B76,100),2),"نامعتبر"),IF(LEN(Entry!$B76)=10,Entry!$B76,"نامعتبر")))</f>
        <v/>
      </c>
      <c r="F73">
        <f>IF(Entry!$B76="","",IF(Entry!$C76="","0000",IF(AND(ISNUMBER(Entry!$C76),Entry!$C76&gt;=0,Entry!$C76&lt;1),RIGHT("00"&amp;HOUR(Entry!$C76),2)&amp;RIGHT("00"&amp;MINUTE(Entry!$C76),2),IFERROR(RIGHT("00"&amp;VALUE(LEFT(Entry!$C76,FIND(":",Entry!$C76)-1)),2)&amp;RIGHT("00"&amp;VALUE(MID(Entry!$C76,FIND(":",Entry!$C76)+1,2)),2),"0000"))))</f>
        <v/>
      </c>
      <c r="G73">
        <f>IF($A73="","",Entry!$G76)</f>
        <v/>
      </c>
      <c r="H73">
        <f>IF($A73="","",IF(Entry!$H76="",0,Entry!$H76))</f>
        <v/>
      </c>
      <c r="I73">
        <f>IF($A73="","",IF(Entry!$I76="",0,Entry!$I76))</f>
        <v/>
      </c>
      <c r="J73">
        <f>IF($A73="","",ROUND($H73*$I73,0))</f>
        <v/>
      </c>
      <c r="K73">
        <f>IF($A73="","",Entry!$D76)</f>
        <v/>
      </c>
      <c r="L73">
        <f>IF($A73="","",Entry!$L76)</f>
        <v/>
      </c>
      <c r="N73">
        <f>IF(OR(Sync!$M73="",$Q73="",$Q73="نامعتبر"),"",Sync!$M73)</f>
        <v/>
      </c>
      <c r="O73">
        <f>IF($N73="","",$Q73)</f>
        <v/>
      </c>
      <c r="P73">
        <f>IF($N73="","",LEFT($Q73,4)&amp;MID($Q73,6,2)&amp;RIGHT($Q73,2)&amp;IF(Sync!$K73="","0000",IF(AND(ISNUMBER(Sync!$K73),Sync!$K73&gt;=0,Sync!$K73&lt;1),RIGHT("00"&amp;HOUR(Sync!$K73),2)&amp;RIGHT("00"&amp;MINUTE(Sync!$K73),2),IFERROR(RIGHT("00"&amp;VALUE(LEFT(Sync!$K73,FIND(":",Sync!$K73)-1)),2)&amp;RIGHT("00"&amp;VALUE(MID(Sync!$K73,FIND(":",Sync!$K73)+1,2)),2),"0000")))&amp;"|"&amp;"2"&amp;RIGHT("00000"&amp;68,5))</f>
        <v/>
      </c>
      <c r="Q73">
        <f>IF(Sync!$J73="","",IF(ISNUMBER(Sync!$J73),IF(AND(Sync!$J73&gt;=10000101,Sync!$J73&lt;=99991231),INT(Sync!$J73/10000)&amp;"/"&amp;RIGHT("00"&amp;INT(MOD(Sync!$J73,10000)/100),2)&amp;"/"&amp;RIGHT("00"&amp;MOD(Sync!$J73,100),2),"نامعتبر"),IF(LEN(Sync!$J73)=10,Sync!$J73,"نامعتبر")))</f>
        <v/>
      </c>
      <c r="R73">
        <f>IF($P73="","",COUNTIFS($N$6:$N$2005,$N73,$P$6:$P$2005,"&lt;"&amp;$P73)+COUNTIFS($A$6:$A$1005,$N73,$B$6:$B$1005,"&lt;"&amp;$P73)+1)</f>
        <v/>
      </c>
      <c r="S73">
        <f>IF($N73="","",$N73&amp;"|"&amp;RIGHT("000000"&amp;$R73,6))</f>
        <v/>
      </c>
      <c r="T73">
        <f>IF($N73="","",IF(Sync!$N73="",0,Sync!$N73))</f>
        <v/>
      </c>
      <c r="U73">
        <f>IF($N73="","",IF(Sync!$O73="",0,Sync!$O73))</f>
        <v/>
      </c>
      <c r="V73">
        <f>IF($N73="","",Sync!$L73)</f>
        <v/>
      </c>
      <c r="W73">
        <f>IF($N73="","",Sync!$P73)</f>
        <v/>
      </c>
      <c r="AA73">
        <f>IF($A73="","",IF(COUNTIF($A$6:$A73,$A73)=1,1,0))</f>
        <v/>
      </c>
      <c r="AB73">
        <f>SUM($AA$6:$AA73)</f>
        <v/>
      </c>
      <c r="AC73">
        <f>IFERROR(INDEX($A$6:$A$1005,MATCH(ROW()-5,$AB$6:$AB$1005,0)),"")</f>
        <v/>
      </c>
    </row>
    <row r="74">
      <c r="A74">
        <f>IF(OR(Entry!$B77="",Entry!$E77="",$E74="نامعتبر"),"",Entry!$E77)</f>
        <v/>
      </c>
      <c r="B74">
        <f>IF($A74="","",LEFT($E74,4)&amp;MID($E74,6,2)&amp;RIGHT($E74,2)&amp;$F74&amp;"|"&amp;"1"&amp;RIGHT("00000"&amp;69,5))</f>
        <v/>
      </c>
      <c r="C74">
        <f>IF($B74="","",COUNTIFS($A$6:$A$1005,$A74,$B$6:$B$1005,"&lt;"&amp;$B74)+COUNTIFS($N$6:$N$2005,$A74,$P$6:$P$2005,"&lt;"&amp;$B74)+1)</f>
        <v/>
      </c>
      <c r="D74">
        <f>IF($C74="","",$A74&amp;"|"&amp;RIGHT("000000"&amp;$C74,6))</f>
        <v/>
      </c>
      <c r="E74">
        <f>IF(Entry!$B77="","",IF(ISNUMBER(Entry!$B77),IF(AND(Entry!$B77&gt;=10000101,Entry!$B77&lt;=99991231),INT(Entry!$B77/10000)&amp;"/"&amp;RIGHT("00"&amp;INT(MOD(Entry!$B77,10000)/100),2)&amp;"/"&amp;RIGHT("00"&amp;MOD(Entry!$B77,100),2),"نامعتبر"),IF(LEN(Entry!$B77)=10,Entry!$B77,"نامعتبر")))</f>
        <v/>
      </c>
      <c r="F74">
        <f>IF(Entry!$B77="","",IF(Entry!$C77="","0000",IF(AND(ISNUMBER(Entry!$C77),Entry!$C77&gt;=0,Entry!$C77&lt;1),RIGHT("00"&amp;HOUR(Entry!$C77),2)&amp;RIGHT("00"&amp;MINUTE(Entry!$C77),2),IFERROR(RIGHT("00"&amp;VALUE(LEFT(Entry!$C77,FIND(":",Entry!$C77)-1)),2)&amp;RIGHT("00"&amp;VALUE(MID(Entry!$C77,FIND(":",Entry!$C77)+1,2)),2),"0000"))))</f>
        <v/>
      </c>
      <c r="G74">
        <f>IF($A74="","",Entry!$G77)</f>
        <v/>
      </c>
      <c r="H74">
        <f>IF($A74="","",IF(Entry!$H77="",0,Entry!$H77))</f>
        <v/>
      </c>
      <c r="I74">
        <f>IF($A74="","",IF(Entry!$I77="",0,Entry!$I77))</f>
        <v/>
      </c>
      <c r="J74">
        <f>IF($A74="","",ROUND($H74*$I74,0))</f>
        <v/>
      </c>
      <c r="K74">
        <f>IF($A74="","",Entry!$D77)</f>
        <v/>
      </c>
      <c r="L74">
        <f>IF($A74="","",Entry!$L77)</f>
        <v/>
      </c>
      <c r="N74">
        <f>IF(OR(Sync!$M74="",$Q74="",$Q74="نامعتبر"),"",Sync!$M74)</f>
        <v/>
      </c>
      <c r="O74">
        <f>IF($N74="","",$Q74)</f>
        <v/>
      </c>
      <c r="P74">
        <f>IF($N74="","",LEFT($Q74,4)&amp;MID($Q74,6,2)&amp;RIGHT($Q74,2)&amp;IF(Sync!$K74="","0000",IF(AND(ISNUMBER(Sync!$K74),Sync!$K74&gt;=0,Sync!$K74&lt;1),RIGHT("00"&amp;HOUR(Sync!$K74),2)&amp;RIGHT("00"&amp;MINUTE(Sync!$K74),2),IFERROR(RIGHT("00"&amp;VALUE(LEFT(Sync!$K74,FIND(":",Sync!$K74)-1)),2)&amp;RIGHT("00"&amp;VALUE(MID(Sync!$K74,FIND(":",Sync!$K74)+1,2)),2),"0000")))&amp;"|"&amp;"2"&amp;RIGHT("00000"&amp;69,5))</f>
        <v/>
      </c>
      <c r="Q74">
        <f>IF(Sync!$J74="","",IF(ISNUMBER(Sync!$J74),IF(AND(Sync!$J74&gt;=10000101,Sync!$J74&lt;=99991231),INT(Sync!$J74/10000)&amp;"/"&amp;RIGHT("00"&amp;INT(MOD(Sync!$J74,10000)/100),2)&amp;"/"&amp;RIGHT("00"&amp;MOD(Sync!$J74,100),2),"نامعتبر"),IF(LEN(Sync!$J74)=10,Sync!$J74,"نامعتبر")))</f>
        <v/>
      </c>
      <c r="R74">
        <f>IF($P74="","",COUNTIFS($N$6:$N$2005,$N74,$P$6:$P$2005,"&lt;"&amp;$P74)+COUNTIFS($A$6:$A$1005,$N74,$B$6:$B$1005,"&lt;"&amp;$P74)+1)</f>
        <v/>
      </c>
      <c r="S74">
        <f>IF($N74="","",$N74&amp;"|"&amp;RIGHT("000000"&amp;$R74,6))</f>
        <v/>
      </c>
      <c r="T74">
        <f>IF($N74="","",IF(Sync!$N74="",0,Sync!$N74))</f>
        <v/>
      </c>
      <c r="U74">
        <f>IF($N74="","",IF(Sync!$O74="",0,Sync!$O74))</f>
        <v/>
      </c>
      <c r="V74">
        <f>IF($N74="","",Sync!$L74)</f>
        <v/>
      </c>
      <c r="W74">
        <f>IF($N74="","",Sync!$P74)</f>
        <v/>
      </c>
      <c r="AA74">
        <f>IF($A74="","",IF(COUNTIF($A$6:$A74,$A74)=1,1,0))</f>
        <v/>
      </c>
      <c r="AB74">
        <f>SUM($AA$6:$AA74)</f>
        <v/>
      </c>
      <c r="AC74">
        <f>IFERROR(INDEX($A$6:$A$1005,MATCH(ROW()-5,$AB$6:$AB$1005,0)),"")</f>
        <v/>
      </c>
    </row>
    <row r="75">
      <c r="A75">
        <f>IF(OR(Entry!$B78="",Entry!$E78="",$E75="نامعتبر"),"",Entry!$E78)</f>
        <v/>
      </c>
      <c r="B75">
        <f>IF($A75="","",LEFT($E75,4)&amp;MID($E75,6,2)&amp;RIGHT($E75,2)&amp;$F75&amp;"|"&amp;"1"&amp;RIGHT("00000"&amp;70,5))</f>
        <v/>
      </c>
      <c r="C75">
        <f>IF($B75="","",COUNTIFS($A$6:$A$1005,$A75,$B$6:$B$1005,"&lt;"&amp;$B75)+COUNTIFS($N$6:$N$2005,$A75,$P$6:$P$2005,"&lt;"&amp;$B75)+1)</f>
        <v/>
      </c>
      <c r="D75">
        <f>IF($C75="","",$A75&amp;"|"&amp;RIGHT("000000"&amp;$C75,6))</f>
        <v/>
      </c>
      <c r="E75">
        <f>IF(Entry!$B78="","",IF(ISNUMBER(Entry!$B78),IF(AND(Entry!$B78&gt;=10000101,Entry!$B78&lt;=99991231),INT(Entry!$B78/10000)&amp;"/"&amp;RIGHT("00"&amp;INT(MOD(Entry!$B78,10000)/100),2)&amp;"/"&amp;RIGHT("00"&amp;MOD(Entry!$B78,100),2),"نامعتبر"),IF(LEN(Entry!$B78)=10,Entry!$B78,"نامعتبر")))</f>
        <v/>
      </c>
      <c r="F75">
        <f>IF(Entry!$B78="","",IF(Entry!$C78="","0000",IF(AND(ISNUMBER(Entry!$C78),Entry!$C78&gt;=0,Entry!$C78&lt;1),RIGHT("00"&amp;HOUR(Entry!$C78),2)&amp;RIGHT("00"&amp;MINUTE(Entry!$C78),2),IFERROR(RIGHT("00"&amp;VALUE(LEFT(Entry!$C78,FIND(":",Entry!$C78)-1)),2)&amp;RIGHT("00"&amp;VALUE(MID(Entry!$C78,FIND(":",Entry!$C78)+1,2)),2),"0000"))))</f>
        <v/>
      </c>
      <c r="G75">
        <f>IF($A75="","",Entry!$G78)</f>
        <v/>
      </c>
      <c r="H75">
        <f>IF($A75="","",IF(Entry!$H78="",0,Entry!$H78))</f>
        <v/>
      </c>
      <c r="I75">
        <f>IF($A75="","",IF(Entry!$I78="",0,Entry!$I78))</f>
        <v/>
      </c>
      <c r="J75">
        <f>IF($A75="","",ROUND($H75*$I75,0))</f>
        <v/>
      </c>
      <c r="K75">
        <f>IF($A75="","",Entry!$D78)</f>
        <v/>
      </c>
      <c r="L75">
        <f>IF($A75="","",Entry!$L78)</f>
        <v/>
      </c>
      <c r="N75">
        <f>IF(OR(Sync!$M75="",$Q75="",$Q75="نامعتبر"),"",Sync!$M75)</f>
        <v/>
      </c>
      <c r="O75">
        <f>IF($N75="","",$Q75)</f>
        <v/>
      </c>
      <c r="P75">
        <f>IF($N75="","",LEFT($Q75,4)&amp;MID($Q75,6,2)&amp;RIGHT($Q75,2)&amp;IF(Sync!$K75="","0000",IF(AND(ISNUMBER(Sync!$K75),Sync!$K75&gt;=0,Sync!$K75&lt;1),RIGHT("00"&amp;HOUR(Sync!$K75),2)&amp;RIGHT("00"&amp;MINUTE(Sync!$K75),2),IFERROR(RIGHT("00"&amp;VALUE(LEFT(Sync!$K75,FIND(":",Sync!$K75)-1)),2)&amp;RIGHT("00"&amp;VALUE(MID(Sync!$K75,FIND(":",Sync!$K75)+1,2)),2),"0000")))&amp;"|"&amp;"2"&amp;RIGHT("00000"&amp;70,5))</f>
        <v/>
      </c>
      <c r="Q75">
        <f>IF(Sync!$J75="","",IF(ISNUMBER(Sync!$J75),IF(AND(Sync!$J75&gt;=10000101,Sync!$J75&lt;=99991231),INT(Sync!$J75/10000)&amp;"/"&amp;RIGHT("00"&amp;INT(MOD(Sync!$J75,10000)/100),2)&amp;"/"&amp;RIGHT("00"&amp;MOD(Sync!$J75,100),2),"نامعتبر"),IF(LEN(Sync!$J75)=10,Sync!$J75,"نامعتبر")))</f>
        <v/>
      </c>
      <c r="R75">
        <f>IF($P75="","",COUNTIFS($N$6:$N$2005,$N75,$P$6:$P$2005,"&lt;"&amp;$P75)+COUNTIFS($A$6:$A$1005,$N75,$B$6:$B$1005,"&lt;"&amp;$P75)+1)</f>
        <v/>
      </c>
      <c r="S75">
        <f>IF($N75="","",$N75&amp;"|"&amp;RIGHT("000000"&amp;$R75,6))</f>
        <v/>
      </c>
      <c r="T75">
        <f>IF($N75="","",IF(Sync!$N75="",0,Sync!$N75))</f>
        <v/>
      </c>
      <c r="U75">
        <f>IF($N75="","",IF(Sync!$O75="",0,Sync!$O75))</f>
        <v/>
      </c>
      <c r="V75">
        <f>IF($N75="","",Sync!$L75)</f>
        <v/>
      </c>
      <c r="W75">
        <f>IF($N75="","",Sync!$P75)</f>
        <v/>
      </c>
      <c r="AA75">
        <f>IF($A75="","",IF(COUNTIF($A$6:$A75,$A75)=1,1,0))</f>
        <v/>
      </c>
      <c r="AB75">
        <f>SUM($AA$6:$AA75)</f>
        <v/>
      </c>
      <c r="AC75">
        <f>IFERROR(INDEX($A$6:$A$1005,MATCH(ROW()-5,$AB$6:$AB$1005,0)),"")</f>
        <v/>
      </c>
    </row>
    <row r="76">
      <c r="A76">
        <f>IF(OR(Entry!$B79="",Entry!$E79="",$E76="نامعتبر"),"",Entry!$E79)</f>
        <v/>
      </c>
      <c r="B76">
        <f>IF($A76="","",LEFT($E76,4)&amp;MID($E76,6,2)&amp;RIGHT($E76,2)&amp;$F76&amp;"|"&amp;"1"&amp;RIGHT("00000"&amp;71,5))</f>
        <v/>
      </c>
      <c r="C76">
        <f>IF($B76="","",COUNTIFS($A$6:$A$1005,$A76,$B$6:$B$1005,"&lt;"&amp;$B76)+COUNTIFS($N$6:$N$2005,$A76,$P$6:$P$2005,"&lt;"&amp;$B76)+1)</f>
        <v/>
      </c>
      <c r="D76">
        <f>IF($C76="","",$A76&amp;"|"&amp;RIGHT("000000"&amp;$C76,6))</f>
        <v/>
      </c>
      <c r="E76">
        <f>IF(Entry!$B79="","",IF(ISNUMBER(Entry!$B79),IF(AND(Entry!$B79&gt;=10000101,Entry!$B79&lt;=99991231),INT(Entry!$B79/10000)&amp;"/"&amp;RIGHT("00"&amp;INT(MOD(Entry!$B79,10000)/100),2)&amp;"/"&amp;RIGHT("00"&amp;MOD(Entry!$B79,100),2),"نامعتبر"),IF(LEN(Entry!$B79)=10,Entry!$B79,"نامعتبر")))</f>
        <v/>
      </c>
      <c r="F76">
        <f>IF(Entry!$B79="","",IF(Entry!$C79="","0000",IF(AND(ISNUMBER(Entry!$C79),Entry!$C79&gt;=0,Entry!$C79&lt;1),RIGHT("00"&amp;HOUR(Entry!$C79),2)&amp;RIGHT("00"&amp;MINUTE(Entry!$C79),2),IFERROR(RIGHT("00"&amp;VALUE(LEFT(Entry!$C79,FIND(":",Entry!$C79)-1)),2)&amp;RIGHT("00"&amp;VALUE(MID(Entry!$C79,FIND(":",Entry!$C79)+1,2)),2),"0000"))))</f>
        <v/>
      </c>
      <c r="G76">
        <f>IF($A76="","",Entry!$G79)</f>
        <v/>
      </c>
      <c r="H76">
        <f>IF($A76="","",IF(Entry!$H79="",0,Entry!$H79))</f>
        <v/>
      </c>
      <c r="I76">
        <f>IF($A76="","",IF(Entry!$I79="",0,Entry!$I79))</f>
        <v/>
      </c>
      <c r="J76">
        <f>IF($A76="","",ROUND($H76*$I76,0))</f>
        <v/>
      </c>
      <c r="K76">
        <f>IF($A76="","",Entry!$D79)</f>
        <v/>
      </c>
      <c r="L76">
        <f>IF($A76="","",Entry!$L79)</f>
        <v/>
      </c>
      <c r="N76">
        <f>IF(OR(Sync!$M76="",$Q76="",$Q76="نامعتبر"),"",Sync!$M76)</f>
        <v/>
      </c>
      <c r="O76">
        <f>IF($N76="","",$Q76)</f>
        <v/>
      </c>
      <c r="P76">
        <f>IF($N76="","",LEFT($Q76,4)&amp;MID($Q76,6,2)&amp;RIGHT($Q76,2)&amp;IF(Sync!$K76="","0000",IF(AND(ISNUMBER(Sync!$K76),Sync!$K76&gt;=0,Sync!$K76&lt;1),RIGHT("00"&amp;HOUR(Sync!$K76),2)&amp;RIGHT("00"&amp;MINUTE(Sync!$K76),2),IFERROR(RIGHT("00"&amp;VALUE(LEFT(Sync!$K76,FIND(":",Sync!$K76)-1)),2)&amp;RIGHT("00"&amp;VALUE(MID(Sync!$K76,FIND(":",Sync!$K76)+1,2)),2),"0000")))&amp;"|"&amp;"2"&amp;RIGHT("00000"&amp;71,5))</f>
        <v/>
      </c>
      <c r="Q76">
        <f>IF(Sync!$J76="","",IF(ISNUMBER(Sync!$J76),IF(AND(Sync!$J76&gt;=10000101,Sync!$J76&lt;=99991231),INT(Sync!$J76/10000)&amp;"/"&amp;RIGHT("00"&amp;INT(MOD(Sync!$J76,10000)/100),2)&amp;"/"&amp;RIGHT("00"&amp;MOD(Sync!$J76,100),2),"نامعتبر"),IF(LEN(Sync!$J76)=10,Sync!$J76,"نامعتبر")))</f>
        <v/>
      </c>
      <c r="R76">
        <f>IF($P76="","",COUNTIFS($N$6:$N$2005,$N76,$P$6:$P$2005,"&lt;"&amp;$P76)+COUNTIFS($A$6:$A$1005,$N76,$B$6:$B$1005,"&lt;"&amp;$P76)+1)</f>
        <v/>
      </c>
      <c r="S76">
        <f>IF($N76="","",$N76&amp;"|"&amp;RIGHT("000000"&amp;$R76,6))</f>
        <v/>
      </c>
      <c r="T76">
        <f>IF($N76="","",IF(Sync!$N76="",0,Sync!$N76))</f>
        <v/>
      </c>
      <c r="U76">
        <f>IF($N76="","",IF(Sync!$O76="",0,Sync!$O76))</f>
        <v/>
      </c>
      <c r="V76">
        <f>IF($N76="","",Sync!$L76)</f>
        <v/>
      </c>
      <c r="W76">
        <f>IF($N76="","",Sync!$P76)</f>
        <v/>
      </c>
      <c r="AA76">
        <f>IF($A76="","",IF(COUNTIF($A$6:$A76,$A76)=1,1,0))</f>
        <v/>
      </c>
      <c r="AB76">
        <f>SUM($AA$6:$AA76)</f>
        <v/>
      </c>
      <c r="AC76">
        <f>IFERROR(INDEX($A$6:$A$1005,MATCH(ROW()-5,$AB$6:$AB$1005,0)),"")</f>
        <v/>
      </c>
    </row>
    <row r="77">
      <c r="A77">
        <f>IF(OR(Entry!$B80="",Entry!$E80="",$E77="نامعتبر"),"",Entry!$E80)</f>
        <v/>
      </c>
      <c r="B77">
        <f>IF($A77="","",LEFT($E77,4)&amp;MID($E77,6,2)&amp;RIGHT($E77,2)&amp;$F77&amp;"|"&amp;"1"&amp;RIGHT("00000"&amp;72,5))</f>
        <v/>
      </c>
      <c r="C77">
        <f>IF($B77="","",COUNTIFS($A$6:$A$1005,$A77,$B$6:$B$1005,"&lt;"&amp;$B77)+COUNTIFS($N$6:$N$2005,$A77,$P$6:$P$2005,"&lt;"&amp;$B77)+1)</f>
        <v/>
      </c>
      <c r="D77">
        <f>IF($C77="","",$A77&amp;"|"&amp;RIGHT("000000"&amp;$C77,6))</f>
        <v/>
      </c>
      <c r="E77">
        <f>IF(Entry!$B80="","",IF(ISNUMBER(Entry!$B80),IF(AND(Entry!$B80&gt;=10000101,Entry!$B80&lt;=99991231),INT(Entry!$B80/10000)&amp;"/"&amp;RIGHT("00"&amp;INT(MOD(Entry!$B80,10000)/100),2)&amp;"/"&amp;RIGHT("00"&amp;MOD(Entry!$B80,100),2),"نامعتبر"),IF(LEN(Entry!$B80)=10,Entry!$B80,"نامعتبر")))</f>
        <v/>
      </c>
      <c r="F77">
        <f>IF(Entry!$B80="","",IF(Entry!$C80="","0000",IF(AND(ISNUMBER(Entry!$C80),Entry!$C80&gt;=0,Entry!$C80&lt;1),RIGHT("00"&amp;HOUR(Entry!$C80),2)&amp;RIGHT("00"&amp;MINUTE(Entry!$C80),2),IFERROR(RIGHT("00"&amp;VALUE(LEFT(Entry!$C80,FIND(":",Entry!$C80)-1)),2)&amp;RIGHT("00"&amp;VALUE(MID(Entry!$C80,FIND(":",Entry!$C80)+1,2)),2),"0000"))))</f>
        <v/>
      </c>
      <c r="G77">
        <f>IF($A77="","",Entry!$G80)</f>
        <v/>
      </c>
      <c r="H77">
        <f>IF($A77="","",IF(Entry!$H80="",0,Entry!$H80))</f>
        <v/>
      </c>
      <c r="I77">
        <f>IF($A77="","",IF(Entry!$I80="",0,Entry!$I80))</f>
        <v/>
      </c>
      <c r="J77">
        <f>IF($A77="","",ROUND($H77*$I77,0))</f>
        <v/>
      </c>
      <c r="K77">
        <f>IF($A77="","",Entry!$D80)</f>
        <v/>
      </c>
      <c r="L77">
        <f>IF($A77="","",Entry!$L80)</f>
        <v/>
      </c>
      <c r="N77">
        <f>IF(OR(Sync!$M77="",$Q77="",$Q77="نامعتبر"),"",Sync!$M77)</f>
        <v/>
      </c>
      <c r="O77">
        <f>IF($N77="","",$Q77)</f>
        <v/>
      </c>
      <c r="P77">
        <f>IF($N77="","",LEFT($Q77,4)&amp;MID($Q77,6,2)&amp;RIGHT($Q77,2)&amp;IF(Sync!$K77="","0000",IF(AND(ISNUMBER(Sync!$K77),Sync!$K77&gt;=0,Sync!$K77&lt;1),RIGHT("00"&amp;HOUR(Sync!$K77),2)&amp;RIGHT("00"&amp;MINUTE(Sync!$K77),2),IFERROR(RIGHT("00"&amp;VALUE(LEFT(Sync!$K77,FIND(":",Sync!$K77)-1)),2)&amp;RIGHT("00"&amp;VALUE(MID(Sync!$K77,FIND(":",Sync!$K77)+1,2)),2),"0000")))&amp;"|"&amp;"2"&amp;RIGHT("00000"&amp;72,5))</f>
        <v/>
      </c>
      <c r="Q77">
        <f>IF(Sync!$J77="","",IF(ISNUMBER(Sync!$J77),IF(AND(Sync!$J77&gt;=10000101,Sync!$J77&lt;=99991231),INT(Sync!$J77/10000)&amp;"/"&amp;RIGHT("00"&amp;INT(MOD(Sync!$J77,10000)/100),2)&amp;"/"&amp;RIGHT("00"&amp;MOD(Sync!$J77,100),2),"نامعتبر"),IF(LEN(Sync!$J77)=10,Sync!$J77,"نامعتبر")))</f>
        <v/>
      </c>
      <c r="R77">
        <f>IF($P77="","",COUNTIFS($N$6:$N$2005,$N77,$P$6:$P$2005,"&lt;"&amp;$P77)+COUNTIFS($A$6:$A$1005,$N77,$B$6:$B$1005,"&lt;"&amp;$P77)+1)</f>
        <v/>
      </c>
      <c r="S77">
        <f>IF($N77="","",$N77&amp;"|"&amp;RIGHT("000000"&amp;$R77,6))</f>
        <v/>
      </c>
      <c r="T77">
        <f>IF($N77="","",IF(Sync!$N77="",0,Sync!$N77))</f>
        <v/>
      </c>
      <c r="U77">
        <f>IF($N77="","",IF(Sync!$O77="",0,Sync!$O77))</f>
        <v/>
      </c>
      <c r="V77">
        <f>IF($N77="","",Sync!$L77)</f>
        <v/>
      </c>
      <c r="W77">
        <f>IF($N77="","",Sync!$P77)</f>
        <v/>
      </c>
      <c r="AA77">
        <f>IF($A77="","",IF(COUNTIF($A$6:$A77,$A77)=1,1,0))</f>
        <v/>
      </c>
      <c r="AB77">
        <f>SUM($AA$6:$AA77)</f>
        <v/>
      </c>
      <c r="AC77">
        <f>IFERROR(INDEX($A$6:$A$1005,MATCH(ROW()-5,$AB$6:$AB$1005,0)),"")</f>
        <v/>
      </c>
    </row>
    <row r="78">
      <c r="A78">
        <f>IF(OR(Entry!$B81="",Entry!$E81="",$E78="نامعتبر"),"",Entry!$E81)</f>
        <v/>
      </c>
      <c r="B78">
        <f>IF($A78="","",LEFT($E78,4)&amp;MID($E78,6,2)&amp;RIGHT($E78,2)&amp;$F78&amp;"|"&amp;"1"&amp;RIGHT("00000"&amp;73,5))</f>
        <v/>
      </c>
      <c r="C78">
        <f>IF($B78="","",COUNTIFS($A$6:$A$1005,$A78,$B$6:$B$1005,"&lt;"&amp;$B78)+COUNTIFS($N$6:$N$2005,$A78,$P$6:$P$2005,"&lt;"&amp;$B78)+1)</f>
        <v/>
      </c>
      <c r="D78">
        <f>IF($C78="","",$A78&amp;"|"&amp;RIGHT("000000"&amp;$C78,6))</f>
        <v/>
      </c>
      <c r="E78">
        <f>IF(Entry!$B81="","",IF(ISNUMBER(Entry!$B81),IF(AND(Entry!$B81&gt;=10000101,Entry!$B81&lt;=99991231),INT(Entry!$B81/10000)&amp;"/"&amp;RIGHT("00"&amp;INT(MOD(Entry!$B81,10000)/100),2)&amp;"/"&amp;RIGHT("00"&amp;MOD(Entry!$B81,100),2),"نامعتبر"),IF(LEN(Entry!$B81)=10,Entry!$B81,"نامعتبر")))</f>
        <v/>
      </c>
      <c r="F78">
        <f>IF(Entry!$B81="","",IF(Entry!$C81="","0000",IF(AND(ISNUMBER(Entry!$C81),Entry!$C81&gt;=0,Entry!$C81&lt;1),RIGHT("00"&amp;HOUR(Entry!$C81),2)&amp;RIGHT("00"&amp;MINUTE(Entry!$C81),2),IFERROR(RIGHT("00"&amp;VALUE(LEFT(Entry!$C81,FIND(":",Entry!$C81)-1)),2)&amp;RIGHT("00"&amp;VALUE(MID(Entry!$C81,FIND(":",Entry!$C81)+1,2)),2),"0000"))))</f>
        <v/>
      </c>
      <c r="G78">
        <f>IF($A78="","",Entry!$G81)</f>
        <v/>
      </c>
      <c r="H78">
        <f>IF($A78="","",IF(Entry!$H81="",0,Entry!$H81))</f>
        <v/>
      </c>
      <c r="I78">
        <f>IF($A78="","",IF(Entry!$I81="",0,Entry!$I81))</f>
        <v/>
      </c>
      <c r="J78">
        <f>IF($A78="","",ROUND($H78*$I78,0))</f>
        <v/>
      </c>
      <c r="K78">
        <f>IF($A78="","",Entry!$D81)</f>
        <v/>
      </c>
      <c r="L78">
        <f>IF($A78="","",Entry!$L81)</f>
        <v/>
      </c>
      <c r="N78">
        <f>IF(OR(Sync!$M78="",$Q78="",$Q78="نامعتبر"),"",Sync!$M78)</f>
        <v/>
      </c>
      <c r="O78">
        <f>IF($N78="","",$Q78)</f>
        <v/>
      </c>
      <c r="P78">
        <f>IF($N78="","",LEFT($Q78,4)&amp;MID($Q78,6,2)&amp;RIGHT($Q78,2)&amp;IF(Sync!$K78="","0000",IF(AND(ISNUMBER(Sync!$K78),Sync!$K78&gt;=0,Sync!$K78&lt;1),RIGHT("00"&amp;HOUR(Sync!$K78),2)&amp;RIGHT("00"&amp;MINUTE(Sync!$K78),2),IFERROR(RIGHT("00"&amp;VALUE(LEFT(Sync!$K78,FIND(":",Sync!$K78)-1)),2)&amp;RIGHT("00"&amp;VALUE(MID(Sync!$K78,FIND(":",Sync!$K78)+1,2)),2),"0000")))&amp;"|"&amp;"2"&amp;RIGHT("00000"&amp;73,5))</f>
        <v/>
      </c>
      <c r="Q78">
        <f>IF(Sync!$J78="","",IF(ISNUMBER(Sync!$J78),IF(AND(Sync!$J78&gt;=10000101,Sync!$J78&lt;=99991231),INT(Sync!$J78/10000)&amp;"/"&amp;RIGHT("00"&amp;INT(MOD(Sync!$J78,10000)/100),2)&amp;"/"&amp;RIGHT("00"&amp;MOD(Sync!$J78,100),2),"نامعتبر"),IF(LEN(Sync!$J78)=10,Sync!$J78,"نامعتبر")))</f>
        <v/>
      </c>
      <c r="R78">
        <f>IF($P78="","",COUNTIFS($N$6:$N$2005,$N78,$P$6:$P$2005,"&lt;"&amp;$P78)+COUNTIFS($A$6:$A$1005,$N78,$B$6:$B$1005,"&lt;"&amp;$P78)+1)</f>
        <v/>
      </c>
      <c r="S78">
        <f>IF($N78="","",$N78&amp;"|"&amp;RIGHT("000000"&amp;$R78,6))</f>
        <v/>
      </c>
      <c r="T78">
        <f>IF($N78="","",IF(Sync!$N78="",0,Sync!$N78))</f>
        <v/>
      </c>
      <c r="U78">
        <f>IF($N78="","",IF(Sync!$O78="",0,Sync!$O78))</f>
        <v/>
      </c>
      <c r="V78">
        <f>IF($N78="","",Sync!$L78)</f>
        <v/>
      </c>
      <c r="W78">
        <f>IF($N78="","",Sync!$P78)</f>
        <v/>
      </c>
      <c r="AA78">
        <f>IF($A78="","",IF(COUNTIF($A$6:$A78,$A78)=1,1,0))</f>
        <v/>
      </c>
      <c r="AB78">
        <f>SUM($AA$6:$AA78)</f>
        <v/>
      </c>
      <c r="AC78">
        <f>IFERROR(INDEX($A$6:$A$1005,MATCH(ROW()-5,$AB$6:$AB$1005,0)),"")</f>
        <v/>
      </c>
    </row>
    <row r="79">
      <c r="A79">
        <f>IF(OR(Entry!$B82="",Entry!$E82="",$E79="نامعتبر"),"",Entry!$E82)</f>
        <v/>
      </c>
      <c r="B79">
        <f>IF($A79="","",LEFT($E79,4)&amp;MID($E79,6,2)&amp;RIGHT($E79,2)&amp;$F79&amp;"|"&amp;"1"&amp;RIGHT("00000"&amp;74,5))</f>
        <v/>
      </c>
      <c r="C79">
        <f>IF($B79="","",COUNTIFS($A$6:$A$1005,$A79,$B$6:$B$1005,"&lt;"&amp;$B79)+COUNTIFS($N$6:$N$2005,$A79,$P$6:$P$2005,"&lt;"&amp;$B79)+1)</f>
        <v/>
      </c>
      <c r="D79">
        <f>IF($C79="","",$A79&amp;"|"&amp;RIGHT("000000"&amp;$C79,6))</f>
        <v/>
      </c>
      <c r="E79">
        <f>IF(Entry!$B82="","",IF(ISNUMBER(Entry!$B82),IF(AND(Entry!$B82&gt;=10000101,Entry!$B82&lt;=99991231),INT(Entry!$B82/10000)&amp;"/"&amp;RIGHT("00"&amp;INT(MOD(Entry!$B82,10000)/100),2)&amp;"/"&amp;RIGHT("00"&amp;MOD(Entry!$B82,100),2),"نامعتبر"),IF(LEN(Entry!$B82)=10,Entry!$B82,"نامعتبر")))</f>
        <v/>
      </c>
      <c r="F79">
        <f>IF(Entry!$B82="","",IF(Entry!$C82="","0000",IF(AND(ISNUMBER(Entry!$C82),Entry!$C82&gt;=0,Entry!$C82&lt;1),RIGHT("00"&amp;HOUR(Entry!$C82),2)&amp;RIGHT("00"&amp;MINUTE(Entry!$C82),2),IFERROR(RIGHT("00"&amp;VALUE(LEFT(Entry!$C82,FIND(":",Entry!$C82)-1)),2)&amp;RIGHT("00"&amp;VALUE(MID(Entry!$C82,FIND(":",Entry!$C82)+1,2)),2),"0000"))))</f>
        <v/>
      </c>
      <c r="G79">
        <f>IF($A79="","",Entry!$G82)</f>
        <v/>
      </c>
      <c r="H79">
        <f>IF($A79="","",IF(Entry!$H82="",0,Entry!$H82))</f>
        <v/>
      </c>
      <c r="I79">
        <f>IF($A79="","",IF(Entry!$I82="",0,Entry!$I82))</f>
        <v/>
      </c>
      <c r="J79">
        <f>IF($A79="","",ROUND($H79*$I79,0))</f>
        <v/>
      </c>
      <c r="K79">
        <f>IF($A79="","",Entry!$D82)</f>
        <v/>
      </c>
      <c r="L79">
        <f>IF($A79="","",Entry!$L82)</f>
        <v/>
      </c>
      <c r="N79">
        <f>IF(OR(Sync!$M79="",$Q79="",$Q79="نامعتبر"),"",Sync!$M79)</f>
        <v/>
      </c>
      <c r="O79">
        <f>IF($N79="","",$Q79)</f>
        <v/>
      </c>
      <c r="P79">
        <f>IF($N79="","",LEFT($Q79,4)&amp;MID($Q79,6,2)&amp;RIGHT($Q79,2)&amp;IF(Sync!$K79="","0000",IF(AND(ISNUMBER(Sync!$K79),Sync!$K79&gt;=0,Sync!$K79&lt;1),RIGHT("00"&amp;HOUR(Sync!$K79),2)&amp;RIGHT("00"&amp;MINUTE(Sync!$K79),2),IFERROR(RIGHT("00"&amp;VALUE(LEFT(Sync!$K79,FIND(":",Sync!$K79)-1)),2)&amp;RIGHT("00"&amp;VALUE(MID(Sync!$K79,FIND(":",Sync!$K79)+1,2)),2),"0000")))&amp;"|"&amp;"2"&amp;RIGHT("00000"&amp;74,5))</f>
        <v/>
      </c>
      <c r="Q79">
        <f>IF(Sync!$J79="","",IF(ISNUMBER(Sync!$J79),IF(AND(Sync!$J79&gt;=10000101,Sync!$J79&lt;=99991231),INT(Sync!$J79/10000)&amp;"/"&amp;RIGHT("00"&amp;INT(MOD(Sync!$J79,10000)/100),2)&amp;"/"&amp;RIGHT("00"&amp;MOD(Sync!$J79,100),2),"نامعتبر"),IF(LEN(Sync!$J79)=10,Sync!$J79,"نامعتبر")))</f>
        <v/>
      </c>
      <c r="R79">
        <f>IF($P79="","",COUNTIFS($N$6:$N$2005,$N79,$P$6:$P$2005,"&lt;"&amp;$P79)+COUNTIFS($A$6:$A$1005,$N79,$B$6:$B$1005,"&lt;"&amp;$P79)+1)</f>
        <v/>
      </c>
      <c r="S79">
        <f>IF($N79="","",$N79&amp;"|"&amp;RIGHT("000000"&amp;$R79,6))</f>
        <v/>
      </c>
      <c r="T79">
        <f>IF($N79="","",IF(Sync!$N79="",0,Sync!$N79))</f>
        <v/>
      </c>
      <c r="U79">
        <f>IF($N79="","",IF(Sync!$O79="",0,Sync!$O79))</f>
        <v/>
      </c>
      <c r="V79">
        <f>IF($N79="","",Sync!$L79)</f>
        <v/>
      </c>
      <c r="W79">
        <f>IF($N79="","",Sync!$P79)</f>
        <v/>
      </c>
      <c r="AA79">
        <f>IF($A79="","",IF(COUNTIF($A$6:$A79,$A79)=1,1,0))</f>
        <v/>
      </c>
      <c r="AB79">
        <f>SUM($AA$6:$AA79)</f>
        <v/>
      </c>
      <c r="AC79">
        <f>IFERROR(INDEX($A$6:$A$1005,MATCH(ROW()-5,$AB$6:$AB$1005,0)),"")</f>
        <v/>
      </c>
    </row>
    <row r="80">
      <c r="A80">
        <f>IF(OR(Entry!$B83="",Entry!$E83="",$E80="نامعتبر"),"",Entry!$E83)</f>
        <v/>
      </c>
      <c r="B80">
        <f>IF($A80="","",LEFT($E80,4)&amp;MID($E80,6,2)&amp;RIGHT($E80,2)&amp;$F80&amp;"|"&amp;"1"&amp;RIGHT("00000"&amp;75,5))</f>
        <v/>
      </c>
      <c r="C80">
        <f>IF($B80="","",COUNTIFS($A$6:$A$1005,$A80,$B$6:$B$1005,"&lt;"&amp;$B80)+COUNTIFS($N$6:$N$2005,$A80,$P$6:$P$2005,"&lt;"&amp;$B80)+1)</f>
        <v/>
      </c>
      <c r="D80">
        <f>IF($C80="","",$A80&amp;"|"&amp;RIGHT("000000"&amp;$C80,6))</f>
        <v/>
      </c>
      <c r="E80">
        <f>IF(Entry!$B83="","",IF(ISNUMBER(Entry!$B83),IF(AND(Entry!$B83&gt;=10000101,Entry!$B83&lt;=99991231),INT(Entry!$B83/10000)&amp;"/"&amp;RIGHT("00"&amp;INT(MOD(Entry!$B83,10000)/100),2)&amp;"/"&amp;RIGHT("00"&amp;MOD(Entry!$B83,100),2),"نامعتبر"),IF(LEN(Entry!$B83)=10,Entry!$B83,"نامعتبر")))</f>
        <v/>
      </c>
      <c r="F80">
        <f>IF(Entry!$B83="","",IF(Entry!$C83="","0000",IF(AND(ISNUMBER(Entry!$C83),Entry!$C83&gt;=0,Entry!$C83&lt;1),RIGHT("00"&amp;HOUR(Entry!$C83),2)&amp;RIGHT("00"&amp;MINUTE(Entry!$C83),2),IFERROR(RIGHT("00"&amp;VALUE(LEFT(Entry!$C83,FIND(":",Entry!$C83)-1)),2)&amp;RIGHT("00"&amp;VALUE(MID(Entry!$C83,FIND(":",Entry!$C83)+1,2)),2),"0000"))))</f>
        <v/>
      </c>
      <c r="G80">
        <f>IF($A80="","",Entry!$G83)</f>
        <v/>
      </c>
      <c r="H80">
        <f>IF($A80="","",IF(Entry!$H83="",0,Entry!$H83))</f>
        <v/>
      </c>
      <c r="I80">
        <f>IF($A80="","",IF(Entry!$I83="",0,Entry!$I83))</f>
        <v/>
      </c>
      <c r="J80">
        <f>IF($A80="","",ROUND($H80*$I80,0))</f>
        <v/>
      </c>
      <c r="K80">
        <f>IF($A80="","",Entry!$D83)</f>
        <v/>
      </c>
      <c r="L80">
        <f>IF($A80="","",Entry!$L83)</f>
        <v/>
      </c>
      <c r="N80">
        <f>IF(OR(Sync!$M80="",$Q80="",$Q80="نامعتبر"),"",Sync!$M80)</f>
        <v/>
      </c>
      <c r="O80">
        <f>IF($N80="","",$Q80)</f>
        <v/>
      </c>
      <c r="P80">
        <f>IF($N80="","",LEFT($Q80,4)&amp;MID($Q80,6,2)&amp;RIGHT($Q80,2)&amp;IF(Sync!$K80="","0000",IF(AND(ISNUMBER(Sync!$K80),Sync!$K80&gt;=0,Sync!$K80&lt;1),RIGHT("00"&amp;HOUR(Sync!$K80),2)&amp;RIGHT("00"&amp;MINUTE(Sync!$K80),2),IFERROR(RIGHT("00"&amp;VALUE(LEFT(Sync!$K80,FIND(":",Sync!$K80)-1)),2)&amp;RIGHT("00"&amp;VALUE(MID(Sync!$K80,FIND(":",Sync!$K80)+1,2)),2),"0000")))&amp;"|"&amp;"2"&amp;RIGHT("00000"&amp;75,5))</f>
        <v/>
      </c>
      <c r="Q80">
        <f>IF(Sync!$J80="","",IF(ISNUMBER(Sync!$J80),IF(AND(Sync!$J80&gt;=10000101,Sync!$J80&lt;=99991231),INT(Sync!$J80/10000)&amp;"/"&amp;RIGHT("00"&amp;INT(MOD(Sync!$J80,10000)/100),2)&amp;"/"&amp;RIGHT("00"&amp;MOD(Sync!$J80,100),2),"نامعتبر"),IF(LEN(Sync!$J80)=10,Sync!$J80,"نامعتبر")))</f>
        <v/>
      </c>
      <c r="R80">
        <f>IF($P80="","",COUNTIFS($N$6:$N$2005,$N80,$P$6:$P$2005,"&lt;"&amp;$P80)+COUNTIFS($A$6:$A$1005,$N80,$B$6:$B$1005,"&lt;"&amp;$P80)+1)</f>
        <v/>
      </c>
      <c r="S80">
        <f>IF($N80="","",$N80&amp;"|"&amp;RIGHT("000000"&amp;$R80,6))</f>
        <v/>
      </c>
      <c r="T80">
        <f>IF($N80="","",IF(Sync!$N80="",0,Sync!$N80))</f>
        <v/>
      </c>
      <c r="U80">
        <f>IF($N80="","",IF(Sync!$O80="",0,Sync!$O80))</f>
        <v/>
      </c>
      <c r="V80">
        <f>IF($N80="","",Sync!$L80)</f>
        <v/>
      </c>
      <c r="W80">
        <f>IF($N80="","",Sync!$P80)</f>
        <v/>
      </c>
      <c r="AA80">
        <f>IF($A80="","",IF(COUNTIF($A$6:$A80,$A80)=1,1,0))</f>
        <v/>
      </c>
      <c r="AB80">
        <f>SUM($AA$6:$AA80)</f>
        <v/>
      </c>
      <c r="AC80">
        <f>IFERROR(INDEX($A$6:$A$1005,MATCH(ROW()-5,$AB$6:$AB$1005,0)),"")</f>
        <v/>
      </c>
    </row>
    <row r="81">
      <c r="A81">
        <f>IF(OR(Entry!$B84="",Entry!$E84="",$E81="نامعتبر"),"",Entry!$E84)</f>
        <v/>
      </c>
      <c r="B81">
        <f>IF($A81="","",LEFT($E81,4)&amp;MID($E81,6,2)&amp;RIGHT($E81,2)&amp;$F81&amp;"|"&amp;"1"&amp;RIGHT("00000"&amp;76,5))</f>
        <v/>
      </c>
      <c r="C81">
        <f>IF($B81="","",COUNTIFS($A$6:$A$1005,$A81,$B$6:$B$1005,"&lt;"&amp;$B81)+COUNTIFS($N$6:$N$2005,$A81,$P$6:$P$2005,"&lt;"&amp;$B81)+1)</f>
        <v/>
      </c>
      <c r="D81">
        <f>IF($C81="","",$A81&amp;"|"&amp;RIGHT("000000"&amp;$C81,6))</f>
        <v/>
      </c>
      <c r="E81">
        <f>IF(Entry!$B84="","",IF(ISNUMBER(Entry!$B84),IF(AND(Entry!$B84&gt;=10000101,Entry!$B84&lt;=99991231),INT(Entry!$B84/10000)&amp;"/"&amp;RIGHT("00"&amp;INT(MOD(Entry!$B84,10000)/100),2)&amp;"/"&amp;RIGHT("00"&amp;MOD(Entry!$B84,100),2),"نامعتبر"),IF(LEN(Entry!$B84)=10,Entry!$B84,"نامعتبر")))</f>
        <v/>
      </c>
      <c r="F81">
        <f>IF(Entry!$B84="","",IF(Entry!$C84="","0000",IF(AND(ISNUMBER(Entry!$C84),Entry!$C84&gt;=0,Entry!$C84&lt;1),RIGHT("00"&amp;HOUR(Entry!$C84),2)&amp;RIGHT("00"&amp;MINUTE(Entry!$C84),2),IFERROR(RIGHT("00"&amp;VALUE(LEFT(Entry!$C84,FIND(":",Entry!$C84)-1)),2)&amp;RIGHT("00"&amp;VALUE(MID(Entry!$C84,FIND(":",Entry!$C84)+1,2)),2),"0000"))))</f>
        <v/>
      </c>
      <c r="G81">
        <f>IF($A81="","",Entry!$G84)</f>
        <v/>
      </c>
      <c r="H81">
        <f>IF($A81="","",IF(Entry!$H84="",0,Entry!$H84))</f>
        <v/>
      </c>
      <c r="I81">
        <f>IF($A81="","",IF(Entry!$I84="",0,Entry!$I84))</f>
        <v/>
      </c>
      <c r="J81">
        <f>IF($A81="","",ROUND($H81*$I81,0))</f>
        <v/>
      </c>
      <c r="K81">
        <f>IF($A81="","",Entry!$D84)</f>
        <v/>
      </c>
      <c r="L81">
        <f>IF($A81="","",Entry!$L84)</f>
        <v/>
      </c>
      <c r="N81">
        <f>IF(OR(Sync!$M81="",$Q81="",$Q81="نامعتبر"),"",Sync!$M81)</f>
        <v/>
      </c>
      <c r="O81">
        <f>IF($N81="","",$Q81)</f>
        <v/>
      </c>
      <c r="P81">
        <f>IF($N81="","",LEFT($Q81,4)&amp;MID($Q81,6,2)&amp;RIGHT($Q81,2)&amp;IF(Sync!$K81="","0000",IF(AND(ISNUMBER(Sync!$K81),Sync!$K81&gt;=0,Sync!$K81&lt;1),RIGHT("00"&amp;HOUR(Sync!$K81),2)&amp;RIGHT("00"&amp;MINUTE(Sync!$K81),2),IFERROR(RIGHT("00"&amp;VALUE(LEFT(Sync!$K81,FIND(":",Sync!$K81)-1)),2)&amp;RIGHT("00"&amp;VALUE(MID(Sync!$K81,FIND(":",Sync!$K81)+1,2)),2),"0000")))&amp;"|"&amp;"2"&amp;RIGHT("00000"&amp;76,5))</f>
        <v/>
      </c>
      <c r="Q81">
        <f>IF(Sync!$J81="","",IF(ISNUMBER(Sync!$J81),IF(AND(Sync!$J81&gt;=10000101,Sync!$J81&lt;=99991231),INT(Sync!$J81/10000)&amp;"/"&amp;RIGHT("00"&amp;INT(MOD(Sync!$J81,10000)/100),2)&amp;"/"&amp;RIGHT("00"&amp;MOD(Sync!$J81,100),2),"نامعتبر"),IF(LEN(Sync!$J81)=10,Sync!$J81,"نامعتبر")))</f>
        <v/>
      </c>
      <c r="R81">
        <f>IF($P81="","",COUNTIFS($N$6:$N$2005,$N81,$P$6:$P$2005,"&lt;"&amp;$P81)+COUNTIFS($A$6:$A$1005,$N81,$B$6:$B$1005,"&lt;"&amp;$P81)+1)</f>
        <v/>
      </c>
      <c r="S81">
        <f>IF($N81="","",$N81&amp;"|"&amp;RIGHT("000000"&amp;$R81,6))</f>
        <v/>
      </c>
      <c r="T81">
        <f>IF($N81="","",IF(Sync!$N81="",0,Sync!$N81))</f>
        <v/>
      </c>
      <c r="U81">
        <f>IF($N81="","",IF(Sync!$O81="",0,Sync!$O81))</f>
        <v/>
      </c>
      <c r="V81">
        <f>IF($N81="","",Sync!$L81)</f>
        <v/>
      </c>
      <c r="W81">
        <f>IF($N81="","",Sync!$P81)</f>
        <v/>
      </c>
      <c r="AA81">
        <f>IF($A81="","",IF(COUNTIF($A$6:$A81,$A81)=1,1,0))</f>
        <v/>
      </c>
      <c r="AB81">
        <f>SUM($AA$6:$AA81)</f>
        <v/>
      </c>
      <c r="AC81">
        <f>IFERROR(INDEX($A$6:$A$1005,MATCH(ROW()-5,$AB$6:$AB$1005,0)),"")</f>
        <v/>
      </c>
    </row>
    <row r="82">
      <c r="A82">
        <f>IF(OR(Entry!$B85="",Entry!$E85="",$E82="نامعتبر"),"",Entry!$E85)</f>
        <v/>
      </c>
      <c r="B82">
        <f>IF($A82="","",LEFT($E82,4)&amp;MID($E82,6,2)&amp;RIGHT($E82,2)&amp;$F82&amp;"|"&amp;"1"&amp;RIGHT("00000"&amp;77,5))</f>
        <v/>
      </c>
      <c r="C82">
        <f>IF($B82="","",COUNTIFS($A$6:$A$1005,$A82,$B$6:$B$1005,"&lt;"&amp;$B82)+COUNTIFS($N$6:$N$2005,$A82,$P$6:$P$2005,"&lt;"&amp;$B82)+1)</f>
        <v/>
      </c>
      <c r="D82">
        <f>IF($C82="","",$A82&amp;"|"&amp;RIGHT("000000"&amp;$C82,6))</f>
        <v/>
      </c>
      <c r="E82">
        <f>IF(Entry!$B85="","",IF(ISNUMBER(Entry!$B85),IF(AND(Entry!$B85&gt;=10000101,Entry!$B85&lt;=99991231),INT(Entry!$B85/10000)&amp;"/"&amp;RIGHT("00"&amp;INT(MOD(Entry!$B85,10000)/100),2)&amp;"/"&amp;RIGHT("00"&amp;MOD(Entry!$B85,100),2),"نامعتبر"),IF(LEN(Entry!$B85)=10,Entry!$B85,"نامعتبر")))</f>
        <v/>
      </c>
      <c r="F82">
        <f>IF(Entry!$B85="","",IF(Entry!$C85="","0000",IF(AND(ISNUMBER(Entry!$C85),Entry!$C85&gt;=0,Entry!$C85&lt;1),RIGHT("00"&amp;HOUR(Entry!$C85),2)&amp;RIGHT("00"&amp;MINUTE(Entry!$C85),2),IFERROR(RIGHT("00"&amp;VALUE(LEFT(Entry!$C85,FIND(":",Entry!$C85)-1)),2)&amp;RIGHT("00"&amp;VALUE(MID(Entry!$C85,FIND(":",Entry!$C85)+1,2)),2),"0000"))))</f>
        <v/>
      </c>
      <c r="G82">
        <f>IF($A82="","",Entry!$G85)</f>
        <v/>
      </c>
      <c r="H82">
        <f>IF($A82="","",IF(Entry!$H85="",0,Entry!$H85))</f>
        <v/>
      </c>
      <c r="I82">
        <f>IF($A82="","",IF(Entry!$I85="",0,Entry!$I85))</f>
        <v/>
      </c>
      <c r="J82">
        <f>IF($A82="","",ROUND($H82*$I82,0))</f>
        <v/>
      </c>
      <c r="K82">
        <f>IF($A82="","",Entry!$D85)</f>
        <v/>
      </c>
      <c r="L82">
        <f>IF($A82="","",Entry!$L85)</f>
        <v/>
      </c>
      <c r="N82">
        <f>IF(OR(Sync!$M82="",$Q82="",$Q82="نامعتبر"),"",Sync!$M82)</f>
        <v/>
      </c>
      <c r="O82">
        <f>IF($N82="","",$Q82)</f>
        <v/>
      </c>
      <c r="P82">
        <f>IF($N82="","",LEFT($Q82,4)&amp;MID($Q82,6,2)&amp;RIGHT($Q82,2)&amp;IF(Sync!$K82="","0000",IF(AND(ISNUMBER(Sync!$K82),Sync!$K82&gt;=0,Sync!$K82&lt;1),RIGHT("00"&amp;HOUR(Sync!$K82),2)&amp;RIGHT("00"&amp;MINUTE(Sync!$K82),2),IFERROR(RIGHT("00"&amp;VALUE(LEFT(Sync!$K82,FIND(":",Sync!$K82)-1)),2)&amp;RIGHT("00"&amp;VALUE(MID(Sync!$K82,FIND(":",Sync!$K82)+1,2)),2),"0000")))&amp;"|"&amp;"2"&amp;RIGHT("00000"&amp;77,5))</f>
        <v/>
      </c>
      <c r="Q82">
        <f>IF(Sync!$J82="","",IF(ISNUMBER(Sync!$J82),IF(AND(Sync!$J82&gt;=10000101,Sync!$J82&lt;=99991231),INT(Sync!$J82/10000)&amp;"/"&amp;RIGHT("00"&amp;INT(MOD(Sync!$J82,10000)/100),2)&amp;"/"&amp;RIGHT("00"&amp;MOD(Sync!$J82,100),2),"نامعتبر"),IF(LEN(Sync!$J82)=10,Sync!$J82,"نامعتبر")))</f>
        <v/>
      </c>
      <c r="R82">
        <f>IF($P82="","",COUNTIFS($N$6:$N$2005,$N82,$P$6:$P$2005,"&lt;"&amp;$P82)+COUNTIFS($A$6:$A$1005,$N82,$B$6:$B$1005,"&lt;"&amp;$P82)+1)</f>
        <v/>
      </c>
      <c r="S82">
        <f>IF($N82="","",$N82&amp;"|"&amp;RIGHT("000000"&amp;$R82,6))</f>
        <v/>
      </c>
      <c r="T82">
        <f>IF($N82="","",IF(Sync!$N82="",0,Sync!$N82))</f>
        <v/>
      </c>
      <c r="U82">
        <f>IF($N82="","",IF(Sync!$O82="",0,Sync!$O82))</f>
        <v/>
      </c>
      <c r="V82">
        <f>IF($N82="","",Sync!$L82)</f>
        <v/>
      </c>
      <c r="W82">
        <f>IF($N82="","",Sync!$P82)</f>
        <v/>
      </c>
      <c r="AA82">
        <f>IF($A82="","",IF(COUNTIF($A$6:$A82,$A82)=1,1,0))</f>
        <v/>
      </c>
      <c r="AB82">
        <f>SUM($AA$6:$AA82)</f>
        <v/>
      </c>
      <c r="AC82">
        <f>IFERROR(INDEX($A$6:$A$1005,MATCH(ROW()-5,$AB$6:$AB$1005,0)),"")</f>
        <v/>
      </c>
    </row>
    <row r="83">
      <c r="A83">
        <f>IF(OR(Entry!$B86="",Entry!$E86="",$E83="نامعتبر"),"",Entry!$E86)</f>
        <v/>
      </c>
      <c r="B83">
        <f>IF($A83="","",LEFT($E83,4)&amp;MID($E83,6,2)&amp;RIGHT($E83,2)&amp;$F83&amp;"|"&amp;"1"&amp;RIGHT("00000"&amp;78,5))</f>
        <v/>
      </c>
      <c r="C83">
        <f>IF($B83="","",COUNTIFS($A$6:$A$1005,$A83,$B$6:$B$1005,"&lt;"&amp;$B83)+COUNTIFS($N$6:$N$2005,$A83,$P$6:$P$2005,"&lt;"&amp;$B83)+1)</f>
        <v/>
      </c>
      <c r="D83">
        <f>IF($C83="","",$A83&amp;"|"&amp;RIGHT("000000"&amp;$C83,6))</f>
        <v/>
      </c>
      <c r="E83">
        <f>IF(Entry!$B86="","",IF(ISNUMBER(Entry!$B86),IF(AND(Entry!$B86&gt;=10000101,Entry!$B86&lt;=99991231),INT(Entry!$B86/10000)&amp;"/"&amp;RIGHT("00"&amp;INT(MOD(Entry!$B86,10000)/100),2)&amp;"/"&amp;RIGHT("00"&amp;MOD(Entry!$B86,100),2),"نامعتبر"),IF(LEN(Entry!$B86)=10,Entry!$B86,"نامعتبر")))</f>
        <v/>
      </c>
      <c r="F83">
        <f>IF(Entry!$B86="","",IF(Entry!$C86="","0000",IF(AND(ISNUMBER(Entry!$C86),Entry!$C86&gt;=0,Entry!$C86&lt;1),RIGHT("00"&amp;HOUR(Entry!$C86),2)&amp;RIGHT("00"&amp;MINUTE(Entry!$C86),2),IFERROR(RIGHT("00"&amp;VALUE(LEFT(Entry!$C86,FIND(":",Entry!$C86)-1)),2)&amp;RIGHT("00"&amp;VALUE(MID(Entry!$C86,FIND(":",Entry!$C86)+1,2)),2),"0000"))))</f>
        <v/>
      </c>
      <c r="G83">
        <f>IF($A83="","",Entry!$G86)</f>
        <v/>
      </c>
      <c r="H83">
        <f>IF($A83="","",IF(Entry!$H86="",0,Entry!$H86))</f>
        <v/>
      </c>
      <c r="I83">
        <f>IF($A83="","",IF(Entry!$I86="",0,Entry!$I86))</f>
        <v/>
      </c>
      <c r="J83">
        <f>IF($A83="","",ROUND($H83*$I83,0))</f>
        <v/>
      </c>
      <c r="K83">
        <f>IF($A83="","",Entry!$D86)</f>
        <v/>
      </c>
      <c r="L83">
        <f>IF($A83="","",Entry!$L86)</f>
        <v/>
      </c>
      <c r="N83">
        <f>IF(OR(Sync!$M83="",$Q83="",$Q83="نامعتبر"),"",Sync!$M83)</f>
        <v/>
      </c>
      <c r="O83">
        <f>IF($N83="","",$Q83)</f>
        <v/>
      </c>
      <c r="P83">
        <f>IF($N83="","",LEFT($Q83,4)&amp;MID($Q83,6,2)&amp;RIGHT($Q83,2)&amp;IF(Sync!$K83="","0000",IF(AND(ISNUMBER(Sync!$K83),Sync!$K83&gt;=0,Sync!$K83&lt;1),RIGHT("00"&amp;HOUR(Sync!$K83),2)&amp;RIGHT("00"&amp;MINUTE(Sync!$K83),2),IFERROR(RIGHT("00"&amp;VALUE(LEFT(Sync!$K83,FIND(":",Sync!$K83)-1)),2)&amp;RIGHT("00"&amp;VALUE(MID(Sync!$K83,FIND(":",Sync!$K83)+1,2)),2),"0000")))&amp;"|"&amp;"2"&amp;RIGHT("00000"&amp;78,5))</f>
        <v/>
      </c>
      <c r="Q83">
        <f>IF(Sync!$J83="","",IF(ISNUMBER(Sync!$J83),IF(AND(Sync!$J83&gt;=10000101,Sync!$J83&lt;=99991231),INT(Sync!$J83/10000)&amp;"/"&amp;RIGHT("00"&amp;INT(MOD(Sync!$J83,10000)/100),2)&amp;"/"&amp;RIGHT("00"&amp;MOD(Sync!$J83,100),2),"نامعتبر"),IF(LEN(Sync!$J83)=10,Sync!$J83,"نامعتبر")))</f>
        <v/>
      </c>
      <c r="R83">
        <f>IF($P83="","",COUNTIFS($N$6:$N$2005,$N83,$P$6:$P$2005,"&lt;"&amp;$P83)+COUNTIFS($A$6:$A$1005,$N83,$B$6:$B$1005,"&lt;"&amp;$P83)+1)</f>
        <v/>
      </c>
      <c r="S83">
        <f>IF($N83="","",$N83&amp;"|"&amp;RIGHT("000000"&amp;$R83,6))</f>
        <v/>
      </c>
      <c r="T83">
        <f>IF($N83="","",IF(Sync!$N83="",0,Sync!$N83))</f>
        <v/>
      </c>
      <c r="U83">
        <f>IF($N83="","",IF(Sync!$O83="",0,Sync!$O83))</f>
        <v/>
      </c>
      <c r="V83">
        <f>IF($N83="","",Sync!$L83)</f>
        <v/>
      </c>
      <c r="W83">
        <f>IF($N83="","",Sync!$P83)</f>
        <v/>
      </c>
      <c r="AA83">
        <f>IF($A83="","",IF(COUNTIF($A$6:$A83,$A83)=1,1,0))</f>
        <v/>
      </c>
      <c r="AB83">
        <f>SUM($AA$6:$AA83)</f>
        <v/>
      </c>
      <c r="AC83">
        <f>IFERROR(INDEX($A$6:$A$1005,MATCH(ROW()-5,$AB$6:$AB$1005,0)),"")</f>
        <v/>
      </c>
    </row>
    <row r="84">
      <c r="A84">
        <f>IF(OR(Entry!$B87="",Entry!$E87="",$E84="نامعتبر"),"",Entry!$E87)</f>
        <v/>
      </c>
      <c r="B84">
        <f>IF($A84="","",LEFT($E84,4)&amp;MID($E84,6,2)&amp;RIGHT($E84,2)&amp;$F84&amp;"|"&amp;"1"&amp;RIGHT("00000"&amp;79,5))</f>
        <v/>
      </c>
      <c r="C84">
        <f>IF($B84="","",COUNTIFS($A$6:$A$1005,$A84,$B$6:$B$1005,"&lt;"&amp;$B84)+COUNTIFS($N$6:$N$2005,$A84,$P$6:$P$2005,"&lt;"&amp;$B84)+1)</f>
        <v/>
      </c>
      <c r="D84">
        <f>IF($C84="","",$A84&amp;"|"&amp;RIGHT("000000"&amp;$C84,6))</f>
        <v/>
      </c>
      <c r="E84">
        <f>IF(Entry!$B87="","",IF(ISNUMBER(Entry!$B87),IF(AND(Entry!$B87&gt;=10000101,Entry!$B87&lt;=99991231),INT(Entry!$B87/10000)&amp;"/"&amp;RIGHT("00"&amp;INT(MOD(Entry!$B87,10000)/100),2)&amp;"/"&amp;RIGHT("00"&amp;MOD(Entry!$B87,100),2),"نامعتبر"),IF(LEN(Entry!$B87)=10,Entry!$B87,"نامعتبر")))</f>
        <v/>
      </c>
      <c r="F84">
        <f>IF(Entry!$B87="","",IF(Entry!$C87="","0000",IF(AND(ISNUMBER(Entry!$C87),Entry!$C87&gt;=0,Entry!$C87&lt;1),RIGHT("00"&amp;HOUR(Entry!$C87),2)&amp;RIGHT("00"&amp;MINUTE(Entry!$C87),2),IFERROR(RIGHT("00"&amp;VALUE(LEFT(Entry!$C87,FIND(":",Entry!$C87)-1)),2)&amp;RIGHT("00"&amp;VALUE(MID(Entry!$C87,FIND(":",Entry!$C87)+1,2)),2),"0000"))))</f>
        <v/>
      </c>
      <c r="G84">
        <f>IF($A84="","",Entry!$G87)</f>
        <v/>
      </c>
      <c r="H84">
        <f>IF($A84="","",IF(Entry!$H87="",0,Entry!$H87))</f>
        <v/>
      </c>
      <c r="I84">
        <f>IF($A84="","",IF(Entry!$I87="",0,Entry!$I87))</f>
        <v/>
      </c>
      <c r="J84">
        <f>IF($A84="","",ROUND($H84*$I84,0))</f>
        <v/>
      </c>
      <c r="K84">
        <f>IF($A84="","",Entry!$D87)</f>
        <v/>
      </c>
      <c r="L84">
        <f>IF($A84="","",Entry!$L87)</f>
        <v/>
      </c>
      <c r="N84">
        <f>IF(OR(Sync!$M84="",$Q84="",$Q84="نامعتبر"),"",Sync!$M84)</f>
        <v/>
      </c>
      <c r="O84">
        <f>IF($N84="","",$Q84)</f>
        <v/>
      </c>
      <c r="P84">
        <f>IF($N84="","",LEFT($Q84,4)&amp;MID($Q84,6,2)&amp;RIGHT($Q84,2)&amp;IF(Sync!$K84="","0000",IF(AND(ISNUMBER(Sync!$K84),Sync!$K84&gt;=0,Sync!$K84&lt;1),RIGHT("00"&amp;HOUR(Sync!$K84),2)&amp;RIGHT("00"&amp;MINUTE(Sync!$K84),2),IFERROR(RIGHT("00"&amp;VALUE(LEFT(Sync!$K84,FIND(":",Sync!$K84)-1)),2)&amp;RIGHT("00"&amp;VALUE(MID(Sync!$K84,FIND(":",Sync!$K84)+1,2)),2),"0000")))&amp;"|"&amp;"2"&amp;RIGHT("00000"&amp;79,5))</f>
        <v/>
      </c>
      <c r="Q84">
        <f>IF(Sync!$J84="","",IF(ISNUMBER(Sync!$J84),IF(AND(Sync!$J84&gt;=10000101,Sync!$J84&lt;=99991231),INT(Sync!$J84/10000)&amp;"/"&amp;RIGHT("00"&amp;INT(MOD(Sync!$J84,10000)/100),2)&amp;"/"&amp;RIGHT("00"&amp;MOD(Sync!$J84,100),2),"نامعتبر"),IF(LEN(Sync!$J84)=10,Sync!$J84,"نامعتبر")))</f>
        <v/>
      </c>
      <c r="R84">
        <f>IF($P84="","",COUNTIFS($N$6:$N$2005,$N84,$P$6:$P$2005,"&lt;"&amp;$P84)+COUNTIFS($A$6:$A$1005,$N84,$B$6:$B$1005,"&lt;"&amp;$P84)+1)</f>
        <v/>
      </c>
      <c r="S84">
        <f>IF($N84="","",$N84&amp;"|"&amp;RIGHT("000000"&amp;$R84,6))</f>
        <v/>
      </c>
      <c r="T84">
        <f>IF($N84="","",IF(Sync!$N84="",0,Sync!$N84))</f>
        <v/>
      </c>
      <c r="U84">
        <f>IF($N84="","",IF(Sync!$O84="",0,Sync!$O84))</f>
        <v/>
      </c>
      <c r="V84">
        <f>IF($N84="","",Sync!$L84)</f>
        <v/>
      </c>
      <c r="W84">
        <f>IF($N84="","",Sync!$P84)</f>
        <v/>
      </c>
      <c r="AA84">
        <f>IF($A84="","",IF(COUNTIF($A$6:$A84,$A84)=1,1,0))</f>
        <v/>
      </c>
      <c r="AB84">
        <f>SUM($AA$6:$AA84)</f>
        <v/>
      </c>
      <c r="AC84">
        <f>IFERROR(INDEX($A$6:$A$1005,MATCH(ROW()-5,$AB$6:$AB$1005,0)),"")</f>
        <v/>
      </c>
    </row>
    <row r="85">
      <c r="A85">
        <f>IF(OR(Entry!$B88="",Entry!$E88="",$E85="نامعتبر"),"",Entry!$E88)</f>
        <v/>
      </c>
      <c r="B85">
        <f>IF($A85="","",LEFT($E85,4)&amp;MID($E85,6,2)&amp;RIGHT($E85,2)&amp;$F85&amp;"|"&amp;"1"&amp;RIGHT("00000"&amp;80,5))</f>
        <v/>
      </c>
      <c r="C85">
        <f>IF($B85="","",COUNTIFS($A$6:$A$1005,$A85,$B$6:$B$1005,"&lt;"&amp;$B85)+COUNTIFS($N$6:$N$2005,$A85,$P$6:$P$2005,"&lt;"&amp;$B85)+1)</f>
        <v/>
      </c>
      <c r="D85">
        <f>IF($C85="","",$A85&amp;"|"&amp;RIGHT("000000"&amp;$C85,6))</f>
        <v/>
      </c>
      <c r="E85">
        <f>IF(Entry!$B88="","",IF(ISNUMBER(Entry!$B88),IF(AND(Entry!$B88&gt;=10000101,Entry!$B88&lt;=99991231),INT(Entry!$B88/10000)&amp;"/"&amp;RIGHT("00"&amp;INT(MOD(Entry!$B88,10000)/100),2)&amp;"/"&amp;RIGHT("00"&amp;MOD(Entry!$B88,100),2),"نامعتبر"),IF(LEN(Entry!$B88)=10,Entry!$B88,"نامعتبر")))</f>
        <v/>
      </c>
      <c r="F85">
        <f>IF(Entry!$B88="","",IF(Entry!$C88="","0000",IF(AND(ISNUMBER(Entry!$C88),Entry!$C88&gt;=0,Entry!$C88&lt;1),RIGHT("00"&amp;HOUR(Entry!$C88),2)&amp;RIGHT("00"&amp;MINUTE(Entry!$C88),2),IFERROR(RIGHT("00"&amp;VALUE(LEFT(Entry!$C88,FIND(":",Entry!$C88)-1)),2)&amp;RIGHT("00"&amp;VALUE(MID(Entry!$C88,FIND(":",Entry!$C88)+1,2)),2),"0000"))))</f>
        <v/>
      </c>
      <c r="G85">
        <f>IF($A85="","",Entry!$G88)</f>
        <v/>
      </c>
      <c r="H85">
        <f>IF($A85="","",IF(Entry!$H88="",0,Entry!$H88))</f>
        <v/>
      </c>
      <c r="I85">
        <f>IF($A85="","",IF(Entry!$I88="",0,Entry!$I88))</f>
        <v/>
      </c>
      <c r="J85">
        <f>IF($A85="","",ROUND($H85*$I85,0))</f>
        <v/>
      </c>
      <c r="K85">
        <f>IF($A85="","",Entry!$D88)</f>
        <v/>
      </c>
      <c r="L85">
        <f>IF($A85="","",Entry!$L88)</f>
        <v/>
      </c>
      <c r="N85">
        <f>IF(OR(Sync!$M85="",$Q85="",$Q85="نامعتبر"),"",Sync!$M85)</f>
        <v/>
      </c>
      <c r="O85">
        <f>IF($N85="","",$Q85)</f>
        <v/>
      </c>
      <c r="P85">
        <f>IF($N85="","",LEFT($Q85,4)&amp;MID($Q85,6,2)&amp;RIGHT($Q85,2)&amp;IF(Sync!$K85="","0000",IF(AND(ISNUMBER(Sync!$K85),Sync!$K85&gt;=0,Sync!$K85&lt;1),RIGHT("00"&amp;HOUR(Sync!$K85),2)&amp;RIGHT("00"&amp;MINUTE(Sync!$K85),2),IFERROR(RIGHT("00"&amp;VALUE(LEFT(Sync!$K85,FIND(":",Sync!$K85)-1)),2)&amp;RIGHT("00"&amp;VALUE(MID(Sync!$K85,FIND(":",Sync!$K85)+1,2)),2),"0000")))&amp;"|"&amp;"2"&amp;RIGHT("00000"&amp;80,5))</f>
        <v/>
      </c>
      <c r="Q85">
        <f>IF(Sync!$J85="","",IF(ISNUMBER(Sync!$J85),IF(AND(Sync!$J85&gt;=10000101,Sync!$J85&lt;=99991231),INT(Sync!$J85/10000)&amp;"/"&amp;RIGHT("00"&amp;INT(MOD(Sync!$J85,10000)/100),2)&amp;"/"&amp;RIGHT("00"&amp;MOD(Sync!$J85,100),2),"نامعتبر"),IF(LEN(Sync!$J85)=10,Sync!$J85,"نامعتبر")))</f>
        <v/>
      </c>
      <c r="R85">
        <f>IF($P85="","",COUNTIFS($N$6:$N$2005,$N85,$P$6:$P$2005,"&lt;"&amp;$P85)+COUNTIFS($A$6:$A$1005,$N85,$B$6:$B$1005,"&lt;"&amp;$P85)+1)</f>
        <v/>
      </c>
      <c r="S85">
        <f>IF($N85="","",$N85&amp;"|"&amp;RIGHT("000000"&amp;$R85,6))</f>
        <v/>
      </c>
      <c r="T85">
        <f>IF($N85="","",IF(Sync!$N85="",0,Sync!$N85))</f>
        <v/>
      </c>
      <c r="U85">
        <f>IF($N85="","",IF(Sync!$O85="",0,Sync!$O85))</f>
        <v/>
      </c>
      <c r="V85">
        <f>IF($N85="","",Sync!$L85)</f>
        <v/>
      </c>
      <c r="W85">
        <f>IF($N85="","",Sync!$P85)</f>
        <v/>
      </c>
      <c r="AA85">
        <f>IF($A85="","",IF(COUNTIF($A$6:$A85,$A85)=1,1,0))</f>
        <v/>
      </c>
      <c r="AB85">
        <f>SUM($AA$6:$AA85)</f>
        <v/>
      </c>
      <c r="AC85">
        <f>IFERROR(INDEX($A$6:$A$1005,MATCH(ROW()-5,$AB$6:$AB$1005,0)),"")</f>
        <v/>
      </c>
    </row>
    <row r="86">
      <c r="A86">
        <f>IF(OR(Entry!$B89="",Entry!$E89="",$E86="نامعتبر"),"",Entry!$E89)</f>
        <v/>
      </c>
      <c r="B86">
        <f>IF($A86="","",LEFT($E86,4)&amp;MID($E86,6,2)&amp;RIGHT($E86,2)&amp;$F86&amp;"|"&amp;"1"&amp;RIGHT("00000"&amp;81,5))</f>
        <v/>
      </c>
      <c r="C86">
        <f>IF($B86="","",COUNTIFS($A$6:$A$1005,$A86,$B$6:$B$1005,"&lt;"&amp;$B86)+COUNTIFS($N$6:$N$2005,$A86,$P$6:$P$2005,"&lt;"&amp;$B86)+1)</f>
        <v/>
      </c>
      <c r="D86">
        <f>IF($C86="","",$A86&amp;"|"&amp;RIGHT("000000"&amp;$C86,6))</f>
        <v/>
      </c>
      <c r="E86">
        <f>IF(Entry!$B89="","",IF(ISNUMBER(Entry!$B89),IF(AND(Entry!$B89&gt;=10000101,Entry!$B89&lt;=99991231),INT(Entry!$B89/10000)&amp;"/"&amp;RIGHT("00"&amp;INT(MOD(Entry!$B89,10000)/100),2)&amp;"/"&amp;RIGHT("00"&amp;MOD(Entry!$B89,100),2),"نامعتبر"),IF(LEN(Entry!$B89)=10,Entry!$B89,"نامعتبر")))</f>
        <v/>
      </c>
      <c r="F86">
        <f>IF(Entry!$B89="","",IF(Entry!$C89="","0000",IF(AND(ISNUMBER(Entry!$C89),Entry!$C89&gt;=0,Entry!$C89&lt;1),RIGHT("00"&amp;HOUR(Entry!$C89),2)&amp;RIGHT("00"&amp;MINUTE(Entry!$C89),2),IFERROR(RIGHT("00"&amp;VALUE(LEFT(Entry!$C89,FIND(":",Entry!$C89)-1)),2)&amp;RIGHT("00"&amp;VALUE(MID(Entry!$C89,FIND(":",Entry!$C89)+1,2)),2),"0000"))))</f>
        <v/>
      </c>
      <c r="G86">
        <f>IF($A86="","",Entry!$G89)</f>
        <v/>
      </c>
      <c r="H86">
        <f>IF($A86="","",IF(Entry!$H89="",0,Entry!$H89))</f>
        <v/>
      </c>
      <c r="I86">
        <f>IF($A86="","",IF(Entry!$I89="",0,Entry!$I89))</f>
        <v/>
      </c>
      <c r="J86">
        <f>IF($A86="","",ROUND($H86*$I86,0))</f>
        <v/>
      </c>
      <c r="K86">
        <f>IF($A86="","",Entry!$D89)</f>
        <v/>
      </c>
      <c r="L86">
        <f>IF($A86="","",Entry!$L89)</f>
        <v/>
      </c>
      <c r="N86">
        <f>IF(OR(Sync!$M86="",$Q86="",$Q86="نامعتبر"),"",Sync!$M86)</f>
        <v/>
      </c>
      <c r="O86">
        <f>IF($N86="","",$Q86)</f>
        <v/>
      </c>
      <c r="P86">
        <f>IF($N86="","",LEFT($Q86,4)&amp;MID($Q86,6,2)&amp;RIGHT($Q86,2)&amp;IF(Sync!$K86="","0000",IF(AND(ISNUMBER(Sync!$K86),Sync!$K86&gt;=0,Sync!$K86&lt;1),RIGHT("00"&amp;HOUR(Sync!$K86),2)&amp;RIGHT("00"&amp;MINUTE(Sync!$K86),2),IFERROR(RIGHT("00"&amp;VALUE(LEFT(Sync!$K86,FIND(":",Sync!$K86)-1)),2)&amp;RIGHT("00"&amp;VALUE(MID(Sync!$K86,FIND(":",Sync!$K86)+1,2)),2),"0000")))&amp;"|"&amp;"2"&amp;RIGHT("00000"&amp;81,5))</f>
        <v/>
      </c>
      <c r="Q86">
        <f>IF(Sync!$J86="","",IF(ISNUMBER(Sync!$J86),IF(AND(Sync!$J86&gt;=10000101,Sync!$J86&lt;=99991231),INT(Sync!$J86/10000)&amp;"/"&amp;RIGHT("00"&amp;INT(MOD(Sync!$J86,10000)/100),2)&amp;"/"&amp;RIGHT("00"&amp;MOD(Sync!$J86,100),2),"نامعتبر"),IF(LEN(Sync!$J86)=10,Sync!$J86,"نامعتبر")))</f>
        <v/>
      </c>
      <c r="R86">
        <f>IF($P86="","",COUNTIFS($N$6:$N$2005,$N86,$P$6:$P$2005,"&lt;"&amp;$P86)+COUNTIFS($A$6:$A$1005,$N86,$B$6:$B$1005,"&lt;"&amp;$P86)+1)</f>
        <v/>
      </c>
      <c r="S86">
        <f>IF($N86="","",$N86&amp;"|"&amp;RIGHT("000000"&amp;$R86,6))</f>
        <v/>
      </c>
      <c r="T86">
        <f>IF($N86="","",IF(Sync!$N86="",0,Sync!$N86))</f>
        <v/>
      </c>
      <c r="U86">
        <f>IF($N86="","",IF(Sync!$O86="",0,Sync!$O86))</f>
        <v/>
      </c>
      <c r="V86">
        <f>IF($N86="","",Sync!$L86)</f>
        <v/>
      </c>
      <c r="W86">
        <f>IF($N86="","",Sync!$P86)</f>
        <v/>
      </c>
      <c r="AA86">
        <f>IF($A86="","",IF(COUNTIF($A$6:$A86,$A86)=1,1,0))</f>
        <v/>
      </c>
      <c r="AB86">
        <f>SUM($AA$6:$AA86)</f>
        <v/>
      </c>
      <c r="AC86">
        <f>IFERROR(INDEX($A$6:$A$1005,MATCH(ROW()-5,$AB$6:$AB$1005,0)),"")</f>
        <v/>
      </c>
    </row>
    <row r="87">
      <c r="A87">
        <f>IF(OR(Entry!$B90="",Entry!$E90="",$E87="نامعتبر"),"",Entry!$E90)</f>
        <v/>
      </c>
      <c r="B87">
        <f>IF($A87="","",LEFT($E87,4)&amp;MID($E87,6,2)&amp;RIGHT($E87,2)&amp;$F87&amp;"|"&amp;"1"&amp;RIGHT("00000"&amp;82,5))</f>
        <v/>
      </c>
      <c r="C87">
        <f>IF($B87="","",COUNTIFS($A$6:$A$1005,$A87,$B$6:$B$1005,"&lt;"&amp;$B87)+COUNTIFS($N$6:$N$2005,$A87,$P$6:$P$2005,"&lt;"&amp;$B87)+1)</f>
        <v/>
      </c>
      <c r="D87">
        <f>IF($C87="","",$A87&amp;"|"&amp;RIGHT("000000"&amp;$C87,6))</f>
        <v/>
      </c>
      <c r="E87">
        <f>IF(Entry!$B90="","",IF(ISNUMBER(Entry!$B90),IF(AND(Entry!$B90&gt;=10000101,Entry!$B90&lt;=99991231),INT(Entry!$B90/10000)&amp;"/"&amp;RIGHT("00"&amp;INT(MOD(Entry!$B90,10000)/100),2)&amp;"/"&amp;RIGHT("00"&amp;MOD(Entry!$B90,100),2),"نامعتبر"),IF(LEN(Entry!$B90)=10,Entry!$B90,"نامعتبر")))</f>
        <v/>
      </c>
      <c r="F87">
        <f>IF(Entry!$B90="","",IF(Entry!$C90="","0000",IF(AND(ISNUMBER(Entry!$C90),Entry!$C90&gt;=0,Entry!$C90&lt;1),RIGHT("00"&amp;HOUR(Entry!$C90),2)&amp;RIGHT("00"&amp;MINUTE(Entry!$C90),2),IFERROR(RIGHT("00"&amp;VALUE(LEFT(Entry!$C90,FIND(":",Entry!$C90)-1)),2)&amp;RIGHT("00"&amp;VALUE(MID(Entry!$C90,FIND(":",Entry!$C90)+1,2)),2),"0000"))))</f>
        <v/>
      </c>
      <c r="G87">
        <f>IF($A87="","",Entry!$G90)</f>
        <v/>
      </c>
      <c r="H87">
        <f>IF($A87="","",IF(Entry!$H90="",0,Entry!$H90))</f>
        <v/>
      </c>
      <c r="I87">
        <f>IF($A87="","",IF(Entry!$I90="",0,Entry!$I90))</f>
        <v/>
      </c>
      <c r="J87">
        <f>IF($A87="","",ROUND($H87*$I87,0))</f>
        <v/>
      </c>
      <c r="K87">
        <f>IF($A87="","",Entry!$D90)</f>
        <v/>
      </c>
      <c r="L87">
        <f>IF($A87="","",Entry!$L90)</f>
        <v/>
      </c>
      <c r="N87">
        <f>IF(OR(Sync!$M87="",$Q87="",$Q87="نامعتبر"),"",Sync!$M87)</f>
        <v/>
      </c>
      <c r="O87">
        <f>IF($N87="","",$Q87)</f>
        <v/>
      </c>
      <c r="P87">
        <f>IF($N87="","",LEFT($Q87,4)&amp;MID($Q87,6,2)&amp;RIGHT($Q87,2)&amp;IF(Sync!$K87="","0000",IF(AND(ISNUMBER(Sync!$K87),Sync!$K87&gt;=0,Sync!$K87&lt;1),RIGHT("00"&amp;HOUR(Sync!$K87),2)&amp;RIGHT("00"&amp;MINUTE(Sync!$K87),2),IFERROR(RIGHT("00"&amp;VALUE(LEFT(Sync!$K87,FIND(":",Sync!$K87)-1)),2)&amp;RIGHT("00"&amp;VALUE(MID(Sync!$K87,FIND(":",Sync!$K87)+1,2)),2),"0000")))&amp;"|"&amp;"2"&amp;RIGHT("00000"&amp;82,5))</f>
        <v/>
      </c>
      <c r="Q87">
        <f>IF(Sync!$J87="","",IF(ISNUMBER(Sync!$J87),IF(AND(Sync!$J87&gt;=10000101,Sync!$J87&lt;=99991231),INT(Sync!$J87/10000)&amp;"/"&amp;RIGHT("00"&amp;INT(MOD(Sync!$J87,10000)/100),2)&amp;"/"&amp;RIGHT("00"&amp;MOD(Sync!$J87,100),2),"نامعتبر"),IF(LEN(Sync!$J87)=10,Sync!$J87,"نامعتبر")))</f>
        <v/>
      </c>
      <c r="R87">
        <f>IF($P87="","",COUNTIFS($N$6:$N$2005,$N87,$P$6:$P$2005,"&lt;"&amp;$P87)+COUNTIFS($A$6:$A$1005,$N87,$B$6:$B$1005,"&lt;"&amp;$P87)+1)</f>
        <v/>
      </c>
      <c r="S87">
        <f>IF($N87="","",$N87&amp;"|"&amp;RIGHT("000000"&amp;$R87,6))</f>
        <v/>
      </c>
      <c r="T87">
        <f>IF($N87="","",IF(Sync!$N87="",0,Sync!$N87))</f>
        <v/>
      </c>
      <c r="U87">
        <f>IF($N87="","",IF(Sync!$O87="",0,Sync!$O87))</f>
        <v/>
      </c>
      <c r="V87">
        <f>IF($N87="","",Sync!$L87)</f>
        <v/>
      </c>
      <c r="W87">
        <f>IF($N87="","",Sync!$P87)</f>
        <v/>
      </c>
      <c r="AA87">
        <f>IF($A87="","",IF(COUNTIF($A$6:$A87,$A87)=1,1,0))</f>
        <v/>
      </c>
      <c r="AB87">
        <f>SUM($AA$6:$AA87)</f>
        <v/>
      </c>
      <c r="AC87">
        <f>IFERROR(INDEX($A$6:$A$1005,MATCH(ROW()-5,$AB$6:$AB$1005,0)),"")</f>
        <v/>
      </c>
    </row>
    <row r="88">
      <c r="A88">
        <f>IF(OR(Entry!$B91="",Entry!$E91="",$E88="نامعتبر"),"",Entry!$E91)</f>
        <v/>
      </c>
      <c r="B88">
        <f>IF($A88="","",LEFT($E88,4)&amp;MID($E88,6,2)&amp;RIGHT($E88,2)&amp;$F88&amp;"|"&amp;"1"&amp;RIGHT("00000"&amp;83,5))</f>
        <v/>
      </c>
      <c r="C88">
        <f>IF($B88="","",COUNTIFS($A$6:$A$1005,$A88,$B$6:$B$1005,"&lt;"&amp;$B88)+COUNTIFS($N$6:$N$2005,$A88,$P$6:$P$2005,"&lt;"&amp;$B88)+1)</f>
        <v/>
      </c>
      <c r="D88">
        <f>IF($C88="","",$A88&amp;"|"&amp;RIGHT("000000"&amp;$C88,6))</f>
        <v/>
      </c>
      <c r="E88">
        <f>IF(Entry!$B91="","",IF(ISNUMBER(Entry!$B91),IF(AND(Entry!$B91&gt;=10000101,Entry!$B91&lt;=99991231),INT(Entry!$B91/10000)&amp;"/"&amp;RIGHT("00"&amp;INT(MOD(Entry!$B91,10000)/100),2)&amp;"/"&amp;RIGHT("00"&amp;MOD(Entry!$B91,100),2),"نامعتبر"),IF(LEN(Entry!$B91)=10,Entry!$B91,"نامعتبر")))</f>
        <v/>
      </c>
      <c r="F88">
        <f>IF(Entry!$B91="","",IF(Entry!$C91="","0000",IF(AND(ISNUMBER(Entry!$C91),Entry!$C91&gt;=0,Entry!$C91&lt;1),RIGHT("00"&amp;HOUR(Entry!$C91),2)&amp;RIGHT("00"&amp;MINUTE(Entry!$C91),2),IFERROR(RIGHT("00"&amp;VALUE(LEFT(Entry!$C91,FIND(":",Entry!$C91)-1)),2)&amp;RIGHT("00"&amp;VALUE(MID(Entry!$C91,FIND(":",Entry!$C91)+1,2)),2),"0000"))))</f>
        <v/>
      </c>
      <c r="G88">
        <f>IF($A88="","",Entry!$G91)</f>
        <v/>
      </c>
      <c r="H88">
        <f>IF($A88="","",IF(Entry!$H91="",0,Entry!$H91))</f>
        <v/>
      </c>
      <c r="I88">
        <f>IF($A88="","",IF(Entry!$I91="",0,Entry!$I91))</f>
        <v/>
      </c>
      <c r="J88">
        <f>IF($A88="","",ROUND($H88*$I88,0))</f>
        <v/>
      </c>
      <c r="K88">
        <f>IF($A88="","",Entry!$D91)</f>
        <v/>
      </c>
      <c r="L88">
        <f>IF($A88="","",Entry!$L91)</f>
        <v/>
      </c>
      <c r="N88">
        <f>IF(OR(Sync!$M88="",$Q88="",$Q88="نامعتبر"),"",Sync!$M88)</f>
        <v/>
      </c>
      <c r="O88">
        <f>IF($N88="","",$Q88)</f>
        <v/>
      </c>
      <c r="P88">
        <f>IF($N88="","",LEFT($Q88,4)&amp;MID($Q88,6,2)&amp;RIGHT($Q88,2)&amp;IF(Sync!$K88="","0000",IF(AND(ISNUMBER(Sync!$K88),Sync!$K88&gt;=0,Sync!$K88&lt;1),RIGHT("00"&amp;HOUR(Sync!$K88),2)&amp;RIGHT("00"&amp;MINUTE(Sync!$K88),2),IFERROR(RIGHT("00"&amp;VALUE(LEFT(Sync!$K88,FIND(":",Sync!$K88)-1)),2)&amp;RIGHT("00"&amp;VALUE(MID(Sync!$K88,FIND(":",Sync!$K88)+1,2)),2),"0000")))&amp;"|"&amp;"2"&amp;RIGHT("00000"&amp;83,5))</f>
        <v/>
      </c>
      <c r="Q88">
        <f>IF(Sync!$J88="","",IF(ISNUMBER(Sync!$J88),IF(AND(Sync!$J88&gt;=10000101,Sync!$J88&lt;=99991231),INT(Sync!$J88/10000)&amp;"/"&amp;RIGHT("00"&amp;INT(MOD(Sync!$J88,10000)/100),2)&amp;"/"&amp;RIGHT("00"&amp;MOD(Sync!$J88,100),2),"نامعتبر"),IF(LEN(Sync!$J88)=10,Sync!$J88,"نامعتبر")))</f>
        <v/>
      </c>
      <c r="R88">
        <f>IF($P88="","",COUNTIFS($N$6:$N$2005,$N88,$P$6:$P$2005,"&lt;"&amp;$P88)+COUNTIFS($A$6:$A$1005,$N88,$B$6:$B$1005,"&lt;"&amp;$P88)+1)</f>
        <v/>
      </c>
      <c r="S88">
        <f>IF($N88="","",$N88&amp;"|"&amp;RIGHT("000000"&amp;$R88,6))</f>
        <v/>
      </c>
      <c r="T88">
        <f>IF($N88="","",IF(Sync!$N88="",0,Sync!$N88))</f>
        <v/>
      </c>
      <c r="U88">
        <f>IF($N88="","",IF(Sync!$O88="",0,Sync!$O88))</f>
        <v/>
      </c>
      <c r="V88">
        <f>IF($N88="","",Sync!$L88)</f>
        <v/>
      </c>
      <c r="W88">
        <f>IF($N88="","",Sync!$P88)</f>
        <v/>
      </c>
      <c r="AA88">
        <f>IF($A88="","",IF(COUNTIF($A$6:$A88,$A88)=1,1,0))</f>
        <v/>
      </c>
      <c r="AB88">
        <f>SUM($AA$6:$AA88)</f>
        <v/>
      </c>
      <c r="AC88">
        <f>IFERROR(INDEX($A$6:$A$1005,MATCH(ROW()-5,$AB$6:$AB$1005,0)),"")</f>
        <v/>
      </c>
    </row>
    <row r="89">
      <c r="A89">
        <f>IF(OR(Entry!$B92="",Entry!$E92="",$E89="نامعتبر"),"",Entry!$E92)</f>
        <v/>
      </c>
      <c r="B89">
        <f>IF($A89="","",LEFT($E89,4)&amp;MID($E89,6,2)&amp;RIGHT($E89,2)&amp;$F89&amp;"|"&amp;"1"&amp;RIGHT("00000"&amp;84,5))</f>
        <v/>
      </c>
      <c r="C89">
        <f>IF($B89="","",COUNTIFS($A$6:$A$1005,$A89,$B$6:$B$1005,"&lt;"&amp;$B89)+COUNTIFS($N$6:$N$2005,$A89,$P$6:$P$2005,"&lt;"&amp;$B89)+1)</f>
        <v/>
      </c>
      <c r="D89">
        <f>IF($C89="","",$A89&amp;"|"&amp;RIGHT("000000"&amp;$C89,6))</f>
        <v/>
      </c>
      <c r="E89">
        <f>IF(Entry!$B92="","",IF(ISNUMBER(Entry!$B92),IF(AND(Entry!$B92&gt;=10000101,Entry!$B92&lt;=99991231),INT(Entry!$B92/10000)&amp;"/"&amp;RIGHT("00"&amp;INT(MOD(Entry!$B92,10000)/100),2)&amp;"/"&amp;RIGHT("00"&amp;MOD(Entry!$B92,100),2),"نامعتبر"),IF(LEN(Entry!$B92)=10,Entry!$B92,"نامعتبر")))</f>
        <v/>
      </c>
      <c r="F89">
        <f>IF(Entry!$B92="","",IF(Entry!$C92="","0000",IF(AND(ISNUMBER(Entry!$C92),Entry!$C92&gt;=0,Entry!$C92&lt;1),RIGHT("00"&amp;HOUR(Entry!$C92),2)&amp;RIGHT("00"&amp;MINUTE(Entry!$C92),2),IFERROR(RIGHT("00"&amp;VALUE(LEFT(Entry!$C92,FIND(":",Entry!$C92)-1)),2)&amp;RIGHT("00"&amp;VALUE(MID(Entry!$C92,FIND(":",Entry!$C92)+1,2)),2),"0000"))))</f>
        <v/>
      </c>
      <c r="G89">
        <f>IF($A89="","",Entry!$G92)</f>
        <v/>
      </c>
      <c r="H89">
        <f>IF($A89="","",IF(Entry!$H92="",0,Entry!$H92))</f>
        <v/>
      </c>
      <c r="I89">
        <f>IF($A89="","",IF(Entry!$I92="",0,Entry!$I92))</f>
        <v/>
      </c>
      <c r="J89">
        <f>IF($A89="","",ROUND($H89*$I89,0))</f>
        <v/>
      </c>
      <c r="K89">
        <f>IF($A89="","",Entry!$D92)</f>
        <v/>
      </c>
      <c r="L89">
        <f>IF($A89="","",Entry!$L92)</f>
        <v/>
      </c>
      <c r="N89">
        <f>IF(OR(Sync!$M89="",$Q89="",$Q89="نامعتبر"),"",Sync!$M89)</f>
        <v/>
      </c>
      <c r="O89">
        <f>IF($N89="","",$Q89)</f>
        <v/>
      </c>
      <c r="P89">
        <f>IF($N89="","",LEFT($Q89,4)&amp;MID($Q89,6,2)&amp;RIGHT($Q89,2)&amp;IF(Sync!$K89="","0000",IF(AND(ISNUMBER(Sync!$K89),Sync!$K89&gt;=0,Sync!$K89&lt;1),RIGHT("00"&amp;HOUR(Sync!$K89),2)&amp;RIGHT("00"&amp;MINUTE(Sync!$K89),2),IFERROR(RIGHT("00"&amp;VALUE(LEFT(Sync!$K89,FIND(":",Sync!$K89)-1)),2)&amp;RIGHT("00"&amp;VALUE(MID(Sync!$K89,FIND(":",Sync!$K89)+1,2)),2),"0000")))&amp;"|"&amp;"2"&amp;RIGHT("00000"&amp;84,5))</f>
        <v/>
      </c>
      <c r="Q89">
        <f>IF(Sync!$J89="","",IF(ISNUMBER(Sync!$J89),IF(AND(Sync!$J89&gt;=10000101,Sync!$J89&lt;=99991231),INT(Sync!$J89/10000)&amp;"/"&amp;RIGHT("00"&amp;INT(MOD(Sync!$J89,10000)/100),2)&amp;"/"&amp;RIGHT("00"&amp;MOD(Sync!$J89,100),2),"نامعتبر"),IF(LEN(Sync!$J89)=10,Sync!$J89,"نامعتبر")))</f>
        <v/>
      </c>
      <c r="R89">
        <f>IF($P89="","",COUNTIFS($N$6:$N$2005,$N89,$P$6:$P$2005,"&lt;"&amp;$P89)+COUNTIFS($A$6:$A$1005,$N89,$B$6:$B$1005,"&lt;"&amp;$P89)+1)</f>
        <v/>
      </c>
      <c r="S89">
        <f>IF($N89="","",$N89&amp;"|"&amp;RIGHT("000000"&amp;$R89,6))</f>
        <v/>
      </c>
      <c r="T89">
        <f>IF($N89="","",IF(Sync!$N89="",0,Sync!$N89))</f>
        <v/>
      </c>
      <c r="U89">
        <f>IF($N89="","",IF(Sync!$O89="",0,Sync!$O89))</f>
        <v/>
      </c>
      <c r="V89">
        <f>IF($N89="","",Sync!$L89)</f>
        <v/>
      </c>
      <c r="W89">
        <f>IF($N89="","",Sync!$P89)</f>
        <v/>
      </c>
      <c r="AA89">
        <f>IF($A89="","",IF(COUNTIF($A$6:$A89,$A89)=1,1,0))</f>
        <v/>
      </c>
      <c r="AB89">
        <f>SUM($AA$6:$AA89)</f>
        <v/>
      </c>
      <c r="AC89">
        <f>IFERROR(INDEX($A$6:$A$1005,MATCH(ROW()-5,$AB$6:$AB$1005,0)),"")</f>
        <v/>
      </c>
    </row>
    <row r="90">
      <c r="A90">
        <f>IF(OR(Entry!$B93="",Entry!$E93="",$E90="نامعتبر"),"",Entry!$E93)</f>
        <v/>
      </c>
      <c r="B90">
        <f>IF($A90="","",LEFT($E90,4)&amp;MID($E90,6,2)&amp;RIGHT($E90,2)&amp;$F90&amp;"|"&amp;"1"&amp;RIGHT("00000"&amp;85,5))</f>
        <v/>
      </c>
      <c r="C90">
        <f>IF($B90="","",COUNTIFS($A$6:$A$1005,$A90,$B$6:$B$1005,"&lt;"&amp;$B90)+COUNTIFS($N$6:$N$2005,$A90,$P$6:$P$2005,"&lt;"&amp;$B90)+1)</f>
        <v/>
      </c>
      <c r="D90">
        <f>IF($C90="","",$A90&amp;"|"&amp;RIGHT("000000"&amp;$C90,6))</f>
        <v/>
      </c>
      <c r="E90">
        <f>IF(Entry!$B93="","",IF(ISNUMBER(Entry!$B93),IF(AND(Entry!$B93&gt;=10000101,Entry!$B93&lt;=99991231),INT(Entry!$B93/10000)&amp;"/"&amp;RIGHT("00"&amp;INT(MOD(Entry!$B93,10000)/100),2)&amp;"/"&amp;RIGHT("00"&amp;MOD(Entry!$B93,100),2),"نامعتبر"),IF(LEN(Entry!$B93)=10,Entry!$B93,"نامعتبر")))</f>
        <v/>
      </c>
      <c r="F90">
        <f>IF(Entry!$B93="","",IF(Entry!$C93="","0000",IF(AND(ISNUMBER(Entry!$C93),Entry!$C93&gt;=0,Entry!$C93&lt;1),RIGHT("00"&amp;HOUR(Entry!$C93),2)&amp;RIGHT("00"&amp;MINUTE(Entry!$C93),2),IFERROR(RIGHT("00"&amp;VALUE(LEFT(Entry!$C93,FIND(":",Entry!$C93)-1)),2)&amp;RIGHT("00"&amp;VALUE(MID(Entry!$C93,FIND(":",Entry!$C93)+1,2)),2),"0000"))))</f>
        <v/>
      </c>
      <c r="G90">
        <f>IF($A90="","",Entry!$G93)</f>
        <v/>
      </c>
      <c r="H90">
        <f>IF($A90="","",IF(Entry!$H93="",0,Entry!$H93))</f>
        <v/>
      </c>
      <c r="I90">
        <f>IF($A90="","",IF(Entry!$I93="",0,Entry!$I93))</f>
        <v/>
      </c>
      <c r="J90">
        <f>IF($A90="","",ROUND($H90*$I90,0))</f>
        <v/>
      </c>
      <c r="K90">
        <f>IF($A90="","",Entry!$D93)</f>
        <v/>
      </c>
      <c r="L90">
        <f>IF($A90="","",Entry!$L93)</f>
        <v/>
      </c>
      <c r="N90">
        <f>IF(OR(Sync!$M90="",$Q90="",$Q90="نامعتبر"),"",Sync!$M90)</f>
        <v/>
      </c>
      <c r="O90">
        <f>IF($N90="","",$Q90)</f>
        <v/>
      </c>
      <c r="P90">
        <f>IF($N90="","",LEFT($Q90,4)&amp;MID($Q90,6,2)&amp;RIGHT($Q90,2)&amp;IF(Sync!$K90="","0000",IF(AND(ISNUMBER(Sync!$K90),Sync!$K90&gt;=0,Sync!$K90&lt;1),RIGHT("00"&amp;HOUR(Sync!$K90),2)&amp;RIGHT("00"&amp;MINUTE(Sync!$K90),2),IFERROR(RIGHT("00"&amp;VALUE(LEFT(Sync!$K90,FIND(":",Sync!$K90)-1)),2)&amp;RIGHT("00"&amp;VALUE(MID(Sync!$K90,FIND(":",Sync!$K90)+1,2)),2),"0000")))&amp;"|"&amp;"2"&amp;RIGHT("00000"&amp;85,5))</f>
        <v/>
      </c>
      <c r="Q90">
        <f>IF(Sync!$J90="","",IF(ISNUMBER(Sync!$J90),IF(AND(Sync!$J90&gt;=10000101,Sync!$J90&lt;=99991231),INT(Sync!$J90/10000)&amp;"/"&amp;RIGHT("00"&amp;INT(MOD(Sync!$J90,10000)/100),2)&amp;"/"&amp;RIGHT("00"&amp;MOD(Sync!$J90,100),2),"نامعتبر"),IF(LEN(Sync!$J90)=10,Sync!$J90,"نامعتبر")))</f>
        <v/>
      </c>
      <c r="R90">
        <f>IF($P90="","",COUNTIFS($N$6:$N$2005,$N90,$P$6:$P$2005,"&lt;"&amp;$P90)+COUNTIFS($A$6:$A$1005,$N90,$B$6:$B$1005,"&lt;"&amp;$P90)+1)</f>
        <v/>
      </c>
      <c r="S90">
        <f>IF($N90="","",$N90&amp;"|"&amp;RIGHT("000000"&amp;$R90,6))</f>
        <v/>
      </c>
      <c r="T90">
        <f>IF($N90="","",IF(Sync!$N90="",0,Sync!$N90))</f>
        <v/>
      </c>
      <c r="U90">
        <f>IF($N90="","",IF(Sync!$O90="",0,Sync!$O90))</f>
        <v/>
      </c>
      <c r="V90">
        <f>IF($N90="","",Sync!$L90)</f>
        <v/>
      </c>
      <c r="W90">
        <f>IF($N90="","",Sync!$P90)</f>
        <v/>
      </c>
      <c r="AA90">
        <f>IF($A90="","",IF(COUNTIF($A$6:$A90,$A90)=1,1,0))</f>
        <v/>
      </c>
      <c r="AB90">
        <f>SUM($AA$6:$AA90)</f>
        <v/>
      </c>
      <c r="AC90">
        <f>IFERROR(INDEX($A$6:$A$1005,MATCH(ROW()-5,$AB$6:$AB$1005,0)),"")</f>
        <v/>
      </c>
    </row>
    <row r="91">
      <c r="A91">
        <f>IF(OR(Entry!$B94="",Entry!$E94="",$E91="نامعتبر"),"",Entry!$E94)</f>
        <v/>
      </c>
      <c r="B91">
        <f>IF($A91="","",LEFT($E91,4)&amp;MID($E91,6,2)&amp;RIGHT($E91,2)&amp;$F91&amp;"|"&amp;"1"&amp;RIGHT("00000"&amp;86,5))</f>
        <v/>
      </c>
      <c r="C91">
        <f>IF($B91="","",COUNTIFS($A$6:$A$1005,$A91,$B$6:$B$1005,"&lt;"&amp;$B91)+COUNTIFS($N$6:$N$2005,$A91,$P$6:$P$2005,"&lt;"&amp;$B91)+1)</f>
        <v/>
      </c>
      <c r="D91">
        <f>IF($C91="","",$A91&amp;"|"&amp;RIGHT("000000"&amp;$C91,6))</f>
        <v/>
      </c>
      <c r="E91">
        <f>IF(Entry!$B94="","",IF(ISNUMBER(Entry!$B94),IF(AND(Entry!$B94&gt;=10000101,Entry!$B94&lt;=99991231),INT(Entry!$B94/10000)&amp;"/"&amp;RIGHT("00"&amp;INT(MOD(Entry!$B94,10000)/100),2)&amp;"/"&amp;RIGHT("00"&amp;MOD(Entry!$B94,100),2),"نامعتبر"),IF(LEN(Entry!$B94)=10,Entry!$B94,"نامعتبر")))</f>
        <v/>
      </c>
      <c r="F91">
        <f>IF(Entry!$B94="","",IF(Entry!$C94="","0000",IF(AND(ISNUMBER(Entry!$C94),Entry!$C94&gt;=0,Entry!$C94&lt;1),RIGHT("00"&amp;HOUR(Entry!$C94),2)&amp;RIGHT("00"&amp;MINUTE(Entry!$C94),2),IFERROR(RIGHT("00"&amp;VALUE(LEFT(Entry!$C94,FIND(":",Entry!$C94)-1)),2)&amp;RIGHT("00"&amp;VALUE(MID(Entry!$C94,FIND(":",Entry!$C94)+1,2)),2),"0000"))))</f>
        <v/>
      </c>
      <c r="G91">
        <f>IF($A91="","",Entry!$G94)</f>
        <v/>
      </c>
      <c r="H91">
        <f>IF($A91="","",IF(Entry!$H94="",0,Entry!$H94))</f>
        <v/>
      </c>
      <c r="I91">
        <f>IF($A91="","",IF(Entry!$I94="",0,Entry!$I94))</f>
        <v/>
      </c>
      <c r="J91">
        <f>IF($A91="","",ROUND($H91*$I91,0))</f>
        <v/>
      </c>
      <c r="K91">
        <f>IF($A91="","",Entry!$D94)</f>
        <v/>
      </c>
      <c r="L91">
        <f>IF($A91="","",Entry!$L94)</f>
        <v/>
      </c>
      <c r="N91">
        <f>IF(OR(Sync!$M91="",$Q91="",$Q91="نامعتبر"),"",Sync!$M91)</f>
        <v/>
      </c>
      <c r="O91">
        <f>IF($N91="","",$Q91)</f>
        <v/>
      </c>
      <c r="P91">
        <f>IF($N91="","",LEFT($Q91,4)&amp;MID($Q91,6,2)&amp;RIGHT($Q91,2)&amp;IF(Sync!$K91="","0000",IF(AND(ISNUMBER(Sync!$K91),Sync!$K91&gt;=0,Sync!$K91&lt;1),RIGHT("00"&amp;HOUR(Sync!$K91),2)&amp;RIGHT("00"&amp;MINUTE(Sync!$K91),2),IFERROR(RIGHT("00"&amp;VALUE(LEFT(Sync!$K91,FIND(":",Sync!$K91)-1)),2)&amp;RIGHT("00"&amp;VALUE(MID(Sync!$K91,FIND(":",Sync!$K91)+1,2)),2),"0000")))&amp;"|"&amp;"2"&amp;RIGHT("00000"&amp;86,5))</f>
        <v/>
      </c>
      <c r="Q91">
        <f>IF(Sync!$J91="","",IF(ISNUMBER(Sync!$J91),IF(AND(Sync!$J91&gt;=10000101,Sync!$J91&lt;=99991231),INT(Sync!$J91/10000)&amp;"/"&amp;RIGHT("00"&amp;INT(MOD(Sync!$J91,10000)/100),2)&amp;"/"&amp;RIGHT("00"&amp;MOD(Sync!$J91,100),2),"نامعتبر"),IF(LEN(Sync!$J91)=10,Sync!$J91,"نامعتبر")))</f>
        <v/>
      </c>
      <c r="R91">
        <f>IF($P91="","",COUNTIFS($N$6:$N$2005,$N91,$P$6:$P$2005,"&lt;"&amp;$P91)+COUNTIFS($A$6:$A$1005,$N91,$B$6:$B$1005,"&lt;"&amp;$P91)+1)</f>
        <v/>
      </c>
      <c r="S91">
        <f>IF($N91="","",$N91&amp;"|"&amp;RIGHT("000000"&amp;$R91,6))</f>
        <v/>
      </c>
      <c r="T91">
        <f>IF($N91="","",IF(Sync!$N91="",0,Sync!$N91))</f>
        <v/>
      </c>
      <c r="U91">
        <f>IF($N91="","",IF(Sync!$O91="",0,Sync!$O91))</f>
        <v/>
      </c>
      <c r="V91">
        <f>IF($N91="","",Sync!$L91)</f>
        <v/>
      </c>
      <c r="W91">
        <f>IF($N91="","",Sync!$P91)</f>
        <v/>
      </c>
      <c r="AA91">
        <f>IF($A91="","",IF(COUNTIF($A$6:$A91,$A91)=1,1,0))</f>
        <v/>
      </c>
      <c r="AB91">
        <f>SUM($AA$6:$AA91)</f>
        <v/>
      </c>
      <c r="AC91">
        <f>IFERROR(INDEX($A$6:$A$1005,MATCH(ROW()-5,$AB$6:$AB$1005,0)),"")</f>
        <v/>
      </c>
    </row>
    <row r="92">
      <c r="A92">
        <f>IF(OR(Entry!$B95="",Entry!$E95="",$E92="نامعتبر"),"",Entry!$E95)</f>
        <v/>
      </c>
      <c r="B92">
        <f>IF($A92="","",LEFT($E92,4)&amp;MID($E92,6,2)&amp;RIGHT($E92,2)&amp;$F92&amp;"|"&amp;"1"&amp;RIGHT("00000"&amp;87,5))</f>
        <v/>
      </c>
      <c r="C92">
        <f>IF($B92="","",COUNTIFS($A$6:$A$1005,$A92,$B$6:$B$1005,"&lt;"&amp;$B92)+COUNTIFS($N$6:$N$2005,$A92,$P$6:$P$2005,"&lt;"&amp;$B92)+1)</f>
        <v/>
      </c>
      <c r="D92">
        <f>IF($C92="","",$A92&amp;"|"&amp;RIGHT("000000"&amp;$C92,6))</f>
        <v/>
      </c>
      <c r="E92">
        <f>IF(Entry!$B95="","",IF(ISNUMBER(Entry!$B95),IF(AND(Entry!$B95&gt;=10000101,Entry!$B95&lt;=99991231),INT(Entry!$B95/10000)&amp;"/"&amp;RIGHT("00"&amp;INT(MOD(Entry!$B95,10000)/100),2)&amp;"/"&amp;RIGHT("00"&amp;MOD(Entry!$B95,100),2),"نامعتبر"),IF(LEN(Entry!$B95)=10,Entry!$B95,"نامعتبر")))</f>
        <v/>
      </c>
      <c r="F92">
        <f>IF(Entry!$B95="","",IF(Entry!$C95="","0000",IF(AND(ISNUMBER(Entry!$C95),Entry!$C95&gt;=0,Entry!$C95&lt;1),RIGHT("00"&amp;HOUR(Entry!$C95),2)&amp;RIGHT("00"&amp;MINUTE(Entry!$C95),2),IFERROR(RIGHT("00"&amp;VALUE(LEFT(Entry!$C95,FIND(":",Entry!$C95)-1)),2)&amp;RIGHT("00"&amp;VALUE(MID(Entry!$C95,FIND(":",Entry!$C95)+1,2)),2),"0000"))))</f>
        <v/>
      </c>
      <c r="G92">
        <f>IF($A92="","",Entry!$G95)</f>
        <v/>
      </c>
      <c r="H92">
        <f>IF($A92="","",IF(Entry!$H95="",0,Entry!$H95))</f>
        <v/>
      </c>
      <c r="I92">
        <f>IF($A92="","",IF(Entry!$I95="",0,Entry!$I95))</f>
        <v/>
      </c>
      <c r="J92">
        <f>IF($A92="","",ROUND($H92*$I92,0))</f>
        <v/>
      </c>
      <c r="K92">
        <f>IF($A92="","",Entry!$D95)</f>
        <v/>
      </c>
      <c r="L92">
        <f>IF($A92="","",Entry!$L95)</f>
        <v/>
      </c>
      <c r="N92">
        <f>IF(OR(Sync!$M92="",$Q92="",$Q92="نامعتبر"),"",Sync!$M92)</f>
        <v/>
      </c>
      <c r="O92">
        <f>IF($N92="","",$Q92)</f>
        <v/>
      </c>
      <c r="P92">
        <f>IF($N92="","",LEFT($Q92,4)&amp;MID($Q92,6,2)&amp;RIGHT($Q92,2)&amp;IF(Sync!$K92="","0000",IF(AND(ISNUMBER(Sync!$K92),Sync!$K92&gt;=0,Sync!$K92&lt;1),RIGHT("00"&amp;HOUR(Sync!$K92),2)&amp;RIGHT("00"&amp;MINUTE(Sync!$K92),2),IFERROR(RIGHT("00"&amp;VALUE(LEFT(Sync!$K92,FIND(":",Sync!$K92)-1)),2)&amp;RIGHT("00"&amp;VALUE(MID(Sync!$K92,FIND(":",Sync!$K92)+1,2)),2),"0000")))&amp;"|"&amp;"2"&amp;RIGHT("00000"&amp;87,5))</f>
        <v/>
      </c>
      <c r="Q92">
        <f>IF(Sync!$J92="","",IF(ISNUMBER(Sync!$J92),IF(AND(Sync!$J92&gt;=10000101,Sync!$J92&lt;=99991231),INT(Sync!$J92/10000)&amp;"/"&amp;RIGHT("00"&amp;INT(MOD(Sync!$J92,10000)/100),2)&amp;"/"&amp;RIGHT("00"&amp;MOD(Sync!$J92,100),2),"نامعتبر"),IF(LEN(Sync!$J92)=10,Sync!$J92,"نامعتبر")))</f>
        <v/>
      </c>
      <c r="R92">
        <f>IF($P92="","",COUNTIFS($N$6:$N$2005,$N92,$P$6:$P$2005,"&lt;"&amp;$P92)+COUNTIFS($A$6:$A$1005,$N92,$B$6:$B$1005,"&lt;"&amp;$P92)+1)</f>
        <v/>
      </c>
      <c r="S92">
        <f>IF($N92="","",$N92&amp;"|"&amp;RIGHT("000000"&amp;$R92,6))</f>
        <v/>
      </c>
      <c r="T92">
        <f>IF($N92="","",IF(Sync!$N92="",0,Sync!$N92))</f>
        <v/>
      </c>
      <c r="U92">
        <f>IF($N92="","",IF(Sync!$O92="",0,Sync!$O92))</f>
        <v/>
      </c>
      <c r="V92">
        <f>IF($N92="","",Sync!$L92)</f>
        <v/>
      </c>
      <c r="W92">
        <f>IF($N92="","",Sync!$P92)</f>
        <v/>
      </c>
      <c r="AA92">
        <f>IF($A92="","",IF(COUNTIF($A$6:$A92,$A92)=1,1,0))</f>
        <v/>
      </c>
      <c r="AB92">
        <f>SUM($AA$6:$AA92)</f>
        <v/>
      </c>
      <c r="AC92">
        <f>IFERROR(INDEX($A$6:$A$1005,MATCH(ROW()-5,$AB$6:$AB$1005,0)),"")</f>
        <v/>
      </c>
    </row>
    <row r="93">
      <c r="A93">
        <f>IF(OR(Entry!$B96="",Entry!$E96="",$E93="نامعتبر"),"",Entry!$E96)</f>
        <v/>
      </c>
      <c r="B93">
        <f>IF($A93="","",LEFT($E93,4)&amp;MID($E93,6,2)&amp;RIGHT($E93,2)&amp;$F93&amp;"|"&amp;"1"&amp;RIGHT("00000"&amp;88,5))</f>
        <v/>
      </c>
      <c r="C93">
        <f>IF($B93="","",COUNTIFS($A$6:$A$1005,$A93,$B$6:$B$1005,"&lt;"&amp;$B93)+COUNTIFS($N$6:$N$2005,$A93,$P$6:$P$2005,"&lt;"&amp;$B93)+1)</f>
        <v/>
      </c>
      <c r="D93">
        <f>IF($C93="","",$A93&amp;"|"&amp;RIGHT("000000"&amp;$C93,6))</f>
        <v/>
      </c>
      <c r="E93">
        <f>IF(Entry!$B96="","",IF(ISNUMBER(Entry!$B96),IF(AND(Entry!$B96&gt;=10000101,Entry!$B96&lt;=99991231),INT(Entry!$B96/10000)&amp;"/"&amp;RIGHT("00"&amp;INT(MOD(Entry!$B96,10000)/100),2)&amp;"/"&amp;RIGHT("00"&amp;MOD(Entry!$B96,100),2),"نامعتبر"),IF(LEN(Entry!$B96)=10,Entry!$B96,"نامعتبر")))</f>
        <v/>
      </c>
      <c r="F93">
        <f>IF(Entry!$B96="","",IF(Entry!$C96="","0000",IF(AND(ISNUMBER(Entry!$C96),Entry!$C96&gt;=0,Entry!$C96&lt;1),RIGHT("00"&amp;HOUR(Entry!$C96),2)&amp;RIGHT("00"&amp;MINUTE(Entry!$C96),2),IFERROR(RIGHT("00"&amp;VALUE(LEFT(Entry!$C96,FIND(":",Entry!$C96)-1)),2)&amp;RIGHT("00"&amp;VALUE(MID(Entry!$C96,FIND(":",Entry!$C96)+1,2)),2),"0000"))))</f>
        <v/>
      </c>
      <c r="G93">
        <f>IF($A93="","",Entry!$G96)</f>
        <v/>
      </c>
      <c r="H93">
        <f>IF($A93="","",IF(Entry!$H96="",0,Entry!$H96))</f>
        <v/>
      </c>
      <c r="I93">
        <f>IF($A93="","",IF(Entry!$I96="",0,Entry!$I96))</f>
        <v/>
      </c>
      <c r="J93">
        <f>IF($A93="","",ROUND($H93*$I93,0))</f>
        <v/>
      </c>
      <c r="K93">
        <f>IF($A93="","",Entry!$D96)</f>
        <v/>
      </c>
      <c r="L93">
        <f>IF($A93="","",Entry!$L96)</f>
        <v/>
      </c>
      <c r="N93">
        <f>IF(OR(Sync!$M93="",$Q93="",$Q93="نامعتبر"),"",Sync!$M93)</f>
        <v/>
      </c>
      <c r="O93">
        <f>IF($N93="","",$Q93)</f>
        <v/>
      </c>
      <c r="P93">
        <f>IF($N93="","",LEFT($Q93,4)&amp;MID($Q93,6,2)&amp;RIGHT($Q93,2)&amp;IF(Sync!$K93="","0000",IF(AND(ISNUMBER(Sync!$K93),Sync!$K93&gt;=0,Sync!$K93&lt;1),RIGHT("00"&amp;HOUR(Sync!$K93),2)&amp;RIGHT("00"&amp;MINUTE(Sync!$K93),2),IFERROR(RIGHT("00"&amp;VALUE(LEFT(Sync!$K93,FIND(":",Sync!$K93)-1)),2)&amp;RIGHT("00"&amp;VALUE(MID(Sync!$K93,FIND(":",Sync!$K93)+1,2)),2),"0000")))&amp;"|"&amp;"2"&amp;RIGHT("00000"&amp;88,5))</f>
        <v/>
      </c>
      <c r="Q93">
        <f>IF(Sync!$J93="","",IF(ISNUMBER(Sync!$J93),IF(AND(Sync!$J93&gt;=10000101,Sync!$J93&lt;=99991231),INT(Sync!$J93/10000)&amp;"/"&amp;RIGHT("00"&amp;INT(MOD(Sync!$J93,10000)/100),2)&amp;"/"&amp;RIGHT("00"&amp;MOD(Sync!$J93,100),2),"نامعتبر"),IF(LEN(Sync!$J93)=10,Sync!$J93,"نامعتبر")))</f>
        <v/>
      </c>
      <c r="R93">
        <f>IF($P93="","",COUNTIFS($N$6:$N$2005,$N93,$P$6:$P$2005,"&lt;"&amp;$P93)+COUNTIFS($A$6:$A$1005,$N93,$B$6:$B$1005,"&lt;"&amp;$P93)+1)</f>
        <v/>
      </c>
      <c r="S93">
        <f>IF($N93="","",$N93&amp;"|"&amp;RIGHT("000000"&amp;$R93,6))</f>
        <v/>
      </c>
      <c r="T93">
        <f>IF($N93="","",IF(Sync!$N93="",0,Sync!$N93))</f>
        <v/>
      </c>
      <c r="U93">
        <f>IF($N93="","",IF(Sync!$O93="",0,Sync!$O93))</f>
        <v/>
      </c>
      <c r="V93">
        <f>IF($N93="","",Sync!$L93)</f>
        <v/>
      </c>
      <c r="W93">
        <f>IF($N93="","",Sync!$P93)</f>
        <v/>
      </c>
      <c r="AA93">
        <f>IF($A93="","",IF(COUNTIF($A$6:$A93,$A93)=1,1,0))</f>
        <v/>
      </c>
      <c r="AB93">
        <f>SUM($AA$6:$AA93)</f>
        <v/>
      </c>
      <c r="AC93">
        <f>IFERROR(INDEX($A$6:$A$1005,MATCH(ROW()-5,$AB$6:$AB$1005,0)),"")</f>
        <v/>
      </c>
    </row>
    <row r="94">
      <c r="A94">
        <f>IF(OR(Entry!$B97="",Entry!$E97="",$E94="نامعتبر"),"",Entry!$E97)</f>
        <v/>
      </c>
      <c r="B94">
        <f>IF($A94="","",LEFT($E94,4)&amp;MID($E94,6,2)&amp;RIGHT($E94,2)&amp;$F94&amp;"|"&amp;"1"&amp;RIGHT("00000"&amp;89,5))</f>
        <v/>
      </c>
      <c r="C94">
        <f>IF($B94="","",COUNTIFS($A$6:$A$1005,$A94,$B$6:$B$1005,"&lt;"&amp;$B94)+COUNTIFS($N$6:$N$2005,$A94,$P$6:$P$2005,"&lt;"&amp;$B94)+1)</f>
        <v/>
      </c>
      <c r="D94">
        <f>IF($C94="","",$A94&amp;"|"&amp;RIGHT("000000"&amp;$C94,6))</f>
        <v/>
      </c>
      <c r="E94">
        <f>IF(Entry!$B97="","",IF(ISNUMBER(Entry!$B97),IF(AND(Entry!$B97&gt;=10000101,Entry!$B97&lt;=99991231),INT(Entry!$B97/10000)&amp;"/"&amp;RIGHT("00"&amp;INT(MOD(Entry!$B97,10000)/100),2)&amp;"/"&amp;RIGHT("00"&amp;MOD(Entry!$B97,100),2),"نامعتبر"),IF(LEN(Entry!$B97)=10,Entry!$B97,"نامعتبر")))</f>
        <v/>
      </c>
      <c r="F94">
        <f>IF(Entry!$B97="","",IF(Entry!$C97="","0000",IF(AND(ISNUMBER(Entry!$C97),Entry!$C97&gt;=0,Entry!$C97&lt;1),RIGHT("00"&amp;HOUR(Entry!$C97),2)&amp;RIGHT("00"&amp;MINUTE(Entry!$C97),2),IFERROR(RIGHT("00"&amp;VALUE(LEFT(Entry!$C97,FIND(":",Entry!$C97)-1)),2)&amp;RIGHT("00"&amp;VALUE(MID(Entry!$C97,FIND(":",Entry!$C97)+1,2)),2),"0000"))))</f>
        <v/>
      </c>
      <c r="G94">
        <f>IF($A94="","",Entry!$G97)</f>
        <v/>
      </c>
      <c r="H94">
        <f>IF($A94="","",IF(Entry!$H97="",0,Entry!$H97))</f>
        <v/>
      </c>
      <c r="I94">
        <f>IF($A94="","",IF(Entry!$I97="",0,Entry!$I97))</f>
        <v/>
      </c>
      <c r="J94">
        <f>IF($A94="","",ROUND($H94*$I94,0))</f>
        <v/>
      </c>
      <c r="K94">
        <f>IF($A94="","",Entry!$D97)</f>
        <v/>
      </c>
      <c r="L94">
        <f>IF($A94="","",Entry!$L97)</f>
        <v/>
      </c>
      <c r="N94">
        <f>IF(OR(Sync!$M94="",$Q94="",$Q94="نامعتبر"),"",Sync!$M94)</f>
        <v/>
      </c>
      <c r="O94">
        <f>IF($N94="","",$Q94)</f>
        <v/>
      </c>
      <c r="P94">
        <f>IF($N94="","",LEFT($Q94,4)&amp;MID($Q94,6,2)&amp;RIGHT($Q94,2)&amp;IF(Sync!$K94="","0000",IF(AND(ISNUMBER(Sync!$K94),Sync!$K94&gt;=0,Sync!$K94&lt;1),RIGHT("00"&amp;HOUR(Sync!$K94),2)&amp;RIGHT("00"&amp;MINUTE(Sync!$K94),2),IFERROR(RIGHT("00"&amp;VALUE(LEFT(Sync!$K94,FIND(":",Sync!$K94)-1)),2)&amp;RIGHT("00"&amp;VALUE(MID(Sync!$K94,FIND(":",Sync!$K94)+1,2)),2),"0000")))&amp;"|"&amp;"2"&amp;RIGHT("00000"&amp;89,5))</f>
        <v/>
      </c>
      <c r="Q94">
        <f>IF(Sync!$J94="","",IF(ISNUMBER(Sync!$J94),IF(AND(Sync!$J94&gt;=10000101,Sync!$J94&lt;=99991231),INT(Sync!$J94/10000)&amp;"/"&amp;RIGHT("00"&amp;INT(MOD(Sync!$J94,10000)/100),2)&amp;"/"&amp;RIGHT("00"&amp;MOD(Sync!$J94,100),2),"نامعتبر"),IF(LEN(Sync!$J94)=10,Sync!$J94,"نامعتبر")))</f>
        <v/>
      </c>
      <c r="R94">
        <f>IF($P94="","",COUNTIFS($N$6:$N$2005,$N94,$P$6:$P$2005,"&lt;"&amp;$P94)+COUNTIFS($A$6:$A$1005,$N94,$B$6:$B$1005,"&lt;"&amp;$P94)+1)</f>
        <v/>
      </c>
      <c r="S94">
        <f>IF($N94="","",$N94&amp;"|"&amp;RIGHT("000000"&amp;$R94,6))</f>
        <v/>
      </c>
      <c r="T94">
        <f>IF($N94="","",IF(Sync!$N94="",0,Sync!$N94))</f>
        <v/>
      </c>
      <c r="U94">
        <f>IF($N94="","",IF(Sync!$O94="",0,Sync!$O94))</f>
        <v/>
      </c>
      <c r="V94">
        <f>IF($N94="","",Sync!$L94)</f>
        <v/>
      </c>
      <c r="W94">
        <f>IF($N94="","",Sync!$P94)</f>
        <v/>
      </c>
      <c r="AA94">
        <f>IF($A94="","",IF(COUNTIF($A$6:$A94,$A94)=1,1,0))</f>
        <v/>
      </c>
      <c r="AB94">
        <f>SUM($AA$6:$AA94)</f>
        <v/>
      </c>
      <c r="AC94">
        <f>IFERROR(INDEX($A$6:$A$1005,MATCH(ROW()-5,$AB$6:$AB$1005,0)),"")</f>
        <v/>
      </c>
    </row>
    <row r="95">
      <c r="A95">
        <f>IF(OR(Entry!$B98="",Entry!$E98="",$E95="نامعتبر"),"",Entry!$E98)</f>
        <v/>
      </c>
      <c r="B95">
        <f>IF($A95="","",LEFT($E95,4)&amp;MID($E95,6,2)&amp;RIGHT($E95,2)&amp;$F95&amp;"|"&amp;"1"&amp;RIGHT("00000"&amp;90,5))</f>
        <v/>
      </c>
      <c r="C95">
        <f>IF($B95="","",COUNTIFS($A$6:$A$1005,$A95,$B$6:$B$1005,"&lt;"&amp;$B95)+COUNTIFS($N$6:$N$2005,$A95,$P$6:$P$2005,"&lt;"&amp;$B95)+1)</f>
        <v/>
      </c>
      <c r="D95">
        <f>IF($C95="","",$A95&amp;"|"&amp;RIGHT("000000"&amp;$C95,6))</f>
        <v/>
      </c>
      <c r="E95">
        <f>IF(Entry!$B98="","",IF(ISNUMBER(Entry!$B98),IF(AND(Entry!$B98&gt;=10000101,Entry!$B98&lt;=99991231),INT(Entry!$B98/10000)&amp;"/"&amp;RIGHT("00"&amp;INT(MOD(Entry!$B98,10000)/100),2)&amp;"/"&amp;RIGHT("00"&amp;MOD(Entry!$B98,100),2),"نامعتبر"),IF(LEN(Entry!$B98)=10,Entry!$B98,"نامعتبر")))</f>
        <v/>
      </c>
      <c r="F95">
        <f>IF(Entry!$B98="","",IF(Entry!$C98="","0000",IF(AND(ISNUMBER(Entry!$C98),Entry!$C98&gt;=0,Entry!$C98&lt;1),RIGHT("00"&amp;HOUR(Entry!$C98),2)&amp;RIGHT("00"&amp;MINUTE(Entry!$C98),2),IFERROR(RIGHT("00"&amp;VALUE(LEFT(Entry!$C98,FIND(":",Entry!$C98)-1)),2)&amp;RIGHT("00"&amp;VALUE(MID(Entry!$C98,FIND(":",Entry!$C98)+1,2)),2),"0000"))))</f>
        <v/>
      </c>
      <c r="G95">
        <f>IF($A95="","",Entry!$G98)</f>
        <v/>
      </c>
      <c r="H95">
        <f>IF($A95="","",IF(Entry!$H98="",0,Entry!$H98))</f>
        <v/>
      </c>
      <c r="I95">
        <f>IF($A95="","",IF(Entry!$I98="",0,Entry!$I98))</f>
        <v/>
      </c>
      <c r="J95">
        <f>IF($A95="","",ROUND($H95*$I95,0))</f>
        <v/>
      </c>
      <c r="K95">
        <f>IF($A95="","",Entry!$D98)</f>
        <v/>
      </c>
      <c r="L95">
        <f>IF($A95="","",Entry!$L98)</f>
        <v/>
      </c>
      <c r="N95">
        <f>IF(OR(Sync!$M95="",$Q95="",$Q95="نامعتبر"),"",Sync!$M95)</f>
        <v/>
      </c>
      <c r="O95">
        <f>IF($N95="","",$Q95)</f>
        <v/>
      </c>
      <c r="P95">
        <f>IF($N95="","",LEFT($Q95,4)&amp;MID($Q95,6,2)&amp;RIGHT($Q95,2)&amp;IF(Sync!$K95="","0000",IF(AND(ISNUMBER(Sync!$K95),Sync!$K95&gt;=0,Sync!$K95&lt;1),RIGHT("00"&amp;HOUR(Sync!$K95),2)&amp;RIGHT("00"&amp;MINUTE(Sync!$K95),2),IFERROR(RIGHT("00"&amp;VALUE(LEFT(Sync!$K95,FIND(":",Sync!$K95)-1)),2)&amp;RIGHT("00"&amp;VALUE(MID(Sync!$K95,FIND(":",Sync!$K95)+1,2)),2),"0000")))&amp;"|"&amp;"2"&amp;RIGHT("00000"&amp;90,5))</f>
        <v/>
      </c>
      <c r="Q95">
        <f>IF(Sync!$J95="","",IF(ISNUMBER(Sync!$J95),IF(AND(Sync!$J95&gt;=10000101,Sync!$J95&lt;=99991231),INT(Sync!$J95/10000)&amp;"/"&amp;RIGHT("00"&amp;INT(MOD(Sync!$J95,10000)/100),2)&amp;"/"&amp;RIGHT("00"&amp;MOD(Sync!$J95,100),2),"نامعتبر"),IF(LEN(Sync!$J95)=10,Sync!$J95,"نامعتبر")))</f>
        <v/>
      </c>
      <c r="R95">
        <f>IF($P95="","",COUNTIFS($N$6:$N$2005,$N95,$P$6:$P$2005,"&lt;"&amp;$P95)+COUNTIFS($A$6:$A$1005,$N95,$B$6:$B$1005,"&lt;"&amp;$P95)+1)</f>
        <v/>
      </c>
      <c r="S95">
        <f>IF($N95="","",$N95&amp;"|"&amp;RIGHT("000000"&amp;$R95,6))</f>
        <v/>
      </c>
      <c r="T95">
        <f>IF($N95="","",IF(Sync!$N95="",0,Sync!$N95))</f>
        <v/>
      </c>
      <c r="U95">
        <f>IF($N95="","",IF(Sync!$O95="",0,Sync!$O95))</f>
        <v/>
      </c>
      <c r="V95">
        <f>IF($N95="","",Sync!$L95)</f>
        <v/>
      </c>
      <c r="W95">
        <f>IF($N95="","",Sync!$P95)</f>
        <v/>
      </c>
      <c r="AA95">
        <f>IF($A95="","",IF(COUNTIF($A$6:$A95,$A95)=1,1,0))</f>
        <v/>
      </c>
      <c r="AB95">
        <f>SUM($AA$6:$AA95)</f>
        <v/>
      </c>
      <c r="AC95">
        <f>IFERROR(INDEX($A$6:$A$1005,MATCH(ROW()-5,$AB$6:$AB$1005,0)),"")</f>
        <v/>
      </c>
    </row>
    <row r="96">
      <c r="A96">
        <f>IF(OR(Entry!$B99="",Entry!$E99="",$E96="نامعتبر"),"",Entry!$E99)</f>
        <v/>
      </c>
      <c r="B96">
        <f>IF($A96="","",LEFT($E96,4)&amp;MID($E96,6,2)&amp;RIGHT($E96,2)&amp;$F96&amp;"|"&amp;"1"&amp;RIGHT("00000"&amp;91,5))</f>
        <v/>
      </c>
      <c r="C96">
        <f>IF($B96="","",COUNTIFS($A$6:$A$1005,$A96,$B$6:$B$1005,"&lt;"&amp;$B96)+COUNTIFS($N$6:$N$2005,$A96,$P$6:$P$2005,"&lt;"&amp;$B96)+1)</f>
        <v/>
      </c>
      <c r="D96">
        <f>IF($C96="","",$A96&amp;"|"&amp;RIGHT("000000"&amp;$C96,6))</f>
        <v/>
      </c>
      <c r="E96">
        <f>IF(Entry!$B99="","",IF(ISNUMBER(Entry!$B99),IF(AND(Entry!$B99&gt;=10000101,Entry!$B99&lt;=99991231),INT(Entry!$B99/10000)&amp;"/"&amp;RIGHT("00"&amp;INT(MOD(Entry!$B99,10000)/100),2)&amp;"/"&amp;RIGHT("00"&amp;MOD(Entry!$B99,100),2),"نامعتبر"),IF(LEN(Entry!$B99)=10,Entry!$B99,"نامعتبر")))</f>
        <v/>
      </c>
      <c r="F96">
        <f>IF(Entry!$B99="","",IF(Entry!$C99="","0000",IF(AND(ISNUMBER(Entry!$C99),Entry!$C99&gt;=0,Entry!$C99&lt;1),RIGHT("00"&amp;HOUR(Entry!$C99),2)&amp;RIGHT("00"&amp;MINUTE(Entry!$C99),2),IFERROR(RIGHT("00"&amp;VALUE(LEFT(Entry!$C99,FIND(":",Entry!$C99)-1)),2)&amp;RIGHT("00"&amp;VALUE(MID(Entry!$C99,FIND(":",Entry!$C99)+1,2)),2),"0000"))))</f>
        <v/>
      </c>
      <c r="G96">
        <f>IF($A96="","",Entry!$G99)</f>
        <v/>
      </c>
      <c r="H96">
        <f>IF($A96="","",IF(Entry!$H99="",0,Entry!$H99))</f>
        <v/>
      </c>
      <c r="I96">
        <f>IF($A96="","",IF(Entry!$I99="",0,Entry!$I99))</f>
        <v/>
      </c>
      <c r="J96">
        <f>IF($A96="","",ROUND($H96*$I96,0))</f>
        <v/>
      </c>
      <c r="K96">
        <f>IF($A96="","",Entry!$D99)</f>
        <v/>
      </c>
      <c r="L96">
        <f>IF($A96="","",Entry!$L99)</f>
        <v/>
      </c>
      <c r="N96">
        <f>IF(OR(Sync!$M96="",$Q96="",$Q96="نامعتبر"),"",Sync!$M96)</f>
        <v/>
      </c>
      <c r="O96">
        <f>IF($N96="","",$Q96)</f>
        <v/>
      </c>
      <c r="P96">
        <f>IF($N96="","",LEFT($Q96,4)&amp;MID($Q96,6,2)&amp;RIGHT($Q96,2)&amp;IF(Sync!$K96="","0000",IF(AND(ISNUMBER(Sync!$K96),Sync!$K96&gt;=0,Sync!$K96&lt;1),RIGHT("00"&amp;HOUR(Sync!$K96),2)&amp;RIGHT("00"&amp;MINUTE(Sync!$K96),2),IFERROR(RIGHT("00"&amp;VALUE(LEFT(Sync!$K96,FIND(":",Sync!$K96)-1)),2)&amp;RIGHT("00"&amp;VALUE(MID(Sync!$K96,FIND(":",Sync!$K96)+1,2)),2),"0000")))&amp;"|"&amp;"2"&amp;RIGHT("00000"&amp;91,5))</f>
        <v/>
      </c>
      <c r="Q96">
        <f>IF(Sync!$J96="","",IF(ISNUMBER(Sync!$J96),IF(AND(Sync!$J96&gt;=10000101,Sync!$J96&lt;=99991231),INT(Sync!$J96/10000)&amp;"/"&amp;RIGHT("00"&amp;INT(MOD(Sync!$J96,10000)/100),2)&amp;"/"&amp;RIGHT("00"&amp;MOD(Sync!$J96,100),2),"نامعتبر"),IF(LEN(Sync!$J96)=10,Sync!$J96,"نامعتبر")))</f>
        <v/>
      </c>
      <c r="R96">
        <f>IF($P96="","",COUNTIFS($N$6:$N$2005,$N96,$P$6:$P$2005,"&lt;"&amp;$P96)+COUNTIFS($A$6:$A$1005,$N96,$B$6:$B$1005,"&lt;"&amp;$P96)+1)</f>
        <v/>
      </c>
      <c r="S96">
        <f>IF($N96="","",$N96&amp;"|"&amp;RIGHT("000000"&amp;$R96,6))</f>
        <v/>
      </c>
      <c r="T96">
        <f>IF($N96="","",IF(Sync!$N96="",0,Sync!$N96))</f>
        <v/>
      </c>
      <c r="U96">
        <f>IF($N96="","",IF(Sync!$O96="",0,Sync!$O96))</f>
        <v/>
      </c>
      <c r="V96">
        <f>IF($N96="","",Sync!$L96)</f>
        <v/>
      </c>
      <c r="W96">
        <f>IF($N96="","",Sync!$P96)</f>
        <v/>
      </c>
      <c r="AA96">
        <f>IF($A96="","",IF(COUNTIF($A$6:$A96,$A96)=1,1,0))</f>
        <v/>
      </c>
      <c r="AB96">
        <f>SUM($AA$6:$AA96)</f>
        <v/>
      </c>
      <c r="AC96">
        <f>IFERROR(INDEX($A$6:$A$1005,MATCH(ROW()-5,$AB$6:$AB$1005,0)),"")</f>
        <v/>
      </c>
    </row>
    <row r="97">
      <c r="A97">
        <f>IF(OR(Entry!$B100="",Entry!$E100="",$E97="نامعتبر"),"",Entry!$E100)</f>
        <v/>
      </c>
      <c r="B97">
        <f>IF($A97="","",LEFT($E97,4)&amp;MID($E97,6,2)&amp;RIGHT($E97,2)&amp;$F97&amp;"|"&amp;"1"&amp;RIGHT("00000"&amp;92,5))</f>
        <v/>
      </c>
      <c r="C97">
        <f>IF($B97="","",COUNTIFS($A$6:$A$1005,$A97,$B$6:$B$1005,"&lt;"&amp;$B97)+COUNTIFS($N$6:$N$2005,$A97,$P$6:$P$2005,"&lt;"&amp;$B97)+1)</f>
        <v/>
      </c>
      <c r="D97">
        <f>IF($C97="","",$A97&amp;"|"&amp;RIGHT("000000"&amp;$C97,6))</f>
        <v/>
      </c>
      <c r="E97">
        <f>IF(Entry!$B100="","",IF(ISNUMBER(Entry!$B100),IF(AND(Entry!$B100&gt;=10000101,Entry!$B100&lt;=99991231),INT(Entry!$B100/10000)&amp;"/"&amp;RIGHT("00"&amp;INT(MOD(Entry!$B100,10000)/100),2)&amp;"/"&amp;RIGHT("00"&amp;MOD(Entry!$B100,100),2),"نامعتبر"),IF(LEN(Entry!$B100)=10,Entry!$B100,"نامعتبر")))</f>
        <v/>
      </c>
      <c r="F97">
        <f>IF(Entry!$B100="","",IF(Entry!$C100="","0000",IF(AND(ISNUMBER(Entry!$C100),Entry!$C100&gt;=0,Entry!$C100&lt;1),RIGHT("00"&amp;HOUR(Entry!$C100),2)&amp;RIGHT("00"&amp;MINUTE(Entry!$C100),2),IFERROR(RIGHT("00"&amp;VALUE(LEFT(Entry!$C100,FIND(":",Entry!$C100)-1)),2)&amp;RIGHT("00"&amp;VALUE(MID(Entry!$C100,FIND(":",Entry!$C100)+1,2)),2),"0000"))))</f>
        <v/>
      </c>
      <c r="G97">
        <f>IF($A97="","",Entry!$G100)</f>
        <v/>
      </c>
      <c r="H97">
        <f>IF($A97="","",IF(Entry!$H100="",0,Entry!$H100))</f>
        <v/>
      </c>
      <c r="I97">
        <f>IF($A97="","",IF(Entry!$I100="",0,Entry!$I100))</f>
        <v/>
      </c>
      <c r="J97">
        <f>IF($A97="","",ROUND($H97*$I97,0))</f>
        <v/>
      </c>
      <c r="K97">
        <f>IF($A97="","",Entry!$D100)</f>
        <v/>
      </c>
      <c r="L97">
        <f>IF($A97="","",Entry!$L100)</f>
        <v/>
      </c>
      <c r="N97">
        <f>IF(OR(Sync!$M97="",$Q97="",$Q97="نامعتبر"),"",Sync!$M97)</f>
        <v/>
      </c>
      <c r="O97">
        <f>IF($N97="","",$Q97)</f>
        <v/>
      </c>
      <c r="P97">
        <f>IF($N97="","",LEFT($Q97,4)&amp;MID($Q97,6,2)&amp;RIGHT($Q97,2)&amp;IF(Sync!$K97="","0000",IF(AND(ISNUMBER(Sync!$K97),Sync!$K97&gt;=0,Sync!$K97&lt;1),RIGHT("00"&amp;HOUR(Sync!$K97),2)&amp;RIGHT("00"&amp;MINUTE(Sync!$K97),2),IFERROR(RIGHT("00"&amp;VALUE(LEFT(Sync!$K97,FIND(":",Sync!$K97)-1)),2)&amp;RIGHT("00"&amp;VALUE(MID(Sync!$K97,FIND(":",Sync!$K97)+1,2)),2),"0000")))&amp;"|"&amp;"2"&amp;RIGHT("00000"&amp;92,5))</f>
        <v/>
      </c>
      <c r="Q97">
        <f>IF(Sync!$J97="","",IF(ISNUMBER(Sync!$J97),IF(AND(Sync!$J97&gt;=10000101,Sync!$J97&lt;=99991231),INT(Sync!$J97/10000)&amp;"/"&amp;RIGHT("00"&amp;INT(MOD(Sync!$J97,10000)/100),2)&amp;"/"&amp;RIGHT("00"&amp;MOD(Sync!$J97,100),2),"نامعتبر"),IF(LEN(Sync!$J97)=10,Sync!$J97,"نامعتبر")))</f>
        <v/>
      </c>
      <c r="R97">
        <f>IF($P97="","",COUNTIFS($N$6:$N$2005,$N97,$P$6:$P$2005,"&lt;"&amp;$P97)+COUNTIFS($A$6:$A$1005,$N97,$B$6:$B$1005,"&lt;"&amp;$P97)+1)</f>
        <v/>
      </c>
      <c r="S97">
        <f>IF($N97="","",$N97&amp;"|"&amp;RIGHT("000000"&amp;$R97,6))</f>
        <v/>
      </c>
      <c r="T97">
        <f>IF($N97="","",IF(Sync!$N97="",0,Sync!$N97))</f>
        <v/>
      </c>
      <c r="U97">
        <f>IF($N97="","",IF(Sync!$O97="",0,Sync!$O97))</f>
        <v/>
      </c>
      <c r="V97">
        <f>IF($N97="","",Sync!$L97)</f>
        <v/>
      </c>
      <c r="W97">
        <f>IF($N97="","",Sync!$P97)</f>
        <v/>
      </c>
      <c r="AA97">
        <f>IF($A97="","",IF(COUNTIF($A$6:$A97,$A97)=1,1,0))</f>
        <v/>
      </c>
      <c r="AB97">
        <f>SUM($AA$6:$AA97)</f>
        <v/>
      </c>
      <c r="AC97">
        <f>IFERROR(INDEX($A$6:$A$1005,MATCH(ROW()-5,$AB$6:$AB$1005,0)),"")</f>
        <v/>
      </c>
    </row>
    <row r="98">
      <c r="A98">
        <f>IF(OR(Entry!$B101="",Entry!$E101="",$E98="نامعتبر"),"",Entry!$E101)</f>
        <v/>
      </c>
      <c r="B98">
        <f>IF($A98="","",LEFT($E98,4)&amp;MID($E98,6,2)&amp;RIGHT($E98,2)&amp;$F98&amp;"|"&amp;"1"&amp;RIGHT("00000"&amp;93,5))</f>
        <v/>
      </c>
      <c r="C98">
        <f>IF($B98="","",COUNTIFS($A$6:$A$1005,$A98,$B$6:$B$1005,"&lt;"&amp;$B98)+COUNTIFS($N$6:$N$2005,$A98,$P$6:$P$2005,"&lt;"&amp;$B98)+1)</f>
        <v/>
      </c>
      <c r="D98">
        <f>IF($C98="","",$A98&amp;"|"&amp;RIGHT("000000"&amp;$C98,6))</f>
        <v/>
      </c>
      <c r="E98">
        <f>IF(Entry!$B101="","",IF(ISNUMBER(Entry!$B101),IF(AND(Entry!$B101&gt;=10000101,Entry!$B101&lt;=99991231),INT(Entry!$B101/10000)&amp;"/"&amp;RIGHT("00"&amp;INT(MOD(Entry!$B101,10000)/100),2)&amp;"/"&amp;RIGHT("00"&amp;MOD(Entry!$B101,100),2),"نامعتبر"),IF(LEN(Entry!$B101)=10,Entry!$B101,"نامعتبر")))</f>
        <v/>
      </c>
      <c r="F98">
        <f>IF(Entry!$B101="","",IF(Entry!$C101="","0000",IF(AND(ISNUMBER(Entry!$C101),Entry!$C101&gt;=0,Entry!$C101&lt;1),RIGHT("00"&amp;HOUR(Entry!$C101),2)&amp;RIGHT("00"&amp;MINUTE(Entry!$C101),2),IFERROR(RIGHT("00"&amp;VALUE(LEFT(Entry!$C101,FIND(":",Entry!$C101)-1)),2)&amp;RIGHT("00"&amp;VALUE(MID(Entry!$C101,FIND(":",Entry!$C101)+1,2)),2),"0000"))))</f>
        <v/>
      </c>
      <c r="G98">
        <f>IF($A98="","",Entry!$G101)</f>
        <v/>
      </c>
      <c r="H98">
        <f>IF($A98="","",IF(Entry!$H101="",0,Entry!$H101))</f>
        <v/>
      </c>
      <c r="I98">
        <f>IF($A98="","",IF(Entry!$I101="",0,Entry!$I101))</f>
        <v/>
      </c>
      <c r="J98">
        <f>IF($A98="","",ROUND($H98*$I98,0))</f>
        <v/>
      </c>
      <c r="K98">
        <f>IF($A98="","",Entry!$D101)</f>
        <v/>
      </c>
      <c r="L98">
        <f>IF($A98="","",Entry!$L101)</f>
        <v/>
      </c>
      <c r="N98">
        <f>IF(OR(Sync!$M98="",$Q98="",$Q98="نامعتبر"),"",Sync!$M98)</f>
        <v/>
      </c>
      <c r="O98">
        <f>IF($N98="","",$Q98)</f>
        <v/>
      </c>
      <c r="P98">
        <f>IF($N98="","",LEFT($Q98,4)&amp;MID($Q98,6,2)&amp;RIGHT($Q98,2)&amp;IF(Sync!$K98="","0000",IF(AND(ISNUMBER(Sync!$K98),Sync!$K98&gt;=0,Sync!$K98&lt;1),RIGHT("00"&amp;HOUR(Sync!$K98),2)&amp;RIGHT("00"&amp;MINUTE(Sync!$K98),2),IFERROR(RIGHT("00"&amp;VALUE(LEFT(Sync!$K98,FIND(":",Sync!$K98)-1)),2)&amp;RIGHT("00"&amp;VALUE(MID(Sync!$K98,FIND(":",Sync!$K98)+1,2)),2),"0000")))&amp;"|"&amp;"2"&amp;RIGHT("00000"&amp;93,5))</f>
        <v/>
      </c>
      <c r="Q98">
        <f>IF(Sync!$J98="","",IF(ISNUMBER(Sync!$J98),IF(AND(Sync!$J98&gt;=10000101,Sync!$J98&lt;=99991231),INT(Sync!$J98/10000)&amp;"/"&amp;RIGHT("00"&amp;INT(MOD(Sync!$J98,10000)/100),2)&amp;"/"&amp;RIGHT("00"&amp;MOD(Sync!$J98,100),2),"نامعتبر"),IF(LEN(Sync!$J98)=10,Sync!$J98,"نامعتبر")))</f>
        <v/>
      </c>
      <c r="R98">
        <f>IF($P98="","",COUNTIFS($N$6:$N$2005,$N98,$P$6:$P$2005,"&lt;"&amp;$P98)+COUNTIFS($A$6:$A$1005,$N98,$B$6:$B$1005,"&lt;"&amp;$P98)+1)</f>
        <v/>
      </c>
      <c r="S98">
        <f>IF($N98="","",$N98&amp;"|"&amp;RIGHT("000000"&amp;$R98,6))</f>
        <v/>
      </c>
      <c r="T98">
        <f>IF($N98="","",IF(Sync!$N98="",0,Sync!$N98))</f>
        <v/>
      </c>
      <c r="U98">
        <f>IF($N98="","",IF(Sync!$O98="",0,Sync!$O98))</f>
        <v/>
      </c>
      <c r="V98">
        <f>IF($N98="","",Sync!$L98)</f>
        <v/>
      </c>
      <c r="W98">
        <f>IF($N98="","",Sync!$P98)</f>
        <v/>
      </c>
      <c r="AA98">
        <f>IF($A98="","",IF(COUNTIF($A$6:$A98,$A98)=1,1,0))</f>
        <v/>
      </c>
      <c r="AB98">
        <f>SUM($AA$6:$AA98)</f>
        <v/>
      </c>
      <c r="AC98">
        <f>IFERROR(INDEX($A$6:$A$1005,MATCH(ROW()-5,$AB$6:$AB$1005,0)),"")</f>
        <v/>
      </c>
    </row>
    <row r="99">
      <c r="A99">
        <f>IF(OR(Entry!$B102="",Entry!$E102="",$E99="نامعتبر"),"",Entry!$E102)</f>
        <v/>
      </c>
      <c r="B99">
        <f>IF($A99="","",LEFT($E99,4)&amp;MID($E99,6,2)&amp;RIGHT($E99,2)&amp;$F99&amp;"|"&amp;"1"&amp;RIGHT("00000"&amp;94,5))</f>
        <v/>
      </c>
      <c r="C99">
        <f>IF($B99="","",COUNTIFS($A$6:$A$1005,$A99,$B$6:$B$1005,"&lt;"&amp;$B99)+COUNTIFS($N$6:$N$2005,$A99,$P$6:$P$2005,"&lt;"&amp;$B99)+1)</f>
        <v/>
      </c>
      <c r="D99">
        <f>IF($C99="","",$A99&amp;"|"&amp;RIGHT("000000"&amp;$C99,6))</f>
        <v/>
      </c>
      <c r="E99">
        <f>IF(Entry!$B102="","",IF(ISNUMBER(Entry!$B102),IF(AND(Entry!$B102&gt;=10000101,Entry!$B102&lt;=99991231),INT(Entry!$B102/10000)&amp;"/"&amp;RIGHT("00"&amp;INT(MOD(Entry!$B102,10000)/100),2)&amp;"/"&amp;RIGHT("00"&amp;MOD(Entry!$B102,100),2),"نامعتبر"),IF(LEN(Entry!$B102)=10,Entry!$B102,"نامعتبر")))</f>
        <v/>
      </c>
      <c r="F99">
        <f>IF(Entry!$B102="","",IF(Entry!$C102="","0000",IF(AND(ISNUMBER(Entry!$C102),Entry!$C102&gt;=0,Entry!$C102&lt;1),RIGHT("00"&amp;HOUR(Entry!$C102),2)&amp;RIGHT("00"&amp;MINUTE(Entry!$C102),2),IFERROR(RIGHT("00"&amp;VALUE(LEFT(Entry!$C102,FIND(":",Entry!$C102)-1)),2)&amp;RIGHT("00"&amp;VALUE(MID(Entry!$C102,FIND(":",Entry!$C102)+1,2)),2),"0000"))))</f>
        <v/>
      </c>
      <c r="G99">
        <f>IF($A99="","",Entry!$G102)</f>
        <v/>
      </c>
      <c r="H99">
        <f>IF($A99="","",IF(Entry!$H102="",0,Entry!$H102))</f>
        <v/>
      </c>
      <c r="I99">
        <f>IF($A99="","",IF(Entry!$I102="",0,Entry!$I102))</f>
        <v/>
      </c>
      <c r="J99">
        <f>IF($A99="","",ROUND($H99*$I99,0))</f>
        <v/>
      </c>
      <c r="K99">
        <f>IF($A99="","",Entry!$D102)</f>
        <v/>
      </c>
      <c r="L99">
        <f>IF($A99="","",Entry!$L102)</f>
        <v/>
      </c>
      <c r="N99">
        <f>IF(OR(Sync!$M99="",$Q99="",$Q99="نامعتبر"),"",Sync!$M99)</f>
        <v/>
      </c>
      <c r="O99">
        <f>IF($N99="","",$Q99)</f>
        <v/>
      </c>
      <c r="P99">
        <f>IF($N99="","",LEFT($Q99,4)&amp;MID($Q99,6,2)&amp;RIGHT($Q99,2)&amp;IF(Sync!$K99="","0000",IF(AND(ISNUMBER(Sync!$K99),Sync!$K99&gt;=0,Sync!$K99&lt;1),RIGHT("00"&amp;HOUR(Sync!$K99),2)&amp;RIGHT("00"&amp;MINUTE(Sync!$K99),2),IFERROR(RIGHT("00"&amp;VALUE(LEFT(Sync!$K99,FIND(":",Sync!$K99)-1)),2)&amp;RIGHT("00"&amp;VALUE(MID(Sync!$K99,FIND(":",Sync!$K99)+1,2)),2),"0000")))&amp;"|"&amp;"2"&amp;RIGHT("00000"&amp;94,5))</f>
        <v/>
      </c>
      <c r="Q99">
        <f>IF(Sync!$J99="","",IF(ISNUMBER(Sync!$J99),IF(AND(Sync!$J99&gt;=10000101,Sync!$J99&lt;=99991231),INT(Sync!$J99/10000)&amp;"/"&amp;RIGHT("00"&amp;INT(MOD(Sync!$J99,10000)/100),2)&amp;"/"&amp;RIGHT("00"&amp;MOD(Sync!$J99,100),2),"نامعتبر"),IF(LEN(Sync!$J99)=10,Sync!$J99,"نامعتبر")))</f>
        <v/>
      </c>
      <c r="R99">
        <f>IF($P99="","",COUNTIFS($N$6:$N$2005,$N99,$P$6:$P$2005,"&lt;"&amp;$P99)+COUNTIFS($A$6:$A$1005,$N99,$B$6:$B$1005,"&lt;"&amp;$P99)+1)</f>
        <v/>
      </c>
      <c r="S99">
        <f>IF($N99="","",$N99&amp;"|"&amp;RIGHT("000000"&amp;$R99,6))</f>
        <v/>
      </c>
      <c r="T99">
        <f>IF($N99="","",IF(Sync!$N99="",0,Sync!$N99))</f>
        <v/>
      </c>
      <c r="U99">
        <f>IF($N99="","",IF(Sync!$O99="",0,Sync!$O99))</f>
        <v/>
      </c>
      <c r="V99">
        <f>IF($N99="","",Sync!$L99)</f>
        <v/>
      </c>
      <c r="W99">
        <f>IF($N99="","",Sync!$P99)</f>
        <v/>
      </c>
      <c r="AA99">
        <f>IF($A99="","",IF(COUNTIF($A$6:$A99,$A99)=1,1,0))</f>
        <v/>
      </c>
      <c r="AB99">
        <f>SUM($AA$6:$AA99)</f>
        <v/>
      </c>
      <c r="AC99">
        <f>IFERROR(INDEX($A$6:$A$1005,MATCH(ROW()-5,$AB$6:$AB$1005,0)),"")</f>
        <v/>
      </c>
    </row>
    <row r="100">
      <c r="A100">
        <f>IF(OR(Entry!$B103="",Entry!$E103="",$E100="نامعتبر"),"",Entry!$E103)</f>
        <v/>
      </c>
      <c r="B100">
        <f>IF($A100="","",LEFT($E100,4)&amp;MID($E100,6,2)&amp;RIGHT($E100,2)&amp;$F100&amp;"|"&amp;"1"&amp;RIGHT("00000"&amp;95,5))</f>
        <v/>
      </c>
      <c r="C100">
        <f>IF($B100="","",COUNTIFS($A$6:$A$1005,$A100,$B$6:$B$1005,"&lt;"&amp;$B100)+COUNTIFS($N$6:$N$2005,$A100,$P$6:$P$2005,"&lt;"&amp;$B100)+1)</f>
        <v/>
      </c>
      <c r="D100">
        <f>IF($C100="","",$A100&amp;"|"&amp;RIGHT("000000"&amp;$C100,6))</f>
        <v/>
      </c>
      <c r="E100">
        <f>IF(Entry!$B103="","",IF(ISNUMBER(Entry!$B103),IF(AND(Entry!$B103&gt;=10000101,Entry!$B103&lt;=99991231),INT(Entry!$B103/10000)&amp;"/"&amp;RIGHT("00"&amp;INT(MOD(Entry!$B103,10000)/100),2)&amp;"/"&amp;RIGHT("00"&amp;MOD(Entry!$B103,100),2),"نامعتبر"),IF(LEN(Entry!$B103)=10,Entry!$B103,"نامعتبر")))</f>
        <v/>
      </c>
      <c r="F100">
        <f>IF(Entry!$B103="","",IF(Entry!$C103="","0000",IF(AND(ISNUMBER(Entry!$C103),Entry!$C103&gt;=0,Entry!$C103&lt;1),RIGHT("00"&amp;HOUR(Entry!$C103),2)&amp;RIGHT("00"&amp;MINUTE(Entry!$C103),2),IFERROR(RIGHT("00"&amp;VALUE(LEFT(Entry!$C103,FIND(":",Entry!$C103)-1)),2)&amp;RIGHT("00"&amp;VALUE(MID(Entry!$C103,FIND(":",Entry!$C103)+1,2)),2),"0000"))))</f>
        <v/>
      </c>
      <c r="G100">
        <f>IF($A100="","",Entry!$G103)</f>
        <v/>
      </c>
      <c r="H100">
        <f>IF($A100="","",IF(Entry!$H103="",0,Entry!$H103))</f>
        <v/>
      </c>
      <c r="I100">
        <f>IF($A100="","",IF(Entry!$I103="",0,Entry!$I103))</f>
        <v/>
      </c>
      <c r="J100">
        <f>IF($A100="","",ROUND($H100*$I100,0))</f>
        <v/>
      </c>
      <c r="K100">
        <f>IF($A100="","",Entry!$D103)</f>
        <v/>
      </c>
      <c r="L100">
        <f>IF($A100="","",Entry!$L103)</f>
        <v/>
      </c>
      <c r="N100">
        <f>IF(OR(Sync!$M100="",$Q100="",$Q100="نامعتبر"),"",Sync!$M100)</f>
        <v/>
      </c>
      <c r="O100">
        <f>IF($N100="","",$Q100)</f>
        <v/>
      </c>
      <c r="P100">
        <f>IF($N100="","",LEFT($Q100,4)&amp;MID($Q100,6,2)&amp;RIGHT($Q100,2)&amp;IF(Sync!$K100="","0000",IF(AND(ISNUMBER(Sync!$K100),Sync!$K100&gt;=0,Sync!$K100&lt;1),RIGHT("00"&amp;HOUR(Sync!$K100),2)&amp;RIGHT("00"&amp;MINUTE(Sync!$K100),2),IFERROR(RIGHT("00"&amp;VALUE(LEFT(Sync!$K100,FIND(":",Sync!$K100)-1)),2)&amp;RIGHT("00"&amp;VALUE(MID(Sync!$K100,FIND(":",Sync!$K100)+1,2)),2),"0000")))&amp;"|"&amp;"2"&amp;RIGHT("00000"&amp;95,5))</f>
        <v/>
      </c>
      <c r="Q100">
        <f>IF(Sync!$J100="","",IF(ISNUMBER(Sync!$J100),IF(AND(Sync!$J100&gt;=10000101,Sync!$J100&lt;=99991231),INT(Sync!$J100/10000)&amp;"/"&amp;RIGHT("00"&amp;INT(MOD(Sync!$J100,10000)/100),2)&amp;"/"&amp;RIGHT("00"&amp;MOD(Sync!$J100,100),2),"نامعتبر"),IF(LEN(Sync!$J100)=10,Sync!$J100,"نامعتبر")))</f>
        <v/>
      </c>
      <c r="R100">
        <f>IF($P100="","",COUNTIFS($N$6:$N$2005,$N100,$P$6:$P$2005,"&lt;"&amp;$P100)+COUNTIFS($A$6:$A$1005,$N100,$B$6:$B$1005,"&lt;"&amp;$P100)+1)</f>
        <v/>
      </c>
      <c r="S100">
        <f>IF($N100="","",$N100&amp;"|"&amp;RIGHT("000000"&amp;$R100,6))</f>
        <v/>
      </c>
      <c r="T100">
        <f>IF($N100="","",IF(Sync!$N100="",0,Sync!$N100))</f>
        <v/>
      </c>
      <c r="U100">
        <f>IF($N100="","",IF(Sync!$O100="",0,Sync!$O100))</f>
        <v/>
      </c>
      <c r="V100">
        <f>IF($N100="","",Sync!$L100)</f>
        <v/>
      </c>
      <c r="W100">
        <f>IF($N100="","",Sync!$P100)</f>
        <v/>
      </c>
      <c r="AA100">
        <f>IF($A100="","",IF(COUNTIF($A$6:$A100,$A100)=1,1,0))</f>
        <v/>
      </c>
      <c r="AB100">
        <f>SUM($AA$6:$AA100)</f>
        <v/>
      </c>
      <c r="AC100">
        <f>IFERROR(INDEX($A$6:$A$1005,MATCH(ROW()-5,$AB$6:$AB$1005,0)),"")</f>
        <v/>
      </c>
    </row>
    <row r="101">
      <c r="A101">
        <f>IF(OR(Entry!$B104="",Entry!$E104="",$E101="نامعتبر"),"",Entry!$E104)</f>
        <v/>
      </c>
      <c r="B101">
        <f>IF($A101="","",LEFT($E101,4)&amp;MID($E101,6,2)&amp;RIGHT($E101,2)&amp;$F101&amp;"|"&amp;"1"&amp;RIGHT("00000"&amp;96,5))</f>
        <v/>
      </c>
      <c r="C101">
        <f>IF($B101="","",COUNTIFS($A$6:$A$1005,$A101,$B$6:$B$1005,"&lt;"&amp;$B101)+COUNTIFS($N$6:$N$2005,$A101,$P$6:$P$2005,"&lt;"&amp;$B101)+1)</f>
        <v/>
      </c>
      <c r="D101">
        <f>IF($C101="","",$A101&amp;"|"&amp;RIGHT("000000"&amp;$C101,6))</f>
        <v/>
      </c>
      <c r="E101">
        <f>IF(Entry!$B104="","",IF(ISNUMBER(Entry!$B104),IF(AND(Entry!$B104&gt;=10000101,Entry!$B104&lt;=99991231),INT(Entry!$B104/10000)&amp;"/"&amp;RIGHT("00"&amp;INT(MOD(Entry!$B104,10000)/100),2)&amp;"/"&amp;RIGHT("00"&amp;MOD(Entry!$B104,100),2),"نامعتبر"),IF(LEN(Entry!$B104)=10,Entry!$B104,"نامعتبر")))</f>
        <v/>
      </c>
      <c r="F101">
        <f>IF(Entry!$B104="","",IF(Entry!$C104="","0000",IF(AND(ISNUMBER(Entry!$C104),Entry!$C104&gt;=0,Entry!$C104&lt;1),RIGHT("00"&amp;HOUR(Entry!$C104),2)&amp;RIGHT("00"&amp;MINUTE(Entry!$C104),2),IFERROR(RIGHT("00"&amp;VALUE(LEFT(Entry!$C104,FIND(":",Entry!$C104)-1)),2)&amp;RIGHT("00"&amp;VALUE(MID(Entry!$C104,FIND(":",Entry!$C104)+1,2)),2),"0000"))))</f>
        <v/>
      </c>
      <c r="G101">
        <f>IF($A101="","",Entry!$G104)</f>
        <v/>
      </c>
      <c r="H101">
        <f>IF($A101="","",IF(Entry!$H104="",0,Entry!$H104))</f>
        <v/>
      </c>
      <c r="I101">
        <f>IF($A101="","",IF(Entry!$I104="",0,Entry!$I104))</f>
        <v/>
      </c>
      <c r="J101">
        <f>IF($A101="","",ROUND($H101*$I101,0))</f>
        <v/>
      </c>
      <c r="K101">
        <f>IF($A101="","",Entry!$D104)</f>
        <v/>
      </c>
      <c r="L101">
        <f>IF($A101="","",Entry!$L104)</f>
        <v/>
      </c>
      <c r="N101">
        <f>IF(OR(Sync!$M101="",$Q101="",$Q101="نامعتبر"),"",Sync!$M101)</f>
        <v/>
      </c>
      <c r="O101">
        <f>IF($N101="","",$Q101)</f>
        <v/>
      </c>
      <c r="P101">
        <f>IF($N101="","",LEFT($Q101,4)&amp;MID($Q101,6,2)&amp;RIGHT($Q101,2)&amp;IF(Sync!$K101="","0000",IF(AND(ISNUMBER(Sync!$K101),Sync!$K101&gt;=0,Sync!$K101&lt;1),RIGHT("00"&amp;HOUR(Sync!$K101),2)&amp;RIGHT("00"&amp;MINUTE(Sync!$K101),2),IFERROR(RIGHT("00"&amp;VALUE(LEFT(Sync!$K101,FIND(":",Sync!$K101)-1)),2)&amp;RIGHT("00"&amp;VALUE(MID(Sync!$K101,FIND(":",Sync!$K101)+1,2)),2),"0000")))&amp;"|"&amp;"2"&amp;RIGHT("00000"&amp;96,5))</f>
        <v/>
      </c>
      <c r="Q101">
        <f>IF(Sync!$J101="","",IF(ISNUMBER(Sync!$J101),IF(AND(Sync!$J101&gt;=10000101,Sync!$J101&lt;=99991231),INT(Sync!$J101/10000)&amp;"/"&amp;RIGHT("00"&amp;INT(MOD(Sync!$J101,10000)/100),2)&amp;"/"&amp;RIGHT("00"&amp;MOD(Sync!$J101,100),2),"نامعتبر"),IF(LEN(Sync!$J101)=10,Sync!$J101,"نامعتبر")))</f>
        <v/>
      </c>
      <c r="R101">
        <f>IF($P101="","",COUNTIFS($N$6:$N$2005,$N101,$P$6:$P$2005,"&lt;"&amp;$P101)+COUNTIFS($A$6:$A$1005,$N101,$B$6:$B$1005,"&lt;"&amp;$P101)+1)</f>
        <v/>
      </c>
      <c r="S101">
        <f>IF($N101="","",$N101&amp;"|"&amp;RIGHT("000000"&amp;$R101,6))</f>
        <v/>
      </c>
      <c r="T101">
        <f>IF($N101="","",IF(Sync!$N101="",0,Sync!$N101))</f>
        <v/>
      </c>
      <c r="U101">
        <f>IF($N101="","",IF(Sync!$O101="",0,Sync!$O101))</f>
        <v/>
      </c>
      <c r="V101">
        <f>IF($N101="","",Sync!$L101)</f>
        <v/>
      </c>
      <c r="W101">
        <f>IF($N101="","",Sync!$P101)</f>
        <v/>
      </c>
      <c r="AA101">
        <f>IF($A101="","",IF(COUNTIF($A$6:$A101,$A101)=1,1,0))</f>
        <v/>
      </c>
      <c r="AB101">
        <f>SUM($AA$6:$AA101)</f>
        <v/>
      </c>
      <c r="AC101">
        <f>IFERROR(INDEX($A$6:$A$1005,MATCH(ROW()-5,$AB$6:$AB$1005,0)),"")</f>
        <v/>
      </c>
    </row>
    <row r="102">
      <c r="A102">
        <f>IF(OR(Entry!$B105="",Entry!$E105="",$E102="نامعتبر"),"",Entry!$E105)</f>
        <v/>
      </c>
      <c r="B102">
        <f>IF($A102="","",LEFT($E102,4)&amp;MID($E102,6,2)&amp;RIGHT($E102,2)&amp;$F102&amp;"|"&amp;"1"&amp;RIGHT("00000"&amp;97,5))</f>
        <v/>
      </c>
      <c r="C102">
        <f>IF($B102="","",COUNTIFS($A$6:$A$1005,$A102,$B$6:$B$1005,"&lt;"&amp;$B102)+COUNTIFS($N$6:$N$2005,$A102,$P$6:$P$2005,"&lt;"&amp;$B102)+1)</f>
        <v/>
      </c>
      <c r="D102">
        <f>IF($C102="","",$A102&amp;"|"&amp;RIGHT("000000"&amp;$C102,6))</f>
        <v/>
      </c>
      <c r="E102">
        <f>IF(Entry!$B105="","",IF(ISNUMBER(Entry!$B105),IF(AND(Entry!$B105&gt;=10000101,Entry!$B105&lt;=99991231),INT(Entry!$B105/10000)&amp;"/"&amp;RIGHT("00"&amp;INT(MOD(Entry!$B105,10000)/100),2)&amp;"/"&amp;RIGHT("00"&amp;MOD(Entry!$B105,100),2),"نامعتبر"),IF(LEN(Entry!$B105)=10,Entry!$B105,"نامعتبر")))</f>
        <v/>
      </c>
      <c r="F102">
        <f>IF(Entry!$B105="","",IF(Entry!$C105="","0000",IF(AND(ISNUMBER(Entry!$C105),Entry!$C105&gt;=0,Entry!$C105&lt;1),RIGHT("00"&amp;HOUR(Entry!$C105),2)&amp;RIGHT("00"&amp;MINUTE(Entry!$C105),2),IFERROR(RIGHT("00"&amp;VALUE(LEFT(Entry!$C105,FIND(":",Entry!$C105)-1)),2)&amp;RIGHT("00"&amp;VALUE(MID(Entry!$C105,FIND(":",Entry!$C105)+1,2)),2),"0000"))))</f>
        <v/>
      </c>
      <c r="G102">
        <f>IF($A102="","",Entry!$G105)</f>
        <v/>
      </c>
      <c r="H102">
        <f>IF($A102="","",IF(Entry!$H105="",0,Entry!$H105))</f>
        <v/>
      </c>
      <c r="I102">
        <f>IF($A102="","",IF(Entry!$I105="",0,Entry!$I105))</f>
        <v/>
      </c>
      <c r="J102">
        <f>IF($A102="","",ROUND($H102*$I102,0))</f>
        <v/>
      </c>
      <c r="K102">
        <f>IF($A102="","",Entry!$D105)</f>
        <v/>
      </c>
      <c r="L102">
        <f>IF($A102="","",Entry!$L105)</f>
        <v/>
      </c>
      <c r="N102">
        <f>IF(OR(Sync!$M102="",$Q102="",$Q102="نامعتبر"),"",Sync!$M102)</f>
        <v/>
      </c>
      <c r="O102">
        <f>IF($N102="","",$Q102)</f>
        <v/>
      </c>
      <c r="P102">
        <f>IF($N102="","",LEFT($Q102,4)&amp;MID($Q102,6,2)&amp;RIGHT($Q102,2)&amp;IF(Sync!$K102="","0000",IF(AND(ISNUMBER(Sync!$K102),Sync!$K102&gt;=0,Sync!$K102&lt;1),RIGHT("00"&amp;HOUR(Sync!$K102),2)&amp;RIGHT("00"&amp;MINUTE(Sync!$K102),2),IFERROR(RIGHT("00"&amp;VALUE(LEFT(Sync!$K102,FIND(":",Sync!$K102)-1)),2)&amp;RIGHT("00"&amp;VALUE(MID(Sync!$K102,FIND(":",Sync!$K102)+1,2)),2),"0000")))&amp;"|"&amp;"2"&amp;RIGHT("00000"&amp;97,5))</f>
        <v/>
      </c>
      <c r="Q102">
        <f>IF(Sync!$J102="","",IF(ISNUMBER(Sync!$J102),IF(AND(Sync!$J102&gt;=10000101,Sync!$J102&lt;=99991231),INT(Sync!$J102/10000)&amp;"/"&amp;RIGHT("00"&amp;INT(MOD(Sync!$J102,10000)/100),2)&amp;"/"&amp;RIGHT("00"&amp;MOD(Sync!$J102,100),2),"نامعتبر"),IF(LEN(Sync!$J102)=10,Sync!$J102,"نامعتبر")))</f>
        <v/>
      </c>
      <c r="R102">
        <f>IF($P102="","",COUNTIFS($N$6:$N$2005,$N102,$P$6:$P$2005,"&lt;"&amp;$P102)+COUNTIFS($A$6:$A$1005,$N102,$B$6:$B$1005,"&lt;"&amp;$P102)+1)</f>
        <v/>
      </c>
      <c r="S102">
        <f>IF($N102="","",$N102&amp;"|"&amp;RIGHT("000000"&amp;$R102,6))</f>
        <v/>
      </c>
      <c r="T102">
        <f>IF($N102="","",IF(Sync!$N102="",0,Sync!$N102))</f>
        <v/>
      </c>
      <c r="U102">
        <f>IF($N102="","",IF(Sync!$O102="",0,Sync!$O102))</f>
        <v/>
      </c>
      <c r="V102">
        <f>IF($N102="","",Sync!$L102)</f>
        <v/>
      </c>
      <c r="W102">
        <f>IF($N102="","",Sync!$P102)</f>
        <v/>
      </c>
      <c r="AA102">
        <f>IF($A102="","",IF(COUNTIF($A$6:$A102,$A102)=1,1,0))</f>
        <v/>
      </c>
      <c r="AB102">
        <f>SUM($AA$6:$AA102)</f>
        <v/>
      </c>
      <c r="AC102">
        <f>IFERROR(INDEX($A$6:$A$1005,MATCH(ROW()-5,$AB$6:$AB$1005,0)),"")</f>
        <v/>
      </c>
    </row>
    <row r="103">
      <c r="A103">
        <f>IF(OR(Entry!$B106="",Entry!$E106="",$E103="نامعتبر"),"",Entry!$E106)</f>
        <v/>
      </c>
      <c r="B103">
        <f>IF($A103="","",LEFT($E103,4)&amp;MID($E103,6,2)&amp;RIGHT($E103,2)&amp;$F103&amp;"|"&amp;"1"&amp;RIGHT("00000"&amp;98,5))</f>
        <v/>
      </c>
      <c r="C103">
        <f>IF($B103="","",COUNTIFS($A$6:$A$1005,$A103,$B$6:$B$1005,"&lt;"&amp;$B103)+COUNTIFS($N$6:$N$2005,$A103,$P$6:$P$2005,"&lt;"&amp;$B103)+1)</f>
        <v/>
      </c>
      <c r="D103">
        <f>IF($C103="","",$A103&amp;"|"&amp;RIGHT("000000"&amp;$C103,6))</f>
        <v/>
      </c>
      <c r="E103">
        <f>IF(Entry!$B106="","",IF(ISNUMBER(Entry!$B106),IF(AND(Entry!$B106&gt;=10000101,Entry!$B106&lt;=99991231),INT(Entry!$B106/10000)&amp;"/"&amp;RIGHT("00"&amp;INT(MOD(Entry!$B106,10000)/100),2)&amp;"/"&amp;RIGHT("00"&amp;MOD(Entry!$B106,100),2),"نامعتبر"),IF(LEN(Entry!$B106)=10,Entry!$B106,"نامعتبر")))</f>
        <v/>
      </c>
      <c r="F103">
        <f>IF(Entry!$B106="","",IF(Entry!$C106="","0000",IF(AND(ISNUMBER(Entry!$C106),Entry!$C106&gt;=0,Entry!$C106&lt;1),RIGHT("00"&amp;HOUR(Entry!$C106),2)&amp;RIGHT("00"&amp;MINUTE(Entry!$C106),2),IFERROR(RIGHT("00"&amp;VALUE(LEFT(Entry!$C106,FIND(":",Entry!$C106)-1)),2)&amp;RIGHT("00"&amp;VALUE(MID(Entry!$C106,FIND(":",Entry!$C106)+1,2)),2),"0000"))))</f>
        <v/>
      </c>
      <c r="G103">
        <f>IF($A103="","",Entry!$G106)</f>
        <v/>
      </c>
      <c r="H103">
        <f>IF($A103="","",IF(Entry!$H106="",0,Entry!$H106))</f>
        <v/>
      </c>
      <c r="I103">
        <f>IF($A103="","",IF(Entry!$I106="",0,Entry!$I106))</f>
        <v/>
      </c>
      <c r="J103">
        <f>IF($A103="","",ROUND($H103*$I103,0))</f>
        <v/>
      </c>
      <c r="K103">
        <f>IF($A103="","",Entry!$D106)</f>
        <v/>
      </c>
      <c r="L103">
        <f>IF($A103="","",Entry!$L106)</f>
        <v/>
      </c>
      <c r="N103">
        <f>IF(OR(Sync!$M103="",$Q103="",$Q103="نامعتبر"),"",Sync!$M103)</f>
        <v/>
      </c>
      <c r="O103">
        <f>IF($N103="","",$Q103)</f>
        <v/>
      </c>
      <c r="P103">
        <f>IF($N103="","",LEFT($Q103,4)&amp;MID($Q103,6,2)&amp;RIGHT($Q103,2)&amp;IF(Sync!$K103="","0000",IF(AND(ISNUMBER(Sync!$K103),Sync!$K103&gt;=0,Sync!$K103&lt;1),RIGHT("00"&amp;HOUR(Sync!$K103),2)&amp;RIGHT("00"&amp;MINUTE(Sync!$K103),2),IFERROR(RIGHT("00"&amp;VALUE(LEFT(Sync!$K103,FIND(":",Sync!$K103)-1)),2)&amp;RIGHT("00"&amp;VALUE(MID(Sync!$K103,FIND(":",Sync!$K103)+1,2)),2),"0000")))&amp;"|"&amp;"2"&amp;RIGHT("00000"&amp;98,5))</f>
        <v/>
      </c>
      <c r="Q103">
        <f>IF(Sync!$J103="","",IF(ISNUMBER(Sync!$J103),IF(AND(Sync!$J103&gt;=10000101,Sync!$J103&lt;=99991231),INT(Sync!$J103/10000)&amp;"/"&amp;RIGHT("00"&amp;INT(MOD(Sync!$J103,10000)/100),2)&amp;"/"&amp;RIGHT("00"&amp;MOD(Sync!$J103,100),2),"نامعتبر"),IF(LEN(Sync!$J103)=10,Sync!$J103,"نامعتبر")))</f>
        <v/>
      </c>
      <c r="R103">
        <f>IF($P103="","",COUNTIFS($N$6:$N$2005,$N103,$P$6:$P$2005,"&lt;"&amp;$P103)+COUNTIFS($A$6:$A$1005,$N103,$B$6:$B$1005,"&lt;"&amp;$P103)+1)</f>
        <v/>
      </c>
      <c r="S103">
        <f>IF($N103="","",$N103&amp;"|"&amp;RIGHT("000000"&amp;$R103,6))</f>
        <v/>
      </c>
      <c r="T103">
        <f>IF($N103="","",IF(Sync!$N103="",0,Sync!$N103))</f>
        <v/>
      </c>
      <c r="U103">
        <f>IF($N103="","",IF(Sync!$O103="",0,Sync!$O103))</f>
        <v/>
      </c>
      <c r="V103">
        <f>IF($N103="","",Sync!$L103)</f>
        <v/>
      </c>
      <c r="W103">
        <f>IF($N103="","",Sync!$P103)</f>
        <v/>
      </c>
      <c r="AA103">
        <f>IF($A103="","",IF(COUNTIF($A$6:$A103,$A103)=1,1,0))</f>
        <v/>
      </c>
      <c r="AB103">
        <f>SUM($AA$6:$AA103)</f>
        <v/>
      </c>
      <c r="AC103">
        <f>IFERROR(INDEX($A$6:$A$1005,MATCH(ROW()-5,$AB$6:$AB$1005,0)),"")</f>
        <v/>
      </c>
    </row>
    <row r="104">
      <c r="A104">
        <f>IF(OR(Entry!$B107="",Entry!$E107="",$E104="نامعتبر"),"",Entry!$E107)</f>
        <v/>
      </c>
      <c r="B104">
        <f>IF($A104="","",LEFT($E104,4)&amp;MID($E104,6,2)&amp;RIGHT($E104,2)&amp;$F104&amp;"|"&amp;"1"&amp;RIGHT("00000"&amp;99,5))</f>
        <v/>
      </c>
      <c r="C104">
        <f>IF($B104="","",COUNTIFS($A$6:$A$1005,$A104,$B$6:$B$1005,"&lt;"&amp;$B104)+COUNTIFS($N$6:$N$2005,$A104,$P$6:$P$2005,"&lt;"&amp;$B104)+1)</f>
        <v/>
      </c>
      <c r="D104">
        <f>IF($C104="","",$A104&amp;"|"&amp;RIGHT("000000"&amp;$C104,6))</f>
        <v/>
      </c>
      <c r="E104">
        <f>IF(Entry!$B107="","",IF(ISNUMBER(Entry!$B107),IF(AND(Entry!$B107&gt;=10000101,Entry!$B107&lt;=99991231),INT(Entry!$B107/10000)&amp;"/"&amp;RIGHT("00"&amp;INT(MOD(Entry!$B107,10000)/100),2)&amp;"/"&amp;RIGHT("00"&amp;MOD(Entry!$B107,100),2),"نامعتبر"),IF(LEN(Entry!$B107)=10,Entry!$B107,"نامعتبر")))</f>
        <v/>
      </c>
      <c r="F104">
        <f>IF(Entry!$B107="","",IF(Entry!$C107="","0000",IF(AND(ISNUMBER(Entry!$C107),Entry!$C107&gt;=0,Entry!$C107&lt;1),RIGHT("00"&amp;HOUR(Entry!$C107),2)&amp;RIGHT("00"&amp;MINUTE(Entry!$C107),2),IFERROR(RIGHT("00"&amp;VALUE(LEFT(Entry!$C107,FIND(":",Entry!$C107)-1)),2)&amp;RIGHT("00"&amp;VALUE(MID(Entry!$C107,FIND(":",Entry!$C107)+1,2)),2),"0000"))))</f>
        <v/>
      </c>
      <c r="G104">
        <f>IF($A104="","",Entry!$G107)</f>
        <v/>
      </c>
      <c r="H104">
        <f>IF($A104="","",IF(Entry!$H107="",0,Entry!$H107))</f>
        <v/>
      </c>
      <c r="I104">
        <f>IF($A104="","",IF(Entry!$I107="",0,Entry!$I107))</f>
        <v/>
      </c>
      <c r="J104">
        <f>IF($A104="","",ROUND($H104*$I104,0))</f>
        <v/>
      </c>
      <c r="K104">
        <f>IF($A104="","",Entry!$D107)</f>
        <v/>
      </c>
      <c r="L104">
        <f>IF($A104="","",Entry!$L107)</f>
        <v/>
      </c>
      <c r="N104">
        <f>IF(OR(Sync!$M104="",$Q104="",$Q104="نامعتبر"),"",Sync!$M104)</f>
        <v/>
      </c>
      <c r="O104">
        <f>IF($N104="","",$Q104)</f>
        <v/>
      </c>
      <c r="P104">
        <f>IF($N104="","",LEFT($Q104,4)&amp;MID($Q104,6,2)&amp;RIGHT($Q104,2)&amp;IF(Sync!$K104="","0000",IF(AND(ISNUMBER(Sync!$K104),Sync!$K104&gt;=0,Sync!$K104&lt;1),RIGHT("00"&amp;HOUR(Sync!$K104),2)&amp;RIGHT("00"&amp;MINUTE(Sync!$K104),2),IFERROR(RIGHT("00"&amp;VALUE(LEFT(Sync!$K104,FIND(":",Sync!$K104)-1)),2)&amp;RIGHT("00"&amp;VALUE(MID(Sync!$K104,FIND(":",Sync!$K104)+1,2)),2),"0000")))&amp;"|"&amp;"2"&amp;RIGHT("00000"&amp;99,5))</f>
        <v/>
      </c>
      <c r="Q104">
        <f>IF(Sync!$J104="","",IF(ISNUMBER(Sync!$J104),IF(AND(Sync!$J104&gt;=10000101,Sync!$J104&lt;=99991231),INT(Sync!$J104/10000)&amp;"/"&amp;RIGHT("00"&amp;INT(MOD(Sync!$J104,10000)/100),2)&amp;"/"&amp;RIGHT("00"&amp;MOD(Sync!$J104,100),2),"نامعتبر"),IF(LEN(Sync!$J104)=10,Sync!$J104,"نامعتبر")))</f>
        <v/>
      </c>
      <c r="R104">
        <f>IF($P104="","",COUNTIFS($N$6:$N$2005,$N104,$P$6:$P$2005,"&lt;"&amp;$P104)+COUNTIFS($A$6:$A$1005,$N104,$B$6:$B$1005,"&lt;"&amp;$P104)+1)</f>
        <v/>
      </c>
      <c r="S104">
        <f>IF($N104="","",$N104&amp;"|"&amp;RIGHT("000000"&amp;$R104,6))</f>
        <v/>
      </c>
      <c r="T104">
        <f>IF($N104="","",IF(Sync!$N104="",0,Sync!$N104))</f>
        <v/>
      </c>
      <c r="U104">
        <f>IF($N104="","",IF(Sync!$O104="",0,Sync!$O104))</f>
        <v/>
      </c>
      <c r="V104">
        <f>IF($N104="","",Sync!$L104)</f>
        <v/>
      </c>
      <c r="W104">
        <f>IF($N104="","",Sync!$P104)</f>
        <v/>
      </c>
      <c r="AA104">
        <f>IF($A104="","",IF(COUNTIF($A$6:$A104,$A104)=1,1,0))</f>
        <v/>
      </c>
      <c r="AB104">
        <f>SUM($AA$6:$AA104)</f>
        <v/>
      </c>
      <c r="AC104">
        <f>IFERROR(INDEX($A$6:$A$1005,MATCH(ROW()-5,$AB$6:$AB$1005,0)),"")</f>
        <v/>
      </c>
    </row>
    <row r="105">
      <c r="A105">
        <f>IF(OR(Entry!$B108="",Entry!$E108="",$E105="نامعتبر"),"",Entry!$E108)</f>
        <v/>
      </c>
      <c r="B105">
        <f>IF($A105="","",LEFT($E105,4)&amp;MID($E105,6,2)&amp;RIGHT($E105,2)&amp;$F105&amp;"|"&amp;"1"&amp;RIGHT("00000"&amp;100,5))</f>
        <v/>
      </c>
      <c r="C105">
        <f>IF($B105="","",COUNTIFS($A$6:$A$1005,$A105,$B$6:$B$1005,"&lt;"&amp;$B105)+COUNTIFS($N$6:$N$2005,$A105,$P$6:$P$2005,"&lt;"&amp;$B105)+1)</f>
        <v/>
      </c>
      <c r="D105">
        <f>IF($C105="","",$A105&amp;"|"&amp;RIGHT("000000"&amp;$C105,6))</f>
        <v/>
      </c>
      <c r="E105">
        <f>IF(Entry!$B108="","",IF(ISNUMBER(Entry!$B108),IF(AND(Entry!$B108&gt;=10000101,Entry!$B108&lt;=99991231),INT(Entry!$B108/10000)&amp;"/"&amp;RIGHT("00"&amp;INT(MOD(Entry!$B108,10000)/100),2)&amp;"/"&amp;RIGHT("00"&amp;MOD(Entry!$B108,100),2),"نامعتبر"),IF(LEN(Entry!$B108)=10,Entry!$B108,"نامعتبر")))</f>
        <v/>
      </c>
      <c r="F105">
        <f>IF(Entry!$B108="","",IF(Entry!$C108="","0000",IF(AND(ISNUMBER(Entry!$C108),Entry!$C108&gt;=0,Entry!$C108&lt;1),RIGHT("00"&amp;HOUR(Entry!$C108),2)&amp;RIGHT("00"&amp;MINUTE(Entry!$C108),2),IFERROR(RIGHT("00"&amp;VALUE(LEFT(Entry!$C108,FIND(":",Entry!$C108)-1)),2)&amp;RIGHT("00"&amp;VALUE(MID(Entry!$C108,FIND(":",Entry!$C108)+1,2)),2),"0000"))))</f>
        <v/>
      </c>
      <c r="G105">
        <f>IF($A105="","",Entry!$G108)</f>
        <v/>
      </c>
      <c r="H105">
        <f>IF($A105="","",IF(Entry!$H108="",0,Entry!$H108))</f>
        <v/>
      </c>
      <c r="I105">
        <f>IF($A105="","",IF(Entry!$I108="",0,Entry!$I108))</f>
        <v/>
      </c>
      <c r="J105">
        <f>IF($A105="","",ROUND($H105*$I105,0))</f>
        <v/>
      </c>
      <c r="K105">
        <f>IF($A105="","",Entry!$D108)</f>
        <v/>
      </c>
      <c r="L105">
        <f>IF($A105="","",Entry!$L108)</f>
        <v/>
      </c>
      <c r="N105">
        <f>IF(OR(Sync!$M105="",$Q105="",$Q105="نامعتبر"),"",Sync!$M105)</f>
        <v/>
      </c>
      <c r="O105">
        <f>IF($N105="","",$Q105)</f>
        <v/>
      </c>
      <c r="P105">
        <f>IF($N105="","",LEFT($Q105,4)&amp;MID($Q105,6,2)&amp;RIGHT($Q105,2)&amp;IF(Sync!$K105="","0000",IF(AND(ISNUMBER(Sync!$K105),Sync!$K105&gt;=0,Sync!$K105&lt;1),RIGHT("00"&amp;HOUR(Sync!$K105),2)&amp;RIGHT("00"&amp;MINUTE(Sync!$K105),2),IFERROR(RIGHT("00"&amp;VALUE(LEFT(Sync!$K105,FIND(":",Sync!$K105)-1)),2)&amp;RIGHT("00"&amp;VALUE(MID(Sync!$K105,FIND(":",Sync!$K105)+1,2)),2),"0000")))&amp;"|"&amp;"2"&amp;RIGHT("00000"&amp;100,5))</f>
        <v/>
      </c>
      <c r="Q105">
        <f>IF(Sync!$J105="","",IF(ISNUMBER(Sync!$J105),IF(AND(Sync!$J105&gt;=10000101,Sync!$J105&lt;=99991231),INT(Sync!$J105/10000)&amp;"/"&amp;RIGHT("00"&amp;INT(MOD(Sync!$J105,10000)/100),2)&amp;"/"&amp;RIGHT("00"&amp;MOD(Sync!$J105,100),2),"نامعتبر"),IF(LEN(Sync!$J105)=10,Sync!$J105,"نامعتبر")))</f>
        <v/>
      </c>
      <c r="R105">
        <f>IF($P105="","",COUNTIFS($N$6:$N$2005,$N105,$P$6:$P$2005,"&lt;"&amp;$P105)+COUNTIFS($A$6:$A$1005,$N105,$B$6:$B$1005,"&lt;"&amp;$P105)+1)</f>
        <v/>
      </c>
      <c r="S105">
        <f>IF($N105="","",$N105&amp;"|"&amp;RIGHT("000000"&amp;$R105,6))</f>
        <v/>
      </c>
      <c r="T105">
        <f>IF($N105="","",IF(Sync!$N105="",0,Sync!$N105))</f>
        <v/>
      </c>
      <c r="U105">
        <f>IF($N105="","",IF(Sync!$O105="",0,Sync!$O105))</f>
        <v/>
      </c>
      <c r="V105">
        <f>IF($N105="","",Sync!$L105)</f>
        <v/>
      </c>
      <c r="W105">
        <f>IF($N105="","",Sync!$P105)</f>
        <v/>
      </c>
      <c r="AA105">
        <f>IF($A105="","",IF(COUNTIF($A$6:$A105,$A105)=1,1,0))</f>
        <v/>
      </c>
      <c r="AB105">
        <f>SUM($AA$6:$AA105)</f>
        <v/>
      </c>
      <c r="AC105">
        <f>IFERROR(INDEX($A$6:$A$1005,MATCH(ROW()-5,$AB$6:$AB$1005,0)),"")</f>
        <v/>
      </c>
    </row>
    <row r="106">
      <c r="A106">
        <f>IF(OR(Entry!$B109="",Entry!$E109="",$E106="نامعتبر"),"",Entry!$E109)</f>
        <v/>
      </c>
      <c r="B106">
        <f>IF($A106="","",LEFT($E106,4)&amp;MID($E106,6,2)&amp;RIGHT($E106,2)&amp;$F106&amp;"|"&amp;"1"&amp;RIGHT("00000"&amp;101,5))</f>
        <v/>
      </c>
      <c r="C106">
        <f>IF($B106="","",COUNTIFS($A$6:$A$1005,$A106,$B$6:$B$1005,"&lt;"&amp;$B106)+COUNTIFS($N$6:$N$2005,$A106,$P$6:$P$2005,"&lt;"&amp;$B106)+1)</f>
        <v/>
      </c>
      <c r="D106">
        <f>IF($C106="","",$A106&amp;"|"&amp;RIGHT("000000"&amp;$C106,6))</f>
        <v/>
      </c>
      <c r="E106">
        <f>IF(Entry!$B109="","",IF(ISNUMBER(Entry!$B109),IF(AND(Entry!$B109&gt;=10000101,Entry!$B109&lt;=99991231),INT(Entry!$B109/10000)&amp;"/"&amp;RIGHT("00"&amp;INT(MOD(Entry!$B109,10000)/100),2)&amp;"/"&amp;RIGHT("00"&amp;MOD(Entry!$B109,100),2),"نامعتبر"),IF(LEN(Entry!$B109)=10,Entry!$B109,"نامعتبر")))</f>
        <v/>
      </c>
      <c r="F106">
        <f>IF(Entry!$B109="","",IF(Entry!$C109="","0000",IF(AND(ISNUMBER(Entry!$C109),Entry!$C109&gt;=0,Entry!$C109&lt;1),RIGHT("00"&amp;HOUR(Entry!$C109),2)&amp;RIGHT("00"&amp;MINUTE(Entry!$C109),2),IFERROR(RIGHT("00"&amp;VALUE(LEFT(Entry!$C109,FIND(":",Entry!$C109)-1)),2)&amp;RIGHT("00"&amp;VALUE(MID(Entry!$C109,FIND(":",Entry!$C109)+1,2)),2),"0000"))))</f>
        <v/>
      </c>
      <c r="G106">
        <f>IF($A106="","",Entry!$G109)</f>
        <v/>
      </c>
      <c r="H106">
        <f>IF($A106="","",IF(Entry!$H109="",0,Entry!$H109))</f>
        <v/>
      </c>
      <c r="I106">
        <f>IF($A106="","",IF(Entry!$I109="",0,Entry!$I109))</f>
        <v/>
      </c>
      <c r="J106">
        <f>IF($A106="","",ROUND($H106*$I106,0))</f>
        <v/>
      </c>
      <c r="K106">
        <f>IF($A106="","",Entry!$D109)</f>
        <v/>
      </c>
      <c r="L106">
        <f>IF($A106="","",Entry!$L109)</f>
        <v/>
      </c>
      <c r="N106">
        <f>IF(OR(Sync!$M106="",$Q106="",$Q106="نامعتبر"),"",Sync!$M106)</f>
        <v/>
      </c>
      <c r="O106">
        <f>IF($N106="","",$Q106)</f>
        <v/>
      </c>
      <c r="P106">
        <f>IF($N106="","",LEFT($Q106,4)&amp;MID($Q106,6,2)&amp;RIGHT($Q106,2)&amp;IF(Sync!$K106="","0000",IF(AND(ISNUMBER(Sync!$K106),Sync!$K106&gt;=0,Sync!$K106&lt;1),RIGHT("00"&amp;HOUR(Sync!$K106),2)&amp;RIGHT("00"&amp;MINUTE(Sync!$K106),2),IFERROR(RIGHT("00"&amp;VALUE(LEFT(Sync!$K106,FIND(":",Sync!$K106)-1)),2)&amp;RIGHT("00"&amp;VALUE(MID(Sync!$K106,FIND(":",Sync!$K106)+1,2)),2),"0000")))&amp;"|"&amp;"2"&amp;RIGHT("00000"&amp;101,5))</f>
        <v/>
      </c>
      <c r="Q106">
        <f>IF(Sync!$J106="","",IF(ISNUMBER(Sync!$J106),IF(AND(Sync!$J106&gt;=10000101,Sync!$J106&lt;=99991231),INT(Sync!$J106/10000)&amp;"/"&amp;RIGHT("00"&amp;INT(MOD(Sync!$J106,10000)/100),2)&amp;"/"&amp;RIGHT("00"&amp;MOD(Sync!$J106,100),2),"نامعتبر"),IF(LEN(Sync!$J106)=10,Sync!$J106,"نامعتبر")))</f>
        <v/>
      </c>
      <c r="R106">
        <f>IF($P106="","",COUNTIFS($N$6:$N$2005,$N106,$P$6:$P$2005,"&lt;"&amp;$P106)+COUNTIFS($A$6:$A$1005,$N106,$B$6:$B$1005,"&lt;"&amp;$P106)+1)</f>
        <v/>
      </c>
      <c r="S106">
        <f>IF($N106="","",$N106&amp;"|"&amp;RIGHT("000000"&amp;$R106,6))</f>
        <v/>
      </c>
      <c r="T106">
        <f>IF($N106="","",IF(Sync!$N106="",0,Sync!$N106))</f>
        <v/>
      </c>
      <c r="U106">
        <f>IF($N106="","",IF(Sync!$O106="",0,Sync!$O106))</f>
        <v/>
      </c>
      <c r="V106">
        <f>IF($N106="","",Sync!$L106)</f>
        <v/>
      </c>
      <c r="W106">
        <f>IF($N106="","",Sync!$P106)</f>
        <v/>
      </c>
      <c r="AA106">
        <f>IF($A106="","",IF(COUNTIF($A$6:$A106,$A106)=1,1,0))</f>
        <v/>
      </c>
      <c r="AB106">
        <f>SUM($AA$6:$AA106)</f>
        <v/>
      </c>
      <c r="AC106">
        <f>IFERROR(INDEX($A$6:$A$1005,MATCH(ROW()-5,$AB$6:$AB$1005,0)),"")</f>
        <v/>
      </c>
    </row>
    <row r="107">
      <c r="A107">
        <f>IF(OR(Entry!$B110="",Entry!$E110="",$E107="نامعتبر"),"",Entry!$E110)</f>
        <v/>
      </c>
      <c r="B107">
        <f>IF($A107="","",LEFT($E107,4)&amp;MID($E107,6,2)&amp;RIGHT($E107,2)&amp;$F107&amp;"|"&amp;"1"&amp;RIGHT("00000"&amp;102,5))</f>
        <v/>
      </c>
      <c r="C107">
        <f>IF($B107="","",COUNTIFS($A$6:$A$1005,$A107,$B$6:$B$1005,"&lt;"&amp;$B107)+COUNTIFS($N$6:$N$2005,$A107,$P$6:$P$2005,"&lt;"&amp;$B107)+1)</f>
        <v/>
      </c>
      <c r="D107">
        <f>IF($C107="","",$A107&amp;"|"&amp;RIGHT("000000"&amp;$C107,6))</f>
        <v/>
      </c>
      <c r="E107">
        <f>IF(Entry!$B110="","",IF(ISNUMBER(Entry!$B110),IF(AND(Entry!$B110&gt;=10000101,Entry!$B110&lt;=99991231),INT(Entry!$B110/10000)&amp;"/"&amp;RIGHT("00"&amp;INT(MOD(Entry!$B110,10000)/100),2)&amp;"/"&amp;RIGHT("00"&amp;MOD(Entry!$B110,100),2),"نامعتبر"),IF(LEN(Entry!$B110)=10,Entry!$B110,"نامعتبر")))</f>
        <v/>
      </c>
      <c r="F107">
        <f>IF(Entry!$B110="","",IF(Entry!$C110="","0000",IF(AND(ISNUMBER(Entry!$C110),Entry!$C110&gt;=0,Entry!$C110&lt;1),RIGHT("00"&amp;HOUR(Entry!$C110),2)&amp;RIGHT("00"&amp;MINUTE(Entry!$C110),2),IFERROR(RIGHT("00"&amp;VALUE(LEFT(Entry!$C110,FIND(":",Entry!$C110)-1)),2)&amp;RIGHT("00"&amp;VALUE(MID(Entry!$C110,FIND(":",Entry!$C110)+1,2)),2),"0000"))))</f>
        <v/>
      </c>
      <c r="G107">
        <f>IF($A107="","",Entry!$G110)</f>
        <v/>
      </c>
      <c r="H107">
        <f>IF($A107="","",IF(Entry!$H110="",0,Entry!$H110))</f>
        <v/>
      </c>
      <c r="I107">
        <f>IF($A107="","",IF(Entry!$I110="",0,Entry!$I110))</f>
        <v/>
      </c>
      <c r="J107">
        <f>IF($A107="","",ROUND($H107*$I107,0))</f>
        <v/>
      </c>
      <c r="K107">
        <f>IF($A107="","",Entry!$D110)</f>
        <v/>
      </c>
      <c r="L107">
        <f>IF($A107="","",Entry!$L110)</f>
        <v/>
      </c>
      <c r="N107">
        <f>IF(OR(Sync!$M107="",$Q107="",$Q107="نامعتبر"),"",Sync!$M107)</f>
        <v/>
      </c>
      <c r="O107">
        <f>IF($N107="","",$Q107)</f>
        <v/>
      </c>
      <c r="P107">
        <f>IF($N107="","",LEFT($Q107,4)&amp;MID($Q107,6,2)&amp;RIGHT($Q107,2)&amp;IF(Sync!$K107="","0000",IF(AND(ISNUMBER(Sync!$K107),Sync!$K107&gt;=0,Sync!$K107&lt;1),RIGHT("00"&amp;HOUR(Sync!$K107),2)&amp;RIGHT("00"&amp;MINUTE(Sync!$K107),2),IFERROR(RIGHT("00"&amp;VALUE(LEFT(Sync!$K107,FIND(":",Sync!$K107)-1)),2)&amp;RIGHT("00"&amp;VALUE(MID(Sync!$K107,FIND(":",Sync!$K107)+1,2)),2),"0000")))&amp;"|"&amp;"2"&amp;RIGHT("00000"&amp;102,5))</f>
        <v/>
      </c>
      <c r="Q107">
        <f>IF(Sync!$J107="","",IF(ISNUMBER(Sync!$J107),IF(AND(Sync!$J107&gt;=10000101,Sync!$J107&lt;=99991231),INT(Sync!$J107/10000)&amp;"/"&amp;RIGHT("00"&amp;INT(MOD(Sync!$J107,10000)/100),2)&amp;"/"&amp;RIGHT("00"&amp;MOD(Sync!$J107,100),2),"نامعتبر"),IF(LEN(Sync!$J107)=10,Sync!$J107,"نامعتبر")))</f>
        <v/>
      </c>
      <c r="R107">
        <f>IF($P107="","",COUNTIFS($N$6:$N$2005,$N107,$P$6:$P$2005,"&lt;"&amp;$P107)+COUNTIFS($A$6:$A$1005,$N107,$B$6:$B$1005,"&lt;"&amp;$P107)+1)</f>
        <v/>
      </c>
      <c r="S107">
        <f>IF($N107="","",$N107&amp;"|"&amp;RIGHT("000000"&amp;$R107,6))</f>
        <v/>
      </c>
      <c r="T107">
        <f>IF($N107="","",IF(Sync!$N107="",0,Sync!$N107))</f>
        <v/>
      </c>
      <c r="U107">
        <f>IF($N107="","",IF(Sync!$O107="",0,Sync!$O107))</f>
        <v/>
      </c>
      <c r="V107">
        <f>IF($N107="","",Sync!$L107)</f>
        <v/>
      </c>
      <c r="W107">
        <f>IF($N107="","",Sync!$P107)</f>
        <v/>
      </c>
      <c r="AA107">
        <f>IF($A107="","",IF(COUNTIF($A$6:$A107,$A107)=1,1,0))</f>
        <v/>
      </c>
      <c r="AB107">
        <f>SUM($AA$6:$AA107)</f>
        <v/>
      </c>
      <c r="AC107">
        <f>IFERROR(INDEX($A$6:$A$1005,MATCH(ROW()-5,$AB$6:$AB$1005,0)),"")</f>
        <v/>
      </c>
    </row>
    <row r="108">
      <c r="A108">
        <f>IF(OR(Entry!$B111="",Entry!$E111="",$E108="نامعتبر"),"",Entry!$E111)</f>
        <v/>
      </c>
      <c r="B108">
        <f>IF($A108="","",LEFT($E108,4)&amp;MID($E108,6,2)&amp;RIGHT($E108,2)&amp;$F108&amp;"|"&amp;"1"&amp;RIGHT("00000"&amp;103,5))</f>
        <v/>
      </c>
      <c r="C108">
        <f>IF($B108="","",COUNTIFS($A$6:$A$1005,$A108,$B$6:$B$1005,"&lt;"&amp;$B108)+COUNTIFS($N$6:$N$2005,$A108,$P$6:$P$2005,"&lt;"&amp;$B108)+1)</f>
        <v/>
      </c>
      <c r="D108">
        <f>IF($C108="","",$A108&amp;"|"&amp;RIGHT("000000"&amp;$C108,6))</f>
        <v/>
      </c>
      <c r="E108">
        <f>IF(Entry!$B111="","",IF(ISNUMBER(Entry!$B111),IF(AND(Entry!$B111&gt;=10000101,Entry!$B111&lt;=99991231),INT(Entry!$B111/10000)&amp;"/"&amp;RIGHT("00"&amp;INT(MOD(Entry!$B111,10000)/100),2)&amp;"/"&amp;RIGHT("00"&amp;MOD(Entry!$B111,100),2),"نامعتبر"),IF(LEN(Entry!$B111)=10,Entry!$B111,"نامعتبر")))</f>
        <v/>
      </c>
      <c r="F108">
        <f>IF(Entry!$B111="","",IF(Entry!$C111="","0000",IF(AND(ISNUMBER(Entry!$C111),Entry!$C111&gt;=0,Entry!$C111&lt;1),RIGHT("00"&amp;HOUR(Entry!$C111),2)&amp;RIGHT("00"&amp;MINUTE(Entry!$C111),2),IFERROR(RIGHT("00"&amp;VALUE(LEFT(Entry!$C111,FIND(":",Entry!$C111)-1)),2)&amp;RIGHT("00"&amp;VALUE(MID(Entry!$C111,FIND(":",Entry!$C111)+1,2)),2),"0000"))))</f>
        <v/>
      </c>
      <c r="G108">
        <f>IF($A108="","",Entry!$G111)</f>
        <v/>
      </c>
      <c r="H108">
        <f>IF($A108="","",IF(Entry!$H111="",0,Entry!$H111))</f>
        <v/>
      </c>
      <c r="I108">
        <f>IF($A108="","",IF(Entry!$I111="",0,Entry!$I111))</f>
        <v/>
      </c>
      <c r="J108">
        <f>IF($A108="","",ROUND($H108*$I108,0))</f>
        <v/>
      </c>
      <c r="K108">
        <f>IF($A108="","",Entry!$D111)</f>
        <v/>
      </c>
      <c r="L108">
        <f>IF($A108="","",Entry!$L111)</f>
        <v/>
      </c>
      <c r="N108">
        <f>IF(OR(Sync!$M108="",$Q108="",$Q108="نامعتبر"),"",Sync!$M108)</f>
        <v/>
      </c>
      <c r="O108">
        <f>IF($N108="","",$Q108)</f>
        <v/>
      </c>
      <c r="P108">
        <f>IF($N108="","",LEFT($Q108,4)&amp;MID($Q108,6,2)&amp;RIGHT($Q108,2)&amp;IF(Sync!$K108="","0000",IF(AND(ISNUMBER(Sync!$K108),Sync!$K108&gt;=0,Sync!$K108&lt;1),RIGHT("00"&amp;HOUR(Sync!$K108),2)&amp;RIGHT("00"&amp;MINUTE(Sync!$K108),2),IFERROR(RIGHT("00"&amp;VALUE(LEFT(Sync!$K108,FIND(":",Sync!$K108)-1)),2)&amp;RIGHT("00"&amp;VALUE(MID(Sync!$K108,FIND(":",Sync!$K108)+1,2)),2),"0000")))&amp;"|"&amp;"2"&amp;RIGHT("00000"&amp;103,5))</f>
        <v/>
      </c>
      <c r="Q108">
        <f>IF(Sync!$J108="","",IF(ISNUMBER(Sync!$J108),IF(AND(Sync!$J108&gt;=10000101,Sync!$J108&lt;=99991231),INT(Sync!$J108/10000)&amp;"/"&amp;RIGHT("00"&amp;INT(MOD(Sync!$J108,10000)/100),2)&amp;"/"&amp;RIGHT("00"&amp;MOD(Sync!$J108,100),2),"نامعتبر"),IF(LEN(Sync!$J108)=10,Sync!$J108,"نامعتبر")))</f>
        <v/>
      </c>
      <c r="R108">
        <f>IF($P108="","",COUNTIFS($N$6:$N$2005,$N108,$P$6:$P$2005,"&lt;"&amp;$P108)+COUNTIFS($A$6:$A$1005,$N108,$B$6:$B$1005,"&lt;"&amp;$P108)+1)</f>
        <v/>
      </c>
      <c r="S108">
        <f>IF($N108="","",$N108&amp;"|"&amp;RIGHT("000000"&amp;$R108,6))</f>
        <v/>
      </c>
      <c r="T108">
        <f>IF($N108="","",IF(Sync!$N108="",0,Sync!$N108))</f>
        <v/>
      </c>
      <c r="U108">
        <f>IF($N108="","",IF(Sync!$O108="",0,Sync!$O108))</f>
        <v/>
      </c>
      <c r="V108">
        <f>IF($N108="","",Sync!$L108)</f>
        <v/>
      </c>
      <c r="W108">
        <f>IF($N108="","",Sync!$P108)</f>
        <v/>
      </c>
      <c r="AA108">
        <f>IF($A108="","",IF(COUNTIF($A$6:$A108,$A108)=1,1,0))</f>
        <v/>
      </c>
      <c r="AB108">
        <f>SUM($AA$6:$AA108)</f>
        <v/>
      </c>
      <c r="AC108">
        <f>IFERROR(INDEX($A$6:$A$1005,MATCH(ROW()-5,$AB$6:$AB$1005,0)),"")</f>
        <v/>
      </c>
    </row>
    <row r="109">
      <c r="A109">
        <f>IF(OR(Entry!$B112="",Entry!$E112="",$E109="نامعتبر"),"",Entry!$E112)</f>
        <v/>
      </c>
      <c r="B109">
        <f>IF($A109="","",LEFT($E109,4)&amp;MID($E109,6,2)&amp;RIGHT($E109,2)&amp;$F109&amp;"|"&amp;"1"&amp;RIGHT("00000"&amp;104,5))</f>
        <v/>
      </c>
      <c r="C109">
        <f>IF($B109="","",COUNTIFS($A$6:$A$1005,$A109,$B$6:$B$1005,"&lt;"&amp;$B109)+COUNTIFS($N$6:$N$2005,$A109,$P$6:$P$2005,"&lt;"&amp;$B109)+1)</f>
        <v/>
      </c>
      <c r="D109">
        <f>IF($C109="","",$A109&amp;"|"&amp;RIGHT("000000"&amp;$C109,6))</f>
        <v/>
      </c>
      <c r="E109">
        <f>IF(Entry!$B112="","",IF(ISNUMBER(Entry!$B112),IF(AND(Entry!$B112&gt;=10000101,Entry!$B112&lt;=99991231),INT(Entry!$B112/10000)&amp;"/"&amp;RIGHT("00"&amp;INT(MOD(Entry!$B112,10000)/100),2)&amp;"/"&amp;RIGHT("00"&amp;MOD(Entry!$B112,100),2),"نامعتبر"),IF(LEN(Entry!$B112)=10,Entry!$B112,"نامعتبر")))</f>
        <v/>
      </c>
      <c r="F109">
        <f>IF(Entry!$B112="","",IF(Entry!$C112="","0000",IF(AND(ISNUMBER(Entry!$C112),Entry!$C112&gt;=0,Entry!$C112&lt;1),RIGHT("00"&amp;HOUR(Entry!$C112),2)&amp;RIGHT("00"&amp;MINUTE(Entry!$C112),2),IFERROR(RIGHT("00"&amp;VALUE(LEFT(Entry!$C112,FIND(":",Entry!$C112)-1)),2)&amp;RIGHT("00"&amp;VALUE(MID(Entry!$C112,FIND(":",Entry!$C112)+1,2)),2),"0000"))))</f>
        <v/>
      </c>
      <c r="G109">
        <f>IF($A109="","",Entry!$G112)</f>
        <v/>
      </c>
      <c r="H109">
        <f>IF($A109="","",IF(Entry!$H112="",0,Entry!$H112))</f>
        <v/>
      </c>
      <c r="I109">
        <f>IF($A109="","",IF(Entry!$I112="",0,Entry!$I112))</f>
        <v/>
      </c>
      <c r="J109">
        <f>IF($A109="","",ROUND($H109*$I109,0))</f>
        <v/>
      </c>
      <c r="K109">
        <f>IF($A109="","",Entry!$D112)</f>
        <v/>
      </c>
      <c r="L109">
        <f>IF($A109="","",Entry!$L112)</f>
        <v/>
      </c>
      <c r="N109">
        <f>IF(OR(Sync!$M109="",$Q109="",$Q109="نامعتبر"),"",Sync!$M109)</f>
        <v/>
      </c>
      <c r="O109">
        <f>IF($N109="","",$Q109)</f>
        <v/>
      </c>
      <c r="P109">
        <f>IF($N109="","",LEFT($Q109,4)&amp;MID($Q109,6,2)&amp;RIGHT($Q109,2)&amp;IF(Sync!$K109="","0000",IF(AND(ISNUMBER(Sync!$K109),Sync!$K109&gt;=0,Sync!$K109&lt;1),RIGHT("00"&amp;HOUR(Sync!$K109),2)&amp;RIGHT("00"&amp;MINUTE(Sync!$K109),2),IFERROR(RIGHT("00"&amp;VALUE(LEFT(Sync!$K109,FIND(":",Sync!$K109)-1)),2)&amp;RIGHT("00"&amp;VALUE(MID(Sync!$K109,FIND(":",Sync!$K109)+1,2)),2),"0000")))&amp;"|"&amp;"2"&amp;RIGHT("00000"&amp;104,5))</f>
        <v/>
      </c>
      <c r="Q109">
        <f>IF(Sync!$J109="","",IF(ISNUMBER(Sync!$J109),IF(AND(Sync!$J109&gt;=10000101,Sync!$J109&lt;=99991231),INT(Sync!$J109/10000)&amp;"/"&amp;RIGHT("00"&amp;INT(MOD(Sync!$J109,10000)/100),2)&amp;"/"&amp;RIGHT("00"&amp;MOD(Sync!$J109,100),2),"نامعتبر"),IF(LEN(Sync!$J109)=10,Sync!$J109,"نامعتبر")))</f>
        <v/>
      </c>
      <c r="R109">
        <f>IF($P109="","",COUNTIFS($N$6:$N$2005,$N109,$P$6:$P$2005,"&lt;"&amp;$P109)+COUNTIFS($A$6:$A$1005,$N109,$B$6:$B$1005,"&lt;"&amp;$P109)+1)</f>
        <v/>
      </c>
      <c r="S109">
        <f>IF($N109="","",$N109&amp;"|"&amp;RIGHT("000000"&amp;$R109,6))</f>
        <v/>
      </c>
      <c r="T109">
        <f>IF($N109="","",IF(Sync!$N109="",0,Sync!$N109))</f>
        <v/>
      </c>
      <c r="U109">
        <f>IF($N109="","",IF(Sync!$O109="",0,Sync!$O109))</f>
        <v/>
      </c>
      <c r="V109">
        <f>IF($N109="","",Sync!$L109)</f>
        <v/>
      </c>
      <c r="W109">
        <f>IF($N109="","",Sync!$P109)</f>
        <v/>
      </c>
      <c r="AA109">
        <f>IF($A109="","",IF(COUNTIF($A$6:$A109,$A109)=1,1,0))</f>
        <v/>
      </c>
      <c r="AB109">
        <f>SUM($AA$6:$AA109)</f>
        <v/>
      </c>
      <c r="AC109">
        <f>IFERROR(INDEX($A$6:$A$1005,MATCH(ROW()-5,$AB$6:$AB$1005,0)),"")</f>
        <v/>
      </c>
    </row>
    <row r="110">
      <c r="A110">
        <f>IF(OR(Entry!$B113="",Entry!$E113="",$E110="نامعتبر"),"",Entry!$E113)</f>
        <v/>
      </c>
      <c r="B110">
        <f>IF($A110="","",LEFT($E110,4)&amp;MID($E110,6,2)&amp;RIGHT($E110,2)&amp;$F110&amp;"|"&amp;"1"&amp;RIGHT("00000"&amp;105,5))</f>
        <v/>
      </c>
      <c r="C110">
        <f>IF($B110="","",COUNTIFS($A$6:$A$1005,$A110,$B$6:$B$1005,"&lt;"&amp;$B110)+COUNTIFS($N$6:$N$2005,$A110,$P$6:$P$2005,"&lt;"&amp;$B110)+1)</f>
        <v/>
      </c>
      <c r="D110">
        <f>IF($C110="","",$A110&amp;"|"&amp;RIGHT("000000"&amp;$C110,6))</f>
        <v/>
      </c>
      <c r="E110">
        <f>IF(Entry!$B113="","",IF(ISNUMBER(Entry!$B113),IF(AND(Entry!$B113&gt;=10000101,Entry!$B113&lt;=99991231),INT(Entry!$B113/10000)&amp;"/"&amp;RIGHT("00"&amp;INT(MOD(Entry!$B113,10000)/100),2)&amp;"/"&amp;RIGHT("00"&amp;MOD(Entry!$B113,100),2),"نامعتبر"),IF(LEN(Entry!$B113)=10,Entry!$B113,"نامعتبر")))</f>
        <v/>
      </c>
      <c r="F110">
        <f>IF(Entry!$B113="","",IF(Entry!$C113="","0000",IF(AND(ISNUMBER(Entry!$C113),Entry!$C113&gt;=0,Entry!$C113&lt;1),RIGHT("00"&amp;HOUR(Entry!$C113),2)&amp;RIGHT("00"&amp;MINUTE(Entry!$C113),2),IFERROR(RIGHT("00"&amp;VALUE(LEFT(Entry!$C113,FIND(":",Entry!$C113)-1)),2)&amp;RIGHT("00"&amp;VALUE(MID(Entry!$C113,FIND(":",Entry!$C113)+1,2)),2),"0000"))))</f>
        <v/>
      </c>
      <c r="G110">
        <f>IF($A110="","",Entry!$G113)</f>
        <v/>
      </c>
      <c r="H110">
        <f>IF($A110="","",IF(Entry!$H113="",0,Entry!$H113))</f>
        <v/>
      </c>
      <c r="I110">
        <f>IF($A110="","",IF(Entry!$I113="",0,Entry!$I113))</f>
        <v/>
      </c>
      <c r="J110">
        <f>IF($A110="","",ROUND($H110*$I110,0))</f>
        <v/>
      </c>
      <c r="K110">
        <f>IF($A110="","",Entry!$D113)</f>
        <v/>
      </c>
      <c r="L110">
        <f>IF($A110="","",Entry!$L113)</f>
        <v/>
      </c>
      <c r="N110">
        <f>IF(OR(Sync!$M110="",$Q110="",$Q110="نامعتبر"),"",Sync!$M110)</f>
        <v/>
      </c>
      <c r="O110">
        <f>IF($N110="","",$Q110)</f>
        <v/>
      </c>
      <c r="P110">
        <f>IF($N110="","",LEFT($Q110,4)&amp;MID($Q110,6,2)&amp;RIGHT($Q110,2)&amp;IF(Sync!$K110="","0000",IF(AND(ISNUMBER(Sync!$K110),Sync!$K110&gt;=0,Sync!$K110&lt;1),RIGHT("00"&amp;HOUR(Sync!$K110),2)&amp;RIGHT("00"&amp;MINUTE(Sync!$K110),2),IFERROR(RIGHT("00"&amp;VALUE(LEFT(Sync!$K110,FIND(":",Sync!$K110)-1)),2)&amp;RIGHT("00"&amp;VALUE(MID(Sync!$K110,FIND(":",Sync!$K110)+1,2)),2),"0000")))&amp;"|"&amp;"2"&amp;RIGHT("00000"&amp;105,5))</f>
        <v/>
      </c>
      <c r="Q110">
        <f>IF(Sync!$J110="","",IF(ISNUMBER(Sync!$J110),IF(AND(Sync!$J110&gt;=10000101,Sync!$J110&lt;=99991231),INT(Sync!$J110/10000)&amp;"/"&amp;RIGHT("00"&amp;INT(MOD(Sync!$J110,10000)/100),2)&amp;"/"&amp;RIGHT("00"&amp;MOD(Sync!$J110,100),2),"نامعتبر"),IF(LEN(Sync!$J110)=10,Sync!$J110,"نامعتبر")))</f>
        <v/>
      </c>
      <c r="R110">
        <f>IF($P110="","",COUNTIFS($N$6:$N$2005,$N110,$P$6:$P$2005,"&lt;"&amp;$P110)+COUNTIFS($A$6:$A$1005,$N110,$B$6:$B$1005,"&lt;"&amp;$P110)+1)</f>
        <v/>
      </c>
      <c r="S110">
        <f>IF($N110="","",$N110&amp;"|"&amp;RIGHT("000000"&amp;$R110,6))</f>
        <v/>
      </c>
      <c r="T110">
        <f>IF($N110="","",IF(Sync!$N110="",0,Sync!$N110))</f>
        <v/>
      </c>
      <c r="U110">
        <f>IF($N110="","",IF(Sync!$O110="",0,Sync!$O110))</f>
        <v/>
      </c>
      <c r="V110">
        <f>IF($N110="","",Sync!$L110)</f>
        <v/>
      </c>
      <c r="W110">
        <f>IF($N110="","",Sync!$P110)</f>
        <v/>
      </c>
      <c r="AA110">
        <f>IF($A110="","",IF(COUNTIF($A$6:$A110,$A110)=1,1,0))</f>
        <v/>
      </c>
      <c r="AB110">
        <f>SUM($AA$6:$AA110)</f>
        <v/>
      </c>
      <c r="AC110">
        <f>IFERROR(INDEX($A$6:$A$1005,MATCH(ROW()-5,$AB$6:$AB$1005,0)),"")</f>
        <v/>
      </c>
    </row>
    <row r="111">
      <c r="A111">
        <f>IF(OR(Entry!$B114="",Entry!$E114="",$E111="نامعتبر"),"",Entry!$E114)</f>
        <v/>
      </c>
      <c r="B111">
        <f>IF($A111="","",LEFT($E111,4)&amp;MID($E111,6,2)&amp;RIGHT($E111,2)&amp;$F111&amp;"|"&amp;"1"&amp;RIGHT("00000"&amp;106,5))</f>
        <v/>
      </c>
      <c r="C111">
        <f>IF($B111="","",COUNTIFS($A$6:$A$1005,$A111,$B$6:$B$1005,"&lt;"&amp;$B111)+COUNTIFS($N$6:$N$2005,$A111,$P$6:$P$2005,"&lt;"&amp;$B111)+1)</f>
        <v/>
      </c>
      <c r="D111">
        <f>IF($C111="","",$A111&amp;"|"&amp;RIGHT("000000"&amp;$C111,6))</f>
        <v/>
      </c>
      <c r="E111">
        <f>IF(Entry!$B114="","",IF(ISNUMBER(Entry!$B114),IF(AND(Entry!$B114&gt;=10000101,Entry!$B114&lt;=99991231),INT(Entry!$B114/10000)&amp;"/"&amp;RIGHT("00"&amp;INT(MOD(Entry!$B114,10000)/100),2)&amp;"/"&amp;RIGHT("00"&amp;MOD(Entry!$B114,100),2),"نامعتبر"),IF(LEN(Entry!$B114)=10,Entry!$B114,"نامعتبر")))</f>
        <v/>
      </c>
      <c r="F111">
        <f>IF(Entry!$B114="","",IF(Entry!$C114="","0000",IF(AND(ISNUMBER(Entry!$C114),Entry!$C114&gt;=0,Entry!$C114&lt;1),RIGHT("00"&amp;HOUR(Entry!$C114),2)&amp;RIGHT("00"&amp;MINUTE(Entry!$C114),2),IFERROR(RIGHT("00"&amp;VALUE(LEFT(Entry!$C114,FIND(":",Entry!$C114)-1)),2)&amp;RIGHT("00"&amp;VALUE(MID(Entry!$C114,FIND(":",Entry!$C114)+1,2)),2),"0000"))))</f>
        <v/>
      </c>
      <c r="G111">
        <f>IF($A111="","",Entry!$G114)</f>
        <v/>
      </c>
      <c r="H111">
        <f>IF($A111="","",IF(Entry!$H114="",0,Entry!$H114))</f>
        <v/>
      </c>
      <c r="I111">
        <f>IF($A111="","",IF(Entry!$I114="",0,Entry!$I114))</f>
        <v/>
      </c>
      <c r="J111">
        <f>IF($A111="","",ROUND($H111*$I111,0))</f>
        <v/>
      </c>
      <c r="K111">
        <f>IF($A111="","",Entry!$D114)</f>
        <v/>
      </c>
      <c r="L111">
        <f>IF($A111="","",Entry!$L114)</f>
        <v/>
      </c>
      <c r="N111">
        <f>IF(OR(Sync!$M111="",$Q111="",$Q111="نامعتبر"),"",Sync!$M111)</f>
        <v/>
      </c>
      <c r="O111">
        <f>IF($N111="","",$Q111)</f>
        <v/>
      </c>
      <c r="P111">
        <f>IF($N111="","",LEFT($Q111,4)&amp;MID($Q111,6,2)&amp;RIGHT($Q111,2)&amp;IF(Sync!$K111="","0000",IF(AND(ISNUMBER(Sync!$K111),Sync!$K111&gt;=0,Sync!$K111&lt;1),RIGHT("00"&amp;HOUR(Sync!$K111),2)&amp;RIGHT("00"&amp;MINUTE(Sync!$K111),2),IFERROR(RIGHT("00"&amp;VALUE(LEFT(Sync!$K111,FIND(":",Sync!$K111)-1)),2)&amp;RIGHT("00"&amp;VALUE(MID(Sync!$K111,FIND(":",Sync!$K111)+1,2)),2),"0000")))&amp;"|"&amp;"2"&amp;RIGHT("00000"&amp;106,5))</f>
        <v/>
      </c>
      <c r="Q111">
        <f>IF(Sync!$J111="","",IF(ISNUMBER(Sync!$J111),IF(AND(Sync!$J111&gt;=10000101,Sync!$J111&lt;=99991231),INT(Sync!$J111/10000)&amp;"/"&amp;RIGHT("00"&amp;INT(MOD(Sync!$J111,10000)/100),2)&amp;"/"&amp;RIGHT("00"&amp;MOD(Sync!$J111,100),2),"نامعتبر"),IF(LEN(Sync!$J111)=10,Sync!$J111,"نامعتبر")))</f>
        <v/>
      </c>
      <c r="R111">
        <f>IF($P111="","",COUNTIFS($N$6:$N$2005,$N111,$P$6:$P$2005,"&lt;"&amp;$P111)+COUNTIFS($A$6:$A$1005,$N111,$B$6:$B$1005,"&lt;"&amp;$P111)+1)</f>
        <v/>
      </c>
      <c r="S111">
        <f>IF($N111="","",$N111&amp;"|"&amp;RIGHT("000000"&amp;$R111,6))</f>
        <v/>
      </c>
      <c r="T111">
        <f>IF($N111="","",IF(Sync!$N111="",0,Sync!$N111))</f>
        <v/>
      </c>
      <c r="U111">
        <f>IF($N111="","",IF(Sync!$O111="",0,Sync!$O111))</f>
        <v/>
      </c>
      <c r="V111">
        <f>IF($N111="","",Sync!$L111)</f>
        <v/>
      </c>
      <c r="W111">
        <f>IF($N111="","",Sync!$P111)</f>
        <v/>
      </c>
      <c r="AA111">
        <f>IF($A111="","",IF(COUNTIF($A$6:$A111,$A111)=1,1,0))</f>
        <v/>
      </c>
      <c r="AB111">
        <f>SUM($AA$6:$AA111)</f>
        <v/>
      </c>
      <c r="AC111">
        <f>IFERROR(INDEX($A$6:$A$1005,MATCH(ROW()-5,$AB$6:$AB$1005,0)),"")</f>
        <v/>
      </c>
    </row>
    <row r="112">
      <c r="A112">
        <f>IF(OR(Entry!$B115="",Entry!$E115="",$E112="نامعتبر"),"",Entry!$E115)</f>
        <v/>
      </c>
      <c r="B112">
        <f>IF($A112="","",LEFT($E112,4)&amp;MID($E112,6,2)&amp;RIGHT($E112,2)&amp;$F112&amp;"|"&amp;"1"&amp;RIGHT("00000"&amp;107,5))</f>
        <v/>
      </c>
      <c r="C112">
        <f>IF($B112="","",COUNTIFS($A$6:$A$1005,$A112,$B$6:$B$1005,"&lt;"&amp;$B112)+COUNTIFS($N$6:$N$2005,$A112,$P$6:$P$2005,"&lt;"&amp;$B112)+1)</f>
        <v/>
      </c>
      <c r="D112">
        <f>IF($C112="","",$A112&amp;"|"&amp;RIGHT("000000"&amp;$C112,6))</f>
        <v/>
      </c>
      <c r="E112">
        <f>IF(Entry!$B115="","",IF(ISNUMBER(Entry!$B115),IF(AND(Entry!$B115&gt;=10000101,Entry!$B115&lt;=99991231),INT(Entry!$B115/10000)&amp;"/"&amp;RIGHT("00"&amp;INT(MOD(Entry!$B115,10000)/100),2)&amp;"/"&amp;RIGHT("00"&amp;MOD(Entry!$B115,100),2),"نامعتبر"),IF(LEN(Entry!$B115)=10,Entry!$B115,"نامعتبر")))</f>
        <v/>
      </c>
      <c r="F112">
        <f>IF(Entry!$B115="","",IF(Entry!$C115="","0000",IF(AND(ISNUMBER(Entry!$C115),Entry!$C115&gt;=0,Entry!$C115&lt;1),RIGHT("00"&amp;HOUR(Entry!$C115),2)&amp;RIGHT("00"&amp;MINUTE(Entry!$C115),2),IFERROR(RIGHT("00"&amp;VALUE(LEFT(Entry!$C115,FIND(":",Entry!$C115)-1)),2)&amp;RIGHT("00"&amp;VALUE(MID(Entry!$C115,FIND(":",Entry!$C115)+1,2)),2),"0000"))))</f>
        <v/>
      </c>
      <c r="G112">
        <f>IF($A112="","",Entry!$G115)</f>
        <v/>
      </c>
      <c r="H112">
        <f>IF($A112="","",IF(Entry!$H115="",0,Entry!$H115))</f>
        <v/>
      </c>
      <c r="I112">
        <f>IF($A112="","",IF(Entry!$I115="",0,Entry!$I115))</f>
        <v/>
      </c>
      <c r="J112">
        <f>IF($A112="","",ROUND($H112*$I112,0))</f>
        <v/>
      </c>
      <c r="K112">
        <f>IF($A112="","",Entry!$D115)</f>
        <v/>
      </c>
      <c r="L112">
        <f>IF($A112="","",Entry!$L115)</f>
        <v/>
      </c>
      <c r="N112">
        <f>IF(OR(Sync!$M112="",$Q112="",$Q112="نامعتبر"),"",Sync!$M112)</f>
        <v/>
      </c>
      <c r="O112">
        <f>IF($N112="","",$Q112)</f>
        <v/>
      </c>
      <c r="P112">
        <f>IF($N112="","",LEFT($Q112,4)&amp;MID($Q112,6,2)&amp;RIGHT($Q112,2)&amp;IF(Sync!$K112="","0000",IF(AND(ISNUMBER(Sync!$K112),Sync!$K112&gt;=0,Sync!$K112&lt;1),RIGHT("00"&amp;HOUR(Sync!$K112),2)&amp;RIGHT("00"&amp;MINUTE(Sync!$K112),2),IFERROR(RIGHT("00"&amp;VALUE(LEFT(Sync!$K112,FIND(":",Sync!$K112)-1)),2)&amp;RIGHT("00"&amp;VALUE(MID(Sync!$K112,FIND(":",Sync!$K112)+1,2)),2),"0000")))&amp;"|"&amp;"2"&amp;RIGHT("00000"&amp;107,5))</f>
        <v/>
      </c>
      <c r="Q112">
        <f>IF(Sync!$J112="","",IF(ISNUMBER(Sync!$J112),IF(AND(Sync!$J112&gt;=10000101,Sync!$J112&lt;=99991231),INT(Sync!$J112/10000)&amp;"/"&amp;RIGHT("00"&amp;INT(MOD(Sync!$J112,10000)/100),2)&amp;"/"&amp;RIGHT("00"&amp;MOD(Sync!$J112,100),2),"نامعتبر"),IF(LEN(Sync!$J112)=10,Sync!$J112,"نامعتبر")))</f>
        <v/>
      </c>
      <c r="R112">
        <f>IF($P112="","",COUNTIFS($N$6:$N$2005,$N112,$P$6:$P$2005,"&lt;"&amp;$P112)+COUNTIFS($A$6:$A$1005,$N112,$B$6:$B$1005,"&lt;"&amp;$P112)+1)</f>
        <v/>
      </c>
      <c r="S112">
        <f>IF($N112="","",$N112&amp;"|"&amp;RIGHT("000000"&amp;$R112,6))</f>
        <v/>
      </c>
      <c r="T112">
        <f>IF($N112="","",IF(Sync!$N112="",0,Sync!$N112))</f>
        <v/>
      </c>
      <c r="U112">
        <f>IF($N112="","",IF(Sync!$O112="",0,Sync!$O112))</f>
        <v/>
      </c>
      <c r="V112">
        <f>IF($N112="","",Sync!$L112)</f>
        <v/>
      </c>
      <c r="W112">
        <f>IF($N112="","",Sync!$P112)</f>
        <v/>
      </c>
      <c r="AA112">
        <f>IF($A112="","",IF(COUNTIF($A$6:$A112,$A112)=1,1,0))</f>
        <v/>
      </c>
      <c r="AB112">
        <f>SUM($AA$6:$AA112)</f>
        <v/>
      </c>
      <c r="AC112">
        <f>IFERROR(INDEX($A$6:$A$1005,MATCH(ROW()-5,$AB$6:$AB$1005,0)),"")</f>
        <v/>
      </c>
    </row>
    <row r="113">
      <c r="A113">
        <f>IF(OR(Entry!$B116="",Entry!$E116="",$E113="نامعتبر"),"",Entry!$E116)</f>
        <v/>
      </c>
      <c r="B113">
        <f>IF($A113="","",LEFT($E113,4)&amp;MID($E113,6,2)&amp;RIGHT($E113,2)&amp;$F113&amp;"|"&amp;"1"&amp;RIGHT("00000"&amp;108,5))</f>
        <v/>
      </c>
      <c r="C113">
        <f>IF($B113="","",COUNTIFS($A$6:$A$1005,$A113,$B$6:$B$1005,"&lt;"&amp;$B113)+COUNTIFS($N$6:$N$2005,$A113,$P$6:$P$2005,"&lt;"&amp;$B113)+1)</f>
        <v/>
      </c>
      <c r="D113">
        <f>IF($C113="","",$A113&amp;"|"&amp;RIGHT("000000"&amp;$C113,6))</f>
        <v/>
      </c>
      <c r="E113">
        <f>IF(Entry!$B116="","",IF(ISNUMBER(Entry!$B116),IF(AND(Entry!$B116&gt;=10000101,Entry!$B116&lt;=99991231),INT(Entry!$B116/10000)&amp;"/"&amp;RIGHT("00"&amp;INT(MOD(Entry!$B116,10000)/100),2)&amp;"/"&amp;RIGHT("00"&amp;MOD(Entry!$B116,100),2),"نامعتبر"),IF(LEN(Entry!$B116)=10,Entry!$B116,"نامعتبر")))</f>
        <v/>
      </c>
      <c r="F113">
        <f>IF(Entry!$B116="","",IF(Entry!$C116="","0000",IF(AND(ISNUMBER(Entry!$C116),Entry!$C116&gt;=0,Entry!$C116&lt;1),RIGHT("00"&amp;HOUR(Entry!$C116),2)&amp;RIGHT("00"&amp;MINUTE(Entry!$C116),2),IFERROR(RIGHT("00"&amp;VALUE(LEFT(Entry!$C116,FIND(":",Entry!$C116)-1)),2)&amp;RIGHT("00"&amp;VALUE(MID(Entry!$C116,FIND(":",Entry!$C116)+1,2)),2),"0000"))))</f>
        <v/>
      </c>
      <c r="G113">
        <f>IF($A113="","",Entry!$G116)</f>
        <v/>
      </c>
      <c r="H113">
        <f>IF($A113="","",IF(Entry!$H116="",0,Entry!$H116))</f>
        <v/>
      </c>
      <c r="I113">
        <f>IF($A113="","",IF(Entry!$I116="",0,Entry!$I116))</f>
        <v/>
      </c>
      <c r="J113">
        <f>IF($A113="","",ROUND($H113*$I113,0))</f>
        <v/>
      </c>
      <c r="K113">
        <f>IF($A113="","",Entry!$D116)</f>
        <v/>
      </c>
      <c r="L113">
        <f>IF($A113="","",Entry!$L116)</f>
        <v/>
      </c>
      <c r="N113">
        <f>IF(OR(Sync!$M113="",$Q113="",$Q113="نامعتبر"),"",Sync!$M113)</f>
        <v/>
      </c>
      <c r="O113">
        <f>IF($N113="","",$Q113)</f>
        <v/>
      </c>
      <c r="P113">
        <f>IF($N113="","",LEFT($Q113,4)&amp;MID($Q113,6,2)&amp;RIGHT($Q113,2)&amp;IF(Sync!$K113="","0000",IF(AND(ISNUMBER(Sync!$K113),Sync!$K113&gt;=0,Sync!$K113&lt;1),RIGHT("00"&amp;HOUR(Sync!$K113),2)&amp;RIGHT("00"&amp;MINUTE(Sync!$K113),2),IFERROR(RIGHT("00"&amp;VALUE(LEFT(Sync!$K113,FIND(":",Sync!$K113)-1)),2)&amp;RIGHT("00"&amp;VALUE(MID(Sync!$K113,FIND(":",Sync!$K113)+1,2)),2),"0000")))&amp;"|"&amp;"2"&amp;RIGHT("00000"&amp;108,5))</f>
        <v/>
      </c>
      <c r="Q113">
        <f>IF(Sync!$J113="","",IF(ISNUMBER(Sync!$J113),IF(AND(Sync!$J113&gt;=10000101,Sync!$J113&lt;=99991231),INT(Sync!$J113/10000)&amp;"/"&amp;RIGHT("00"&amp;INT(MOD(Sync!$J113,10000)/100),2)&amp;"/"&amp;RIGHT("00"&amp;MOD(Sync!$J113,100),2),"نامعتبر"),IF(LEN(Sync!$J113)=10,Sync!$J113,"نامعتبر")))</f>
        <v/>
      </c>
      <c r="R113">
        <f>IF($P113="","",COUNTIFS($N$6:$N$2005,$N113,$P$6:$P$2005,"&lt;"&amp;$P113)+COUNTIFS($A$6:$A$1005,$N113,$B$6:$B$1005,"&lt;"&amp;$P113)+1)</f>
        <v/>
      </c>
      <c r="S113">
        <f>IF($N113="","",$N113&amp;"|"&amp;RIGHT("000000"&amp;$R113,6))</f>
        <v/>
      </c>
      <c r="T113">
        <f>IF($N113="","",IF(Sync!$N113="",0,Sync!$N113))</f>
        <v/>
      </c>
      <c r="U113">
        <f>IF($N113="","",IF(Sync!$O113="",0,Sync!$O113))</f>
        <v/>
      </c>
      <c r="V113">
        <f>IF($N113="","",Sync!$L113)</f>
        <v/>
      </c>
      <c r="W113">
        <f>IF($N113="","",Sync!$P113)</f>
        <v/>
      </c>
      <c r="AA113">
        <f>IF($A113="","",IF(COUNTIF($A$6:$A113,$A113)=1,1,0))</f>
        <v/>
      </c>
      <c r="AB113">
        <f>SUM($AA$6:$AA113)</f>
        <v/>
      </c>
      <c r="AC113">
        <f>IFERROR(INDEX($A$6:$A$1005,MATCH(ROW()-5,$AB$6:$AB$1005,0)),"")</f>
        <v/>
      </c>
    </row>
    <row r="114">
      <c r="A114">
        <f>IF(OR(Entry!$B117="",Entry!$E117="",$E114="نامعتبر"),"",Entry!$E117)</f>
        <v/>
      </c>
      <c r="B114">
        <f>IF($A114="","",LEFT($E114,4)&amp;MID($E114,6,2)&amp;RIGHT($E114,2)&amp;$F114&amp;"|"&amp;"1"&amp;RIGHT("00000"&amp;109,5))</f>
        <v/>
      </c>
      <c r="C114">
        <f>IF($B114="","",COUNTIFS($A$6:$A$1005,$A114,$B$6:$B$1005,"&lt;"&amp;$B114)+COUNTIFS($N$6:$N$2005,$A114,$P$6:$P$2005,"&lt;"&amp;$B114)+1)</f>
        <v/>
      </c>
      <c r="D114">
        <f>IF($C114="","",$A114&amp;"|"&amp;RIGHT("000000"&amp;$C114,6))</f>
        <v/>
      </c>
      <c r="E114">
        <f>IF(Entry!$B117="","",IF(ISNUMBER(Entry!$B117),IF(AND(Entry!$B117&gt;=10000101,Entry!$B117&lt;=99991231),INT(Entry!$B117/10000)&amp;"/"&amp;RIGHT("00"&amp;INT(MOD(Entry!$B117,10000)/100),2)&amp;"/"&amp;RIGHT("00"&amp;MOD(Entry!$B117,100),2),"نامعتبر"),IF(LEN(Entry!$B117)=10,Entry!$B117,"نامعتبر")))</f>
        <v/>
      </c>
      <c r="F114">
        <f>IF(Entry!$B117="","",IF(Entry!$C117="","0000",IF(AND(ISNUMBER(Entry!$C117),Entry!$C117&gt;=0,Entry!$C117&lt;1),RIGHT("00"&amp;HOUR(Entry!$C117),2)&amp;RIGHT("00"&amp;MINUTE(Entry!$C117),2),IFERROR(RIGHT("00"&amp;VALUE(LEFT(Entry!$C117,FIND(":",Entry!$C117)-1)),2)&amp;RIGHT("00"&amp;VALUE(MID(Entry!$C117,FIND(":",Entry!$C117)+1,2)),2),"0000"))))</f>
        <v/>
      </c>
      <c r="G114">
        <f>IF($A114="","",Entry!$G117)</f>
        <v/>
      </c>
      <c r="H114">
        <f>IF($A114="","",IF(Entry!$H117="",0,Entry!$H117))</f>
        <v/>
      </c>
      <c r="I114">
        <f>IF($A114="","",IF(Entry!$I117="",0,Entry!$I117))</f>
        <v/>
      </c>
      <c r="J114">
        <f>IF($A114="","",ROUND($H114*$I114,0))</f>
        <v/>
      </c>
      <c r="K114">
        <f>IF($A114="","",Entry!$D117)</f>
        <v/>
      </c>
      <c r="L114">
        <f>IF($A114="","",Entry!$L117)</f>
        <v/>
      </c>
      <c r="N114">
        <f>IF(OR(Sync!$M114="",$Q114="",$Q114="نامعتبر"),"",Sync!$M114)</f>
        <v/>
      </c>
      <c r="O114">
        <f>IF($N114="","",$Q114)</f>
        <v/>
      </c>
      <c r="P114">
        <f>IF($N114="","",LEFT($Q114,4)&amp;MID($Q114,6,2)&amp;RIGHT($Q114,2)&amp;IF(Sync!$K114="","0000",IF(AND(ISNUMBER(Sync!$K114),Sync!$K114&gt;=0,Sync!$K114&lt;1),RIGHT("00"&amp;HOUR(Sync!$K114),2)&amp;RIGHT("00"&amp;MINUTE(Sync!$K114),2),IFERROR(RIGHT("00"&amp;VALUE(LEFT(Sync!$K114,FIND(":",Sync!$K114)-1)),2)&amp;RIGHT("00"&amp;VALUE(MID(Sync!$K114,FIND(":",Sync!$K114)+1,2)),2),"0000")))&amp;"|"&amp;"2"&amp;RIGHT("00000"&amp;109,5))</f>
        <v/>
      </c>
      <c r="Q114">
        <f>IF(Sync!$J114="","",IF(ISNUMBER(Sync!$J114),IF(AND(Sync!$J114&gt;=10000101,Sync!$J114&lt;=99991231),INT(Sync!$J114/10000)&amp;"/"&amp;RIGHT("00"&amp;INT(MOD(Sync!$J114,10000)/100),2)&amp;"/"&amp;RIGHT("00"&amp;MOD(Sync!$J114,100),2),"نامعتبر"),IF(LEN(Sync!$J114)=10,Sync!$J114,"نامعتبر")))</f>
        <v/>
      </c>
      <c r="R114">
        <f>IF($P114="","",COUNTIFS($N$6:$N$2005,$N114,$P$6:$P$2005,"&lt;"&amp;$P114)+COUNTIFS($A$6:$A$1005,$N114,$B$6:$B$1005,"&lt;"&amp;$P114)+1)</f>
        <v/>
      </c>
      <c r="S114">
        <f>IF($N114="","",$N114&amp;"|"&amp;RIGHT("000000"&amp;$R114,6))</f>
        <v/>
      </c>
      <c r="T114">
        <f>IF($N114="","",IF(Sync!$N114="",0,Sync!$N114))</f>
        <v/>
      </c>
      <c r="U114">
        <f>IF($N114="","",IF(Sync!$O114="",0,Sync!$O114))</f>
        <v/>
      </c>
      <c r="V114">
        <f>IF($N114="","",Sync!$L114)</f>
        <v/>
      </c>
      <c r="W114">
        <f>IF($N114="","",Sync!$P114)</f>
        <v/>
      </c>
      <c r="AA114">
        <f>IF($A114="","",IF(COUNTIF($A$6:$A114,$A114)=1,1,0))</f>
        <v/>
      </c>
      <c r="AB114">
        <f>SUM($AA$6:$AA114)</f>
        <v/>
      </c>
      <c r="AC114">
        <f>IFERROR(INDEX($A$6:$A$1005,MATCH(ROW()-5,$AB$6:$AB$1005,0)),"")</f>
        <v/>
      </c>
    </row>
    <row r="115">
      <c r="A115">
        <f>IF(OR(Entry!$B118="",Entry!$E118="",$E115="نامعتبر"),"",Entry!$E118)</f>
        <v/>
      </c>
      <c r="B115">
        <f>IF($A115="","",LEFT($E115,4)&amp;MID($E115,6,2)&amp;RIGHT($E115,2)&amp;$F115&amp;"|"&amp;"1"&amp;RIGHT("00000"&amp;110,5))</f>
        <v/>
      </c>
      <c r="C115">
        <f>IF($B115="","",COUNTIFS($A$6:$A$1005,$A115,$B$6:$B$1005,"&lt;"&amp;$B115)+COUNTIFS($N$6:$N$2005,$A115,$P$6:$P$2005,"&lt;"&amp;$B115)+1)</f>
        <v/>
      </c>
      <c r="D115">
        <f>IF($C115="","",$A115&amp;"|"&amp;RIGHT("000000"&amp;$C115,6))</f>
        <v/>
      </c>
      <c r="E115">
        <f>IF(Entry!$B118="","",IF(ISNUMBER(Entry!$B118),IF(AND(Entry!$B118&gt;=10000101,Entry!$B118&lt;=99991231),INT(Entry!$B118/10000)&amp;"/"&amp;RIGHT("00"&amp;INT(MOD(Entry!$B118,10000)/100),2)&amp;"/"&amp;RIGHT("00"&amp;MOD(Entry!$B118,100),2),"نامعتبر"),IF(LEN(Entry!$B118)=10,Entry!$B118,"نامعتبر")))</f>
        <v/>
      </c>
      <c r="F115">
        <f>IF(Entry!$B118="","",IF(Entry!$C118="","0000",IF(AND(ISNUMBER(Entry!$C118),Entry!$C118&gt;=0,Entry!$C118&lt;1),RIGHT("00"&amp;HOUR(Entry!$C118),2)&amp;RIGHT("00"&amp;MINUTE(Entry!$C118),2),IFERROR(RIGHT("00"&amp;VALUE(LEFT(Entry!$C118,FIND(":",Entry!$C118)-1)),2)&amp;RIGHT("00"&amp;VALUE(MID(Entry!$C118,FIND(":",Entry!$C118)+1,2)),2),"0000"))))</f>
        <v/>
      </c>
      <c r="G115">
        <f>IF($A115="","",Entry!$G118)</f>
        <v/>
      </c>
      <c r="H115">
        <f>IF($A115="","",IF(Entry!$H118="",0,Entry!$H118))</f>
        <v/>
      </c>
      <c r="I115">
        <f>IF($A115="","",IF(Entry!$I118="",0,Entry!$I118))</f>
        <v/>
      </c>
      <c r="J115">
        <f>IF($A115="","",ROUND($H115*$I115,0))</f>
        <v/>
      </c>
      <c r="K115">
        <f>IF($A115="","",Entry!$D118)</f>
        <v/>
      </c>
      <c r="L115">
        <f>IF($A115="","",Entry!$L118)</f>
        <v/>
      </c>
      <c r="N115">
        <f>IF(OR(Sync!$M115="",$Q115="",$Q115="نامعتبر"),"",Sync!$M115)</f>
        <v/>
      </c>
      <c r="O115">
        <f>IF($N115="","",$Q115)</f>
        <v/>
      </c>
      <c r="P115">
        <f>IF($N115="","",LEFT($Q115,4)&amp;MID($Q115,6,2)&amp;RIGHT($Q115,2)&amp;IF(Sync!$K115="","0000",IF(AND(ISNUMBER(Sync!$K115),Sync!$K115&gt;=0,Sync!$K115&lt;1),RIGHT("00"&amp;HOUR(Sync!$K115),2)&amp;RIGHT("00"&amp;MINUTE(Sync!$K115),2),IFERROR(RIGHT("00"&amp;VALUE(LEFT(Sync!$K115,FIND(":",Sync!$K115)-1)),2)&amp;RIGHT("00"&amp;VALUE(MID(Sync!$K115,FIND(":",Sync!$K115)+1,2)),2),"0000")))&amp;"|"&amp;"2"&amp;RIGHT("00000"&amp;110,5))</f>
        <v/>
      </c>
      <c r="Q115">
        <f>IF(Sync!$J115="","",IF(ISNUMBER(Sync!$J115),IF(AND(Sync!$J115&gt;=10000101,Sync!$J115&lt;=99991231),INT(Sync!$J115/10000)&amp;"/"&amp;RIGHT("00"&amp;INT(MOD(Sync!$J115,10000)/100),2)&amp;"/"&amp;RIGHT("00"&amp;MOD(Sync!$J115,100),2),"نامعتبر"),IF(LEN(Sync!$J115)=10,Sync!$J115,"نامعتبر")))</f>
        <v/>
      </c>
      <c r="R115">
        <f>IF($P115="","",COUNTIFS($N$6:$N$2005,$N115,$P$6:$P$2005,"&lt;"&amp;$P115)+COUNTIFS($A$6:$A$1005,$N115,$B$6:$B$1005,"&lt;"&amp;$P115)+1)</f>
        <v/>
      </c>
      <c r="S115">
        <f>IF($N115="","",$N115&amp;"|"&amp;RIGHT("000000"&amp;$R115,6))</f>
        <v/>
      </c>
      <c r="T115">
        <f>IF($N115="","",IF(Sync!$N115="",0,Sync!$N115))</f>
        <v/>
      </c>
      <c r="U115">
        <f>IF($N115="","",IF(Sync!$O115="",0,Sync!$O115))</f>
        <v/>
      </c>
      <c r="V115">
        <f>IF($N115="","",Sync!$L115)</f>
        <v/>
      </c>
      <c r="W115">
        <f>IF($N115="","",Sync!$P115)</f>
        <v/>
      </c>
      <c r="AA115">
        <f>IF($A115="","",IF(COUNTIF($A$6:$A115,$A115)=1,1,0))</f>
        <v/>
      </c>
      <c r="AB115">
        <f>SUM($AA$6:$AA115)</f>
        <v/>
      </c>
      <c r="AC115">
        <f>IFERROR(INDEX($A$6:$A$1005,MATCH(ROW()-5,$AB$6:$AB$1005,0)),"")</f>
        <v/>
      </c>
    </row>
    <row r="116">
      <c r="A116">
        <f>IF(OR(Entry!$B119="",Entry!$E119="",$E116="نامعتبر"),"",Entry!$E119)</f>
        <v/>
      </c>
      <c r="B116">
        <f>IF($A116="","",LEFT($E116,4)&amp;MID($E116,6,2)&amp;RIGHT($E116,2)&amp;$F116&amp;"|"&amp;"1"&amp;RIGHT("00000"&amp;111,5))</f>
        <v/>
      </c>
      <c r="C116">
        <f>IF($B116="","",COUNTIFS($A$6:$A$1005,$A116,$B$6:$B$1005,"&lt;"&amp;$B116)+COUNTIFS($N$6:$N$2005,$A116,$P$6:$P$2005,"&lt;"&amp;$B116)+1)</f>
        <v/>
      </c>
      <c r="D116">
        <f>IF($C116="","",$A116&amp;"|"&amp;RIGHT("000000"&amp;$C116,6))</f>
        <v/>
      </c>
      <c r="E116">
        <f>IF(Entry!$B119="","",IF(ISNUMBER(Entry!$B119),IF(AND(Entry!$B119&gt;=10000101,Entry!$B119&lt;=99991231),INT(Entry!$B119/10000)&amp;"/"&amp;RIGHT("00"&amp;INT(MOD(Entry!$B119,10000)/100),2)&amp;"/"&amp;RIGHT("00"&amp;MOD(Entry!$B119,100),2),"نامعتبر"),IF(LEN(Entry!$B119)=10,Entry!$B119,"نامعتبر")))</f>
        <v/>
      </c>
      <c r="F116">
        <f>IF(Entry!$B119="","",IF(Entry!$C119="","0000",IF(AND(ISNUMBER(Entry!$C119),Entry!$C119&gt;=0,Entry!$C119&lt;1),RIGHT("00"&amp;HOUR(Entry!$C119),2)&amp;RIGHT("00"&amp;MINUTE(Entry!$C119),2),IFERROR(RIGHT("00"&amp;VALUE(LEFT(Entry!$C119,FIND(":",Entry!$C119)-1)),2)&amp;RIGHT("00"&amp;VALUE(MID(Entry!$C119,FIND(":",Entry!$C119)+1,2)),2),"0000"))))</f>
        <v/>
      </c>
      <c r="G116">
        <f>IF($A116="","",Entry!$G119)</f>
        <v/>
      </c>
      <c r="H116">
        <f>IF($A116="","",IF(Entry!$H119="",0,Entry!$H119))</f>
        <v/>
      </c>
      <c r="I116">
        <f>IF($A116="","",IF(Entry!$I119="",0,Entry!$I119))</f>
        <v/>
      </c>
      <c r="J116">
        <f>IF($A116="","",ROUND($H116*$I116,0))</f>
        <v/>
      </c>
      <c r="K116">
        <f>IF($A116="","",Entry!$D119)</f>
        <v/>
      </c>
      <c r="L116">
        <f>IF($A116="","",Entry!$L119)</f>
        <v/>
      </c>
      <c r="N116">
        <f>IF(OR(Sync!$M116="",$Q116="",$Q116="نامعتبر"),"",Sync!$M116)</f>
        <v/>
      </c>
      <c r="O116">
        <f>IF($N116="","",$Q116)</f>
        <v/>
      </c>
      <c r="P116">
        <f>IF($N116="","",LEFT($Q116,4)&amp;MID($Q116,6,2)&amp;RIGHT($Q116,2)&amp;IF(Sync!$K116="","0000",IF(AND(ISNUMBER(Sync!$K116),Sync!$K116&gt;=0,Sync!$K116&lt;1),RIGHT("00"&amp;HOUR(Sync!$K116),2)&amp;RIGHT("00"&amp;MINUTE(Sync!$K116),2),IFERROR(RIGHT("00"&amp;VALUE(LEFT(Sync!$K116,FIND(":",Sync!$K116)-1)),2)&amp;RIGHT("00"&amp;VALUE(MID(Sync!$K116,FIND(":",Sync!$K116)+1,2)),2),"0000")))&amp;"|"&amp;"2"&amp;RIGHT("00000"&amp;111,5))</f>
        <v/>
      </c>
      <c r="Q116">
        <f>IF(Sync!$J116="","",IF(ISNUMBER(Sync!$J116),IF(AND(Sync!$J116&gt;=10000101,Sync!$J116&lt;=99991231),INT(Sync!$J116/10000)&amp;"/"&amp;RIGHT("00"&amp;INT(MOD(Sync!$J116,10000)/100),2)&amp;"/"&amp;RIGHT("00"&amp;MOD(Sync!$J116,100),2),"نامعتبر"),IF(LEN(Sync!$J116)=10,Sync!$J116,"نامعتبر")))</f>
        <v/>
      </c>
      <c r="R116">
        <f>IF($P116="","",COUNTIFS($N$6:$N$2005,$N116,$P$6:$P$2005,"&lt;"&amp;$P116)+COUNTIFS($A$6:$A$1005,$N116,$B$6:$B$1005,"&lt;"&amp;$P116)+1)</f>
        <v/>
      </c>
      <c r="S116">
        <f>IF($N116="","",$N116&amp;"|"&amp;RIGHT("000000"&amp;$R116,6))</f>
        <v/>
      </c>
      <c r="T116">
        <f>IF($N116="","",IF(Sync!$N116="",0,Sync!$N116))</f>
        <v/>
      </c>
      <c r="U116">
        <f>IF($N116="","",IF(Sync!$O116="",0,Sync!$O116))</f>
        <v/>
      </c>
      <c r="V116">
        <f>IF($N116="","",Sync!$L116)</f>
        <v/>
      </c>
      <c r="W116">
        <f>IF($N116="","",Sync!$P116)</f>
        <v/>
      </c>
      <c r="AA116">
        <f>IF($A116="","",IF(COUNTIF($A$6:$A116,$A116)=1,1,0))</f>
        <v/>
      </c>
      <c r="AB116">
        <f>SUM($AA$6:$AA116)</f>
        <v/>
      </c>
      <c r="AC116">
        <f>IFERROR(INDEX($A$6:$A$1005,MATCH(ROW()-5,$AB$6:$AB$1005,0)),"")</f>
        <v/>
      </c>
    </row>
    <row r="117">
      <c r="A117">
        <f>IF(OR(Entry!$B120="",Entry!$E120="",$E117="نامعتبر"),"",Entry!$E120)</f>
        <v/>
      </c>
      <c r="B117">
        <f>IF($A117="","",LEFT($E117,4)&amp;MID($E117,6,2)&amp;RIGHT($E117,2)&amp;$F117&amp;"|"&amp;"1"&amp;RIGHT("00000"&amp;112,5))</f>
        <v/>
      </c>
      <c r="C117">
        <f>IF($B117="","",COUNTIFS($A$6:$A$1005,$A117,$B$6:$B$1005,"&lt;"&amp;$B117)+COUNTIFS($N$6:$N$2005,$A117,$P$6:$P$2005,"&lt;"&amp;$B117)+1)</f>
        <v/>
      </c>
      <c r="D117">
        <f>IF($C117="","",$A117&amp;"|"&amp;RIGHT("000000"&amp;$C117,6))</f>
        <v/>
      </c>
      <c r="E117">
        <f>IF(Entry!$B120="","",IF(ISNUMBER(Entry!$B120),IF(AND(Entry!$B120&gt;=10000101,Entry!$B120&lt;=99991231),INT(Entry!$B120/10000)&amp;"/"&amp;RIGHT("00"&amp;INT(MOD(Entry!$B120,10000)/100),2)&amp;"/"&amp;RIGHT("00"&amp;MOD(Entry!$B120,100),2),"نامعتبر"),IF(LEN(Entry!$B120)=10,Entry!$B120,"نامعتبر")))</f>
        <v/>
      </c>
      <c r="F117">
        <f>IF(Entry!$B120="","",IF(Entry!$C120="","0000",IF(AND(ISNUMBER(Entry!$C120),Entry!$C120&gt;=0,Entry!$C120&lt;1),RIGHT("00"&amp;HOUR(Entry!$C120),2)&amp;RIGHT("00"&amp;MINUTE(Entry!$C120),2),IFERROR(RIGHT("00"&amp;VALUE(LEFT(Entry!$C120,FIND(":",Entry!$C120)-1)),2)&amp;RIGHT("00"&amp;VALUE(MID(Entry!$C120,FIND(":",Entry!$C120)+1,2)),2),"0000"))))</f>
        <v/>
      </c>
      <c r="G117">
        <f>IF($A117="","",Entry!$G120)</f>
        <v/>
      </c>
      <c r="H117">
        <f>IF($A117="","",IF(Entry!$H120="",0,Entry!$H120))</f>
        <v/>
      </c>
      <c r="I117">
        <f>IF($A117="","",IF(Entry!$I120="",0,Entry!$I120))</f>
        <v/>
      </c>
      <c r="J117">
        <f>IF($A117="","",ROUND($H117*$I117,0))</f>
        <v/>
      </c>
      <c r="K117">
        <f>IF($A117="","",Entry!$D120)</f>
        <v/>
      </c>
      <c r="L117">
        <f>IF($A117="","",Entry!$L120)</f>
        <v/>
      </c>
      <c r="N117">
        <f>IF(OR(Sync!$M117="",$Q117="",$Q117="نامعتبر"),"",Sync!$M117)</f>
        <v/>
      </c>
      <c r="O117">
        <f>IF($N117="","",$Q117)</f>
        <v/>
      </c>
      <c r="P117">
        <f>IF($N117="","",LEFT($Q117,4)&amp;MID($Q117,6,2)&amp;RIGHT($Q117,2)&amp;IF(Sync!$K117="","0000",IF(AND(ISNUMBER(Sync!$K117),Sync!$K117&gt;=0,Sync!$K117&lt;1),RIGHT("00"&amp;HOUR(Sync!$K117),2)&amp;RIGHT("00"&amp;MINUTE(Sync!$K117),2),IFERROR(RIGHT("00"&amp;VALUE(LEFT(Sync!$K117,FIND(":",Sync!$K117)-1)),2)&amp;RIGHT("00"&amp;VALUE(MID(Sync!$K117,FIND(":",Sync!$K117)+1,2)),2),"0000")))&amp;"|"&amp;"2"&amp;RIGHT("00000"&amp;112,5))</f>
        <v/>
      </c>
      <c r="Q117">
        <f>IF(Sync!$J117="","",IF(ISNUMBER(Sync!$J117),IF(AND(Sync!$J117&gt;=10000101,Sync!$J117&lt;=99991231),INT(Sync!$J117/10000)&amp;"/"&amp;RIGHT("00"&amp;INT(MOD(Sync!$J117,10000)/100),2)&amp;"/"&amp;RIGHT("00"&amp;MOD(Sync!$J117,100),2),"نامعتبر"),IF(LEN(Sync!$J117)=10,Sync!$J117,"نامعتبر")))</f>
        <v/>
      </c>
      <c r="R117">
        <f>IF($P117="","",COUNTIFS($N$6:$N$2005,$N117,$P$6:$P$2005,"&lt;"&amp;$P117)+COUNTIFS($A$6:$A$1005,$N117,$B$6:$B$1005,"&lt;"&amp;$P117)+1)</f>
        <v/>
      </c>
      <c r="S117">
        <f>IF($N117="","",$N117&amp;"|"&amp;RIGHT("000000"&amp;$R117,6))</f>
        <v/>
      </c>
      <c r="T117">
        <f>IF($N117="","",IF(Sync!$N117="",0,Sync!$N117))</f>
        <v/>
      </c>
      <c r="U117">
        <f>IF($N117="","",IF(Sync!$O117="",0,Sync!$O117))</f>
        <v/>
      </c>
      <c r="V117">
        <f>IF($N117="","",Sync!$L117)</f>
        <v/>
      </c>
      <c r="W117">
        <f>IF($N117="","",Sync!$P117)</f>
        <v/>
      </c>
      <c r="AA117">
        <f>IF($A117="","",IF(COUNTIF($A$6:$A117,$A117)=1,1,0))</f>
        <v/>
      </c>
      <c r="AB117">
        <f>SUM($AA$6:$AA117)</f>
        <v/>
      </c>
      <c r="AC117">
        <f>IFERROR(INDEX($A$6:$A$1005,MATCH(ROW()-5,$AB$6:$AB$1005,0)),"")</f>
        <v/>
      </c>
    </row>
    <row r="118">
      <c r="A118">
        <f>IF(OR(Entry!$B121="",Entry!$E121="",$E118="نامعتبر"),"",Entry!$E121)</f>
        <v/>
      </c>
      <c r="B118">
        <f>IF($A118="","",LEFT($E118,4)&amp;MID($E118,6,2)&amp;RIGHT($E118,2)&amp;$F118&amp;"|"&amp;"1"&amp;RIGHT("00000"&amp;113,5))</f>
        <v/>
      </c>
      <c r="C118">
        <f>IF($B118="","",COUNTIFS($A$6:$A$1005,$A118,$B$6:$B$1005,"&lt;"&amp;$B118)+COUNTIFS($N$6:$N$2005,$A118,$P$6:$P$2005,"&lt;"&amp;$B118)+1)</f>
        <v/>
      </c>
      <c r="D118">
        <f>IF($C118="","",$A118&amp;"|"&amp;RIGHT("000000"&amp;$C118,6))</f>
        <v/>
      </c>
      <c r="E118">
        <f>IF(Entry!$B121="","",IF(ISNUMBER(Entry!$B121),IF(AND(Entry!$B121&gt;=10000101,Entry!$B121&lt;=99991231),INT(Entry!$B121/10000)&amp;"/"&amp;RIGHT("00"&amp;INT(MOD(Entry!$B121,10000)/100),2)&amp;"/"&amp;RIGHT("00"&amp;MOD(Entry!$B121,100),2),"نامعتبر"),IF(LEN(Entry!$B121)=10,Entry!$B121,"نامعتبر")))</f>
        <v/>
      </c>
      <c r="F118">
        <f>IF(Entry!$B121="","",IF(Entry!$C121="","0000",IF(AND(ISNUMBER(Entry!$C121),Entry!$C121&gt;=0,Entry!$C121&lt;1),RIGHT("00"&amp;HOUR(Entry!$C121),2)&amp;RIGHT("00"&amp;MINUTE(Entry!$C121),2),IFERROR(RIGHT("00"&amp;VALUE(LEFT(Entry!$C121,FIND(":",Entry!$C121)-1)),2)&amp;RIGHT("00"&amp;VALUE(MID(Entry!$C121,FIND(":",Entry!$C121)+1,2)),2),"0000"))))</f>
        <v/>
      </c>
      <c r="G118">
        <f>IF($A118="","",Entry!$G121)</f>
        <v/>
      </c>
      <c r="H118">
        <f>IF($A118="","",IF(Entry!$H121="",0,Entry!$H121))</f>
        <v/>
      </c>
      <c r="I118">
        <f>IF($A118="","",IF(Entry!$I121="",0,Entry!$I121))</f>
        <v/>
      </c>
      <c r="J118">
        <f>IF($A118="","",ROUND($H118*$I118,0))</f>
        <v/>
      </c>
      <c r="K118">
        <f>IF($A118="","",Entry!$D121)</f>
        <v/>
      </c>
      <c r="L118">
        <f>IF($A118="","",Entry!$L121)</f>
        <v/>
      </c>
      <c r="N118">
        <f>IF(OR(Sync!$M118="",$Q118="",$Q118="نامعتبر"),"",Sync!$M118)</f>
        <v/>
      </c>
      <c r="O118">
        <f>IF($N118="","",$Q118)</f>
        <v/>
      </c>
      <c r="P118">
        <f>IF($N118="","",LEFT($Q118,4)&amp;MID($Q118,6,2)&amp;RIGHT($Q118,2)&amp;IF(Sync!$K118="","0000",IF(AND(ISNUMBER(Sync!$K118),Sync!$K118&gt;=0,Sync!$K118&lt;1),RIGHT("00"&amp;HOUR(Sync!$K118),2)&amp;RIGHT("00"&amp;MINUTE(Sync!$K118),2),IFERROR(RIGHT("00"&amp;VALUE(LEFT(Sync!$K118,FIND(":",Sync!$K118)-1)),2)&amp;RIGHT("00"&amp;VALUE(MID(Sync!$K118,FIND(":",Sync!$K118)+1,2)),2),"0000")))&amp;"|"&amp;"2"&amp;RIGHT("00000"&amp;113,5))</f>
        <v/>
      </c>
      <c r="Q118">
        <f>IF(Sync!$J118="","",IF(ISNUMBER(Sync!$J118),IF(AND(Sync!$J118&gt;=10000101,Sync!$J118&lt;=99991231),INT(Sync!$J118/10000)&amp;"/"&amp;RIGHT("00"&amp;INT(MOD(Sync!$J118,10000)/100),2)&amp;"/"&amp;RIGHT("00"&amp;MOD(Sync!$J118,100),2),"نامعتبر"),IF(LEN(Sync!$J118)=10,Sync!$J118,"نامعتبر")))</f>
        <v/>
      </c>
      <c r="R118">
        <f>IF($P118="","",COUNTIFS($N$6:$N$2005,$N118,$P$6:$P$2005,"&lt;"&amp;$P118)+COUNTIFS($A$6:$A$1005,$N118,$B$6:$B$1005,"&lt;"&amp;$P118)+1)</f>
        <v/>
      </c>
      <c r="S118">
        <f>IF($N118="","",$N118&amp;"|"&amp;RIGHT("000000"&amp;$R118,6))</f>
        <v/>
      </c>
      <c r="T118">
        <f>IF($N118="","",IF(Sync!$N118="",0,Sync!$N118))</f>
        <v/>
      </c>
      <c r="U118">
        <f>IF($N118="","",IF(Sync!$O118="",0,Sync!$O118))</f>
        <v/>
      </c>
      <c r="V118">
        <f>IF($N118="","",Sync!$L118)</f>
        <v/>
      </c>
      <c r="W118">
        <f>IF($N118="","",Sync!$P118)</f>
        <v/>
      </c>
      <c r="AA118">
        <f>IF($A118="","",IF(COUNTIF($A$6:$A118,$A118)=1,1,0))</f>
        <v/>
      </c>
      <c r="AB118">
        <f>SUM($AA$6:$AA118)</f>
        <v/>
      </c>
      <c r="AC118">
        <f>IFERROR(INDEX($A$6:$A$1005,MATCH(ROW()-5,$AB$6:$AB$1005,0)),"")</f>
        <v/>
      </c>
    </row>
    <row r="119">
      <c r="A119">
        <f>IF(OR(Entry!$B122="",Entry!$E122="",$E119="نامعتبر"),"",Entry!$E122)</f>
        <v/>
      </c>
      <c r="B119">
        <f>IF($A119="","",LEFT($E119,4)&amp;MID($E119,6,2)&amp;RIGHT($E119,2)&amp;$F119&amp;"|"&amp;"1"&amp;RIGHT("00000"&amp;114,5))</f>
        <v/>
      </c>
      <c r="C119">
        <f>IF($B119="","",COUNTIFS($A$6:$A$1005,$A119,$B$6:$B$1005,"&lt;"&amp;$B119)+COUNTIFS($N$6:$N$2005,$A119,$P$6:$P$2005,"&lt;"&amp;$B119)+1)</f>
        <v/>
      </c>
      <c r="D119">
        <f>IF($C119="","",$A119&amp;"|"&amp;RIGHT("000000"&amp;$C119,6))</f>
        <v/>
      </c>
      <c r="E119">
        <f>IF(Entry!$B122="","",IF(ISNUMBER(Entry!$B122),IF(AND(Entry!$B122&gt;=10000101,Entry!$B122&lt;=99991231),INT(Entry!$B122/10000)&amp;"/"&amp;RIGHT("00"&amp;INT(MOD(Entry!$B122,10000)/100),2)&amp;"/"&amp;RIGHT("00"&amp;MOD(Entry!$B122,100),2),"نامعتبر"),IF(LEN(Entry!$B122)=10,Entry!$B122,"نامعتبر")))</f>
        <v/>
      </c>
      <c r="F119">
        <f>IF(Entry!$B122="","",IF(Entry!$C122="","0000",IF(AND(ISNUMBER(Entry!$C122),Entry!$C122&gt;=0,Entry!$C122&lt;1),RIGHT("00"&amp;HOUR(Entry!$C122),2)&amp;RIGHT("00"&amp;MINUTE(Entry!$C122),2),IFERROR(RIGHT("00"&amp;VALUE(LEFT(Entry!$C122,FIND(":",Entry!$C122)-1)),2)&amp;RIGHT("00"&amp;VALUE(MID(Entry!$C122,FIND(":",Entry!$C122)+1,2)),2),"0000"))))</f>
        <v/>
      </c>
      <c r="G119">
        <f>IF($A119="","",Entry!$G122)</f>
        <v/>
      </c>
      <c r="H119">
        <f>IF($A119="","",IF(Entry!$H122="",0,Entry!$H122))</f>
        <v/>
      </c>
      <c r="I119">
        <f>IF($A119="","",IF(Entry!$I122="",0,Entry!$I122))</f>
        <v/>
      </c>
      <c r="J119">
        <f>IF($A119="","",ROUND($H119*$I119,0))</f>
        <v/>
      </c>
      <c r="K119">
        <f>IF($A119="","",Entry!$D122)</f>
        <v/>
      </c>
      <c r="L119">
        <f>IF($A119="","",Entry!$L122)</f>
        <v/>
      </c>
      <c r="N119">
        <f>IF(OR(Sync!$M119="",$Q119="",$Q119="نامعتبر"),"",Sync!$M119)</f>
        <v/>
      </c>
      <c r="O119">
        <f>IF($N119="","",$Q119)</f>
        <v/>
      </c>
      <c r="P119">
        <f>IF($N119="","",LEFT($Q119,4)&amp;MID($Q119,6,2)&amp;RIGHT($Q119,2)&amp;IF(Sync!$K119="","0000",IF(AND(ISNUMBER(Sync!$K119),Sync!$K119&gt;=0,Sync!$K119&lt;1),RIGHT("00"&amp;HOUR(Sync!$K119),2)&amp;RIGHT("00"&amp;MINUTE(Sync!$K119),2),IFERROR(RIGHT("00"&amp;VALUE(LEFT(Sync!$K119,FIND(":",Sync!$K119)-1)),2)&amp;RIGHT("00"&amp;VALUE(MID(Sync!$K119,FIND(":",Sync!$K119)+1,2)),2),"0000")))&amp;"|"&amp;"2"&amp;RIGHT("00000"&amp;114,5))</f>
        <v/>
      </c>
      <c r="Q119">
        <f>IF(Sync!$J119="","",IF(ISNUMBER(Sync!$J119),IF(AND(Sync!$J119&gt;=10000101,Sync!$J119&lt;=99991231),INT(Sync!$J119/10000)&amp;"/"&amp;RIGHT("00"&amp;INT(MOD(Sync!$J119,10000)/100),2)&amp;"/"&amp;RIGHT("00"&amp;MOD(Sync!$J119,100),2),"نامعتبر"),IF(LEN(Sync!$J119)=10,Sync!$J119,"نامعتبر")))</f>
        <v/>
      </c>
      <c r="R119">
        <f>IF($P119="","",COUNTIFS($N$6:$N$2005,$N119,$P$6:$P$2005,"&lt;"&amp;$P119)+COUNTIFS($A$6:$A$1005,$N119,$B$6:$B$1005,"&lt;"&amp;$P119)+1)</f>
        <v/>
      </c>
      <c r="S119">
        <f>IF($N119="","",$N119&amp;"|"&amp;RIGHT("000000"&amp;$R119,6))</f>
        <v/>
      </c>
      <c r="T119">
        <f>IF($N119="","",IF(Sync!$N119="",0,Sync!$N119))</f>
        <v/>
      </c>
      <c r="U119">
        <f>IF($N119="","",IF(Sync!$O119="",0,Sync!$O119))</f>
        <v/>
      </c>
      <c r="V119">
        <f>IF($N119="","",Sync!$L119)</f>
        <v/>
      </c>
      <c r="W119">
        <f>IF($N119="","",Sync!$P119)</f>
        <v/>
      </c>
      <c r="AA119">
        <f>IF($A119="","",IF(COUNTIF($A$6:$A119,$A119)=1,1,0))</f>
        <v/>
      </c>
      <c r="AB119">
        <f>SUM($AA$6:$AA119)</f>
        <v/>
      </c>
      <c r="AC119">
        <f>IFERROR(INDEX($A$6:$A$1005,MATCH(ROW()-5,$AB$6:$AB$1005,0)),"")</f>
        <v/>
      </c>
    </row>
    <row r="120">
      <c r="A120">
        <f>IF(OR(Entry!$B123="",Entry!$E123="",$E120="نامعتبر"),"",Entry!$E123)</f>
        <v/>
      </c>
      <c r="B120">
        <f>IF($A120="","",LEFT($E120,4)&amp;MID($E120,6,2)&amp;RIGHT($E120,2)&amp;$F120&amp;"|"&amp;"1"&amp;RIGHT("00000"&amp;115,5))</f>
        <v/>
      </c>
      <c r="C120">
        <f>IF($B120="","",COUNTIFS($A$6:$A$1005,$A120,$B$6:$B$1005,"&lt;"&amp;$B120)+COUNTIFS($N$6:$N$2005,$A120,$P$6:$P$2005,"&lt;"&amp;$B120)+1)</f>
        <v/>
      </c>
      <c r="D120">
        <f>IF($C120="","",$A120&amp;"|"&amp;RIGHT("000000"&amp;$C120,6))</f>
        <v/>
      </c>
      <c r="E120">
        <f>IF(Entry!$B123="","",IF(ISNUMBER(Entry!$B123),IF(AND(Entry!$B123&gt;=10000101,Entry!$B123&lt;=99991231),INT(Entry!$B123/10000)&amp;"/"&amp;RIGHT("00"&amp;INT(MOD(Entry!$B123,10000)/100),2)&amp;"/"&amp;RIGHT("00"&amp;MOD(Entry!$B123,100),2),"نامعتبر"),IF(LEN(Entry!$B123)=10,Entry!$B123,"نامعتبر")))</f>
        <v/>
      </c>
      <c r="F120">
        <f>IF(Entry!$B123="","",IF(Entry!$C123="","0000",IF(AND(ISNUMBER(Entry!$C123),Entry!$C123&gt;=0,Entry!$C123&lt;1),RIGHT("00"&amp;HOUR(Entry!$C123),2)&amp;RIGHT("00"&amp;MINUTE(Entry!$C123),2),IFERROR(RIGHT("00"&amp;VALUE(LEFT(Entry!$C123,FIND(":",Entry!$C123)-1)),2)&amp;RIGHT("00"&amp;VALUE(MID(Entry!$C123,FIND(":",Entry!$C123)+1,2)),2),"0000"))))</f>
        <v/>
      </c>
      <c r="G120">
        <f>IF($A120="","",Entry!$G123)</f>
        <v/>
      </c>
      <c r="H120">
        <f>IF($A120="","",IF(Entry!$H123="",0,Entry!$H123))</f>
        <v/>
      </c>
      <c r="I120">
        <f>IF($A120="","",IF(Entry!$I123="",0,Entry!$I123))</f>
        <v/>
      </c>
      <c r="J120">
        <f>IF($A120="","",ROUND($H120*$I120,0))</f>
        <v/>
      </c>
      <c r="K120">
        <f>IF($A120="","",Entry!$D123)</f>
        <v/>
      </c>
      <c r="L120">
        <f>IF($A120="","",Entry!$L123)</f>
        <v/>
      </c>
      <c r="N120">
        <f>IF(OR(Sync!$M120="",$Q120="",$Q120="نامعتبر"),"",Sync!$M120)</f>
        <v/>
      </c>
      <c r="O120">
        <f>IF($N120="","",$Q120)</f>
        <v/>
      </c>
      <c r="P120">
        <f>IF($N120="","",LEFT($Q120,4)&amp;MID($Q120,6,2)&amp;RIGHT($Q120,2)&amp;IF(Sync!$K120="","0000",IF(AND(ISNUMBER(Sync!$K120),Sync!$K120&gt;=0,Sync!$K120&lt;1),RIGHT("00"&amp;HOUR(Sync!$K120),2)&amp;RIGHT("00"&amp;MINUTE(Sync!$K120),2),IFERROR(RIGHT("00"&amp;VALUE(LEFT(Sync!$K120,FIND(":",Sync!$K120)-1)),2)&amp;RIGHT("00"&amp;VALUE(MID(Sync!$K120,FIND(":",Sync!$K120)+1,2)),2),"0000")))&amp;"|"&amp;"2"&amp;RIGHT("00000"&amp;115,5))</f>
        <v/>
      </c>
      <c r="Q120">
        <f>IF(Sync!$J120="","",IF(ISNUMBER(Sync!$J120),IF(AND(Sync!$J120&gt;=10000101,Sync!$J120&lt;=99991231),INT(Sync!$J120/10000)&amp;"/"&amp;RIGHT("00"&amp;INT(MOD(Sync!$J120,10000)/100),2)&amp;"/"&amp;RIGHT("00"&amp;MOD(Sync!$J120,100),2),"نامعتبر"),IF(LEN(Sync!$J120)=10,Sync!$J120,"نامعتبر")))</f>
        <v/>
      </c>
      <c r="R120">
        <f>IF($P120="","",COUNTIFS($N$6:$N$2005,$N120,$P$6:$P$2005,"&lt;"&amp;$P120)+COUNTIFS($A$6:$A$1005,$N120,$B$6:$B$1005,"&lt;"&amp;$P120)+1)</f>
        <v/>
      </c>
      <c r="S120">
        <f>IF($N120="","",$N120&amp;"|"&amp;RIGHT("000000"&amp;$R120,6))</f>
        <v/>
      </c>
      <c r="T120">
        <f>IF($N120="","",IF(Sync!$N120="",0,Sync!$N120))</f>
        <v/>
      </c>
      <c r="U120">
        <f>IF($N120="","",IF(Sync!$O120="",0,Sync!$O120))</f>
        <v/>
      </c>
      <c r="V120">
        <f>IF($N120="","",Sync!$L120)</f>
        <v/>
      </c>
      <c r="W120">
        <f>IF($N120="","",Sync!$P120)</f>
        <v/>
      </c>
      <c r="AA120">
        <f>IF($A120="","",IF(COUNTIF($A$6:$A120,$A120)=1,1,0))</f>
        <v/>
      </c>
      <c r="AB120">
        <f>SUM($AA$6:$AA120)</f>
        <v/>
      </c>
      <c r="AC120">
        <f>IFERROR(INDEX($A$6:$A$1005,MATCH(ROW()-5,$AB$6:$AB$1005,0)),"")</f>
        <v/>
      </c>
    </row>
    <row r="121">
      <c r="A121">
        <f>IF(OR(Entry!$B124="",Entry!$E124="",$E121="نامعتبر"),"",Entry!$E124)</f>
        <v/>
      </c>
      <c r="B121">
        <f>IF($A121="","",LEFT($E121,4)&amp;MID($E121,6,2)&amp;RIGHT($E121,2)&amp;$F121&amp;"|"&amp;"1"&amp;RIGHT("00000"&amp;116,5))</f>
        <v/>
      </c>
      <c r="C121">
        <f>IF($B121="","",COUNTIFS($A$6:$A$1005,$A121,$B$6:$B$1005,"&lt;"&amp;$B121)+COUNTIFS($N$6:$N$2005,$A121,$P$6:$P$2005,"&lt;"&amp;$B121)+1)</f>
        <v/>
      </c>
      <c r="D121">
        <f>IF($C121="","",$A121&amp;"|"&amp;RIGHT("000000"&amp;$C121,6))</f>
        <v/>
      </c>
      <c r="E121">
        <f>IF(Entry!$B124="","",IF(ISNUMBER(Entry!$B124),IF(AND(Entry!$B124&gt;=10000101,Entry!$B124&lt;=99991231),INT(Entry!$B124/10000)&amp;"/"&amp;RIGHT("00"&amp;INT(MOD(Entry!$B124,10000)/100),2)&amp;"/"&amp;RIGHT("00"&amp;MOD(Entry!$B124,100),2),"نامعتبر"),IF(LEN(Entry!$B124)=10,Entry!$B124,"نامعتبر")))</f>
        <v/>
      </c>
      <c r="F121">
        <f>IF(Entry!$B124="","",IF(Entry!$C124="","0000",IF(AND(ISNUMBER(Entry!$C124),Entry!$C124&gt;=0,Entry!$C124&lt;1),RIGHT("00"&amp;HOUR(Entry!$C124),2)&amp;RIGHT("00"&amp;MINUTE(Entry!$C124),2),IFERROR(RIGHT("00"&amp;VALUE(LEFT(Entry!$C124,FIND(":",Entry!$C124)-1)),2)&amp;RIGHT("00"&amp;VALUE(MID(Entry!$C124,FIND(":",Entry!$C124)+1,2)),2),"0000"))))</f>
        <v/>
      </c>
      <c r="G121">
        <f>IF($A121="","",Entry!$G124)</f>
        <v/>
      </c>
      <c r="H121">
        <f>IF($A121="","",IF(Entry!$H124="",0,Entry!$H124))</f>
        <v/>
      </c>
      <c r="I121">
        <f>IF($A121="","",IF(Entry!$I124="",0,Entry!$I124))</f>
        <v/>
      </c>
      <c r="J121">
        <f>IF($A121="","",ROUND($H121*$I121,0))</f>
        <v/>
      </c>
      <c r="K121">
        <f>IF($A121="","",Entry!$D124)</f>
        <v/>
      </c>
      <c r="L121">
        <f>IF($A121="","",Entry!$L124)</f>
        <v/>
      </c>
      <c r="N121">
        <f>IF(OR(Sync!$M121="",$Q121="",$Q121="نامعتبر"),"",Sync!$M121)</f>
        <v/>
      </c>
      <c r="O121">
        <f>IF($N121="","",$Q121)</f>
        <v/>
      </c>
      <c r="P121">
        <f>IF($N121="","",LEFT($Q121,4)&amp;MID($Q121,6,2)&amp;RIGHT($Q121,2)&amp;IF(Sync!$K121="","0000",IF(AND(ISNUMBER(Sync!$K121),Sync!$K121&gt;=0,Sync!$K121&lt;1),RIGHT("00"&amp;HOUR(Sync!$K121),2)&amp;RIGHT("00"&amp;MINUTE(Sync!$K121),2),IFERROR(RIGHT("00"&amp;VALUE(LEFT(Sync!$K121,FIND(":",Sync!$K121)-1)),2)&amp;RIGHT("00"&amp;VALUE(MID(Sync!$K121,FIND(":",Sync!$K121)+1,2)),2),"0000")))&amp;"|"&amp;"2"&amp;RIGHT("00000"&amp;116,5))</f>
        <v/>
      </c>
      <c r="Q121">
        <f>IF(Sync!$J121="","",IF(ISNUMBER(Sync!$J121),IF(AND(Sync!$J121&gt;=10000101,Sync!$J121&lt;=99991231),INT(Sync!$J121/10000)&amp;"/"&amp;RIGHT("00"&amp;INT(MOD(Sync!$J121,10000)/100),2)&amp;"/"&amp;RIGHT("00"&amp;MOD(Sync!$J121,100),2),"نامعتبر"),IF(LEN(Sync!$J121)=10,Sync!$J121,"نامعتبر")))</f>
        <v/>
      </c>
      <c r="R121">
        <f>IF($P121="","",COUNTIFS($N$6:$N$2005,$N121,$P$6:$P$2005,"&lt;"&amp;$P121)+COUNTIFS($A$6:$A$1005,$N121,$B$6:$B$1005,"&lt;"&amp;$P121)+1)</f>
        <v/>
      </c>
      <c r="S121">
        <f>IF($N121="","",$N121&amp;"|"&amp;RIGHT("000000"&amp;$R121,6))</f>
        <v/>
      </c>
      <c r="T121">
        <f>IF($N121="","",IF(Sync!$N121="",0,Sync!$N121))</f>
        <v/>
      </c>
      <c r="U121">
        <f>IF($N121="","",IF(Sync!$O121="",0,Sync!$O121))</f>
        <v/>
      </c>
      <c r="V121">
        <f>IF($N121="","",Sync!$L121)</f>
        <v/>
      </c>
      <c r="W121">
        <f>IF($N121="","",Sync!$P121)</f>
        <v/>
      </c>
      <c r="AA121">
        <f>IF($A121="","",IF(COUNTIF($A$6:$A121,$A121)=1,1,0))</f>
        <v/>
      </c>
      <c r="AB121">
        <f>SUM($AA$6:$AA121)</f>
        <v/>
      </c>
      <c r="AC121">
        <f>IFERROR(INDEX($A$6:$A$1005,MATCH(ROW()-5,$AB$6:$AB$1005,0)),"")</f>
        <v/>
      </c>
    </row>
    <row r="122">
      <c r="A122">
        <f>IF(OR(Entry!$B125="",Entry!$E125="",$E122="نامعتبر"),"",Entry!$E125)</f>
        <v/>
      </c>
      <c r="B122">
        <f>IF($A122="","",LEFT($E122,4)&amp;MID($E122,6,2)&amp;RIGHT($E122,2)&amp;$F122&amp;"|"&amp;"1"&amp;RIGHT("00000"&amp;117,5))</f>
        <v/>
      </c>
      <c r="C122">
        <f>IF($B122="","",COUNTIFS($A$6:$A$1005,$A122,$B$6:$B$1005,"&lt;"&amp;$B122)+COUNTIFS($N$6:$N$2005,$A122,$P$6:$P$2005,"&lt;"&amp;$B122)+1)</f>
        <v/>
      </c>
      <c r="D122">
        <f>IF($C122="","",$A122&amp;"|"&amp;RIGHT("000000"&amp;$C122,6))</f>
        <v/>
      </c>
      <c r="E122">
        <f>IF(Entry!$B125="","",IF(ISNUMBER(Entry!$B125),IF(AND(Entry!$B125&gt;=10000101,Entry!$B125&lt;=99991231),INT(Entry!$B125/10000)&amp;"/"&amp;RIGHT("00"&amp;INT(MOD(Entry!$B125,10000)/100),2)&amp;"/"&amp;RIGHT("00"&amp;MOD(Entry!$B125,100),2),"نامعتبر"),IF(LEN(Entry!$B125)=10,Entry!$B125,"نامعتبر")))</f>
        <v/>
      </c>
      <c r="F122">
        <f>IF(Entry!$B125="","",IF(Entry!$C125="","0000",IF(AND(ISNUMBER(Entry!$C125),Entry!$C125&gt;=0,Entry!$C125&lt;1),RIGHT("00"&amp;HOUR(Entry!$C125),2)&amp;RIGHT("00"&amp;MINUTE(Entry!$C125),2),IFERROR(RIGHT("00"&amp;VALUE(LEFT(Entry!$C125,FIND(":",Entry!$C125)-1)),2)&amp;RIGHT("00"&amp;VALUE(MID(Entry!$C125,FIND(":",Entry!$C125)+1,2)),2),"0000"))))</f>
        <v/>
      </c>
      <c r="G122">
        <f>IF($A122="","",Entry!$G125)</f>
        <v/>
      </c>
      <c r="H122">
        <f>IF($A122="","",IF(Entry!$H125="",0,Entry!$H125))</f>
        <v/>
      </c>
      <c r="I122">
        <f>IF($A122="","",IF(Entry!$I125="",0,Entry!$I125))</f>
        <v/>
      </c>
      <c r="J122">
        <f>IF($A122="","",ROUND($H122*$I122,0))</f>
        <v/>
      </c>
      <c r="K122">
        <f>IF($A122="","",Entry!$D125)</f>
        <v/>
      </c>
      <c r="L122">
        <f>IF($A122="","",Entry!$L125)</f>
        <v/>
      </c>
      <c r="N122">
        <f>IF(OR(Sync!$M122="",$Q122="",$Q122="نامعتبر"),"",Sync!$M122)</f>
        <v/>
      </c>
      <c r="O122">
        <f>IF($N122="","",$Q122)</f>
        <v/>
      </c>
      <c r="P122">
        <f>IF($N122="","",LEFT($Q122,4)&amp;MID($Q122,6,2)&amp;RIGHT($Q122,2)&amp;IF(Sync!$K122="","0000",IF(AND(ISNUMBER(Sync!$K122),Sync!$K122&gt;=0,Sync!$K122&lt;1),RIGHT("00"&amp;HOUR(Sync!$K122),2)&amp;RIGHT("00"&amp;MINUTE(Sync!$K122),2),IFERROR(RIGHT("00"&amp;VALUE(LEFT(Sync!$K122,FIND(":",Sync!$K122)-1)),2)&amp;RIGHT("00"&amp;VALUE(MID(Sync!$K122,FIND(":",Sync!$K122)+1,2)),2),"0000")))&amp;"|"&amp;"2"&amp;RIGHT("00000"&amp;117,5))</f>
        <v/>
      </c>
      <c r="Q122">
        <f>IF(Sync!$J122="","",IF(ISNUMBER(Sync!$J122),IF(AND(Sync!$J122&gt;=10000101,Sync!$J122&lt;=99991231),INT(Sync!$J122/10000)&amp;"/"&amp;RIGHT("00"&amp;INT(MOD(Sync!$J122,10000)/100),2)&amp;"/"&amp;RIGHT("00"&amp;MOD(Sync!$J122,100),2),"نامعتبر"),IF(LEN(Sync!$J122)=10,Sync!$J122,"نامعتبر")))</f>
        <v/>
      </c>
      <c r="R122">
        <f>IF($P122="","",COUNTIFS($N$6:$N$2005,$N122,$P$6:$P$2005,"&lt;"&amp;$P122)+COUNTIFS($A$6:$A$1005,$N122,$B$6:$B$1005,"&lt;"&amp;$P122)+1)</f>
        <v/>
      </c>
      <c r="S122">
        <f>IF($N122="","",$N122&amp;"|"&amp;RIGHT("000000"&amp;$R122,6))</f>
        <v/>
      </c>
      <c r="T122">
        <f>IF($N122="","",IF(Sync!$N122="",0,Sync!$N122))</f>
        <v/>
      </c>
      <c r="U122">
        <f>IF($N122="","",IF(Sync!$O122="",0,Sync!$O122))</f>
        <v/>
      </c>
      <c r="V122">
        <f>IF($N122="","",Sync!$L122)</f>
        <v/>
      </c>
      <c r="W122">
        <f>IF($N122="","",Sync!$P122)</f>
        <v/>
      </c>
      <c r="AA122">
        <f>IF($A122="","",IF(COUNTIF($A$6:$A122,$A122)=1,1,0))</f>
        <v/>
      </c>
      <c r="AB122">
        <f>SUM($AA$6:$AA122)</f>
        <v/>
      </c>
      <c r="AC122">
        <f>IFERROR(INDEX($A$6:$A$1005,MATCH(ROW()-5,$AB$6:$AB$1005,0)),"")</f>
        <v/>
      </c>
    </row>
    <row r="123">
      <c r="A123">
        <f>IF(OR(Entry!$B126="",Entry!$E126="",$E123="نامعتبر"),"",Entry!$E126)</f>
        <v/>
      </c>
      <c r="B123">
        <f>IF($A123="","",LEFT($E123,4)&amp;MID($E123,6,2)&amp;RIGHT($E123,2)&amp;$F123&amp;"|"&amp;"1"&amp;RIGHT("00000"&amp;118,5))</f>
        <v/>
      </c>
      <c r="C123">
        <f>IF($B123="","",COUNTIFS($A$6:$A$1005,$A123,$B$6:$B$1005,"&lt;"&amp;$B123)+COUNTIFS($N$6:$N$2005,$A123,$P$6:$P$2005,"&lt;"&amp;$B123)+1)</f>
        <v/>
      </c>
      <c r="D123">
        <f>IF($C123="","",$A123&amp;"|"&amp;RIGHT("000000"&amp;$C123,6))</f>
        <v/>
      </c>
      <c r="E123">
        <f>IF(Entry!$B126="","",IF(ISNUMBER(Entry!$B126),IF(AND(Entry!$B126&gt;=10000101,Entry!$B126&lt;=99991231),INT(Entry!$B126/10000)&amp;"/"&amp;RIGHT("00"&amp;INT(MOD(Entry!$B126,10000)/100),2)&amp;"/"&amp;RIGHT("00"&amp;MOD(Entry!$B126,100),2),"نامعتبر"),IF(LEN(Entry!$B126)=10,Entry!$B126,"نامعتبر")))</f>
        <v/>
      </c>
      <c r="F123">
        <f>IF(Entry!$B126="","",IF(Entry!$C126="","0000",IF(AND(ISNUMBER(Entry!$C126),Entry!$C126&gt;=0,Entry!$C126&lt;1),RIGHT("00"&amp;HOUR(Entry!$C126),2)&amp;RIGHT("00"&amp;MINUTE(Entry!$C126),2),IFERROR(RIGHT("00"&amp;VALUE(LEFT(Entry!$C126,FIND(":",Entry!$C126)-1)),2)&amp;RIGHT("00"&amp;VALUE(MID(Entry!$C126,FIND(":",Entry!$C126)+1,2)),2),"0000"))))</f>
        <v/>
      </c>
      <c r="G123">
        <f>IF($A123="","",Entry!$G126)</f>
        <v/>
      </c>
      <c r="H123">
        <f>IF($A123="","",IF(Entry!$H126="",0,Entry!$H126))</f>
        <v/>
      </c>
      <c r="I123">
        <f>IF($A123="","",IF(Entry!$I126="",0,Entry!$I126))</f>
        <v/>
      </c>
      <c r="J123">
        <f>IF($A123="","",ROUND($H123*$I123,0))</f>
        <v/>
      </c>
      <c r="K123">
        <f>IF($A123="","",Entry!$D126)</f>
        <v/>
      </c>
      <c r="L123">
        <f>IF($A123="","",Entry!$L126)</f>
        <v/>
      </c>
      <c r="N123">
        <f>IF(OR(Sync!$M123="",$Q123="",$Q123="نامعتبر"),"",Sync!$M123)</f>
        <v/>
      </c>
      <c r="O123">
        <f>IF($N123="","",$Q123)</f>
        <v/>
      </c>
      <c r="P123">
        <f>IF($N123="","",LEFT($Q123,4)&amp;MID($Q123,6,2)&amp;RIGHT($Q123,2)&amp;IF(Sync!$K123="","0000",IF(AND(ISNUMBER(Sync!$K123),Sync!$K123&gt;=0,Sync!$K123&lt;1),RIGHT("00"&amp;HOUR(Sync!$K123),2)&amp;RIGHT("00"&amp;MINUTE(Sync!$K123),2),IFERROR(RIGHT("00"&amp;VALUE(LEFT(Sync!$K123,FIND(":",Sync!$K123)-1)),2)&amp;RIGHT("00"&amp;VALUE(MID(Sync!$K123,FIND(":",Sync!$K123)+1,2)),2),"0000")))&amp;"|"&amp;"2"&amp;RIGHT("00000"&amp;118,5))</f>
        <v/>
      </c>
      <c r="Q123">
        <f>IF(Sync!$J123="","",IF(ISNUMBER(Sync!$J123),IF(AND(Sync!$J123&gt;=10000101,Sync!$J123&lt;=99991231),INT(Sync!$J123/10000)&amp;"/"&amp;RIGHT("00"&amp;INT(MOD(Sync!$J123,10000)/100),2)&amp;"/"&amp;RIGHT("00"&amp;MOD(Sync!$J123,100),2),"نامعتبر"),IF(LEN(Sync!$J123)=10,Sync!$J123,"نامعتبر")))</f>
        <v/>
      </c>
      <c r="R123">
        <f>IF($P123="","",COUNTIFS($N$6:$N$2005,$N123,$P$6:$P$2005,"&lt;"&amp;$P123)+COUNTIFS($A$6:$A$1005,$N123,$B$6:$B$1005,"&lt;"&amp;$P123)+1)</f>
        <v/>
      </c>
      <c r="S123">
        <f>IF($N123="","",$N123&amp;"|"&amp;RIGHT("000000"&amp;$R123,6))</f>
        <v/>
      </c>
      <c r="T123">
        <f>IF($N123="","",IF(Sync!$N123="",0,Sync!$N123))</f>
        <v/>
      </c>
      <c r="U123">
        <f>IF($N123="","",IF(Sync!$O123="",0,Sync!$O123))</f>
        <v/>
      </c>
      <c r="V123">
        <f>IF($N123="","",Sync!$L123)</f>
        <v/>
      </c>
      <c r="W123">
        <f>IF($N123="","",Sync!$P123)</f>
        <v/>
      </c>
      <c r="AA123">
        <f>IF($A123="","",IF(COUNTIF($A$6:$A123,$A123)=1,1,0))</f>
        <v/>
      </c>
      <c r="AB123">
        <f>SUM($AA$6:$AA123)</f>
        <v/>
      </c>
      <c r="AC123">
        <f>IFERROR(INDEX($A$6:$A$1005,MATCH(ROW()-5,$AB$6:$AB$1005,0)),"")</f>
        <v/>
      </c>
    </row>
    <row r="124">
      <c r="A124">
        <f>IF(OR(Entry!$B127="",Entry!$E127="",$E124="نامعتبر"),"",Entry!$E127)</f>
        <v/>
      </c>
      <c r="B124">
        <f>IF($A124="","",LEFT($E124,4)&amp;MID($E124,6,2)&amp;RIGHT($E124,2)&amp;$F124&amp;"|"&amp;"1"&amp;RIGHT("00000"&amp;119,5))</f>
        <v/>
      </c>
      <c r="C124">
        <f>IF($B124="","",COUNTIFS($A$6:$A$1005,$A124,$B$6:$B$1005,"&lt;"&amp;$B124)+COUNTIFS($N$6:$N$2005,$A124,$P$6:$P$2005,"&lt;"&amp;$B124)+1)</f>
        <v/>
      </c>
      <c r="D124">
        <f>IF($C124="","",$A124&amp;"|"&amp;RIGHT("000000"&amp;$C124,6))</f>
        <v/>
      </c>
      <c r="E124">
        <f>IF(Entry!$B127="","",IF(ISNUMBER(Entry!$B127),IF(AND(Entry!$B127&gt;=10000101,Entry!$B127&lt;=99991231),INT(Entry!$B127/10000)&amp;"/"&amp;RIGHT("00"&amp;INT(MOD(Entry!$B127,10000)/100),2)&amp;"/"&amp;RIGHT("00"&amp;MOD(Entry!$B127,100),2),"نامعتبر"),IF(LEN(Entry!$B127)=10,Entry!$B127,"نامعتبر")))</f>
        <v/>
      </c>
      <c r="F124">
        <f>IF(Entry!$B127="","",IF(Entry!$C127="","0000",IF(AND(ISNUMBER(Entry!$C127),Entry!$C127&gt;=0,Entry!$C127&lt;1),RIGHT("00"&amp;HOUR(Entry!$C127),2)&amp;RIGHT("00"&amp;MINUTE(Entry!$C127),2),IFERROR(RIGHT("00"&amp;VALUE(LEFT(Entry!$C127,FIND(":",Entry!$C127)-1)),2)&amp;RIGHT("00"&amp;VALUE(MID(Entry!$C127,FIND(":",Entry!$C127)+1,2)),2),"0000"))))</f>
        <v/>
      </c>
      <c r="G124">
        <f>IF($A124="","",Entry!$G127)</f>
        <v/>
      </c>
      <c r="H124">
        <f>IF($A124="","",IF(Entry!$H127="",0,Entry!$H127))</f>
        <v/>
      </c>
      <c r="I124">
        <f>IF($A124="","",IF(Entry!$I127="",0,Entry!$I127))</f>
        <v/>
      </c>
      <c r="J124">
        <f>IF($A124="","",ROUND($H124*$I124,0))</f>
        <v/>
      </c>
      <c r="K124">
        <f>IF($A124="","",Entry!$D127)</f>
        <v/>
      </c>
      <c r="L124">
        <f>IF($A124="","",Entry!$L127)</f>
        <v/>
      </c>
      <c r="N124">
        <f>IF(OR(Sync!$M124="",$Q124="",$Q124="نامعتبر"),"",Sync!$M124)</f>
        <v/>
      </c>
      <c r="O124">
        <f>IF($N124="","",$Q124)</f>
        <v/>
      </c>
      <c r="P124">
        <f>IF($N124="","",LEFT($Q124,4)&amp;MID($Q124,6,2)&amp;RIGHT($Q124,2)&amp;IF(Sync!$K124="","0000",IF(AND(ISNUMBER(Sync!$K124),Sync!$K124&gt;=0,Sync!$K124&lt;1),RIGHT("00"&amp;HOUR(Sync!$K124),2)&amp;RIGHT("00"&amp;MINUTE(Sync!$K124),2),IFERROR(RIGHT("00"&amp;VALUE(LEFT(Sync!$K124,FIND(":",Sync!$K124)-1)),2)&amp;RIGHT("00"&amp;VALUE(MID(Sync!$K124,FIND(":",Sync!$K124)+1,2)),2),"0000")))&amp;"|"&amp;"2"&amp;RIGHT("00000"&amp;119,5))</f>
        <v/>
      </c>
      <c r="Q124">
        <f>IF(Sync!$J124="","",IF(ISNUMBER(Sync!$J124),IF(AND(Sync!$J124&gt;=10000101,Sync!$J124&lt;=99991231),INT(Sync!$J124/10000)&amp;"/"&amp;RIGHT("00"&amp;INT(MOD(Sync!$J124,10000)/100),2)&amp;"/"&amp;RIGHT("00"&amp;MOD(Sync!$J124,100),2),"نامعتبر"),IF(LEN(Sync!$J124)=10,Sync!$J124,"نامعتبر")))</f>
        <v/>
      </c>
      <c r="R124">
        <f>IF($P124="","",COUNTIFS($N$6:$N$2005,$N124,$P$6:$P$2005,"&lt;"&amp;$P124)+COUNTIFS($A$6:$A$1005,$N124,$B$6:$B$1005,"&lt;"&amp;$P124)+1)</f>
        <v/>
      </c>
      <c r="S124">
        <f>IF($N124="","",$N124&amp;"|"&amp;RIGHT("000000"&amp;$R124,6))</f>
        <v/>
      </c>
      <c r="T124">
        <f>IF($N124="","",IF(Sync!$N124="",0,Sync!$N124))</f>
        <v/>
      </c>
      <c r="U124">
        <f>IF($N124="","",IF(Sync!$O124="",0,Sync!$O124))</f>
        <v/>
      </c>
      <c r="V124">
        <f>IF($N124="","",Sync!$L124)</f>
        <v/>
      </c>
      <c r="W124">
        <f>IF($N124="","",Sync!$P124)</f>
        <v/>
      </c>
      <c r="AA124">
        <f>IF($A124="","",IF(COUNTIF($A$6:$A124,$A124)=1,1,0))</f>
        <v/>
      </c>
      <c r="AB124">
        <f>SUM($AA$6:$AA124)</f>
        <v/>
      </c>
      <c r="AC124">
        <f>IFERROR(INDEX($A$6:$A$1005,MATCH(ROW()-5,$AB$6:$AB$1005,0)),"")</f>
        <v/>
      </c>
    </row>
    <row r="125">
      <c r="A125">
        <f>IF(OR(Entry!$B128="",Entry!$E128="",$E125="نامعتبر"),"",Entry!$E128)</f>
        <v/>
      </c>
      <c r="B125">
        <f>IF($A125="","",LEFT($E125,4)&amp;MID($E125,6,2)&amp;RIGHT($E125,2)&amp;$F125&amp;"|"&amp;"1"&amp;RIGHT("00000"&amp;120,5))</f>
        <v/>
      </c>
      <c r="C125">
        <f>IF($B125="","",COUNTIFS($A$6:$A$1005,$A125,$B$6:$B$1005,"&lt;"&amp;$B125)+COUNTIFS($N$6:$N$2005,$A125,$P$6:$P$2005,"&lt;"&amp;$B125)+1)</f>
        <v/>
      </c>
      <c r="D125">
        <f>IF($C125="","",$A125&amp;"|"&amp;RIGHT("000000"&amp;$C125,6))</f>
        <v/>
      </c>
      <c r="E125">
        <f>IF(Entry!$B128="","",IF(ISNUMBER(Entry!$B128),IF(AND(Entry!$B128&gt;=10000101,Entry!$B128&lt;=99991231),INT(Entry!$B128/10000)&amp;"/"&amp;RIGHT("00"&amp;INT(MOD(Entry!$B128,10000)/100),2)&amp;"/"&amp;RIGHT("00"&amp;MOD(Entry!$B128,100),2),"نامعتبر"),IF(LEN(Entry!$B128)=10,Entry!$B128,"نامعتبر")))</f>
        <v/>
      </c>
      <c r="F125">
        <f>IF(Entry!$B128="","",IF(Entry!$C128="","0000",IF(AND(ISNUMBER(Entry!$C128),Entry!$C128&gt;=0,Entry!$C128&lt;1),RIGHT("00"&amp;HOUR(Entry!$C128),2)&amp;RIGHT("00"&amp;MINUTE(Entry!$C128),2),IFERROR(RIGHT("00"&amp;VALUE(LEFT(Entry!$C128,FIND(":",Entry!$C128)-1)),2)&amp;RIGHT("00"&amp;VALUE(MID(Entry!$C128,FIND(":",Entry!$C128)+1,2)),2),"0000"))))</f>
        <v/>
      </c>
      <c r="G125">
        <f>IF($A125="","",Entry!$G128)</f>
        <v/>
      </c>
      <c r="H125">
        <f>IF($A125="","",IF(Entry!$H128="",0,Entry!$H128))</f>
        <v/>
      </c>
      <c r="I125">
        <f>IF($A125="","",IF(Entry!$I128="",0,Entry!$I128))</f>
        <v/>
      </c>
      <c r="J125">
        <f>IF($A125="","",ROUND($H125*$I125,0))</f>
        <v/>
      </c>
      <c r="K125">
        <f>IF($A125="","",Entry!$D128)</f>
        <v/>
      </c>
      <c r="L125">
        <f>IF($A125="","",Entry!$L128)</f>
        <v/>
      </c>
      <c r="N125">
        <f>IF(OR(Sync!$M125="",$Q125="",$Q125="نامعتبر"),"",Sync!$M125)</f>
        <v/>
      </c>
      <c r="O125">
        <f>IF($N125="","",$Q125)</f>
        <v/>
      </c>
      <c r="P125">
        <f>IF($N125="","",LEFT($Q125,4)&amp;MID($Q125,6,2)&amp;RIGHT($Q125,2)&amp;IF(Sync!$K125="","0000",IF(AND(ISNUMBER(Sync!$K125),Sync!$K125&gt;=0,Sync!$K125&lt;1),RIGHT("00"&amp;HOUR(Sync!$K125),2)&amp;RIGHT("00"&amp;MINUTE(Sync!$K125),2),IFERROR(RIGHT("00"&amp;VALUE(LEFT(Sync!$K125,FIND(":",Sync!$K125)-1)),2)&amp;RIGHT("00"&amp;VALUE(MID(Sync!$K125,FIND(":",Sync!$K125)+1,2)),2),"0000")))&amp;"|"&amp;"2"&amp;RIGHT("00000"&amp;120,5))</f>
        <v/>
      </c>
      <c r="Q125">
        <f>IF(Sync!$J125="","",IF(ISNUMBER(Sync!$J125),IF(AND(Sync!$J125&gt;=10000101,Sync!$J125&lt;=99991231),INT(Sync!$J125/10000)&amp;"/"&amp;RIGHT("00"&amp;INT(MOD(Sync!$J125,10000)/100),2)&amp;"/"&amp;RIGHT("00"&amp;MOD(Sync!$J125,100),2),"نامعتبر"),IF(LEN(Sync!$J125)=10,Sync!$J125,"نامعتبر")))</f>
        <v/>
      </c>
      <c r="R125">
        <f>IF($P125="","",COUNTIFS($N$6:$N$2005,$N125,$P$6:$P$2005,"&lt;"&amp;$P125)+COUNTIFS($A$6:$A$1005,$N125,$B$6:$B$1005,"&lt;"&amp;$P125)+1)</f>
        <v/>
      </c>
      <c r="S125">
        <f>IF($N125="","",$N125&amp;"|"&amp;RIGHT("000000"&amp;$R125,6))</f>
        <v/>
      </c>
      <c r="T125">
        <f>IF($N125="","",IF(Sync!$N125="",0,Sync!$N125))</f>
        <v/>
      </c>
      <c r="U125">
        <f>IF($N125="","",IF(Sync!$O125="",0,Sync!$O125))</f>
        <v/>
      </c>
      <c r="V125">
        <f>IF($N125="","",Sync!$L125)</f>
        <v/>
      </c>
      <c r="W125">
        <f>IF($N125="","",Sync!$P125)</f>
        <v/>
      </c>
      <c r="AA125">
        <f>IF($A125="","",IF(COUNTIF($A$6:$A125,$A125)=1,1,0))</f>
        <v/>
      </c>
      <c r="AB125">
        <f>SUM($AA$6:$AA125)</f>
        <v/>
      </c>
      <c r="AC125">
        <f>IFERROR(INDEX($A$6:$A$1005,MATCH(ROW()-5,$AB$6:$AB$1005,0)),"")</f>
        <v/>
      </c>
    </row>
    <row r="126">
      <c r="A126">
        <f>IF(OR(Entry!$B129="",Entry!$E129="",$E126="نامعتبر"),"",Entry!$E129)</f>
        <v/>
      </c>
      <c r="B126">
        <f>IF($A126="","",LEFT($E126,4)&amp;MID($E126,6,2)&amp;RIGHT($E126,2)&amp;$F126&amp;"|"&amp;"1"&amp;RIGHT("00000"&amp;121,5))</f>
        <v/>
      </c>
      <c r="C126">
        <f>IF($B126="","",COUNTIFS($A$6:$A$1005,$A126,$B$6:$B$1005,"&lt;"&amp;$B126)+COUNTIFS($N$6:$N$2005,$A126,$P$6:$P$2005,"&lt;"&amp;$B126)+1)</f>
        <v/>
      </c>
      <c r="D126">
        <f>IF($C126="","",$A126&amp;"|"&amp;RIGHT("000000"&amp;$C126,6))</f>
        <v/>
      </c>
      <c r="E126">
        <f>IF(Entry!$B129="","",IF(ISNUMBER(Entry!$B129),IF(AND(Entry!$B129&gt;=10000101,Entry!$B129&lt;=99991231),INT(Entry!$B129/10000)&amp;"/"&amp;RIGHT("00"&amp;INT(MOD(Entry!$B129,10000)/100),2)&amp;"/"&amp;RIGHT("00"&amp;MOD(Entry!$B129,100),2),"نامعتبر"),IF(LEN(Entry!$B129)=10,Entry!$B129,"نامعتبر")))</f>
        <v/>
      </c>
      <c r="F126">
        <f>IF(Entry!$B129="","",IF(Entry!$C129="","0000",IF(AND(ISNUMBER(Entry!$C129),Entry!$C129&gt;=0,Entry!$C129&lt;1),RIGHT("00"&amp;HOUR(Entry!$C129),2)&amp;RIGHT("00"&amp;MINUTE(Entry!$C129),2),IFERROR(RIGHT("00"&amp;VALUE(LEFT(Entry!$C129,FIND(":",Entry!$C129)-1)),2)&amp;RIGHT("00"&amp;VALUE(MID(Entry!$C129,FIND(":",Entry!$C129)+1,2)),2),"0000"))))</f>
        <v/>
      </c>
      <c r="G126">
        <f>IF($A126="","",Entry!$G129)</f>
        <v/>
      </c>
      <c r="H126">
        <f>IF($A126="","",IF(Entry!$H129="",0,Entry!$H129))</f>
        <v/>
      </c>
      <c r="I126">
        <f>IF($A126="","",IF(Entry!$I129="",0,Entry!$I129))</f>
        <v/>
      </c>
      <c r="J126">
        <f>IF($A126="","",ROUND($H126*$I126,0))</f>
        <v/>
      </c>
      <c r="K126">
        <f>IF($A126="","",Entry!$D129)</f>
        <v/>
      </c>
      <c r="L126">
        <f>IF($A126="","",Entry!$L129)</f>
        <v/>
      </c>
      <c r="N126">
        <f>IF(OR(Sync!$M126="",$Q126="",$Q126="نامعتبر"),"",Sync!$M126)</f>
        <v/>
      </c>
      <c r="O126">
        <f>IF($N126="","",$Q126)</f>
        <v/>
      </c>
      <c r="P126">
        <f>IF($N126="","",LEFT($Q126,4)&amp;MID($Q126,6,2)&amp;RIGHT($Q126,2)&amp;IF(Sync!$K126="","0000",IF(AND(ISNUMBER(Sync!$K126),Sync!$K126&gt;=0,Sync!$K126&lt;1),RIGHT("00"&amp;HOUR(Sync!$K126),2)&amp;RIGHT("00"&amp;MINUTE(Sync!$K126),2),IFERROR(RIGHT("00"&amp;VALUE(LEFT(Sync!$K126,FIND(":",Sync!$K126)-1)),2)&amp;RIGHT("00"&amp;VALUE(MID(Sync!$K126,FIND(":",Sync!$K126)+1,2)),2),"0000")))&amp;"|"&amp;"2"&amp;RIGHT("00000"&amp;121,5))</f>
        <v/>
      </c>
      <c r="Q126">
        <f>IF(Sync!$J126="","",IF(ISNUMBER(Sync!$J126),IF(AND(Sync!$J126&gt;=10000101,Sync!$J126&lt;=99991231),INT(Sync!$J126/10000)&amp;"/"&amp;RIGHT("00"&amp;INT(MOD(Sync!$J126,10000)/100),2)&amp;"/"&amp;RIGHT("00"&amp;MOD(Sync!$J126,100),2),"نامعتبر"),IF(LEN(Sync!$J126)=10,Sync!$J126,"نامعتبر")))</f>
        <v/>
      </c>
      <c r="R126">
        <f>IF($P126="","",COUNTIFS($N$6:$N$2005,$N126,$P$6:$P$2005,"&lt;"&amp;$P126)+COUNTIFS($A$6:$A$1005,$N126,$B$6:$B$1005,"&lt;"&amp;$P126)+1)</f>
        <v/>
      </c>
      <c r="S126">
        <f>IF($N126="","",$N126&amp;"|"&amp;RIGHT("000000"&amp;$R126,6))</f>
        <v/>
      </c>
      <c r="T126">
        <f>IF($N126="","",IF(Sync!$N126="",0,Sync!$N126))</f>
        <v/>
      </c>
      <c r="U126">
        <f>IF($N126="","",IF(Sync!$O126="",0,Sync!$O126))</f>
        <v/>
      </c>
      <c r="V126">
        <f>IF($N126="","",Sync!$L126)</f>
        <v/>
      </c>
      <c r="W126">
        <f>IF($N126="","",Sync!$P126)</f>
        <v/>
      </c>
      <c r="AA126">
        <f>IF($A126="","",IF(COUNTIF($A$6:$A126,$A126)=1,1,0))</f>
        <v/>
      </c>
      <c r="AB126">
        <f>SUM($AA$6:$AA126)</f>
        <v/>
      </c>
      <c r="AC126">
        <f>IFERROR(INDEX($A$6:$A$1005,MATCH(ROW()-5,$AB$6:$AB$1005,0)),"")</f>
        <v/>
      </c>
    </row>
    <row r="127">
      <c r="A127">
        <f>IF(OR(Entry!$B130="",Entry!$E130="",$E127="نامعتبر"),"",Entry!$E130)</f>
        <v/>
      </c>
      <c r="B127">
        <f>IF($A127="","",LEFT($E127,4)&amp;MID($E127,6,2)&amp;RIGHT($E127,2)&amp;$F127&amp;"|"&amp;"1"&amp;RIGHT("00000"&amp;122,5))</f>
        <v/>
      </c>
      <c r="C127">
        <f>IF($B127="","",COUNTIFS($A$6:$A$1005,$A127,$B$6:$B$1005,"&lt;"&amp;$B127)+COUNTIFS($N$6:$N$2005,$A127,$P$6:$P$2005,"&lt;"&amp;$B127)+1)</f>
        <v/>
      </c>
      <c r="D127">
        <f>IF($C127="","",$A127&amp;"|"&amp;RIGHT("000000"&amp;$C127,6))</f>
        <v/>
      </c>
      <c r="E127">
        <f>IF(Entry!$B130="","",IF(ISNUMBER(Entry!$B130),IF(AND(Entry!$B130&gt;=10000101,Entry!$B130&lt;=99991231),INT(Entry!$B130/10000)&amp;"/"&amp;RIGHT("00"&amp;INT(MOD(Entry!$B130,10000)/100),2)&amp;"/"&amp;RIGHT("00"&amp;MOD(Entry!$B130,100),2),"نامعتبر"),IF(LEN(Entry!$B130)=10,Entry!$B130,"نامعتبر")))</f>
        <v/>
      </c>
      <c r="F127">
        <f>IF(Entry!$B130="","",IF(Entry!$C130="","0000",IF(AND(ISNUMBER(Entry!$C130),Entry!$C130&gt;=0,Entry!$C130&lt;1),RIGHT("00"&amp;HOUR(Entry!$C130),2)&amp;RIGHT("00"&amp;MINUTE(Entry!$C130),2),IFERROR(RIGHT("00"&amp;VALUE(LEFT(Entry!$C130,FIND(":",Entry!$C130)-1)),2)&amp;RIGHT("00"&amp;VALUE(MID(Entry!$C130,FIND(":",Entry!$C130)+1,2)),2),"0000"))))</f>
        <v/>
      </c>
      <c r="G127">
        <f>IF($A127="","",Entry!$G130)</f>
        <v/>
      </c>
      <c r="H127">
        <f>IF($A127="","",IF(Entry!$H130="",0,Entry!$H130))</f>
        <v/>
      </c>
      <c r="I127">
        <f>IF($A127="","",IF(Entry!$I130="",0,Entry!$I130))</f>
        <v/>
      </c>
      <c r="J127">
        <f>IF($A127="","",ROUND($H127*$I127,0))</f>
        <v/>
      </c>
      <c r="K127">
        <f>IF($A127="","",Entry!$D130)</f>
        <v/>
      </c>
      <c r="L127">
        <f>IF($A127="","",Entry!$L130)</f>
        <v/>
      </c>
      <c r="N127">
        <f>IF(OR(Sync!$M127="",$Q127="",$Q127="نامعتبر"),"",Sync!$M127)</f>
        <v/>
      </c>
      <c r="O127">
        <f>IF($N127="","",$Q127)</f>
        <v/>
      </c>
      <c r="P127">
        <f>IF($N127="","",LEFT($Q127,4)&amp;MID($Q127,6,2)&amp;RIGHT($Q127,2)&amp;IF(Sync!$K127="","0000",IF(AND(ISNUMBER(Sync!$K127),Sync!$K127&gt;=0,Sync!$K127&lt;1),RIGHT("00"&amp;HOUR(Sync!$K127),2)&amp;RIGHT("00"&amp;MINUTE(Sync!$K127),2),IFERROR(RIGHT("00"&amp;VALUE(LEFT(Sync!$K127,FIND(":",Sync!$K127)-1)),2)&amp;RIGHT("00"&amp;VALUE(MID(Sync!$K127,FIND(":",Sync!$K127)+1,2)),2),"0000")))&amp;"|"&amp;"2"&amp;RIGHT("00000"&amp;122,5))</f>
        <v/>
      </c>
      <c r="Q127">
        <f>IF(Sync!$J127="","",IF(ISNUMBER(Sync!$J127),IF(AND(Sync!$J127&gt;=10000101,Sync!$J127&lt;=99991231),INT(Sync!$J127/10000)&amp;"/"&amp;RIGHT("00"&amp;INT(MOD(Sync!$J127,10000)/100),2)&amp;"/"&amp;RIGHT("00"&amp;MOD(Sync!$J127,100),2),"نامعتبر"),IF(LEN(Sync!$J127)=10,Sync!$J127,"نامعتبر")))</f>
        <v/>
      </c>
      <c r="R127">
        <f>IF($P127="","",COUNTIFS($N$6:$N$2005,$N127,$P$6:$P$2005,"&lt;"&amp;$P127)+COUNTIFS($A$6:$A$1005,$N127,$B$6:$B$1005,"&lt;"&amp;$P127)+1)</f>
        <v/>
      </c>
      <c r="S127">
        <f>IF($N127="","",$N127&amp;"|"&amp;RIGHT("000000"&amp;$R127,6))</f>
        <v/>
      </c>
      <c r="T127">
        <f>IF($N127="","",IF(Sync!$N127="",0,Sync!$N127))</f>
        <v/>
      </c>
      <c r="U127">
        <f>IF($N127="","",IF(Sync!$O127="",0,Sync!$O127))</f>
        <v/>
      </c>
      <c r="V127">
        <f>IF($N127="","",Sync!$L127)</f>
        <v/>
      </c>
      <c r="W127">
        <f>IF($N127="","",Sync!$P127)</f>
        <v/>
      </c>
      <c r="AA127">
        <f>IF($A127="","",IF(COUNTIF($A$6:$A127,$A127)=1,1,0))</f>
        <v/>
      </c>
      <c r="AB127">
        <f>SUM($AA$6:$AA127)</f>
        <v/>
      </c>
      <c r="AC127">
        <f>IFERROR(INDEX($A$6:$A$1005,MATCH(ROW()-5,$AB$6:$AB$1005,0)),"")</f>
        <v/>
      </c>
    </row>
    <row r="128">
      <c r="A128">
        <f>IF(OR(Entry!$B131="",Entry!$E131="",$E128="نامعتبر"),"",Entry!$E131)</f>
        <v/>
      </c>
      <c r="B128">
        <f>IF($A128="","",LEFT($E128,4)&amp;MID($E128,6,2)&amp;RIGHT($E128,2)&amp;$F128&amp;"|"&amp;"1"&amp;RIGHT("00000"&amp;123,5))</f>
        <v/>
      </c>
      <c r="C128">
        <f>IF($B128="","",COUNTIFS($A$6:$A$1005,$A128,$B$6:$B$1005,"&lt;"&amp;$B128)+COUNTIFS($N$6:$N$2005,$A128,$P$6:$P$2005,"&lt;"&amp;$B128)+1)</f>
        <v/>
      </c>
      <c r="D128">
        <f>IF($C128="","",$A128&amp;"|"&amp;RIGHT("000000"&amp;$C128,6))</f>
        <v/>
      </c>
      <c r="E128">
        <f>IF(Entry!$B131="","",IF(ISNUMBER(Entry!$B131),IF(AND(Entry!$B131&gt;=10000101,Entry!$B131&lt;=99991231),INT(Entry!$B131/10000)&amp;"/"&amp;RIGHT("00"&amp;INT(MOD(Entry!$B131,10000)/100),2)&amp;"/"&amp;RIGHT("00"&amp;MOD(Entry!$B131,100),2),"نامعتبر"),IF(LEN(Entry!$B131)=10,Entry!$B131,"نامعتبر")))</f>
        <v/>
      </c>
      <c r="F128">
        <f>IF(Entry!$B131="","",IF(Entry!$C131="","0000",IF(AND(ISNUMBER(Entry!$C131),Entry!$C131&gt;=0,Entry!$C131&lt;1),RIGHT("00"&amp;HOUR(Entry!$C131),2)&amp;RIGHT("00"&amp;MINUTE(Entry!$C131),2),IFERROR(RIGHT("00"&amp;VALUE(LEFT(Entry!$C131,FIND(":",Entry!$C131)-1)),2)&amp;RIGHT("00"&amp;VALUE(MID(Entry!$C131,FIND(":",Entry!$C131)+1,2)),2),"0000"))))</f>
        <v/>
      </c>
      <c r="G128">
        <f>IF($A128="","",Entry!$G131)</f>
        <v/>
      </c>
      <c r="H128">
        <f>IF($A128="","",IF(Entry!$H131="",0,Entry!$H131))</f>
        <v/>
      </c>
      <c r="I128">
        <f>IF($A128="","",IF(Entry!$I131="",0,Entry!$I131))</f>
        <v/>
      </c>
      <c r="J128">
        <f>IF($A128="","",ROUND($H128*$I128,0))</f>
        <v/>
      </c>
      <c r="K128">
        <f>IF($A128="","",Entry!$D131)</f>
        <v/>
      </c>
      <c r="L128">
        <f>IF($A128="","",Entry!$L131)</f>
        <v/>
      </c>
      <c r="N128">
        <f>IF(OR(Sync!$M128="",$Q128="",$Q128="نامعتبر"),"",Sync!$M128)</f>
        <v/>
      </c>
      <c r="O128">
        <f>IF($N128="","",$Q128)</f>
        <v/>
      </c>
      <c r="P128">
        <f>IF($N128="","",LEFT($Q128,4)&amp;MID($Q128,6,2)&amp;RIGHT($Q128,2)&amp;IF(Sync!$K128="","0000",IF(AND(ISNUMBER(Sync!$K128),Sync!$K128&gt;=0,Sync!$K128&lt;1),RIGHT("00"&amp;HOUR(Sync!$K128),2)&amp;RIGHT("00"&amp;MINUTE(Sync!$K128),2),IFERROR(RIGHT("00"&amp;VALUE(LEFT(Sync!$K128,FIND(":",Sync!$K128)-1)),2)&amp;RIGHT("00"&amp;VALUE(MID(Sync!$K128,FIND(":",Sync!$K128)+1,2)),2),"0000")))&amp;"|"&amp;"2"&amp;RIGHT("00000"&amp;123,5))</f>
        <v/>
      </c>
      <c r="Q128">
        <f>IF(Sync!$J128="","",IF(ISNUMBER(Sync!$J128),IF(AND(Sync!$J128&gt;=10000101,Sync!$J128&lt;=99991231),INT(Sync!$J128/10000)&amp;"/"&amp;RIGHT("00"&amp;INT(MOD(Sync!$J128,10000)/100),2)&amp;"/"&amp;RIGHT("00"&amp;MOD(Sync!$J128,100),2),"نامعتبر"),IF(LEN(Sync!$J128)=10,Sync!$J128,"نامعتبر")))</f>
        <v/>
      </c>
      <c r="R128">
        <f>IF($P128="","",COUNTIFS($N$6:$N$2005,$N128,$P$6:$P$2005,"&lt;"&amp;$P128)+COUNTIFS($A$6:$A$1005,$N128,$B$6:$B$1005,"&lt;"&amp;$P128)+1)</f>
        <v/>
      </c>
      <c r="S128">
        <f>IF($N128="","",$N128&amp;"|"&amp;RIGHT("000000"&amp;$R128,6))</f>
        <v/>
      </c>
      <c r="T128">
        <f>IF($N128="","",IF(Sync!$N128="",0,Sync!$N128))</f>
        <v/>
      </c>
      <c r="U128">
        <f>IF($N128="","",IF(Sync!$O128="",0,Sync!$O128))</f>
        <v/>
      </c>
      <c r="V128">
        <f>IF($N128="","",Sync!$L128)</f>
        <v/>
      </c>
      <c r="W128">
        <f>IF($N128="","",Sync!$P128)</f>
        <v/>
      </c>
      <c r="AA128">
        <f>IF($A128="","",IF(COUNTIF($A$6:$A128,$A128)=1,1,0))</f>
        <v/>
      </c>
      <c r="AB128">
        <f>SUM($AA$6:$AA128)</f>
        <v/>
      </c>
      <c r="AC128">
        <f>IFERROR(INDEX($A$6:$A$1005,MATCH(ROW()-5,$AB$6:$AB$1005,0)),"")</f>
        <v/>
      </c>
    </row>
    <row r="129">
      <c r="A129">
        <f>IF(OR(Entry!$B132="",Entry!$E132="",$E129="نامعتبر"),"",Entry!$E132)</f>
        <v/>
      </c>
      <c r="B129">
        <f>IF($A129="","",LEFT($E129,4)&amp;MID($E129,6,2)&amp;RIGHT($E129,2)&amp;$F129&amp;"|"&amp;"1"&amp;RIGHT("00000"&amp;124,5))</f>
        <v/>
      </c>
      <c r="C129">
        <f>IF($B129="","",COUNTIFS($A$6:$A$1005,$A129,$B$6:$B$1005,"&lt;"&amp;$B129)+COUNTIFS($N$6:$N$2005,$A129,$P$6:$P$2005,"&lt;"&amp;$B129)+1)</f>
        <v/>
      </c>
      <c r="D129">
        <f>IF($C129="","",$A129&amp;"|"&amp;RIGHT("000000"&amp;$C129,6))</f>
        <v/>
      </c>
      <c r="E129">
        <f>IF(Entry!$B132="","",IF(ISNUMBER(Entry!$B132),IF(AND(Entry!$B132&gt;=10000101,Entry!$B132&lt;=99991231),INT(Entry!$B132/10000)&amp;"/"&amp;RIGHT("00"&amp;INT(MOD(Entry!$B132,10000)/100),2)&amp;"/"&amp;RIGHT("00"&amp;MOD(Entry!$B132,100),2),"نامعتبر"),IF(LEN(Entry!$B132)=10,Entry!$B132,"نامعتبر")))</f>
        <v/>
      </c>
      <c r="F129">
        <f>IF(Entry!$B132="","",IF(Entry!$C132="","0000",IF(AND(ISNUMBER(Entry!$C132),Entry!$C132&gt;=0,Entry!$C132&lt;1),RIGHT("00"&amp;HOUR(Entry!$C132),2)&amp;RIGHT("00"&amp;MINUTE(Entry!$C132),2),IFERROR(RIGHT("00"&amp;VALUE(LEFT(Entry!$C132,FIND(":",Entry!$C132)-1)),2)&amp;RIGHT("00"&amp;VALUE(MID(Entry!$C132,FIND(":",Entry!$C132)+1,2)),2),"0000"))))</f>
        <v/>
      </c>
      <c r="G129">
        <f>IF($A129="","",Entry!$G132)</f>
        <v/>
      </c>
      <c r="H129">
        <f>IF($A129="","",IF(Entry!$H132="",0,Entry!$H132))</f>
        <v/>
      </c>
      <c r="I129">
        <f>IF($A129="","",IF(Entry!$I132="",0,Entry!$I132))</f>
        <v/>
      </c>
      <c r="J129">
        <f>IF($A129="","",ROUND($H129*$I129,0))</f>
        <v/>
      </c>
      <c r="K129">
        <f>IF($A129="","",Entry!$D132)</f>
        <v/>
      </c>
      <c r="L129">
        <f>IF($A129="","",Entry!$L132)</f>
        <v/>
      </c>
      <c r="N129">
        <f>IF(OR(Sync!$M129="",$Q129="",$Q129="نامعتبر"),"",Sync!$M129)</f>
        <v/>
      </c>
      <c r="O129">
        <f>IF($N129="","",$Q129)</f>
        <v/>
      </c>
      <c r="P129">
        <f>IF($N129="","",LEFT($Q129,4)&amp;MID($Q129,6,2)&amp;RIGHT($Q129,2)&amp;IF(Sync!$K129="","0000",IF(AND(ISNUMBER(Sync!$K129),Sync!$K129&gt;=0,Sync!$K129&lt;1),RIGHT("00"&amp;HOUR(Sync!$K129),2)&amp;RIGHT("00"&amp;MINUTE(Sync!$K129),2),IFERROR(RIGHT("00"&amp;VALUE(LEFT(Sync!$K129,FIND(":",Sync!$K129)-1)),2)&amp;RIGHT("00"&amp;VALUE(MID(Sync!$K129,FIND(":",Sync!$K129)+1,2)),2),"0000")))&amp;"|"&amp;"2"&amp;RIGHT("00000"&amp;124,5))</f>
        <v/>
      </c>
      <c r="Q129">
        <f>IF(Sync!$J129="","",IF(ISNUMBER(Sync!$J129),IF(AND(Sync!$J129&gt;=10000101,Sync!$J129&lt;=99991231),INT(Sync!$J129/10000)&amp;"/"&amp;RIGHT("00"&amp;INT(MOD(Sync!$J129,10000)/100),2)&amp;"/"&amp;RIGHT("00"&amp;MOD(Sync!$J129,100),2),"نامعتبر"),IF(LEN(Sync!$J129)=10,Sync!$J129,"نامعتبر")))</f>
        <v/>
      </c>
      <c r="R129">
        <f>IF($P129="","",COUNTIFS($N$6:$N$2005,$N129,$P$6:$P$2005,"&lt;"&amp;$P129)+COUNTIFS($A$6:$A$1005,$N129,$B$6:$B$1005,"&lt;"&amp;$P129)+1)</f>
        <v/>
      </c>
      <c r="S129">
        <f>IF($N129="","",$N129&amp;"|"&amp;RIGHT("000000"&amp;$R129,6))</f>
        <v/>
      </c>
      <c r="T129">
        <f>IF($N129="","",IF(Sync!$N129="",0,Sync!$N129))</f>
        <v/>
      </c>
      <c r="U129">
        <f>IF($N129="","",IF(Sync!$O129="",0,Sync!$O129))</f>
        <v/>
      </c>
      <c r="V129">
        <f>IF($N129="","",Sync!$L129)</f>
        <v/>
      </c>
      <c r="W129">
        <f>IF($N129="","",Sync!$P129)</f>
        <v/>
      </c>
      <c r="AA129">
        <f>IF($A129="","",IF(COUNTIF($A$6:$A129,$A129)=1,1,0))</f>
        <v/>
      </c>
      <c r="AB129">
        <f>SUM($AA$6:$AA129)</f>
        <v/>
      </c>
      <c r="AC129">
        <f>IFERROR(INDEX($A$6:$A$1005,MATCH(ROW()-5,$AB$6:$AB$1005,0)),"")</f>
        <v/>
      </c>
    </row>
    <row r="130">
      <c r="A130">
        <f>IF(OR(Entry!$B133="",Entry!$E133="",$E130="نامعتبر"),"",Entry!$E133)</f>
        <v/>
      </c>
      <c r="B130">
        <f>IF($A130="","",LEFT($E130,4)&amp;MID($E130,6,2)&amp;RIGHT($E130,2)&amp;$F130&amp;"|"&amp;"1"&amp;RIGHT("00000"&amp;125,5))</f>
        <v/>
      </c>
      <c r="C130">
        <f>IF($B130="","",COUNTIFS($A$6:$A$1005,$A130,$B$6:$B$1005,"&lt;"&amp;$B130)+COUNTIFS($N$6:$N$2005,$A130,$P$6:$P$2005,"&lt;"&amp;$B130)+1)</f>
        <v/>
      </c>
      <c r="D130">
        <f>IF($C130="","",$A130&amp;"|"&amp;RIGHT("000000"&amp;$C130,6))</f>
        <v/>
      </c>
      <c r="E130">
        <f>IF(Entry!$B133="","",IF(ISNUMBER(Entry!$B133),IF(AND(Entry!$B133&gt;=10000101,Entry!$B133&lt;=99991231),INT(Entry!$B133/10000)&amp;"/"&amp;RIGHT("00"&amp;INT(MOD(Entry!$B133,10000)/100),2)&amp;"/"&amp;RIGHT("00"&amp;MOD(Entry!$B133,100),2),"نامعتبر"),IF(LEN(Entry!$B133)=10,Entry!$B133,"نامعتبر")))</f>
        <v/>
      </c>
      <c r="F130">
        <f>IF(Entry!$B133="","",IF(Entry!$C133="","0000",IF(AND(ISNUMBER(Entry!$C133),Entry!$C133&gt;=0,Entry!$C133&lt;1),RIGHT("00"&amp;HOUR(Entry!$C133),2)&amp;RIGHT("00"&amp;MINUTE(Entry!$C133),2),IFERROR(RIGHT("00"&amp;VALUE(LEFT(Entry!$C133,FIND(":",Entry!$C133)-1)),2)&amp;RIGHT("00"&amp;VALUE(MID(Entry!$C133,FIND(":",Entry!$C133)+1,2)),2),"0000"))))</f>
        <v/>
      </c>
      <c r="G130">
        <f>IF($A130="","",Entry!$G133)</f>
        <v/>
      </c>
      <c r="H130">
        <f>IF($A130="","",IF(Entry!$H133="",0,Entry!$H133))</f>
        <v/>
      </c>
      <c r="I130">
        <f>IF($A130="","",IF(Entry!$I133="",0,Entry!$I133))</f>
        <v/>
      </c>
      <c r="J130">
        <f>IF($A130="","",ROUND($H130*$I130,0))</f>
        <v/>
      </c>
      <c r="K130">
        <f>IF($A130="","",Entry!$D133)</f>
        <v/>
      </c>
      <c r="L130">
        <f>IF($A130="","",Entry!$L133)</f>
        <v/>
      </c>
      <c r="N130">
        <f>IF(OR(Sync!$M130="",$Q130="",$Q130="نامعتبر"),"",Sync!$M130)</f>
        <v/>
      </c>
      <c r="O130">
        <f>IF($N130="","",$Q130)</f>
        <v/>
      </c>
      <c r="P130">
        <f>IF($N130="","",LEFT($Q130,4)&amp;MID($Q130,6,2)&amp;RIGHT($Q130,2)&amp;IF(Sync!$K130="","0000",IF(AND(ISNUMBER(Sync!$K130),Sync!$K130&gt;=0,Sync!$K130&lt;1),RIGHT("00"&amp;HOUR(Sync!$K130),2)&amp;RIGHT("00"&amp;MINUTE(Sync!$K130),2),IFERROR(RIGHT("00"&amp;VALUE(LEFT(Sync!$K130,FIND(":",Sync!$K130)-1)),2)&amp;RIGHT("00"&amp;VALUE(MID(Sync!$K130,FIND(":",Sync!$K130)+1,2)),2),"0000")))&amp;"|"&amp;"2"&amp;RIGHT("00000"&amp;125,5))</f>
        <v/>
      </c>
      <c r="Q130">
        <f>IF(Sync!$J130="","",IF(ISNUMBER(Sync!$J130),IF(AND(Sync!$J130&gt;=10000101,Sync!$J130&lt;=99991231),INT(Sync!$J130/10000)&amp;"/"&amp;RIGHT("00"&amp;INT(MOD(Sync!$J130,10000)/100),2)&amp;"/"&amp;RIGHT("00"&amp;MOD(Sync!$J130,100),2),"نامعتبر"),IF(LEN(Sync!$J130)=10,Sync!$J130,"نامعتبر")))</f>
        <v/>
      </c>
      <c r="R130">
        <f>IF($P130="","",COUNTIFS($N$6:$N$2005,$N130,$P$6:$P$2005,"&lt;"&amp;$P130)+COUNTIFS($A$6:$A$1005,$N130,$B$6:$B$1005,"&lt;"&amp;$P130)+1)</f>
        <v/>
      </c>
      <c r="S130">
        <f>IF($N130="","",$N130&amp;"|"&amp;RIGHT("000000"&amp;$R130,6))</f>
        <v/>
      </c>
      <c r="T130">
        <f>IF($N130="","",IF(Sync!$N130="",0,Sync!$N130))</f>
        <v/>
      </c>
      <c r="U130">
        <f>IF($N130="","",IF(Sync!$O130="",0,Sync!$O130))</f>
        <v/>
      </c>
      <c r="V130">
        <f>IF($N130="","",Sync!$L130)</f>
        <v/>
      </c>
      <c r="W130">
        <f>IF($N130="","",Sync!$P130)</f>
        <v/>
      </c>
      <c r="AA130">
        <f>IF($A130="","",IF(COUNTIF($A$6:$A130,$A130)=1,1,0))</f>
        <v/>
      </c>
      <c r="AB130">
        <f>SUM($AA$6:$AA130)</f>
        <v/>
      </c>
      <c r="AC130">
        <f>IFERROR(INDEX($A$6:$A$1005,MATCH(ROW()-5,$AB$6:$AB$1005,0)),"")</f>
        <v/>
      </c>
    </row>
    <row r="131">
      <c r="A131">
        <f>IF(OR(Entry!$B134="",Entry!$E134="",$E131="نامعتبر"),"",Entry!$E134)</f>
        <v/>
      </c>
      <c r="B131">
        <f>IF($A131="","",LEFT($E131,4)&amp;MID($E131,6,2)&amp;RIGHT($E131,2)&amp;$F131&amp;"|"&amp;"1"&amp;RIGHT("00000"&amp;126,5))</f>
        <v/>
      </c>
      <c r="C131">
        <f>IF($B131="","",COUNTIFS($A$6:$A$1005,$A131,$B$6:$B$1005,"&lt;"&amp;$B131)+COUNTIFS($N$6:$N$2005,$A131,$P$6:$P$2005,"&lt;"&amp;$B131)+1)</f>
        <v/>
      </c>
      <c r="D131">
        <f>IF($C131="","",$A131&amp;"|"&amp;RIGHT("000000"&amp;$C131,6))</f>
        <v/>
      </c>
      <c r="E131">
        <f>IF(Entry!$B134="","",IF(ISNUMBER(Entry!$B134),IF(AND(Entry!$B134&gt;=10000101,Entry!$B134&lt;=99991231),INT(Entry!$B134/10000)&amp;"/"&amp;RIGHT("00"&amp;INT(MOD(Entry!$B134,10000)/100),2)&amp;"/"&amp;RIGHT("00"&amp;MOD(Entry!$B134,100),2),"نامعتبر"),IF(LEN(Entry!$B134)=10,Entry!$B134,"نامعتبر")))</f>
        <v/>
      </c>
      <c r="F131">
        <f>IF(Entry!$B134="","",IF(Entry!$C134="","0000",IF(AND(ISNUMBER(Entry!$C134),Entry!$C134&gt;=0,Entry!$C134&lt;1),RIGHT("00"&amp;HOUR(Entry!$C134),2)&amp;RIGHT("00"&amp;MINUTE(Entry!$C134),2),IFERROR(RIGHT("00"&amp;VALUE(LEFT(Entry!$C134,FIND(":",Entry!$C134)-1)),2)&amp;RIGHT("00"&amp;VALUE(MID(Entry!$C134,FIND(":",Entry!$C134)+1,2)),2),"0000"))))</f>
        <v/>
      </c>
      <c r="G131">
        <f>IF($A131="","",Entry!$G134)</f>
        <v/>
      </c>
      <c r="H131">
        <f>IF($A131="","",IF(Entry!$H134="",0,Entry!$H134))</f>
        <v/>
      </c>
      <c r="I131">
        <f>IF($A131="","",IF(Entry!$I134="",0,Entry!$I134))</f>
        <v/>
      </c>
      <c r="J131">
        <f>IF($A131="","",ROUND($H131*$I131,0))</f>
        <v/>
      </c>
      <c r="K131">
        <f>IF($A131="","",Entry!$D134)</f>
        <v/>
      </c>
      <c r="L131">
        <f>IF($A131="","",Entry!$L134)</f>
        <v/>
      </c>
      <c r="N131">
        <f>IF(OR(Sync!$M131="",$Q131="",$Q131="نامعتبر"),"",Sync!$M131)</f>
        <v/>
      </c>
      <c r="O131">
        <f>IF($N131="","",$Q131)</f>
        <v/>
      </c>
      <c r="P131">
        <f>IF($N131="","",LEFT($Q131,4)&amp;MID($Q131,6,2)&amp;RIGHT($Q131,2)&amp;IF(Sync!$K131="","0000",IF(AND(ISNUMBER(Sync!$K131),Sync!$K131&gt;=0,Sync!$K131&lt;1),RIGHT("00"&amp;HOUR(Sync!$K131),2)&amp;RIGHT("00"&amp;MINUTE(Sync!$K131),2),IFERROR(RIGHT("00"&amp;VALUE(LEFT(Sync!$K131,FIND(":",Sync!$K131)-1)),2)&amp;RIGHT("00"&amp;VALUE(MID(Sync!$K131,FIND(":",Sync!$K131)+1,2)),2),"0000")))&amp;"|"&amp;"2"&amp;RIGHT("00000"&amp;126,5))</f>
        <v/>
      </c>
      <c r="Q131">
        <f>IF(Sync!$J131="","",IF(ISNUMBER(Sync!$J131),IF(AND(Sync!$J131&gt;=10000101,Sync!$J131&lt;=99991231),INT(Sync!$J131/10000)&amp;"/"&amp;RIGHT("00"&amp;INT(MOD(Sync!$J131,10000)/100),2)&amp;"/"&amp;RIGHT("00"&amp;MOD(Sync!$J131,100),2),"نامعتبر"),IF(LEN(Sync!$J131)=10,Sync!$J131,"نامعتبر")))</f>
        <v/>
      </c>
      <c r="R131">
        <f>IF($P131="","",COUNTIFS($N$6:$N$2005,$N131,$P$6:$P$2005,"&lt;"&amp;$P131)+COUNTIFS($A$6:$A$1005,$N131,$B$6:$B$1005,"&lt;"&amp;$P131)+1)</f>
        <v/>
      </c>
      <c r="S131">
        <f>IF($N131="","",$N131&amp;"|"&amp;RIGHT("000000"&amp;$R131,6))</f>
        <v/>
      </c>
      <c r="T131">
        <f>IF($N131="","",IF(Sync!$N131="",0,Sync!$N131))</f>
        <v/>
      </c>
      <c r="U131">
        <f>IF($N131="","",IF(Sync!$O131="",0,Sync!$O131))</f>
        <v/>
      </c>
      <c r="V131">
        <f>IF($N131="","",Sync!$L131)</f>
        <v/>
      </c>
      <c r="W131">
        <f>IF($N131="","",Sync!$P131)</f>
        <v/>
      </c>
      <c r="AA131">
        <f>IF($A131="","",IF(COUNTIF($A$6:$A131,$A131)=1,1,0))</f>
        <v/>
      </c>
      <c r="AB131">
        <f>SUM($AA$6:$AA131)</f>
        <v/>
      </c>
      <c r="AC131">
        <f>IFERROR(INDEX($A$6:$A$1005,MATCH(ROW()-5,$AB$6:$AB$1005,0)),"")</f>
        <v/>
      </c>
    </row>
    <row r="132">
      <c r="A132">
        <f>IF(OR(Entry!$B135="",Entry!$E135="",$E132="نامعتبر"),"",Entry!$E135)</f>
        <v/>
      </c>
      <c r="B132">
        <f>IF($A132="","",LEFT($E132,4)&amp;MID($E132,6,2)&amp;RIGHT($E132,2)&amp;$F132&amp;"|"&amp;"1"&amp;RIGHT("00000"&amp;127,5))</f>
        <v/>
      </c>
      <c r="C132">
        <f>IF($B132="","",COUNTIFS($A$6:$A$1005,$A132,$B$6:$B$1005,"&lt;"&amp;$B132)+COUNTIFS($N$6:$N$2005,$A132,$P$6:$P$2005,"&lt;"&amp;$B132)+1)</f>
        <v/>
      </c>
      <c r="D132">
        <f>IF($C132="","",$A132&amp;"|"&amp;RIGHT("000000"&amp;$C132,6))</f>
        <v/>
      </c>
      <c r="E132">
        <f>IF(Entry!$B135="","",IF(ISNUMBER(Entry!$B135),IF(AND(Entry!$B135&gt;=10000101,Entry!$B135&lt;=99991231),INT(Entry!$B135/10000)&amp;"/"&amp;RIGHT("00"&amp;INT(MOD(Entry!$B135,10000)/100),2)&amp;"/"&amp;RIGHT("00"&amp;MOD(Entry!$B135,100),2),"نامعتبر"),IF(LEN(Entry!$B135)=10,Entry!$B135,"نامعتبر")))</f>
        <v/>
      </c>
      <c r="F132">
        <f>IF(Entry!$B135="","",IF(Entry!$C135="","0000",IF(AND(ISNUMBER(Entry!$C135),Entry!$C135&gt;=0,Entry!$C135&lt;1),RIGHT("00"&amp;HOUR(Entry!$C135),2)&amp;RIGHT("00"&amp;MINUTE(Entry!$C135),2),IFERROR(RIGHT("00"&amp;VALUE(LEFT(Entry!$C135,FIND(":",Entry!$C135)-1)),2)&amp;RIGHT("00"&amp;VALUE(MID(Entry!$C135,FIND(":",Entry!$C135)+1,2)),2),"0000"))))</f>
        <v/>
      </c>
      <c r="G132">
        <f>IF($A132="","",Entry!$G135)</f>
        <v/>
      </c>
      <c r="H132">
        <f>IF($A132="","",IF(Entry!$H135="",0,Entry!$H135))</f>
        <v/>
      </c>
      <c r="I132">
        <f>IF($A132="","",IF(Entry!$I135="",0,Entry!$I135))</f>
        <v/>
      </c>
      <c r="J132">
        <f>IF($A132="","",ROUND($H132*$I132,0))</f>
        <v/>
      </c>
      <c r="K132">
        <f>IF($A132="","",Entry!$D135)</f>
        <v/>
      </c>
      <c r="L132">
        <f>IF($A132="","",Entry!$L135)</f>
        <v/>
      </c>
      <c r="N132">
        <f>IF(OR(Sync!$M132="",$Q132="",$Q132="نامعتبر"),"",Sync!$M132)</f>
        <v/>
      </c>
      <c r="O132">
        <f>IF($N132="","",$Q132)</f>
        <v/>
      </c>
      <c r="P132">
        <f>IF($N132="","",LEFT($Q132,4)&amp;MID($Q132,6,2)&amp;RIGHT($Q132,2)&amp;IF(Sync!$K132="","0000",IF(AND(ISNUMBER(Sync!$K132),Sync!$K132&gt;=0,Sync!$K132&lt;1),RIGHT("00"&amp;HOUR(Sync!$K132),2)&amp;RIGHT("00"&amp;MINUTE(Sync!$K132),2),IFERROR(RIGHT("00"&amp;VALUE(LEFT(Sync!$K132,FIND(":",Sync!$K132)-1)),2)&amp;RIGHT("00"&amp;VALUE(MID(Sync!$K132,FIND(":",Sync!$K132)+1,2)),2),"0000")))&amp;"|"&amp;"2"&amp;RIGHT("00000"&amp;127,5))</f>
        <v/>
      </c>
      <c r="Q132">
        <f>IF(Sync!$J132="","",IF(ISNUMBER(Sync!$J132),IF(AND(Sync!$J132&gt;=10000101,Sync!$J132&lt;=99991231),INT(Sync!$J132/10000)&amp;"/"&amp;RIGHT("00"&amp;INT(MOD(Sync!$J132,10000)/100),2)&amp;"/"&amp;RIGHT("00"&amp;MOD(Sync!$J132,100),2),"نامعتبر"),IF(LEN(Sync!$J132)=10,Sync!$J132,"نامعتبر")))</f>
        <v/>
      </c>
      <c r="R132">
        <f>IF($P132="","",COUNTIFS($N$6:$N$2005,$N132,$P$6:$P$2005,"&lt;"&amp;$P132)+COUNTIFS($A$6:$A$1005,$N132,$B$6:$B$1005,"&lt;"&amp;$P132)+1)</f>
        <v/>
      </c>
      <c r="S132">
        <f>IF($N132="","",$N132&amp;"|"&amp;RIGHT("000000"&amp;$R132,6))</f>
        <v/>
      </c>
      <c r="T132">
        <f>IF($N132="","",IF(Sync!$N132="",0,Sync!$N132))</f>
        <v/>
      </c>
      <c r="U132">
        <f>IF($N132="","",IF(Sync!$O132="",0,Sync!$O132))</f>
        <v/>
      </c>
      <c r="V132">
        <f>IF($N132="","",Sync!$L132)</f>
        <v/>
      </c>
      <c r="W132">
        <f>IF($N132="","",Sync!$P132)</f>
        <v/>
      </c>
      <c r="AA132">
        <f>IF($A132="","",IF(COUNTIF($A$6:$A132,$A132)=1,1,0))</f>
        <v/>
      </c>
      <c r="AB132">
        <f>SUM($AA$6:$AA132)</f>
        <v/>
      </c>
      <c r="AC132">
        <f>IFERROR(INDEX($A$6:$A$1005,MATCH(ROW()-5,$AB$6:$AB$1005,0)),"")</f>
        <v/>
      </c>
    </row>
    <row r="133">
      <c r="A133">
        <f>IF(OR(Entry!$B136="",Entry!$E136="",$E133="نامعتبر"),"",Entry!$E136)</f>
        <v/>
      </c>
      <c r="B133">
        <f>IF($A133="","",LEFT($E133,4)&amp;MID($E133,6,2)&amp;RIGHT($E133,2)&amp;$F133&amp;"|"&amp;"1"&amp;RIGHT("00000"&amp;128,5))</f>
        <v/>
      </c>
      <c r="C133">
        <f>IF($B133="","",COUNTIFS($A$6:$A$1005,$A133,$B$6:$B$1005,"&lt;"&amp;$B133)+COUNTIFS($N$6:$N$2005,$A133,$P$6:$P$2005,"&lt;"&amp;$B133)+1)</f>
        <v/>
      </c>
      <c r="D133">
        <f>IF($C133="","",$A133&amp;"|"&amp;RIGHT("000000"&amp;$C133,6))</f>
        <v/>
      </c>
      <c r="E133">
        <f>IF(Entry!$B136="","",IF(ISNUMBER(Entry!$B136),IF(AND(Entry!$B136&gt;=10000101,Entry!$B136&lt;=99991231),INT(Entry!$B136/10000)&amp;"/"&amp;RIGHT("00"&amp;INT(MOD(Entry!$B136,10000)/100),2)&amp;"/"&amp;RIGHT("00"&amp;MOD(Entry!$B136,100),2),"نامعتبر"),IF(LEN(Entry!$B136)=10,Entry!$B136,"نامعتبر")))</f>
        <v/>
      </c>
      <c r="F133">
        <f>IF(Entry!$B136="","",IF(Entry!$C136="","0000",IF(AND(ISNUMBER(Entry!$C136),Entry!$C136&gt;=0,Entry!$C136&lt;1),RIGHT("00"&amp;HOUR(Entry!$C136),2)&amp;RIGHT("00"&amp;MINUTE(Entry!$C136),2),IFERROR(RIGHT("00"&amp;VALUE(LEFT(Entry!$C136,FIND(":",Entry!$C136)-1)),2)&amp;RIGHT("00"&amp;VALUE(MID(Entry!$C136,FIND(":",Entry!$C136)+1,2)),2),"0000"))))</f>
        <v/>
      </c>
      <c r="G133">
        <f>IF($A133="","",Entry!$G136)</f>
        <v/>
      </c>
      <c r="H133">
        <f>IF($A133="","",IF(Entry!$H136="",0,Entry!$H136))</f>
        <v/>
      </c>
      <c r="I133">
        <f>IF($A133="","",IF(Entry!$I136="",0,Entry!$I136))</f>
        <v/>
      </c>
      <c r="J133">
        <f>IF($A133="","",ROUND($H133*$I133,0))</f>
        <v/>
      </c>
      <c r="K133">
        <f>IF($A133="","",Entry!$D136)</f>
        <v/>
      </c>
      <c r="L133">
        <f>IF($A133="","",Entry!$L136)</f>
        <v/>
      </c>
      <c r="N133">
        <f>IF(OR(Sync!$M133="",$Q133="",$Q133="نامعتبر"),"",Sync!$M133)</f>
        <v/>
      </c>
      <c r="O133">
        <f>IF($N133="","",$Q133)</f>
        <v/>
      </c>
      <c r="P133">
        <f>IF($N133="","",LEFT($Q133,4)&amp;MID($Q133,6,2)&amp;RIGHT($Q133,2)&amp;IF(Sync!$K133="","0000",IF(AND(ISNUMBER(Sync!$K133),Sync!$K133&gt;=0,Sync!$K133&lt;1),RIGHT("00"&amp;HOUR(Sync!$K133),2)&amp;RIGHT("00"&amp;MINUTE(Sync!$K133),2),IFERROR(RIGHT("00"&amp;VALUE(LEFT(Sync!$K133,FIND(":",Sync!$K133)-1)),2)&amp;RIGHT("00"&amp;VALUE(MID(Sync!$K133,FIND(":",Sync!$K133)+1,2)),2),"0000")))&amp;"|"&amp;"2"&amp;RIGHT("00000"&amp;128,5))</f>
        <v/>
      </c>
      <c r="Q133">
        <f>IF(Sync!$J133="","",IF(ISNUMBER(Sync!$J133),IF(AND(Sync!$J133&gt;=10000101,Sync!$J133&lt;=99991231),INT(Sync!$J133/10000)&amp;"/"&amp;RIGHT("00"&amp;INT(MOD(Sync!$J133,10000)/100),2)&amp;"/"&amp;RIGHT("00"&amp;MOD(Sync!$J133,100),2),"نامعتبر"),IF(LEN(Sync!$J133)=10,Sync!$J133,"نامعتبر")))</f>
        <v/>
      </c>
      <c r="R133">
        <f>IF($P133="","",COUNTIFS($N$6:$N$2005,$N133,$P$6:$P$2005,"&lt;"&amp;$P133)+COUNTIFS($A$6:$A$1005,$N133,$B$6:$B$1005,"&lt;"&amp;$P133)+1)</f>
        <v/>
      </c>
      <c r="S133">
        <f>IF($N133="","",$N133&amp;"|"&amp;RIGHT("000000"&amp;$R133,6))</f>
        <v/>
      </c>
      <c r="T133">
        <f>IF($N133="","",IF(Sync!$N133="",0,Sync!$N133))</f>
        <v/>
      </c>
      <c r="U133">
        <f>IF($N133="","",IF(Sync!$O133="",0,Sync!$O133))</f>
        <v/>
      </c>
      <c r="V133">
        <f>IF($N133="","",Sync!$L133)</f>
        <v/>
      </c>
      <c r="W133">
        <f>IF($N133="","",Sync!$P133)</f>
        <v/>
      </c>
      <c r="AA133">
        <f>IF($A133="","",IF(COUNTIF($A$6:$A133,$A133)=1,1,0))</f>
        <v/>
      </c>
      <c r="AB133">
        <f>SUM($AA$6:$AA133)</f>
        <v/>
      </c>
      <c r="AC133">
        <f>IFERROR(INDEX($A$6:$A$1005,MATCH(ROW()-5,$AB$6:$AB$1005,0)),"")</f>
        <v/>
      </c>
    </row>
    <row r="134">
      <c r="A134">
        <f>IF(OR(Entry!$B137="",Entry!$E137="",$E134="نامعتبر"),"",Entry!$E137)</f>
        <v/>
      </c>
      <c r="B134">
        <f>IF($A134="","",LEFT($E134,4)&amp;MID($E134,6,2)&amp;RIGHT($E134,2)&amp;$F134&amp;"|"&amp;"1"&amp;RIGHT("00000"&amp;129,5))</f>
        <v/>
      </c>
      <c r="C134">
        <f>IF($B134="","",COUNTIFS($A$6:$A$1005,$A134,$B$6:$B$1005,"&lt;"&amp;$B134)+COUNTIFS($N$6:$N$2005,$A134,$P$6:$P$2005,"&lt;"&amp;$B134)+1)</f>
        <v/>
      </c>
      <c r="D134">
        <f>IF($C134="","",$A134&amp;"|"&amp;RIGHT("000000"&amp;$C134,6))</f>
        <v/>
      </c>
      <c r="E134">
        <f>IF(Entry!$B137="","",IF(ISNUMBER(Entry!$B137),IF(AND(Entry!$B137&gt;=10000101,Entry!$B137&lt;=99991231),INT(Entry!$B137/10000)&amp;"/"&amp;RIGHT("00"&amp;INT(MOD(Entry!$B137,10000)/100),2)&amp;"/"&amp;RIGHT("00"&amp;MOD(Entry!$B137,100),2),"نامعتبر"),IF(LEN(Entry!$B137)=10,Entry!$B137,"نامعتبر")))</f>
        <v/>
      </c>
      <c r="F134">
        <f>IF(Entry!$B137="","",IF(Entry!$C137="","0000",IF(AND(ISNUMBER(Entry!$C137),Entry!$C137&gt;=0,Entry!$C137&lt;1),RIGHT("00"&amp;HOUR(Entry!$C137),2)&amp;RIGHT("00"&amp;MINUTE(Entry!$C137),2),IFERROR(RIGHT("00"&amp;VALUE(LEFT(Entry!$C137,FIND(":",Entry!$C137)-1)),2)&amp;RIGHT("00"&amp;VALUE(MID(Entry!$C137,FIND(":",Entry!$C137)+1,2)),2),"0000"))))</f>
        <v/>
      </c>
      <c r="G134">
        <f>IF($A134="","",Entry!$G137)</f>
        <v/>
      </c>
      <c r="H134">
        <f>IF($A134="","",IF(Entry!$H137="",0,Entry!$H137))</f>
        <v/>
      </c>
      <c r="I134">
        <f>IF($A134="","",IF(Entry!$I137="",0,Entry!$I137))</f>
        <v/>
      </c>
      <c r="J134">
        <f>IF($A134="","",ROUND($H134*$I134,0))</f>
        <v/>
      </c>
      <c r="K134">
        <f>IF($A134="","",Entry!$D137)</f>
        <v/>
      </c>
      <c r="L134">
        <f>IF($A134="","",Entry!$L137)</f>
        <v/>
      </c>
      <c r="N134">
        <f>IF(OR(Sync!$M134="",$Q134="",$Q134="نامعتبر"),"",Sync!$M134)</f>
        <v/>
      </c>
      <c r="O134">
        <f>IF($N134="","",$Q134)</f>
        <v/>
      </c>
      <c r="P134">
        <f>IF($N134="","",LEFT($Q134,4)&amp;MID($Q134,6,2)&amp;RIGHT($Q134,2)&amp;IF(Sync!$K134="","0000",IF(AND(ISNUMBER(Sync!$K134),Sync!$K134&gt;=0,Sync!$K134&lt;1),RIGHT("00"&amp;HOUR(Sync!$K134),2)&amp;RIGHT("00"&amp;MINUTE(Sync!$K134),2),IFERROR(RIGHT("00"&amp;VALUE(LEFT(Sync!$K134,FIND(":",Sync!$K134)-1)),2)&amp;RIGHT("00"&amp;VALUE(MID(Sync!$K134,FIND(":",Sync!$K134)+1,2)),2),"0000")))&amp;"|"&amp;"2"&amp;RIGHT("00000"&amp;129,5))</f>
        <v/>
      </c>
      <c r="Q134">
        <f>IF(Sync!$J134="","",IF(ISNUMBER(Sync!$J134),IF(AND(Sync!$J134&gt;=10000101,Sync!$J134&lt;=99991231),INT(Sync!$J134/10000)&amp;"/"&amp;RIGHT("00"&amp;INT(MOD(Sync!$J134,10000)/100),2)&amp;"/"&amp;RIGHT("00"&amp;MOD(Sync!$J134,100),2),"نامعتبر"),IF(LEN(Sync!$J134)=10,Sync!$J134,"نامعتبر")))</f>
        <v/>
      </c>
      <c r="R134">
        <f>IF($P134="","",COUNTIFS($N$6:$N$2005,$N134,$P$6:$P$2005,"&lt;"&amp;$P134)+COUNTIFS($A$6:$A$1005,$N134,$B$6:$B$1005,"&lt;"&amp;$P134)+1)</f>
        <v/>
      </c>
      <c r="S134">
        <f>IF($N134="","",$N134&amp;"|"&amp;RIGHT("000000"&amp;$R134,6))</f>
        <v/>
      </c>
      <c r="T134">
        <f>IF($N134="","",IF(Sync!$N134="",0,Sync!$N134))</f>
        <v/>
      </c>
      <c r="U134">
        <f>IF($N134="","",IF(Sync!$O134="",0,Sync!$O134))</f>
        <v/>
      </c>
      <c r="V134">
        <f>IF($N134="","",Sync!$L134)</f>
        <v/>
      </c>
      <c r="W134">
        <f>IF($N134="","",Sync!$P134)</f>
        <v/>
      </c>
      <c r="AA134">
        <f>IF($A134="","",IF(COUNTIF($A$6:$A134,$A134)=1,1,0))</f>
        <v/>
      </c>
      <c r="AB134">
        <f>SUM($AA$6:$AA134)</f>
        <v/>
      </c>
      <c r="AC134">
        <f>IFERROR(INDEX($A$6:$A$1005,MATCH(ROW()-5,$AB$6:$AB$1005,0)),"")</f>
        <v/>
      </c>
    </row>
    <row r="135">
      <c r="A135">
        <f>IF(OR(Entry!$B138="",Entry!$E138="",$E135="نامعتبر"),"",Entry!$E138)</f>
        <v/>
      </c>
      <c r="B135">
        <f>IF($A135="","",LEFT($E135,4)&amp;MID($E135,6,2)&amp;RIGHT($E135,2)&amp;$F135&amp;"|"&amp;"1"&amp;RIGHT("00000"&amp;130,5))</f>
        <v/>
      </c>
      <c r="C135">
        <f>IF($B135="","",COUNTIFS($A$6:$A$1005,$A135,$B$6:$B$1005,"&lt;"&amp;$B135)+COUNTIFS($N$6:$N$2005,$A135,$P$6:$P$2005,"&lt;"&amp;$B135)+1)</f>
        <v/>
      </c>
      <c r="D135">
        <f>IF($C135="","",$A135&amp;"|"&amp;RIGHT("000000"&amp;$C135,6))</f>
        <v/>
      </c>
      <c r="E135">
        <f>IF(Entry!$B138="","",IF(ISNUMBER(Entry!$B138),IF(AND(Entry!$B138&gt;=10000101,Entry!$B138&lt;=99991231),INT(Entry!$B138/10000)&amp;"/"&amp;RIGHT("00"&amp;INT(MOD(Entry!$B138,10000)/100),2)&amp;"/"&amp;RIGHT("00"&amp;MOD(Entry!$B138,100),2),"نامعتبر"),IF(LEN(Entry!$B138)=10,Entry!$B138,"نامعتبر")))</f>
        <v/>
      </c>
      <c r="F135">
        <f>IF(Entry!$B138="","",IF(Entry!$C138="","0000",IF(AND(ISNUMBER(Entry!$C138),Entry!$C138&gt;=0,Entry!$C138&lt;1),RIGHT("00"&amp;HOUR(Entry!$C138),2)&amp;RIGHT("00"&amp;MINUTE(Entry!$C138),2),IFERROR(RIGHT("00"&amp;VALUE(LEFT(Entry!$C138,FIND(":",Entry!$C138)-1)),2)&amp;RIGHT("00"&amp;VALUE(MID(Entry!$C138,FIND(":",Entry!$C138)+1,2)),2),"0000"))))</f>
        <v/>
      </c>
      <c r="G135">
        <f>IF($A135="","",Entry!$G138)</f>
        <v/>
      </c>
      <c r="H135">
        <f>IF($A135="","",IF(Entry!$H138="",0,Entry!$H138))</f>
        <v/>
      </c>
      <c r="I135">
        <f>IF($A135="","",IF(Entry!$I138="",0,Entry!$I138))</f>
        <v/>
      </c>
      <c r="J135">
        <f>IF($A135="","",ROUND($H135*$I135,0))</f>
        <v/>
      </c>
      <c r="K135">
        <f>IF($A135="","",Entry!$D138)</f>
        <v/>
      </c>
      <c r="L135">
        <f>IF($A135="","",Entry!$L138)</f>
        <v/>
      </c>
      <c r="N135">
        <f>IF(OR(Sync!$M135="",$Q135="",$Q135="نامعتبر"),"",Sync!$M135)</f>
        <v/>
      </c>
      <c r="O135">
        <f>IF($N135="","",$Q135)</f>
        <v/>
      </c>
      <c r="P135">
        <f>IF($N135="","",LEFT($Q135,4)&amp;MID($Q135,6,2)&amp;RIGHT($Q135,2)&amp;IF(Sync!$K135="","0000",IF(AND(ISNUMBER(Sync!$K135),Sync!$K135&gt;=0,Sync!$K135&lt;1),RIGHT("00"&amp;HOUR(Sync!$K135),2)&amp;RIGHT("00"&amp;MINUTE(Sync!$K135),2),IFERROR(RIGHT("00"&amp;VALUE(LEFT(Sync!$K135,FIND(":",Sync!$K135)-1)),2)&amp;RIGHT("00"&amp;VALUE(MID(Sync!$K135,FIND(":",Sync!$K135)+1,2)),2),"0000")))&amp;"|"&amp;"2"&amp;RIGHT("00000"&amp;130,5))</f>
        <v/>
      </c>
      <c r="Q135">
        <f>IF(Sync!$J135="","",IF(ISNUMBER(Sync!$J135),IF(AND(Sync!$J135&gt;=10000101,Sync!$J135&lt;=99991231),INT(Sync!$J135/10000)&amp;"/"&amp;RIGHT("00"&amp;INT(MOD(Sync!$J135,10000)/100),2)&amp;"/"&amp;RIGHT("00"&amp;MOD(Sync!$J135,100),2),"نامعتبر"),IF(LEN(Sync!$J135)=10,Sync!$J135,"نامعتبر")))</f>
        <v/>
      </c>
      <c r="R135">
        <f>IF($P135="","",COUNTIFS($N$6:$N$2005,$N135,$P$6:$P$2005,"&lt;"&amp;$P135)+COUNTIFS($A$6:$A$1005,$N135,$B$6:$B$1005,"&lt;"&amp;$P135)+1)</f>
        <v/>
      </c>
      <c r="S135">
        <f>IF($N135="","",$N135&amp;"|"&amp;RIGHT("000000"&amp;$R135,6))</f>
        <v/>
      </c>
      <c r="T135">
        <f>IF($N135="","",IF(Sync!$N135="",0,Sync!$N135))</f>
        <v/>
      </c>
      <c r="U135">
        <f>IF($N135="","",IF(Sync!$O135="",0,Sync!$O135))</f>
        <v/>
      </c>
      <c r="V135">
        <f>IF($N135="","",Sync!$L135)</f>
        <v/>
      </c>
      <c r="W135">
        <f>IF($N135="","",Sync!$P135)</f>
        <v/>
      </c>
      <c r="AA135">
        <f>IF($A135="","",IF(COUNTIF($A$6:$A135,$A135)=1,1,0))</f>
        <v/>
      </c>
      <c r="AB135">
        <f>SUM($AA$6:$AA135)</f>
        <v/>
      </c>
      <c r="AC135">
        <f>IFERROR(INDEX($A$6:$A$1005,MATCH(ROW()-5,$AB$6:$AB$1005,0)),"")</f>
        <v/>
      </c>
    </row>
    <row r="136">
      <c r="A136">
        <f>IF(OR(Entry!$B139="",Entry!$E139="",$E136="نامعتبر"),"",Entry!$E139)</f>
        <v/>
      </c>
      <c r="B136">
        <f>IF($A136="","",LEFT($E136,4)&amp;MID($E136,6,2)&amp;RIGHT($E136,2)&amp;$F136&amp;"|"&amp;"1"&amp;RIGHT("00000"&amp;131,5))</f>
        <v/>
      </c>
      <c r="C136">
        <f>IF($B136="","",COUNTIFS($A$6:$A$1005,$A136,$B$6:$B$1005,"&lt;"&amp;$B136)+COUNTIFS($N$6:$N$2005,$A136,$P$6:$P$2005,"&lt;"&amp;$B136)+1)</f>
        <v/>
      </c>
      <c r="D136">
        <f>IF($C136="","",$A136&amp;"|"&amp;RIGHT("000000"&amp;$C136,6))</f>
        <v/>
      </c>
      <c r="E136">
        <f>IF(Entry!$B139="","",IF(ISNUMBER(Entry!$B139),IF(AND(Entry!$B139&gt;=10000101,Entry!$B139&lt;=99991231),INT(Entry!$B139/10000)&amp;"/"&amp;RIGHT("00"&amp;INT(MOD(Entry!$B139,10000)/100),2)&amp;"/"&amp;RIGHT("00"&amp;MOD(Entry!$B139,100),2),"نامعتبر"),IF(LEN(Entry!$B139)=10,Entry!$B139,"نامعتبر")))</f>
        <v/>
      </c>
      <c r="F136">
        <f>IF(Entry!$B139="","",IF(Entry!$C139="","0000",IF(AND(ISNUMBER(Entry!$C139),Entry!$C139&gt;=0,Entry!$C139&lt;1),RIGHT("00"&amp;HOUR(Entry!$C139),2)&amp;RIGHT("00"&amp;MINUTE(Entry!$C139),2),IFERROR(RIGHT("00"&amp;VALUE(LEFT(Entry!$C139,FIND(":",Entry!$C139)-1)),2)&amp;RIGHT("00"&amp;VALUE(MID(Entry!$C139,FIND(":",Entry!$C139)+1,2)),2),"0000"))))</f>
        <v/>
      </c>
      <c r="G136">
        <f>IF($A136="","",Entry!$G139)</f>
        <v/>
      </c>
      <c r="H136">
        <f>IF($A136="","",IF(Entry!$H139="",0,Entry!$H139))</f>
        <v/>
      </c>
      <c r="I136">
        <f>IF($A136="","",IF(Entry!$I139="",0,Entry!$I139))</f>
        <v/>
      </c>
      <c r="J136">
        <f>IF($A136="","",ROUND($H136*$I136,0))</f>
        <v/>
      </c>
      <c r="K136">
        <f>IF($A136="","",Entry!$D139)</f>
        <v/>
      </c>
      <c r="L136">
        <f>IF($A136="","",Entry!$L139)</f>
        <v/>
      </c>
      <c r="N136">
        <f>IF(OR(Sync!$M136="",$Q136="",$Q136="نامعتبر"),"",Sync!$M136)</f>
        <v/>
      </c>
      <c r="O136">
        <f>IF($N136="","",$Q136)</f>
        <v/>
      </c>
      <c r="P136">
        <f>IF($N136="","",LEFT($Q136,4)&amp;MID($Q136,6,2)&amp;RIGHT($Q136,2)&amp;IF(Sync!$K136="","0000",IF(AND(ISNUMBER(Sync!$K136),Sync!$K136&gt;=0,Sync!$K136&lt;1),RIGHT("00"&amp;HOUR(Sync!$K136),2)&amp;RIGHT("00"&amp;MINUTE(Sync!$K136),2),IFERROR(RIGHT("00"&amp;VALUE(LEFT(Sync!$K136,FIND(":",Sync!$K136)-1)),2)&amp;RIGHT("00"&amp;VALUE(MID(Sync!$K136,FIND(":",Sync!$K136)+1,2)),2),"0000")))&amp;"|"&amp;"2"&amp;RIGHT("00000"&amp;131,5))</f>
        <v/>
      </c>
      <c r="Q136">
        <f>IF(Sync!$J136="","",IF(ISNUMBER(Sync!$J136),IF(AND(Sync!$J136&gt;=10000101,Sync!$J136&lt;=99991231),INT(Sync!$J136/10000)&amp;"/"&amp;RIGHT("00"&amp;INT(MOD(Sync!$J136,10000)/100),2)&amp;"/"&amp;RIGHT("00"&amp;MOD(Sync!$J136,100),2),"نامعتبر"),IF(LEN(Sync!$J136)=10,Sync!$J136,"نامعتبر")))</f>
        <v/>
      </c>
      <c r="R136">
        <f>IF($P136="","",COUNTIFS($N$6:$N$2005,$N136,$P$6:$P$2005,"&lt;"&amp;$P136)+COUNTIFS($A$6:$A$1005,$N136,$B$6:$B$1005,"&lt;"&amp;$P136)+1)</f>
        <v/>
      </c>
      <c r="S136">
        <f>IF($N136="","",$N136&amp;"|"&amp;RIGHT("000000"&amp;$R136,6))</f>
        <v/>
      </c>
      <c r="T136">
        <f>IF($N136="","",IF(Sync!$N136="",0,Sync!$N136))</f>
        <v/>
      </c>
      <c r="U136">
        <f>IF($N136="","",IF(Sync!$O136="",0,Sync!$O136))</f>
        <v/>
      </c>
      <c r="V136">
        <f>IF($N136="","",Sync!$L136)</f>
        <v/>
      </c>
      <c r="W136">
        <f>IF($N136="","",Sync!$P136)</f>
        <v/>
      </c>
      <c r="AA136">
        <f>IF($A136="","",IF(COUNTIF($A$6:$A136,$A136)=1,1,0))</f>
        <v/>
      </c>
      <c r="AB136">
        <f>SUM($AA$6:$AA136)</f>
        <v/>
      </c>
      <c r="AC136">
        <f>IFERROR(INDEX($A$6:$A$1005,MATCH(ROW()-5,$AB$6:$AB$1005,0)),"")</f>
        <v/>
      </c>
    </row>
    <row r="137">
      <c r="A137">
        <f>IF(OR(Entry!$B140="",Entry!$E140="",$E137="نامعتبر"),"",Entry!$E140)</f>
        <v/>
      </c>
      <c r="B137">
        <f>IF($A137="","",LEFT($E137,4)&amp;MID($E137,6,2)&amp;RIGHT($E137,2)&amp;$F137&amp;"|"&amp;"1"&amp;RIGHT("00000"&amp;132,5))</f>
        <v/>
      </c>
      <c r="C137">
        <f>IF($B137="","",COUNTIFS($A$6:$A$1005,$A137,$B$6:$B$1005,"&lt;"&amp;$B137)+COUNTIFS($N$6:$N$2005,$A137,$P$6:$P$2005,"&lt;"&amp;$B137)+1)</f>
        <v/>
      </c>
      <c r="D137">
        <f>IF($C137="","",$A137&amp;"|"&amp;RIGHT("000000"&amp;$C137,6))</f>
        <v/>
      </c>
      <c r="E137">
        <f>IF(Entry!$B140="","",IF(ISNUMBER(Entry!$B140),IF(AND(Entry!$B140&gt;=10000101,Entry!$B140&lt;=99991231),INT(Entry!$B140/10000)&amp;"/"&amp;RIGHT("00"&amp;INT(MOD(Entry!$B140,10000)/100),2)&amp;"/"&amp;RIGHT("00"&amp;MOD(Entry!$B140,100),2),"نامعتبر"),IF(LEN(Entry!$B140)=10,Entry!$B140,"نامعتبر")))</f>
        <v/>
      </c>
      <c r="F137">
        <f>IF(Entry!$B140="","",IF(Entry!$C140="","0000",IF(AND(ISNUMBER(Entry!$C140),Entry!$C140&gt;=0,Entry!$C140&lt;1),RIGHT("00"&amp;HOUR(Entry!$C140),2)&amp;RIGHT("00"&amp;MINUTE(Entry!$C140),2),IFERROR(RIGHT("00"&amp;VALUE(LEFT(Entry!$C140,FIND(":",Entry!$C140)-1)),2)&amp;RIGHT("00"&amp;VALUE(MID(Entry!$C140,FIND(":",Entry!$C140)+1,2)),2),"0000"))))</f>
        <v/>
      </c>
      <c r="G137">
        <f>IF($A137="","",Entry!$G140)</f>
        <v/>
      </c>
      <c r="H137">
        <f>IF($A137="","",IF(Entry!$H140="",0,Entry!$H140))</f>
        <v/>
      </c>
      <c r="I137">
        <f>IF($A137="","",IF(Entry!$I140="",0,Entry!$I140))</f>
        <v/>
      </c>
      <c r="J137">
        <f>IF($A137="","",ROUND($H137*$I137,0))</f>
        <v/>
      </c>
      <c r="K137">
        <f>IF($A137="","",Entry!$D140)</f>
        <v/>
      </c>
      <c r="L137">
        <f>IF($A137="","",Entry!$L140)</f>
        <v/>
      </c>
      <c r="N137">
        <f>IF(OR(Sync!$M137="",$Q137="",$Q137="نامعتبر"),"",Sync!$M137)</f>
        <v/>
      </c>
      <c r="O137">
        <f>IF($N137="","",$Q137)</f>
        <v/>
      </c>
      <c r="P137">
        <f>IF($N137="","",LEFT($Q137,4)&amp;MID($Q137,6,2)&amp;RIGHT($Q137,2)&amp;IF(Sync!$K137="","0000",IF(AND(ISNUMBER(Sync!$K137),Sync!$K137&gt;=0,Sync!$K137&lt;1),RIGHT("00"&amp;HOUR(Sync!$K137),2)&amp;RIGHT("00"&amp;MINUTE(Sync!$K137),2),IFERROR(RIGHT("00"&amp;VALUE(LEFT(Sync!$K137,FIND(":",Sync!$K137)-1)),2)&amp;RIGHT("00"&amp;VALUE(MID(Sync!$K137,FIND(":",Sync!$K137)+1,2)),2),"0000")))&amp;"|"&amp;"2"&amp;RIGHT("00000"&amp;132,5))</f>
        <v/>
      </c>
      <c r="Q137">
        <f>IF(Sync!$J137="","",IF(ISNUMBER(Sync!$J137),IF(AND(Sync!$J137&gt;=10000101,Sync!$J137&lt;=99991231),INT(Sync!$J137/10000)&amp;"/"&amp;RIGHT("00"&amp;INT(MOD(Sync!$J137,10000)/100),2)&amp;"/"&amp;RIGHT("00"&amp;MOD(Sync!$J137,100),2),"نامعتبر"),IF(LEN(Sync!$J137)=10,Sync!$J137,"نامعتبر")))</f>
        <v/>
      </c>
      <c r="R137">
        <f>IF($P137="","",COUNTIFS($N$6:$N$2005,$N137,$P$6:$P$2005,"&lt;"&amp;$P137)+COUNTIFS($A$6:$A$1005,$N137,$B$6:$B$1005,"&lt;"&amp;$P137)+1)</f>
        <v/>
      </c>
      <c r="S137">
        <f>IF($N137="","",$N137&amp;"|"&amp;RIGHT("000000"&amp;$R137,6))</f>
        <v/>
      </c>
      <c r="T137">
        <f>IF($N137="","",IF(Sync!$N137="",0,Sync!$N137))</f>
        <v/>
      </c>
      <c r="U137">
        <f>IF($N137="","",IF(Sync!$O137="",0,Sync!$O137))</f>
        <v/>
      </c>
      <c r="V137">
        <f>IF($N137="","",Sync!$L137)</f>
        <v/>
      </c>
      <c r="W137">
        <f>IF($N137="","",Sync!$P137)</f>
        <v/>
      </c>
      <c r="AA137">
        <f>IF($A137="","",IF(COUNTIF($A$6:$A137,$A137)=1,1,0))</f>
        <v/>
      </c>
      <c r="AB137">
        <f>SUM($AA$6:$AA137)</f>
        <v/>
      </c>
      <c r="AC137">
        <f>IFERROR(INDEX($A$6:$A$1005,MATCH(ROW()-5,$AB$6:$AB$1005,0)),"")</f>
        <v/>
      </c>
    </row>
    <row r="138">
      <c r="A138">
        <f>IF(OR(Entry!$B141="",Entry!$E141="",$E138="نامعتبر"),"",Entry!$E141)</f>
        <v/>
      </c>
      <c r="B138">
        <f>IF($A138="","",LEFT($E138,4)&amp;MID($E138,6,2)&amp;RIGHT($E138,2)&amp;$F138&amp;"|"&amp;"1"&amp;RIGHT("00000"&amp;133,5))</f>
        <v/>
      </c>
      <c r="C138">
        <f>IF($B138="","",COUNTIFS($A$6:$A$1005,$A138,$B$6:$B$1005,"&lt;"&amp;$B138)+COUNTIFS($N$6:$N$2005,$A138,$P$6:$P$2005,"&lt;"&amp;$B138)+1)</f>
        <v/>
      </c>
      <c r="D138">
        <f>IF($C138="","",$A138&amp;"|"&amp;RIGHT("000000"&amp;$C138,6))</f>
        <v/>
      </c>
      <c r="E138">
        <f>IF(Entry!$B141="","",IF(ISNUMBER(Entry!$B141),IF(AND(Entry!$B141&gt;=10000101,Entry!$B141&lt;=99991231),INT(Entry!$B141/10000)&amp;"/"&amp;RIGHT("00"&amp;INT(MOD(Entry!$B141,10000)/100),2)&amp;"/"&amp;RIGHT("00"&amp;MOD(Entry!$B141,100),2),"نامعتبر"),IF(LEN(Entry!$B141)=10,Entry!$B141,"نامعتبر")))</f>
        <v/>
      </c>
      <c r="F138">
        <f>IF(Entry!$B141="","",IF(Entry!$C141="","0000",IF(AND(ISNUMBER(Entry!$C141),Entry!$C141&gt;=0,Entry!$C141&lt;1),RIGHT("00"&amp;HOUR(Entry!$C141),2)&amp;RIGHT("00"&amp;MINUTE(Entry!$C141),2),IFERROR(RIGHT("00"&amp;VALUE(LEFT(Entry!$C141,FIND(":",Entry!$C141)-1)),2)&amp;RIGHT("00"&amp;VALUE(MID(Entry!$C141,FIND(":",Entry!$C141)+1,2)),2),"0000"))))</f>
        <v/>
      </c>
      <c r="G138">
        <f>IF($A138="","",Entry!$G141)</f>
        <v/>
      </c>
      <c r="H138">
        <f>IF($A138="","",IF(Entry!$H141="",0,Entry!$H141))</f>
        <v/>
      </c>
      <c r="I138">
        <f>IF($A138="","",IF(Entry!$I141="",0,Entry!$I141))</f>
        <v/>
      </c>
      <c r="J138">
        <f>IF($A138="","",ROUND($H138*$I138,0))</f>
        <v/>
      </c>
      <c r="K138">
        <f>IF($A138="","",Entry!$D141)</f>
        <v/>
      </c>
      <c r="L138">
        <f>IF($A138="","",Entry!$L141)</f>
        <v/>
      </c>
      <c r="N138">
        <f>IF(OR(Sync!$M138="",$Q138="",$Q138="نامعتبر"),"",Sync!$M138)</f>
        <v/>
      </c>
      <c r="O138">
        <f>IF($N138="","",$Q138)</f>
        <v/>
      </c>
      <c r="P138">
        <f>IF($N138="","",LEFT($Q138,4)&amp;MID($Q138,6,2)&amp;RIGHT($Q138,2)&amp;IF(Sync!$K138="","0000",IF(AND(ISNUMBER(Sync!$K138),Sync!$K138&gt;=0,Sync!$K138&lt;1),RIGHT("00"&amp;HOUR(Sync!$K138),2)&amp;RIGHT("00"&amp;MINUTE(Sync!$K138),2),IFERROR(RIGHT("00"&amp;VALUE(LEFT(Sync!$K138,FIND(":",Sync!$K138)-1)),2)&amp;RIGHT("00"&amp;VALUE(MID(Sync!$K138,FIND(":",Sync!$K138)+1,2)),2),"0000")))&amp;"|"&amp;"2"&amp;RIGHT("00000"&amp;133,5))</f>
        <v/>
      </c>
      <c r="Q138">
        <f>IF(Sync!$J138="","",IF(ISNUMBER(Sync!$J138),IF(AND(Sync!$J138&gt;=10000101,Sync!$J138&lt;=99991231),INT(Sync!$J138/10000)&amp;"/"&amp;RIGHT("00"&amp;INT(MOD(Sync!$J138,10000)/100),2)&amp;"/"&amp;RIGHT("00"&amp;MOD(Sync!$J138,100),2),"نامعتبر"),IF(LEN(Sync!$J138)=10,Sync!$J138,"نامعتبر")))</f>
        <v/>
      </c>
      <c r="R138">
        <f>IF($P138="","",COUNTIFS($N$6:$N$2005,$N138,$P$6:$P$2005,"&lt;"&amp;$P138)+COUNTIFS($A$6:$A$1005,$N138,$B$6:$B$1005,"&lt;"&amp;$P138)+1)</f>
        <v/>
      </c>
      <c r="S138">
        <f>IF($N138="","",$N138&amp;"|"&amp;RIGHT("000000"&amp;$R138,6))</f>
        <v/>
      </c>
      <c r="T138">
        <f>IF($N138="","",IF(Sync!$N138="",0,Sync!$N138))</f>
        <v/>
      </c>
      <c r="U138">
        <f>IF($N138="","",IF(Sync!$O138="",0,Sync!$O138))</f>
        <v/>
      </c>
      <c r="V138">
        <f>IF($N138="","",Sync!$L138)</f>
        <v/>
      </c>
      <c r="W138">
        <f>IF($N138="","",Sync!$P138)</f>
        <v/>
      </c>
      <c r="AA138">
        <f>IF($A138="","",IF(COUNTIF($A$6:$A138,$A138)=1,1,0))</f>
        <v/>
      </c>
      <c r="AB138">
        <f>SUM($AA$6:$AA138)</f>
        <v/>
      </c>
      <c r="AC138">
        <f>IFERROR(INDEX($A$6:$A$1005,MATCH(ROW()-5,$AB$6:$AB$1005,0)),"")</f>
        <v/>
      </c>
    </row>
    <row r="139">
      <c r="A139">
        <f>IF(OR(Entry!$B142="",Entry!$E142="",$E139="نامعتبر"),"",Entry!$E142)</f>
        <v/>
      </c>
      <c r="B139">
        <f>IF($A139="","",LEFT($E139,4)&amp;MID($E139,6,2)&amp;RIGHT($E139,2)&amp;$F139&amp;"|"&amp;"1"&amp;RIGHT("00000"&amp;134,5))</f>
        <v/>
      </c>
      <c r="C139">
        <f>IF($B139="","",COUNTIFS($A$6:$A$1005,$A139,$B$6:$B$1005,"&lt;"&amp;$B139)+COUNTIFS($N$6:$N$2005,$A139,$P$6:$P$2005,"&lt;"&amp;$B139)+1)</f>
        <v/>
      </c>
      <c r="D139">
        <f>IF($C139="","",$A139&amp;"|"&amp;RIGHT("000000"&amp;$C139,6))</f>
        <v/>
      </c>
      <c r="E139">
        <f>IF(Entry!$B142="","",IF(ISNUMBER(Entry!$B142),IF(AND(Entry!$B142&gt;=10000101,Entry!$B142&lt;=99991231),INT(Entry!$B142/10000)&amp;"/"&amp;RIGHT("00"&amp;INT(MOD(Entry!$B142,10000)/100),2)&amp;"/"&amp;RIGHT("00"&amp;MOD(Entry!$B142,100),2),"نامعتبر"),IF(LEN(Entry!$B142)=10,Entry!$B142,"نامعتبر")))</f>
        <v/>
      </c>
      <c r="F139">
        <f>IF(Entry!$B142="","",IF(Entry!$C142="","0000",IF(AND(ISNUMBER(Entry!$C142),Entry!$C142&gt;=0,Entry!$C142&lt;1),RIGHT("00"&amp;HOUR(Entry!$C142),2)&amp;RIGHT("00"&amp;MINUTE(Entry!$C142),2),IFERROR(RIGHT("00"&amp;VALUE(LEFT(Entry!$C142,FIND(":",Entry!$C142)-1)),2)&amp;RIGHT("00"&amp;VALUE(MID(Entry!$C142,FIND(":",Entry!$C142)+1,2)),2),"0000"))))</f>
        <v/>
      </c>
      <c r="G139">
        <f>IF($A139="","",Entry!$G142)</f>
        <v/>
      </c>
      <c r="H139">
        <f>IF($A139="","",IF(Entry!$H142="",0,Entry!$H142))</f>
        <v/>
      </c>
      <c r="I139">
        <f>IF($A139="","",IF(Entry!$I142="",0,Entry!$I142))</f>
        <v/>
      </c>
      <c r="J139">
        <f>IF($A139="","",ROUND($H139*$I139,0))</f>
        <v/>
      </c>
      <c r="K139">
        <f>IF($A139="","",Entry!$D142)</f>
        <v/>
      </c>
      <c r="L139">
        <f>IF($A139="","",Entry!$L142)</f>
        <v/>
      </c>
      <c r="N139">
        <f>IF(OR(Sync!$M139="",$Q139="",$Q139="نامعتبر"),"",Sync!$M139)</f>
        <v/>
      </c>
      <c r="O139">
        <f>IF($N139="","",$Q139)</f>
        <v/>
      </c>
      <c r="P139">
        <f>IF($N139="","",LEFT($Q139,4)&amp;MID($Q139,6,2)&amp;RIGHT($Q139,2)&amp;IF(Sync!$K139="","0000",IF(AND(ISNUMBER(Sync!$K139),Sync!$K139&gt;=0,Sync!$K139&lt;1),RIGHT("00"&amp;HOUR(Sync!$K139),2)&amp;RIGHT("00"&amp;MINUTE(Sync!$K139),2),IFERROR(RIGHT("00"&amp;VALUE(LEFT(Sync!$K139,FIND(":",Sync!$K139)-1)),2)&amp;RIGHT("00"&amp;VALUE(MID(Sync!$K139,FIND(":",Sync!$K139)+1,2)),2),"0000")))&amp;"|"&amp;"2"&amp;RIGHT("00000"&amp;134,5))</f>
        <v/>
      </c>
      <c r="Q139">
        <f>IF(Sync!$J139="","",IF(ISNUMBER(Sync!$J139),IF(AND(Sync!$J139&gt;=10000101,Sync!$J139&lt;=99991231),INT(Sync!$J139/10000)&amp;"/"&amp;RIGHT("00"&amp;INT(MOD(Sync!$J139,10000)/100),2)&amp;"/"&amp;RIGHT("00"&amp;MOD(Sync!$J139,100),2),"نامعتبر"),IF(LEN(Sync!$J139)=10,Sync!$J139,"نامعتبر")))</f>
        <v/>
      </c>
      <c r="R139">
        <f>IF($P139="","",COUNTIFS($N$6:$N$2005,$N139,$P$6:$P$2005,"&lt;"&amp;$P139)+COUNTIFS($A$6:$A$1005,$N139,$B$6:$B$1005,"&lt;"&amp;$P139)+1)</f>
        <v/>
      </c>
      <c r="S139">
        <f>IF($N139="","",$N139&amp;"|"&amp;RIGHT("000000"&amp;$R139,6))</f>
        <v/>
      </c>
      <c r="T139">
        <f>IF($N139="","",IF(Sync!$N139="",0,Sync!$N139))</f>
        <v/>
      </c>
      <c r="U139">
        <f>IF($N139="","",IF(Sync!$O139="",0,Sync!$O139))</f>
        <v/>
      </c>
      <c r="V139">
        <f>IF($N139="","",Sync!$L139)</f>
        <v/>
      </c>
      <c r="W139">
        <f>IF($N139="","",Sync!$P139)</f>
        <v/>
      </c>
      <c r="AA139">
        <f>IF($A139="","",IF(COUNTIF($A$6:$A139,$A139)=1,1,0))</f>
        <v/>
      </c>
      <c r="AB139">
        <f>SUM($AA$6:$AA139)</f>
        <v/>
      </c>
      <c r="AC139">
        <f>IFERROR(INDEX($A$6:$A$1005,MATCH(ROW()-5,$AB$6:$AB$1005,0)),"")</f>
        <v/>
      </c>
    </row>
    <row r="140">
      <c r="A140">
        <f>IF(OR(Entry!$B143="",Entry!$E143="",$E140="نامعتبر"),"",Entry!$E143)</f>
        <v/>
      </c>
      <c r="B140">
        <f>IF($A140="","",LEFT($E140,4)&amp;MID($E140,6,2)&amp;RIGHT($E140,2)&amp;$F140&amp;"|"&amp;"1"&amp;RIGHT("00000"&amp;135,5))</f>
        <v/>
      </c>
      <c r="C140">
        <f>IF($B140="","",COUNTIFS($A$6:$A$1005,$A140,$B$6:$B$1005,"&lt;"&amp;$B140)+COUNTIFS($N$6:$N$2005,$A140,$P$6:$P$2005,"&lt;"&amp;$B140)+1)</f>
        <v/>
      </c>
      <c r="D140">
        <f>IF($C140="","",$A140&amp;"|"&amp;RIGHT("000000"&amp;$C140,6))</f>
        <v/>
      </c>
      <c r="E140">
        <f>IF(Entry!$B143="","",IF(ISNUMBER(Entry!$B143),IF(AND(Entry!$B143&gt;=10000101,Entry!$B143&lt;=99991231),INT(Entry!$B143/10000)&amp;"/"&amp;RIGHT("00"&amp;INT(MOD(Entry!$B143,10000)/100),2)&amp;"/"&amp;RIGHT("00"&amp;MOD(Entry!$B143,100),2),"نامعتبر"),IF(LEN(Entry!$B143)=10,Entry!$B143,"نامعتبر")))</f>
        <v/>
      </c>
      <c r="F140">
        <f>IF(Entry!$B143="","",IF(Entry!$C143="","0000",IF(AND(ISNUMBER(Entry!$C143),Entry!$C143&gt;=0,Entry!$C143&lt;1),RIGHT("00"&amp;HOUR(Entry!$C143),2)&amp;RIGHT("00"&amp;MINUTE(Entry!$C143),2),IFERROR(RIGHT("00"&amp;VALUE(LEFT(Entry!$C143,FIND(":",Entry!$C143)-1)),2)&amp;RIGHT("00"&amp;VALUE(MID(Entry!$C143,FIND(":",Entry!$C143)+1,2)),2),"0000"))))</f>
        <v/>
      </c>
      <c r="G140">
        <f>IF($A140="","",Entry!$G143)</f>
        <v/>
      </c>
      <c r="H140">
        <f>IF($A140="","",IF(Entry!$H143="",0,Entry!$H143))</f>
        <v/>
      </c>
      <c r="I140">
        <f>IF($A140="","",IF(Entry!$I143="",0,Entry!$I143))</f>
        <v/>
      </c>
      <c r="J140">
        <f>IF($A140="","",ROUND($H140*$I140,0))</f>
        <v/>
      </c>
      <c r="K140">
        <f>IF($A140="","",Entry!$D143)</f>
        <v/>
      </c>
      <c r="L140">
        <f>IF($A140="","",Entry!$L143)</f>
        <v/>
      </c>
      <c r="N140">
        <f>IF(OR(Sync!$M140="",$Q140="",$Q140="نامعتبر"),"",Sync!$M140)</f>
        <v/>
      </c>
      <c r="O140">
        <f>IF($N140="","",$Q140)</f>
        <v/>
      </c>
      <c r="P140">
        <f>IF($N140="","",LEFT($Q140,4)&amp;MID($Q140,6,2)&amp;RIGHT($Q140,2)&amp;IF(Sync!$K140="","0000",IF(AND(ISNUMBER(Sync!$K140),Sync!$K140&gt;=0,Sync!$K140&lt;1),RIGHT("00"&amp;HOUR(Sync!$K140),2)&amp;RIGHT("00"&amp;MINUTE(Sync!$K140),2),IFERROR(RIGHT("00"&amp;VALUE(LEFT(Sync!$K140,FIND(":",Sync!$K140)-1)),2)&amp;RIGHT("00"&amp;VALUE(MID(Sync!$K140,FIND(":",Sync!$K140)+1,2)),2),"0000")))&amp;"|"&amp;"2"&amp;RIGHT("00000"&amp;135,5))</f>
        <v/>
      </c>
      <c r="Q140">
        <f>IF(Sync!$J140="","",IF(ISNUMBER(Sync!$J140),IF(AND(Sync!$J140&gt;=10000101,Sync!$J140&lt;=99991231),INT(Sync!$J140/10000)&amp;"/"&amp;RIGHT("00"&amp;INT(MOD(Sync!$J140,10000)/100),2)&amp;"/"&amp;RIGHT("00"&amp;MOD(Sync!$J140,100),2),"نامعتبر"),IF(LEN(Sync!$J140)=10,Sync!$J140,"نامعتبر")))</f>
        <v/>
      </c>
      <c r="R140">
        <f>IF($P140="","",COUNTIFS($N$6:$N$2005,$N140,$P$6:$P$2005,"&lt;"&amp;$P140)+COUNTIFS($A$6:$A$1005,$N140,$B$6:$B$1005,"&lt;"&amp;$P140)+1)</f>
        <v/>
      </c>
      <c r="S140">
        <f>IF($N140="","",$N140&amp;"|"&amp;RIGHT("000000"&amp;$R140,6))</f>
        <v/>
      </c>
      <c r="T140">
        <f>IF($N140="","",IF(Sync!$N140="",0,Sync!$N140))</f>
        <v/>
      </c>
      <c r="U140">
        <f>IF($N140="","",IF(Sync!$O140="",0,Sync!$O140))</f>
        <v/>
      </c>
      <c r="V140">
        <f>IF($N140="","",Sync!$L140)</f>
        <v/>
      </c>
      <c r="W140">
        <f>IF($N140="","",Sync!$P140)</f>
        <v/>
      </c>
      <c r="AA140">
        <f>IF($A140="","",IF(COUNTIF($A$6:$A140,$A140)=1,1,0))</f>
        <v/>
      </c>
      <c r="AB140">
        <f>SUM($AA$6:$AA140)</f>
        <v/>
      </c>
      <c r="AC140">
        <f>IFERROR(INDEX($A$6:$A$1005,MATCH(ROW()-5,$AB$6:$AB$1005,0)),"")</f>
        <v/>
      </c>
    </row>
    <row r="141">
      <c r="A141">
        <f>IF(OR(Entry!$B144="",Entry!$E144="",$E141="نامعتبر"),"",Entry!$E144)</f>
        <v/>
      </c>
      <c r="B141">
        <f>IF($A141="","",LEFT($E141,4)&amp;MID($E141,6,2)&amp;RIGHT($E141,2)&amp;$F141&amp;"|"&amp;"1"&amp;RIGHT("00000"&amp;136,5))</f>
        <v/>
      </c>
      <c r="C141">
        <f>IF($B141="","",COUNTIFS($A$6:$A$1005,$A141,$B$6:$B$1005,"&lt;"&amp;$B141)+COUNTIFS($N$6:$N$2005,$A141,$P$6:$P$2005,"&lt;"&amp;$B141)+1)</f>
        <v/>
      </c>
      <c r="D141">
        <f>IF($C141="","",$A141&amp;"|"&amp;RIGHT("000000"&amp;$C141,6))</f>
        <v/>
      </c>
      <c r="E141">
        <f>IF(Entry!$B144="","",IF(ISNUMBER(Entry!$B144),IF(AND(Entry!$B144&gt;=10000101,Entry!$B144&lt;=99991231),INT(Entry!$B144/10000)&amp;"/"&amp;RIGHT("00"&amp;INT(MOD(Entry!$B144,10000)/100),2)&amp;"/"&amp;RIGHT("00"&amp;MOD(Entry!$B144,100),2),"نامعتبر"),IF(LEN(Entry!$B144)=10,Entry!$B144,"نامعتبر")))</f>
        <v/>
      </c>
      <c r="F141">
        <f>IF(Entry!$B144="","",IF(Entry!$C144="","0000",IF(AND(ISNUMBER(Entry!$C144),Entry!$C144&gt;=0,Entry!$C144&lt;1),RIGHT("00"&amp;HOUR(Entry!$C144),2)&amp;RIGHT("00"&amp;MINUTE(Entry!$C144),2),IFERROR(RIGHT("00"&amp;VALUE(LEFT(Entry!$C144,FIND(":",Entry!$C144)-1)),2)&amp;RIGHT("00"&amp;VALUE(MID(Entry!$C144,FIND(":",Entry!$C144)+1,2)),2),"0000"))))</f>
        <v/>
      </c>
      <c r="G141">
        <f>IF($A141="","",Entry!$G144)</f>
        <v/>
      </c>
      <c r="H141">
        <f>IF($A141="","",IF(Entry!$H144="",0,Entry!$H144))</f>
        <v/>
      </c>
      <c r="I141">
        <f>IF($A141="","",IF(Entry!$I144="",0,Entry!$I144))</f>
        <v/>
      </c>
      <c r="J141">
        <f>IF($A141="","",ROUND($H141*$I141,0))</f>
        <v/>
      </c>
      <c r="K141">
        <f>IF($A141="","",Entry!$D144)</f>
        <v/>
      </c>
      <c r="L141">
        <f>IF($A141="","",Entry!$L144)</f>
        <v/>
      </c>
      <c r="N141">
        <f>IF(OR(Sync!$M141="",$Q141="",$Q141="نامعتبر"),"",Sync!$M141)</f>
        <v/>
      </c>
      <c r="O141">
        <f>IF($N141="","",$Q141)</f>
        <v/>
      </c>
      <c r="P141">
        <f>IF($N141="","",LEFT($Q141,4)&amp;MID($Q141,6,2)&amp;RIGHT($Q141,2)&amp;IF(Sync!$K141="","0000",IF(AND(ISNUMBER(Sync!$K141),Sync!$K141&gt;=0,Sync!$K141&lt;1),RIGHT("00"&amp;HOUR(Sync!$K141),2)&amp;RIGHT("00"&amp;MINUTE(Sync!$K141),2),IFERROR(RIGHT("00"&amp;VALUE(LEFT(Sync!$K141,FIND(":",Sync!$K141)-1)),2)&amp;RIGHT("00"&amp;VALUE(MID(Sync!$K141,FIND(":",Sync!$K141)+1,2)),2),"0000")))&amp;"|"&amp;"2"&amp;RIGHT("00000"&amp;136,5))</f>
        <v/>
      </c>
      <c r="Q141">
        <f>IF(Sync!$J141="","",IF(ISNUMBER(Sync!$J141),IF(AND(Sync!$J141&gt;=10000101,Sync!$J141&lt;=99991231),INT(Sync!$J141/10000)&amp;"/"&amp;RIGHT("00"&amp;INT(MOD(Sync!$J141,10000)/100),2)&amp;"/"&amp;RIGHT("00"&amp;MOD(Sync!$J141,100),2),"نامعتبر"),IF(LEN(Sync!$J141)=10,Sync!$J141,"نامعتبر")))</f>
        <v/>
      </c>
      <c r="R141">
        <f>IF($P141="","",COUNTIFS($N$6:$N$2005,$N141,$P$6:$P$2005,"&lt;"&amp;$P141)+COUNTIFS($A$6:$A$1005,$N141,$B$6:$B$1005,"&lt;"&amp;$P141)+1)</f>
        <v/>
      </c>
      <c r="S141">
        <f>IF($N141="","",$N141&amp;"|"&amp;RIGHT("000000"&amp;$R141,6))</f>
        <v/>
      </c>
      <c r="T141">
        <f>IF($N141="","",IF(Sync!$N141="",0,Sync!$N141))</f>
        <v/>
      </c>
      <c r="U141">
        <f>IF($N141="","",IF(Sync!$O141="",0,Sync!$O141))</f>
        <v/>
      </c>
      <c r="V141">
        <f>IF($N141="","",Sync!$L141)</f>
        <v/>
      </c>
      <c r="W141">
        <f>IF($N141="","",Sync!$P141)</f>
        <v/>
      </c>
      <c r="AA141">
        <f>IF($A141="","",IF(COUNTIF($A$6:$A141,$A141)=1,1,0))</f>
        <v/>
      </c>
      <c r="AB141">
        <f>SUM($AA$6:$AA141)</f>
        <v/>
      </c>
      <c r="AC141">
        <f>IFERROR(INDEX($A$6:$A$1005,MATCH(ROW()-5,$AB$6:$AB$1005,0)),"")</f>
        <v/>
      </c>
    </row>
    <row r="142">
      <c r="A142">
        <f>IF(OR(Entry!$B145="",Entry!$E145="",$E142="نامعتبر"),"",Entry!$E145)</f>
        <v/>
      </c>
      <c r="B142">
        <f>IF($A142="","",LEFT($E142,4)&amp;MID($E142,6,2)&amp;RIGHT($E142,2)&amp;$F142&amp;"|"&amp;"1"&amp;RIGHT("00000"&amp;137,5))</f>
        <v/>
      </c>
      <c r="C142">
        <f>IF($B142="","",COUNTIFS($A$6:$A$1005,$A142,$B$6:$B$1005,"&lt;"&amp;$B142)+COUNTIFS($N$6:$N$2005,$A142,$P$6:$P$2005,"&lt;"&amp;$B142)+1)</f>
        <v/>
      </c>
      <c r="D142">
        <f>IF($C142="","",$A142&amp;"|"&amp;RIGHT("000000"&amp;$C142,6))</f>
        <v/>
      </c>
      <c r="E142">
        <f>IF(Entry!$B145="","",IF(ISNUMBER(Entry!$B145),IF(AND(Entry!$B145&gt;=10000101,Entry!$B145&lt;=99991231),INT(Entry!$B145/10000)&amp;"/"&amp;RIGHT("00"&amp;INT(MOD(Entry!$B145,10000)/100),2)&amp;"/"&amp;RIGHT("00"&amp;MOD(Entry!$B145,100),2),"نامعتبر"),IF(LEN(Entry!$B145)=10,Entry!$B145,"نامعتبر")))</f>
        <v/>
      </c>
      <c r="F142">
        <f>IF(Entry!$B145="","",IF(Entry!$C145="","0000",IF(AND(ISNUMBER(Entry!$C145),Entry!$C145&gt;=0,Entry!$C145&lt;1),RIGHT("00"&amp;HOUR(Entry!$C145),2)&amp;RIGHT("00"&amp;MINUTE(Entry!$C145),2),IFERROR(RIGHT("00"&amp;VALUE(LEFT(Entry!$C145,FIND(":",Entry!$C145)-1)),2)&amp;RIGHT("00"&amp;VALUE(MID(Entry!$C145,FIND(":",Entry!$C145)+1,2)),2),"0000"))))</f>
        <v/>
      </c>
      <c r="G142">
        <f>IF($A142="","",Entry!$G145)</f>
        <v/>
      </c>
      <c r="H142">
        <f>IF($A142="","",IF(Entry!$H145="",0,Entry!$H145))</f>
        <v/>
      </c>
      <c r="I142">
        <f>IF($A142="","",IF(Entry!$I145="",0,Entry!$I145))</f>
        <v/>
      </c>
      <c r="J142">
        <f>IF($A142="","",ROUND($H142*$I142,0))</f>
        <v/>
      </c>
      <c r="K142">
        <f>IF($A142="","",Entry!$D145)</f>
        <v/>
      </c>
      <c r="L142">
        <f>IF($A142="","",Entry!$L145)</f>
        <v/>
      </c>
      <c r="N142">
        <f>IF(OR(Sync!$M142="",$Q142="",$Q142="نامعتبر"),"",Sync!$M142)</f>
        <v/>
      </c>
      <c r="O142">
        <f>IF($N142="","",$Q142)</f>
        <v/>
      </c>
      <c r="P142">
        <f>IF($N142="","",LEFT($Q142,4)&amp;MID($Q142,6,2)&amp;RIGHT($Q142,2)&amp;IF(Sync!$K142="","0000",IF(AND(ISNUMBER(Sync!$K142),Sync!$K142&gt;=0,Sync!$K142&lt;1),RIGHT("00"&amp;HOUR(Sync!$K142),2)&amp;RIGHT("00"&amp;MINUTE(Sync!$K142),2),IFERROR(RIGHT("00"&amp;VALUE(LEFT(Sync!$K142,FIND(":",Sync!$K142)-1)),2)&amp;RIGHT("00"&amp;VALUE(MID(Sync!$K142,FIND(":",Sync!$K142)+1,2)),2),"0000")))&amp;"|"&amp;"2"&amp;RIGHT("00000"&amp;137,5))</f>
        <v/>
      </c>
      <c r="Q142">
        <f>IF(Sync!$J142="","",IF(ISNUMBER(Sync!$J142),IF(AND(Sync!$J142&gt;=10000101,Sync!$J142&lt;=99991231),INT(Sync!$J142/10000)&amp;"/"&amp;RIGHT("00"&amp;INT(MOD(Sync!$J142,10000)/100),2)&amp;"/"&amp;RIGHT("00"&amp;MOD(Sync!$J142,100),2),"نامعتبر"),IF(LEN(Sync!$J142)=10,Sync!$J142,"نامعتبر")))</f>
        <v/>
      </c>
      <c r="R142">
        <f>IF($P142="","",COUNTIFS($N$6:$N$2005,$N142,$P$6:$P$2005,"&lt;"&amp;$P142)+COUNTIFS($A$6:$A$1005,$N142,$B$6:$B$1005,"&lt;"&amp;$P142)+1)</f>
        <v/>
      </c>
      <c r="S142">
        <f>IF($N142="","",$N142&amp;"|"&amp;RIGHT("000000"&amp;$R142,6))</f>
        <v/>
      </c>
      <c r="T142">
        <f>IF($N142="","",IF(Sync!$N142="",0,Sync!$N142))</f>
        <v/>
      </c>
      <c r="U142">
        <f>IF($N142="","",IF(Sync!$O142="",0,Sync!$O142))</f>
        <v/>
      </c>
      <c r="V142">
        <f>IF($N142="","",Sync!$L142)</f>
        <v/>
      </c>
      <c r="W142">
        <f>IF($N142="","",Sync!$P142)</f>
        <v/>
      </c>
      <c r="AA142">
        <f>IF($A142="","",IF(COUNTIF($A$6:$A142,$A142)=1,1,0))</f>
        <v/>
      </c>
      <c r="AB142">
        <f>SUM($AA$6:$AA142)</f>
        <v/>
      </c>
      <c r="AC142">
        <f>IFERROR(INDEX($A$6:$A$1005,MATCH(ROW()-5,$AB$6:$AB$1005,0)),"")</f>
        <v/>
      </c>
    </row>
    <row r="143">
      <c r="A143">
        <f>IF(OR(Entry!$B146="",Entry!$E146="",$E143="نامعتبر"),"",Entry!$E146)</f>
        <v/>
      </c>
      <c r="B143">
        <f>IF($A143="","",LEFT($E143,4)&amp;MID($E143,6,2)&amp;RIGHT($E143,2)&amp;$F143&amp;"|"&amp;"1"&amp;RIGHT("00000"&amp;138,5))</f>
        <v/>
      </c>
      <c r="C143">
        <f>IF($B143="","",COUNTIFS($A$6:$A$1005,$A143,$B$6:$B$1005,"&lt;"&amp;$B143)+COUNTIFS($N$6:$N$2005,$A143,$P$6:$P$2005,"&lt;"&amp;$B143)+1)</f>
        <v/>
      </c>
      <c r="D143">
        <f>IF($C143="","",$A143&amp;"|"&amp;RIGHT("000000"&amp;$C143,6))</f>
        <v/>
      </c>
      <c r="E143">
        <f>IF(Entry!$B146="","",IF(ISNUMBER(Entry!$B146),IF(AND(Entry!$B146&gt;=10000101,Entry!$B146&lt;=99991231),INT(Entry!$B146/10000)&amp;"/"&amp;RIGHT("00"&amp;INT(MOD(Entry!$B146,10000)/100),2)&amp;"/"&amp;RIGHT("00"&amp;MOD(Entry!$B146,100),2),"نامعتبر"),IF(LEN(Entry!$B146)=10,Entry!$B146,"نامعتبر")))</f>
        <v/>
      </c>
      <c r="F143">
        <f>IF(Entry!$B146="","",IF(Entry!$C146="","0000",IF(AND(ISNUMBER(Entry!$C146),Entry!$C146&gt;=0,Entry!$C146&lt;1),RIGHT("00"&amp;HOUR(Entry!$C146),2)&amp;RIGHT("00"&amp;MINUTE(Entry!$C146),2),IFERROR(RIGHT("00"&amp;VALUE(LEFT(Entry!$C146,FIND(":",Entry!$C146)-1)),2)&amp;RIGHT("00"&amp;VALUE(MID(Entry!$C146,FIND(":",Entry!$C146)+1,2)),2),"0000"))))</f>
        <v/>
      </c>
      <c r="G143">
        <f>IF($A143="","",Entry!$G146)</f>
        <v/>
      </c>
      <c r="H143">
        <f>IF($A143="","",IF(Entry!$H146="",0,Entry!$H146))</f>
        <v/>
      </c>
      <c r="I143">
        <f>IF($A143="","",IF(Entry!$I146="",0,Entry!$I146))</f>
        <v/>
      </c>
      <c r="J143">
        <f>IF($A143="","",ROUND($H143*$I143,0))</f>
        <v/>
      </c>
      <c r="K143">
        <f>IF($A143="","",Entry!$D146)</f>
        <v/>
      </c>
      <c r="L143">
        <f>IF($A143="","",Entry!$L146)</f>
        <v/>
      </c>
      <c r="N143">
        <f>IF(OR(Sync!$M143="",$Q143="",$Q143="نامعتبر"),"",Sync!$M143)</f>
        <v/>
      </c>
      <c r="O143">
        <f>IF($N143="","",$Q143)</f>
        <v/>
      </c>
      <c r="P143">
        <f>IF($N143="","",LEFT($Q143,4)&amp;MID($Q143,6,2)&amp;RIGHT($Q143,2)&amp;IF(Sync!$K143="","0000",IF(AND(ISNUMBER(Sync!$K143),Sync!$K143&gt;=0,Sync!$K143&lt;1),RIGHT("00"&amp;HOUR(Sync!$K143),2)&amp;RIGHT("00"&amp;MINUTE(Sync!$K143),2),IFERROR(RIGHT("00"&amp;VALUE(LEFT(Sync!$K143,FIND(":",Sync!$K143)-1)),2)&amp;RIGHT("00"&amp;VALUE(MID(Sync!$K143,FIND(":",Sync!$K143)+1,2)),2),"0000")))&amp;"|"&amp;"2"&amp;RIGHT("00000"&amp;138,5))</f>
        <v/>
      </c>
      <c r="Q143">
        <f>IF(Sync!$J143="","",IF(ISNUMBER(Sync!$J143),IF(AND(Sync!$J143&gt;=10000101,Sync!$J143&lt;=99991231),INT(Sync!$J143/10000)&amp;"/"&amp;RIGHT("00"&amp;INT(MOD(Sync!$J143,10000)/100),2)&amp;"/"&amp;RIGHT("00"&amp;MOD(Sync!$J143,100),2),"نامعتبر"),IF(LEN(Sync!$J143)=10,Sync!$J143,"نامعتبر")))</f>
        <v/>
      </c>
      <c r="R143">
        <f>IF($P143="","",COUNTIFS($N$6:$N$2005,$N143,$P$6:$P$2005,"&lt;"&amp;$P143)+COUNTIFS($A$6:$A$1005,$N143,$B$6:$B$1005,"&lt;"&amp;$P143)+1)</f>
        <v/>
      </c>
      <c r="S143">
        <f>IF($N143="","",$N143&amp;"|"&amp;RIGHT("000000"&amp;$R143,6))</f>
        <v/>
      </c>
      <c r="T143">
        <f>IF($N143="","",IF(Sync!$N143="",0,Sync!$N143))</f>
        <v/>
      </c>
      <c r="U143">
        <f>IF($N143="","",IF(Sync!$O143="",0,Sync!$O143))</f>
        <v/>
      </c>
      <c r="V143">
        <f>IF($N143="","",Sync!$L143)</f>
        <v/>
      </c>
      <c r="W143">
        <f>IF($N143="","",Sync!$P143)</f>
        <v/>
      </c>
      <c r="AA143">
        <f>IF($A143="","",IF(COUNTIF($A$6:$A143,$A143)=1,1,0))</f>
        <v/>
      </c>
      <c r="AB143">
        <f>SUM($AA$6:$AA143)</f>
        <v/>
      </c>
      <c r="AC143">
        <f>IFERROR(INDEX($A$6:$A$1005,MATCH(ROW()-5,$AB$6:$AB$1005,0)),"")</f>
        <v/>
      </c>
    </row>
    <row r="144">
      <c r="A144">
        <f>IF(OR(Entry!$B147="",Entry!$E147="",$E144="نامعتبر"),"",Entry!$E147)</f>
        <v/>
      </c>
      <c r="B144">
        <f>IF($A144="","",LEFT($E144,4)&amp;MID($E144,6,2)&amp;RIGHT($E144,2)&amp;$F144&amp;"|"&amp;"1"&amp;RIGHT("00000"&amp;139,5))</f>
        <v/>
      </c>
      <c r="C144">
        <f>IF($B144="","",COUNTIFS($A$6:$A$1005,$A144,$B$6:$B$1005,"&lt;"&amp;$B144)+COUNTIFS($N$6:$N$2005,$A144,$P$6:$P$2005,"&lt;"&amp;$B144)+1)</f>
        <v/>
      </c>
      <c r="D144">
        <f>IF($C144="","",$A144&amp;"|"&amp;RIGHT("000000"&amp;$C144,6))</f>
        <v/>
      </c>
      <c r="E144">
        <f>IF(Entry!$B147="","",IF(ISNUMBER(Entry!$B147),IF(AND(Entry!$B147&gt;=10000101,Entry!$B147&lt;=99991231),INT(Entry!$B147/10000)&amp;"/"&amp;RIGHT("00"&amp;INT(MOD(Entry!$B147,10000)/100),2)&amp;"/"&amp;RIGHT("00"&amp;MOD(Entry!$B147,100),2),"نامعتبر"),IF(LEN(Entry!$B147)=10,Entry!$B147,"نامعتبر")))</f>
        <v/>
      </c>
      <c r="F144">
        <f>IF(Entry!$B147="","",IF(Entry!$C147="","0000",IF(AND(ISNUMBER(Entry!$C147),Entry!$C147&gt;=0,Entry!$C147&lt;1),RIGHT("00"&amp;HOUR(Entry!$C147),2)&amp;RIGHT("00"&amp;MINUTE(Entry!$C147),2),IFERROR(RIGHT("00"&amp;VALUE(LEFT(Entry!$C147,FIND(":",Entry!$C147)-1)),2)&amp;RIGHT("00"&amp;VALUE(MID(Entry!$C147,FIND(":",Entry!$C147)+1,2)),2),"0000"))))</f>
        <v/>
      </c>
      <c r="G144">
        <f>IF($A144="","",Entry!$G147)</f>
        <v/>
      </c>
      <c r="H144">
        <f>IF($A144="","",IF(Entry!$H147="",0,Entry!$H147))</f>
        <v/>
      </c>
      <c r="I144">
        <f>IF($A144="","",IF(Entry!$I147="",0,Entry!$I147))</f>
        <v/>
      </c>
      <c r="J144">
        <f>IF($A144="","",ROUND($H144*$I144,0))</f>
        <v/>
      </c>
      <c r="K144">
        <f>IF($A144="","",Entry!$D147)</f>
        <v/>
      </c>
      <c r="L144">
        <f>IF($A144="","",Entry!$L147)</f>
        <v/>
      </c>
      <c r="N144">
        <f>IF(OR(Sync!$M144="",$Q144="",$Q144="نامعتبر"),"",Sync!$M144)</f>
        <v/>
      </c>
      <c r="O144">
        <f>IF($N144="","",$Q144)</f>
        <v/>
      </c>
      <c r="P144">
        <f>IF($N144="","",LEFT($Q144,4)&amp;MID($Q144,6,2)&amp;RIGHT($Q144,2)&amp;IF(Sync!$K144="","0000",IF(AND(ISNUMBER(Sync!$K144),Sync!$K144&gt;=0,Sync!$K144&lt;1),RIGHT("00"&amp;HOUR(Sync!$K144),2)&amp;RIGHT("00"&amp;MINUTE(Sync!$K144),2),IFERROR(RIGHT("00"&amp;VALUE(LEFT(Sync!$K144,FIND(":",Sync!$K144)-1)),2)&amp;RIGHT("00"&amp;VALUE(MID(Sync!$K144,FIND(":",Sync!$K144)+1,2)),2),"0000")))&amp;"|"&amp;"2"&amp;RIGHT("00000"&amp;139,5))</f>
        <v/>
      </c>
      <c r="Q144">
        <f>IF(Sync!$J144="","",IF(ISNUMBER(Sync!$J144),IF(AND(Sync!$J144&gt;=10000101,Sync!$J144&lt;=99991231),INT(Sync!$J144/10000)&amp;"/"&amp;RIGHT("00"&amp;INT(MOD(Sync!$J144,10000)/100),2)&amp;"/"&amp;RIGHT("00"&amp;MOD(Sync!$J144,100),2),"نامعتبر"),IF(LEN(Sync!$J144)=10,Sync!$J144,"نامعتبر")))</f>
        <v/>
      </c>
      <c r="R144">
        <f>IF($P144="","",COUNTIFS($N$6:$N$2005,$N144,$P$6:$P$2005,"&lt;"&amp;$P144)+COUNTIFS($A$6:$A$1005,$N144,$B$6:$B$1005,"&lt;"&amp;$P144)+1)</f>
        <v/>
      </c>
      <c r="S144">
        <f>IF($N144="","",$N144&amp;"|"&amp;RIGHT("000000"&amp;$R144,6))</f>
        <v/>
      </c>
      <c r="T144">
        <f>IF($N144="","",IF(Sync!$N144="",0,Sync!$N144))</f>
        <v/>
      </c>
      <c r="U144">
        <f>IF($N144="","",IF(Sync!$O144="",0,Sync!$O144))</f>
        <v/>
      </c>
      <c r="V144">
        <f>IF($N144="","",Sync!$L144)</f>
        <v/>
      </c>
      <c r="W144">
        <f>IF($N144="","",Sync!$P144)</f>
        <v/>
      </c>
      <c r="AA144">
        <f>IF($A144="","",IF(COUNTIF($A$6:$A144,$A144)=1,1,0))</f>
        <v/>
      </c>
      <c r="AB144">
        <f>SUM($AA$6:$AA144)</f>
        <v/>
      </c>
      <c r="AC144">
        <f>IFERROR(INDEX($A$6:$A$1005,MATCH(ROW()-5,$AB$6:$AB$1005,0)),"")</f>
        <v/>
      </c>
    </row>
    <row r="145">
      <c r="A145">
        <f>IF(OR(Entry!$B148="",Entry!$E148="",$E145="نامعتبر"),"",Entry!$E148)</f>
        <v/>
      </c>
      <c r="B145">
        <f>IF($A145="","",LEFT($E145,4)&amp;MID($E145,6,2)&amp;RIGHT($E145,2)&amp;$F145&amp;"|"&amp;"1"&amp;RIGHT("00000"&amp;140,5))</f>
        <v/>
      </c>
      <c r="C145">
        <f>IF($B145="","",COUNTIFS($A$6:$A$1005,$A145,$B$6:$B$1005,"&lt;"&amp;$B145)+COUNTIFS($N$6:$N$2005,$A145,$P$6:$P$2005,"&lt;"&amp;$B145)+1)</f>
        <v/>
      </c>
      <c r="D145">
        <f>IF($C145="","",$A145&amp;"|"&amp;RIGHT("000000"&amp;$C145,6))</f>
        <v/>
      </c>
      <c r="E145">
        <f>IF(Entry!$B148="","",IF(ISNUMBER(Entry!$B148),IF(AND(Entry!$B148&gt;=10000101,Entry!$B148&lt;=99991231),INT(Entry!$B148/10000)&amp;"/"&amp;RIGHT("00"&amp;INT(MOD(Entry!$B148,10000)/100),2)&amp;"/"&amp;RIGHT("00"&amp;MOD(Entry!$B148,100),2),"نامعتبر"),IF(LEN(Entry!$B148)=10,Entry!$B148,"نامعتبر")))</f>
        <v/>
      </c>
      <c r="F145">
        <f>IF(Entry!$B148="","",IF(Entry!$C148="","0000",IF(AND(ISNUMBER(Entry!$C148),Entry!$C148&gt;=0,Entry!$C148&lt;1),RIGHT("00"&amp;HOUR(Entry!$C148),2)&amp;RIGHT("00"&amp;MINUTE(Entry!$C148),2),IFERROR(RIGHT("00"&amp;VALUE(LEFT(Entry!$C148,FIND(":",Entry!$C148)-1)),2)&amp;RIGHT("00"&amp;VALUE(MID(Entry!$C148,FIND(":",Entry!$C148)+1,2)),2),"0000"))))</f>
        <v/>
      </c>
      <c r="G145">
        <f>IF($A145="","",Entry!$G148)</f>
        <v/>
      </c>
      <c r="H145">
        <f>IF($A145="","",IF(Entry!$H148="",0,Entry!$H148))</f>
        <v/>
      </c>
      <c r="I145">
        <f>IF($A145="","",IF(Entry!$I148="",0,Entry!$I148))</f>
        <v/>
      </c>
      <c r="J145">
        <f>IF($A145="","",ROUND($H145*$I145,0))</f>
        <v/>
      </c>
      <c r="K145">
        <f>IF($A145="","",Entry!$D148)</f>
        <v/>
      </c>
      <c r="L145">
        <f>IF($A145="","",Entry!$L148)</f>
        <v/>
      </c>
      <c r="N145">
        <f>IF(OR(Sync!$M145="",$Q145="",$Q145="نامعتبر"),"",Sync!$M145)</f>
        <v/>
      </c>
      <c r="O145">
        <f>IF($N145="","",$Q145)</f>
        <v/>
      </c>
      <c r="P145">
        <f>IF($N145="","",LEFT($Q145,4)&amp;MID($Q145,6,2)&amp;RIGHT($Q145,2)&amp;IF(Sync!$K145="","0000",IF(AND(ISNUMBER(Sync!$K145),Sync!$K145&gt;=0,Sync!$K145&lt;1),RIGHT("00"&amp;HOUR(Sync!$K145),2)&amp;RIGHT("00"&amp;MINUTE(Sync!$K145),2),IFERROR(RIGHT("00"&amp;VALUE(LEFT(Sync!$K145,FIND(":",Sync!$K145)-1)),2)&amp;RIGHT("00"&amp;VALUE(MID(Sync!$K145,FIND(":",Sync!$K145)+1,2)),2),"0000")))&amp;"|"&amp;"2"&amp;RIGHT("00000"&amp;140,5))</f>
        <v/>
      </c>
      <c r="Q145">
        <f>IF(Sync!$J145="","",IF(ISNUMBER(Sync!$J145),IF(AND(Sync!$J145&gt;=10000101,Sync!$J145&lt;=99991231),INT(Sync!$J145/10000)&amp;"/"&amp;RIGHT("00"&amp;INT(MOD(Sync!$J145,10000)/100),2)&amp;"/"&amp;RIGHT("00"&amp;MOD(Sync!$J145,100),2),"نامعتبر"),IF(LEN(Sync!$J145)=10,Sync!$J145,"نامعتبر")))</f>
        <v/>
      </c>
      <c r="R145">
        <f>IF($P145="","",COUNTIFS($N$6:$N$2005,$N145,$P$6:$P$2005,"&lt;"&amp;$P145)+COUNTIFS($A$6:$A$1005,$N145,$B$6:$B$1005,"&lt;"&amp;$P145)+1)</f>
        <v/>
      </c>
      <c r="S145">
        <f>IF($N145="","",$N145&amp;"|"&amp;RIGHT("000000"&amp;$R145,6))</f>
        <v/>
      </c>
      <c r="T145">
        <f>IF($N145="","",IF(Sync!$N145="",0,Sync!$N145))</f>
        <v/>
      </c>
      <c r="U145">
        <f>IF($N145="","",IF(Sync!$O145="",0,Sync!$O145))</f>
        <v/>
      </c>
      <c r="V145">
        <f>IF($N145="","",Sync!$L145)</f>
        <v/>
      </c>
      <c r="W145">
        <f>IF($N145="","",Sync!$P145)</f>
        <v/>
      </c>
      <c r="AA145">
        <f>IF($A145="","",IF(COUNTIF($A$6:$A145,$A145)=1,1,0))</f>
        <v/>
      </c>
      <c r="AB145">
        <f>SUM($AA$6:$AA145)</f>
        <v/>
      </c>
      <c r="AC145">
        <f>IFERROR(INDEX($A$6:$A$1005,MATCH(ROW()-5,$AB$6:$AB$1005,0)),"")</f>
        <v/>
      </c>
    </row>
    <row r="146">
      <c r="A146">
        <f>IF(OR(Entry!$B149="",Entry!$E149="",$E146="نامعتبر"),"",Entry!$E149)</f>
        <v/>
      </c>
      <c r="B146">
        <f>IF($A146="","",LEFT($E146,4)&amp;MID($E146,6,2)&amp;RIGHT($E146,2)&amp;$F146&amp;"|"&amp;"1"&amp;RIGHT("00000"&amp;141,5))</f>
        <v/>
      </c>
      <c r="C146">
        <f>IF($B146="","",COUNTIFS($A$6:$A$1005,$A146,$B$6:$B$1005,"&lt;"&amp;$B146)+COUNTIFS($N$6:$N$2005,$A146,$P$6:$P$2005,"&lt;"&amp;$B146)+1)</f>
        <v/>
      </c>
      <c r="D146">
        <f>IF($C146="","",$A146&amp;"|"&amp;RIGHT("000000"&amp;$C146,6))</f>
        <v/>
      </c>
      <c r="E146">
        <f>IF(Entry!$B149="","",IF(ISNUMBER(Entry!$B149),IF(AND(Entry!$B149&gt;=10000101,Entry!$B149&lt;=99991231),INT(Entry!$B149/10000)&amp;"/"&amp;RIGHT("00"&amp;INT(MOD(Entry!$B149,10000)/100),2)&amp;"/"&amp;RIGHT("00"&amp;MOD(Entry!$B149,100),2),"نامعتبر"),IF(LEN(Entry!$B149)=10,Entry!$B149,"نامعتبر")))</f>
        <v/>
      </c>
      <c r="F146">
        <f>IF(Entry!$B149="","",IF(Entry!$C149="","0000",IF(AND(ISNUMBER(Entry!$C149),Entry!$C149&gt;=0,Entry!$C149&lt;1),RIGHT("00"&amp;HOUR(Entry!$C149),2)&amp;RIGHT("00"&amp;MINUTE(Entry!$C149),2),IFERROR(RIGHT("00"&amp;VALUE(LEFT(Entry!$C149,FIND(":",Entry!$C149)-1)),2)&amp;RIGHT("00"&amp;VALUE(MID(Entry!$C149,FIND(":",Entry!$C149)+1,2)),2),"0000"))))</f>
        <v/>
      </c>
      <c r="G146">
        <f>IF($A146="","",Entry!$G149)</f>
        <v/>
      </c>
      <c r="H146">
        <f>IF($A146="","",IF(Entry!$H149="",0,Entry!$H149))</f>
        <v/>
      </c>
      <c r="I146">
        <f>IF($A146="","",IF(Entry!$I149="",0,Entry!$I149))</f>
        <v/>
      </c>
      <c r="J146">
        <f>IF($A146="","",ROUND($H146*$I146,0))</f>
        <v/>
      </c>
      <c r="K146">
        <f>IF($A146="","",Entry!$D149)</f>
        <v/>
      </c>
      <c r="L146">
        <f>IF($A146="","",Entry!$L149)</f>
        <v/>
      </c>
      <c r="N146">
        <f>IF(OR(Sync!$M146="",$Q146="",$Q146="نامعتبر"),"",Sync!$M146)</f>
        <v/>
      </c>
      <c r="O146">
        <f>IF($N146="","",$Q146)</f>
        <v/>
      </c>
      <c r="P146">
        <f>IF($N146="","",LEFT($Q146,4)&amp;MID($Q146,6,2)&amp;RIGHT($Q146,2)&amp;IF(Sync!$K146="","0000",IF(AND(ISNUMBER(Sync!$K146),Sync!$K146&gt;=0,Sync!$K146&lt;1),RIGHT("00"&amp;HOUR(Sync!$K146),2)&amp;RIGHT("00"&amp;MINUTE(Sync!$K146),2),IFERROR(RIGHT("00"&amp;VALUE(LEFT(Sync!$K146,FIND(":",Sync!$K146)-1)),2)&amp;RIGHT("00"&amp;VALUE(MID(Sync!$K146,FIND(":",Sync!$K146)+1,2)),2),"0000")))&amp;"|"&amp;"2"&amp;RIGHT("00000"&amp;141,5))</f>
        <v/>
      </c>
      <c r="Q146">
        <f>IF(Sync!$J146="","",IF(ISNUMBER(Sync!$J146),IF(AND(Sync!$J146&gt;=10000101,Sync!$J146&lt;=99991231),INT(Sync!$J146/10000)&amp;"/"&amp;RIGHT("00"&amp;INT(MOD(Sync!$J146,10000)/100),2)&amp;"/"&amp;RIGHT("00"&amp;MOD(Sync!$J146,100),2),"نامعتبر"),IF(LEN(Sync!$J146)=10,Sync!$J146,"نامعتبر")))</f>
        <v/>
      </c>
      <c r="R146">
        <f>IF($P146="","",COUNTIFS($N$6:$N$2005,$N146,$P$6:$P$2005,"&lt;"&amp;$P146)+COUNTIFS($A$6:$A$1005,$N146,$B$6:$B$1005,"&lt;"&amp;$P146)+1)</f>
        <v/>
      </c>
      <c r="S146">
        <f>IF($N146="","",$N146&amp;"|"&amp;RIGHT("000000"&amp;$R146,6))</f>
        <v/>
      </c>
      <c r="T146">
        <f>IF($N146="","",IF(Sync!$N146="",0,Sync!$N146))</f>
        <v/>
      </c>
      <c r="U146">
        <f>IF($N146="","",IF(Sync!$O146="",0,Sync!$O146))</f>
        <v/>
      </c>
      <c r="V146">
        <f>IF($N146="","",Sync!$L146)</f>
        <v/>
      </c>
      <c r="W146">
        <f>IF($N146="","",Sync!$P146)</f>
        <v/>
      </c>
      <c r="AA146">
        <f>IF($A146="","",IF(COUNTIF($A$6:$A146,$A146)=1,1,0))</f>
        <v/>
      </c>
      <c r="AB146">
        <f>SUM($AA$6:$AA146)</f>
        <v/>
      </c>
      <c r="AC146">
        <f>IFERROR(INDEX($A$6:$A$1005,MATCH(ROW()-5,$AB$6:$AB$1005,0)),"")</f>
        <v/>
      </c>
    </row>
    <row r="147">
      <c r="A147">
        <f>IF(OR(Entry!$B150="",Entry!$E150="",$E147="نامعتبر"),"",Entry!$E150)</f>
        <v/>
      </c>
      <c r="B147">
        <f>IF($A147="","",LEFT($E147,4)&amp;MID($E147,6,2)&amp;RIGHT($E147,2)&amp;$F147&amp;"|"&amp;"1"&amp;RIGHT("00000"&amp;142,5))</f>
        <v/>
      </c>
      <c r="C147">
        <f>IF($B147="","",COUNTIFS($A$6:$A$1005,$A147,$B$6:$B$1005,"&lt;"&amp;$B147)+COUNTIFS($N$6:$N$2005,$A147,$P$6:$P$2005,"&lt;"&amp;$B147)+1)</f>
        <v/>
      </c>
      <c r="D147">
        <f>IF($C147="","",$A147&amp;"|"&amp;RIGHT("000000"&amp;$C147,6))</f>
        <v/>
      </c>
      <c r="E147">
        <f>IF(Entry!$B150="","",IF(ISNUMBER(Entry!$B150),IF(AND(Entry!$B150&gt;=10000101,Entry!$B150&lt;=99991231),INT(Entry!$B150/10000)&amp;"/"&amp;RIGHT("00"&amp;INT(MOD(Entry!$B150,10000)/100),2)&amp;"/"&amp;RIGHT("00"&amp;MOD(Entry!$B150,100),2),"نامعتبر"),IF(LEN(Entry!$B150)=10,Entry!$B150,"نامعتبر")))</f>
        <v/>
      </c>
      <c r="F147">
        <f>IF(Entry!$B150="","",IF(Entry!$C150="","0000",IF(AND(ISNUMBER(Entry!$C150),Entry!$C150&gt;=0,Entry!$C150&lt;1),RIGHT("00"&amp;HOUR(Entry!$C150),2)&amp;RIGHT("00"&amp;MINUTE(Entry!$C150),2),IFERROR(RIGHT("00"&amp;VALUE(LEFT(Entry!$C150,FIND(":",Entry!$C150)-1)),2)&amp;RIGHT("00"&amp;VALUE(MID(Entry!$C150,FIND(":",Entry!$C150)+1,2)),2),"0000"))))</f>
        <v/>
      </c>
      <c r="G147">
        <f>IF($A147="","",Entry!$G150)</f>
        <v/>
      </c>
      <c r="H147">
        <f>IF($A147="","",IF(Entry!$H150="",0,Entry!$H150))</f>
        <v/>
      </c>
      <c r="I147">
        <f>IF($A147="","",IF(Entry!$I150="",0,Entry!$I150))</f>
        <v/>
      </c>
      <c r="J147">
        <f>IF($A147="","",ROUND($H147*$I147,0))</f>
        <v/>
      </c>
      <c r="K147">
        <f>IF($A147="","",Entry!$D150)</f>
        <v/>
      </c>
      <c r="L147">
        <f>IF($A147="","",Entry!$L150)</f>
        <v/>
      </c>
      <c r="N147">
        <f>IF(OR(Sync!$M147="",$Q147="",$Q147="نامعتبر"),"",Sync!$M147)</f>
        <v/>
      </c>
      <c r="O147">
        <f>IF($N147="","",$Q147)</f>
        <v/>
      </c>
      <c r="P147">
        <f>IF($N147="","",LEFT($Q147,4)&amp;MID($Q147,6,2)&amp;RIGHT($Q147,2)&amp;IF(Sync!$K147="","0000",IF(AND(ISNUMBER(Sync!$K147),Sync!$K147&gt;=0,Sync!$K147&lt;1),RIGHT("00"&amp;HOUR(Sync!$K147),2)&amp;RIGHT("00"&amp;MINUTE(Sync!$K147),2),IFERROR(RIGHT("00"&amp;VALUE(LEFT(Sync!$K147,FIND(":",Sync!$K147)-1)),2)&amp;RIGHT("00"&amp;VALUE(MID(Sync!$K147,FIND(":",Sync!$K147)+1,2)),2),"0000")))&amp;"|"&amp;"2"&amp;RIGHT("00000"&amp;142,5))</f>
        <v/>
      </c>
      <c r="Q147">
        <f>IF(Sync!$J147="","",IF(ISNUMBER(Sync!$J147),IF(AND(Sync!$J147&gt;=10000101,Sync!$J147&lt;=99991231),INT(Sync!$J147/10000)&amp;"/"&amp;RIGHT("00"&amp;INT(MOD(Sync!$J147,10000)/100),2)&amp;"/"&amp;RIGHT("00"&amp;MOD(Sync!$J147,100),2),"نامعتبر"),IF(LEN(Sync!$J147)=10,Sync!$J147,"نامعتبر")))</f>
        <v/>
      </c>
      <c r="R147">
        <f>IF($P147="","",COUNTIFS($N$6:$N$2005,$N147,$P$6:$P$2005,"&lt;"&amp;$P147)+COUNTIFS($A$6:$A$1005,$N147,$B$6:$B$1005,"&lt;"&amp;$P147)+1)</f>
        <v/>
      </c>
      <c r="S147">
        <f>IF($N147="","",$N147&amp;"|"&amp;RIGHT("000000"&amp;$R147,6))</f>
        <v/>
      </c>
      <c r="T147">
        <f>IF($N147="","",IF(Sync!$N147="",0,Sync!$N147))</f>
        <v/>
      </c>
      <c r="U147">
        <f>IF($N147="","",IF(Sync!$O147="",0,Sync!$O147))</f>
        <v/>
      </c>
      <c r="V147">
        <f>IF($N147="","",Sync!$L147)</f>
        <v/>
      </c>
      <c r="W147">
        <f>IF($N147="","",Sync!$P147)</f>
        <v/>
      </c>
      <c r="AA147">
        <f>IF($A147="","",IF(COUNTIF($A$6:$A147,$A147)=1,1,0))</f>
        <v/>
      </c>
      <c r="AB147">
        <f>SUM($AA$6:$AA147)</f>
        <v/>
      </c>
      <c r="AC147">
        <f>IFERROR(INDEX($A$6:$A$1005,MATCH(ROW()-5,$AB$6:$AB$1005,0)),"")</f>
        <v/>
      </c>
    </row>
    <row r="148">
      <c r="A148">
        <f>IF(OR(Entry!$B151="",Entry!$E151="",$E148="نامعتبر"),"",Entry!$E151)</f>
        <v/>
      </c>
      <c r="B148">
        <f>IF($A148="","",LEFT($E148,4)&amp;MID($E148,6,2)&amp;RIGHT($E148,2)&amp;$F148&amp;"|"&amp;"1"&amp;RIGHT("00000"&amp;143,5))</f>
        <v/>
      </c>
      <c r="C148">
        <f>IF($B148="","",COUNTIFS($A$6:$A$1005,$A148,$B$6:$B$1005,"&lt;"&amp;$B148)+COUNTIFS($N$6:$N$2005,$A148,$P$6:$P$2005,"&lt;"&amp;$B148)+1)</f>
        <v/>
      </c>
      <c r="D148">
        <f>IF($C148="","",$A148&amp;"|"&amp;RIGHT("000000"&amp;$C148,6))</f>
        <v/>
      </c>
      <c r="E148">
        <f>IF(Entry!$B151="","",IF(ISNUMBER(Entry!$B151),IF(AND(Entry!$B151&gt;=10000101,Entry!$B151&lt;=99991231),INT(Entry!$B151/10000)&amp;"/"&amp;RIGHT("00"&amp;INT(MOD(Entry!$B151,10000)/100),2)&amp;"/"&amp;RIGHT("00"&amp;MOD(Entry!$B151,100),2),"نامعتبر"),IF(LEN(Entry!$B151)=10,Entry!$B151,"نامعتبر")))</f>
        <v/>
      </c>
      <c r="F148">
        <f>IF(Entry!$B151="","",IF(Entry!$C151="","0000",IF(AND(ISNUMBER(Entry!$C151),Entry!$C151&gt;=0,Entry!$C151&lt;1),RIGHT("00"&amp;HOUR(Entry!$C151),2)&amp;RIGHT("00"&amp;MINUTE(Entry!$C151),2),IFERROR(RIGHT("00"&amp;VALUE(LEFT(Entry!$C151,FIND(":",Entry!$C151)-1)),2)&amp;RIGHT("00"&amp;VALUE(MID(Entry!$C151,FIND(":",Entry!$C151)+1,2)),2),"0000"))))</f>
        <v/>
      </c>
      <c r="G148">
        <f>IF($A148="","",Entry!$G151)</f>
        <v/>
      </c>
      <c r="H148">
        <f>IF($A148="","",IF(Entry!$H151="",0,Entry!$H151))</f>
        <v/>
      </c>
      <c r="I148">
        <f>IF($A148="","",IF(Entry!$I151="",0,Entry!$I151))</f>
        <v/>
      </c>
      <c r="J148">
        <f>IF($A148="","",ROUND($H148*$I148,0))</f>
        <v/>
      </c>
      <c r="K148">
        <f>IF($A148="","",Entry!$D151)</f>
        <v/>
      </c>
      <c r="L148">
        <f>IF($A148="","",Entry!$L151)</f>
        <v/>
      </c>
      <c r="N148">
        <f>IF(OR(Sync!$M148="",$Q148="",$Q148="نامعتبر"),"",Sync!$M148)</f>
        <v/>
      </c>
      <c r="O148">
        <f>IF($N148="","",$Q148)</f>
        <v/>
      </c>
      <c r="P148">
        <f>IF($N148="","",LEFT($Q148,4)&amp;MID($Q148,6,2)&amp;RIGHT($Q148,2)&amp;IF(Sync!$K148="","0000",IF(AND(ISNUMBER(Sync!$K148),Sync!$K148&gt;=0,Sync!$K148&lt;1),RIGHT("00"&amp;HOUR(Sync!$K148),2)&amp;RIGHT("00"&amp;MINUTE(Sync!$K148),2),IFERROR(RIGHT("00"&amp;VALUE(LEFT(Sync!$K148,FIND(":",Sync!$K148)-1)),2)&amp;RIGHT("00"&amp;VALUE(MID(Sync!$K148,FIND(":",Sync!$K148)+1,2)),2),"0000")))&amp;"|"&amp;"2"&amp;RIGHT("00000"&amp;143,5))</f>
        <v/>
      </c>
      <c r="Q148">
        <f>IF(Sync!$J148="","",IF(ISNUMBER(Sync!$J148),IF(AND(Sync!$J148&gt;=10000101,Sync!$J148&lt;=99991231),INT(Sync!$J148/10000)&amp;"/"&amp;RIGHT("00"&amp;INT(MOD(Sync!$J148,10000)/100),2)&amp;"/"&amp;RIGHT("00"&amp;MOD(Sync!$J148,100),2),"نامعتبر"),IF(LEN(Sync!$J148)=10,Sync!$J148,"نامعتبر")))</f>
        <v/>
      </c>
      <c r="R148">
        <f>IF($P148="","",COUNTIFS($N$6:$N$2005,$N148,$P$6:$P$2005,"&lt;"&amp;$P148)+COUNTIFS($A$6:$A$1005,$N148,$B$6:$B$1005,"&lt;"&amp;$P148)+1)</f>
        <v/>
      </c>
      <c r="S148">
        <f>IF($N148="","",$N148&amp;"|"&amp;RIGHT("000000"&amp;$R148,6))</f>
        <v/>
      </c>
      <c r="T148">
        <f>IF($N148="","",IF(Sync!$N148="",0,Sync!$N148))</f>
        <v/>
      </c>
      <c r="U148">
        <f>IF($N148="","",IF(Sync!$O148="",0,Sync!$O148))</f>
        <v/>
      </c>
      <c r="V148">
        <f>IF($N148="","",Sync!$L148)</f>
        <v/>
      </c>
      <c r="W148">
        <f>IF($N148="","",Sync!$P148)</f>
        <v/>
      </c>
      <c r="AA148">
        <f>IF($A148="","",IF(COUNTIF($A$6:$A148,$A148)=1,1,0))</f>
        <v/>
      </c>
      <c r="AB148">
        <f>SUM($AA$6:$AA148)</f>
        <v/>
      </c>
      <c r="AC148">
        <f>IFERROR(INDEX($A$6:$A$1005,MATCH(ROW()-5,$AB$6:$AB$1005,0)),"")</f>
        <v/>
      </c>
    </row>
    <row r="149">
      <c r="A149">
        <f>IF(OR(Entry!$B152="",Entry!$E152="",$E149="نامعتبر"),"",Entry!$E152)</f>
        <v/>
      </c>
      <c r="B149">
        <f>IF($A149="","",LEFT($E149,4)&amp;MID($E149,6,2)&amp;RIGHT($E149,2)&amp;$F149&amp;"|"&amp;"1"&amp;RIGHT("00000"&amp;144,5))</f>
        <v/>
      </c>
      <c r="C149">
        <f>IF($B149="","",COUNTIFS($A$6:$A$1005,$A149,$B$6:$B$1005,"&lt;"&amp;$B149)+COUNTIFS($N$6:$N$2005,$A149,$P$6:$P$2005,"&lt;"&amp;$B149)+1)</f>
        <v/>
      </c>
      <c r="D149">
        <f>IF($C149="","",$A149&amp;"|"&amp;RIGHT("000000"&amp;$C149,6))</f>
        <v/>
      </c>
      <c r="E149">
        <f>IF(Entry!$B152="","",IF(ISNUMBER(Entry!$B152),IF(AND(Entry!$B152&gt;=10000101,Entry!$B152&lt;=99991231),INT(Entry!$B152/10000)&amp;"/"&amp;RIGHT("00"&amp;INT(MOD(Entry!$B152,10000)/100),2)&amp;"/"&amp;RIGHT("00"&amp;MOD(Entry!$B152,100),2),"نامعتبر"),IF(LEN(Entry!$B152)=10,Entry!$B152,"نامعتبر")))</f>
        <v/>
      </c>
      <c r="F149">
        <f>IF(Entry!$B152="","",IF(Entry!$C152="","0000",IF(AND(ISNUMBER(Entry!$C152),Entry!$C152&gt;=0,Entry!$C152&lt;1),RIGHT("00"&amp;HOUR(Entry!$C152),2)&amp;RIGHT("00"&amp;MINUTE(Entry!$C152),2),IFERROR(RIGHT("00"&amp;VALUE(LEFT(Entry!$C152,FIND(":",Entry!$C152)-1)),2)&amp;RIGHT("00"&amp;VALUE(MID(Entry!$C152,FIND(":",Entry!$C152)+1,2)),2),"0000"))))</f>
        <v/>
      </c>
      <c r="G149">
        <f>IF($A149="","",Entry!$G152)</f>
        <v/>
      </c>
      <c r="H149">
        <f>IF($A149="","",IF(Entry!$H152="",0,Entry!$H152))</f>
        <v/>
      </c>
      <c r="I149">
        <f>IF($A149="","",IF(Entry!$I152="",0,Entry!$I152))</f>
        <v/>
      </c>
      <c r="J149">
        <f>IF($A149="","",ROUND($H149*$I149,0))</f>
        <v/>
      </c>
      <c r="K149">
        <f>IF($A149="","",Entry!$D152)</f>
        <v/>
      </c>
      <c r="L149">
        <f>IF($A149="","",Entry!$L152)</f>
        <v/>
      </c>
      <c r="N149">
        <f>IF(OR(Sync!$M149="",$Q149="",$Q149="نامعتبر"),"",Sync!$M149)</f>
        <v/>
      </c>
      <c r="O149">
        <f>IF($N149="","",$Q149)</f>
        <v/>
      </c>
      <c r="P149">
        <f>IF($N149="","",LEFT($Q149,4)&amp;MID($Q149,6,2)&amp;RIGHT($Q149,2)&amp;IF(Sync!$K149="","0000",IF(AND(ISNUMBER(Sync!$K149),Sync!$K149&gt;=0,Sync!$K149&lt;1),RIGHT("00"&amp;HOUR(Sync!$K149),2)&amp;RIGHT("00"&amp;MINUTE(Sync!$K149),2),IFERROR(RIGHT("00"&amp;VALUE(LEFT(Sync!$K149,FIND(":",Sync!$K149)-1)),2)&amp;RIGHT("00"&amp;VALUE(MID(Sync!$K149,FIND(":",Sync!$K149)+1,2)),2),"0000")))&amp;"|"&amp;"2"&amp;RIGHT("00000"&amp;144,5))</f>
        <v/>
      </c>
      <c r="Q149">
        <f>IF(Sync!$J149="","",IF(ISNUMBER(Sync!$J149),IF(AND(Sync!$J149&gt;=10000101,Sync!$J149&lt;=99991231),INT(Sync!$J149/10000)&amp;"/"&amp;RIGHT("00"&amp;INT(MOD(Sync!$J149,10000)/100),2)&amp;"/"&amp;RIGHT("00"&amp;MOD(Sync!$J149,100),2),"نامعتبر"),IF(LEN(Sync!$J149)=10,Sync!$J149,"نامعتبر")))</f>
        <v/>
      </c>
      <c r="R149">
        <f>IF($P149="","",COUNTIFS($N$6:$N$2005,$N149,$P$6:$P$2005,"&lt;"&amp;$P149)+COUNTIFS($A$6:$A$1005,$N149,$B$6:$B$1005,"&lt;"&amp;$P149)+1)</f>
        <v/>
      </c>
      <c r="S149">
        <f>IF($N149="","",$N149&amp;"|"&amp;RIGHT("000000"&amp;$R149,6))</f>
        <v/>
      </c>
      <c r="T149">
        <f>IF($N149="","",IF(Sync!$N149="",0,Sync!$N149))</f>
        <v/>
      </c>
      <c r="U149">
        <f>IF($N149="","",IF(Sync!$O149="",0,Sync!$O149))</f>
        <v/>
      </c>
      <c r="V149">
        <f>IF($N149="","",Sync!$L149)</f>
        <v/>
      </c>
      <c r="W149">
        <f>IF($N149="","",Sync!$P149)</f>
        <v/>
      </c>
      <c r="AA149">
        <f>IF($A149="","",IF(COUNTIF($A$6:$A149,$A149)=1,1,0))</f>
        <v/>
      </c>
      <c r="AB149">
        <f>SUM($AA$6:$AA149)</f>
        <v/>
      </c>
      <c r="AC149">
        <f>IFERROR(INDEX($A$6:$A$1005,MATCH(ROW()-5,$AB$6:$AB$1005,0)),"")</f>
        <v/>
      </c>
    </row>
    <row r="150">
      <c r="A150">
        <f>IF(OR(Entry!$B153="",Entry!$E153="",$E150="نامعتبر"),"",Entry!$E153)</f>
        <v/>
      </c>
      <c r="B150">
        <f>IF($A150="","",LEFT($E150,4)&amp;MID($E150,6,2)&amp;RIGHT($E150,2)&amp;$F150&amp;"|"&amp;"1"&amp;RIGHT("00000"&amp;145,5))</f>
        <v/>
      </c>
      <c r="C150">
        <f>IF($B150="","",COUNTIFS($A$6:$A$1005,$A150,$B$6:$B$1005,"&lt;"&amp;$B150)+COUNTIFS($N$6:$N$2005,$A150,$P$6:$P$2005,"&lt;"&amp;$B150)+1)</f>
        <v/>
      </c>
      <c r="D150">
        <f>IF($C150="","",$A150&amp;"|"&amp;RIGHT("000000"&amp;$C150,6))</f>
        <v/>
      </c>
      <c r="E150">
        <f>IF(Entry!$B153="","",IF(ISNUMBER(Entry!$B153),IF(AND(Entry!$B153&gt;=10000101,Entry!$B153&lt;=99991231),INT(Entry!$B153/10000)&amp;"/"&amp;RIGHT("00"&amp;INT(MOD(Entry!$B153,10000)/100),2)&amp;"/"&amp;RIGHT("00"&amp;MOD(Entry!$B153,100),2),"نامعتبر"),IF(LEN(Entry!$B153)=10,Entry!$B153,"نامعتبر")))</f>
        <v/>
      </c>
      <c r="F150">
        <f>IF(Entry!$B153="","",IF(Entry!$C153="","0000",IF(AND(ISNUMBER(Entry!$C153),Entry!$C153&gt;=0,Entry!$C153&lt;1),RIGHT("00"&amp;HOUR(Entry!$C153),2)&amp;RIGHT("00"&amp;MINUTE(Entry!$C153),2),IFERROR(RIGHT("00"&amp;VALUE(LEFT(Entry!$C153,FIND(":",Entry!$C153)-1)),2)&amp;RIGHT("00"&amp;VALUE(MID(Entry!$C153,FIND(":",Entry!$C153)+1,2)),2),"0000"))))</f>
        <v/>
      </c>
      <c r="G150">
        <f>IF($A150="","",Entry!$G153)</f>
        <v/>
      </c>
      <c r="H150">
        <f>IF($A150="","",IF(Entry!$H153="",0,Entry!$H153))</f>
        <v/>
      </c>
      <c r="I150">
        <f>IF($A150="","",IF(Entry!$I153="",0,Entry!$I153))</f>
        <v/>
      </c>
      <c r="J150">
        <f>IF($A150="","",ROUND($H150*$I150,0))</f>
        <v/>
      </c>
      <c r="K150">
        <f>IF($A150="","",Entry!$D153)</f>
        <v/>
      </c>
      <c r="L150">
        <f>IF($A150="","",Entry!$L153)</f>
        <v/>
      </c>
      <c r="N150">
        <f>IF(OR(Sync!$M150="",$Q150="",$Q150="نامعتبر"),"",Sync!$M150)</f>
        <v/>
      </c>
      <c r="O150">
        <f>IF($N150="","",$Q150)</f>
        <v/>
      </c>
      <c r="P150">
        <f>IF($N150="","",LEFT($Q150,4)&amp;MID($Q150,6,2)&amp;RIGHT($Q150,2)&amp;IF(Sync!$K150="","0000",IF(AND(ISNUMBER(Sync!$K150),Sync!$K150&gt;=0,Sync!$K150&lt;1),RIGHT("00"&amp;HOUR(Sync!$K150),2)&amp;RIGHT("00"&amp;MINUTE(Sync!$K150),2),IFERROR(RIGHT("00"&amp;VALUE(LEFT(Sync!$K150,FIND(":",Sync!$K150)-1)),2)&amp;RIGHT("00"&amp;VALUE(MID(Sync!$K150,FIND(":",Sync!$K150)+1,2)),2),"0000")))&amp;"|"&amp;"2"&amp;RIGHT("00000"&amp;145,5))</f>
        <v/>
      </c>
      <c r="Q150">
        <f>IF(Sync!$J150="","",IF(ISNUMBER(Sync!$J150),IF(AND(Sync!$J150&gt;=10000101,Sync!$J150&lt;=99991231),INT(Sync!$J150/10000)&amp;"/"&amp;RIGHT("00"&amp;INT(MOD(Sync!$J150,10000)/100),2)&amp;"/"&amp;RIGHT("00"&amp;MOD(Sync!$J150,100),2),"نامعتبر"),IF(LEN(Sync!$J150)=10,Sync!$J150,"نامعتبر")))</f>
        <v/>
      </c>
      <c r="R150">
        <f>IF($P150="","",COUNTIFS($N$6:$N$2005,$N150,$P$6:$P$2005,"&lt;"&amp;$P150)+COUNTIFS($A$6:$A$1005,$N150,$B$6:$B$1005,"&lt;"&amp;$P150)+1)</f>
        <v/>
      </c>
      <c r="S150">
        <f>IF($N150="","",$N150&amp;"|"&amp;RIGHT("000000"&amp;$R150,6))</f>
        <v/>
      </c>
      <c r="T150">
        <f>IF($N150="","",IF(Sync!$N150="",0,Sync!$N150))</f>
        <v/>
      </c>
      <c r="U150">
        <f>IF($N150="","",IF(Sync!$O150="",0,Sync!$O150))</f>
        <v/>
      </c>
      <c r="V150">
        <f>IF($N150="","",Sync!$L150)</f>
        <v/>
      </c>
      <c r="W150">
        <f>IF($N150="","",Sync!$P150)</f>
        <v/>
      </c>
      <c r="AA150">
        <f>IF($A150="","",IF(COUNTIF($A$6:$A150,$A150)=1,1,0))</f>
        <v/>
      </c>
      <c r="AB150">
        <f>SUM($AA$6:$AA150)</f>
        <v/>
      </c>
      <c r="AC150">
        <f>IFERROR(INDEX($A$6:$A$1005,MATCH(ROW()-5,$AB$6:$AB$1005,0)),"")</f>
        <v/>
      </c>
    </row>
    <row r="151">
      <c r="A151">
        <f>IF(OR(Entry!$B154="",Entry!$E154="",$E151="نامعتبر"),"",Entry!$E154)</f>
        <v/>
      </c>
      <c r="B151">
        <f>IF($A151="","",LEFT($E151,4)&amp;MID($E151,6,2)&amp;RIGHT($E151,2)&amp;$F151&amp;"|"&amp;"1"&amp;RIGHT("00000"&amp;146,5))</f>
        <v/>
      </c>
      <c r="C151">
        <f>IF($B151="","",COUNTIFS($A$6:$A$1005,$A151,$B$6:$B$1005,"&lt;"&amp;$B151)+COUNTIFS($N$6:$N$2005,$A151,$P$6:$P$2005,"&lt;"&amp;$B151)+1)</f>
        <v/>
      </c>
      <c r="D151">
        <f>IF($C151="","",$A151&amp;"|"&amp;RIGHT("000000"&amp;$C151,6))</f>
        <v/>
      </c>
      <c r="E151">
        <f>IF(Entry!$B154="","",IF(ISNUMBER(Entry!$B154),IF(AND(Entry!$B154&gt;=10000101,Entry!$B154&lt;=99991231),INT(Entry!$B154/10000)&amp;"/"&amp;RIGHT("00"&amp;INT(MOD(Entry!$B154,10000)/100),2)&amp;"/"&amp;RIGHT("00"&amp;MOD(Entry!$B154,100),2),"نامعتبر"),IF(LEN(Entry!$B154)=10,Entry!$B154,"نامعتبر")))</f>
        <v/>
      </c>
      <c r="F151">
        <f>IF(Entry!$B154="","",IF(Entry!$C154="","0000",IF(AND(ISNUMBER(Entry!$C154),Entry!$C154&gt;=0,Entry!$C154&lt;1),RIGHT("00"&amp;HOUR(Entry!$C154),2)&amp;RIGHT("00"&amp;MINUTE(Entry!$C154),2),IFERROR(RIGHT("00"&amp;VALUE(LEFT(Entry!$C154,FIND(":",Entry!$C154)-1)),2)&amp;RIGHT("00"&amp;VALUE(MID(Entry!$C154,FIND(":",Entry!$C154)+1,2)),2),"0000"))))</f>
        <v/>
      </c>
      <c r="G151">
        <f>IF($A151="","",Entry!$G154)</f>
        <v/>
      </c>
      <c r="H151">
        <f>IF($A151="","",IF(Entry!$H154="",0,Entry!$H154))</f>
        <v/>
      </c>
      <c r="I151">
        <f>IF($A151="","",IF(Entry!$I154="",0,Entry!$I154))</f>
        <v/>
      </c>
      <c r="J151">
        <f>IF($A151="","",ROUND($H151*$I151,0))</f>
        <v/>
      </c>
      <c r="K151">
        <f>IF($A151="","",Entry!$D154)</f>
        <v/>
      </c>
      <c r="L151">
        <f>IF($A151="","",Entry!$L154)</f>
        <v/>
      </c>
      <c r="N151">
        <f>IF(OR(Sync!$M151="",$Q151="",$Q151="نامعتبر"),"",Sync!$M151)</f>
        <v/>
      </c>
      <c r="O151">
        <f>IF($N151="","",$Q151)</f>
        <v/>
      </c>
      <c r="P151">
        <f>IF($N151="","",LEFT($Q151,4)&amp;MID($Q151,6,2)&amp;RIGHT($Q151,2)&amp;IF(Sync!$K151="","0000",IF(AND(ISNUMBER(Sync!$K151),Sync!$K151&gt;=0,Sync!$K151&lt;1),RIGHT("00"&amp;HOUR(Sync!$K151),2)&amp;RIGHT("00"&amp;MINUTE(Sync!$K151),2),IFERROR(RIGHT("00"&amp;VALUE(LEFT(Sync!$K151,FIND(":",Sync!$K151)-1)),2)&amp;RIGHT("00"&amp;VALUE(MID(Sync!$K151,FIND(":",Sync!$K151)+1,2)),2),"0000")))&amp;"|"&amp;"2"&amp;RIGHT("00000"&amp;146,5))</f>
        <v/>
      </c>
      <c r="Q151">
        <f>IF(Sync!$J151="","",IF(ISNUMBER(Sync!$J151),IF(AND(Sync!$J151&gt;=10000101,Sync!$J151&lt;=99991231),INT(Sync!$J151/10000)&amp;"/"&amp;RIGHT("00"&amp;INT(MOD(Sync!$J151,10000)/100),2)&amp;"/"&amp;RIGHT("00"&amp;MOD(Sync!$J151,100),2),"نامعتبر"),IF(LEN(Sync!$J151)=10,Sync!$J151,"نامعتبر")))</f>
        <v/>
      </c>
      <c r="R151">
        <f>IF($P151="","",COUNTIFS($N$6:$N$2005,$N151,$P$6:$P$2005,"&lt;"&amp;$P151)+COUNTIFS($A$6:$A$1005,$N151,$B$6:$B$1005,"&lt;"&amp;$P151)+1)</f>
        <v/>
      </c>
      <c r="S151">
        <f>IF($N151="","",$N151&amp;"|"&amp;RIGHT("000000"&amp;$R151,6))</f>
        <v/>
      </c>
      <c r="T151">
        <f>IF($N151="","",IF(Sync!$N151="",0,Sync!$N151))</f>
        <v/>
      </c>
      <c r="U151">
        <f>IF($N151="","",IF(Sync!$O151="",0,Sync!$O151))</f>
        <v/>
      </c>
      <c r="V151">
        <f>IF($N151="","",Sync!$L151)</f>
        <v/>
      </c>
      <c r="W151">
        <f>IF($N151="","",Sync!$P151)</f>
        <v/>
      </c>
      <c r="AA151">
        <f>IF($A151="","",IF(COUNTIF($A$6:$A151,$A151)=1,1,0))</f>
        <v/>
      </c>
      <c r="AB151">
        <f>SUM($AA$6:$AA151)</f>
        <v/>
      </c>
      <c r="AC151">
        <f>IFERROR(INDEX($A$6:$A$1005,MATCH(ROW()-5,$AB$6:$AB$1005,0)),"")</f>
        <v/>
      </c>
    </row>
    <row r="152">
      <c r="A152">
        <f>IF(OR(Entry!$B155="",Entry!$E155="",$E152="نامعتبر"),"",Entry!$E155)</f>
        <v/>
      </c>
      <c r="B152">
        <f>IF($A152="","",LEFT($E152,4)&amp;MID($E152,6,2)&amp;RIGHT($E152,2)&amp;$F152&amp;"|"&amp;"1"&amp;RIGHT("00000"&amp;147,5))</f>
        <v/>
      </c>
      <c r="C152">
        <f>IF($B152="","",COUNTIFS($A$6:$A$1005,$A152,$B$6:$B$1005,"&lt;"&amp;$B152)+COUNTIFS($N$6:$N$2005,$A152,$P$6:$P$2005,"&lt;"&amp;$B152)+1)</f>
        <v/>
      </c>
      <c r="D152">
        <f>IF($C152="","",$A152&amp;"|"&amp;RIGHT("000000"&amp;$C152,6))</f>
        <v/>
      </c>
      <c r="E152">
        <f>IF(Entry!$B155="","",IF(ISNUMBER(Entry!$B155),IF(AND(Entry!$B155&gt;=10000101,Entry!$B155&lt;=99991231),INT(Entry!$B155/10000)&amp;"/"&amp;RIGHT("00"&amp;INT(MOD(Entry!$B155,10000)/100),2)&amp;"/"&amp;RIGHT("00"&amp;MOD(Entry!$B155,100),2),"نامعتبر"),IF(LEN(Entry!$B155)=10,Entry!$B155,"نامعتبر")))</f>
        <v/>
      </c>
      <c r="F152">
        <f>IF(Entry!$B155="","",IF(Entry!$C155="","0000",IF(AND(ISNUMBER(Entry!$C155),Entry!$C155&gt;=0,Entry!$C155&lt;1),RIGHT("00"&amp;HOUR(Entry!$C155),2)&amp;RIGHT("00"&amp;MINUTE(Entry!$C155),2),IFERROR(RIGHT("00"&amp;VALUE(LEFT(Entry!$C155,FIND(":",Entry!$C155)-1)),2)&amp;RIGHT("00"&amp;VALUE(MID(Entry!$C155,FIND(":",Entry!$C155)+1,2)),2),"0000"))))</f>
        <v/>
      </c>
      <c r="G152">
        <f>IF($A152="","",Entry!$G155)</f>
        <v/>
      </c>
      <c r="H152">
        <f>IF($A152="","",IF(Entry!$H155="",0,Entry!$H155))</f>
        <v/>
      </c>
      <c r="I152">
        <f>IF($A152="","",IF(Entry!$I155="",0,Entry!$I155))</f>
        <v/>
      </c>
      <c r="J152">
        <f>IF($A152="","",ROUND($H152*$I152,0))</f>
        <v/>
      </c>
      <c r="K152">
        <f>IF($A152="","",Entry!$D155)</f>
        <v/>
      </c>
      <c r="L152">
        <f>IF($A152="","",Entry!$L155)</f>
        <v/>
      </c>
      <c r="N152">
        <f>IF(OR(Sync!$M152="",$Q152="",$Q152="نامعتبر"),"",Sync!$M152)</f>
        <v/>
      </c>
      <c r="O152">
        <f>IF($N152="","",$Q152)</f>
        <v/>
      </c>
      <c r="P152">
        <f>IF($N152="","",LEFT($Q152,4)&amp;MID($Q152,6,2)&amp;RIGHT($Q152,2)&amp;IF(Sync!$K152="","0000",IF(AND(ISNUMBER(Sync!$K152),Sync!$K152&gt;=0,Sync!$K152&lt;1),RIGHT("00"&amp;HOUR(Sync!$K152),2)&amp;RIGHT("00"&amp;MINUTE(Sync!$K152),2),IFERROR(RIGHT("00"&amp;VALUE(LEFT(Sync!$K152,FIND(":",Sync!$K152)-1)),2)&amp;RIGHT("00"&amp;VALUE(MID(Sync!$K152,FIND(":",Sync!$K152)+1,2)),2),"0000")))&amp;"|"&amp;"2"&amp;RIGHT("00000"&amp;147,5))</f>
        <v/>
      </c>
      <c r="Q152">
        <f>IF(Sync!$J152="","",IF(ISNUMBER(Sync!$J152),IF(AND(Sync!$J152&gt;=10000101,Sync!$J152&lt;=99991231),INT(Sync!$J152/10000)&amp;"/"&amp;RIGHT("00"&amp;INT(MOD(Sync!$J152,10000)/100),2)&amp;"/"&amp;RIGHT("00"&amp;MOD(Sync!$J152,100),2),"نامعتبر"),IF(LEN(Sync!$J152)=10,Sync!$J152,"نامعتبر")))</f>
        <v/>
      </c>
      <c r="R152">
        <f>IF($P152="","",COUNTIFS($N$6:$N$2005,$N152,$P$6:$P$2005,"&lt;"&amp;$P152)+COUNTIFS($A$6:$A$1005,$N152,$B$6:$B$1005,"&lt;"&amp;$P152)+1)</f>
        <v/>
      </c>
      <c r="S152">
        <f>IF($N152="","",$N152&amp;"|"&amp;RIGHT("000000"&amp;$R152,6))</f>
        <v/>
      </c>
      <c r="T152">
        <f>IF($N152="","",IF(Sync!$N152="",0,Sync!$N152))</f>
        <v/>
      </c>
      <c r="U152">
        <f>IF($N152="","",IF(Sync!$O152="",0,Sync!$O152))</f>
        <v/>
      </c>
      <c r="V152">
        <f>IF($N152="","",Sync!$L152)</f>
        <v/>
      </c>
      <c r="W152">
        <f>IF($N152="","",Sync!$P152)</f>
        <v/>
      </c>
      <c r="AA152">
        <f>IF($A152="","",IF(COUNTIF($A$6:$A152,$A152)=1,1,0))</f>
        <v/>
      </c>
      <c r="AB152">
        <f>SUM($AA$6:$AA152)</f>
        <v/>
      </c>
      <c r="AC152">
        <f>IFERROR(INDEX($A$6:$A$1005,MATCH(ROW()-5,$AB$6:$AB$1005,0)),"")</f>
        <v/>
      </c>
    </row>
    <row r="153">
      <c r="A153">
        <f>IF(OR(Entry!$B156="",Entry!$E156="",$E153="نامعتبر"),"",Entry!$E156)</f>
        <v/>
      </c>
      <c r="B153">
        <f>IF($A153="","",LEFT($E153,4)&amp;MID($E153,6,2)&amp;RIGHT($E153,2)&amp;$F153&amp;"|"&amp;"1"&amp;RIGHT("00000"&amp;148,5))</f>
        <v/>
      </c>
      <c r="C153">
        <f>IF($B153="","",COUNTIFS($A$6:$A$1005,$A153,$B$6:$B$1005,"&lt;"&amp;$B153)+COUNTIFS($N$6:$N$2005,$A153,$P$6:$P$2005,"&lt;"&amp;$B153)+1)</f>
        <v/>
      </c>
      <c r="D153">
        <f>IF($C153="","",$A153&amp;"|"&amp;RIGHT("000000"&amp;$C153,6))</f>
        <v/>
      </c>
      <c r="E153">
        <f>IF(Entry!$B156="","",IF(ISNUMBER(Entry!$B156),IF(AND(Entry!$B156&gt;=10000101,Entry!$B156&lt;=99991231),INT(Entry!$B156/10000)&amp;"/"&amp;RIGHT("00"&amp;INT(MOD(Entry!$B156,10000)/100),2)&amp;"/"&amp;RIGHT("00"&amp;MOD(Entry!$B156,100),2),"نامعتبر"),IF(LEN(Entry!$B156)=10,Entry!$B156,"نامعتبر")))</f>
        <v/>
      </c>
      <c r="F153">
        <f>IF(Entry!$B156="","",IF(Entry!$C156="","0000",IF(AND(ISNUMBER(Entry!$C156),Entry!$C156&gt;=0,Entry!$C156&lt;1),RIGHT("00"&amp;HOUR(Entry!$C156),2)&amp;RIGHT("00"&amp;MINUTE(Entry!$C156),2),IFERROR(RIGHT("00"&amp;VALUE(LEFT(Entry!$C156,FIND(":",Entry!$C156)-1)),2)&amp;RIGHT("00"&amp;VALUE(MID(Entry!$C156,FIND(":",Entry!$C156)+1,2)),2),"0000"))))</f>
        <v/>
      </c>
      <c r="G153">
        <f>IF($A153="","",Entry!$G156)</f>
        <v/>
      </c>
      <c r="H153">
        <f>IF($A153="","",IF(Entry!$H156="",0,Entry!$H156))</f>
        <v/>
      </c>
      <c r="I153">
        <f>IF($A153="","",IF(Entry!$I156="",0,Entry!$I156))</f>
        <v/>
      </c>
      <c r="J153">
        <f>IF($A153="","",ROUND($H153*$I153,0))</f>
        <v/>
      </c>
      <c r="K153">
        <f>IF($A153="","",Entry!$D156)</f>
        <v/>
      </c>
      <c r="L153">
        <f>IF($A153="","",Entry!$L156)</f>
        <v/>
      </c>
      <c r="N153">
        <f>IF(OR(Sync!$M153="",$Q153="",$Q153="نامعتبر"),"",Sync!$M153)</f>
        <v/>
      </c>
      <c r="O153">
        <f>IF($N153="","",$Q153)</f>
        <v/>
      </c>
      <c r="P153">
        <f>IF($N153="","",LEFT($Q153,4)&amp;MID($Q153,6,2)&amp;RIGHT($Q153,2)&amp;IF(Sync!$K153="","0000",IF(AND(ISNUMBER(Sync!$K153),Sync!$K153&gt;=0,Sync!$K153&lt;1),RIGHT("00"&amp;HOUR(Sync!$K153),2)&amp;RIGHT("00"&amp;MINUTE(Sync!$K153),2),IFERROR(RIGHT("00"&amp;VALUE(LEFT(Sync!$K153,FIND(":",Sync!$K153)-1)),2)&amp;RIGHT("00"&amp;VALUE(MID(Sync!$K153,FIND(":",Sync!$K153)+1,2)),2),"0000")))&amp;"|"&amp;"2"&amp;RIGHT("00000"&amp;148,5))</f>
        <v/>
      </c>
      <c r="Q153">
        <f>IF(Sync!$J153="","",IF(ISNUMBER(Sync!$J153),IF(AND(Sync!$J153&gt;=10000101,Sync!$J153&lt;=99991231),INT(Sync!$J153/10000)&amp;"/"&amp;RIGHT("00"&amp;INT(MOD(Sync!$J153,10000)/100),2)&amp;"/"&amp;RIGHT("00"&amp;MOD(Sync!$J153,100),2),"نامعتبر"),IF(LEN(Sync!$J153)=10,Sync!$J153,"نامعتبر")))</f>
        <v/>
      </c>
      <c r="R153">
        <f>IF($P153="","",COUNTIFS($N$6:$N$2005,$N153,$P$6:$P$2005,"&lt;"&amp;$P153)+COUNTIFS($A$6:$A$1005,$N153,$B$6:$B$1005,"&lt;"&amp;$P153)+1)</f>
        <v/>
      </c>
      <c r="S153">
        <f>IF($N153="","",$N153&amp;"|"&amp;RIGHT("000000"&amp;$R153,6))</f>
        <v/>
      </c>
      <c r="T153">
        <f>IF($N153="","",IF(Sync!$N153="",0,Sync!$N153))</f>
        <v/>
      </c>
      <c r="U153">
        <f>IF($N153="","",IF(Sync!$O153="",0,Sync!$O153))</f>
        <v/>
      </c>
      <c r="V153">
        <f>IF($N153="","",Sync!$L153)</f>
        <v/>
      </c>
      <c r="W153">
        <f>IF($N153="","",Sync!$P153)</f>
        <v/>
      </c>
      <c r="AA153">
        <f>IF($A153="","",IF(COUNTIF($A$6:$A153,$A153)=1,1,0))</f>
        <v/>
      </c>
      <c r="AB153">
        <f>SUM($AA$6:$AA153)</f>
        <v/>
      </c>
      <c r="AC153">
        <f>IFERROR(INDEX($A$6:$A$1005,MATCH(ROW()-5,$AB$6:$AB$1005,0)),"")</f>
        <v/>
      </c>
    </row>
    <row r="154">
      <c r="A154">
        <f>IF(OR(Entry!$B157="",Entry!$E157="",$E154="نامعتبر"),"",Entry!$E157)</f>
        <v/>
      </c>
      <c r="B154">
        <f>IF($A154="","",LEFT($E154,4)&amp;MID($E154,6,2)&amp;RIGHT($E154,2)&amp;$F154&amp;"|"&amp;"1"&amp;RIGHT("00000"&amp;149,5))</f>
        <v/>
      </c>
      <c r="C154">
        <f>IF($B154="","",COUNTIFS($A$6:$A$1005,$A154,$B$6:$B$1005,"&lt;"&amp;$B154)+COUNTIFS($N$6:$N$2005,$A154,$P$6:$P$2005,"&lt;"&amp;$B154)+1)</f>
        <v/>
      </c>
      <c r="D154">
        <f>IF($C154="","",$A154&amp;"|"&amp;RIGHT("000000"&amp;$C154,6))</f>
        <v/>
      </c>
      <c r="E154">
        <f>IF(Entry!$B157="","",IF(ISNUMBER(Entry!$B157),IF(AND(Entry!$B157&gt;=10000101,Entry!$B157&lt;=99991231),INT(Entry!$B157/10000)&amp;"/"&amp;RIGHT("00"&amp;INT(MOD(Entry!$B157,10000)/100),2)&amp;"/"&amp;RIGHT("00"&amp;MOD(Entry!$B157,100),2),"نامعتبر"),IF(LEN(Entry!$B157)=10,Entry!$B157,"نامعتبر")))</f>
        <v/>
      </c>
      <c r="F154">
        <f>IF(Entry!$B157="","",IF(Entry!$C157="","0000",IF(AND(ISNUMBER(Entry!$C157),Entry!$C157&gt;=0,Entry!$C157&lt;1),RIGHT("00"&amp;HOUR(Entry!$C157),2)&amp;RIGHT("00"&amp;MINUTE(Entry!$C157),2),IFERROR(RIGHT("00"&amp;VALUE(LEFT(Entry!$C157,FIND(":",Entry!$C157)-1)),2)&amp;RIGHT("00"&amp;VALUE(MID(Entry!$C157,FIND(":",Entry!$C157)+1,2)),2),"0000"))))</f>
        <v/>
      </c>
      <c r="G154">
        <f>IF($A154="","",Entry!$G157)</f>
        <v/>
      </c>
      <c r="H154">
        <f>IF($A154="","",IF(Entry!$H157="",0,Entry!$H157))</f>
        <v/>
      </c>
      <c r="I154">
        <f>IF($A154="","",IF(Entry!$I157="",0,Entry!$I157))</f>
        <v/>
      </c>
      <c r="J154">
        <f>IF($A154="","",ROUND($H154*$I154,0))</f>
        <v/>
      </c>
      <c r="K154">
        <f>IF($A154="","",Entry!$D157)</f>
        <v/>
      </c>
      <c r="L154">
        <f>IF($A154="","",Entry!$L157)</f>
        <v/>
      </c>
      <c r="N154">
        <f>IF(OR(Sync!$M154="",$Q154="",$Q154="نامعتبر"),"",Sync!$M154)</f>
        <v/>
      </c>
      <c r="O154">
        <f>IF($N154="","",$Q154)</f>
        <v/>
      </c>
      <c r="P154">
        <f>IF($N154="","",LEFT($Q154,4)&amp;MID($Q154,6,2)&amp;RIGHT($Q154,2)&amp;IF(Sync!$K154="","0000",IF(AND(ISNUMBER(Sync!$K154),Sync!$K154&gt;=0,Sync!$K154&lt;1),RIGHT("00"&amp;HOUR(Sync!$K154),2)&amp;RIGHT("00"&amp;MINUTE(Sync!$K154),2),IFERROR(RIGHT("00"&amp;VALUE(LEFT(Sync!$K154,FIND(":",Sync!$K154)-1)),2)&amp;RIGHT("00"&amp;VALUE(MID(Sync!$K154,FIND(":",Sync!$K154)+1,2)),2),"0000")))&amp;"|"&amp;"2"&amp;RIGHT("00000"&amp;149,5))</f>
        <v/>
      </c>
      <c r="Q154">
        <f>IF(Sync!$J154="","",IF(ISNUMBER(Sync!$J154),IF(AND(Sync!$J154&gt;=10000101,Sync!$J154&lt;=99991231),INT(Sync!$J154/10000)&amp;"/"&amp;RIGHT("00"&amp;INT(MOD(Sync!$J154,10000)/100),2)&amp;"/"&amp;RIGHT("00"&amp;MOD(Sync!$J154,100),2),"نامعتبر"),IF(LEN(Sync!$J154)=10,Sync!$J154,"نامعتبر")))</f>
        <v/>
      </c>
      <c r="R154">
        <f>IF($P154="","",COUNTIFS($N$6:$N$2005,$N154,$P$6:$P$2005,"&lt;"&amp;$P154)+COUNTIFS($A$6:$A$1005,$N154,$B$6:$B$1005,"&lt;"&amp;$P154)+1)</f>
        <v/>
      </c>
      <c r="S154">
        <f>IF($N154="","",$N154&amp;"|"&amp;RIGHT("000000"&amp;$R154,6))</f>
        <v/>
      </c>
      <c r="T154">
        <f>IF($N154="","",IF(Sync!$N154="",0,Sync!$N154))</f>
        <v/>
      </c>
      <c r="U154">
        <f>IF($N154="","",IF(Sync!$O154="",0,Sync!$O154))</f>
        <v/>
      </c>
      <c r="V154">
        <f>IF($N154="","",Sync!$L154)</f>
        <v/>
      </c>
      <c r="W154">
        <f>IF($N154="","",Sync!$P154)</f>
        <v/>
      </c>
      <c r="AA154">
        <f>IF($A154="","",IF(COUNTIF($A$6:$A154,$A154)=1,1,0))</f>
        <v/>
      </c>
      <c r="AB154">
        <f>SUM($AA$6:$AA154)</f>
        <v/>
      </c>
      <c r="AC154">
        <f>IFERROR(INDEX($A$6:$A$1005,MATCH(ROW()-5,$AB$6:$AB$1005,0)),"")</f>
        <v/>
      </c>
    </row>
    <row r="155">
      <c r="A155">
        <f>IF(OR(Entry!$B158="",Entry!$E158="",$E155="نامعتبر"),"",Entry!$E158)</f>
        <v/>
      </c>
      <c r="B155">
        <f>IF($A155="","",LEFT($E155,4)&amp;MID($E155,6,2)&amp;RIGHT($E155,2)&amp;$F155&amp;"|"&amp;"1"&amp;RIGHT("00000"&amp;150,5))</f>
        <v/>
      </c>
      <c r="C155">
        <f>IF($B155="","",COUNTIFS($A$6:$A$1005,$A155,$B$6:$B$1005,"&lt;"&amp;$B155)+COUNTIFS($N$6:$N$2005,$A155,$P$6:$P$2005,"&lt;"&amp;$B155)+1)</f>
        <v/>
      </c>
      <c r="D155">
        <f>IF($C155="","",$A155&amp;"|"&amp;RIGHT("000000"&amp;$C155,6))</f>
        <v/>
      </c>
      <c r="E155">
        <f>IF(Entry!$B158="","",IF(ISNUMBER(Entry!$B158),IF(AND(Entry!$B158&gt;=10000101,Entry!$B158&lt;=99991231),INT(Entry!$B158/10000)&amp;"/"&amp;RIGHT("00"&amp;INT(MOD(Entry!$B158,10000)/100),2)&amp;"/"&amp;RIGHT("00"&amp;MOD(Entry!$B158,100),2),"نامعتبر"),IF(LEN(Entry!$B158)=10,Entry!$B158,"نامعتبر")))</f>
        <v/>
      </c>
      <c r="F155">
        <f>IF(Entry!$B158="","",IF(Entry!$C158="","0000",IF(AND(ISNUMBER(Entry!$C158),Entry!$C158&gt;=0,Entry!$C158&lt;1),RIGHT("00"&amp;HOUR(Entry!$C158),2)&amp;RIGHT("00"&amp;MINUTE(Entry!$C158),2),IFERROR(RIGHT("00"&amp;VALUE(LEFT(Entry!$C158,FIND(":",Entry!$C158)-1)),2)&amp;RIGHT("00"&amp;VALUE(MID(Entry!$C158,FIND(":",Entry!$C158)+1,2)),2),"0000"))))</f>
        <v/>
      </c>
      <c r="G155">
        <f>IF($A155="","",Entry!$G158)</f>
        <v/>
      </c>
      <c r="H155">
        <f>IF($A155="","",IF(Entry!$H158="",0,Entry!$H158))</f>
        <v/>
      </c>
      <c r="I155">
        <f>IF($A155="","",IF(Entry!$I158="",0,Entry!$I158))</f>
        <v/>
      </c>
      <c r="J155">
        <f>IF($A155="","",ROUND($H155*$I155,0))</f>
        <v/>
      </c>
      <c r="K155">
        <f>IF($A155="","",Entry!$D158)</f>
        <v/>
      </c>
      <c r="L155">
        <f>IF($A155="","",Entry!$L158)</f>
        <v/>
      </c>
      <c r="N155">
        <f>IF(OR(Sync!$M155="",$Q155="",$Q155="نامعتبر"),"",Sync!$M155)</f>
        <v/>
      </c>
      <c r="O155">
        <f>IF($N155="","",$Q155)</f>
        <v/>
      </c>
      <c r="P155">
        <f>IF($N155="","",LEFT($Q155,4)&amp;MID($Q155,6,2)&amp;RIGHT($Q155,2)&amp;IF(Sync!$K155="","0000",IF(AND(ISNUMBER(Sync!$K155),Sync!$K155&gt;=0,Sync!$K155&lt;1),RIGHT("00"&amp;HOUR(Sync!$K155),2)&amp;RIGHT("00"&amp;MINUTE(Sync!$K155),2),IFERROR(RIGHT("00"&amp;VALUE(LEFT(Sync!$K155,FIND(":",Sync!$K155)-1)),2)&amp;RIGHT("00"&amp;VALUE(MID(Sync!$K155,FIND(":",Sync!$K155)+1,2)),2),"0000")))&amp;"|"&amp;"2"&amp;RIGHT("00000"&amp;150,5))</f>
        <v/>
      </c>
      <c r="Q155">
        <f>IF(Sync!$J155="","",IF(ISNUMBER(Sync!$J155),IF(AND(Sync!$J155&gt;=10000101,Sync!$J155&lt;=99991231),INT(Sync!$J155/10000)&amp;"/"&amp;RIGHT("00"&amp;INT(MOD(Sync!$J155,10000)/100),2)&amp;"/"&amp;RIGHT("00"&amp;MOD(Sync!$J155,100),2),"نامعتبر"),IF(LEN(Sync!$J155)=10,Sync!$J155,"نامعتبر")))</f>
        <v/>
      </c>
      <c r="R155">
        <f>IF($P155="","",COUNTIFS($N$6:$N$2005,$N155,$P$6:$P$2005,"&lt;"&amp;$P155)+COUNTIFS($A$6:$A$1005,$N155,$B$6:$B$1005,"&lt;"&amp;$P155)+1)</f>
        <v/>
      </c>
      <c r="S155">
        <f>IF($N155="","",$N155&amp;"|"&amp;RIGHT("000000"&amp;$R155,6))</f>
        <v/>
      </c>
      <c r="T155">
        <f>IF($N155="","",IF(Sync!$N155="",0,Sync!$N155))</f>
        <v/>
      </c>
      <c r="U155">
        <f>IF($N155="","",IF(Sync!$O155="",0,Sync!$O155))</f>
        <v/>
      </c>
      <c r="V155">
        <f>IF($N155="","",Sync!$L155)</f>
        <v/>
      </c>
      <c r="W155">
        <f>IF($N155="","",Sync!$P155)</f>
        <v/>
      </c>
      <c r="AA155">
        <f>IF($A155="","",IF(COUNTIF($A$6:$A155,$A155)=1,1,0))</f>
        <v/>
      </c>
      <c r="AB155">
        <f>SUM($AA$6:$AA155)</f>
        <v/>
      </c>
      <c r="AC155">
        <f>IFERROR(INDEX($A$6:$A$1005,MATCH(ROW()-5,$AB$6:$AB$1005,0)),"")</f>
        <v/>
      </c>
    </row>
    <row r="156">
      <c r="A156">
        <f>IF(OR(Entry!$B159="",Entry!$E159="",$E156="نامعتبر"),"",Entry!$E159)</f>
        <v/>
      </c>
      <c r="B156">
        <f>IF($A156="","",LEFT($E156,4)&amp;MID($E156,6,2)&amp;RIGHT($E156,2)&amp;$F156&amp;"|"&amp;"1"&amp;RIGHT("00000"&amp;151,5))</f>
        <v/>
      </c>
      <c r="C156">
        <f>IF($B156="","",COUNTIFS($A$6:$A$1005,$A156,$B$6:$B$1005,"&lt;"&amp;$B156)+COUNTIFS($N$6:$N$2005,$A156,$P$6:$P$2005,"&lt;"&amp;$B156)+1)</f>
        <v/>
      </c>
      <c r="D156">
        <f>IF($C156="","",$A156&amp;"|"&amp;RIGHT("000000"&amp;$C156,6))</f>
        <v/>
      </c>
      <c r="E156">
        <f>IF(Entry!$B159="","",IF(ISNUMBER(Entry!$B159),IF(AND(Entry!$B159&gt;=10000101,Entry!$B159&lt;=99991231),INT(Entry!$B159/10000)&amp;"/"&amp;RIGHT("00"&amp;INT(MOD(Entry!$B159,10000)/100),2)&amp;"/"&amp;RIGHT("00"&amp;MOD(Entry!$B159,100),2),"نامعتبر"),IF(LEN(Entry!$B159)=10,Entry!$B159,"نامعتبر")))</f>
        <v/>
      </c>
      <c r="F156">
        <f>IF(Entry!$B159="","",IF(Entry!$C159="","0000",IF(AND(ISNUMBER(Entry!$C159),Entry!$C159&gt;=0,Entry!$C159&lt;1),RIGHT("00"&amp;HOUR(Entry!$C159),2)&amp;RIGHT("00"&amp;MINUTE(Entry!$C159),2),IFERROR(RIGHT("00"&amp;VALUE(LEFT(Entry!$C159,FIND(":",Entry!$C159)-1)),2)&amp;RIGHT("00"&amp;VALUE(MID(Entry!$C159,FIND(":",Entry!$C159)+1,2)),2),"0000"))))</f>
        <v/>
      </c>
      <c r="G156">
        <f>IF($A156="","",Entry!$G159)</f>
        <v/>
      </c>
      <c r="H156">
        <f>IF($A156="","",IF(Entry!$H159="",0,Entry!$H159))</f>
        <v/>
      </c>
      <c r="I156">
        <f>IF($A156="","",IF(Entry!$I159="",0,Entry!$I159))</f>
        <v/>
      </c>
      <c r="J156">
        <f>IF($A156="","",ROUND($H156*$I156,0))</f>
        <v/>
      </c>
      <c r="K156">
        <f>IF($A156="","",Entry!$D159)</f>
        <v/>
      </c>
      <c r="L156">
        <f>IF($A156="","",Entry!$L159)</f>
        <v/>
      </c>
      <c r="N156">
        <f>IF(OR(Sync!$M156="",$Q156="",$Q156="نامعتبر"),"",Sync!$M156)</f>
        <v/>
      </c>
      <c r="O156">
        <f>IF($N156="","",$Q156)</f>
        <v/>
      </c>
      <c r="P156">
        <f>IF($N156="","",LEFT($Q156,4)&amp;MID($Q156,6,2)&amp;RIGHT($Q156,2)&amp;IF(Sync!$K156="","0000",IF(AND(ISNUMBER(Sync!$K156),Sync!$K156&gt;=0,Sync!$K156&lt;1),RIGHT("00"&amp;HOUR(Sync!$K156),2)&amp;RIGHT("00"&amp;MINUTE(Sync!$K156),2),IFERROR(RIGHT("00"&amp;VALUE(LEFT(Sync!$K156,FIND(":",Sync!$K156)-1)),2)&amp;RIGHT("00"&amp;VALUE(MID(Sync!$K156,FIND(":",Sync!$K156)+1,2)),2),"0000")))&amp;"|"&amp;"2"&amp;RIGHT("00000"&amp;151,5))</f>
        <v/>
      </c>
      <c r="Q156">
        <f>IF(Sync!$J156="","",IF(ISNUMBER(Sync!$J156),IF(AND(Sync!$J156&gt;=10000101,Sync!$J156&lt;=99991231),INT(Sync!$J156/10000)&amp;"/"&amp;RIGHT("00"&amp;INT(MOD(Sync!$J156,10000)/100),2)&amp;"/"&amp;RIGHT("00"&amp;MOD(Sync!$J156,100),2),"نامعتبر"),IF(LEN(Sync!$J156)=10,Sync!$J156,"نامعتبر")))</f>
        <v/>
      </c>
      <c r="R156">
        <f>IF($P156="","",COUNTIFS($N$6:$N$2005,$N156,$P$6:$P$2005,"&lt;"&amp;$P156)+COUNTIFS($A$6:$A$1005,$N156,$B$6:$B$1005,"&lt;"&amp;$P156)+1)</f>
        <v/>
      </c>
      <c r="S156">
        <f>IF($N156="","",$N156&amp;"|"&amp;RIGHT("000000"&amp;$R156,6))</f>
        <v/>
      </c>
      <c r="T156">
        <f>IF($N156="","",IF(Sync!$N156="",0,Sync!$N156))</f>
        <v/>
      </c>
      <c r="U156">
        <f>IF($N156="","",IF(Sync!$O156="",0,Sync!$O156))</f>
        <v/>
      </c>
      <c r="V156">
        <f>IF($N156="","",Sync!$L156)</f>
        <v/>
      </c>
      <c r="W156">
        <f>IF($N156="","",Sync!$P156)</f>
        <v/>
      </c>
      <c r="AA156">
        <f>IF($A156="","",IF(COUNTIF($A$6:$A156,$A156)=1,1,0))</f>
        <v/>
      </c>
      <c r="AB156">
        <f>SUM($AA$6:$AA156)</f>
        <v/>
      </c>
      <c r="AC156">
        <f>IFERROR(INDEX($A$6:$A$1005,MATCH(ROW()-5,$AB$6:$AB$1005,0)),"")</f>
        <v/>
      </c>
    </row>
    <row r="157">
      <c r="A157">
        <f>IF(OR(Entry!$B160="",Entry!$E160="",$E157="نامعتبر"),"",Entry!$E160)</f>
        <v/>
      </c>
      <c r="B157">
        <f>IF($A157="","",LEFT($E157,4)&amp;MID($E157,6,2)&amp;RIGHT($E157,2)&amp;$F157&amp;"|"&amp;"1"&amp;RIGHT("00000"&amp;152,5))</f>
        <v/>
      </c>
      <c r="C157">
        <f>IF($B157="","",COUNTIFS($A$6:$A$1005,$A157,$B$6:$B$1005,"&lt;"&amp;$B157)+COUNTIFS($N$6:$N$2005,$A157,$P$6:$P$2005,"&lt;"&amp;$B157)+1)</f>
        <v/>
      </c>
      <c r="D157">
        <f>IF($C157="","",$A157&amp;"|"&amp;RIGHT("000000"&amp;$C157,6))</f>
        <v/>
      </c>
      <c r="E157">
        <f>IF(Entry!$B160="","",IF(ISNUMBER(Entry!$B160),IF(AND(Entry!$B160&gt;=10000101,Entry!$B160&lt;=99991231),INT(Entry!$B160/10000)&amp;"/"&amp;RIGHT("00"&amp;INT(MOD(Entry!$B160,10000)/100),2)&amp;"/"&amp;RIGHT("00"&amp;MOD(Entry!$B160,100),2),"نامعتبر"),IF(LEN(Entry!$B160)=10,Entry!$B160,"نامعتبر")))</f>
        <v/>
      </c>
      <c r="F157">
        <f>IF(Entry!$B160="","",IF(Entry!$C160="","0000",IF(AND(ISNUMBER(Entry!$C160),Entry!$C160&gt;=0,Entry!$C160&lt;1),RIGHT("00"&amp;HOUR(Entry!$C160),2)&amp;RIGHT("00"&amp;MINUTE(Entry!$C160),2),IFERROR(RIGHT("00"&amp;VALUE(LEFT(Entry!$C160,FIND(":",Entry!$C160)-1)),2)&amp;RIGHT("00"&amp;VALUE(MID(Entry!$C160,FIND(":",Entry!$C160)+1,2)),2),"0000"))))</f>
        <v/>
      </c>
      <c r="G157">
        <f>IF($A157="","",Entry!$G160)</f>
        <v/>
      </c>
      <c r="H157">
        <f>IF($A157="","",IF(Entry!$H160="",0,Entry!$H160))</f>
        <v/>
      </c>
      <c r="I157">
        <f>IF($A157="","",IF(Entry!$I160="",0,Entry!$I160))</f>
        <v/>
      </c>
      <c r="J157">
        <f>IF($A157="","",ROUND($H157*$I157,0))</f>
        <v/>
      </c>
      <c r="K157">
        <f>IF($A157="","",Entry!$D160)</f>
        <v/>
      </c>
      <c r="L157">
        <f>IF($A157="","",Entry!$L160)</f>
        <v/>
      </c>
      <c r="N157">
        <f>IF(OR(Sync!$M157="",$Q157="",$Q157="نامعتبر"),"",Sync!$M157)</f>
        <v/>
      </c>
      <c r="O157">
        <f>IF($N157="","",$Q157)</f>
        <v/>
      </c>
      <c r="P157">
        <f>IF($N157="","",LEFT($Q157,4)&amp;MID($Q157,6,2)&amp;RIGHT($Q157,2)&amp;IF(Sync!$K157="","0000",IF(AND(ISNUMBER(Sync!$K157),Sync!$K157&gt;=0,Sync!$K157&lt;1),RIGHT("00"&amp;HOUR(Sync!$K157),2)&amp;RIGHT("00"&amp;MINUTE(Sync!$K157),2),IFERROR(RIGHT("00"&amp;VALUE(LEFT(Sync!$K157,FIND(":",Sync!$K157)-1)),2)&amp;RIGHT("00"&amp;VALUE(MID(Sync!$K157,FIND(":",Sync!$K157)+1,2)),2),"0000")))&amp;"|"&amp;"2"&amp;RIGHT("00000"&amp;152,5))</f>
        <v/>
      </c>
      <c r="Q157">
        <f>IF(Sync!$J157="","",IF(ISNUMBER(Sync!$J157),IF(AND(Sync!$J157&gt;=10000101,Sync!$J157&lt;=99991231),INT(Sync!$J157/10000)&amp;"/"&amp;RIGHT("00"&amp;INT(MOD(Sync!$J157,10000)/100),2)&amp;"/"&amp;RIGHT("00"&amp;MOD(Sync!$J157,100),2),"نامعتبر"),IF(LEN(Sync!$J157)=10,Sync!$J157,"نامعتبر")))</f>
        <v/>
      </c>
      <c r="R157">
        <f>IF($P157="","",COUNTIFS($N$6:$N$2005,$N157,$P$6:$P$2005,"&lt;"&amp;$P157)+COUNTIFS($A$6:$A$1005,$N157,$B$6:$B$1005,"&lt;"&amp;$P157)+1)</f>
        <v/>
      </c>
      <c r="S157">
        <f>IF($N157="","",$N157&amp;"|"&amp;RIGHT("000000"&amp;$R157,6))</f>
        <v/>
      </c>
      <c r="T157">
        <f>IF($N157="","",IF(Sync!$N157="",0,Sync!$N157))</f>
        <v/>
      </c>
      <c r="U157">
        <f>IF($N157="","",IF(Sync!$O157="",0,Sync!$O157))</f>
        <v/>
      </c>
      <c r="V157">
        <f>IF($N157="","",Sync!$L157)</f>
        <v/>
      </c>
      <c r="W157">
        <f>IF($N157="","",Sync!$P157)</f>
        <v/>
      </c>
      <c r="AA157">
        <f>IF($A157="","",IF(COUNTIF($A$6:$A157,$A157)=1,1,0))</f>
        <v/>
      </c>
      <c r="AB157">
        <f>SUM($AA$6:$AA157)</f>
        <v/>
      </c>
      <c r="AC157">
        <f>IFERROR(INDEX($A$6:$A$1005,MATCH(ROW()-5,$AB$6:$AB$1005,0)),"")</f>
        <v/>
      </c>
    </row>
    <row r="158">
      <c r="A158">
        <f>IF(OR(Entry!$B161="",Entry!$E161="",$E158="نامعتبر"),"",Entry!$E161)</f>
        <v/>
      </c>
      <c r="B158">
        <f>IF($A158="","",LEFT($E158,4)&amp;MID($E158,6,2)&amp;RIGHT($E158,2)&amp;$F158&amp;"|"&amp;"1"&amp;RIGHT("00000"&amp;153,5))</f>
        <v/>
      </c>
      <c r="C158">
        <f>IF($B158="","",COUNTIFS($A$6:$A$1005,$A158,$B$6:$B$1005,"&lt;"&amp;$B158)+COUNTIFS($N$6:$N$2005,$A158,$P$6:$P$2005,"&lt;"&amp;$B158)+1)</f>
        <v/>
      </c>
      <c r="D158">
        <f>IF($C158="","",$A158&amp;"|"&amp;RIGHT("000000"&amp;$C158,6))</f>
        <v/>
      </c>
      <c r="E158">
        <f>IF(Entry!$B161="","",IF(ISNUMBER(Entry!$B161),IF(AND(Entry!$B161&gt;=10000101,Entry!$B161&lt;=99991231),INT(Entry!$B161/10000)&amp;"/"&amp;RIGHT("00"&amp;INT(MOD(Entry!$B161,10000)/100),2)&amp;"/"&amp;RIGHT("00"&amp;MOD(Entry!$B161,100),2),"نامعتبر"),IF(LEN(Entry!$B161)=10,Entry!$B161,"نامعتبر")))</f>
        <v/>
      </c>
      <c r="F158">
        <f>IF(Entry!$B161="","",IF(Entry!$C161="","0000",IF(AND(ISNUMBER(Entry!$C161),Entry!$C161&gt;=0,Entry!$C161&lt;1),RIGHT("00"&amp;HOUR(Entry!$C161),2)&amp;RIGHT("00"&amp;MINUTE(Entry!$C161),2),IFERROR(RIGHT("00"&amp;VALUE(LEFT(Entry!$C161,FIND(":",Entry!$C161)-1)),2)&amp;RIGHT("00"&amp;VALUE(MID(Entry!$C161,FIND(":",Entry!$C161)+1,2)),2),"0000"))))</f>
        <v/>
      </c>
      <c r="G158">
        <f>IF($A158="","",Entry!$G161)</f>
        <v/>
      </c>
      <c r="H158">
        <f>IF($A158="","",IF(Entry!$H161="",0,Entry!$H161))</f>
        <v/>
      </c>
      <c r="I158">
        <f>IF($A158="","",IF(Entry!$I161="",0,Entry!$I161))</f>
        <v/>
      </c>
      <c r="J158">
        <f>IF($A158="","",ROUND($H158*$I158,0))</f>
        <v/>
      </c>
      <c r="K158">
        <f>IF($A158="","",Entry!$D161)</f>
        <v/>
      </c>
      <c r="L158">
        <f>IF($A158="","",Entry!$L161)</f>
        <v/>
      </c>
      <c r="N158">
        <f>IF(OR(Sync!$M158="",$Q158="",$Q158="نامعتبر"),"",Sync!$M158)</f>
        <v/>
      </c>
      <c r="O158">
        <f>IF($N158="","",$Q158)</f>
        <v/>
      </c>
      <c r="P158">
        <f>IF($N158="","",LEFT($Q158,4)&amp;MID($Q158,6,2)&amp;RIGHT($Q158,2)&amp;IF(Sync!$K158="","0000",IF(AND(ISNUMBER(Sync!$K158),Sync!$K158&gt;=0,Sync!$K158&lt;1),RIGHT("00"&amp;HOUR(Sync!$K158),2)&amp;RIGHT("00"&amp;MINUTE(Sync!$K158),2),IFERROR(RIGHT("00"&amp;VALUE(LEFT(Sync!$K158,FIND(":",Sync!$K158)-1)),2)&amp;RIGHT("00"&amp;VALUE(MID(Sync!$K158,FIND(":",Sync!$K158)+1,2)),2),"0000")))&amp;"|"&amp;"2"&amp;RIGHT("00000"&amp;153,5))</f>
        <v/>
      </c>
      <c r="Q158">
        <f>IF(Sync!$J158="","",IF(ISNUMBER(Sync!$J158),IF(AND(Sync!$J158&gt;=10000101,Sync!$J158&lt;=99991231),INT(Sync!$J158/10000)&amp;"/"&amp;RIGHT("00"&amp;INT(MOD(Sync!$J158,10000)/100),2)&amp;"/"&amp;RIGHT("00"&amp;MOD(Sync!$J158,100),2),"نامعتبر"),IF(LEN(Sync!$J158)=10,Sync!$J158,"نامعتبر")))</f>
        <v/>
      </c>
      <c r="R158">
        <f>IF($P158="","",COUNTIFS($N$6:$N$2005,$N158,$P$6:$P$2005,"&lt;"&amp;$P158)+COUNTIFS($A$6:$A$1005,$N158,$B$6:$B$1005,"&lt;"&amp;$P158)+1)</f>
        <v/>
      </c>
      <c r="S158">
        <f>IF($N158="","",$N158&amp;"|"&amp;RIGHT("000000"&amp;$R158,6))</f>
        <v/>
      </c>
      <c r="T158">
        <f>IF($N158="","",IF(Sync!$N158="",0,Sync!$N158))</f>
        <v/>
      </c>
      <c r="U158">
        <f>IF($N158="","",IF(Sync!$O158="",0,Sync!$O158))</f>
        <v/>
      </c>
      <c r="V158">
        <f>IF($N158="","",Sync!$L158)</f>
        <v/>
      </c>
      <c r="W158">
        <f>IF($N158="","",Sync!$P158)</f>
        <v/>
      </c>
      <c r="AA158">
        <f>IF($A158="","",IF(COUNTIF($A$6:$A158,$A158)=1,1,0))</f>
        <v/>
      </c>
      <c r="AB158">
        <f>SUM($AA$6:$AA158)</f>
        <v/>
      </c>
      <c r="AC158">
        <f>IFERROR(INDEX($A$6:$A$1005,MATCH(ROW()-5,$AB$6:$AB$1005,0)),"")</f>
        <v/>
      </c>
    </row>
    <row r="159">
      <c r="A159">
        <f>IF(OR(Entry!$B162="",Entry!$E162="",$E159="نامعتبر"),"",Entry!$E162)</f>
        <v/>
      </c>
      <c r="B159">
        <f>IF($A159="","",LEFT($E159,4)&amp;MID($E159,6,2)&amp;RIGHT($E159,2)&amp;$F159&amp;"|"&amp;"1"&amp;RIGHT("00000"&amp;154,5))</f>
        <v/>
      </c>
      <c r="C159">
        <f>IF($B159="","",COUNTIFS($A$6:$A$1005,$A159,$B$6:$B$1005,"&lt;"&amp;$B159)+COUNTIFS($N$6:$N$2005,$A159,$P$6:$P$2005,"&lt;"&amp;$B159)+1)</f>
        <v/>
      </c>
      <c r="D159">
        <f>IF($C159="","",$A159&amp;"|"&amp;RIGHT("000000"&amp;$C159,6))</f>
        <v/>
      </c>
      <c r="E159">
        <f>IF(Entry!$B162="","",IF(ISNUMBER(Entry!$B162),IF(AND(Entry!$B162&gt;=10000101,Entry!$B162&lt;=99991231),INT(Entry!$B162/10000)&amp;"/"&amp;RIGHT("00"&amp;INT(MOD(Entry!$B162,10000)/100),2)&amp;"/"&amp;RIGHT("00"&amp;MOD(Entry!$B162,100),2),"نامعتبر"),IF(LEN(Entry!$B162)=10,Entry!$B162,"نامعتبر")))</f>
        <v/>
      </c>
      <c r="F159">
        <f>IF(Entry!$B162="","",IF(Entry!$C162="","0000",IF(AND(ISNUMBER(Entry!$C162),Entry!$C162&gt;=0,Entry!$C162&lt;1),RIGHT("00"&amp;HOUR(Entry!$C162),2)&amp;RIGHT("00"&amp;MINUTE(Entry!$C162),2),IFERROR(RIGHT("00"&amp;VALUE(LEFT(Entry!$C162,FIND(":",Entry!$C162)-1)),2)&amp;RIGHT("00"&amp;VALUE(MID(Entry!$C162,FIND(":",Entry!$C162)+1,2)),2),"0000"))))</f>
        <v/>
      </c>
      <c r="G159">
        <f>IF($A159="","",Entry!$G162)</f>
        <v/>
      </c>
      <c r="H159">
        <f>IF($A159="","",IF(Entry!$H162="",0,Entry!$H162))</f>
        <v/>
      </c>
      <c r="I159">
        <f>IF($A159="","",IF(Entry!$I162="",0,Entry!$I162))</f>
        <v/>
      </c>
      <c r="J159">
        <f>IF($A159="","",ROUND($H159*$I159,0))</f>
        <v/>
      </c>
      <c r="K159">
        <f>IF($A159="","",Entry!$D162)</f>
        <v/>
      </c>
      <c r="L159">
        <f>IF($A159="","",Entry!$L162)</f>
        <v/>
      </c>
      <c r="N159">
        <f>IF(OR(Sync!$M159="",$Q159="",$Q159="نامعتبر"),"",Sync!$M159)</f>
        <v/>
      </c>
      <c r="O159">
        <f>IF($N159="","",$Q159)</f>
        <v/>
      </c>
      <c r="P159">
        <f>IF($N159="","",LEFT($Q159,4)&amp;MID($Q159,6,2)&amp;RIGHT($Q159,2)&amp;IF(Sync!$K159="","0000",IF(AND(ISNUMBER(Sync!$K159),Sync!$K159&gt;=0,Sync!$K159&lt;1),RIGHT("00"&amp;HOUR(Sync!$K159),2)&amp;RIGHT("00"&amp;MINUTE(Sync!$K159),2),IFERROR(RIGHT("00"&amp;VALUE(LEFT(Sync!$K159,FIND(":",Sync!$K159)-1)),2)&amp;RIGHT("00"&amp;VALUE(MID(Sync!$K159,FIND(":",Sync!$K159)+1,2)),2),"0000")))&amp;"|"&amp;"2"&amp;RIGHT("00000"&amp;154,5))</f>
        <v/>
      </c>
      <c r="Q159">
        <f>IF(Sync!$J159="","",IF(ISNUMBER(Sync!$J159),IF(AND(Sync!$J159&gt;=10000101,Sync!$J159&lt;=99991231),INT(Sync!$J159/10000)&amp;"/"&amp;RIGHT("00"&amp;INT(MOD(Sync!$J159,10000)/100),2)&amp;"/"&amp;RIGHT("00"&amp;MOD(Sync!$J159,100),2),"نامعتبر"),IF(LEN(Sync!$J159)=10,Sync!$J159,"نامعتبر")))</f>
        <v/>
      </c>
      <c r="R159">
        <f>IF($P159="","",COUNTIFS($N$6:$N$2005,$N159,$P$6:$P$2005,"&lt;"&amp;$P159)+COUNTIFS($A$6:$A$1005,$N159,$B$6:$B$1005,"&lt;"&amp;$P159)+1)</f>
        <v/>
      </c>
      <c r="S159">
        <f>IF($N159="","",$N159&amp;"|"&amp;RIGHT("000000"&amp;$R159,6))</f>
        <v/>
      </c>
      <c r="T159">
        <f>IF($N159="","",IF(Sync!$N159="",0,Sync!$N159))</f>
        <v/>
      </c>
      <c r="U159">
        <f>IF($N159="","",IF(Sync!$O159="",0,Sync!$O159))</f>
        <v/>
      </c>
      <c r="V159">
        <f>IF($N159="","",Sync!$L159)</f>
        <v/>
      </c>
      <c r="W159">
        <f>IF($N159="","",Sync!$P159)</f>
        <v/>
      </c>
      <c r="AA159">
        <f>IF($A159="","",IF(COUNTIF($A$6:$A159,$A159)=1,1,0))</f>
        <v/>
      </c>
      <c r="AB159">
        <f>SUM($AA$6:$AA159)</f>
        <v/>
      </c>
      <c r="AC159">
        <f>IFERROR(INDEX($A$6:$A$1005,MATCH(ROW()-5,$AB$6:$AB$1005,0)),"")</f>
        <v/>
      </c>
    </row>
    <row r="160">
      <c r="A160">
        <f>IF(OR(Entry!$B163="",Entry!$E163="",$E160="نامعتبر"),"",Entry!$E163)</f>
        <v/>
      </c>
      <c r="B160">
        <f>IF($A160="","",LEFT($E160,4)&amp;MID($E160,6,2)&amp;RIGHT($E160,2)&amp;$F160&amp;"|"&amp;"1"&amp;RIGHT("00000"&amp;155,5))</f>
        <v/>
      </c>
      <c r="C160">
        <f>IF($B160="","",COUNTIFS($A$6:$A$1005,$A160,$B$6:$B$1005,"&lt;"&amp;$B160)+COUNTIFS($N$6:$N$2005,$A160,$P$6:$P$2005,"&lt;"&amp;$B160)+1)</f>
        <v/>
      </c>
      <c r="D160">
        <f>IF($C160="","",$A160&amp;"|"&amp;RIGHT("000000"&amp;$C160,6))</f>
        <v/>
      </c>
      <c r="E160">
        <f>IF(Entry!$B163="","",IF(ISNUMBER(Entry!$B163),IF(AND(Entry!$B163&gt;=10000101,Entry!$B163&lt;=99991231),INT(Entry!$B163/10000)&amp;"/"&amp;RIGHT("00"&amp;INT(MOD(Entry!$B163,10000)/100),2)&amp;"/"&amp;RIGHT("00"&amp;MOD(Entry!$B163,100),2),"نامعتبر"),IF(LEN(Entry!$B163)=10,Entry!$B163,"نامعتبر")))</f>
        <v/>
      </c>
      <c r="F160">
        <f>IF(Entry!$B163="","",IF(Entry!$C163="","0000",IF(AND(ISNUMBER(Entry!$C163),Entry!$C163&gt;=0,Entry!$C163&lt;1),RIGHT("00"&amp;HOUR(Entry!$C163),2)&amp;RIGHT("00"&amp;MINUTE(Entry!$C163),2),IFERROR(RIGHT("00"&amp;VALUE(LEFT(Entry!$C163,FIND(":",Entry!$C163)-1)),2)&amp;RIGHT("00"&amp;VALUE(MID(Entry!$C163,FIND(":",Entry!$C163)+1,2)),2),"0000"))))</f>
        <v/>
      </c>
      <c r="G160">
        <f>IF($A160="","",Entry!$G163)</f>
        <v/>
      </c>
      <c r="H160">
        <f>IF($A160="","",IF(Entry!$H163="",0,Entry!$H163))</f>
        <v/>
      </c>
      <c r="I160">
        <f>IF($A160="","",IF(Entry!$I163="",0,Entry!$I163))</f>
        <v/>
      </c>
      <c r="J160">
        <f>IF($A160="","",ROUND($H160*$I160,0))</f>
        <v/>
      </c>
      <c r="K160">
        <f>IF($A160="","",Entry!$D163)</f>
        <v/>
      </c>
      <c r="L160">
        <f>IF($A160="","",Entry!$L163)</f>
        <v/>
      </c>
      <c r="N160">
        <f>IF(OR(Sync!$M160="",$Q160="",$Q160="نامعتبر"),"",Sync!$M160)</f>
        <v/>
      </c>
      <c r="O160">
        <f>IF($N160="","",$Q160)</f>
        <v/>
      </c>
      <c r="P160">
        <f>IF($N160="","",LEFT($Q160,4)&amp;MID($Q160,6,2)&amp;RIGHT($Q160,2)&amp;IF(Sync!$K160="","0000",IF(AND(ISNUMBER(Sync!$K160),Sync!$K160&gt;=0,Sync!$K160&lt;1),RIGHT("00"&amp;HOUR(Sync!$K160),2)&amp;RIGHT("00"&amp;MINUTE(Sync!$K160),2),IFERROR(RIGHT("00"&amp;VALUE(LEFT(Sync!$K160,FIND(":",Sync!$K160)-1)),2)&amp;RIGHT("00"&amp;VALUE(MID(Sync!$K160,FIND(":",Sync!$K160)+1,2)),2),"0000")))&amp;"|"&amp;"2"&amp;RIGHT("00000"&amp;155,5))</f>
        <v/>
      </c>
      <c r="Q160">
        <f>IF(Sync!$J160="","",IF(ISNUMBER(Sync!$J160),IF(AND(Sync!$J160&gt;=10000101,Sync!$J160&lt;=99991231),INT(Sync!$J160/10000)&amp;"/"&amp;RIGHT("00"&amp;INT(MOD(Sync!$J160,10000)/100),2)&amp;"/"&amp;RIGHT("00"&amp;MOD(Sync!$J160,100),2),"نامعتبر"),IF(LEN(Sync!$J160)=10,Sync!$J160,"نامعتبر")))</f>
        <v/>
      </c>
      <c r="R160">
        <f>IF($P160="","",COUNTIFS($N$6:$N$2005,$N160,$P$6:$P$2005,"&lt;"&amp;$P160)+COUNTIFS($A$6:$A$1005,$N160,$B$6:$B$1005,"&lt;"&amp;$P160)+1)</f>
        <v/>
      </c>
      <c r="S160">
        <f>IF($N160="","",$N160&amp;"|"&amp;RIGHT("000000"&amp;$R160,6))</f>
        <v/>
      </c>
      <c r="T160">
        <f>IF($N160="","",IF(Sync!$N160="",0,Sync!$N160))</f>
        <v/>
      </c>
      <c r="U160">
        <f>IF($N160="","",IF(Sync!$O160="",0,Sync!$O160))</f>
        <v/>
      </c>
      <c r="V160">
        <f>IF($N160="","",Sync!$L160)</f>
        <v/>
      </c>
      <c r="W160">
        <f>IF($N160="","",Sync!$P160)</f>
        <v/>
      </c>
      <c r="AA160">
        <f>IF($A160="","",IF(COUNTIF($A$6:$A160,$A160)=1,1,0))</f>
        <v/>
      </c>
      <c r="AB160">
        <f>SUM($AA$6:$AA160)</f>
        <v/>
      </c>
      <c r="AC160">
        <f>IFERROR(INDEX($A$6:$A$1005,MATCH(ROW()-5,$AB$6:$AB$1005,0)),"")</f>
        <v/>
      </c>
    </row>
    <row r="161">
      <c r="A161">
        <f>IF(OR(Entry!$B164="",Entry!$E164="",$E161="نامعتبر"),"",Entry!$E164)</f>
        <v/>
      </c>
      <c r="B161">
        <f>IF($A161="","",LEFT($E161,4)&amp;MID($E161,6,2)&amp;RIGHT($E161,2)&amp;$F161&amp;"|"&amp;"1"&amp;RIGHT("00000"&amp;156,5))</f>
        <v/>
      </c>
      <c r="C161">
        <f>IF($B161="","",COUNTIFS($A$6:$A$1005,$A161,$B$6:$B$1005,"&lt;"&amp;$B161)+COUNTIFS($N$6:$N$2005,$A161,$P$6:$P$2005,"&lt;"&amp;$B161)+1)</f>
        <v/>
      </c>
      <c r="D161">
        <f>IF($C161="","",$A161&amp;"|"&amp;RIGHT("000000"&amp;$C161,6))</f>
        <v/>
      </c>
      <c r="E161">
        <f>IF(Entry!$B164="","",IF(ISNUMBER(Entry!$B164),IF(AND(Entry!$B164&gt;=10000101,Entry!$B164&lt;=99991231),INT(Entry!$B164/10000)&amp;"/"&amp;RIGHT("00"&amp;INT(MOD(Entry!$B164,10000)/100),2)&amp;"/"&amp;RIGHT("00"&amp;MOD(Entry!$B164,100),2),"نامعتبر"),IF(LEN(Entry!$B164)=10,Entry!$B164,"نامعتبر")))</f>
        <v/>
      </c>
      <c r="F161">
        <f>IF(Entry!$B164="","",IF(Entry!$C164="","0000",IF(AND(ISNUMBER(Entry!$C164),Entry!$C164&gt;=0,Entry!$C164&lt;1),RIGHT("00"&amp;HOUR(Entry!$C164),2)&amp;RIGHT("00"&amp;MINUTE(Entry!$C164),2),IFERROR(RIGHT("00"&amp;VALUE(LEFT(Entry!$C164,FIND(":",Entry!$C164)-1)),2)&amp;RIGHT("00"&amp;VALUE(MID(Entry!$C164,FIND(":",Entry!$C164)+1,2)),2),"0000"))))</f>
        <v/>
      </c>
      <c r="G161">
        <f>IF($A161="","",Entry!$G164)</f>
        <v/>
      </c>
      <c r="H161">
        <f>IF($A161="","",IF(Entry!$H164="",0,Entry!$H164))</f>
        <v/>
      </c>
      <c r="I161">
        <f>IF($A161="","",IF(Entry!$I164="",0,Entry!$I164))</f>
        <v/>
      </c>
      <c r="J161">
        <f>IF($A161="","",ROUND($H161*$I161,0))</f>
        <v/>
      </c>
      <c r="K161">
        <f>IF($A161="","",Entry!$D164)</f>
        <v/>
      </c>
      <c r="L161">
        <f>IF($A161="","",Entry!$L164)</f>
        <v/>
      </c>
      <c r="N161">
        <f>IF(OR(Sync!$M161="",$Q161="",$Q161="نامعتبر"),"",Sync!$M161)</f>
        <v/>
      </c>
      <c r="O161">
        <f>IF($N161="","",$Q161)</f>
        <v/>
      </c>
      <c r="P161">
        <f>IF($N161="","",LEFT($Q161,4)&amp;MID($Q161,6,2)&amp;RIGHT($Q161,2)&amp;IF(Sync!$K161="","0000",IF(AND(ISNUMBER(Sync!$K161),Sync!$K161&gt;=0,Sync!$K161&lt;1),RIGHT("00"&amp;HOUR(Sync!$K161),2)&amp;RIGHT("00"&amp;MINUTE(Sync!$K161),2),IFERROR(RIGHT("00"&amp;VALUE(LEFT(Sync!$K161,FIND(":",Sync!$K161)-1)),2)&amp;RIGHT("00"&amp;VALUE(MID(Sync!$K161,FIND(":",Sync!$K161)+1,2)),2),"0000")))&amp;"|"&amp;"2"&amp;RIGHT("00000"&amp;156,5))</f>
        <v/>
      </c>
      <c r="Q161">
        <f>IF(Sync!$J161="","",IF(ISNUMBER(Sync!$J161),IF(AND(Sync!$J161&gt;=10000101,Sync!$J161&lt;=99991231),INT(Sync!$J161/10000)&amp;"/"&amp;RIGHT("00"&amp;INT(MOD(Sync!$J161,10000)/100),2)&amp;"/"&amp;RIGHT("00"&amp;MOD(Sync!$J161,100),2),"نامعتبر"),IF(LEN(Sync!$J161)=10,Sync!$J161,"نامعتبر")))</f>
        <v/>
      </c>
      <c r="R161">
        <f>IF($P161="","",COUNTIFS($N$6:$N$2005,$N161,$P$6:$P$2005,"&lt;"&amp;$P161)+COUNTIFS($A$6:$A$1005,$N161,$B$6:$B$1005,"&lt;"&amp;$P161)+1)</f>
        <v/>
      </c>
      <c r="S161">
        <f>IF($N161="","",$N161&amp;"|"&amp;RIGHT("000000"&amp;$R161,6))</f>
        <v/>
      </c>
      <c r="T161">
        <f>IF($N161="","",IF(Sync!$N161="",0,Sync!$N161))</f>
        <v/>
      </c>
      <c r="U161">
        <f>IF($N161="","",IF(Sync!$O161="",0,Sync!$O161))</f>
        <v/>
      </c>
      <c r="V161">
        <f>IF($N161="","",Sync!$L161)</f>
        <v/>
      </c>
      <c r="W161">
        <f>IF($N161="","",Sync!$P161)</f>
        <v/>
      </c>
      <c r="AA161">
        <f>IF($A161="","",IF(COUNTIF($A$6:$A161,$A161)=1,1,0))</f>
        <v/>
      </c>
      <c r="AB161">
        <f>SUM($AA$6:$AA161)</f>
        <v/>
      </c>
      <c r="AC161">
        <f>IFERROR(INDEX($A$6:$A$1005,MATCH(ROW()-5,$AB$6:$AB$1005,0)),"")</f>
        <v/>
      </c>
    </row>
    <row r="162">
      <c r="A162">
        <f>IF(OR(Entry!$B165="",Entry!$E165="",$E162="نامعتبر"),"",Entry!$E165)</f>
        <v/>
      </c>
      <c r="B162">
        <f>IF($A162="","",LEFT($E162,4)&amp;MID($E162,6,2)&amp;RIGHT($E162,2)&amp;$F162&amp;"|"&amp;"1"&amp;RIGHT("00000"&amp;157,5))</f>
        <v/>
      </c>
      <c r="C162">
        <f>IF($B162="","",COUNTIFS($A$6:$A$1005,$A162,$B$6:$B$1005,"&lt;"&amp;$B162)+COUNTIFS($N$6:$N$2005,$A162,$P$6:$P$2005,"&lt;"&amp;$B162)+1)</f>
        <v/>
      </c>
      <c r="D162">
        <f>IF($C162="","",$A162&amp;"|"&amp;RIGHT("000000"&amp;$C162,6))</f>
        <v/>
      </c>
      <c r="E162">
        <f>IF(Entry!$B165="","",IF(ISNUMBER(Entry!$B165),IF(AND(Entry!$B165&gt;=10000101,Entry!$B165&lt;=99991231),INT(Entry!$B165/10000)&amp;"/"&amp;RIGHT("00"&amp;INT(MOD(Entry!$B165,10000)/100),2)&amp;"/"&amp;RIGHT("00"&amp;MOD(Entry!$B165,100),2),"نامعتبر"),IF(LEN(Entry!$B165)=10,Entry!$B165,"نامعتبر")))</f>
        <v/>
      </c>
      <c r="F162">
        <f>IF(Entry!$B165="","",IF(Entry!$C165="","0000",IF(AND(ISNUMBER(Entry!$C165),Entry!$C165&gt;=0,Entry!$C165&lt;1),RIGHT("00"&amp;HOUR(Entry!$C165),2)&amp;RIGHT("00"&amp;MINUTE(Entry!$C165),2),IFERROR(RIGHT("00"&amp;VALUE(LEFT(Entry!$C165,FIND(":",Entry!$C165)-1)),2)&amp;RIGHT("00"&amp;VALUE(MID(Entry!$C165,FIND(":",Entry!$C165)+1,2)),2),"0000"))))</f>
        <v/>
      </c>
      <c r="G162">
        <f>IF($A162="","",Entry!$G165)</f>
        <v/>
      </c>
      <c r="H162">
        <f>IF($A162="","",IF(Entry!$H165="",0,Entry!$H165))</f>
        <v/>
      </c>
      <c r="I162">
        <f>IF($A162="","",IF(Entry!$I165="",0,Entry!$I165))</f>
        <v/>
      </c>
      <c r="J162">
        <f>IF($A162="","",ROUND($H162*$I162,0))</f>
        <v/>
      </c>
      <c r="K162">
        <f>IF($A162="","",Entry!$D165)</f>
        <v/>
      </c>
      <c r="L162">
        <f>IF($A162="","",Entry!$L165)</f>
        <v/>
      </c>
      <c r="N162">
        <f>IF(OR(Sync!$M162="",$Q162="",$Q162="نامعتبر"),"",Sync!$M162)</f>
        <v/>
      </c>
      <c r="O162">
        <f>IF($N162="","",$Q162)</f>
        <v/>
      </c>
      <c r="P162">
        <f>IF($N162="","",LEFT($Q162,4)&amp;MID($Q162,6,2)&amp;RIGHT($Q162,2)&amp;IF(Sync!$K162="","0000",IF(AND(ISNUMBER(Sync!$K162),Sync!$K162&gt;=0,Sync!$K162&lt;1),RIGHT("00"&amp;HOUR(Sync!$K162),2)&amp;RIGHT("00"&amp;MINUTE(Sync!$K162),2),IFERROR(RIGHT("00"&amp;VALUE(LEFT(Sync!$K162,FIND(":",Sync!$K162)-1)),2)&amp;RIGHT("00"&amp;VALUE(MID(Sync!$K162,FIND(":",Sync!$K162)+1,2)),2),"0000")))&amp;"|"&amp;"2"&amp;RIGHT("00000"&amp;157,5))</f>
        <v/>
      </c>
      <c r="Q162">
        <f>IF(Sync!$J162="","",IF(ISNUMBER(Sync!$J162),IF(AND(Sync!$J162&gt;=10000101,Sync!$J162&lt;=99991231),INT(Sync!$J162/10000)&amp;"/"&amp;RIGHT("00"&amp;INT(MOD(Sync!$J162,10000)/100),2)&amp;"/"&amp;RIGHT("00"&amp;MOD(Sync!$J162,100),2),"نامعتبر"),IF(LEN(Sync!$J162)=10,Sync!$J162,"نامعتبر")))</f>
        <v/>
      </c>
      <c r="R162">
        <f>IF($P162="","",COUNTIFS($N$6:$N$2005,$N162,$P$6:$P$2005,"&lt;"&amp;$P162)+COUNTIFS($A$6:$A$1005,$N162,$B$6:$B$1005,"&lt;"&amp;$P162)+1)</f>
        <v/>
      </c>
      <c r="S162">
        <f>IF($N162="","",$N162&amp;"|"&amp;RIGHT("000000"&amp;$R162,6))</f>
        <v/>
      </c>
      <c r="T162">
        <f>IF($N162="","",IF(Sync!$N162="",0,Sync!$N162))</f>
        <v/>
      </c>
      <c r="U162">
        <f>IF($N162="","",IF(Sync!$O162="",0,Sync!$O162))</f>
        <v/>
      </c>
      <c r="V162">
        <f>IF($N162="","",Sync!$L162)</f>
        <v/>
      </c>
      <c r="W162">
        <f>IF($N162="","",Sync!$P162)</f>
        <v/>
      </c>
      <c r="AA162">
        <f>IF($A162="","",IF(COUNTIF($A$6:$A162,$A162)=1,1,0))</f>
        <v/>
      </c>
      <c r="AB162">
        <f>SUM($AA$6:$AA162)</f>
        <v/>
      </c>
      <c r="AC162">
        <f>IFERROR(INDEX($A$6:$A$1005,MATCH(ROW()-5,$AB$6:$AB$1005,0)),"")</f>
        <v/>
      </c>
    </row>
    <row r="163">
      <c r="A163">
        <f>IF(OR(Entry!$B166="",Entry!$E166="",$E163="نامعتبر"),"",Entry!$E166)</f>
        <v/>
      </c>
      <c r="B163">
        <f>IF($A163="","",LEFT($E163,4)&amp;MID($E163,6,2)&amp;RIGHT($E163,2)&amp;$F163&amp;"|"&amp;"1"&amp;RIGHT("00000"&amp;158,5))</f>
        <v/>
      </c>
      <c r="C163">
        <f>IF($B163="","",COUNTIFS($A$6:$A$1005,$A163,$B$6:$B$1005,"&lt;"&amp;$B163)+COUNTIFS($N$6:$N$2005,$A163,$P$6:$P$2005,"&lt;"&amp;$B163)+1)</f>
        <v/>
      </c>
      <c r="D163">
        <f>IF($C163="","",$A163&amp;"|"&amp;RIGHT("000000"&amp;$C163,6))</f>
        <v/>
      </c>
      <c r="E163">
        <f>IF(Entry!$B166="","",IF(ISNUMBER(Entry!$B166),IF(AND(Entry!$B166&gt;=10000101,Entry!$B166&lt;=99991231),INT(Entry!$B166/10000)&amp;"/"&amp;RIGHT("00"&amp;INT(MOD(Entry!$B166,10000)/100),2)&amp;"/"&amp;RIGHT("00"&amp;MOD(Entry!$B166,100),2),"نامعتبر"),IF(LEN(Entry!$B166)=10,Entry!$B166,"نامعتبر")))</f>
        <v/>
      </c>
      <c r="F163">
        <f>IF(Entry!$B166="","",IF(Entry!$C166="","0000",IF(AND(ISNUMBER(Entry!$C166),Entry!$C166&gt;=0,Entry!$C166&lt;1),RIGHT("00"&amp;HOUR(Entry!$C166),2)&amp;RIGHT("00"&amp;MINUTE(Entry!$C166),2),IFERROR(RIGHT("00"&amp;VALUE(LEFT(Entry!$C166,FIND(":",Entry!$C166)-1)),2)&amp;RIGHT("00"&amp;VALUE(MID(Entry!$C166,FIND(":",Entry!$C166)+1,2)),2),"0000"))))</f>
        <v/>
      </c>
      <c r="G163">
        <f>IF($A163="","",Entry!$G166)</f>
        <v/>
      </c>
      <c r="H163">
        <f>IF($A163="","",IF(Entry!$H166="",0,Entry!$H166))</f>
        <v/>
      </c>
      <c r="I163">
        <f>IF($A163="","",IF(Entry!$I166="",0,Entry!$I166))</f>
        <v/>
      </c>
      <c r="J163">
        <f>IF($A163="","",ROUND($H163*$I163,0))</f>
        <v/>
      </c>
      <c r="K163">
        <f>IF($A163="","",Entry!$D166)</f>
        <v/>
      </c>
      <c r="L163">
        <f>IF($A163="","",Entry!$L166)</f>
        <v/>
      </c>
      <c r="N163">
        <f>IF(OR(Sync!$M163="",$Q163="",$Q163="نامعتبر"),"",Sync!$M163)</f>
        <v/>
      </c>
      <c r="O163">
        <f>IF($N163="","",$Q163)</f>
        <v/>
      </c>
      <c r="P163">
        <f>IF($N163="","",LEFT($Q163,4)&amp;MID($Q163,6,2)&amp;RIGHT($Q163,2)&amp;IF(Sync!$K163="","0000",IF(AND(ISNUMBER(Sync!$K163),Sync!$K163&gt;=0,Sync!$K163&lt;1),RIGHT("00"&amp;HOUR(Sync!$K163),2)&amp;RIGHT("00"&amp;MINUTE(Sync!$K163),2),IFERROR(RIGHT("00"&amp;VALUE(LEFT(Sync!$K163,FIND(":",Sync!$K163)-1)),2)&amp;RIGHT("00"&amp;VALUE(MID(Sync!$K163,FIND(":",Sync!$K163)+1,2)),2),"0000")))&amp;"|"&amp;"2"&amp;RIGHT("00000"&amp;158,5))</f>
        <v/>
      </c>
      <c r="Q163">
        <f>IF(Sync!$J163="","",IF(ISNUMBER(Sync!$J163),IF(AND(Sync!$J163&gt;=10000101,Sync!$J163&lt;=99991231),INT(Sync!$J163/10000)&amp;"/"&amp;RIGHT("00"&amp;INT(MOD(Sync!$J163,10000)/100),2)&amp;"/"&amp;RIGHT("00"&amp;MOD(Sync!$J163,100),2),"نامعتبر"),IF(LEN(Sync!$J163)=10,Sync!$J163,"نامعتبر")))</f>
        <v/>
      </c>
      <c r="R163">
        <f>IF($P163="","",COUNTIFS($N$6:$N$2005,$N163,$P$6:$P$2005,"&lt;"&amp;$P163)+COUNTIFS($A$6:$A$1005,$N163,$B$6:$B$1005,"&lt;"&amp;$P163)+1)</f>
        <v/>
      </c>
      <c r="S163">
        <f>IF($N163="","",$N163&amp;"|"&amp;RIGHT("000000"&amp;$R163,6))</f>
        <v/>
      </c>
      <c r="T163">
        <f>IF($N163="","",IF(Sync!$N163="",0,Sync!$N163))</f>
        <v/>
      </c>
      <c r="U163">
        <f>IF($N163="","",IF(Sync!$O163="",0,Sync!$O163))</f>
        <v/>
      </c>
      <c r="V163">
        <f>IF($N163="","",Sync!$L163)</f>
        <v/>
      </c>
      <c r="W163">
        <f>IF($N163="","",Sync!$P163)</f>
        <v/>
      </c>
      <c r="AA163">
        <f>IF($A163="","",IF(COUNTIF($A$6:$A163,$A163)=1,1,0))</f>
        <v/>
      </c>
      <c r="AB163">
        <f>SUM($AA$6:$AA163)</f>
        <v/>
      </c>
      <c r="AC163">
        <f>IFERROR(INDEX($A$6:$A$1005,MATCH(ROW()-5,$AB$6:$AB$1005,0)),"")</f>
        <v/>
      </c>
    </row>
    <row r="164">
      <c r="A164">
        <f>IF(OR(Entry!$B167="",Entry!$E167="",$E164="نامعتبر"),"",Entry!$E167)</f>
        <v/>
      </c>
      <c r="B164">
        <f>IF($A164="","",LEFT($E164,4)&amp;MID($E164,6,2)&amp;RIGHT($E164,2)&amp;$F164&amp;"|"&amp;"1"&amp;RIGHT("00000"&amp;159,5))</f>
        <v/>
      </c>
      <c r="C164">
        <f>IF($B164="","",COUNTIFS($A$6:$A$1005,$A164,$B$6:$B$1005,"&lt;"&amp;$B164)+COUNTIFS($N$6:$N$2005,$A164,$P$6:$P$2005,"&lt;"&amp;$B164)+1)</f>
        <v/>
      </c>
      <c r="D164">
        <f>IF($C164="","",$A164&amp;"|"&amp;RIGHT("000000"&amp;$C164,6))</f>
        <v/>
      </c>
      <c r="E164">
        <f>IF(Entry!$B167="","",IF(ISNUMBER(Entry!$B167),IF(AND(Entry!$B167&gt;=10000101,Entry!$B167&lt;=99991231),INT(Entry!$B167/10000)&amp;"/"&amp;RIGHT("00"&amp;INT(MOD(Entry!$B167,10000)/100),2)&amp;"/"&amp;RIGHT("00"&amp;MOD(Entry!$B167,100),2),"نامعتبر"),IF(LEN(Entry!$B167)=10,Entry!$B167,"نامعتبر")))</f>
        <v/>
      </c>
      <c r="F164">
        <f>IF(Entry!$B167="","",IF(Entry!$C167="","0000",IF(AND(ISNUMBER(Entry!$C167),Entry!$C167&gt;=0,Entry!$C167&lt;1),RIGHT("00"&amp;HOUR(Entry!$C167),2)&amp;RIGHT("00"&amp;MINUTE(Entry!$C167),2),IFERROR(RIGHT("00"&amp;VALUE(LEFT(Entry!$C167,FIND(":",Entry!$C167)-1)),2)&amp;RIGHT("00"&amp;VALUE(MID(Entry!$C167,FIND(":",Entry!$C167)+1,2)),2),"0000"))))</f>
        <v/>
      </c>
      <c r="G164">
        <f>IF($A164="","",Entry!$G167)</f>
        <v/>
      </c>
      <c r="H164">
        <f>IF($A164="","",IF(Entry!$H167="",0,Entry!$H167))</f>
        <v/>
      </c>
      <c r="I164">
        <f>IF($A164="","",IF(Entry!$I167="",0,Entry!$I167))</f>
        <v/>
      </c>
      <c r="J164">
        <f>IF($A164="","",ROUND($H164*$I164,0))</f>
        <v/>
      </c>
      <c r="K164">
        <f>IF($A164="","",Entry!$D167)</f>
        <v/>
      </c>
      <c r="L164">
        <f>IF($A164="","",Entry!$L167)</f>
        <v/>
      </c>
      <c r="N164">
        <f>IF(OR(Sync!$M164="",$Q164="",$Q164="نامعتبر"),"",Sync!$M164)</f>
        <v/>
      </c>
      <c r="O164">
        <f>IF($N164="","",$Q164)</f>
        <v/>
      </c>
      <c r="P164">
        <f>IF($N164="","",LEFT($Q164,4)&amp;MID($Q164,6,2)&amp;RIGHT($Q164,2)&amp;IF(Sync!$K164="","0000",IF(AND(ISNUMBER(Sync!$K164),Sync!$K164&gt;=0,Sync!$K164&lt;1),RIGHT("00"&amp;HOUR(Sync!$K164),2)&amp;RIGHT("00"&amp;MINUTE(Sync!$K164),2),IFERROR(RIGHT("00"&amp;VALUE(LEFT(Sync!$K164,FIND(":",Sync!$K164)-1)),2)&amp;RIGHT("00"&amp;VALUE(MID(Sync!$K164,FIND(":",Sync!$K164)+1,2)),2),"0000")))&amp;"|"&amp;"2"&amp;RIGHT("00000"&amp;159,5))</f>
        <v/>
      </c>
      <c r="Q164">
        <f>IF(Sync!$J164="","",IF(ISNUMBER(Sync!$J164),IF(AND(Sync!$J164&gt;=10000101,Sync!$J164&lt;=99991231),INT(Sync!$J164/10000)&amp;"/"&amp;RIGHT("00"&amp;INT(MOD(Sync!$J164,10000)/100),2)&amp;"/"&amp;RIGHT("00"&amp;MOD(Sync!$J164,100),2),"نامعتبر"),IF(LEN(Sync!$J164)=10,Sync!$J164,"نامعتبر")))</f>
        <v/>
      </c>
      <c r="R164">
        <f>IF($P164="","",COUNTIFS($N$6:$N$2005,$N164,$P$6:$P$2005,"&lt;"&amp;$P164)+COUNTIFS($A$6:$A$1005,$N164,$B$6:$B$1005,"&lt;"&amp;$P164)+1)</f>
        <v/>
      </c>
      <c r="S164">
        <f>IF($N164="","",$N164&amp;"|"&amp;RIGHT("000000"&amp;$R164,6))</f>
        <v/>
      </c>
      <c r="T164">
        <f>IF($N164="","",IF(Sync!$N164="",0,Sync!$N164))</f>
        <v/>
      </c>
      <c r="U164">
        <f>IF($N164="","",IF(Sync!$O164="",0,Sync!$O164))</f>
        <v/>
      </c>
      <c r="V164">
        <f>IF($N164="","",Sync!$L164)</f>
        <v/>
      </c>
      <c r="W164">
        <f>IF($N164="","",Sync!$P164)</f>
        <v/>
      </c>
      <c r="AA164">
        <f>IF($A164="","",IF(COUNTIF($A$6:$A164,$A164)=1,1,0))</f>
        <v/>
      </c>
      <c r="AB164">
        <f>SUM($AA$6:$AA164)</f>
        <v/>
      </c>
      <c r="AC164">
        <f>IFERROR(INDEX($A$6:$A$1005,MATCH(ROW()-5,$AB$6:$AB$1005,0)),"")</f>
        <v/>
      </c>
    </row>
    <row r="165">
      <c r="A165">
        <f>IF(OR(Entry!$B168="",Entry!$E168="",$E165="نامعتبر"),"",Entry!$E168)</f>
        <v/>
      </c>
      <c r="B165">
        <f>IF($A165="","",LEFT($E165,4)&amp;MID($E165,6,2)&amp;RIGHT($E165,2)&amp;$F165&amp;"|"&amp;"1"&amp;RIGHT("00000"&amp;160,5))</f>
        <v/>
      </c>
      <c r="C165">
        <f>IF($B165="","",COUNTIFS($A$6:$A$1005,$A165,$B$6:$B$1005,"&lt;"&amp;$B165)+COUNTIFS($N$6:$N$2005,$A165,$P$6:$P$2005,"&lt;"&amp;$B165)+1)</f>
        <v/>
      </c>
      <c r="D165">
        <f>IF($C165="","",$A165&amp;"|"&amp;RIGHT("000000"&amp;$C165,6))</f>
        <v/>
      </c>
      <c r="E165">
        <f>IF(Entry!$B168="","",IF(ISNUMBER(Entry!$B168),IF(AND(Entry!$B168&gt;=10000101,Entry!$B168&lt;=99991231),INT(Entry!$B168/10000)&amp;"/"&amp;RIGHT("00"&amp;INT(MOD(Entry!$B168,10000)/100),2)&amp;"/"&amp;RIGHT("00"&amp;MOD(Entry!$B168,100),2),"نامعتبر"),IF(LEN(Entry!$B168)=10,Entry!$B168,"نامعتبر")))</f>
        <v/>
      </c>
      <c r="F165">
        <f>IF(Entry!$B168="","",IF(Entry!$C168="","0000",IF(AND(ISNUMBER(Entry!$C168),Entry!$C168&gt;=0,Entry!$C168&lt;1),RIGHT("00"&amp;HOUR(Entry!$C168),2)&amp;RIGHT("00"&amp;MINUTE(Entry!$C168),2),IFERROR(RIGHT("00"&amp;VALUE(LEFT(Entry!$C168,FIND(":",Entry!$C168)-1)),2)&amp;RIGHT("00"&amp;VALUE(MID(Entry!$C168,FIND(":",Entry!$C168)+1,2)),2),"0000"))))</f>
        <v/>
      </c>
      <c r="G165">
        <f>IF($A165="","",Entry!$G168)</f>
        <v/>
      </c>
      <c r="H165">
        <f>IF($A165="","",IF(Entry!$H168="",0,Entry!$H168))</f>
        <v/>
      </c>
      <c r="I165">
        <f>IF($A165="","",IF(Entry!$I168="",0,Entry!$I168))</f>
        <v/>
      </c>
      <c r="J165">
        <f>IF($A165="","",ROUND($H165*$I165,0))</f>
        <v/>
      </c>
      <c r="K165">
        <f>IF($A165="","",Entry!$D168)</f>
        <v/>
      </c>
      <c r="L165">
        <f>IF($A165="","",Entry!$L168)</f>
        <v/>
      </c>
      <c r="N165">
        <f>IF(OR(Sync!$M165="",$Q165="",$Q165="نامعتبر"),"",Sync!$M165)</f>
        <v/>
      </c>
      <c r="O165">
        <f>IF($N165="","",$Q165)</f>
        <v/>
      </c>
      <c r="P165">
        <f>IF($N165="","",LEFT($Q165,4)&amp;MID($Q165,6,2)&amp;RIGHT($Q165,2)&amp;IF(Sync!$K165="","0000",IF(AND(ISNUMBER(Sync!$K165),Sync!$K165&gt;=0,Sync!$K165&lt;1),RIGHT("00"&amp;HOUR(Sync!$K165),2)&amp;RIGHT("00"&amp;MINUTE(Sync!$K165),2),IFERROR(RIGHT("00"&amp;VALUE(LEFT(Sync!$K165,FIND(":",Sync!$K165)-1)),2)&amp;RIGHT("00"&amp;VALUE(MID(Sync!$K165,FIND(":",Sync!$K165)+1,2)),2),"0000")))&amp;"|"&amp;"2"&amp;RIGHT("00000"&amp;160,5))</f>
        <v/>
      </c>
      <c r="Q165">
        <f>IF(Sync!$J165="","",IF(ISNUMBER(Sync!$J165),IF(AND(Sync!$J165&gt;=10000101,Sync!$J165&lt;=99991231),INT(Sync!$J165/10000)&amp;"/"&amp;RIGHT("00"&amp;INT(MOD(Sync!$J165,10000)/100),2)&amp;"/"&amp;RIGHT("00"&amp;MOD(Sync!$J165,100),2),"نامعتبر"),IF(LEN(Sync!$J165)=10,Sync!$J165,"نامعتبر")))</f>
        <v/>
      </c>
      <c r="R165">
        <f>IF($P165="","",COUNTIFS($N$6:$N$2005,$N165,$P$6:$P$2005,"&lt;"&amp;$P165)+COUNTIFS($A$6:$A$1005,$N165,$B$6:$B$1005,"&lt;"&amp;$P165)+1)</f>
        <v/>
      </c>
      <c r="S165">
        <f>IF($N165="","",$N165&amp;"|"&amp;RIGHT("000000"&amp;$R165,6))</f>
        <v/>
      </c>
      <c r="T165">
        <f>IF($N165="","",IF(Sync!$N165="",0,Sync!$N165))</f>
        <v/>
      </c>
      <c r="U165">
        <f>IF($N165="","",IF(Sync!$O165="",0,Sync!$O165))</f>
        <v/>
      </c>
      <c r="V165">
        <f>IF($N165="","",Sync!$L165)</f>
        <v/>
      </c>
      <c r="W165">
        <f>IF($N165="","",Sync!$P165)</f>
        <v/>
      </c>
      <c r="AA165">
        <f>IF($A165="","",IF(COUNTIF($A$6:$A165,$A165)=1,1,0))</f>
        <v/>
      </c>
      <c r="AB165">
        <f>SUM($AA$6:$AA165)</f>
        <v/>
      </c>
      <c r="AC165">
        <f>IFERROR(INDEX($A$6:$A$1005,MATCH(ROW()-5,$AB$6:$AB$1005,0)),"")</f>
        <v/>
      </c>
    </row>
    <row r="166">
      <c r="A166">
        <f>IF(OR(Entry!$B169="",Entry!$E169="",$E166="نامعتبر"),"",Entry!$E169)</f>
        <v/>
      </c>
      <c r="B166">
        <f>IF($A166="","",LEFT($E166,4)&amp;MID($E166,6,2)&amp;RIGHT($E166,2)&amp;$F166&amp;"|"&amp;"1"&amp;RIGHT("00000"&amp;161,5))</f>
        <v/>
      </c>
      <c r="C166">
        <f>IF($B166="","",COUNTIFS($A$6:$A$1005,$A166,$B$6:$B$1005,"&lt;"&amp;$B166)+COUNTIFS($N$6:$N$2005,$A166,$P$6:$P$2005,"&lt;"&amp;$B166)+1)</f>
        <v/>
      </c>
      <c r="D166">
        <f>IF($C166="","",$A166&amp;"|"&amp;RIGHT("000000"&amp;$C166,6))</f>
        <v/>
      </c>
      <c r="E166">
        <f>IF(Entry!$B169="","",IF(ISNUMBER(Entry!$B169),IF(AND(Entry!$B169&gt;=10000101,Entry!$B169&lt;=99991231),INT(Entry!$B169/10000)&amp;"/"&amp;RIGHT("00"&amp;INT(MOD(Entry!$B169,10000)/100),2)&amp;"/"&amp;RIGHT("00"&amp;MOD(Entry!$B169,100),2),"نامعتبر"),IF(LEN(Entry!$B169)=10,Entry!$B169,"نامعتبر")))</f>
        <v/>
      </c>
      <c r="F166">
        <f>IF(Entry!$B169="","",IF(Entry!$C169="","0000",IF(AND(ISNUMBER(Entry!$C169),Entry!$C169&gt;=0,Entry!$C169&lt;1),RIGHT("00"&amp;HOUR(Entry!$C169),2)&amp;RIGHT("00"&amp;MINUTE(Entry!$C169),2),IFERROR(RIGHT("00"&amp;VALUE(LEFT(Entry!$C169,FIND(":",Entry!$C169)-1)),2)&amp;RIGHT("00"&amp;VALUE(MID(Entry!$C169,FIND(":",Entry!$C169)+1,2)),2),"0000"))))</f>
        <v/>
      </c>
      <c r="G166">
        <f>IF($A166="","",Entry!$G169)</f>
        <v/>
      </c>
      <c r="H166">
        <f>IF($A166="","",IF(Entry!$H169="",0,Entry!$H169))</f>
        <v/>
      </c>
      <c r="I166">
        <f>IF($A166="","",IF(Entry!$I169="",0,Entry!$I169))</f>
        <v/>
      </c>
      <c r="J166">
        <f>IF($A166="","",ROUND($H166*$I166,0))</f>
        <v/>
      </c>
      <c r="K166">
        <f>IF($A166="","",Entry!$D169)</f>
        <v/>
      </c>
      <c r="L166">
        <f>IF($A166="","",Entry!$L169)</f>
        <v/>
      </c>
      <c r="N166">
        <f>IF(OR(Sync!$M166="",$Q166="",$Q166="نامعتبر"),"",Sync!$M166)</f>
        <v/>
      </c>
      <c r="O166">
        <f>IF($N166="","",$Q166)</f>
        <v/>
      </c>
      <c r="P166">
        <f>IF($N166="","",LEFT($Q166,4)&amp;MID($Q166,6,2)&amp;RIGHT($Q166,2)&amp;IF(Sync!$K166="","0000",IF(AND(ISNUMBER(Sync!$K166),Sync!$K166&gt;=0,Sync!$K166&lt;1),RIGHT("00"&amp;HOUR(Sync!$K166),2)&amp;RIGHT("00"&amp;MINUTE(Sync!$K166),2),IFERROR(RIGHT("00"&amp;VALUE(LEFT(Sync!$K166,FIND(":",Sync!$K166)-1)),2)&amp;RIGHT("00"&amp;VALUE(MID(Sync!$K166,FIND(":",Sync!$K166)+1,2)),2),"0000")))&amp;"|"&amp;"2"&amp;RIGHT("00000"&amp;161,5))</f>
        <v/>
      </c>
      <c r="Q166">
        <f>IF(Sync!$J166="","",IF(ISNUMBER(Sync!$J166),IF(AND(Sync!$J166&gt;=10000101,Sync!$J166&lt;=99991231),INT(Sync!$J166/10000)&amp;"/"&amp;RIGHT("00"&amp;INT(MOD(Sync!$J166,10000)/100),2)&amp;"/"&amp;RIGHT("00"&amp;MOD(Sync!$J166,100),2),"نامعتبر"),IF(LEN(Sync!$J166)=10,Sync!$J166,"نامعتبر")))</f>
        <v/>
      </c>
      <c r="R166">
        <f>IF($P166="","",COUNTIFS($N$6:$N$2005,$N166,$P$6:$P$2005,"&lt;"&amp;$P166)+COUNTIFS($A$6:$A$1005,$N166,$B$6:$B$1005,"&lt;"&amp;$P166)+1)</f>
        <v/>
      </c>
      <c r="S166">
        <f>IF($N166="","",$N166&amp;"|"&amp;RIGHT("000000"&amp;$R166,6))</f>
        <v/>
      </c>
      <c r="T166">
        <f>IF($N166="","",IF(Sync!$N166="",0,Sync!$N166))</f>
        <v/>
      </c>
      <c r="U166">
        <f>IF($N166="","",IF(Sync!$O166="",0,Sync!$O166))</f>
        <v/>
      </c>
      <c r="V166">
        <f>IF($N166="","",Sync!$L166)</f>
        <v/>
      </c>
      <c r="W166">
        <f>IF($N166="","",Sync!$P166)</f>
        <v/>
      </c>
      <c r="AA166">
        <f>IF($A166="","",IF(COUNTIF($A$6:$A166,$A166)=1,1,0))</f>
        <v/>
      </c>
      <c r="AB166">
        <f>SUM($AA$6:$AA166)</f>
        <v/>
      </c>
      <c r="AC166">
        <f>IFERROR(INDEX($A$6:$A$1005,MATCH(ROW()-5,$AB$6:$AB$1005,0)),"")</f>
        <v/>
      </c>
    </row>
    <row r="167">
      <c r="A167">
        <f>IF(OR(Entry!$B170="",Entry!$E170="",$E167="نامعتبر"),"",Entry!$E170)</f>
        <v/>
      </c>
      <c r="B167">
        <f>IF($A167="","",LEFT($E167,4)&amp;MID($E167,6,2)&amp;RIGHT($E167,2)&amp;$F167&amp;"|"&amp;"1"&amp;RIGHT("00000"&amp;162,5))</f>
        <v/>
      </c>
      <c r="C167">
        <f>IF($B167="","",COUNTIFS($A$6:$A$1005,$A167,$B$6:$B$1005,"&lt;"&amp;$B167)+COUNTIFS($N$6:$N$2005,$A167,$P$6:$P$2005,"&lt;"&amp;$B167)+1)</f>
        <v/>
      </c>
      <c r="D167">
        <f>IF($C167="","",$A167&amp;"|"&amp;RIGHT("000000"&amp;$C167,6))</f>
        <v/>
      </c>
      <c r="E167">
        <f>IF(Entry!$B170="","",IF(ISNUMBER(Entry!$B170),IF(AND(Entry!$B170&gt;=10000101,Entry!$B170&lt;=99991231),INT(Entry!$B170/10000)&amp;"/"&amp;RIGHT("00"&amp;INT(MOD(Entry!$B170,10000)/100),2)&amp;"/"&amp;RIGHT("00"&amp;MOD(Entry!$B170,100),2),"نامعتبر"),IF(LEN(Entry!$B170)=10,Entry!$B170,"نامعتبر")))</f>
        <v/>
      </c>
      <c r="F167">
        <f>IF(Entry!$B170="","",IF(Entry!$C170="","0000",IF(AND(ISNUMBER(Entry!$C170),Entry!$C170&gt;=0,Entry!$C170&lt;1),RIGHT("00"&amp;HOUR(Entry!$C170),2)&amp;RIGHT("00"&amp;MINUTE(Entry!$C170),2),IFERROR(RIGHT("00"&amp;VALUE(LEFT(Entry!$C170,FIND(":",Entry!$C170)-1)),2)&amp;RIGHT("00"&amp;VALUE(MID(Entry!$C170,FIND(":",Entry!$C170)+1,2)),2),"0000"))))</f>
        <v/>
      </c>
      <c r="G167">
        <f>IF($A167="","",Entry!$G170)</f>
        <v/>
      </c>
      <c r="H167">
        <f>IF($A167="","",IF(Entry!$H170="",0,Entry!$H170))</f>
        <v/>
      </c>
      <c r="I167">
        <f>IF($A167="","",IF(Entry!$I170="",0,Entry!$I170))</f>
        <v/>
      </c>
      <c r="J167">
        <f>IF($A167="","",ROUND($H167*$I167,0))</f>
        <v/>
      </c>
      <c r="K167">
        <f>IF($A167="","",Entry!$D170)</f>
        <v/>
      </c>
      <c r="L167">
        <f>IF($A167="","",Entry!$L170)</f>
        <v/>
      </c>
      <c r="N167">
        <f>IF(OR(Sync!$M167="",$Q167="",$Q167="نامعتبر"),"",Sync!$M167)</f>
        <v/>
      </c>
      <c r="O167">
        <f>IF($N167="","",$Q167)</f>
        <v/>
      </c>
      <c r="P167">
        <f>IF($N167="","",LEFT($Q167,4)&amp;MID($Q167,6,2)&amp;RIGHT($Q167,2)&amp;IF(Sync!$K167="","0000",IF(AND(ISNUMBER(Sync!$K167),Sync!$K167&gt;=0,Sync!$K167&lt;1),RIGHT("00"&amp;HOUR(Sync!$K167),2)&amp;RIGHT("00"&amp;MINUTE(Sync!$K167),2),IFERROR(RIGHT("00"&amp;VALUE(LEFT(Sync!$K167,FIND(":",Sync!$K167)-1)),2)&amp;RIGHT("00"&amp;VALUE(MID(Sync!$K167,FIND(":",Sync!$K167)+1,2)),2),"0000")))&amp;"|"&amp;"2"&amp;RIGHT("00000"&amp;162,5))</f>
        <v/>
      </c>
      <c r="Q167">
        <f>IF(Sync!$J167="","",IF(ISNUMBER(Sync!$J167),IF(AND(Sync!$J167&gt;=10000101,Sync!$J167&lt;=99991231),INT(Sync!$J167/10000)&amp;"/"&amp;RIGHT("00"&amp;INT(MOD(Sync!$J167,10000)/100),2)&amp;"/"&amp;RIGHT("00"&amp;MOD(Sync!$J167,100),2),"نامعتبر"),IF(LEN(Sync!$J167)=10,Sync!$J167,"نامعتبر")))</f>
        <v/>
      </c>
      <c r="R167">
        <f>IF($P167="","",COUNTIFS($N$6:$N$2005,$N167,$P$6:$P$2005,"&lt;"&amp;$P167)+COUNTIFS($A$6:$A$1005,$N167,$B$6:$B$1005,"&lt;"&amp;$P167)+1)</f>
        <v/>
      </c>
      <c r="S167">
        <f>IF($N167="","",$N167&amp;"|"&amp;RIGHT("000000"&amp;$R167,6))</f>
        <v/>
      </c>
      <c r="T167">
        <f>IF($N167="","",IF(Sync!$N167="",0,Sync!$N167))</f>
        <v/>
      </c>
      <c r="U167">
        <f>IF($N167="","",IF(Sync!$O167="",0,Sync!$O167))</f>
        <v/>
      </c>
      <c r="V167">
        <f>IF($N167="","",Sync!$L167)</f>
        <v/>
      </c>
      <c r="W167">
        <f>IF($N167="","",Sync!$P167)</f>
        <v/>
      </c>
      <c r="AA167">
        <f>IF($A167="","",IF(COUNTIF($A$6:$A167,$A167)=1,1,0))</f>
        <v/>
      </c>
      <c r="AB167">
        <f>SUM($AA$6:$AA167)</f>
        <v/>
      </c>
      <c r="AC167">
        <f>IFERROR(INDEX($A$6:$A$1005,MATCH(ROW()-5,$AB$6:$AB$1005,0)),"")</f>
        <v/>
      </c>
    </row>
    <row r="168">
      <c r="A168">
        <f>IF(OR(Entry!$B171="",Entry!$E171="",$E168="نامعتبر"),"",Entry!$E171)</f>
        <v/>
      </c>
      <c r="B168">
        <f>IF($A168="","",LEFT($E168,4)&amp;MID($E168,6,2)&amp;RIGHT($E168,2)&amp;$F168&amp;"|"&amp;"1"&amp;RIGHT("00000"&amp;163,5))</f>
        <v/>
      </c>
      <c r="C168">
        <f>IF($B168="","",COUNTIFS($A$6:$A$1005,$A168,$B$6:$B$1005,"&lt;"&amp;$B168)+COUNTIFS($N$6:$N$2005,$A168,$P$6:$P$2005,"&lt;"&amp;$B168)+1)</f>
        <v/>
      </c>
      <c r="D168">
        <f>IF($C168="","",$A168&amp;"|"&amp;RIGHT("000000"&amp;$C168,6))</f>
        <v/>
      </c>
      <c r="E168">
        <f>IF(Entry!$B171="","",IF(ISNUMBER(Entry!$B171),IF(AND(Entry!$B171&gt;=10000101,Entry!$B171&lt;=99991231),INT(Entry!$B171/10000)&amp;"/"&amp;RIGHT("00"&amp;INT(MOD(Entry!$B171,10000)/100),2)&amp;"/"&amp;RIGHT("00"&amp;MOD(Entry!$B171,100),2),"نامعتبر"),IF(LEN(Entry!$B171)=10,Entry!$B171,"نامعتبر")))</f>
        <v/>
      </c>
      <c r="F168">
        <f>IF(Entry!$B171="","",IF(Entry!$C171="","0000",IF(AND(ISNUMBER(Entry!$C171),Entry!$C171&gt;=0,Entry!$C171&lt;1),RIGHT("00"&amp;HOUR(Entry!$C171),2)&amp;RIGHT("00"&amp;MINUTE(Entry!$C171),2),IFERROR(RIGHT("00"&amp;VALUE(LEFT(Entry!$C171,FIND(":",Entry!$C171)-1)),2)&amp;RIGHT("00"&amp;VALUE(MID(Entry!$C171,FIND(":",Entry!$C171)+1,2)),2),"0000"))))</f>
        <v/>
      </c>
      <c r="G168">
        <f>IF($A168="","",Entry!$G171)</f>
        <v/>
      </c>
      <c r="H168">
        <f>IF($A168="","",IF(Entry!$H171="",0,Entry!$H171))</f>
        <v/>
      </c>
      <c r="I168">
        <f>IF($A168="","",IF(Entry!$I171="",0,Entry!$I171))</f>
        <v/>
      </c>
      <c r="J168">
        <f>IF($A168="","",ROUND($H168*$I168,0))</f>
        <v/>
      </c>
      <c r="K168">
        <f>IF($A168="","",Entry!$D171)</f>
        <v/>
      </c>
      <c r="L168">
        <f>IF($A168="","",Entry!$L171)</f>
        <v/>
      </c>
      <c r="N168">
        <f>IF(OR(Sync!$M168="",$Q168="",$Q168="نامعتبر"),"",Sync!$M168)</f>
        <v/>
      </c>
      <c r="O168">
        <f>IF($N168="","",$Q168)</f>
        <v/>
      </c>
      <c r="P168">
        <f>IF($N168="","",LEFT($Q168,4)&amp;MID($Q168,6,2)&amp;RIGHT($Q168,2)&amp;IF(Sync!$K168="","0000",IF(AND(ISNUMBER(Sync!$K168),Sync!$K168&gt;=0,Sync!$K168&lt;1),RIGHT("00"&amp;HOUR(Sync!$K168),2)&amp;RIGHT("00"&amp;MINUTE(Sync!$K168),2),IFERROR(RIGHT("00"&amp;VALUE(LEFT(Sync!$K168,FIND(":",Sync!$K168)-1)),2)&amp;RIGHT("00"&amp;VALUE(MID(Sync!$K168,FIND(":",Sync!$K168)+1,2)),2),"0000")))&amp;"|"&amp;"2"&amp;RIGHT("00000"&amp;163,5))</f>
        <v/>
      </c>
      <c r="Q168">
        <f>IF(Sync!$J168="","",IF(ISNUMBER(Sync!$J168),IF(AND(Sync!$J168&gt;=10000101,Sync!$J168&lt;=99991231),INT(Sync!$J168/10000)&amp;"/"&amp;RIGHT("00"&amp;INT(MOD(Sync!$J168,10000)/100),2)&amp;"/"&amp;RIGHT("00"&amp;MOD(Sync!$J168,100),2),"نامعتبر"),IF(LEN(Sync!$J168)=10,Sync!$J168,"نامعتبر")))</f>
        <v/>
      </c>
      <c r="R168">
        <f>IF($P168="","",COUNTIFS($N$6:$N$2005,$N168,$P$6:$P$2005,"&lt;"&amp;$P168)+COUNTIFS($A$6:$A$1005,$N168,$B$6:$B$1005,"&lt;"&amp;$P168)+1)</f>
        <v/>
      </c>
      <c r="S168">
        <f>IF($N168="","",$N168&amp;"|"&amp;RIGHT("000000"&amp;$R168,6))</f>
        <v/>
      </c>
      <c r="T168">
        <f>IF($N168="","",IF(Sync!$N168="",0,Sync!$N168))</f>
        <v/>
      </c>
      <c r="U168">
        <f>IF($N168="","",IF(Sync!$O168="",0,Sync!$O168))</f>
        <v/>
      </c>
      <c r="V168">
        <f>IF($N168="","",Sync!$L168)</f>
        <v/>
      </c>
      <c r="W168">
        <f>IF($N168="","",Sync!$P168)</f>
        <v/>
      </c>
      <c r="AA168">
        <f>IF($A168="","",IF(COUNTIF($A$6:$A168,$A168)=1,1,0))</f>
        <v/>
      </c>
      <c r="AB168">
        <f>SUM($AA$6:$AA168)</f>
        <v/>
      </c>
      <c r="AC168">
        <f>IFERROR(INDEX($A$6:$A$1005,MATCH(ROW()-5,$AB$6:$AB$1005,0)),"")</f>
        <v/>
      </c>
    </row>
    <row r="169">
      <c r="A169">
        <f>IF(OR(Entry!$B172="",Entry!$E172="",$E169="نامعتبر"),"",Entry!$E172)</f>
        <v/>
      </c>
      <c r="B169">
        <f>IF($A169="","",LEFT($E169,4)&amp;MID($E169,6,2)&amp;RIGHT($E169,2)&amp;$F169&amp;"|"&amp;"1"&amp;RIGHT("00000"&amp;164,5))</f>
        <v/>
      </c>
      <c r="C169">
        <f>IF($B169="","",COUNTIFS($A$6:$A$1005,$A169,$B$6:$B$1005,"&lt;"&amp;$B169)+COUNTIFS($N$6:$N$2005,$A169,$P$6:$P$2005,"&lt;"&amp;$B169)+1)</f>
        <v/>
      </c>
      <c r="D169">
        <f>IF($C169="","",$A169&amp;"|"&amp;RIGHT("000000"&amp;$C169,6))</f>
        <v/>
      </c>
      <c r="E169">
        <f>IF(Entry!$B172="","",IF(ISNUMBER(Entry!$B172),IF(AND(Entry!$B172&gt;=10000101,Entry!$B172&lt;=99991231),INT(Entry!$B172/10000)&amp;"/"&amp;RIGHT("00"&amp;INT(MOD(Entry!$B172,10000)/100),2)&amp;"/"&amp;RIGHT("00"&amp;MOD(Entry!$B172,100),2),"نامعتبر"),IF(LEN(Entry!$B172)=10,Entry!$B172,"نامعتبر")))</f>
        <v/>
      </c>
      <c r="F169">
        <f>IF(Entry!$B172="","",IF(Entry!$C172="","0000",IF(AND(ISNUMBER(Entry!$C172),Entry!$C172&gt;=0,Entry!$C172&lt;1),RIGHT("00"&amp;HOUR(Entry!$C172),2)&amp;RIGHT("00"&amp;MINUTE(Entry!$C172),2),IFERROR(RIGHT("00"&amp;VALUE(LEFT(Entry!$C172,FIND(":",Entry!$C172)-1)),2)&amp;RIGHT("00"&amp;VALUE(MID(Entry!$C172,FIND(":",Entry!$C172)+1,2)),2),"0000"))))</f>
        <v/>
      </c>
      <c r="G169">
        <f>IF($A169="","",Entry!$G172)</f>
        <v/>
      </c>
      <c r="H169">
        <f>IF($A169="","",IF(Entry!$H172="",0,Entry!$H172))</f>
        <v/>
      </c>
      <c r="I169">
        <f>IF($A169="","",IF(Entry!$I172="",0,Entry!$I172))</f>
        <v/>
      </c>
      <c r="J169">
        <f>IF($A169="","",ROUND($H169*$I169,0))</f>
        <v/>
      </c>
      <c r="K169">
        <f>IF($A169="","",Entry!$D172)</f>
        <v/>
      </c>
      <c r="L169">
        <f>IF($A169="","",Entry!$L172)</f>
        <v/>
      </c>
      <c r="N169">
        <f>IF(OR(Sync!$M169="",$Q169="",$Q169="نامعتبر"),"",Sync!$M169)</f>
        <v/>
      </c>
      <c r="O169">
        <f>IF($N169="","",$Q169)</f>
        <v/>
      </c>
      <c r="P169">
        <f>IF($N169="","",LEFT($Q169,4)&amp;MID($Q169,6,2)&amp;RIGHT($Q169,2)&amp;IF(Sync!$K169="","0000",IF(AND(ISNUMBER(Sync!$K169),Sync!$K169&gt;=0,Sync!$K169&lt;1),RIGHT("00"&amp;HOUR(Sync!$K169),2)&amp;RIGHT("00"&amp;MINUTE(Sync!$K169),2),IFERROR(RIGHT("00"&amp;VALUE(LEFT(Sync!$K169,FIND(":",Sync!$K169)-1)),2)&amp;RIGHT("00"&amp;VALUE(MID(Sync!$K169,FIND(":",Sync!$K169)+1,2)),2),"0000")))&amp;"|"&amp;"2"&amp;RIGHT("00000"&amp;164,5))</f>
        <v/>
      </c>
      <c r="Q169">
        <f>IF(Sync!$J169="","",IF(ISNUMBER(Sync!$J169),IF(AND(Sync!$J169&gt;=10000101,Sync!$J169&lt;=99991231),INT(Sync!$J169/10000)&amp;"/"&amp;RIGHT("00"&amp;INT(MOD(Sync!$J169,10000)/100),2)&amp;"/"&amp;RIGHT("00"&amp;MOD(Sync!$J169,100),2),"نامعتبر"),IF(LEN(Sync!$J169)=10,Sync!$J169,"نامعتبر")))</f>
        <v/>
      </c>
      <c r="R169">
        <f>IF($P169="","",COUNTIFS($N$6:$N$2005,$N169,$P$6:$P$2005,"&lt;"&amp;$P169)+COUNTIFS($A$6:$A$1005,$N169,$B$6:$B$1005,"&lt;"&amp;$P169)+1)</f>
        <v/>
      </c>
      <c r="S169">
        <f>IF($N169="","",$N169&amp;"|"&amp;RIGHT("000000"&amp;$R169,6))</f>
        <v/>
      </c>
      <c r="T169">
        <f>IF($N169="","",IF(Sync!$N169="",0,Sync!$N169))</f>
        <v/>
      </c>
      <c r="U169">
        <f>IF($N169="","",IF(Sync!$O169="",0,Sync!$O169))</f>
        <v/>
      </c>
      <c r="V169">
        <f>IF($N169="","",Sync!$L169)</f>
        <v/>
      </c>
      <c r="W169">
        <f>IF($N169="","",Sync!$P169)</f>
        <v/>
      </c>
      <c r="AA169">
        <f>IF($A169="","",IF(COUNTIF($A$6:$A169,$A169)=1,1,0))</f>
        <v/>
      </c>
      <c r="AB169">
        <f>SUM($AA$6:$AA169)</f>
        <v/>
      </c>
      <c r="AC169">
        <f>IFERROR(INDEX($A$6:$A$1005,MATCH(ROW()-5,$AB$6:$AB$1005,0)),"")</f>
        <v/>
      </c>
    </row>
    <row r="170">
      <c r="A170">
        <f>IF(OR(Entry!$B173="",Entry!$E173="",$E170="نامعتبر"),"",Entry!$E173)</f>
        <v/>
      </c>
      <c r="B170">
        <f>IF($A170="","",LEFT($E170,4)&amp;MID($E170,6,2)&amp;RIGHT($E170,2)&amp;$F170&amp;"|"&amp;"1"&amp;RIGHT("00000"&amp;165,5))</f>
        <v/>
      </c>
      <c r="C170">
        <f>IF($B170="","",COUNTIFS($A$6:$A$1005,$A170,$B$6:$B$1005,"&lt;"&amp;$B170)+COUNTIFS($N$6:$N$2005,$A170,$P$6:$P$2005,"&lt;"&amp;$B170)+1)</f>
        <v/>
      </c>
      <c r="D170">
        <f>IF($C170="","",$A170&amp;"|"&amp;RIGHT("000000"&amp;$C170,6))</f>
        <v/>
      </c>
      <c r="E170">
        <f>IF(Entry!$B173="","",IF(ISNUMBER(Entry!$B173),IF(AND(Entry!$B173&gt;=10000101,Entry!$B173&lt;=99991231),INT(Entry!$B173/10000)&amp;"/"&amp;RIGHT("00"&amp;INT(MOD(Entry!$B173,10000)/100),2)&amp;"/"&amp;RIGHT("00"&amp;MOD(Entry!$B173,100),2),"نامعتبر"),IF(LEN(Entry!$B173)=10,Entry!$B173,"نامعتبر")))</f>
        <v/>
      </c>
      <c r="F170">
        <f>IF(Entry!$B173="","",IF(Entry!$C173="","0000",IF(AND(ISNUMBER(Entry!$C173),Entry!$C173&gt;=0,Entry!$C173&lt;1),RIGHT("00"&amp;HOUR(Entry!$C173),2)&amp;RIGHT("00"&amp;MINUTE(Entry!$C173),2),IFERROR(RIGHT("00"&amp;VALUE(LEFT(Entry!$C173,FIND(":",Entry!$C173)-1)),2)&amp;RIGHT("00"&amp;VALUE(MID(Entry!$C173,FIND(":",Entry!$C173)+1,2)),2),"0000"))))</f>
        <v/>
      </c>
      <c r="G170">
        <f>IF($A170="","",Entry!$G173)</f>
        <v/>
      </c>
      <c r="H170">
        <f>IF($A170="","",IF(Entry!$H173="",0,Entry!$H173))</f>
        <v/>
      </c>
      <c r="I170">
        <f>IF($A170="","",IF(Entry!$I173="",0,Entry!$I173))</f>
        <v/>
      </c>
      <c r="J170">
        <f>IF($A170="","",ROUND($H170*$I170,0))</f>
        <v/>
      </c>
      <c r="K170">
        <f>IF($A170="","",Entry!$D173)</f>
        <v/>
      </c>
      <c r="L170">
        <f>IF($A170="","",Entry!$L173)</f>
        <v/>
      </c>
      <c r="N170">
        <f>IF(OR(Sync!$M170="",$Q170="",$Q170="نامعتبر"),"",Sync!$M170)</f>
        <v/>
      </c>
      <c r="O170">
        <f>IF($N170="","",$Q170)</f>
        <v/>
      </c>
      <c r="P170">
        <f>IF($N170="","",LEFT($Q170,4)&amp;MID($Q170,6,2)&amp;RIGHT($Q170,2)&amp;IF(Sync!$K170="","0000",IF(AND(ISNUMBER(Sync!$K170),Sync!$K170&gt;=0,Sync!$K170&lt;1),RIGHT("00"&amp;HOUR(Sync!$K170),2)&amp;RIGHT("00"&amp;MINUTE(Sync!$K170),2),IFERROR(RIGHT("00"&amp;VALUE(LEFT(Sync!$K170,FIND(":",Sync!$K170)-1)),2)&amp;RIGHT("00"&amp;VALUE(MID(Sync!$K170,FIND(":",Sync!$K170)+1,2)),2),"0000")))&amp;"|"&amp;"2"&amp;RIGHT("00000"&amp;165,5))</f>
        <v/>
      </c>
      <c r="Q170">
        <f>IF(Sync!$J170="","",IF(ISNUMBER(Sync!$J170),IF(AND(Sync!$J170&gt;=10000101,Sync!$J170&lt;=99991231),INT(Sync!$J170/10000)&amp;"/"&amp;RIGHT("00"&amp;INT(MOD(Sync!$J170,10000)/100),2)&amp;"/"&amp;RIGHT("00"&amp;MOD(Sync!$J170,100),2),"نامعتبر"),IF(LEN(Sync!$J170)=10,Sync!$J170,"نامعتبر")))</f>
        <v/>
      </c>
      <c r="R170">
        <f>IF($P170="","",COUNTIFS($N$6:$N$2005,$N170,$P$6:$P$2005,"&lt;"&amp;$P170)+COUNTIFS($A$6:$A$1005,$N170,$B$6:$B$1005,"&lt;"&amp;$P170)+1)</f>
        <v/>
      </c>
      <c r="S170">
        <f>IF($N170="","",$N170&amp;"|"&amp;RIGHT("000000"&amp;$R170,6))</f>
        <v/>
      </c>
      <c r="T170">
        <f>IF($N170="","",IF(Sync!$N170="",0,Sync!$N170))</f>
        <v/>
      </c>
      <c r="U170">
        <f>IF($N170="","",IF(Sync!$O170="",0,Sync!$O170))</f>
        <v/>
      </c>
      <c r="V170">
        <f>IF($N170="","",Sync!$L170)</f>
        <v/>
      </c>
      <c r="W170">
        <f>IF($N170="","",Sync!$P170)</f>
        <v/>
      </c>
      <c r="AA170">
        <f>IF($A170="","",IF(COUNTIF($A$6:$A170,$A170)=1,1,0))</f>
        <v/>
      </c>
      <c r="AB170">
        <f>SUM($AA$6:$AA170)</f>
        <v/>
      </c>
      <c r="AC170">
        <f>IFERROR(INDEX($A$6:$A$1005,MATCH(ROW()-5,$AB$6:$AB$1005,0)),"")</f>
        <v/>
      </c>
    </row>
    <row r="171">
      <c r="A171">
        <f>IF(OR(Entry!$B174="",Entry!$E174="",$E171="نامعتبر"),"",Entry!$E174)</f>
        <v/>
      </c>
      <c r="B171">
        <f>IF($A171="","",LEFT($E171,4)&amp;MID($E171,6,2)&amp;RIGHT($E171,2)&amp;$F171&amp;"|"&amp;"1"&amp;RIGHT("00000"&amp;166,5))</f>
        <v/>
      </c>
      <c r="C171">
        <f>IF($B171="","",COUNTIFS($A$6:$A$1005,$A171,$B$6:$B$1005,"&lt;"&amp;$B171)+COUNTIFS($N$6:$N$2005,$A171,$P$6:$P$2005,"&lt;"&amp;$B171)+1)</f>
        <v/>
      </c>
      <c r="D171">
        <f>IF($C171="","",$A171&amp;"|"&amp;RIGHT("000000"&amp;$C171,6))</f>
        <v/>
      </c>
      <c r="E171">
        <f>IF(Entry!$B174="","",IF(ISNUMBER(Entry!$B174),IF(AND(Entry!$B174&gt;=10000101,Entry!$B174&lt;=99991231),INT(Entry!$B174/10000)&amp;"/"&amp;RIGHT("00"&amp;INT(MOD(Entry!$B174,10000)/100),2)&amp;"/"&amp;RIGHT("00"&amp;MOD(Entry!$B174,100),2),"نامعتبر"),IF(LEN(Entry!$B174)=10,Entry!$B174,"نامعتبر")))</f>
        <v/>
      </c>
      <c r="F171">
        <f>IF(Entry!$B174="","",IF(Entry!$C174="","0000",IF(AND(ISNUMBER(Entry!$C174),Entry!$C174&gt;=0,Entry!$C174&lt;1),RIGHT("00"&amp;HOUR(Entry!$C174),2)&amp;RIGHT("00"&amp;MINUTE(Entry!$C174),2),IFERROR(RIGHT("00"&amp;VALUE(LEFT(Entry!$C174,FIND(":",Entry!$C174)-1)),2)&amp;RIGHT("00"&amp;VALUE(MID(Entry!$C174,FIND(":",Entry!$C174)+1,2)),2),"0000"))))</f>
        <v/>
      </c>
      <c r="G171">
        <f>IF($A171="","",Entry!$G174)</f>
        <v/>
      </c>
      <c r="H171">
        <f>IF($A171="","",IF(Entry!$H174="",0,Entry!$H174))</f>
        <v/>
      </c>
      <c r="I171">
        <f>IF($A171="","",IF(Entry!$I174="",0,Entry!$I174))</f>
        <v/>
      </c>
      <c r="J171">
        <f>IF($A171="","",ROUND($H171*$I171,0))</f>
        <v/>
      </c>
      <c r="K171">
        <f>IF($A171="","",Entry!$D174)</f>
        <v/>
      </c>
      <c r="L171">
        <f>IF($A171="","",Entry!$L174)</f>
        <v/>
      </c>
      <c r="N171">
        <f>IF(OR(Sync!$M171="",$Q171="",$Q171="نامعتبر"),"",Sync!$M171)</f>
        <v/>
      </c>
      <c r="O171">
        <f>IF($N171="","",$Q171)</f>
        <v/>
      </c>
      <c r="P171">
        <f>IF($N171="","",LEFT($Q171,4)&amp;MID($Q171,6,2)&amp;RIGHT($Q171,2)&amp;IF(Sync!$K171="","0000",IF(AND(ISNUMBER(Sync!$K171),Sync!$K171&gt;=0,Sync!$K171&lt;1),RIGHT("00"&amp;HOUR(Sync!$K171),2)&amp;RIGHT("00"&amp;MINUTE(Sync!$K171),2),IFERROR(RIGHT("00"&amp;VALUE(LEFT(Sync!$K171,FIND(":",Sync!$K171)-1)),2)&amp;RIGHT("00"&amp;VALUE(MID(Sync!$K171,FIND(":",Sync!$K171)+1,2)),2),"0000")))&amp;"|"&amp;"2"&amp;RIGHT("00000"&amp;166,5))</f>
        <v/>
      </c>
      <c r="Q171">
        <f>IF(Sync!$J171="","",IF(ISNUMBER(Sync!$J171),IF(AND(Sync!$J171&gt;=10000101,Sync!$J171&lt;=99991231),INT(Sync!$J171/10000)&amp;"/"&amp;RIGHT("00"&amp;INT(MOD(Sync!$J171,10000)/100),2)&amp;"/"&amp;RIGHT("00"&amp;MOD(Sync!$J171,100),2),"نامعتبر"),IF(LEN(Sync!$J171)=10,Sync!$J171,"نامعتبر")))</f>
        <v/>
      </c>
      <c r="R171">
        <f>IF($P171="","",COUNTIFS($N$6:$N$2005,$N171,$P$6:$P$2005,"&lt;"&amp;$P171)+COUNTIFS($A$6:$A$1005,$N171,$B$6:$B$1005,"&lt;"&amp;$P171)+1)</f>
        <v/>
      </c>
      <c r="S171">
        <f>IF($N171="","",$N171&amp;"|"&amp;RIGHT("000000"&amp;$R171,6))</f>
        <v/>
      </c>
      <c r="T171">
        <f>IF($N171="","",IF(Sync!$N171="",0,Sync!$N171))</f>
        <v/>
      </c>
      <c r="U171">
        <f>IF($N171="","",IF(Sync!$O171="",0,Sync!$O171))</f>
        <v/>
      </c>
      <c r="V171">
        <f>IF($N171="","",Sync!$L171)</f>
        <v/>
      </c>
      <c r="W171">
        <f>IF($N171="","",Sync!$P171)</f>
        <v/>
      </c>
      <c r="AA171">
        <f>IF($A171="","",IF(COUNTIF($A$6:$A171,$A171)=1,1,0))</f>
        <v/>
      </c>
      <c r="AB171">
        <f>SUM($AA$6:$AA171)</f>
        <v/>
      </c>
      <c r="AC171">
        <f>IFERROR(INDEX($A$6:$A$1005,MATCH(ROW()-5,$AB$6:$AB$1005,0)),"")</f>
        <v/>
      </c>
    </row>
    <row r="172">
      <c r="A172">
        <f>IF(OR(Entry!$B175="",Entry!$E175="",$E172="نامعتبر"),"",Entry!$E175)</f>
        <v/>
      </c>
      <c r="B172">
        <f>IF($A172="","",LEFT($E172,4)&amp;MID($E172,6,2)&amp;RIGHT($E172,2)&amp;$F172&amp;"|"&amp;"1"&amp;RIGHT("00000"&amp;167,5))</f>
        <v/>
      </c>
      <c r="C172">
        <f>IF($B172="","",COUNTIFS($A$6:$A$1005,$A172,$B$6:$B$1005,"&lt;"&amp;$B172)+COUNTIFS($N$6:$N$2005,$A172,$P$6:$P$2005,"&lt;"&amp;$B172)+1)</f>
        <v/>
      </c>
      <c r="D172">
        <f>IF($C172="","",$A172&amp;"|"&amp;RIGHT("000000"&amp;$C172,6))</f>
        <v/>
      </c>
      <c r="E172">
        <f>IF(Entry!$B175="","",IF(ISNUMBER(Entry!$B175),IF(AND(Entry!$B175&gt;=10000101,Entry!$B175&lt;=99991231),INT(Entry!$B175/10000)&amp;"/"&amp;RIGHT("00"&amp;INT(MOD(Entry!$B175,10000)/100),2)&amp;"/"&amp;RIGHT("00"&amp;MOD(Entry!$B175,100),2),"نامعتبر"),IF(LEN(Entry!$B175)=10,Entry!$B175,"نامعتبر")))</f>
        <v/>
      </c>
      <c r="F172">
        <f>IF(Entry!$B175="","",IF(Entry!$C175="","0000",IF(AND(ISNUMBER(Entry!$C175),Entry!$C175&gt;=0,Entry!$C175&lt;1),RIGHT("00"&amp;HOUR(Entry!$C175),2)&amp;RIGHT("00"&amp;MINUTE(Entry!$C175),2),IFERROR(RIGHT("00"&amp;VALUE(LEFT(Entry!$C175,FIND(":",Entry!$C175)-1)),2)&amp;RIGHT("00"&amp;VALUE(MID(Entry!$C175,FIND(":",Entry!$C175)+1,2)),2),"0000"))))</f>
        <v/>
      </c>
      <c r="G172">
        <f>IF($A172="","",Entry!$G175)</f>
        <v/>
      </c>
      <c r="H172">
        <f>IF($A172="","",IF(Entry!$H175="",0,Entry!$H175))</f>
        <v/>
      </c>
      <c r="I172">
        <f>IF($A172="","",IF(Entry!$I175="",0,Entry!$I175))</f>
        <v/>
      </c>
      <c r="J172">
        <f>IF($A172="","",ROUND($H172*$I172,0))</f>
        <v/>
      </c>
      <c r="K172">
        <f>IF($A172="","",Entry!$D175)</f>
        <v/>
      </c>
      <c r="L172">
        <f>IF($A172="","",Entry!$L175)</f>
        <v/>
      </c>
      <c r="N172">
        <f>IF(OR(Sync!$M172="",$Q172="",$Q172="نامعتبر"),"",Sync!$M172)</f>
        <v/>
      </c>
      <c r="O172">
        <f>IF($N172="","",$Q172)</f>
        <v/>
      </c>
      <c r="P172">
        <f>IF($N172="","",LEFT($Q172,4)&amp;MID($Q172,6,2)&amp;RIGHT($Q172,2)&amp;IF(Sync!$K172="","0000",IF(AND(ISNUMBER(Sync!$K172),Sync!$K172&gt;=0,Sync!$K172&lt;1),RIGHT("00"&amp;HOUR(Sync!$K172),2)&amp;RIGHT("00"&amp;MINUTE(Sync!$K172),2),IFERROR(RIGHT("00"&amp;VALUE(LEFT(Sync!$K172,FIND(":",Sync!$K172)-1)),2)&amp;RIGHT("00"&amp;VALUE(MID(Sync!$K172,FIND(":",Sync!$K172)+1,2)),2),"0000")))&amp;"|"&amp;"2"&amp;RIGHT("00000"&amp;167,5))</f>
        <v/>
      </c>
      <c r="Q172">
        <f>IF(Sync!$J172="","",IF(ISNUMBER(Sync!$J172),IF(AND(Sync!$J172&gt;=10000101,Sync!$J172&lt;=99991231),INT(Sync!$J172/10000)&amp;"/"&amp;RIGHT("00"&amp;INT(MOD(Sync!$J172,10000)/100),2)&amp;"/"&amp;RIGHT("00"&amp;MOD(Sync!$J172,100),2),"نامعتبر"),IF(LEN(Sync!$J172)=10,Sync!$J172,"نامعتبر")))</f>
        <v/>
      </c>
      <c r="R172">
        <f>IF($P172="","",COUNTIFS($N$6:$N$2005,$N172,$P$6:$P$2005,"&lt;"&amp;$P172)+COUNTIFS($A$6:$A$1005,$N172,$B$6:$B$1005,"&lt;"&amp;$P172)+1)</f>
        <v/>
      </c>
      <c r="S172">
        <f>IF($N172="","",$N172&amp;"|"&amp;RIGHT("000000"&amp;$R172,6))</f>
        <v/>
      </c>
      <c r="T172">
        <f>IF($N172="","",IF(Sync!$N172="",0,Sync!$N172))</f>
        <v/>
      </c>
      <c r="U172">
        <f>IF($N172="","",IF(Sync!$O172="",0,Sync!$O172))</f>
        <v/>
      </c>
      <c r="V172">
        <f>IF($N172="","",Sync!$L172)</f>
        <v/>
      </c>
      <c r="W172">
        <f>IF($N172="","",Sync!$P172)</f>
        <v/>
      </c>
      <c r="AA172">
        <f>IF($A172="","",IF(COUNTIF($A$6:$A172,$A172)=1,1,0))</f>
        <v/>
      </c>
      <c r="AB172">
        <f>SUM($AA$6:$AA172)</f>
        <v/>
      </c>
      <c r="AC172">
        <f>IFERROR(INDEX($A$6:$A$1005,MATCH(ROW()-5,$AB$6:$AB$1005,0)),"")</f>
        <v/>
      </c>
    </row>
    <row r="173">
      <c r="A173">
        <f>IF(OR(Entry!$B176="",Entry!$E176="",$E173="نامعتبر"),"",Entry!$E176)</f>
        <v/>
      </c>
      <c r="B173">
        <f>IF($A173="","",LEFT($E173,4)&amp;MID($E173,6,2)&amp;RIGHT($E173,2)&amp;$F173&amp;"|"&amp;"1"&amp;RIGHT("00000"&amp;168,5))</f>
        <v/>
      </c>
      <c r="C173">
        <f>IF($B173="","",COUNTIFS($A$6:$A$1005,$A173,$B$6:$B$1005,"&lt;"&amp;$B173)+COUNTIFS($N$6:$N$2005,$A173,$P$6:$P$2005,"&lt;"&amp;$B173)+1)</f>
        <v/>
      </c>
      <c r="D173">
        <f>IF($C173="","",$A173&amp;"|"&amp;RIGHT("000000"&amp;$C173,6))</f>
        <v/>
      </c>
      <c r="E173">
        <f>IF(Entry!$B176="","",IF(ISNUMBER(Entry!$B176),IF(AND(Entry!$B176&gt;=10000101,Entry!$B176&lt;=99991231),INT(Entry!$B176/10000)&amp;"/"&amp;RIGHT("00"&amp;INT(MOD(Entry!$B176,10000)/100),2)&amp;"/"&amp;RIGHT("00"&amp;MOD(Entry!$B176,100),2),"نامعتبر"),IF(LEN(Entry!$B176)=10,Entry!$B176,"نامعتبر")))</f>
        <v/>
      </c>
      <c r="F173">
        <f>IF(Entry!$B176="","",IF(Entry!$C176="","0000",IF(AND(ISNUMBER(Entry!$C176),Entry!$C176&gt;=0,Entry!$C176&lt;1),RIGHT("00"&amp;HOUR(Entry!$C176),2)&amp;RIGHT("00"&amp;MINUTE(Entry!$C176),2),IFERROR(RIGHT("00"&amp;VALUE(LEFT(Entry!$C176,FIND(":",Entry!$C176)-1)),2)&amp;RIGHT("00"&amp;VALUE(MID(Entry!$C176,FIND(":",Entry!$C176)+1,2)),2),"0000"))))</f>
        <v/>
      </c>
      <c r="G173">
        <f>IF($A173="","",Entry!$G176)</f>
        <v/>
      </c>
      <c r="H173">
        <f>IF($A173="","",IF(Entry!$H176="",0,Entry!$H176))</f>
        <v/>
      </c>
      <c r="I173">
        <f>IF($A173="","",IF(Entry!$I176="",0,Entry!$I176))</f>
        <v/>
      </c>
      <c r="J173">
        <f>IF($A173="","",ROUND($H173*$I173,0))</f>
        <v/>
      </c>
      <c r="K173">
        <f>IF($A173="","",Entry!$D176)</f>
        <v/>
      </c>
      <c r="L173">
        <f>IF($A173="","",Entry!$L176)</f>
        <v/>
      </c>
      <c r="N173">
        <f>IF(OR(Sync!$M173="",$Q173="",$Q173="نامعتبر"),"",Sync!$M173)</f>
        <v/>
      </c>
      <c r="O173">
        <f>IF($N173="","",$Q173)</f>
        <v/>
      </c>
      <c r="P173">
        <f>IF($N173="","",LEFT($Q173,4)&amp;MID($Q173,6,2)&amp;RIGHT($Q173,2)&amp;IF(Sync!$K173="","0000",IF(AND(ISNUMBER(Sync!$K173),Sync!$K173&gt;=0,Sync!$K173&lt;1),RIGHT("00"&amp;HOUR(Sync!$K173),2)&amp;RIGHT("00"&amp;MINUTE(Sync!$K173),2),IFERROR(RIGHT("00"&amp;VALUE(LEFT(Sync!$K173,FIND(":",Sync!$K173)-1)),2)&amp;RIGHT("00"&amp;VALUE(MID(Sync!$K173,FIND(":",Sync!$K173)+1,2)),2),"0000")))&amp;"|"&amp;"2"&amp;RIGHT("00000"&amp;168,5))</f>
        <v/>
      </c>
      <c r="Q173">
        <f>IF(Sync!$J173="","",IF(ISNUMBER(Sync!$J173),IF(AND(Sync!$J173&gt;=10000101,Sync!$J173&lt;=99991231),INT(Sync!$J173/10000)&amp;"/"&amp;RIGHT("00"&amp;INT(MOD(Sync!$J173,10000)/100),2)&amp;"/"&amp;RIGHT("00"&amp;MOD(Sync!$J173,100),2),"نامعتبر"),IF(LEN(Sync!$J173)=10,Sync!$J173,"نامعتبر")))</f>
        <v/>
      </c>
      <c r="R173">
        <f>IF($P173="","",COUNTIFS($N$6:$N$2005,$N173,$P$6:$P$2005,"&lt;"&amp;$P173)+COUNTIFS($A$6:$A$1005,$N173,$B$6:$B$1005,"&lt;"&amp;$P173)+1)</f>
        <v/>
      </c>
      <c r="S173">
        <f>IF($N173="","",$N173&amp;"|"&amp;RIGHT("000000"&amp;$R173,6))</f>
        <v/>
      </c>
      <c r="T173">
        <f>IF($N173="","",IF(Sync!$N173="",0,Sync!$N173))</f>
        <v/>
      </c>
      <c r="U173">
        <f>IF($N173="","",IF(Sync!$O173="",0,Sync!$O173))</f>
        <v/>
      </c>
      <c r="V173">
        <f>IF($N173="","",Sync!$L173)</f>
        <v/>
      </c>
      <c r="W173">
        <f>IF($N173="","",Sync!$P173)</f>
        <v/>
      </c>
      <c r="AA173">
        <f>IF($A173="","",IF(COUNTIF($A$6:$A173,$A173)=1,1,0))</f>
        <v/>
      </c>
      <c r="AB173">
        <f>SUM($AA$6:$AA173)</f>
        <v/>
      </c>
      <c r="AC173">
        <f>IFERROR(INDEX($A$6:$A$1005,MATCH(ROW()-5,$AB$6:$AB$1005,0)),"")</f>
        <v/>
      </c>
    </row>
    <row r="174">
      <c r="A174">
        <f>IF(OR(Entry!$B177="",Entry!$E177="",$E174="نامعتبر"),"",Entry!$E177)</f>
        <v/>
      </c>
      <c r="B174">
        <f>IF($A174="","",LEFT($E174,4)&amp;MID($E174,6,2)&amp;RIGHT($E174,2)&amp;$F174&amp;"|"&amp;"1"&amp;RIGHT("00000"&amp;169,5))</f>
        <v/>
      </c>
      <c r="C174">
        <f>IF($B174="","",COUNTIFS($A$6:$A$1005,$A174,$B$6:$B$1005,"&lt;"&amp;$B174)+COUNTIFS($N$6:$N$2005,$A174,$P$6:$P$2005,"&lt;"&amp;$B174)+1)</f>
        <v/>
      </c>
      <c r="D174">
        <f>IF($C174="","",$A174&amp;"|"&amp;RIGHT("000000"&amp;$C174,6))</f>
        <v/>
      </c>
      <c r="E174">
        <f>IF(Entry!$B177="","",IF(ISNUMBER(Entry!$B177),IF(AND(Entry!$B177&gt;=10000101,Entry!$B177&lt;=99991231),INT(Entry!$B177/10000)&amp;"/"&amp;RIGHT("00"&amp;INT(MOD(Entry!$B177,10000)/100),2)&amp;"/"&amp;RIGHT("00"&amp;MOD(Entry!$B177,100),2),"نامعتبر"),IF(LEN(Entry!$B177)=10,Entry!$B177,"نامعتبر")))</f>
        <v/>
      </c>
      <c r="F174">
        <f>IF(Entry!$B177="","",IF(Entry!$C177="","0000",IF(AND(ISNUMBER(Entry!$C177),Entry!$C177&gt;=0,Entry!$C177&lt;1),RIGHT("00"&amp;HOUR(Entry!$C177),2)&amp;RIGHT("00"&amp;MINUTE(Entry!$C177),2),IFERROR(RIGHT("00"&amp;VALUE(LEFT(Entry!$C177,FIND(":",Entry!$C177)-1)),2)&amp;RIGHT("00"&amp;VALUE(MID(Entry!$C177,FIND(":",Entry!$C177)+1,2)),2),"0000"))))</f>
        <v/>
      </c>
      <c r="G174">
        <f>IF($A174="","",Entry!$G177)</f>
        <v/>
      </c>
      <c r="H174">
        <f>IF($A174="","",IF(Entry!$H177="",0,Entry!$H177))</f>
        <v/>
      </c>
      <c r="I174">
        <f>IF($A174="","",IF(Entry!$I177="",0,Entry!$I177))</f>
        <v/>
      </c>
      <c r="J174">
        <f>IF($A174="","",ROUND($H174*$I174,0))</f>
        <v/>
      </c>
      <c r="K174">
        <f>IF($A174="","",Entry!$D177)</f>
        <v/>
      </c>
      <c r="L174">
        <f>IF($A174="","",Entry!$L177)</f>
        <v/>
      </c>
      <c r="N174">
        <f>IF(OR(Sync!$M174="",$Q174="",$Q174="نامعتبر"),"",Sync!$M174)</f>
        <v/>
      </c>
      <c r="O174">
        <f>IF($N174="","",$Q174)</f>
        <v/>
      </c>
      <c r="P174">
        <f>IF($N174="","",LEFT($Q174,4)&amp;MID($Q174,6,2)&amp;RIGHT($Q174,2)&amp;IF(Sync!$K174="","0000",IF(AND(ISNUMBER(Sync!$K174),Sync!$K174&gt;=0,Sync!$K174&lt;1),RIGHT("00"&amp;HOUR(Sync!$K174),2)&amp;RIGHT("00"&amp;MINUTE(Sync!$K174),2),IFERROR(RIGHT("00"&amp;VALUE(LEFT(Sync!$K174,FIND(":",Sync!$K174)-1)),2)&amp;RIGHT("00"&amp;VALUE(MID(Sync!$K174,FIND(":",Sync!$K174)+1,2)),2),"0000")))&amp;"|"&amp;"2"&amp;RIGHT("00000"&amp;169,5))</f>
        <v/>
      </c>
      <c r="Q174">
        <f>IF(Sync!$J174="","",IF(ISNUMBER(Sync!$J174),IF(AND(Sync!$J174&gt;=10000101,Sync!$J174&lt;=99991231),INT(Sync!$J174/10000)&amp;"/"&amp;RIGHT("00"&amp;INT(MOD(Sync!$J174,10000)/100),2)&amp;"/"&amp;RIGHT("00"&amp;MOD(Sync!$J174,100),2),"نامعتبر"),IF(LEN(Sync!$J174)=10,Sync!$J174,"نامعتبر")))</f>
        <v/>
      </c>
      <c r="R174">
        <f>IF($P174="","",COUNTIFS($N$6:$N$2005,$N174,$P$6:$P$2005,"&lt;"&amp;$P174)+COUNTIFS($A$6:$A$1005,$N174,$B$6:$B$1005,"&lt;"&amp;$P174)+1)</f>
        <v/>
      </c>
      <c r="S174">
        <f>IF($N174="","",$N174&amp;"|"&amp;RIGHT("000000"&amp;$R174,6))</f>
        <v/>
      </c>
      <c r="T174">
        <f>IF($N174="","",IF(Sync!$N174="",0,Sync!$N174))</f>
        <v/>
      </c>
      <c r="U174">
        <f>IF($N174="","",IF(Sync!$O174="",0,Sync!$O174))</f>
        <v/>
      </c>
      <c r="V174">
        <f>IF($N174="","",Sync!$L174)</f>
        <v/>
      </c>
      <c r="W174">
        <f>IF($N174="","",Sync!$P174)</f>
        <v/>
      </c>
      <c r="AA174">
        <f>IF($A174="","",IF(COUNTIF($A$6:$A174,$A174)=1,1,0))</f>
        <v/>
      </c>
      <c r="AB174">
        <f>SUM($AA$6:$AA174)</f>
        <v/>
      </c>
      <c r="AC174">
        <f>IFERROR(INDEX($A$6:$A$1005,MATCH(ROW()-5,$AB$6:$AB$1005,0)),"")</f>
        <v/>
      </c>
    </row>
    <row r="175">
      <c r="A175">
        <f>IF(OR(Entry!$B178="",Entry!$E178="",$E175="نامعتبر"),"",Entry!$E178)</f>
        <v/>
      </c>
      <c r="B175">
        <f>IF($A175="","",LEFT($E175,4)&amp;MID($E175,6,2)&amp;RIGHT($E175,2)&amp;$F175&amp;"|"&amp;"1"&amp;RIGHT("00000"&amp;170,5))</f>
        <v/>
      </c>
      <c r="C175">
        <f>IF($B175="","",COUNTIFS($A$6:$A$1005,$A175,$B$6:$B$1005,"&lt;"&amp;$B175)+COUNTIFS($N$6:$N$2005,$A175,$P$6:$P$2005,"&lt;"&amp;$B175)+1)</f>
        <v/>
      </c>
      <c r="D175">
        <f>IF($C175="","",$A175&amp;"|"&amp;RIGHT("000000"&amp;$C175,6))</f>
        <v/>
      </c>
      <c r="E175">
        <f>IF(Entry!$B178="","",IF(ISNUMBER(Entry!$B178),IF(AND(Entry!$B178&gt;=10000101,Entry!$B178&lt;=99991231),INT(Entry!$B178/10000)&amp;"/"&amp;RIGHT("00"&amp;INT(MOD(Entry!$B178,10000)/100),2)&amp;"/"&amp;RIGHT("00"&amp;MOD(Entry!$B178,100),2),"نامعتبر"),IF(LEN(Entry!$B178)=10,Entry!$B178,"نامعتبر")))</f>
        <v/>
      </c>
      <c r="F175">
        <f>IF(Entry!$B178="","",IF(Entry!$C178="","0000",IF(AND(ISNUMBER(Entry!$C178),Entry!$C178&gt;=0,Entry!$C178&lt;1),RIGHT("00"&amp;HOUR(Entry!$C178),2)&amp;RIGHT("00"&amp;MINUTE(Entry!$C178),2),IFERROR(RIGHT("00"&amp;VALUE(LEFT(Entry!$C178,FIND(":",Entry!$C178)-1)),2)&amp;RIGHT("00"&amp;VALUE(MID(Entry!$C178,FIND(":",Entry!$C178)+1,2)),2),"0000"))))</f>
        <v/>
      </c>
      <c r="G175">
        <f>IF($A175="","",Entry!$G178)</f>
        <v/>
      </c>
      <c r="H175">
        <f>IF($A175="","",IF(Entry!$H178="",0,Entry!$H178))</f>
        <v/>
      </c>
      <c r="I175">
        <f>IF($A175="","",IF(Entry!$I178="",0,Entry!$I178))</f>
        <v/>
      </c>
      <c r="J175">
        <f>IF($A175="","",ROUND($H175*$I175,0))</f>
        <v/>
      </c>
      <c r="K175">
        <f>IF($A175="","",Entry!$D178)</f>
        <v/>
      </c>
      <c r="L175">
        <f>IF($A175="","",Entry!$L178)</f>
        <v/>
      </c>
      <c r="N175">
        <f>IF(OR(Sync!$M175="",$Q175="",$Q175="نامعتبر"),"",Sync!$M175)</f>
        <v/>
      </c>
      <c r="O175">
        <f>IF($N175="","",$Q175)</f>
        <v/>
      </c>
      <c r="P175">
        <f>IF($N175="","",LEFT($Q175,4)&amp;MID($Q175,6,2)&amp;RIGHT($Q175,2)&amp;IF(Sync!$K175="","0000",IF(AND(ISNUMBER(Sync!$K175),Sync!$K175&gt;=0,Sync!$K175&lt;1),RIGHT("00"&amp;HOUR(Sync!$K175),2)&amp;RIGHT("00"&amp;MINUTE(Sync!$K175),2),IFERROR(RIGHT("00"&amp;VALUE(LEFT(Sync!$K175,FIND(":",Sync!$K175)-1)),2)&amp;RIGHT("00"&amp;VALUE(MID(Sync!$K175,FIND(":",Sync!$K175)+1,2)),2),"0000")))&amp;"|"&amp;"2"&amp;RIGHT("00000"&amp;170,5))</f>
        <v/>
      </c>
      <c r="Q175">
        <f>IF(Sync!$J175="","",IF(ISNUMBER(Sync!$J175),IF(AND(Sync!$J175&gt;=10000101,Sync!$J175&lt;=99991231),INT(Sync!$J175/10000)&amp;"/"&amp;RIGHT("00"&amp;INT(MOD(Sync!$J175,10000)/100),2)&amp;"/"&amp;RIGHT("00"&amp;MOD(Sync!$J175,100),2),"نامعتبر"),IF(LEN(Sync!$J175)=10,Sync!$J175,"نامعتبر")))</f>
        <v/>
      </c>
      <c r="R175">
        <f>IF($P175="","",COUNTIFS($N$6:$N$2005,$N175,$P$6:$P$2005,"&lt;"&amp;$P175)+COUNTIFS($A$6:$A$1005,$N175,$B$6:$B$1005,"&lt;"&amp;$P175)+1)</f>
        <v/>
      </c>
      <c r="S175">
        <f>IF($N175="","",$N175&amp;"|"&amp;RIGHT("000000"&amp;$R175,6))</f>
        <v/>
      </c>
      <c r="T175">
        <f>IF($N175="","",IF(Sync!$N175="",0,Sync!$N175))</f>
        <v/>
      </c>
      <c r="U175">
        <f>IF($N175="","",IF(Sync!$O175="",0,Sync!$O175))</f>
        <v/>
      </c>
      <c r="V175">
        <f>IF($N175="","",Sync!$L175)</f>
        <v/>
      </c>
      <c r="W175">
        <f>IF($N175="","",Sync!$P175)</f>
        <v/>
      </c>
      <c r="AA175">
        <f>IF($A175="","",IF(COUNTIF($A$6:$A175,$A175)=1,1,0))</f>
        <v/>
      </c>
      <c r="AB175">
        <f>SUM($AA$6:$AA175)</f>
        <v/>
      </c>
      <c r="AC175">
        <f>IFERROR(INDEX($A$6:$A$1005,MATCH(ROW()-5,$AB$6:$AB$1005,0)),"")</f>
        <v/>
      </c>
    </row>
    <row r="176">
      <c r="A176">
        <f>IF(OR(Entry!$B179="",Entry!$E179="",$E176="نامعتبر"),"",Entry!$E179)</f>
        <v/>
      </c>
      <c r="B176">
        <f>IF($A176="","",LEFT($E176,4)&amp;MID($E176,6,2)&amp;RIGHT($E176,2)&amp;$F176&amp;"|"&amp;"1"&amp;RIGHT("00000"&amp;171,5))</f>
        <v/>
      </c>
      <c r="C176">
        <f>IF($B176="","",COUNTIFS($A$6:$A$1005,$A176,$B$6:$B$1005,"&lt;"&amp;$B176)+COUNTIFS($N$6:$N$2005,$A176,$P$6:$P$2005,"&lt;"&amp;$B176)+1)</f>
        <v/>
      </c>
      <c r="D176">
        <f>IF($C176="","",$A176&amp;"|"&amp;RIGHT("000000"&amp;$C176,6))</f>
        <v/>
      </c>
      <c r="E176">
        <f>IF(Entry!$B179="","",IF(ISNUMBER(Entry!$B179),IF(AND(Entry!$B179&gt;=10000101,Entry!$B179&lt;=99991231),INT(Entry!$B179/10000)&amp;"/"&amp;RIGHT("00"&amp;INT(MOD(Entry!$B179,10000)/100),2)&amp;"/"&amp;RIGHT("00"&amp;MOD(Entry!$B179,100),2),"نامعتبر"),IF(LEN(Entry!$B179)=10,Entry!$B179,"نامعتبر")))</f>
        <v/>
      </c>
      <c r="F176">
        <f>IF(Entry!$B179="","",IF(Entry!$C179="","0000",IF(AND(ISNUMBER(Entry!$C179),Entry!$C179&gt;=0,Entry!$C179&lt;1),RIGHT("00"&amp;HOUR(Entry!$C179),2)&amp;RIGHT("00"&amp;MINUTE(Entry!$C179),2),IFERROR(RIGHT("00"&amp;VALUE(LEFT(Entry!$C179,FIND(":",Entry!$C179)-1)),2)&amp;RIGHT("00"&amp;VALUE(MID(Entry!$C179,FIND(":",Entry!$C179)+1,2)),2),"0000"))))</f>
        <v/>
      </c>
      <c r="G176">
        <f>IF($A176="","",Entry!$G179)</f>
        <v/>
      </c>
      <c r="H176">
        <f>IF($A176="","",IF(Entry!$H179="",0,Entry!$H179))</f>
        <v/>
      </c>
      <c r="I176">
        <f>IF($A176="","",IF(Entry!$I179="",0,Entry!$I179))</f>
        <v/>
      </c>
      <c r="J176">
        <f>IF($A176="","",ROUND($H176*$I176,0))</f>
        <v/>
      </c>
      <c r="K176">
        <f>IF($A176="","",Entry!$D179)</f>
        <v/>
      </c>
      <c r="L176">
        <f>IF($A176="","",Entry!$L179)</f>
        <v/>
      </c>
      <c r="N176">
        <f>IF(OR(Sync!$M176="",$Q176="",$Q176="نامعتبر"),"",Sync!$M176)</f>
        <v/>
      </c>
      <c r="O176">
        <f>IF($N176="","",$Q176)</f>
        <v/>
      </c>
      <c r="P176">
        <f>IF($N176="","",LEFT($Q176,4)&amp;MID($Q176,6,2)&amp;RIGHT($Q176,2)&amp;IF(Sync!$K176="","0000",IF(AND(ISNUMBER(Sync!$K176),Sync!$K176&gt;=0,Sync!$K176&lt;1),RIGHT("00"&amp;HOUR(Sync!$K176),2)&amp;RIGHT("00"&amp;MINUTE(Sync!$K176),2),IFERROR(RIGHT("00"&amp;VALUE(LEFT(Sync!$K176,FIND(":",Sync!$K176)-1)),2)&amp;RIGHT("00"&amp;VALUE(MID(Sync!$K176,FIND(":",Sync!$K176)+1,2)),2),"0000")))&amp;"|"&amp;"2"&amp;RIGHT("00000"&amp;171,5))</f>
        <v/>
      </c>
      <c r="Q176">
        <f>IF(Sync!$J176="","",IF(ISNUMBER(Sync!$J176),IF(AND(Sync!$J176&gt;=10000101,Sync!$J176&lt;=99991231),INT(Sync!$J176/10000)&amp;"/"&amp;RIGHT("00"&amp;INT(MOD(Sync!$J176,10000)/100),2)&amp;"/"&amp;RIGHT("00"&amp;MOD(Sync!$J176,100),2),"نامعتبر"),IF(LEN(Sync!$J176)=10,Sync!$J176,"نامعتبر")))</f>
        <v/>
      </c>
      <c r="R176">
        <f>IF($P176="","",COUNTIFS($N$6:$N$2005,$N176,$P$6:$P$2005,"&lt;"&amp;$P176)+COUNTIFS($A$6:$A$1005,$N176,$B$6:$B$1005,"&lt;"&amp;$P176)+1)</f>
        <v/>
      </c>
      <c r="S176">
        <f>IF($N176="","",$N176&amp;"|"&amp;RIGHT("000000"&amp;$R176,6))</f>
        <v/>
      </c>
      <c r="T176">
        <f>IF($N176="","",IF(Sync!$N176="",0,Sync!$N176))</f>
        <v/>
      </c>
      <c r="U176">
        <f>IF($N176="","",IF(Sync!$O176="",0,Sync!$O176))</f>
        <v/>
      </c>
      <c r="V176">
        <f>IF($N176="","",Sync!$L176)</f>
        <v/>
      </c>
      <c r="W176">
        <f>IF($N176="","",Sync!$P176)</f>
        <v/>
      </c>
      <c r="AA176">
        <f>IF($A176="","",IF(COUNTIF($A$6:$A176,$A176)=1,1,0))</f>
        <v/>
      </c>
      <c r="AB176">
        <f>SUM($AA$6:$AA176)</f>
        <v/>
      </c>
      <c r="AC176">
        <f>IFERROR(INDEX($A$6:$A$1005,MATCH(ROW()-5,$AB$6:$AB$1005,0)),"")</f>
        <v/>
      </c>
    </row>
    <row r="177">
      <c r="A177">
        <f>IF(OR(Entry!$B180="",Entry!$E180="",$E177="نامعتبر"),"",Entry!$E180)</f>
        <v/>
      </c>
      <c r="B177">
        <f>IF($A177="","",LEFT($E177,4)&amp;MID($E177,6,2)&amp;RIGHT($E177,2)&amp;$F177&amp;"|"&amp;"1"&amp;RIGHT("00000"&amp;172,5))</f>
        <v/>
      </c>
      <c r="C177">
        <f>IF($B177="","",COUNTIFS($A$6:$A$1005,$A177,$B$6:$B$1005,"&lt;"&amp;$B177)+COUNTIFS($N$6:$N$2005,$A177,$P$6:$P$2005,"&lt;"&amp;$B177)+1)</f>
        <v/>
      </c>
      <c r="D177">
        <f>IF($C177="","",$A177&amp;"|"&amp;RIGHT("000000"&amp;$C177,6))</f>
        <v/>
      </c>
      <c r="E177">
        <f>IF(Entry!$B180="","",IF(ISNUMBER(Entry!$B180),IF(AND(Entry!$B180&gt;=10000101,Entry!$B180&lt;=99991231),INT(Entry!$B180/10000)&amp;"/"&amp;RIGHT("00"&amp;INT(MOD(Entry!$B180,10000)/100),2)&amp;"/"&amp;RIGHT("00"&amp;MOD(Entry!$B180,100),2),"نامعتبر"),IF(LEN(Entry!$B180)=10,Entry!$B180,"نامعتبر")))</f>
        <v/>
      </c>
      <c r="F177">
        <f>IF(Entry!$B180="","",IF(Entry!$C180="","0000",IF(AND(ISNUMBER(Entry!$C180),Entry!$C180&gt;=0,Entry!$C180&lt;1),RIGHT("00"&amp;HOUR(Entry!$C180),2)&amp;RIGHT("00"&amp;MINUTE(Entry!$C180),2),IFERROR(RIGHT("00"&amp;VALUE(LEFT(Entry!$C180,FIND(":",Entry!$C180)-1)),2)&amp;RIGHT("00"&amp;VALUE(MID(Entry!$C180,FIND(":",Entry!$C180)+1,2)),2),"0000"))))</f>
        <v/>
      </c>
      <c r="G177">
        <f>IF($A177="","",Entry!$G180)</f>
        <v/>
      </c>
      <c r="H177">
        <f>IF($A177="","",IF(Entry!$H180="",0,Entry!$H180))</f>
        <v/>
      </c>
      <c r="I177">
        <f>IF($A177="","",IF(Entry!$I180="",0,Entry!$I180))</f>
        <v/>
      </c>
      <c r="J177">
        <f>IF($A177="","",ROUND($H177*$I177,0))</f>
        <v/>
      </c>
      <c r="K177">
        <f>IF($A177="","",Entry!$D180)</f>
        <v/>
      </c>
      <c r="L177">
        <f>IF($A177="","",Entry!$L180)</f>
        <v/>
      </c>
      <c r="N177">
        <f>IF(OR(Sync!$M177="",$Q177="",$Q177="نامعتبر"),"",Sync!$M177)</f>
        <v/>
      </c>
      <c r="O177">
        <f>IF($N177="","",$Q177)</f>
        <v/>
      </c>
      <c r="P177">
        <f>IF($N177="","",LEFT($Q177,4)&amp;MID($Q177,6,2)&amp;RIGHT($Q177,2)&amp;IF(Sync!$K177="","0000",IF(AND(ISNUMBER(Sync!$K177),Sync!$K177&gt;=0,Sync!$K177&lt;1),RIGHT("00"&amp;HOUR(Sync!$K177),2)&amp;RIGHT("00"&amp;MINUTE(Sync!$K177),2),IFERROR(RIGHT("00"&amp;VALUE(LEFT(Sync!$K177,FIND(":",Sync!$K177)-1)),2)&amp;RIGHT("00"&amp;VALUE(MID(Sync!$K177,FIND(":",Sync!$K177)+1,2)),2),"0000")))&amp;"|"&amp;"2"&amp;RIGHT("00000"&amp;172,5))</f>
        <v/>
      </c>
      <c r="Q177">
        <f>IF(Sync!$J177="","",IF(ISNUMBER(Sync!$J177),IF(AND(Sync!$J177&gt;=10000101,Sync!$J177&lt;=99991231),INT(Sync!$J177/10000)&amp;"/"&amp;RIGHT("00"&amp;INT(MOD(Sync!$J177,10000)/100),2)&amp;"/"&amp;RIGHT("00"&amp;MOD(Sync!$J177,100),2),"نامعتبر"),IF(LEN(Sync!$J177)=10,Sync!$J177,"نامعتبر")))</f>
        <v/>
      </c>
      <c r="R177">
        <f>IF($P177="","",COUNTIFS($N$6:$N$2005,$N177,$P$6:$P$2005,"&lt;"&amp;$P177)+COUNTIFS($A$6:$A$1005,$N177,$B$6:$B$1005,"&lt;"&amp;$P177)+1)</f>
        <v/>
      </c>
      <c r="S177">
        <f>IF($N177="","",$N177&amp;"|"&amp;RIGHT("000000"&amp;$R177,6))</f>
        <v/>
      </c>
      <c r="T177">
        <f>IF($N177="","",IF(Sync!$N177="",0,Sync!$N177))</f>
        <v/>
      </c>
      <c r="U177">
        <f>IF($N177="","",IF(Sync!$O177="",0,Sync!$O177))</f>
        <v/>
      </c>
      <c r="V177">
        <f>IF($N177="","",Sync!$L177)</f>
        <v/>
      </c>
      <c r="W177">
        <f>IF($N177="","",Sync!$P177)</f>
        <v/>
      </c>
      <c r="AA177">
        <f>IF($A177="","",IF(COUNTIF($A$6:$A177,$A177)=1,1,0))</f>
        <v/>
      </c>
      <c r="AB177">
        <f>SUM($AA$6:$AA177)</f>
        <v/>
      </c>
      <c r="AC177">
        <f>IFERROR(INDEX($A$6:$A$1005,MATCH(ROW()-5,$AB$6:$AB$1005,0)),"")</f>
        <v/>
      </c>
    </row>
    <row r="178">
      <c r="A178">
        <f>IF(OR(Entry!$B181="",Entry!$E181="",$E178="نامعتبر"),"",Entry!$E181)</f>
        <v/>
      </c>
      <c r="B178">
        <f>IF($A178="","",LEFT($E178,4)&amp;MID($E178,6,2)&amp;RIGHT($E178,2)&amp;$F178&amp;"|"&amp;"1"&amp;RIGHT("00000"&amp;173,5))</f>
        <v/>
      </c>
      <c r="C178">
        <f>IF($B178="","",COUNTIFS($A$6:$A$1005,$A178,$B$6:$B$1005,"&lt;"&amp;$B178)+COUNTIFS($N$6:$N$2005,$A178,$P$6:$P$2005,"&lt;"&amp;$B178)+1)</f>
        <v/>
      </c>
      <c r="D178">
        <f>IF($C178="","",$A178&amp;"|"&amp;RIGHT("000000"&amp;$C178,6))</f>
        <v/>
      </c>
      <c r="E178">
        <f>IF(Entry!$B181="","",IF(ISNUMBER(Entry!$B181),IF(AND(Entry!$B181&gt;=10000101,Entry!$B181&lt;=99991231),INT(Entry!$B181/10000)&amp;"/"&amp;RIGHT("00"&amp;INT(MOD(Entry!$B181,10000)/100),2)&amp;"/"&amp;RIGHT("00"&amp;MOD(Entry!$B181,100),2),"نامعتبر"),IF(LEN(Entry!$B181)=10,Entry!$B181,"نامعتبر")))</f>
        <v/>
      </c>
      <c r="F178">
        <f>IF(Entry!$B181="","",IF(Entry!$C181="","0000",IF(AND(ISNUMBER(Entry!$C181),Entry!$C181&gt;=0,Entry!$C181&lt;1),RIGHT("00"&amp;HOUR(Entry!$C181),2)&amp;RIGHT("00"&amp;MINUTE(Entry!$C181),2),IFERROR(RIGHT("00"&amp;VALUE(LEFT(Entry!$C181,FIND(":",Entry!$C181)-1)),2)&amp;RIGHT("00"&amp;VALUE(MID(Entry!$C181,FIND(":",Entry!$C181)+1,2)),2),"0000"))))</f>
        <v/>
      </c>
      <c r="G178">
        <f>IF($A178="","",Entry!$G181)</f>
        <v/>
      </c>
      <c r="H178">
        <f>IF($A178="","",IF(Entry!$H181="",0,Entry!$H181))</f>
        <v/>
      </c>
      <c r="I178">
        <f>IF($A178="","",IF(Entry!$I181="",0,Entry!$I181))</f>
        <v/>
      </c>
      <c r="J178">
        <f>IF($A178="","",ROUND($H178*$I178,0))</f>
        <v/>
      </c>
      <c r="K178">
        <f>IF($A178="","",Entry!$D181)</f>
        <v/>
      </c>
      <c r="L178">
        <f>IF($A178="","",Entry!$L181)</f>
        <v/>
      </c>
      <c r="N178">
        <f>IF(OR(Sync!$M178="",$Q178="",$Q178="نامعتبر"),"",Sync!$M178)</f>
        <v/>
      </c>
      <c r="O178">
        <f>IF($N178="","",$Q178)</f>
        <v/>
      </c>
      <c r="P178">
        <f>IF($N178="","",LEFT($Q178,4)&amp;MID($Q178,6,2)&amp;RIGHT($Q178,2)&amp;IF(Sync!$K178="","0000",IF(AND(ISNUMBER(Sync!$K178),Sync!$K178&gt;=0,Sync!$K178&lt;1),RIGHT("00"&amp;HOUR(Sync!$K178),2)&amp;RIGHT("00"&amp;MINUTE(Sync!$K178),2),IFERROR(RIGHT("00"&amp;VALUE(LEFT(Sync!$K178,FIND(":",Sync!$K178)-1)),2)&amp;RIGHT("00"&amp;VALUE(MID(Sync!$K178,FIND(":",Sync!$K178)+1,2)),2),"0000")))&amp;"|"&amp;"2"&amp;RIGHT("00000"&amp;173,5))</f>
        <v/>
      </c>
      <c r="Q178">
        <f>IF(Sync!$J178="","",IF(ISNUMBER(Sync!$J178),IF(AND(Sync!$J178&gt;=10000101,Sync!$J178&lt;=99991231),INT(Sync!$J178/10000)&amp;"/"&amp;RIGHT("00"&amp;INT(MOD(Sync!$J178,10000)/100),2)&amp;"/"&amp;RIGHT("00"&amp;MOD(Sync!$J178,100),2),"نامعتبر"),IF(LEN(Sync!$J178)=10,Sync!$J178,"نامعتبر")))</f>
        <v/>
      </c>
      <c r="R178">
        <f>IF($P178="","",COUNTIFS($N$6:$N$2005,$N178,$P$6:$P$2005,"&lt;"&amp;$P178)+COUNTIFS($A$6:$A$1005,$N178,$B$6:$B$1005,"&lt;"&amp;$P178)+1)</f>
        <v/>
      </c>
      <c r="S178">
        <f>IF($N178="","",$N178&amp;"|"&amp;RIGHT("000000"&amp;$R178,6))</f>
        <v/>
      </c>
      <c r="T178">
        <f>IF($N178="","",IF(Sync!$N178="",0,Sync!$N178))</f>
        <v/>
      </c>
      <c r="U178">
        <f>IF($N178="","",IF(Sync!$O178="",0,Sync!$O178))</f>
        <v/>
      </c>
      <c r="V178">
        <f>IF($N178="","",Sync!$L178)</f>
        <v/>
      </c>
      <c r="W178">
        <f>IF($N178="","",Sync!$P178)</f>
        <v/>
      </c>
      <c r="AA178">
        <f>IF($A178="","",IF(COUNTIF($A$6:$A178,$A178)=1,1,0))</f>
        <v/>
      </c>
      <c r="AB178">
        <f>SUM($AA$6:$AA178)</f>
        <v/>
      </c>
      <c r="AC178">
        <f>IFERROR(INDEX($A$6:$A$1005,MATCH(ROW()-5,$AB$6:$AB$1005,0)),"")</f>
        <v/>
      </c>
    </row>
    <row r="179">
      <c r="A179">
        <f>IF(OR(Entry!$B182="",Entry!$E182="",$E179="نامعتبر"),"",Entry!$E182)</f>
        <v/>
      </c>
      <c r="B179">
        <f>IF($A179="","",LEFT($E179,4)&amp;MID($E179,6,2)&amp;RIGHT($E179,2)&amp;$F179&amp;"|"&amp;"1"&amp;RIGHT("00000"&amp;174,5))</f>
        <v/>
      </c>
      <c r="C179">
        <f>IF($B179="","",COUNTIFS($A$6:$A$1005,$A179,$B$6:$B$1005,"&lt;"&amp;$B179)+COUNTIFS($N$6:$N$2005,$A179,$P$6:$P$2005,"&lt;"&amp;$B179)+1)</f>
        <v/>
      </c>
      <c r="D179">
        <f>IF($C179="","",$A179&amp;"|"&amp;RIGHT("000000"&amp;$C179,6))</f>
        <v/>
      </c>
      <c r="E179">
        <f>IF(Entry!$B182="","",IF(ISNUMBER(Entry!$B182),IF(AND(Entry!$B182&gt;=10000101,Entry!$B182&lt;=99991231),INT(Entry!$B182/10000)&amp;"/"&amp;RIGHT("00"&amp;INT(MOD(Entry!$B182,10000)/100),2)&amp;"/"&amp;RIGHT("00"&amp;MOD(Entry!$B182,100),2),"نامعتبر"),IF(LEN(Entry!$B182)=10,Entry!$B182,"نامعتبر")))</f>
        <v/>
      </c>
      <c r="F179">
        <f>IF(Entry!$B182="","",IF(Entry!$C182="","0000",IF(AND(ISNUMBER(Entry!$C182),Entry!$C182&gt;=0,Entry!$C182&lt;1),RIGHT("00"&amp;HOUR(Entry!$C182),2)&amp;RIGHT("00"&amp;MINUTE(Entry!$C182),2),IFERROR(RIGHT("00"&amp;VALUE(LEFT(Entry!$C182,FIND(":",Entry!$C182)-1)),2)&amp;RIGHT("00"&amp;VALUE(MID(Entry!$C182,FIND(":",Entry!$C182)+1,2)),2),"0000"))))</f>
        <v/>
      </c>
      <c r="G179">
        <f>IF($A179="","",Entry!$G182)</f>
        <v/>
      </c>
      <c r="H179">
        <f>IF($A179="","",IF(Entry!$H182="",0,Entry!$H182))</f>
        <v/>
      </c>
      <c r="I179">
        <f>IF($A179="","",IF(Entry!$I182="",0,Entry!$I182))</f>
        <v/>
      </c>
      <c r="J179">
        <f>IF($A179="","",ROUND($H179*$I179,0))</f>
        <v/>
      </c>
      <c r="K179">
        <f>IF($A179="","",Entry!$D182)</f>
        <v/>
      </c>
      <c r="L179">
        <f>IF($A179="","",Entry!$L182)</f>
        <v/>
      </c>
      <c r="N179">
        <f>IF(OR(Sync!$M179="",$Q179="",$Q179="نامعتبر"),"",Sync!$M179)</f>
        <v/>
      </c>
      <c r="O179">
        <f>IF($N179="","",$Q179)</f>
        <v/>
      </c>
      <c r="P179">
        <f>IF($N179="","",LEFT($Q179,4)&amp;MID($Q179,6,2)&amp;RIGHT($Q179,2)&amp;IF(Sync!$K179="","0000",IF(AND(ISNUMBER(Sync!$K179),Sync!$K179&gt;=0,Sync!$K179&lt;1),RIGHT("00"&amp;HOUR(Sync!$K179),2)&amp;RIGHT("00"&amp;MINUTE(Sync!$K179),2),IFERROR(RIGHT("00"&amp;VALUE(LEFT(Sync!$K179,FIND(":",Sync!$K179)-1)),2)&amp;RIGHT("00"&amp;VALUE(MID(Sync!$K179,FIND(":",Sync!$K179)+1,2)),2),"0000")))&amp;"|"&amp;"2"&amp;RIGHT("00000"&amp;174,5))</f>
        <v/>
      </c>
      <c r="Q179">
        <f>IF(Sync!$J179="","",IF(ISNUMBER(Sync!$J179),IF(AND(Sync!$J179&gt;=10000101,Sync!$J179&lt;=99991231),INT(Sync!$J179/10000)&amp;"/"&amp;RIGHT("00"&amp;INT(MOD(Sync!$J179,10000)/100),2)&amp;"/"&amp;RIGHT("00"&amp;MOD(Sync!$J179,100),2),"نامعتبر"),IF(LEN(Sync!$J179)=10,Sync!$J179,"نامعتبر")))</f>
        <v/>
      </c>
      <c r="R179">
        <f>IF($P179="","",COUNTIFS($N$6:$N$2005,$N179,$P$6:$P$2005,"&lt;"&amp;$P179)+COUNTIFS($A$6:$A$1005,$N179,$B$6:$B$1005,"&lt;"&amp;$P179)+1)</f>
        <v/>
      </c>
      <c r="S179">
        <f>IF($N179="","",$N179&amp;"|"&amp;RIGHT("000000"&amp;$R179,6))</f>
        <v/>
      </c>
      <c r="T179">
        <f>IF($N179="","",IF(Sync!$N179="",0,Sync!$N179))</f>
        <v/>
      </c>
      <c r="U179">
        <f>IF($N179="","",IF(Sync!$O179="",0,Sync!$O179))</f>
        <v/>
      </c>
      <c r="V179">
        <f>IF($N179="","",Sync!$L179)</f>
        <v/>
      </c>
      <c r="W179">
        <f>IF($N179="","",Sync!$P179)</f>
        <v/>
      </c>
      <c r="AA179">
        <f>IF($A179="","",IF(COUNTIF($A$6:$A179,$A179)=1,1,0))</f>
        <v/>
      </c>
      <c r="AB179">
        <f>SUM($AA$6:$AA179)</f>
        <v/>
      </c>
      <c r="AC179">
        <f>IFERROR(INDEX($A$6:$A$1005,MATCH(ROW()-5,$AB$6:$AB$1005,0)),"")</f>
        <v/>
      </c>
    </row>
    <row r="180">
      <c r="A180">
        <f>IF(OR(Entry!$B183="",Entry!$E183="",$E180="نامعتبر"),"",Entry!$E183)</f>
        <v/>
      </c>
      <c r="B180">
        <f>IF($A180="","",LEFT($E180,4)&amp;MID($E180,6,2)&amp;RIGHT($E180,2)&amp;$F180&amp;"|"&amp;"1"&amp;RIGHT("00000"&amp;175,5))</f>
        <v/>
      </c>
      <c r="C180">
        <f>IF($B180="","",COUNTIFS($A$6:$A$1005,$A180,$B$6:$B$1005,"&lt;"&amp;$B180)+COUNTIFS($N$6:$N$2005,$A180,$P$6:$P$2005,"&lt;"&amp;$B180)+1)</f>
        <v/>
      </c>
      <c r="D180">
        <f>IF($C180="","",$A180&amp;"|"&amp;RIGHT("000000"&amp;$C180,6))</f>
        <v/>
      </c>
      <c r="E180">
        <f>IF(Entry!$B183="","",IF(ISNUMBER(Entry!$B183),IF(AND(Entry!$B183&gt;=10000101,Entry!$B183&lt;=99991231),INT(Entry!$B183/10000)&amp;"/"&amp;RIGHT("00"&amp;INT(MOD(Entry!$B183,10000)/100),2)&amp;"/"&amp;RIGHT("00"&amp;MOD(Entry!$B183,100),2),"نامعتبر"),IF(LEN(Entry!$B183)=10,Entry!$B183,"نامعتبر")))</f>
        <v/>
      </c>
      <c r="F180">
        <f>IF(Entry!$B183="","",IF(Entry!$C183="","0000",IF(AND(ISNUMBER(Entry!$C183),Entry!$C183&gt;=0,Entry!$C183&lt;1),RIGHT("00"&amp;HOUR(Entry!$C183),2)&amp;RIGHT("00"&amp;MINUTE(Entry!$C183),2),IFERROR(RIGHT("00"&amp;VALUE(LEFT(Entry!$C183,FIND(":",Entry!$C183)-1)),2)&amp;RIGHT("00"&amp;VALUE(MID(Entry!$C183,FIND(":",Entry!$C183)+1,2)),2),"0000"))))</f>
        <v/>
      </c>
      <c r="G180">
        <f>IF($A180="","",Entry!$G183)</f>
        <v/>
      </c>
      <c r="H180">
        <f>IF($A180="","",IF(Entry!$H183="",0,Entry!$H183))</f>
        <v/>
      </c>
      <c r="I180">
        <f>IF($A180="","",IF(Entry!$I183="",0,Entry!$I183))</f>
        <v/>
      </c>
      <c r="J180">
        <f>IF($A180="","",ROUND($H180*$I180,0))</f>
        <v/>
      </c>
      <c r="K180">
        <f>IF($A180="","",Entry!$D183)</f>
        <v/>
      </c>
      <c r="L180">
        <f>IF($A180="","",Entry!$L183)</f>
        <v/>
      </c>
      <c r="N180">
        <f>IF(OR(Sync!$M180="",$Q180="",$Q180="نامعتبر"),"",Sync!$M180)</f>
        <v/>
      </c>
      <c r="O180">
        <f>IF($N180="","",$Q180)</f>
        <v/>
      </c>
      <c r="P180">
        <f>IF($N180="","",LEFT($Q180,4)&amp;MID($Q180,6,2)&amp;RIGHT($Q180,2)&amp;IF(Sync!$K180="","0000",IF(AND(ISNUMBER(Sync!$K180),Sync!$K180&gt;=0,Sync!$K180&lt;1),RIGHT("00"&amp;HOUR(Sync!$K180),2)&amp;RIGHT("00"&amp;MINUTE(Sync!$K180),2),IFERROR(RIGHT("00"&amp;VALUE(LEFT(Sync!$K180,FIND(":",Sync!$K180)-1)),2)&amp;RIGHT("00"&amp;VALUE(MID(Sync!$K180,FIND(":",Sync!$K180)+1,2)),2),"0000")))&amp;"|"&amp;"2"&amp;RIGHT("00000"&amp;175,5))</f>
        <v/>
      </c>
      <c r="Q180">
        <f>IF(Sync!$J180="","",IF(ISNUMBER(Sync!$J180),IF(AND(Sync!$J180&gt;=10000101,Sync!$J180&lt;=99991231),INT(Sync!$J180/10000)&amp;"/"&amp;RIGHT("00"&amp;INT(MOD(Sync!$J180,10000)/100),2)&amp;"/"&amp;RIGHT("00"&amp;MOD(Sync!$J180,100),2),"نامعتبر"),IF(LEN(Sync!$J180)=10,Sync!$J180,"نامعتبر")))</f>
        <v/>
      </c>
      <c r="R180">
        <f>IF($P180="","",COUNTIFS($N$6:$N$2005,$N180,$P$6:$P$2005,"&lt;"&amp;$P180)+COUNTIFS($A$6:$A$1005,$N180,$B$6:$B$1005,"&lt;"&amp;$P180)+1)</f>
        <v/>
      </c>
      <c r="S180">
        <f>IF($N180="","",$N180&amp;"|"&amp;RIGHT("000000"&amp;$R180,6))</f>
        <v/>
      </c>
      <c r="T180">
        <f>IF($N180="","",IF(Sync!$N180="",0,Sync!$N180))</f>
        <v/>
      </c>
      <c r="U180">
        <f>IF($N180="","",IF(Sync!$O180="",0,Sync!$O180))</f>
        <v/>
      </c>
      <c r="V180">
        <f>IF($N180="","",Sync!$L180)</f>
        <v/>
      </c>
      <c r="W180">
        <f>IF($N180="","",Sync!$P180)</f>
        <v/>
      </c>
      <c r="AA180">
        <f>IF($A180="","",IF(COUNTIF($A$6:$A180,$A180)=1,1,0))</f>
        <v/>
      </c>
      <c r="AB180">
        <f>SUM($AA$6:$AA180)</f>
        <v/>
      </c>
      <c r="AC180">
        <f>IFERROR(INDEX($A$6:$A$1005,MATCH(ROW()-5,$AB$6:$AB$1005,0)),"")</f>
        <v/>
      </c>
    </row>
    <row r="181">
      <c r="A181">
        <f>IF(OR(Entry!$B184="",Entry!$E184="",$E181="نامعتبر"),"",Entry!$E184)</f>
        <v/>
      </c>
      <c r="B181">
        <f>IF($A181="","",LEFT($E181,4)&amp;MID($E181,6,2)&amp;RIGHT($E181,2)&amp;$F181&amp;"|"&amp;"1"&amp;RIGHT("00000"&amp;176,5))</f>
        <v/>
      </c>
      <c r="C181">
        <f>IF($B181="","",COUNTIFS($A$6:$A$1005,$A181,$B$6:$B$1005,"&lt;"&amp;$B181)+COUNTIFS($N$6:$N$2005,$A181,$P$6:$P$2005,"&lt;"&amp;$B181)+1)</f>
        <v/>
      </c>
      <c r="D181">
        <f>IF($C181="","",$A181&amp;"|"&amp;RIGHT("000000"&amp;$C181,6))</f>
        <v/>
      </c>
      <c r="E181">
        <f>IF(Entry!$B184="","",IF(ISNUMBER(Entry!$B184),IF(AND(Entry!$B184&gt;=10000101,Entry!$B184&lt;=99991231),INT(Entry!$B184/10000)&amp;"/"&amp;RIGHT("00"&amp;INT(MOD(Entry!$B184,10000)/100),2)&amp;"/"&amp;RIGHT("00"&amp;MOD(Entry!$B184,100),2),"نامعتبر"),IF(LEN(Entry!$B184)=10,Entry!$B184,"نامعتبر")))</f>
        <v/>
      </c>
      <c r="F181">
        <f>IF(Entry!$B184="","",IF(Entry!$C184="","0000",IF(AND(ISNUMBER(Entry!$C184),Entry!$C184&gt;=0,Entry!$C184&lt;1),RIGHT("00"&amp;HOUR(Entry!$C184),2)&amp;RIGHT("00"&amp;MINUTE(Entry!$C184),2),IFERROR(RIGHT("00"&amp;VALUE(LEFT(Entry!$C184,FIND(":",Entry!$C184)-1)),2)&amp;RIGHT("00"&amp;VALUE(MID(Entry!$C184,FIND(":",Entry!$C184)+1,2)),2),"0000"))))</f>
        <v/>
      </c>
      <c r="G181">
        <f>IF($A181="","",Entry!$G184)</f>
        <v/>
      </c>
      <c r="H181">
        <f>IF($A181="","",IF(Entry!$H184="",0,Entry!$H184))</f>
        <v/>
      </c>
      <c r="I181">
        <f>IF($A181="","",IF(Entry!$I184="",0,Entry!$I184))</f>
        <v/>
      </c>
      <c r="J181">
        <f>IF($A181="","",ROUND($H181*$I181,0))</f>
        <v/>
      </c>
      <c r="K181">
        <f>IF($A181="","",Entry!$D184)</f>
        <v/>
      </c>
      <c r="L181">
        <f>IF($A181="","",Entry!$L184)</f>
        <v/>
      </c>
      <c r="N181">
        <f>IF(OR(Sync!$M181="",$Q181="",$Q181="نامعتبر"),"",Sync!$M181)</f>
        <v/>
      </c>
      <c r="O181">
        <f>IF($N181="","",$Q181)</f>
        <v/>
      </c>
      <c r="P181">
        <f>IF($N181="","",LEFT($Q181,4)&amp;MID($Q181,6,2)&amp;RIGHT($Q181,2)&amp;IF(Sync!$K181="","0000",IF(AND(ISNUMBER(Sync!$K181),Sync!$K181&gt;=0,Sync!$K181&lt;1),RIGHT("00"&amp;HOUR(Sync!$K181),2)&amp;RIGHT("00"&amp;MINUTE(Sync!$K181),2),IFERROR(RIGHT("00"&amp;VALUE(LEFT(Sync!$K181,FIND(":",Sync!$K181)-1)),2)&amp;RIGHT("00"&amp;VALUE(MID(Sync!$K181,FIND(":",Sync!$K181)+1,2)),2),"0000")))&amp;"|"&amp;"2"&amp;RIGHT("00000"&amp;176,5))</f>
        <v/>
      </c>
      <c r="Q181">
        <f>IF(Sync!$J181="","",IF(ISNUMBER(Sync!$J181),IF(AND(Sync!$J181&gt;=10000101,Sync!$J181&lt;=99991231),INT(Sync!$J181/10000)&amp;"/"&amp;RIGHT("00"&amp;INT(MOD(Sync!$J181,10000)/100),2)&amp;"/"&amp;RIGHT("00"&amp;MOD(Sync!$J181,100),2),"نامعتبر"),IF(LEN(Sync!$J181)=10,Sync!$J181,"نامعتبر")))</f>
        <v/>
      </c>
      <c r="R181">
        <f>IF($P181="","",COUNTIFS($N$6:$N$2005,$N181,$P$6:$P$2005,"&lt;"&amp;$P181)+COUNTIFS($A$6:$A$1005,$N181,$B$6:$B$1005,"&lt;"&amp;$P181)+1)</f>
        <v/>
      </c>
      <c r="S181">
        <f>IF($N181="","",$N181&amp;"|"&amp;RIGHT("000000"&amp;$R181,6))</f>
        <v/>
      </c>
      <c r="T181">
        <f>IF($N181="","",IF(Sync!$N181="",0,Sync!$N181))</f>
        <v/>
      </c>
      <c r="U181">
        <f>IF($N181="","",IF(Sync!$O181="",0,Sync!$O181))</f>
        <v/>
      </c>
      <c r="V181">
        <f>IF($N181="","",Sync!$L181)</f>
        <v/>
      </c>
      <c r="W181">
        <f>IF($N181="","",Sync!$P181)</f>
        <v/>
      </c>
      <c r="AA181">
        <f>IF($A181="","",IF(COUNTIF($A$6:$A181,$A181)=1,1,0))</f>
        <v/>
      </c>
      <c r="AB181">
        <f>SUM($AA$6:$AA181)</f>
        <v/>
      </c>
      <c r="AC181">
        <f>IFERROR(INDEX($A$6:$A$1005,MATCH(ROW()-5,$AB$6:$AB$1005,0)),"")</f>
        <v/>
      </c>
    </row>
    <row r="182">
      <c r="A182">
        <f>IF(OR(Entry!$B185="",Entry!$E185="",$E182="نامعتبر"),"",Entry!$E185)</f>
        <v/>
      </c>
      <c r="B182">
        <f>IF($A182="","",LEFT($E182,4)&amp;MID($E182,6,2)&amp;RIGHT($E182,2)&amp;$F182&amp;"|"&amp;"1"&amp;RIGHT("00000"&amp;177,5))</f>
        <v/>
      </c>
      <c r="C182">
        <f>IF($B182="","",COUNTIFS($A$6:$A$1005,$A182,$B$6:$B$1005,"&lt;"&amp;$B182)+COUNTIFS($N$6:$N$2005,$A182,$P$6:$P$2005,"&lt;"&amp;$B182)+1)</f>
        <v/>
      </c>
      <c r="D182">
        <f>IF($C182="","",$A182&amp;"|"&amp;RIGHT("000000"&amp;$C182,6))</f>
        <v/>
      </c>
      <c r="E182">
        <f>IF(Entry!$B185="","",IF(ISNUMBER(Entry!$B185),IF(AND(Entry!$B185&gt;=10000101,Entry!$B185&lt;=99991231),INT(Entry!$B185/10000)&amp;"/"&amp;RIGHT("00"&amp;INT(MOD(Entry!$B185,10000)/100),2)&amp;"/"&amp;RIGHT("00"&amp;MOD(Entry!$B185,100),2),"نامعتبر"),IF(LEN(Entry!$B185)=10,Entry!$B185,"نامعتبر")))</f>
        <v/>
      </c>
      <c r="F182">
        <f>IF(Entry!$B185="","",IF(Entry!$C185="","0000",IF(AND(ISNUMBER(Entry!$C185),Entry!$C185&gt;=0,Entry!$C185&lt;1),RIGHT("00"&amp;HOUR(Entry!$C185),2)&amp;RIGHT("00"&amp;MINUTE(Entry!$C185),2),IFERROR(RIGHT("00"&amp;VALUE(LEFT(Entry!$C185,FIND(":",Entry!$C185)-1)),2)&amp;RIGHT("00"&amp;VALUE(MID(Entry!$C185,FIND(":",Entry!$C185)+1,2)),2),"0000"))))</f>
        <v/>
      </c>
      <c r="G182">
        <f>IF($A182="","",Entry!$G185)</f>
        <v/>
      </c>
      <c r="H182">
        <f>IF($A182="","",IF(Entry!$H185="",0,Entry!$H185))</f>
        <v/>
      </c>
      <c r="I182">
        <f>IF($A182="","",IF(Entry!$I185="",0,Entry!$I185))</f>
        <v/>
      </c>
      <c r="J182">
        <f>IF($A182="","",ROUND($H182*$I182,0))</f>
        <v/>
      </c>
      <c r="K182">
        <f>IF($A182="","",Entry!$D185)</f>
        <v/>
      </c>
      <c r="L182">
        <f>IF($A182="","",Entry!$L185)</f>
        <v/>
      </c>
      <c r="N182">
        <f>IF(OR(Sync!$M182="",$Q182="",$Q182="نامعتبر"),"",Sync!$M182)</f>
        <v/>
      </c>
      <c r="O182">
        <f>IF($N182="","",$Q182)</f>
        <v/>
      </c>
      <c r="P182">
        <f>IF($N182="","",LEFT($Q182,4)&amp;MID($Q182,6,2)&amp;RIGHT($Q182,2)&amp;IF(Sync!$K182="","0000",IF(AND(ISNUMBER(Sync!$K182),Sync!$K182&gt;=0,Sync!$K182&lt;1),RIGHT("00"&amp;HOUR(Sync!$K182),2)&amp;RIGHT("00"&amp;MINUTE(Sync!$K182),2),IFERROR(RIGHT("00"&amp;VALUE(LEFT(Sync!$K182,FIND(":",Sync!$K182)-1)),2)&amp;RIGHT("00"&amp;VALUE(MID(Sync!$K182,FIND(":",Sync!$K182)+1,2)),2),"0000")))&amp;"|"&amp;"2"&amp;RIGHT("00000"&amp;177,5))</f>
        <v/>
      </c>
      <c r="Q182">
        <f>IF(Sync!$J182="","",IF(ISNUMBER(Sync!$J182),IF(AND(Sync!$J182&gt;=10000101,Sync!$J182&lt;=99991231),INT(Sync!$J182/10000)&amp;"/"&amp;RIGHT("00"&amp;INT(MOD(Sync!$J182,10000)/100),2)&amp;"/"&amp;RIGHT("00"&amp;MOD(Sync!$J182,100),2),"نامعتبر"),IF(LEN(Sync!$J182)=10,Sync!$J182,"نامعتبر")))</f>
        <v/>
      </c>
      <c r="R182">
        <f>IF($P182="","",COUNTIFS($N$6:$N$2005,$N182,$P$6:$P$2005,"&lt;"&amp;$P182)+COUNTIFS($A$6:$A$1005,$N182,$B$6:$B$1005,"&lt;"&amp;$P182)+1)</f>
        <v/>
      </c>
      <c r="S182">
        <f>IF($N182="","",$N182&amp;"|"&amp;RIGHT("000000"&amp;$R182,6))</f>
        <v/>
      </c>
      <c r="T182">
        <f>IF($N182="","",IF(Sync!$N182="",0,Sync!$N182))</f>
        <v/>
      </c>
      <c r="U182">
        <f>IF($N182="","",IF(Sync!$O182="",0,Sync!$O182))</f>
        <v/>
      </c>
      <c r="V182">
        <f>IF($N182="","",Sync!$L182)</f>
        <v/>
      </c>
      <c r="W182">
        <f>IF($N182="","",Sync!$P182)</f>
        <v/>
      </c>
      <c r="AA182">
        <f>IF($A182="","",IF(COUNTIF($A$6:$A182,$A182)=1,1,0))</f>
        <v/>
      </c>
      <c r="AB182">
        <f>SUM($AA$6:$AA182)</f>
        <v/>
      </c>
      <c r="AC182">
        <f>IFERROR(INDEX($A$6:$A$1005,MATCH(ROW()-5,$AB$6:$AB$1005,0)),"")</f>
        <v/>
      </c>
    </row>
    <row r="183">
      <c r="A183">
        <f>IF(OR(Entry!$B186="",Entry!$E186="",$E183="نامعتبر"),"",Entry!$E186)</f>
        <v/>
      </c>
      <c r="B183">
        <f>IF($A183="","",LEFT($E183,4)&amp;MID($E183,6,2)&amp;RIGHT($E183,2)&amp;$F183&amp;"|"&amp;"1"&amp;RIGHT("00000"&amp;178,5))</f>
        <v/>
      </c>
      <c r="C183">
        <f>IF($B183="","",COUNTIFS($A$6:$A$1005,$A183,$B$6:$B$1005,"&lt;"&amp;$B183)+COUNTIFS($N$6:$N$2005,$A183,$P$6:$P$2005,"&lt;"&amp;$B183)+1)</f>
        <v/>
      </c>
      <c r="D183">
        <f>IF($C183="","",$A183&amp;"|"&amp;RIGHT("000000"&amp;$C183,6))</f>
        <v/>
      </c>
      <c r="E183">
        <f>IF(Entry!$B186="","",IF(ISNUMBER(Entry!$B186),IF(AND(Entry!$B186&gt;=10000101,Entry!$B186&lt;=99991231),INT(Entry!$B186/10000)&amp;"/"&amp;RIGHT("00"&amp;INT(MOD(Entry!$B186,10000)/100),2)&amp;"/"&amp;RIGHT("00"&amp;MOD(Entry!$B186,100),2),"نامعتبر"),IF(LEN(Entry!$B186)=10,Entry!$B186,"نامعتبر")))</f>
        <v/>
      </c>
      <c r="F183">
        <f>IF(Entry!$B186="","",IF(Entry!$C186="","0000",IF(AND(ISNUMBER(Entry!$C186),Entry!$C186&gt;=0,Entry!$C186&lt;1),RIGHT("00"&amp;HOUR(Entry!$C186),2)&amp;RIGHT("00"&amp;MINUTE(Entry!$C186),2),IFERROR(RIGHT("00"&amp;VALUE(LEFT(Entry!$C186,FIND(":",Entry!$C186)-1)),2)&amp;RIGHT("00"&amp;VALUE(MID(Entry!$C186,FIND(":",Entry!$C186)+1,2)),2),"0000"))))</f>
        <v/>
      </c>
      <c r="G183">
        <f>IF($A183="","",Entry!$G186)</f>
        <v/>
      </c>
      <c r="H183">
        <f>IF($A183="","",IF(Entry!$H186="",0,Entry!$H186))</f>
        <v/>
      </c>
      <c r="I183">
        <f>IF($A183="","",IF(Entry!$I186="",0,Entry!$I186))</f>
        <v/>
      </c>
      <c r="J183">
        <f>IF($A183="","",ROUND($H183*$I183,0))</f>
        <v/>
      </c>
      <c r="K183">
        <f>IF($A183="","",Entry!$D186)</f>
        <v/>
      </c>
      <c r="L183">
        <f>IF($A183="","",Entry!$L186)</f>
        <v/>
      </c>
      <c r="N183">
        <f>IF(OR(Sync!$M183="",$Q183="",$Q183="نامعتبر"),"",Sync!$M183)</f>
        <v/>
      </c>
      <c r="O183">
        <f>IF($N183="","",$Q183)</f>
        <v/>
      </c>
      <c r="P183">
        <f>IF($N183="","",LEFT($Q183,4)&amp;MID($Q183,6,2)&amp;RIGHT($Q183,2)&amp;IF(Sync!$K183="","0000",IF(AND(ISNUMBER(Sync!$K183),Sync!$K183&gt;=0,Sync!$K183&lt;1),RIGHT("00"&amp;HOUR(Sync!$K183),2)&amp;RIGHT("00"&amp;MINUTE(Sync!$K183),2),IFERROR(RIGHT("00"&amp;VALUE(LEFT(Sync!$K183,FIND(":",Sync!$K183)-1)),2)&amp;RIGHT("00"&amp;VALUE(MID(Sync!$K183,FIND(":",Sync!$K183)+1,2)),2),"0000")))&amp;"|"&amp;"2"&amp;RIGHT("00000"&amp;178,5))</f>
        <v/>
      </c>
      <c r="Q183">
        <f>IF(Sync!$J183="","",IF(ISNUMBER(Sync!$J183),IF(AND(Sync!$J183&gt;=10000101,Sync!$J183&lt;=99991231),INT(Sync!$J183/10000)&amp;"/"&amp;RIGHT("00"&amp;INT(MOD(Sync!$J183,10000)/100),2)&amp;"/"&amp;RIGHT("00"&amp;MOD(Sync!$J183,100),2),"نامعتبر"),IF(LEN(Sync!$J183)=10,Sync!$J183,"نامعتبر")))</f>
        <v/>
      </c>
      <c r="R183">
        <f>IF($P183="","",COUNTIFS($N$6:$N$2005,$N183,$P$6:$P$2005,"&lt;"&amp;$P183)+COUNTIFS($A$6:$A$1005,$N183,$B$6:$B$1005,"&lt;"&amp;$P183)+1)</f>
        <v/>
      </c>
      <c r="S183">
        <f>IF($N183="","",$N183&amp;"|"&amp;RIGHT("000000"&amp;$R183,6))</f>
        <v/>
      </c>
      <c r="T183">
        <f>IF($N183="","",IF(Sync!$N183="",0,Sync!$N183))</f>
        <v/>
      </c>
      <c r="U183">
        <f>IF($N183="","",IF(Sync!$O183="",0,Sync!$O183))</f>
        <v/>
      </c>
      <c r="V183">
        <f>IF($N183="","",Sync!$L183)</f>
        <v/>
      </c>
      <c r="W183">
        <f>IF($N183="","",Sync!$P183)</f>
        <v/>
      </c>
      <c r="AA183">
        <f>IF($A183="","",IF(COUNTIF($A$6:$A183,$A183)=1,1,0))</f>
        <v/>
      </c>
      <c r="AB183">
        <f>SUM($AA$6:$AA183)</f>
        <v/>
      </c>
      <c r="AC183">
        <f>IFERROR(INDEX($A$6:$A$1005,MATCH(ROW()-5,$AB$6:$AB$1005,0)),"")</f>
        <v/>
      </c>
    </row>
    <row r="184">
      <c r="A184">
        <f>IF(OR(Entry!$B187="",Entry!$E187="",$E184="نامعتبر"),"",Entry!$E187)</f>
        <v/>
      </c>
      <c r="B184">
        <f>IF($A184="","",LEFT($E184,4)&amp;MID($E184,6,2)&amp;RIGHT($E184,2)&amp;$F184&amp;"|"&amp;"1"&amp;RIGHT("00000"&amp;179,5))</f>
        <v/>
      </c>
      <c r="C184">
        <f>IF($B184="","",COUNTIFS($A$6:$A$1005,$A184,$B$6:$B$1005,"&lt;"&amp;$B184)+COUNTIFS($N$6:$N$2005,$A184,$P$6:$P$2005,"&lt;"&amp;$B184)+1)</f>
        <v/>
      </c>
      <c r="D184">
        <f>IF($C184="","",$A184&amp;"|"&amp;RIGHT("000000"&amp;$C184,6))</f>
        <v/>
      </c>
      <c r="E184">
        <f>IF(Entry!$B187="","",IF(ISNUMBER(Entry!$B187),IF(AND(Entry!$B187&gt;=10000101,Entry!$B187&lt;=99991231),INT(Entry!$B187/10000)&amp;"/"&amp;RIGHT("00"&amp;INT(MOD(Entry!$B187,10000)/100),2)&amp;"/"&amp;RIGHT("00"&amp;MOD(Entry!$B187,100),2),"نامعتبر"),IF(LEN(Entry!$B187)=10,Entry!$B187,"نامعتبر")))</f>
        <v/>
      </c>
      <c r="F184">
        <f>IF(Entry!$B187="","",IF(Entry!$C187="","0000",IF(AND(ISNUMBER(Entry!$C187),Entry!$C187&gt;=0,Entry!$C187&lt;1),RIGHT("00"&amp;HOUR(Entry!$C187),2)&amp;RIGHT("00"&amp;MINUTE(Entry!$C187),2),IFERROR(RIGHT("00"&amp;VALUE(LEFT(Entry!$C187,FIND(":",Entry!$C187)-1)),2)&amp;RIGHT("00"&amp;VALUE(MID(Entry!$C187,FIND(":",Entry!$C187)+1,2)),2),"0000"))))</f>
        <v/>
      </c>
      <c r="G184">
        <f>IF($A184="","",Entry!$G187)</f>
        <v/>
      </c>
      <c r="H184">
        <f>IF($A184="","",IF(Entry!$H187="",0,Entry!$H187))</f>
        <v/>
      </c>
      <c r="I184">
        <f>IF($A184="","",IF(Entry!$I187="",0,Entry!$I187))</f>
        <v/>
      </c>
      <c r="J184">
        <f>IF($A184="","",ROUND($H184*$I184,0))</f>
        <v/>
      </c>
      <c r="K184">
        <f>IF($A184="","",Entry!$D187)</f>
        <v/>
      </c>
      <c r="L184">
        <f>IF($A184="","",Entry!$L187)</f>
        <v/>
      </c>
      <c r="N184">
        <f>IF(OR(Sync!$M184="",$Q184="",$Q184="نامعتبر"),"",Sync!$M184)</f>
        <v/>
      </c>
      <c r="O184">
        <f>IF($N184="","",$Q184)</f>
        <v/>
      </c>
      <c r="P184">
        <f>IF($N184="","",LEFT($Q184,4)&amp;MID($Q184,6,2)&amp;RIGHT($Q184,2)&amp;IF(Sync!$K184="","0000",IF(AND(ISNUMBER(Sync!$K184),Sync!$K184&gt;=0,Sync!$K184&lt;1),RIGHT("00"&amp;HOUR(Sync!$K184),2)&amp;RIGHT("00"&amp;MINUTE(Sync!$K184),2),IFERROR(RIGHT("00"&amp;VALUE(LEFT(Sync!$K184,FIND(":",Sync!$K184)-1)),2)&amp;RIGHT("00"&amp;VALUE(MID(Sync!$K184,FIND(":",Sync!$K184)+1,2)),2),"0000")))&amp;"|"&amp;"2"&amp;RIGHT("00000"&amp;179,5))</f>
        <v/>
      </c>
      <c r="Q184">
        <f>IF(Sync!$J184="","",IF(ISNUMBER(Sync!$J184),IF(AND(Sync!$J184&gt;=10000101,Sync!$J184&lt;=99991231),INT(Sync!$J184/10000)&amp;"/"&amp;RIGHT("00"&amp;INT(MOD(Sync!$J184,10000)/100),2)&amp;"/"&amp;RIGHT("00"&amp;MOD(Sync!$J184,100),2),"نامعتبر"),IF(LEN(Sync!$J184)=10,Sync!$J184,"نامعتبر")))</f>
        <v/>
      </c>
      <c r="R184">
        <f>IF($P184="","",COUNTIFS($N$6:$N$2005,$N184,$P$6:$P$2005,"&lt;"&amp;$P184)+COUNTIFS($A$6:$A$1005,$N184,$B$6:$B$1005,"&lt;"&amp;$P184)+1)</f>
        <v/>
      </c>
      <c r="S184">
        <f>IF($N184="","",$N184&amp;"|"&amp;RIGHT("000000"&amp;$R184,6))</f>
        <v/>
      </c>
      <c r="T184">
        <f>IF($N184="","",IF(Sync!$N184="",0,Sync!$N184))</f>
        <v/>
      </c>
      <c r="U184">
        <f>IF($N184="","",IF(Sync!$O184="",0,Sync!$O184))</f>
        <v/>
      </c>
      <c r="V184">
        <f>IF($N184="","",Sync!$L184)</f>
        <v/>
      </c>
      <c r="W184">
        <f>IF($N184="","",Sync!$P184)</f>
        <v/>
      </c>
      <c r="AA184">
        <f>IF($A184="","",IF(COUNTIF($A$6:$A184,$A184)=1,1,0))</f>
        <v/>
      </c>
      <c r="AB184">
        <f>SUM($AA$6:$AA184)</f>
        <v/>
      </c>
      <c r="AC184">
        <f>IFERROR(INDEX($A$6:$A$1005,MATCH(ROW()-5,$AB$6:$AB$1005,0)),"")</f>
        <v/>
      </c>
    </row>
    <row r="185">
      <c r="A185">
        <f>IF(OR(Entry!$B188="",Entry!$E188="",$E185="نامعتبر"),"",Entry!$E188)</f>
        <v/>
      </c>
      <c r="B185">
        <f>IF($A185="","",LEFT($E185,4)&amp;MID($E185,6,2)&amp;RIGHT($E185,2)&amp;$F185&amp;"|"&amp;"1"&amp;RIGHT("00000"&amp;180,5))</f>
        <v/>
      </c>
      <c r="C185">
        <f>IF($B185="","",COUNTIFS($A$6:$A$1005,$A185,$B$6:$B$1005,"&lt;"&amp;$B185)+COUNTIFS($N$6:$N$2005,$A185,$P$6:$P$2005,"&lt;"&amp;$B185)+1)</f>
        <v/>
      </c>
      <c r="D185">
        <f>IF($C185="","",$A185&amp;"|"&amp;RIGHT("000000"&amp;$C185,6))</f>
        <v/>
      </c>
      <c r="E185">
        <f>IF(Entry!$B188="","",IF(ISNUMBER(Entry!$B188),IF(AND(Entry!$B188&gt;=10000101,Entry!$B188&lt;=99991231),INT(Entry!$B188/10000)&amp;"/"&amp;RIGHT("00"&amp;INT(MOD(Entry!$B188,10000)/100),2)&amp;"/"&amp;RIGHT("00"&amp;MOD(Entry!$B188,100),2),"نامعتبر"),IF(LEN(Entry!$B188)=10,Entry!$B188,"نامعتبر")))</f>
        <v/>
      </c>
      <c r="F185">
        <f>IF(Entry!$B188="","",IF(Entry!$C188="","0000",IF(AND(ISNUMBER(Entry!$C188),Entry!$C188&gt;=0,Entry!$C188&lt;1),RIGHT("00"&amp;HOUR(Entry!$C188),2)&amp;RIGHT("00"&amp;MINUTE(Entry!$C188),2),IFERROR(RIGHT("00"&amp;VALUE(LEFT(Entry!$C188,FIND(":",Entry!$C188)-1)),2)&amp;RIGHT("00"&amp;VALUE(MID(Entry!$C188,FIND(":",Entry!$C188)+1,2)),2),"0000"))))</f>
        <v/>
      </c>
      <c r="G185">
        <f>IF($A185="","",Entry!$G188)</f>
        <v/>
      </c>
      <c r="H185">
        <f>IF($A185="","",IF(Entry!$H188="",0,Entry!$H188))</f>
        <v/>
      </c>
      <c r="I185">
        <f>IF($A185="","",IF(Entry!$I188="",0,Entry!$I188))</f>
        <v/>
      </c>
      <c r="J185">
        <f>IF($A185="","",ROUND($H185*$I185,0))</f>
        <v/>
      </c>
      <c r="K185">
        <f>IF($A185="","",Entry!$D188)</f>
        <v/>
      </c>
      <c r="L185">
        <f>IF($A185="","",Entry!$L188)</f>
        <v/>
      </c>
      <c r="N185">
        <f>IF(OR(Sync!$M185="",$Q185="",$Q185="نامعتبر"),"",Sync!$M185)</f>
        <v/>
      </c>
      <c r="O185">
        <f>IF($N185="","",$Q185)</f>
        <v/>
      </c>
      <c r="P185">
        <f>IF($N185="","",LEFT($Q185,4)&amp;MID($Q185,6,2)&amp;RIGHT($Q185,2)&amp;IF(Sync!$K185="","0000",IF(AND(ISNUMBER(Sync!$K185),Sync!$K185&gt;=0,Sync!$K185&lt;1),RIGHT("00"&amp;HOUR(Sync!$K185),2)&amp;RIGHT("00"&amp;MINUTE(Sync!$K185),2),IFERROR(RIGHT("00"&amp;VALUE(LEFT(Sync!$K185,FIND(":",Sync!$K185)-1)),2)&amp;RIGHT("00"&amp;VALUE(MID(Sync!$K185,FIND(":",Sync!$K185)+1,2)),2),"0000")))&amp;"|"&amp;"2"&amp;RIGHT("00000"&amp;180,5))</f>
        <v/>
      </c>
      <c r="Q185">
        <f>IF(Sync!$J185="","",IF(ISNUMBER(Sync!$J185),IF(AND(Sync!$J185&gt;=10000101,Sync!$J185&lt;=99991231),INT(Sync!$J185/10000)&amp;"/"&amp;RIGHT("00"&amp;INT(MOD(Sync!$J185,10000)/100),2)&amp;"/"&amp;RIGHT("00"&amp;MOD(Sync!$J185,100),2),"نامعتبر"),IF(LEN(Sync!$J185)=10,Sync!$J185,"نامعتبر")))</f>
        <v/>
      </c>
      <c r="R185">
        <f>IF($P185="","",COUNTIFS($N$6:$N$2005,$N185,$P$6:$P$2005,"&lt;"&amp;$P185)+COUNTIFS($A$6:$A$1005,$N185,$B$6:$B$1005,"&lt;"&amp;$P185)+1)</f>
        <v/>
      </c>
      <c r="S185">
        <f>IF($N185="","",$N185&amp;"|"&amp;RIGHT("000000"&amp;$R185,6))</f>
        <v/>
      </c>
      <c r="T185">
        <f>IF($N185="","",IF(Sync!$N185="",0,Sync!$N185))</f>
        <v/>
      </c>
      <c r="U185">
        <f>IF($N185="","",IF(Sync!$O185="",0,Sync!$O185))</f>
        <v/>
      </c>
      <c r="V185">
        <f>IF($N185="","",Sync!$L185)</f>
        <v/>
      </c>
      <c r="W185">
        <f>IF($N185="","",Sync!$P185)</f>
        <v/>
      </c>
      <c r="AA185">
        <f>IF($A185="","",IF(COUNTIF($A$6:$A185,$A185)=1,1,0))</f>
        <v/>
      </c>
      <c r="AB185">
        <f>SUM($AA$6:$AA185)</f>
        <v/>
      </c>
      <c r="AC185">
        <f>IFERROR(INDEX($A$6:$A$1005,MATCH(ROW()-5,$AB$6:$AB$1005,0)),"")</f>
        <v/>
      </c>
    </row>
    <row r="186">
      <c r="A186">
        <f>IF(OR(Entry!$B189="",Entry!$E189="",$E186="نامعتبر"),"",Entry!$E189)</f>
        <v/>
      </c>
      <c r="B186">
        <f>IF($A186="","",LEFT($E186,4)&amp;MID($E186,6,2)&amp;RIGHT($E186,2)&amp;$F186&amp;"|"&amp;"1"&amp;RIGHT("00000"&amp;181,5))</f>
        <v/>
      </c>
      <c r="C186">
        <f>IF($B186="","",COUNTIFS($A$6:$A$1005,$A186,$B$6:$B$1005,"&lt;"&amp;$B186)+COUNTIFS($N$6:$N$2005,$A186,$P$6:$P$2005,"&lt;"&amp;$B186)+1)</f>
        <v/>
      </c>
      <c r="D186">
        <f>IF($C186="","",$A186&amp;"|"&amp;RIGHT("000000"&amp;$C186,6))</f>
        <v/>
      </c>
      <c r="E186">
        <f>IF(Entry!$B189="","",IF(ISNUMBER(Entry!$B189),IF(AND(Entry!$B189&gt;=10000101,Entry!$B189&lt;=99991231),INT(Entry!$B189/10000)&amp;"/"&amp;RIGHT("00"&amp;INT(MOD(Entry!$B189,10000)/100),2)&amp;"/"&amp;RIGHT("00"&amp;MOD(Entry!$B189,100),2),"نامعتبر"),IF(LEN(Entry!$B189)=10,Entry!$B189,"نامعتبر")))</f>
        <v/>
      </c>
      <c r="F186">
        <f>IF(Entry!$B189="","",IF(Entry!$C189="","0000",IF(AND(ISNUMBER(Entry!$C189),Entry!$C189&gt;=0,Entry!$C189&lt;1),RIGHT("00"&amp;HOUR(Entry!$C189),2)&amp;RIGHT("00"&amp;MINUTE(Entry!$C189),2),IFERROR(RIGHT("00"&amp;VALUE(LEFT(Entry!$C189,FIND(":",Entry!$C189)-1)),2)&amp;RIGHT("00"&amp;VALUE(MID(Entry!$C189,FIND(":",Entry!$C189)+1,2)),2),"0000"))))</f>
        <v/>
      </c>
      <c r="G186">
        <f>IF($A186="","",Entry!$G189)</f>
        <v/>
      </c>
      <c r="H186">
        <f>IF($A186="","",IF(Entry!$H189="",0,Entry!$H189))</f>
        <v/>
      </c>
      <c r="I186">
        <f>IF($A186="","",IF(Entry!$I189="",0,Entry!$I189))</f>
        <v/>
      </c>
      <c r="J186">
        <f>IF($A186="","",ROUND($H186*$I186,0))</f>
        <v/>
      </c>
      <c r="K186">
        <f>IF($A186="","",Entry!$D189)</f>
        <v/>
      </c>
      <c r="L186">
        <f>IF($A186="","",Entry!$L189)</f>
        <v/>
      </c>
      <c r="N186">
        <f>IF(OR(Sync!$M186="",$Q186="",$Q186="نامعتبر"),"",Sync!$M186)</f>
        <v/>
      </c>
      <c r="O186">
        <f>IF($N186="","",$Q186)</f>
        <v/>
      </c>
      <c r="P186">
        <f>IF($N186="","",LEFT($Q186,4)&amp;MID($Q186,6,2)&amp;RIGHT($Q186,2)&amp;IF(Sync!$K186="","0000",IF(AND(ISNUMBER(Sync!$K186),Sync!$K186&gt;=0,Sync!$K186&lt;1),RIGHT("00"&amp;HOUR(Sync!$K186),2)&amp;RIGHT("00"&amp;MINUTE(Sync!$K186),2),IFERROR(RIGHT("00"&amp;VALUE(LEFT(Sync!$K186,FIND(":",Sync!$K186)-1)),2)&amp;RIGHT("00"&amp;VALUE(MID(Sync!$K186,FIND(":",Sync!$K186)+1,2)),2),"0000")))&amp;"|"&amp;"2"&amp;RIGHT("00000"&amp;181,5))</f>
        <v/>
      </c>
      <c r="Q186">
        <f>IF(Sync!$J186="","",IF(ISNUMBER(Sync!$J186),IF(AND(Sync!$J186&gt;=10000101,Sync!$J186&lt;=99991231),INT(Sync!$J186/10000)&amp;"/"&amp;RIGHT("00"&amp;INT(MOD(Sync!$J186,10000)/100),2)&amp;"/"&amp;RIGHT("00"&amp;MOD(Sync!$J186,100),2),"نامعتبر"),IF(LEN(Sync!$J186)=10,Sync!$J186,"نامعتبر")))</f>
        <v/>
      </c>
      <c r="R186">
        <f>IF($P186="","",COUNTIFS($N$6:$N$2005,$N186,$P$6:$P$2005,"&lt;"&amp;$P186)+COUNTIFS($A$6:$A$1005,$N186,$B$6:$B$1005,"&lt;"&amp;$P186)+1)</f>
        <v/>
      </c>
      <c r="S186">
        <f>IF($N186="","",$N186&amp;"|"&amp;RIGHT("000000"&amp;$R186,6))</f>
        <v/>
      </c>
      <c r="T186">
        <f>IF($N186="","",IF(Sync!$N186="",0,Sync!$N186))</f>
        <v/>
      </c>
      <c r="U186">
        <f>IF($N186="","",IF(Sync!$O186="",0,Sync!$O186))</f>
        <v/>
      </c>
      <c r="V186">
        <f>IF($N186="","",Sync!$L186)</f>
        <v/>
      </c>
      <c r="W186">
        <f>IF($N186="","",Sync!$P186)</f>
        <v/>
      </c>
      <c r="AA186">
        <f>IF($A186="","",IF(COUNTIF($A$6:$A186,$A186)=1,1,0))</f>
        <v/>
      </c>
      <c r="AB186">
        <f>SUM($AA$6:$AA186)</f>
        <v/>
      </c>
      <c r="AC186">
        <f>IFERROR(INDEX($A$6:$A$1005,MATCH(ROW()-5,$AB$6:$AB$1005,0)),"")</f>
        <v/>
      </c>
    </row>
    <row r="187">
      <c r="A187">
        <f>IF(OR(Entry!$B190="",Entry!$E190="",$E187="نامعتبر"),"",Entry!$E190)</f>
        <v/>
      </c>
      <c r="B187">
        <f>IF($A187="","",LEFT($E187,4)&amp;MID($E187,6,2)&amp;RIGHT($E187,2)&amp;$F187&amp;"|"&amp;"1"&amp;RIGHT("00000"&amp;182,5))</f>
        <v/>
      </c>
      <c r="C187">
        <f>IF($B187="","",COUNTIFS($A$6:$A$1005,$A187,$B$6:$B$1005,"&lt;"&amp;$B187)+COUNTIFS($N$6:$N$2005,$A187,$P$6:$P$2005,"&lt;"&amp;$B187)+1)</f>
        <v/>
      </c>
      <c r="D187">
        <f>IF($C187="","",$A187&amp;"|"&amp;RIGHT("000000"&amp;$C187,6))</f>
        <v/>
      </c>
      <c r="E187">
        <f>IF(Entry!$B190="","",IF(ISNUMBER(Entry!$B190),IF(AND(Entry!$B190&gt;=10000101,Entry!$B190&lt;=99991231),INT(Entry!$B190/10000)&amp;"/"&amp;RIGHT("00"&amp;INT(MOD(Entry!$B190,10000)/100),2)&amp;"/"&amp;RIGHT("00"&amp;MOD(Entry!$B190,100),2),"نامعتبر"),IF(LEN(Entry!$B190)=10,Entry!$B190,"نامعتبر")))</f>
        <v/>
      </c>
      <c r="F187">
        <f>IF(Entry!$B190="","",IF(Entry!$C190="","0000",IF(AND(ISNUMBER(Entry!$C190),Entry!$C190&gt;=0,Entry!$C190&lt;1),RIGHT("00"&amp;HOUR(Entry!$C190),2)&amp;RIGHT("00"&amp;MINUTE(Entry!$C190),2),IFERROR(RIGHT("00"&amp;VALUE(LEFT(Entry!$C190,FIND(":",Entry!$C190)-1)),2)&amp;RIGHT("00"&amp;VALUE(MID(Entry!$C190,FIND(":",Entry!$C190)+1,2)),2),"0000"))))</f>
        <v/>
      </c>
      <c r="G187">
        <f>IF($A187="","",Entry!$G190)</f>
        <v/>
      </c>
      <c r="H187">
        <f>IF($A187="","",IF(Entry!$H190="",0,Entry!$H190))</f>
        <v/>
      </c>
      <c r="I187">
        <f>IF($A187="","",IF(Entry!$I190="",0,Entry!$I190))</f>
        <v/>
      </c>
      <c r="J187">
        <f>IF($A187="","",ROUND($H187*$I187,0))</f>
        <v/>
      </c>
      <c r="K187">
        <f>IF($A187="","",Entry!$D190)</f>
        <v/>
      </c>
      <c r="L187">
        <f>IF($A187="","",Entry!$L190)</f>
        <v/>
      </c>
      <c r="N187">
        <f>IF(OR(Sync!$M187="",$Q187="",$Q187="نامعتبر"),"",Sync!$M187)</f>
        <v/>
      </c>
      <c r="O187">
        <f>IF($N187="","",$Q187)</f>
        <v/>
      </c>
      <c r="P187">
        <f>IF($N187="","",LEFT($Q187,4)&amp;MID($Q187,6,2)&amp;RIGHT($Q187,2)&amp;IF(Sync!$K187="","0000",IF(AND(ISNUMBER(Sync!$K187),Sync!$K187&gt;=0,Sync!$K187&lt;1),RIGHT("00"&amp;HOUR(Sync!$K187),2)&amp;RIGHT("00"&amp;MINUTE(Sync!$K187),2),IFERROR(RIGHT("00"&amp;VALUE(LEFT(Sync!$K187,FIND(":",Sync!$K187)-1)),2)&amp;RIGHT("00"&amp;VALUE(MID(Sync!$K187,FIND(":",Sync!$K187)+1,2)),2),"0000")))&amp;"|"&amp;"2"&amp;RIGHT("00000"&amp;182,5))</f>
        <v/>
      </c>
      <c r="Q187">
        <f>IF(Sync!$J187="","",IF(ISNUMBER(Sync!$J187),IF(AND(Sync!$J187&gt;=10000101,Sync!$J187&lt;=99991231),INT(Sync!$J187/10000)&amp;"/"&amp;RIGHT("00"&amp;INT(MOD(Sync!$J187,10000)/100),2)&amp;"/"&amp;RIGHT("00"&amp;MOD(Sync!$J187,100),2),"نامعتبر"),IF(LEN(Sync!$J187)=10,Sync!$J187,"نامعتبر")))</f>
        <v/>
      </c>
      <c r="R187">
        <f>IF($P187="","",COUNTIFS($N$6:$N$2005,$N187,$P$6:$P$2005,"&lt;"&amp;$P187)+COUNTIFS($A$6:$A$1005,$N187,$B$6:$B$1005,"&lt;"&amp;$P187)+1)</f>
        <v/>
      </c>
      <c r="S187">
        <f>IF($N187="","",$N187&amp;"|"&amp;RIGHT("000000"&amp;$R187,6))</f>
        <v/>
      </c>
      <c r="T187">
        <f>IF($N187="","",IF(Sync!$N187="",0,Sync!$N187))</f>
        <v/>
      </c>
      <c r="U187">
        <f>IF($N187="","",IF(Sync!$O187="",0,Sync!$O187))</f>
        <v/>
      </c>
      <c r="V187">
        <f>IF($N187="","",Sync!$L187)</f>
        <v/>
      </c>
      <c r="W187">
        <f>IF($N187="","",Sync!$P187)</f>
        <v/>
      </c>
      <c r="AA187">
        <f>IF($A187="","",IF(COUNTIF($A$6:$A187,$A187)=1,1,0))</f>
        <v/>
      </c>
      <c r="AB187">
        <f>SUM($AA$6:$AA187)</f>
        <v/>
      </c>
      <c r="AC187">
        <f>IFERROR(INDEX($A$6:$A$1005,MATCH(ROW()-5,$AB$6:$AB$1005,0)),"")</f>
        <v/>
      </c>
    </row>
    <row r="188">
      <c r="A188">
        <f>IF(OR(Entry!$B191="",Entry!$E191="",$E188="نامعتبر"),"",Entry!$E191)</f>
        <v/>
      </c>
      <c r="B188">
        <f>IF($A188="","",LEFT($E188,4)&amp;MID($E188,6,2)&amp;RIGHT($E188,2)&amp;$F188&amp;"|"&amp;"1"&amp;RIGHT("00000"&amp;183,5))</f>
        <v/>
      </c>
      <c r="C188">
        <f>IF($B188="","",COUNTIFS($A$6:$A$1005,$A188,$B$6:$B$1005,"&lt;"&amp;$B188)+COUNTIFS($N$6:$N$2005,$A188,$P$6:$P$2005,"&lt;"&amp;$B188)+1)</f>
        <v/>
      </c>
      <c r="D188">
        <f>IF($C188="","",$A188&amp;"|"&amp;RIGHT("000000"&amp;$C188,6))</f>
        <v/>
      </c>
      <c r="E188">
        <f>IF(Entry!$B191="","",IF(ISNUMBER(Entry!$B191),IF(AND(Entry!$B191&gt;=10000101,Entry!$B191&lt;=99991231),INT(Entry!$B191/10000)&amp;"/"&amp;RIGHT("00"&amp;INT(MOD(Entry!$B191,10000)/100),2)&amp;"/"&amp;RIGHT("00"&amp;MOD(Entry!$B191,100),2),"نامعتبر"),IF(LEN(Entry!$B191)=10,Entry!$B191,"نامعتبر")))</f>
        <v/>
      </c>
      <c r="F188">
        <f>IF(Entry!$B191="","",IF(Entry!$C191="","0000",IF(AND(ISNUMBER(Entry!$C191),Entry!$C191&gt;=0,Entry!$C191&lt;1),RIGHT("00"&amp;HOUR(Entry!$C191),2)&amp;RIGHT("00"&amp;MINUTE(Entry!$C191),2),IFERROR(RIGHT("00"&amp;VALUE(LEFT(Entry!$C191,FIND(":",Entry!$C191)-1)),2)&amp;RIGHT("00"&amp;VALUE(MID(Entry!$C191,FIND(":",Entry!$C191)+1,2)),2),"0000"))))</f>
        <v/>
      </c>
      <c r="G188">
        <f>IF($A188="","",Entry!$G191)</f>
        <v/>
      </c>
      <c r="H188">
        <f>IF($A188="","",IF(Entry!$H191="",0,Entry!$H191))</f>
        <v/>
      </c>
      <c r="I188">
        <f>IF($A188="","",IF(Entry!$I191="",0,Entry!$I191))</f>
        <v/>
      </c>
      <c r="J188">
        <f>IF($A188="","",ROUND($H188*$I188,0))</f>
        <v/>
      </c>
      <c r="K188">
        <f>IF($A188="","",Entry!$D191)</f>
        <v/>
      </c>
      <c r="L188">
        <f>IF($A188="","",Entry!$L191)</f>
        <v/>
      </c>
      <c r="N188">
        <f>IF(OR(Sync!$M188="",$Q188="",$Q188="نامعتبر"),"",Sync!$M188)</f>
        <v/>
      </c>
      <c r="O188">
        <f>IF($N188="","",$Q188)</f>
        <v/>
      </c>
      <c r="P188">
        <f>IF($N188="","",LEFT($Q188,4)&amp;MID($Q188,6,2)&amp;RIGHT($Q188,2)&amp;IF(Sync!$K188="","0000",IF(AND(ISNUMBER(Sync!$K188),Sync!$K188&gt;=0,Sync!$K188&lt;1),RIGHT("00"&amp;HOUR(Sync!$K188),2)&amp;RIGHT("00"&amp;MINUTE(Sync!$K188),2),IFERROR(RIGHT("00"&amp;VALUE(LEFT(Sync!$K188,FIND(":",Sync!$K188)-1)),2)&amp;RIGHT("00"&amp;VALUE(MID(Sync!$K188,FIND(":",Sync!$K188)+1,2)),2),"0000")))&amp;"|"&amp;"2"&amp;RIGHT("00000"&amp;183,5))</f>
        <v/>
      </c>
      <c r="Q188">
        <f>IF(Sync!$J188="","",IF(ISNUMBER(Sync!$J188),IF(AND(Sync!$J188&gt;=10000101,Sync!$J188&lt;=99991231),INT(Sync!$J188/10000)&amp;"/"&amp;RIGHT("00"&amp;INT(MOD(Sync!$J188,10000)/100),2)&amp;"/"&amp;RIGHT("00"&amp;MOD(Sync!$J188,100),2),"نامعتبر"),IF(LEN(Sync!$J188)=10,Sync!$J188,"نامعتبر")))</f>
        <v/>
      </c>
      <c r="R188">
        <f>IF($P188="","",COUNTIFS($N$6:$N$2005,$N188,$P$6:$P$2005,"&lt;"&amp;$P188)+COUNTIFS($A$6:$A$1005,$N188,$B$6:$B$1005,"&lt;"&amp;$P188)+1)</f>
        <v/>
      </c>
      <c r="S188">
        <f>IF($N188="","",$N188&amp;"|"&amp;RIGHT("000000"&amp;$R188,6))</f>
        <v/>
      </c>
      <c r="T188">
        <f>IF($N188="","",IF(Sync!$N188="",0,Sync!$N188))</f>
        <v/>
      </c>
      <c r="U188">
        <f>IF($N188="","",IF(Sync!$O188="",0,Sync!$O188))</f>
        <v/>
      </c>
      <c r="V188">
        <f>IF($N188="","",Sync!$L188)</f>
        <v/>
      </c>
      <c r="W188">
        <f>IF($N188="","",Sync!$P188)</f>
        <v/>
      </c>
      <c r="AA188">
        <f>IF($A188="","",IF(COUNTIF($A$6:$A188,$A188)=1,1,0))</f>
        <v/>
      </c>
      <c r="AB188">
        <f>SUM($AA$6:$AA188)</f>
        <v/>
      </c>
      <c r="AC188">
        <f>IFERROR(INDEX($A$6:$A$1005,MATCH(ROW()-5,$AB$6:$AB$1005,0)),"")</f>
        <v/>
      </c>
    </row>
    <row r="189">
      <c r="A189">
        <f>IF(OR(Entry!$B192="",Entry!$E192="",$E189="نامعتبر"),"",Entry!$E192)</f>
        <v/>
      </c>
      <c r="B189">
        <f>IF($A189="","",LEFT($E189,4)&amp;MID($E189,6,2)&amp;RIGHT($E189,2)&amp;$F189&amp;"|"&amp;"1"&amp;RIGHT("00000"&amp;184,5))</f>
        <v/>
      </c>
      <c r="C189">
        <f>IF($B189="","",COUNTIFS($A$6:$A$1005,$A189,$B$6:$B$1005,"&lt;"&amp;$B189)+COUNTIFS($N$6:$N$2005,$A189,$P$6:$P$2005,"&lt;"&amp;$B189)+1)</f>
        <v/>
      </c>
      <c r="D189">
        <f>IF($C189="","",$A189&amp;"|"&amp;RIGHT("000000"&amp;$C189,6))</f>
        <v/>
      </c>
      <c r="E189">
        <f>IF(Entry!$B192="","",IF(ISNUMBER(Entry!$B192),IF(AND(Entry!$B192&gt;=10000101,Entry!$B192&lt;=99991231),INT(Entry!$B192/10000)&amp;"/"&amp;RIGHT("00"&amp;INT(MOD(Entry!$B192,10000)/100),2)&amp;"/"&amp;RIGHT("00"&amp;MOD(Entry!$B192,100),2),"نامعتبر"),IF(LEN(Entry!$B192)=10,Entry!$B192,"نامعتبر")))</f>
        <v/>
      </c>
      <c r="F189">
        <f>IF(Entry!$B192="","",IF(Entry!$C192="","0000",IF(AND(ISNUMBER(Entry!$C192),Entry!$C192&gt;=0,Entry!$C192&lt;1),RIGHT("00"&amp;HOUR(Entry!$C192),2)&amp;RIGHT("00"&amp;MINUTE(Entry!$C192),2),IFERROR(RIGHT("00"&amp;VALUE(LEFT(Entry!$C192,FIND(":",Entry!$C192)-1)),2)&amp;RIGHT("00"&amp;VALUE(MID(Entry!$C192,FIND(":",Entry!$C192)+1,2)),2),"0000"))))</f>
        <v/>
      </c>
      <c r="G189">
        <f>IF($A189="","",Entry!$G192)</f>
        <v/>
      </c>
      <c r="H189">
        <f>IF($A189="","",IF(Entry!$H192="",0,Entry!$H192))</f>
        <v/>
      </c>
      <c r="I189">
        <f>IF($A189="","",IF(Entry!$I192="",0,Entry!$I192))</f>
        <v/>
      </c>
      <c r="J189">
        <f>IF($A189="","",ROUND($H189*$I189,0))</f>
        <v/>
      </c>
      <c r="K189">
        <f>IF($A189="","",Entry!$D192)</f>
        <v/>
      </c>
      <c r="L189">
        <f>IF($A189="","",Entry!$L192)</f>
        <v/>
      </c>
      <c r="N189">
        <f>IF(OR(Sync!$M189="",$Q189="",$Q189="نامعتبر"),"",Sync!$M189)</f>
        <v/>
      </c>
      <c r="O189">
        <f>IF($N189="","",$Q189)</f>
        <v/>
      </c>
      <c r="P189">
        <f>IF($N189="","",LEFT($Q189,4)&amp;MID($Q189,6,2)&amp;RIGHT($Q189,2)&amp;IF(Sync!$K189="","0000",IF(AND(ISNUMBER(Sync!$K189),Sync!$K189&gt;=0,Sync!$K189&lt;1),RIGHT("00"&amp;HOUR(Sync!$K189),2)&amp;RIGHT("00"&amp;MINUTE(Sync!$K189),2),IFERROR(RIGHT("00"&amp;VALUE(LEFT(Sync!$K189,FIND(":",Sync!$K189)-1)),2)&amp;RIGHT("00"&amp;VALUE(MID(Sync!$K189,FIND(":",Sync!$K189)+1,2)),2),"0000")))&amp;"|"&amp;"2"&amp;RIGHT("00000"&amp;184,5))</f>
        <v/>
      </c>
      <c r="Q189">
        <f>IF(Sync!$J189="","",IF(ISNUMBER(Sync!$J189),IF(AND(Sync!$J189&gt;=10000101,Sync!$J189&lt;=99991231),INT(Sync!$J189/10000)&amp;"/"&amp;RIGHT("00"&amp;INT(MOD(Sync!$J189,10000)/100),2)&amp;"/"&amp;RIGHT("00"&amp;MOD(Sync!$J189,100),2),"نامعتبر"),IF(LEN(Sync!$J189)=10,Sync!$J189,"نامعتبر")))</f>
        <v/>
      </c>
      <c r="R189">
        <f>IF($P189="","",COUNTIFS($N$6:$N$2005,$N189,$P$6:$P$2005,"&lt;"&amp;$P189)+COUNTIFS($A$6:$A$1005,$N189,$B$6:$B$1005,"&lt;"&amp;$P189)+1)</f>
        <v/>
      </c>
      <c r="S189">
        <f>IF($N189="","",$N189&amp;"|"&amp;RIGHT("000000"&amp;$R189,6))</f>
        <v/>
      </c>
      <c r="T189">
        <f>IF($N189="","",IF(Sync!$N189="",0,Sync!$N189))</f>
        <v/>
      </c>
      <c r="U189">
        <f>IF($N189="","",IF(Sync!$O189="",0,Sync!$O189))</f>
        <v/>
      </c>
      <c r="V189">
        <f>IF($N189="","",Sync!$L189)</f>
        <v/>
      </c>
      <c r="W189">
        <f>IF($N189="","",Sync!$P189)</f>
        <v/>
      </c>
      <c r="AA189">
        <f>IF($A189="","",IF(COUNTIF($A$6:$A189,$A189)=1,1,0))</f>
        <v/>
      </c>
      <c r="AB189">
        <f>SUM($AA$6:$AA189)</f>
        <v/>
      </c>
      <c r="AC189">
        <f>IFERROR(INDEX($A$6:$A$1005,MATCH(ROW()-5,$AB$6:$AB$1005,0)),"")</f>
        <v/>
      </c>
    </row>
    <row r="190">
      <c r="A190">
        <f>IF(OR(Entry!$B193="",Entry!$E193="",$E190="نامعتبر"),"",Entry!$E193)</f>
        <v/>
      </c>
      <c r="B190">
        <f>IF($A190="","",LEFT($E190,4)&amp;MID($E190,6,2)&amp;RIGHT($E190,2)&amp;$F190&amp;"|"&amp;"1"&amp;RIGHT("00000"&amp;185,5))</f>
        <v/>
      </c>
      <c r="C190">
        <f>IF($B190="","",COUNTIFS($A$6:$A$1005,$A190,$B$6:$B$1005,"&lt;"&amp;$B190)+COUNTIFS($N$6:$N$2005,$A190,$P$6:$P$2005,"&lt;"&amp;$B190)+1)</f>
        <v/>
      </c>
      <c r="D190">
        <f>IF($C190="","",$A190&amp;"|"&amp;RIGHT("000000"&amp;$C190,6))</f>
        <v/>
      </c>
      <c r="E190">
        <f>IF(Entry!$B193="","",IF(ISNUMBER(Entry!$B193),IF(AND(Entry!$B193&gt;=10000101,Entry!$B193&lt;=99991231),INT(Entry!$B193/10000)&amp;"/"&amp;RIGHT("00"&amp;INT(MOD(Entry!$B193,10000)/100),2)&amp;"/"&amp;RIGHT("00"&amp;MOD(Entry!$B193,100),2),"نامعتبر"),IF(LEN(Entry!$B193)=10,Entry!$B193,"نامعتبر")))</f>
        <v/>
      </c>
      <c r="F190">
        <f>IF(Entry!$B193="","",IF(Entry!$C193="","0000",IF(AND(ISNUMBER(Entry!$C193),Entry!$C193&gt;=0,Entry!$C193&lt;1),RIGHT("00"&amp;HOUR(Entry!$C193),2)&amp;RIGHT("00"&amp;MINUTE(Entry!$C193),2),IFERROR(RIGHT("00"&amp;VALUE(LEFT(Entry!$C193,FIND(":",Entry!$C193)-1)),2)&amp;RIGHT("00"&amp;VALUE(MID(Entry!$C193,FIND(":",Entry!$C193)+1,2)),2),"0000"))))</f>
        <v/>
      </c>
      <c r="G190">
        <f>IF($A190="","",Entry!$G193)</f>
        <v/>
      </c>
      <c r="H190">
        <f>IF($A190="","",IF(Entry!$H193="",0,Entry!$H193))</f>
        <v/>
      </c>
      <c r="I190">
        <f>IF($A190="","",IF(Entry!$I193="",0,Entry!$I193))</f>
        <v/>
      </c>
      <c r="J190">
        <f>IF($A190="","",ROUND($H190*$I190,0))</f>
        <v/>
      </c>
      <c r="K190">
        <f>IF($A190="","",Entry!$D193)</f>
        <v/>
      </c>
      <c r="L190">
        <f>IF($A190="","",Entry!$L193)</f>
        <v/>
      </c>
      <c r="N190">
        <f>IF(OR(Sync!$M190="",$Q190="",$Q190="نامعتبر"),"",Sync!$M190)</f>
        <v/>
      </c>
      <c r="O190">
        <f>IF($N190="","",$Q190)</f>
        <v/>
      </c>
      <c r="P190">
        <f>IF($N190="","",LEFT($Q190,4)&amp;MID($Q190,6,2)&amp;RIGHT($Q190,2)&amp;IF(Sync!$K190="","0000",IF(AND(ISNUMBER(Sync!$K190),Sync!$K190&gt;=0,Sync!$K190&lt;1),RIGHT("00"&amp;HOUR(Sync!$K190),2)&amp;RIGHT("00"&amp;MINUTE(Sync!$K190),2),IFERROR(RIGHT("00"&amp;VALUE(LEFT(Sync!$K190,FIND(":",Sync!$K190)-1)),2)&amp;RIGHT("00"&amp;VALUE(MID(Sync!$K190,FIND(":",Sync!$K190)+1,2)),2),"0000")))&amp;"|"&amp;"2"&amp;RIGHT("00000"&amp;185,5))</f>
        <v/>
      </c>
      <c r="Q190">
        <f>IF(Sync!$J190="","",IF(ISNUMBER(Sync!$J190),IF(AND(Sync!$J190&gt;=10000101,Sync!$J190&lt;=99991231),INT(Sync!$J190/10000)&amp;"/"&amp;RIGHT("00"&amp;INT(MOD(Sync!$J190,10000)/100),2)&amp;"/"&amp;RIGHT("00"&amp;MOD(Sync!$J190,100),2),"نامعتبر"),IF(LEN(Sync!$J190)=10,Sync!$J190,"نامعتبر")))</f>
        <v/>
      </c>
      <c r="R190">
        <f>IF($P190="","",COUNTIFS($N$6:$N$2005,$N190,$P$6:$P$2005,"&lt;"&amp;$P190)+COUNTIFS($A$6:$A$1005,$N190,$B$6:$B$1005,"&lt;"&amp;$P190)+1)</f>
        <v/>
      </c>
      <c r="S190">
        <f>IF($N190="","",$N190&amp;"|"&amp;RIGHT("000000"&amp;$R190,6))</f>
        <v/>
      </c>
      <c r="T190">
        <f>IF($N190="","",IF(Sync!$N190="",0,Sync!$N190))</f>
        <v/>
      </c>
      <c r="U190">
        <f>IF($N190="","",IF(Sync!$O190="",0,Sync!$O190))</f>
        <v/>
      </c>
      <c r="V190">
        <f>IF($N190="","",Sync!$L190)</f>
        <v/>
      </c>
      <c r="W190">
        <f>IF($N190="","",Sync!$P190)</f>
        <v/>
      </c>
      <c r="AA190">
        <f>IF($A190="","",IF(COUNTIF($A$6:$A190,$A190)=1,1,0))</f>
        <v/>
      </c>
      <c r="AB190">
        <f>SUM($AA$6:$AA190)</f>
        <v/>
      </c>
      <c r="AC190">
        <f>IFERROR(INDEX($A$6:$A$1005,MATCH(ROW()-5,$AB$6:$AB$1005,0)),"")</f>
        <v/>
      </c>
    </row>
    <row r="191">
      <c r="A191">
        <f>IF(OR(Entry!$B194="",Entry!$E194="",$E191="نامعتبر"),"",Entry!$E194)</f>
        <v/>
      </c>
      <c r="B191">
        <f>IF($A191="","",LEFT($E191,4)&amp;MID($E191,6,2)&amp;RIGHT($E191,2)&amp;$F191&amp;"|"&amp;"1"&amp;RIGHT("00000"&amp;186,5))</f>
        <v/>
      </c>
      <c r="C191">
        <f>IF($B191="","",COUNTIFS($A$6:$A$1005,$A191,$B$6:$B$1005,"&lt;"&amp;$B191)+COUNTIFS($N$6:$N$2005,$A191,$P$6:$P$2005,"&lt;"&amp;$B191)+1)</f>
        <v/>
      </c>
      <c r="D191">
        <f>IF($C191="","",$A191&amp;"|"&amp;RIGHT("000000"&amp;$C191,6))</f>
        <v/>
      </c>
      <c r="E191">
        <f>IF(Entry!$B194="","",IF(ISNUMBER(Entry!$B194),IF(AND(Entry!$B194&gt;=10000101,Entry!$B194&lt;=99991231),INT(Entry!$B194/10000)&amp;"/"&amp;RIGHT("00"&amp;INT(MOD(Entry!$B194,10000)/100),2)&amp;"/"&amp;RIGHT("00"&amp;MOD(Entry!$B194,100),2),"نامعتبر"),IF(LEN(Entry!$B194)=10,Entry!$B194,"نامعتبر")))</f>
        <v/>
      </c>
      <c r="F191">
        <f>IF(Entry!$B194="","",IF(Entry!$C194="","0000",IF(AND(ISNUMBER(Entry!$C194),Entry!$C194&gt;=0,Entry!$C194&lt;1),RIGHT("00"&amp;HOUR(Entry!$C194),2)&amp;RIGHT("00"&amp;MINUTE(Entry!$C194),2),IFERROR(RIGHT("00"&amp;VALUE(LEFT(Entry!$C194,FIND(":",Entry!$C194)-1)),2)&amp;RIGHT("00"&amp;VALUE(MID(Entry!$C194,FIND(":",Entry!$C194)+1,2)),2),"0000"))))</f>
        <v/>
      </c>
      <c r="G191">
        <f>IF($A191="","",Entry!$G194)</f>
        <v/>
      </c>
      <c r="H191">
        <f>IF($A191="","",IF(Entry!$H194="",0,Entry!$H194))</f>
        <v/>
      </c>
      <c r="I191">
        <f>IF($A191="","",IF(Entry!$I194="",0,Entry!$I194))</f>
        <v/>
      </c>
      <c r="J191">
        <f>IF($A191="","",ROUND($H191*$I191,0))</f>
        <v/>
      </c>
      <c r="K191">
        <f>IF($A191="","",Entry!$D194)</f>
        <v/>
      </c>
      <c r="L191">
        <f>IF($A191="","",Entry!$L194)</f>
        <v/>
      </c>
      <c r="N191">
        <f>IF(OR(Sync!$M191="",$Q191="",$Q191="نامعتبر"),"",Sync!$M191)</f>
        <v/>
      </c>
      <c r="O191">
        <f>IF($N191="","",$Q191)</f>
        <v/>
      </c>
      <c r="P191">
        <f>IF($N191="","",LEFT($Q191,4)&amp;MID($Q191,6,2)&amp;RIGHT($Q191,2)&amp;IF(Sync!$K191="","0000",IF(AND(ISNUMBER(Sync!$K191),Sync!$K191&gt;=0,Sync!$K191&lt;1),RIGHT("00"&amp;HOUR(Sync!$K191),2)&amp;RIGHT("00"&amp;MINUTE(Sync!$K191),2),IFERROR(RIGHT("00"&amp;VALUE(LEFT(Sync!$K191,FIND(":",Sync!$K191)-1)),2)&amp;RIGHT("00"&amp;VALUE(MID(Sync!$K191,FIND(":",Sync!$K191)+1,2)),2),"0000")))&amp;"|"&amp;"2"&amp;RIGHT("00000"&amp;186,5))</f>
        <v/>
      </c>
      <c r="Q191">
        <f>IF(Sync!$J191="","",IF(ISNUMBER(Sync!$J191),IF(AND(Sync!$J191&gt;=10000101,Sync!$J191&lt;=99991231),INT(Sync!$J191/10000)&amp;"/"&amp;RIGHT("00"&amp;INT(MOD(Sync!$J191,10000)/100),2)&amp;"/"&amp;RIGHT("00"&amp;MOD(Sync!$J191,100),2),"نامعتبر"),IF(LEN(Sync!$J191)=10,Sync!$J191,"نامعتبر")))</f>
        <v/>
      </c>
      <c r="R191">
        <f>IF($P191="","",COUNTIFS($N$6:$N$2005,$N191,$P$6:$P$2005,"&lt;"&amp;$P191)+COUNTIFS($A$6:$A$1005,$N191,$B$6:$B$1005,"&lt;"&amp;$P191)+1)</f>
        <v/>
      </c>
      <c r="S191">
        <f>IF($N191="","",$N191&amp;"|"&amp;RIGHT("000000"&amp;$R191,6))</f>
        <v/>
      </c>
      <c r="T191">
        <f>IF($N191="","",IF(Sync!$N191="",0,Sync!$N191))</f>
        <v/>
      </c>
      <c r="U191">
        <f>IF($N191="","",IF(Sync!$O191="",0,Sync!$O191))</f>
        <v/>
      </c>
      <c r="V191">
        <f>IF($N191="","",Sync!$L191)</f>
        <v/>
      </c>
      <c r="W191">
        <f>IF($N191="","",Sync!$P191)</f>
        <v/>
      </c>
      <c r="AA191">
        <f>IF($A191="","",IF(COUNTIF($A$6:$A191,$A191)=1,1,0))</f>
        <v/>
      </c>
      <c r="AB191">
        <f>SUM($AA$6:$AA191)</f>
        <v/>
      </c>
      <c r="AC191">
        <f>IFERROR(INDEX($A$6:$A$1005,MATCH(ROW()-5,$AB$6:$AB$1005,0)),"")</f>
        <v/>
      </c>
    </row>
    <row r="192">
      <c r="A192">
        <f>IF(OR(Entry!$B195="",Entry!$E195="",$E192="نامعتبر"),"",Entry!$E195)</f>
        <v/>
      </c>
      <c r="B192">
        <f>IF($A192="","",LEFT($E192,4)&amp;MID($E192,6,2)&amp;RIGHT($E192,2)&amp;$F192&amp;"|"&amp;"1"&amp;RIGHT("00000"&amp;187,5))</f>
        <v/>
      </c>
      <c r="C192">
        <f>IF($B192="","",COUNTIFS($A$6:$A$1005,$A192,$B$6:$B$1005,"&lt;"&amp;$B192)+COUNTIFS($N$6:$N$2005,$A192,$P$6:$P$2005,"&lt;"&amp;$B192)+1)</f>
        <v/>
      </c>
      <c r="D192">
        <f>IF($C192="","",$A192&amp;"|"&amp;RIGHT("000000"&amp;$C192,6))</f>
        <v/>
      </c>
      <c r="E192">
        <f>IF(Entry!$B195="","",IF(ISNUMBER(Entry!$B195),IF(AND(Entry!$B195&gt;=10000101,Entry!$B195&lt;=99991231),INT(Entry!$B195/10000)&amp;"/"&amp;RIGHT("00"&amp;INT(MOD(Entry!$B195,10000)/100),2)&amp;"/"&amp;RIGHT("00"&amp;MOD(Entry!$B195,100),2),"نامعتبر"),IF(LEN(Entry!$B195)=10,Entry!$B195,"نامعتبر")))</f>
        <v/>
      </c>
      <c r="F192">
        <f>IF(Entry!$B195="","",IF(Entry!$C195="","0000",IF(AND(ISNUMBER(Entry!$C195),Entry!$C195&gt;=0,Entry!$C195&lt;1),RIGHT("00"&amp;HOUR(Entry!$C195),2)&amp;RIGHT("00"&amp;MINUTE(Entry!$C195),2),IFERROR(RIGHT("00"&amp;VALUE(LEFT(Entry!$C195,FIND(":",Entry!$C195)-1)),2)&amp;RIGHT("00"&amp;VALUE(MID(Entry!$C195,FIND(":",Entry!$C195)+1,2)),2),"0000"))))</f>
        <v/>
      </c>
      <c r="G192">
        <f>IF($A192="","",Entry!$G195)</f>
        <v/>
      </c>
      <c r="H192">
        <f>IF($A192="","",IF(Entry!$H195="",0,Entry!$H195))</f>
        <v/>
      </c>
      <c r="I192">
        <f>IF($A192="","",IF(Entry!$I195="",0,Entry!$I195))</f>
        <v/>
      </c>
      <c r="J192">
        <f>IF($A192="","",ROUND($H192*$I192,0))</f>
        <v/>
      </c>
      <c r="K192">
        <f>IF($A192="","",Entry!$D195)</f>
        <v/>
      </c>
      <c r="L192">
        <f>IF($A192="","",Entry!$L195)</f>
        <v/>
      </c>
      <c r="N192">
        <f>IF(OR(Sync!$M192="",$Q192="",$Q192="نامعتبر"),"",Sync!$M192)</f>
        <v/>
      </c>
      <c r="O192">
        <f>IF($N192="","",$Q192)</f>
        <v/>
      </c>
      <c r="P192">
        <f>IF($N192="","",LEFT($Q192,4)&amp;MID($Q192,6,2)&amp;RIGHT($Q192,2)&amp;IF(Sync!$K192="","0000",IF(AND(ISNUMBER(Sync!$K192),Sync!$K192&gt;=0,Sync!$K192&lt;1),RIGHT("00"&amp;HOUR(Sync!$K192),2)&amp;RIGHT("00"&amp;MINUTE(Sync!$K192),2),IFERROR(RIGHT("00"&amp;VALUE(LEFT(Sync!$K192,FIND(":",Sync!$K192)-1)),2)&amp;RIGHT("00"&amp;VALUE(MID(Sync!$K192,FIND(":",Sync!$K192)+1,2)),2),"0000")))&amp;"|"&amp;"2"&amp;RIGHT("00000"&amp;187,5))</f>
        <v/>
      </c>
      <c r="Q192">
        <f>IF(Sync!$J192="","",IF(ISNUMBER(Sync!$J192),IF(AND(Sync!$J192&gt;=10000101,Sync!$J192&lt;=99991231),INT(Sync!$J192/10000)&amp;"/"&amp;RIGHT("00"&amp;INT(MOD(Sync!$J192,10000)/100),2)&amp;"/"&amp;RIGHT("00"&amp;MOD(Sync!$J192,100),2),"نامعتبر"),IF(LEN(Sync!$J192)=10,Sync!$J192,"نامعتبر")))</f>
        <v/>
      </c>
      <c r="R192">
        <f>IF($P192="","",COUNTIFS($N$6:$N$2005,$N192,$P$6:$P$2005,"&lt;"&amp;$P192)+COUNTIFS($A$6:$A$1005,$N192,$B$6:$B$1005,"&lt;"&amp;$P192)+1)</f>
        <v/>
      </c>
      <c r="S192">
        <f>IF($N192="","",$N192&amp;"|"&amp;RIGHT("000000"&amp;$R192,6))</f>
        <v/>
      </c>
      <c r="T192">
        <f>IF($N192="","",IF(Sync!$N192="",0,Sync!$N192))</f>
        <v/>
      </c>
      <c r="U192">
        <f>IF($N192="","",IF(Sync!$O192="",0,Sync!$O192))</f>
        <v/>
      </c>
      <c r="V192">
        <f>IF($N192="","",Sync!$L192)</f>
        <v/>
      </c>
      <c r="W192">
        <f>IF($N192="","",Sync!$P192)</f>
        <v/>
      </c>
      <c r="AA192">
        <f>IF($A192="","",IF(COUNTIF($A$6:$A192,$A192)=1,1,0))</f>
        <v/>
      </c>
      <c r="AB192">
        <f>SUM($AA$6:$AA192)</f>
        <v/>
      </c>
      <c r="AC192">
        <f>IFERROR(INDEX($A$6:$A$1005,MATCH(ROW()-5,$AB$6:$AB$1005,0)),"")</f>
        <v/>
      </c>
    </row>
    <row r="193">
      <c r="A193">
        <f>IF(OR(Entry!$B196="",Entry!$E196="",$E193="نامعتبر"),"",Entry!$E196)</f>
        <v/>
      </c>
      <c r="B193">
        <f>IF($A193="","",LEFT($E193,4)&amp;MID($E193,6,2)&amp;RIGHT($E193,2)&amp;$F193&amp;"|"&amp;"1"&amp;RIGHT("00000"&amp;188,5))</f>
        <v/>
      </c>
      <c r="C193">
        <f>IF($B193="","",COUNTIFS($A$6:$A$1005,$A193,$B$6:$B$1005,"&lt;"&amp;$B193)+COUNTIFS($N$6:$N$2005,$A193,$P$6:$P$2005,"&lt;"&amp;$B193)+1)</f>
        <v/>
      </c>
      <c r="D193">
        <f>IF($C193="","",$A193&amp;"|"&amp;RIGHT("000000"&amp;$C193,6))</f>
        <v/>
      </c>
      <c r="E193">
        <f>IF(Entry!$B196="","",IF(ISNUMBER(Entry!$B196),IF(AND(Entry!$B196&gt;=10000101,Entry!$B196&lt;=99991231),INT(Entry!$B196/10000)&amp;"/"&amp;RIGHT("00"&amp;INT(MOD(Entry!$B196,10000)/100),2)&amp;"/"&amp;RIGHT("00"&amp;MOD(Entry!$B196,100),2),"نامعتبر"),IF(LEN(Entry!$B196)=10,Entry!$B196,"نامعتبر")))</f>
        <v/>
      </c>
      <c r="F193">
        <f>IF(Entry!$B196="","",IF(Entry!$C196="","0000",IF(AND(ISNUMBER(Entry!$C196),Entry!$C196&gt;=0,Entry!$C196&lt;1),RIGHT("00"&amp;HOUR(Entry!$C196),2)&amp;RIGHT("00"&amp;MINUTE(Entry!$C196),2),IFERROR(RIGHT("00"&amp;VALUE(LEFT(Entry!$C196,FIND(":",Entry!$C196)-1)),2)&amp;RIGHT("00"&amp;VALUE(MID(Entry!$C196,FIND(":",Entry!$C196)+1,2)),2),"0000"))))</f>
        <v/>
      </c>
      <c r="G193">
        <f>IF($A193="","",Entry!$G196)</f>
        <v/>
      </c>
      <c r="H193">
        <f>IF($A193="","",IF(Entry!$H196="",0,Entry!$H196))</f>
        <v/>
      </c>
      <c r="I193">
        <f>IF($A193="","",IF(Entry!$I196="",0,Entry!$I196))</f>
        <v/>
      </c>
      <c r="J193">
        <f>IF($A193="","",ROUND($H193*$I193,0))</f>
        <v/>
      </c>
      <c r="K193">
        <f>IF($A193="","",Entry!$D196)</f>
        <v/>
      </c>
      <c r="L193">
        <f>IF($A193="","",Entry!$L196)</f>
        <v/>
      </c>
      <c r="N193">
        <f>IF(OR(Sync!$M193="",$Q193="",$Q193="نامعتبر"),"",Sync!$M193)</f>
        <v/>
      </c>
      <c r="O193">
        <f>IF($N193="","",$Q193)</f>
        <v/>
      </c>
      <c r="P193">
        <f>IF($N193="","",LEFT($Q193,4)&amp;MID($Q193,6,2)&amp;RIGHT($Q193,2)&amp;IF(Sync!$K193="","0000",IF(AND(ISNUMBER(Sync!$K193),Sync!$K193&gt;=0,Sync!$K193&lt;1),RIGHT("00"&amp;HOUR(Sync!$K193),2)&amp;RIGHT("00"&amp;MINUTE(Sync!$K193),2),IFERROR(RIGHT("00"&amp;VALUE(LEFT(Sync!$K193,FIND(":",Sync!$K193)-1)),2)&amp;RIGHT("00"&amp;VALUE(MID(Sync!$K193,FIND(":",Sync!$K193)+1,2)),2),"0000")))&amp;"|"&amp;"2"&amp;RIGHT("00000"&amp;188,5))</f>
        <v/>
      </c>
      <c r="Q193">
        <f>IF(Sync!$J193="","",IF(ISNUMBER(Sync!$J193),IF(AND(Sync!$J193&gt;=10000101,Sync!$J193&lt;=99991231),INT(Sync!$J193/10000)&amp;"/"&amp;RIGHT("00"&amp;INT(MOD(Sync!$J193,10000)/100),2)&amp;"/"&amp;RIGHT("00"&amp;MOD(Sync!$J193,100),2),"نامعتبر"),IF(LEN(Sync!$J193)=10,Sync!$J193,"نامعتبر")))</f>
        <v/>
      </c>
      <c r="R193">
        <f>IF($P193="","",COUNTIFS($N$6:$N$2005,$N193,$P$6:$P$2005,"&lt;"&amp;$P193)+COUNTIFS($A$6:$A$1005,$N193,$B$6:$B$1005,"&lt;"&amp;$P193)+1)</f>
        <v/>
      </c>
      <c r="S193">
        <f>IF($N193="","",$N193&amp;"|"&amp;RIGHT("000000"&amp;$R193,6))</f>
        <v/>
      </c>
      <c r="T193">
        <f>IF($N193="","",IF(Sync!$N193="",0,Sync!$N193))</f>
        <v/>
      </c>
      <c r="U193">
        <f>IF($N193="","",IF(Sync!$O193="",0,Sync!$O193))</f>
        <v/>
      </c>
      <c r="V193">
        <f>IF($N193="","",Sync!$L193)</f>
        <v/>
      </c>
      <c r="W193">
        <f>IF($N193="","",Sync!$P193)</f>
        <v/>
      </c>
      <c r="AA193">
        <f>IF($A193="","",IF(COUNTIF($A$6:$A193,$A193)=1,1,0))</f>
        <v/>
      </c>
      <c r="AB193">
        <f>SUM($AA$6:$AA193)</f>
        <v/>
      </c>
      <c r="AC193">
        <f>IFERROR(INDEX($A$6:$A$1005,MATCH(ROW()-5,$AB$6:$AB$1005,0)),"")</f>
        <v/>
      </c>
    </row>
    <row r="194">
      <c r="A194">
        <f>IF(OR(Entry!$B197="",Entry!$E197="",$E194="نامعتبر"),"",Entry!$E197)</f>
        <v/>
      </c>
      <c r="B194">
        <f>IF($A194="","",LEFT($E194,4)&amp;MID($E194,6,2)&amp;RIGHT($E194,2)&amp;$F194&amp;"|"&amp;"1"&amp;RIGHT("00000"&amp;189,5))</f>
        <v/>
      </c>
      <c r="C194">
        <f>IF($B194="","",COUNTIFS($A$6:$A$1005,$A194,$B$6:$B$1005,"&lt;"&amp;$B194)+COUNTIFS($N$6:$N$2005,$A194,$P$6:$P$2005,"&lt;"&amp;$B194)+1)</f>
        <v/>
      </c>
      <c r="D194">
        <f>IF($C194="","",$A194&amp;"|"&amp;RIGHT("000000"&amp;$C194,6))</f>
        <v/>
      </c>
      <c r="E194">
        <f>IF(Entry!$B197="","",IF(ISNUMBER(Entry!$B197),IF(AND(Entry!$B197&gt;=10000101,Entry!$B197&lt;=99991231),INT(Entry!$B197/10000)&amp;"/"&amp;RIGHT("00"&amp;INT(MOD(Entry!$B197,10000)/100),2)&amp;"/"&amp;RIGHT("00"&amp;MOD(Entry!$B197,100),2),"نامعتبر"),IF(LEN(Entry!$B197)=10,Entry!$B197,"نامعتبر")))</f>
        <v/>
      </c>
      <c r="F194">
        <f>IF(Entry!$B197="","",IF(Entry!$C197="","0000",IF(AND(ISNUMBER(Entry!$C197),Entry!$C197&gt;=0,Entry!$C197&lt;1),RIGHT("00"&amp;HOUR(Entry!$C197),2)&amp;RIGHT("00"&amp;MINUTE(Entry!$C197),2),IFERROR(RIGHT("00"&amp;VALUE(LEFT(Entry!$C197,FIND(":",Entry!$C197)-1)),2)&amp;RIGHT("00"&amp;VALUE(MID(Entry!$C197,FIND(":",Entry!$C197)+1,2)),2),"0000"))))</f>
        <v/>
      </c>
      <c r="G194">
        <f>IF($A194="","",Entry!$G197)</f>
        <v/>
      </c>
      <c r="H194">
        <f>IF($A194="","",IF(Entry!$H197="",0,Entry!$H197))</f>
        <v/>
      </c>
      <c r="I194">
        <f>IF($A194="","",IF(Entry!$I197="",0,Entry!$I197))</f>
        <v/>
      </c>
      <c r="J194">
        <f>IF($A194="","",ROUND($H194*$I194,0))</f>
        <v/>
      </c>
      <c r="K194">
        <f>IF($A194="","",Entry!$D197)</f>
        <v/>
      </c>
      <c r="L194">
        <f>IF($A194="","",Entry!$L197)</f>
        <v/>
      </c>
      <c r="N194">
        <f>IF(OR(Sync!$M194="",$Q194="",$Q194="نامعتبر"),"",Sync!$M194)</f>
        <v/>
      </c>
      <c r="O194">
        <f>IF($N194="","",$Q194)</f>
        <v/>
      </c>
      <c r="P194">
        <f>IF($N194="","",LEFT($Q194,4)&amp;MID($Q194,6,2)&amp;RIGHT($Q194,2)&amp;IF(Sync!$K194="","0000",IF(AND(ISNUMBER(Sync!$K194),Sync!$K194&gt;=0,Sync!$K194&lt;1),RIGHT("00"&amp;HOUR(Sync!$K194),2)&amp;RIGHT("00"&amp;MINUTE(Sync!$K194),2),IFERROR(RIGHT("00"&amp;VALUE(LEFT(Sync!$K194,FIND(":",Sync!$K194)-1)),2)&amp;RIGHT("00"&amp;VALUE(MID(Sync!$K194,FIND(":",Sync!$K194)+1,2)),2),"0000")))&amp;"|"&amp;"2"&amp;RIGHT("00000"&amp;189,5))</f>
        <v/>
      </c>
      <c r="Q194">
        <f>IF(Sync!$J194="","",IF(ISNUMBER(Sync!$J194),IF(AND(Sync!$J194&gt;=10000101,Sync!$J194&lt;=99991231),INT(Sync!$J194/10000)&amp;"/"&amp;RIGHT("00"&amp;INT(MOD(Sync!$J194,10000)/100),2)&amp;"/"&amp;RIGHT("00"&amp;MOD(Sync!$J194,100),2),"نامعتبر"),IF(LEN(Sync!$J194)=10,Sync!$J194,"نامعتبر")))</f>
        <v/>
      </c>
      <c r="R194">
        <f>IF($P194="","",COUNTIFS($N$6:$N$2005,$N194,$P$6:$P$2005,"&lt;"&amp;$P194)+COUNTIFS($A$6:$A$1005,$N194,$B$6:$B$1005,"&lt;"&amp;$P194)+1)</f>
        <v/>
      </c>
      <c r="S194">
        <f>IF($N194="","",$N194&amp;"|"&amp;RIGHT("000000"&amp;$R194,6))</f>
        <v/>
      </c>
      <c r="T194">
        <f>IF($N194="","",IF(Sync!$N194="",0,Sync!$N194))</f>
        <v/>
      </c>
      <c r="U194">
        <f>IF($N194="","",IF(Sync!$O194="",0,Sync!$O194))</f>
        <v/>
      </c>
      <c r="V194">
        <f>IF($N194="","",Sync!$L194)</f>
        <v/>
      </c>
      <c r="W194">
        <f>IF($N194="","",Sync!$P194)</f>
        <v/>
      </c>
      <c r="AA194">
        <f>IF($A194="","",IF(COUNTIF($A$6:$A194,$A194)=1,1,0))</f>
        <v/>
      </c>
      <c r="AB194">
        <f>SUM($AA$6:$AA194)</f>
        <v/>
      </c>
      <c r="AC194">
        <f>IFERROR(INDEX($A$6:$A$1005,MATCH(ROW()-5,$AB$6:$AB$1005,0)),"")</f>
        <v/>
      </c>
    </row>
    <row r="195">
      <c r="A195">
        <f>IF(OR(Entry!$B198="",Entry!$E198="",$E195="نامعتبر"),"",Entry!$E198)</f>
        <v/>
      </c>
      <c r="B195">
        <f>IF($A195="","",LEFT($E195,4)&amp;MID($E195,6,2)&amp;RIGHT($E195,2)&amp;$F195&amp;"|"&amp;"1"&amp;RIGHT("00000"&amp;190,5))</f>
        <v/>
      </c>
      <c r="C195">
        <f>IF($B195="","",COUNTIFS($A$6:$A$1005,$A195,$B$6:$B$1005,"&lt;"&amp;$B195)+COUNTIFS($N$6:$N$2005,$A195,$P$6:$P$2005,"&lt;"&amp;$B195)+1)</f>
        <v/>
      </c>
      <c r="D195">
        <f>IF($C195="","",$A195&amp;"|"&amp;RIGHT("000000"&amp;$C195,6))</f>
        <v/>
      </c>
      <c r="E195">
        <f>IF(Entry!$B198="","",IF(ISNUMBER(Entry!$B198),IF(AND(Entry!$B198&gt;=10000101,Entry!$B198&lt;=99991231),INT(Entry!$B198/10000)&amp;"/"&amp;RIGHT("00"&amp;INT(MOD(Entry!$B198,10000)/100),2)&amp;"/"&amp;RIGHT("00"&amp;MOD(Entry!$B198,100),2),"نامعتبر"),IF(LEN(Entry!$B198)=10,Entry!$B198,"نامعتبر")))</f>
        <v/>
      </c>
      <c r="F195">
        <f>IF(Entry!$B198="","",IF(Entry!$C198="","0000",IF(AND(ISNUMBER(Entry!$C198),Entry!$C198&gt;=0,Entry!$C198&lt;1),RIGHT("00"&amp;HOUR(Entry!$C198),2)&amp;RIGHT("00"&amp;MINUTE(Entry!$C198),2),IFERROR(RIGHT("00"&amp;VALUE(LEFT(Entry!$C198,FIND(":",Entry!$C198)-1)),2)&amp;RIGHT("00"&amp;VALUE(MID(Entry!$C198,FIND(":",Entry!$C198)+1,2)),2),"0000"))))</f>
        <v/>
      </c>
      <c r="G195">
        <f>IF($A195="","",Entry!$G198)</f>
        <v/>
      </c>
      <c r="H195">
        <f>IF($A195="","",IF(Entry!$H198="",0,Entry!$H198))</f>
        <v/>
      </c>
      <c r="I195">
        <f>IF($A195="","",IF(Entry!$I198="",0,Entry!$I198))</f>
        <v/>
      </c>
      <c r="J195">
        <f>IF($A195="","",ROUND($H195*$I195,0))</f>
        <v/>
      </c>
      <c r="K195">
        <f>IF($A195="","",Entry!$D198)</f>
        <v/>
      </c>
      <c r="L195">
        <f>IF($A195="","",Entry!$L198)</f>
        <v/>
      </c>
      <c r="N195">
        <f>IF(OR(Sync!$M195="",$Q195="",$Q195="نامعتبر"),"",Sync!$M195)</f>
        <v/>
      </c>
      <c r="O195">
        <f>IF($N195="","",$Q195)</f>
        <v/>
      </c>
      <c r="P195">
        <f>IF($N195="","",LEFT($Q195,4)&amp;MID($Q195,6,2)&amp;RIGHT($Q195,2)&amp;IF(Sync!$K195="","0000",IF(AND(ISNUMBER(Sync!$K195),Sync!$K195&gt;=0,Sync!$K195&lt;1),RIGHT("00"&amp;HOUR(Sync!$K195),2)&amp;RIGHT("00"&amp;MINUTE(Sync!$K195),2),IFERROR(RIGHT("00"&amp;VALUE(LEFT(Sync!$K195,FIND(":",Sync!$K195)-1)),2)&amp;RIGHT("00"&amp;VALUE(MID(Sync!$K195,FIND(":",Sync!$K195)+1,2)),2),"0000")))&amp;"|"&amp;"2"&amp;RIGHT("00000"&amp;190,5))</f>
        <v/>
      </c>
      <c r="Q195">
        <f>IF(Sync!$J195="","",IF(ISNUMBER(Sync!$J195),IF(AND(Sync!$J195&gt;=10000101,Sync!$J195&lt;=99991231),INT(Sync!$J195/10000)&amp;"/"&amp;RIGHT("00"&amp;INT(MOD(Sync!$J195,10000)/100),2)&amp;"/"&amp;RIGHT("00"&amp;MOD(Sync!$J195,100),2),"نامعتبر"),IF(LEN(Sync!$J195)=10,Sync!$J195,"نامعتبر")))</f>
        <v/>
      </c>
      <c r="R195">
        <f>IF($P195="","",COUNTIFS($N$6:$N$2005,$N195,$P$6:$P$2005,"&lt;"&amp;$P195)+COUNTIFS($A$6:$A$1005,$N195,$B$6:$B$1005,"&lt;"&amp;$P195)+1)</f>
        <v/>
      </c>
      <c r="S195">
        <f>IF($N195="","",$N195&amp;"|"&amp;RIGHT("000000"&amp;$R195,6))</f>
        <v/>
      </c>
      <c r="T195">
        <f>IF($N195="","",IF(Sync!$N195="",0,Sync!$N195))</f>
        <v/>
      </c>
      <c r="U195">
        <f>IF($N195="","",IF(Sync!$O195="",0,Sync!$O195))</f>
        <v/>
      </c>
      <c r="V195">
        <f>IF($N195="","",Sync!$L195)</f>
        <v/>
      </c>
      <c r="W195">
        <f>IF($N195="","",Sync!$P195)</f>
        <v/>
      </c>
      <c r="AA195">
        <f>IF($A195="","",IF(COUNTIF($A$6:$A195,$A195)=1,1,0))</f>
        <v/>
      </c>
      <c r="AB195">
        <f>SUM($AA$6:$AA195)</f>
        <v/>
      </c>
      <c r="AC195">
        <f>IFERROR(INDEX($A$6:$A$1005,MATCH(ROW()-5,$AB$6:$AB$1005,0)),"")</f>
        <v/>
      </c>
    </row>
    <row r="196">
      <c r="A196">
        <f>IF(OR(Entry!$B199="",Entry!$E199="",$E196="نامعتبر"),"",Entry!$E199)</f>
        <v/>
      </c>
      <c r="B196">
        <f>IF($A196="","",LEFT($E196,4)&amp;MID($E196,6,2)&amp;RIGHT($E196,2)&amp;$F196&amp;"|"&amp;"1"&amp;RIGHT("00000"&amp;191,5))</f>
        <v/>
      </c>
      <c r="C196">
        <f>IF($B196="","",COUNTIFS($A$6:$A$1005,$A196,$B$6:$B$1005,"&lt;"&amp;$B196)+COUNTIFS($N$6:$N$2005,$A196,$P$6:$P$2005,"&lt;"&amp;$B196)+1)</f>
        <v/>
      </c>
      <c r="D196">
        <f>IF($C196="","",$A196&amp;"|"&amp;RIGHT("000000"&amp;$C196,6))</f>
        <v/>
      </c>
      <c r="E196">
        <f>IF(Entry!$B199="","",IF(ISNUMBER(Entry!$B199),IF(AND(Entry!$B199&gt;=10000101,Entry!$B199&lt;=99991231),INT(Entry!$B199/10000)&amp;"/"&amp;RIGHT("00"&amp;INT(MOD(Entry!$B199,10000)/100),2)&amp;"/"&amp;RIGHT("00"&amp;MOD(Entry!$B199,100),2),"نامعتبر"),IF(LEN(Entry!$B199)=10,Entry!$B199,"نامعتبر")))</f>
        <v/>
      </c>
      <c r="F196">
        <f>IF(Entry!$B199="","",IF(Entry!$C199="","0000",IF(AND(ISNUMBER(Entry!$C199),Entry!$C199&gt;=0,Entry!$C199&lt;1),RIGHT("00"&amp;HOUR(Entry!$C199),2)&amp;RIGHT("00"&amp;MINUTE(Entry!$C199),2),IFERROR(RIGHT("00"&amp;VALUE(LEFT(Entry!$C199,FIND(":",Entry!$C199)-1)),2)&amp;RIGHT("00"&amp;VALUE(MID(Entry!$C199,FIND(":",Entry!$C199)+1,2)),2),"0000"))))</f>
        <v/>
      </c>
      <c r="G196">
        <f>IF($A196="","",Entry!$G199)</f>
        <v/>
      </c>
      <c r="H196">
        <f>IF($A196="","",IF(Entry!$H199="",0,Entry!$H199))</f>
        <v/>
      </c>
      <c r="I196">
        <f>IF($A196="","",IF(Entry!$I199="",0,Entry!$I199))</f>
        <v/>
      </c>
      <c r="J196">
        <f>IF($A196="","",ROUND($H196*$I196,0))</f>
        <v/>
      </c>
      <c r="K196">
        <f>IF($A196="","",Entry!$D199)</f>
        <v/>
      </c>
      <c r="L196">
        <f>IF($A196="","",Entry!$L199)</f>
        <v/>
      </c>
      <c r="N196">
        <f>IF(OR(Sync!$M196="",$Q196="",$Q196="نامعتبر"),"",Sync!$M196)</f>
        <v/>
      </c>
      <c r="O196">
        <f>IF($N196="","",$Q196)</f>
        <v/>
      </c>
      <c r="P196">
        <f>IF($N196="","",LEFT($Q196,4)&amp;MID($Q196,6,2)&amp;RIGHT($Q196,2)&amp;IF(Sync!$K196="","0000",IF(AND(ISNUMBER(Sync!$K196),Sync!$K196&gt;=0,Sync!$K196&lt;1),RIGHT("00"&amp;HOUR(Sync!$K196),2)&amp;RIGHT("00"&amp;MINUTE(Sync!$K196),2),IFERROR(RIGHT("00"&amp;VALUE(LEFT(Sync!$K196,FIND(":",Sync!$K196)-1)),2)&amp;RIGHT("00"&amp;VALUE(MID(Sync!$K196,FIND(":",Sync!$K196)+1,2)),2),"0000")))&amp;"|"&amp;"2"&amp;RIGHT("00000"&amp;191,5))</f>
        <v/>
      </c>
      <c r="Q196">
        <f>IF(Sync!$J196="","",IF(ISNUMBER(Sync!$J196),IF(AND(Sync!$J196&gt;=10000101,Sync!$J196&lt;=99991231),INT(Sync!$J196/10000)&amp;"/"&amp;RIGHT("00"&amp;INT(MOD(Sync!$J196,10000)/100),2)&amp;"/"&amp;RIGHT("00"&amp;MOD(Sync!$J196,100),2),"نامعتبر"),IF(LEN(Sync!$J196)=10,Sync!$J196,"نامعتبر")))</f>
        <v/>
      </c>
      <c r="R196">
        <f>IF($P196="","",COUNTIFS($N$6:$N$2005,$N196,$P$6:$P$2005,"&lt;"&amp;$P196)+COUNTIFS($A$6:$A$1005,$N196,$B$6:$B$1005,"&lt;"&amp;$P196)+1)</f>
        <v/>
      </c>
      <c r="S196">
        <f>IF($N196="","",$N196&amp;"|"&amp;RIGHT("000000"&amp;$R196,6))</f>
        <v/>
      </c>
      <c r="T196">
        <f>IF($N196="","",IF(Sync!$N196="",0,Sync!$N196))</f>
        <v/>
      </c>
      <c r="U196">
        <f>IF($N196="","",IF(Sync!$O196="",0,Sync!$O196))</f>
        <v/>
      </c>
      <c r="V196">
        <f>IF($N196="","",Sync!$L196)</f>
        <v/>
      </c>
      <c r="W196">
        <f>IF($N196="","",Sync!$P196)</f>
        <v/>
      </c>
      <c r="AA196">
        <f>IF($A196="","",IF(COUNTIF($A$6:$A196,$A196)=1,1,0))</f>
        <v/>
      </c>
      <c r="AB196">
        <f>SUM($AA$6:$AA196)</f>
        <v/>
      </c>
      <c r="AC196">
        <f>IFERROR(INDEX($A$6:$A$1005,MATCH(ROW()-5,$AB$6:$AB$1005,0)),"")</f>
        <v/>
      </c>
    </row>
    <row r="197">
      <c r="A197">
        <f>IF(OR(Entry!$B200="",Entry!$E200="",$E197="نامعتبر"),"",Entry!$E200)</f>
        <v/>
      </c>
      <c r="B197">
        <f>IF($A197="","",LEFT($E197,4)&amp;MID($E197,6,2)&amp;RIGHT($E197,2)&amp;$F197&amp;"|"&amp;"1"&amp;RIGHT("00000"&amp;192,5))</f>
        <v/>
      </c>
      <c r="C197">
        <f>IF($B197="","",COUNTIFS($A$6:$A$1005,$A197,$B$6:$B$1005,"&lt;"&amp;$B197)+COUNTIFS($N$6:$N$2005,$A197,$P$6:$P$2005,"&lt;"&amp;$B197)+1)</f>
        <v/>
      </c>
      <c r="D197">
        <f>IF($C197="","",$A197&amp;"|"&amp;RIGHT("000000"&amp;$C197,6))</f>
        <v/>
      </c>
      <c r="E197">
        <f>IF(Entry!$B200="","",IF(ISNUMBER(Entry!$B200),IF(AND(Entry!$B200&gt;=10000101,Entry!$B200&lt;=99991231),INT(Entry!$B200/10000)&amp;"/"&amp;RIGHT("00"&amp;INT(MOD(Entry!$B200,10000)/100),2)&amp;"/"&amp;RIGHT("00"&amp;MOD(Entry!$B200,100),2),"نامعتبر"),IF(LEN(Entry!$B200)=10,Entry!$B200,"نامعتبر")))</f>
        <v/>
      </c>
      <c r="F197">
        <f>IF(Entry!$B200="","",IF(Entry!$C200="","0000",IF(AND(ISNUMBER(Entry!$C200),Entry!$C200&gt;=0,Entry!$C200&lt;1),RIGHT("00"&amp;HOUR(Entry!$C200),2)&amp;RIGHT("00"&amp;MINUTE(Entry!$C200),2),IFERROR(RIGHT("00"&amp;VALUE(LEFT(Entry!$C200,FIND(":",Entry!$C200)-1)),2)&amp;RIGHT("00"&amp;VALUE(MID(Entry!$C200,FIND(":",Entry!$C200)+1,2)),2),"0000"))))</f>
        <v/>
      </c>
      <c r="G197">
        <f>IF($A197="","",Entry!$G200)</f>
        <v/>
      </c>
      <c r="H197">
        <f>IF($A197="","",IF(Entry!$H200="",0,Entry!$H200))</f>
        <v/>
      </c>
      <c r="I197">
        <f>IF($A197="","",IF(Entry!$I200="",0,Entry!$I200))</f>
        <v/>
      </c>
      <c r="J197">
        <f>IF($A197="","",ROUND($H197*$I197,0))</f>
        <v/>
      </c>
      <c r="K197">
        <f>IF($A197="","",Entry!$D200)</f>
        <v/>
      </c>
      <c r="L197">
        <f>IF($A197="","",Entry!$L200)</f>
        <v/>
      </c>
      <c r="N197">
        <f>IF(OR(Sync!$M197="",$Q197="",$Q197="نامعتبر"),"",Sync!$M197)</f>
        <v/>
      </c>
      <c r="O197">
        <f>IF($N197="","",$Q197)</f>
        <v/>
      </c>
      <c r="P197">
        <f>IF($N197="","",LEFT($Q197,4)&amp;MID($Q197,6,2)&amp;RIGHT($Q197,2)&amp;IF(Sync!$K197="","0000",IF(AND(ISNUMBER(Sync!$K197),Sync!$K197&gt;=0,Sync!$K197&lt;1),RIGHT("00"&amp;HOUR(Sync!$K197),2)&amp;RIGHT("00"&amp;MINUTE(Sync!$K197),2),IFERROR(RIGHT("00"&amp;VALUE(LEFT(Sync!$K197,FIND(":",Sync!$K197)-1)),2)&amp;RIGHT("00"&amp;VALUE(MID(Sync!$K197,FIND(":",Sync!$K197)+1,2)),2),"0000")))&amp;"|"&amp;"2"&amp;RIGHT("00000"&amp;192,5))</f>
        <v/>
      </c>
      <c r="Q197">
        <f>IF(Sync!$J197="","",IF(ISNUMBER(Sync!$J197),IF(AND(Sync!$J197&gt;=10000101,Sync!$J197&lt;=99991231),INT(Sync!$J197/10000)&amp;"/"&amp;RIGHT("00"&amp;INT(MOD(Sync!$J197,10000)/100),2)&amp;"/"&amp;RIGHT("00"&amp;MOD(Sync!$J197,100),2),"نامعتبر"),IF(LEN(Sync!$J197)=10,Sync!$J197,"نامعتبر")))</f>
        <v/>
      </c>
      <c r="R197">
        <f>IF($P197="","",COUNTIFS($N$6:$N$2005,$N197,$P$6:$P$2005,"&lt;"&amp;$P197)+COUNTIFS($A$6:$A$1005,$N197,$B$6:$B$1005,"&lt;"&amp;$P197)+1)</f>
        <v/>
      </c>
      <c r="S197">
        <f>IF($N197="","",$N197&amp;"|"&amp;RIGHT("000000"&amp;$R197,6))</f>
        <v/>
      </c>
      <c r="T197">
        <f>IF($N197="","",IF(Sync!$N197="",0,Sync!$N197))</f>
        <v/>
      </c>
      <c r="U197">
        <f>IF($N197="","",IF(Sync!$O197="",0,Sync!$O197))</f>
        <v/>
      </c>
      <c r="V197">
        <f>IF($N197="","",Sync!$L197)</f>
        <v/>
      </c>
      <c r="W197">
        <f>IF($N197="","",Sync!$P197)</f>
        <v/>
      </c>
      <c r="AA197">
        <f>IF($A197="","",IF(COUNTIF($A$6:$A197,$A197)=1,1,0))</f>
        <v/>
      </c>
      <c r="AB197">
        <f>SUM($AA$6:$AA197)</f>
        <v/>
      </c>
      <c r="AC197">
        <f>IFERROR(INDEX($A$6:$A$1005,MATCH(ROW()-5,$AB$6:$AB$1005,0)),"")</f>
        <v/>
      </c>
    </row>
    <row r="198">
      <c r="A198">
        <f>IF(OR(Entry!$B201="",Entry!$E201="",$E198="نامعتبر"),"",Entry!$E201)</f>
        <v/>
      </c>
      <c r="B198">
        <f>IF($A198="","",LEFT($E198,4)&amp;MID($E198,6,2)&amp;RIGHT($E198,2)&amp;$F198&amp;"|"&amp;"1"&amp;RIGHT("00000"&amp;193,5))</f>
        <v/>
      </c>
      <c r="C198">
        <f>IF($B198="","",COUNTIFS($A$6:$A$1005,$A198,$B$6:$B$1005,"&lt;"&amp;$B198)+COUNTIFS($N$6:$N$2005,$A198,$P$6:$P$2005,"&lt;"&amp;$B198)+1)</f>
        <v/>
      </c>
      <c r="D198">
        <f>IF($C198="","",$A198&amp;"|"&amp;RIGHT("000000"&amp;$C198,6))</f>
        <v/>
      </c>
      <c r="E198">
        <f>IF(Entry!$B201="","",IF(ISNUMBER(Entry!$B201),IF(AND(Entry!$B201&gt;=10000101,Entry!$B201&lt;=99991231),INT(Entry!$B201/10000)&amp;"/"&amp;RIGHT("00"&amp;INT(MOD(Entry!$B201,10000)/100),2)&amp;"/"&amp;RIGHT("00"&amp;MOD(Entry!$B201,100),2),"نامعتبر"),IF(LEN(Entry!$B201)=10,Entry!$B201,"نامعتبر")))</f>
        <v/>
      </c>
      <c r="F198">
        <f>IF(Entry!$B201="","",IF(Entry!$C201="","0000",IF(AND(ISNUMBER(Entry!$C201),Entry!$C201&gt;=0,Entry!$C201&lt;1),RIGHT("00"&amp;HOUR(Entry!$C201),2)&amp;RIGHT("00"&amp;MINUTE(Entry!$C201),2),IFERROR(RIGHT("00"&amp;VALUE(LEFT(Entry!$C201,FIND(":",Entry!$C201)-1)),2)&amp;RIGHT("00"&amp;VALUE(MID(Entry!$C201,FIND(":",Entry!$C201)+1,2)),2),"0000"))))</f>
        <v/>
      </c>
      <c r="G198">
        <f>IF($A198="","",Entry!$G201)</f>
        <v/>
      </c>
      <c r="H198">
        <f>IF($A198="","",IF(Entry!$H201="",0,Entry!$H201))</f>
        <v/>
      </c>
      <c r="I198">
        <f>IF($A198="","",IF(Entry!$I201="",0,Entry!$I201))</f>
        <v/>
      </c>
      <c r="J198">
        <f>IF($A198="","",ROUND($H198*$I198,0))</f>
        <v/>
      </c>
      <c r="K198">
        <f>IF($A198="","",Entry!$D201)</f>
        <v/>
      </c>
      <c r="L198">
        <f>IF($A198="","",Entry!$L201)</f>
        <v/>
      </c>
      <c r="N198">
        <f>IF(OR(Sync!$M198="",$Q198="",$Q198="نامعتبر"),"",Sync!$M198)</f>
        <v/>
      </c>
      <c r="O198">
        <f>IF($N198="","",$Q198)</f>
        <v/>
      </c>
      <c r="P198">
        <f>IF($N198="","",LEFT($Q198,4)&amp;MID($Q198,6,2)&amp;RIGHT($Q198,2)&amp;IF(Sync!$K198="","0000",IF(AND(ISNUMBER(Sync!$K198),Sync!$K198&gt;=0,Sync!$K198&lt;1),RIGHT("00"&amp;HOUR(Sync!$K198),2)&amp;RIGHT("00"&amp;MINUTE(Sync!$K198),2),IFERROR(RIGHT("00"&amp;VALUE(LEFT(Sync!$K198,FIND(":",Sync!$K198)-1)),2)&amp;RIGHT("00"&amp;VALUE(MID(Sync!$K198,FIND(":",Sync!$K198)+1,2)),2),"0000")))&amp;"|"&amp;"2"&amp;RIGHT("00000"&amp;193,5))</f>
        <v/>
      </c>
      <c r="Q198">
        <f>IF(Sync!$J198="","",IF(ISNUMBER(Sync!$J198),IF(AND(Sync!$J198&gt;=10000101,Sync!$J198&lt;=99991231),INT(Sync!$J198/10000)&amp;"/"&amp;RIGHT("00"&amp;INT(MOD(Sync!$J198,10000)/100),2)&amp;"/"&amp;RIGHT("00"&amp;MOD(Sync!$J198,100),2),"نامعتبر"),IF(LEN(Sync!$J198)=10,Sync!$J198,"نامعتبر")))</f>
        <v/>
      </c>
      <c r="R198">
        <f>IF($P198="","",COUNTIFS($N$6:$N$2005,$N198,$P$6:$P$2005,"&lt;"&amp;$P198)+COUNTIFS($A$6:$A$1005,$N198,$B$6:$B$1005,"&lt;"&amp;$P198)+1)</f>
        <v/>
      </c>
      <c r="S198">
        <f>IF($N198="","",$N198&amp;"|"&amp;RIGHT("000000"&amp;$R198,6))</f>
        <v/>
      </c>
      <c r="T198">
        <f>IF($N198="","",IF(Sync!$N198="",0,Sync!$N198))</f>
        <v/>
      </c>
      <c r="U198">
        <f>IF($N198="","",IF(Sync!$O198="",0,Sync!$O198))</f>
        <v/>
      </c>
      <c r="V198">
        <f>IF($N198="","",Sync!$L198)</f>
        <v/>
      </c>
      <c r="W198">
        <f>IF($N198="","",Sync!$P198)</f>
        <v/>
      </c>
      <c r="AA198">
        <f>IF($A198="","",IF(COUNTIF($A$6:$A198,$A198)=1,1,0))</f>
        <v/>
      </c>
      <c r="AB198">
        <f>SUM($AA$6:$AA198)</f>
        <v/>
      </c>
      <c r="AC198">
        <f>IFERROR(INDEX($A$6:$A$1005,MATCH(ROW()-5,$AB$6:$AB$1005,0)),"")</f>
        <v/>
      </c>
    </row>
    <row r="199">
      <c r="A199">
        <f>IF(OR(Entry!$B202="",Entry!$E202="",$E199="نامعتبر"),"",Entry!$E202)</f>
        <v/>
      </c>
      <c r="B199">
        <f>IF($A199="","",LEFT($E199,4)&amp;MID($E199,6,2)&amp;RIGHT($E199,2)&amp;$F199&amp;"|"&amp;"1"&amp;RIGHT("00000"&amp;194,5))</f>
        <v/>
      </c>
      <c r="C199">
        <f>IF($B199="","",COUNTIFS($A$6:$A$1005,$A199,$B$6:$B$1005,"&lt;"&amp;$B199)+COUNTIFS($N$6:$N$2005,$A199,$P$6:$P$2005,"&lt;"&amp;$B199)+1)</f>
        <v/>
      </c>
      <c r="D199">
        <f>IF($C199="","",$A199&amp;"|"&amp;RIGHT("000000"&amp;$C199,6))</f>
        <v/>
      </c>
      <c r="E199">
        <f>IF(Entry!$B202="","",IF(ISNUMBER(Entry!$B202),IF(AND(Entry!$B202&gt;=10000101,Entry!$B202&lt;=99991231),INT(Entry!$B202/10000)&amp;"/"&amp;RIGHT("00"&amp;INT(MOD(Entry!$B202,10000)/100),2)&amp;"/"&amp;RIGHT("00"&amp;MOD(Entry!$B202,100),2),"نامعتبر"),IF(LEN(Entry!$B202)=10,Entry!$B202,"نامعتبر")))</f>
        <v/>
      </c>
      <c r="F199">
        <f>IF(Entry!$B202="","",IF(Entry!$C202="","0000",IF(AND(ISNUMBER(Entry!$C202),Entry!$C202&gt;=0,Entry!$C202&lt;1),RIGHT("00"&amp;HOUR(Entry!$C202),2)&amp;RIGHT("00"&amp;MINUTE(Entry!$C202),2),IFERROR(RIGHT("00"&amp;VALUE(LEFT(Entry!$C202,FIND(":",Entry!$C202)-1)),2)&amp;RIGHT("00"&amp;VALUE(MID(Entry!$C202,FIND(":",Entry!$C202)+1,2)),2),"0000"))))</f>
        <v/>
      </c>
      <c r="G199">
        <f>IF($A199="","",Entry!$G202)</f>
        <v/>
      </c>
      <c r="H199">
        <f>IF($A199="","",IF(Entry!$H202="",0,Entry!$H202))</f>
        <v/>
      </c>
      <c r="I199">
        <f>IF($A199="","",IF(Entry!$I202="",0,Entry!$I202))</f>
        <v/>
      </c>
      <c r="J199">
        <f>IF($A199="","",ROUND($H199*$I199,0))</f>
        <v/>
      </c>
      <c r="K199">
        <f>IF($A199="","",Entry!$D202)</f>
        <v/>
      </c>
      <c r="L199">
        <f>IF($A199="","",Entry!$L202)</f>
        <v/>
      </c>
      <c r="N199">
        <f>IF(OR(Sync!$M199="",$Q199="",$Q199="نامعتبر"),"",Sync!$M199)</f>
        <v/>
      </c>
      <c r="O199">
        <f>IF($N199="","",$Q199)</f>
        <v/>
      </c>
      <c r="P199">
        <f>IF($N199="","",LEFT($Q199,4)&amp;MID($Q199,6,2)&amp;RIGHT($Q199,2)&amp;IF(Sync!$K199="","0000",IF(AND(ISNUMBER(Sync!$K199),Sync!$K199&gt;=0,Sync!$K199&lt;1),RIGHT("00"&amp;HOUR(Sync!$K199),2)&amp;RIGHT("00"&amp;MINUTE(Sync!$K199),2),IFERROR(RIGHT("00"&amp;VALUE(LEFT(Sync!$K199,FIND(":",Sync!$K199)-1)),2)&amp;RIGHT("00"&amp;VALUE(MID(Sync!$K199,FIND(":",Sync!$K199)+1,2)),2),"0000")))&amp;"|"&amp;"2"&amp;RIGHT("00000"&amp;194,5))</f>
        <v/>
      </c>
      <c r="Q199">
        <f>IF(Sync!$J199="","",IF(ISNUMBER(Sync!$J199),IF(AND(Sync!$J199&gt;=10000101,Sync!$J199&lt;=99991231),INT(Sync!$J199/10000)&amp;"/"&amp;RIGHT("00"&amp;INT(MOD(Sync!$J199,10000)/100),2)&amp;"/"&amp;RIGHT("00"&amp;MOD(Sync!$J199,100),2),"نامعتبر"),IF(LEN(Sync!$J199)=10,Sync!$J199,"نامعتبر")))</f>
        <v/>
      </c>
      <c r="R199">
        <f>IF($P199="","",COUNTIFS($N$6:$N$2005,$N199,$P$6:$P$2005,"&lt;"&amp;$P199)+COUNTIFS($A$6:$A$1005,$N199,$B$6:$B$1005,"&lt;"&amp;$P199)+1)</f>
        <v/>
      </c>
      <c r="S199">
        <f>IF($N199="","",$N199&amp;"|"&amp;RIGHT("000000"&amp;$R199,6))</f>
        <v/>
      </c>
      <c r="T199">
        <f>IF($N199="","",IF(Sync!$N199="",0,Sync!$N199))</f>
        <v/>
      </c>
      <c r="U199">
        <f>IF($N199="","",IF(Sync!$O199="",0,Sync!$O199))</f>
        <v/>
      </c>
      <c r="V199">
        <f>IF($N199="","",Sync!$L199)</f>
        <v/>
      </c>
      <c r="W199">
        <f>IF($N199="","",Sync!$P199)</f>
        <v/>
      </c>
      <c r="AA199">
        <f>IF($A199="","",IF(COUNTIF($A$6:$A199,$A199)=1,1,0))</f>
        <v/>
      </c>
      <c r="AB199">
        <f>SUM($AA$6:$AA199)</f>
        <v/>
      </c>
      <c r="AC199">
        <f>IFERROR(INDEX($A$6:$A$1005,MATCH(ROW()-5,$AB$6:$AB$1005,0)),"")</f>
        <v/>
      </c>
    </row>
    <row r="200">
      <c r="A200">
        <f>IF(OR(Entry!$B203="",Entry!$E203="",$E200="نامعتبر"),"",Entry!$E203)</f>
        <v/>
      </c>
      <c r="B200">
        <f>IF($A200="","",LEFT($E200,4)&amp;MID($E200,6,2)&amp;RIGHT($E200,2)&amp;$F200&amp;"|"&amp;"1"&amp;RIGHT("00000"&amp;195,5))</f>
        <v/>
      </c>
      <c r="C200">
        <f>IF($B200="","",COUNTIFS($A$6:$A$1005,$A200,$B$6:$B$1005,"&lt;"&amp;$B200)+COUNTIFS($N$6:$N$2005,$A200,$P$6:$P$2005,"&lt;"&amp;$B200)+1)</f>
        <v/>
      </c>
      <c r="D200">
        <f>IF($C200="","",$A200&amp;"|"&amp;RIGHT("000000"&amp;$C200,6))</f>
        <v/>
      </c>
      <c r="E200">
        <f>IF(Entry!$B203="","",IF(ISNUMBER(Entry!$B203),IF(AND(Entry!$B203&gt;=10000101,Entry!$B203&lt;=99991231),INT(Entry!$B203/10000)&amp;"/"&amp;RIGHT("00"&amp;INT(MOD(Entry!$B203,10000)/100),2)&amp;"/"&amp;RIGHT("00"&amp;MOD(Entry!$B203,100),2),"نامعتبر"),IF(LEN(Entry!$B203)=10,Entry!$B203,"نامعتبر")))</f>
        <v/>
      </c>
      <c r="F200">
        <f>IF(Entry!$B203="","",IF(Entry!$C203="","0000",IF(AND(ISNUMBER(Entry!$C203),Entry!$C203&gt;=0,Entry!$C203&lt;1),RIGHT("00"&amp;HOUR(Entry!$C203),2)&amp;RIGHT("00"&amp;MINUTE(Entry!$C203),2),IFERROR(RIGHT("00"&amp;VALUE(LEFT(Entry!$C203,FIND(":",Entry!$C203)-1)),2)&amp;RIGHT("00"&amp;VALUE(MID(Entry!$C203,FIND(":",Entry!$C203)+1,2)),2),"0000"))))</f>
        <v/>
      </c>
      <c r="G200">
        <f>IF($A200="","",Entry!$G203)</f>
        <v/>
      </c>
      <c r="H200">
        <f>IF($A200="","",IF(Entry!$H203="",0,Entry!$H203))</f>
        <v/>
      </c>
      <c r="I200">
        <f>IF($A200="","",IF(Entry!$I203="",0,Entry!$I203))</f>
        <v/>
      </c>
      <c r="J200">
        <f>IF($A200="","",ROUND($H200*$I200,0))</f>
        <v/>
      </c>
      <c r="K200">
        <f>IF($A200="","",Entry!$D203)</f>
        <v/>
      </c>
      <c r="L200">
        <f>IF($A200="","",Entry!$L203)</f>
        <v/>
      </c>
      <c r="N200">
        <f>IF(OR(Sync!$M200="",$Q200="",$Q200="نامعتبر"),"",Sync!$M200)</f>
        <v/>
      </c>
      <c r="O200">
        <f>IF($N200="","",$Q200)</f>
        <v/>
      </c>
      <c r="P200">
        <f>IF($N200="","",LEFT($Q200,4)&amp;MID($Q200,6,2)&amp;RIGHT($Q200,2)&amp;IF(Sync!$K200="","0000",IF(AND(ISNUMBER(Sync!$K200),Sync!$K200&gt;=0,Sync!$K200&lt;1),RIGHT("00"&amp;HOUR(Sync!$K200),2)&amp;RIGHT("00"&amp;MINUTE(Sync!$K200),2),IFERROR(RIGHT("00"&amp;VALUE(LEFT(Sync!$K200,FIND(":",Sync!$K200)-1)),2)&amp;RIGHT("00"&amp;VALUE(MID(Sync!$K200,FIND(":",Sync!$K200)+1,2)),2),"0000")))&amp;"|"&amp;"2"&amp;RIGHT("00000"&amp;195,5))</f>
        <v/>
      </c>
      <c r="Q200">
        <f>IF(Sync!$J200="","",IF(ISNUMBER(Sync!$J200),IF(AND(Sync!$J200&gt;=10000101,Sync!$J200&lt;=99991231),INT(Sync!$J200/10000)&amp;"/"&amp;RIGHT("00"&amp;INT(MOD(Sync!$J200,10000)/100),2)&amp;"/"&amp;RIGHT("00"&amp;MOD(Sync!$J200,100),2),"نامعتبر"),IF(LEN(Sync!$J200)=10,Sync!$J200,"نامعتبر")))</f>
        <v/>
      </c>
      <c r="R200">
        <f>IF($P200="","",COUNTIFS($N$6:$N$2005,$N200,$P$6:$P$2005,"&lt;"&amp;$P200)+COUNTIFS($A$6:$A$1005,$N200,$B$6:$B$1005,"&lt;"&amp;$P200)+1)</f>
        <v/>
      </c>
      <c r="S200">
        <f>IF($N200="","",$N200&amp;"|"&amp;RIGHT("000000"&amp;$R200,6))</f>
        <v/>
      </c>
      <c r="T200">
        <f>IF($N200="","",IF(Sync!$N200="",0,Sync!$N200))</f>
        <v/>
      </c>
      <c r="U200">
        <f>IF($N200="","",IF(Sync!$O200="",0,Sync!$O200))</f>
        <v/>
      </c>
      <c r="V200">
        <f>IF($N200="","",Sync!$L200)</f>
        <v/>
      </c>
      <c r="W200">
        <f>IF($N200="","",Sync!$P200)</f>
        <v/>
      </c>
      <c r="AA200">
        <f>IF($A200="","",IF(COUNTIF($A$6:$A200,$A200)=1,1,0))</f>
        <v/>
      </c>
      <c r="AB200">
        <f>SUM($AA$6:$AA200)</f>
        <v/>
      </c>
      <c r="AC200">
        <f>IFERROR(INDEX($A$6:$A$1005,MATCH(ROW()-5,$AB$6:$AB$1005,0)),"")</f>
        <v/>
      </c>
    </row>
    <row r="201">
      <c r="A201">
        <f>IF(OR(Entry!$B204="",Entry!$E204="",$E201="نامعتبر"),"",Entry!$E204)</f>
        <v/>
      </c>
      <c r="B201">
        <f>IF($A201="","",LEFT($E201,4)&amp;MID($E201,6,2)&amp;RIGHT($E201,2)&amp;$F201&amp;"|"&amp;"1"&amp;RIGHT("00000"&amp;196,5))</f>
        <v/>
      </c>
      <c r="C201">
        <f>IF($B201="","",COUNTIFS($A$6:$A$1005,$A201,$B$6:$B$1005,"&lt;"&amp;$B201)+COUNTIFS($N$6:$N$2005,$A201,$P$6:$P$2005,"&lt;"&amp;$B201)+1)</f>
        <v/>
      </c>
      <c r="D201">
        <f>IF($C201="","",$A201&amp;"|"&amp;RIGHT("000000"&amp;$C201,6))</f>
        <v/>
      </c>
      <c r="E201">
        <f>IF(Entry!$B204="","",IF(ISNUMBER(Entry!$B204),IF(AND(Entry!$B204&gt;=10000101,Entry!$B204&lt;=99991231),INT(Entry!$B204/10000)&amp;"/"&amp;RIGHT("00"&amp;INT(MOD(Entry!$B204,10000)/100),2)&amp;"/"&amp;RIGHT("00"&amp;MOD(Entry!$B204,100),2),"نامعتبر"),IF(LEN(Entry!$B204)=10,Entry!$B204,"نامعتبر")))</f>
        <v/>
      </c>
      <c r="F201">
        <f>IF(Entry!$B204="","",IF(Entry!$C204="","0000",IF(AND(ISNUMBER(Entry!$C204),Entry!$C204&gt;=0,Entry!$C204&lt;1),RIGHT("00"&amp;HOUR(Entry!$C204),2)&amp;RIGHT("00"&amp;MINUTE(Entry!$C204),2),IFERROR(RIGHT("00"&amp;VALUE(LEFT(Entry!$C204,FIND(":",Entry!$C204)-1)),2)&amp;RIGHT("00"&amp;VALUE(MID(Entry!$C204,FIND(":",Entry!$C204)+1,2)),2),"0000"))))</f>
        <v/>
      </c>
      <c r="G201">
        <f>IF($A201="","",Entry!$G204)</f>
        <v/>
      </c>
      <c r="H201">
        <f>IF($A201="","",IF(Entry!$H204="",0,Entry!$H204))</f>
        <v/>
      </c>
      <c r="I201">
        <f>IF($A201="","",IF(Entry!$I204="",0,Entry!$I204))</f>
        <v/>
      </c>
      <c r="J201">
        <f>IF($A201="","",ROUND($H201*$I201,0))</f>
        <v/>
      </c>
      <c r="K201">
        <f>IF($A201="","",Entry!$D204)</f>
        <v/>
      </c>
      <c r="L201">
        <f>IF($A201="","",Entry!$L204)</f>
        <v/>
      </c>
      <c r="N201">
        <f>IF(OR(Sync!$M201="",$Q201="",$Q201="نامعتبر"),"",Sync!$M201)</f>
        <v/>
      </c>
      <c r="O201">
        <f>IF($N201="","",$Q201)</f>
        <v/>
      </c>
      <c r="P201">
        <f>IF($N201="","",LEFT($Q201,4)&amp;MID($Q201,6,2)&amp;RIGHT($Q201,2)&amp;IF(Sync!$K201="","0000",IF(AND(ISNUMBER(Sync!$K201),Sync!$K201&gt;=0,Sync!$K201&lt;1),RIGHT("00"&amp;HOUR(Sync!$K201),2)&amp;RIGHT("00"&amp;MINUTE(Sync!$K201),2),IFERROR(RIGHT("00"&amp;VALUE(LEFT(Sync!$K201,FIND(":",Sync!$K201)-1)),2)&amp;RIGHT("00"&amp;VALUE(MID(Sync!$K201,FIND(":",Sync!$K201)+1,2)),2),"0000")))&amp;"|"&amp;"2"&amp;RIGHT("00000"&amp;196,5))</f>
        <v/>
      </c>
      <c r="Q201">
        <f>IF(Sync!$J201="","",IF(ISNUMBER(Sync!$J201),IF(AND(Sync!$J201&gt;=10000101,Sync!$J201&lt;=99991231),INT(Sync!$J201/10000)&amp;"/"&amp;RIGHT("00"&amp;INT(MOD(Sync!$J201,10000)/100),2)&amp;"/"&amp;RIGHT("00"&amp;MOD(Sync!$J201,100),2),"نامعتبر"),IF(LEN(Sync!$J201)=10,Sync!$J201,"نامعتبر")))</f>
        <v/>
      </c>
      <c r="R201">
        <f>IF($P201="","",COUNTIFS($N$6:$N$2005,$N201,$P$6:$P$2005,"&lt;"&amp;$P201)+COUNTIFS($A$6:$A$1005,$N201,$B$6:$B$1005,"&lt;"&amp;$P201)+1)</f>
        <v/>
      </c>
      <c r="S201">
        <f>IF($N201="","",$N201&amp;"|"&amp;RIGHT("000000"&amp;$R201,6))</f>
        <v/>
      </c>
      <c r="T201">
        <f>IF($N201="","",IF(Sync!$N201="",0,Sync!$N201))</f>
        <v/>
      </c>
      <c r="U201">
        <f>IF($N201="","",IF(Sync!$O201="",0,Sync!$O201))</f>
        <v/>
      </c>
      <c r="V201">
        <f>IF($N201="","",Sync!$L201)</f>
        <v/>
      </c>
      <c r="W201">
        <f>IF($N201="","",Sync!$P201)</f>
        <v/>
      </c>
      <c r="AA201">
        <f>IF($A201="","",IF(COUNTIF($A$6:$A201,$A201)=1,1,0))</f>
        <v/>
      </c>
      <c r="AB201">
        <f>SUM($AA$6:$AA201)</f>
        <v/>
      </c>
      <c r="AC201">
        <f>IFERROR(INDEX($A$6:$A$1005,MATCH(ROW()-5,$AB$6:$AB$1005,0)),"")</f>
        <v/>
      </c>
    </row>
    <row r="202">
      <c r="A202">
        <f>IF(OR(Entry!$B205="",Entry!$E205="",$E202="نامعتبر"),"",Entry!$E205)</f>
        <v/>
      </c>
      <c r="B202">
        <f>IF($A202="","",LEFT($E202,4)&amp;MID($E202,6,2)&amp;RIGHT($E202,2)&amp;$F202&amp;"|"&amp;"1"&amp;RIGHT("00000"&amp;197,5))</f>
        <v/>
      </c>
      <c r="C202">
        <f>IF($B202="","",COUNTIFS($A$6:$A$1005,$A202,$B$6:$B$1005,"&lt;"&amp;$B202)+COUNTIFS($N$6:$N$2005,$A202,$P$6:$P$2005,"&lt;"&amp;$B202)+1)</f>
        <v/>
      </c>
      <c r="D202">
        <f>IF($C202="","",$A202&amp;"|"&amp;RIGHT("000000"&amp;$C202,6))</f>
        <v/>
      </c>
      <c r="E202">
        <f>IF(Entry!$B205="","",IF(ISNUMBER(Entry!$B205),IF(AND(Entry!$B205&gt;=10000101,Entry!$B205&lt;=99991231),INT(Entry!$B205/10000)&amp;"/"&amp;RIGHT("00"&amp;INT(MOD(Entry!$B205,10000)/100),2)&amp;"/"&amp;RIGHT("00"&amp;MOD(Entry!$B205,100),2),"نامعتبر"),IF(LEN(Entry!$B205)=10,Entry!$B205,"نامعتبر")))</f>
        <v/>
      </c>
      <c r="F202">
        <f>IF(Entry!$B205="","",IF(Entry!$C205="","0000",IF(AND(ISNUMBER(Entry!$C205),Entry!$C205&gt;=0,Entry!$C205&lt;1),RIGHT("00"&amp;HOUR(Entry!$C205),2)&amp;RIGHT("00"&amp;MINUTE(Entry!$C205),2),IFERROR(RIGHT("00"&amp;VALUE(LEFT(Entry!$C205,FIND(":",Entry!$C205)-1)),2)&amp;RIGHT("00"&amp;VALUE(MID(Entry!$C205,FIND(":",Entry!$C205)+1,2)),2),"0000"))))</f>
        <v/>
      </c>
      <c r="G202">
        <f>IF($A202="","",Entry!$G205)</f>
        <v/>
      </c>
      <c r="H202">
        <f>IF($A202="","",IF(Entry!$H205="",0,Entry!$H205))</f>
        <v/>
      </c>
      <c r="I202">
        <f>IF($A202="","",IF(Entry!$I205="",0,Entry!$I205))</f>
        <v/>
      </c>
      <c r="J202">
        <f>IF($A202="","",ROUND($H202*$I202,0))</f>
        <v/>
      </c>
      <c r="K202">
        <f>IF($A202="","",Entry!$D205)</f>
        <v/>
      </c>
      <c r="L202">
        <f>IF($A202="","",Entry!$L205)</f>
        <v/>
      </c>
      <c r="N202">
        <f>IF(OR(Sync!$M202="",$Q202="",$Q202="نامعتبر"),"",Sync!$M202)</f>
        <v/>
      </c>
      <c r="O202">
        <f>IF($N202="","",$Q202)</f>
        <v/>
      </c>
      <c r="P202">
        <f>IF($N202="","",LEFT($Q202,4)&amp;MID($Q202,6,2)&amp;RIGHT($Q202,2)&amp;IF(Sync!$K202="","0000",IF(AND(ISNUMBER(Sync!$K202),Sync!$K202&gt;=0,Sync!$K202&lt;1),RIGHT("00"&amp;HOUR(Sync!$K202),2)&amp;RIGHT("00"&amp;MINUTE(Sync!$K202),2),IFERROR(RIGHT("00"&amp;VALUE(LEFT(Sync!$K202,FIND(":",Sync!$K202)-1)),2)&amp;RIGHT("00"&amp;VALUE(MID(Sync!$K202,FIND(":",Sync!$K202)+1,2)),2),"0000")))&amp;"|"&amp;"2"&amp;RIGHT("00000"&amp;197,5))</f>
        <v/>
      </c>
      <c r="Q202">
        <f>IF(Sync!$J202="","",IF(ISNUMBER(Sync!$J202),IF(AND(Sync!$J202&gt;=10000101,Sync!$J202&lt;=99991231),INT(Sync!$J202/10000)&amp;"/"&amp;RIGHT("00"&amp;INT(MOD(Sync!$J202,10000)/100),2)&amp;"/"&amp;RIGHT("00"&amp;MOD(Sync!$J202,100),2),"نامعتبر"),IF(LEN(Sync!$J202)=10,Sync!$J202,"نامعتبر")))</f>
        <v/>
      </c>
      <c r="R202">
        <f>IF($P202="","",COUNTIFS($N$6:$N$2005,$N202,$P$6:$P$2005,"&lt;"&amp;$P202)+COUNTIFS($A$6:$A$1005,$N202,$B$6:$B$1005,"&lt;"&amp;$P202)+1)</f>
        <v/>
      </c>
      <c r="S202">
        <f>IF($N202="","",$N202&amp;"|"&amp;RIGHT("000000"&amp;$R202,6))</f>
        <v/>
      </c>
      <c r="T202">
        <f>IF($N202="","",IF(Sync!$N202="",0,Sync!$N202))</f>
        <v/>
      </c>
      <c r="U202">
        <f>IF($N202="","",IF(Sync!$O202="",0,Sync!$O202))</f>
        <v/>
      </c>
      <c r="V202">
        <f>IF($N202="","",Sync!$L202)</f>
        <v/>
      </c>
      <c r="W202">
        <f>IF($N202="","",Sync!$P202)</f>
        <v/>
      </c>
      <c r="AA202">
        <f>IF($A202="","",IF(COUNTIF($A$6:$A202,$A202)=1,1,0))</f>
        <v/>
      </c>
      <c r="AB202">
        <f>SUM($AA$6:$AA202)</f>
        <v/>
      </c>
      <c r="AC202">
        <f>IFERROR(INDEX($A$6:$A$1005,MATCH(ROW()-5,$AB$6:$AB$1005,0)),"")</f>
        <v/>
      </c>
    </row>
    <row r="203">
      <c r="A203">
        <f>IF(OR(Entry!$B206="",Entry!$E206="",$E203="نامعتبر"),"",Entry!$E206)</f>
        <v/>
      </c>
      <c r="B203">
        <f>IF($A203="","",LEFT($E203,4)&amp;MID($E203,6,2)&amp;RIGHT($E203,2)&amp;$F203&amp;"|"&amp;"1"&amp;RIGHT("00000"&amp;198,5))</f>
        <v/>
      </c>
      <c r="C203">
        <f>IF($B203="","",COUNTIFS($A$6:$A$1005,$A203,$B$6:$B$1005,"&lt;"&amp;$B203)+COUNTIFS($N$6:$N$2005,$A203,$P$6:$P$2005,"&lt;"&amp;$B203)+1)</f>
        <v/>
      </c>
      <c r="D203">
        <f>IF($C203="","",$A203&amp;"|"&amp;RIGHT("000000"&amp;$C203,6))</f>
        <v/>
      </c>
      <c r="E203">
        <f>IF(Entry!$B206="","",IF(ISNUMBER(Entry!$B206),IF(AND(Entry!$B206&gt;=10000101,Entry!$B206&lt;=99991231),INT(Entry!$B206/10000)&amp;"/"&amp;RIGHT("00"&amp;INT(MOD(Entry!$B206,10000)/100),2)&amp;"/"&amp;RIGHT("00"&amp;MOD(Entry!$B206,100),2),"نامعتبر"),IF(LEN(Entry!$B206)=10,Entry!$B206,"نامعتبر")))</f>
        <v/>
      </c>
      <c r="F203">
        <f>IF(Entry!$B206="","",IF(Entry!$C206="","0000",IF(AND(ISNUMBER(Entry!$C206),Entry!$C206&gt;=0,Entry!$C206&lt;1),RIGHT("00"&amp;HOUR(Entry!$C206),2)&amp;RIGHT("00"&amp;MINUTE(Entry!$C206),2),IFERROR(RIGHT("00"&amp;VALUE(LEFT(Entry!$C206,FIND(":",Entry!$C206)-1)),2)&amp;RIGHT("00"&amp;VALUE(MID(Entry!$C206,FIND(":",Entry!$C206)+1,2)),2),"0000"))))</f>
        <v/>
      </c>
      <c r="G203">
        <f>IF($A203="","",Entry!$G206)</f>
        <v/>
      </c>
      <c r="H203">
        <f>IF($A203="","",IF(Entry!$H206="",0,Entry!$H206))</f>
        <v/>
      </c>
      <c r="I203">
        <f>IF($A203="","",IF(Entry!$I206="",0,Entry!$I206))</f>
        <v/>
      </c>
      <c r="J203">
        <f>IF($A203="","",ROUND($H203*$I203,0))</f>
        <v/>
      </c>
      <c r="K203">
        <f>IF($A203="","",Entry!$D206)</f>
        <v/>
      </c>
      <c r="L203">
        <f>IF($A203="","",Entry!$L206)</f>
        <v/>
      </c>
      <c r="N203">
        <f>IF(OR(Sync!$M203="",$Q203="",$Q203="نامعتبر"),"",Sync!$M203)</f>
        <v/>
      </c>
      <c r="O203">
        <f>IF($N203="","",$Q203)</f>
        <v/>
      </c>
      <c r="P203">
        <f>IF($N203="","",LEFT($Q203,4)&amp;MID($Q203,6,2)&amp;RIGHT($Q203,2)&amp;IF(Sync!$K203="","0000",IF(AND(ISNUMBER(Sync!$K203),Sync!$K203&gt;=0,Sync!$K203&lt;1),RIGHT("00"&amp;HOUR(Sync!$K203),2)&amp;RIGHT("00"&amp;MINUTE(Sync!$K203),2),IFERROR(RIGHT("00"&amp;VALUE(LEFT(Sync!$K203,FIND(":",Sync!$K203)-1)),2)&amp;RIGHT("00"&amp;VALUE(MID(Sync!$K203,FIND(":",Sync!$K203)+1,2)),2),"0000")))&amp;"|"&amp;"2"&amp;RIGHT("00000"&amp;198,5))</f>
        <v/>
      </c>
      <c r="Q203">
        <f>IF(Sync!$J203="","",IF(ISNUMBER(Sync!$J203),IF(AND(Sync!$J203&gt;=10000101,Sync!$J203&lt;=99991231),INT(Sync!$J203/10000)&amp;"/"&amp;RIGHT("00"&amp;INT(MOD(Sync!$J203,10000)/100),2)&amp;"/"&amp;RIGHT("00"&amp;MOD(Sync!$J203,100),2),"نامعتبر"),IF(LEN(Sync!$J203)=10,Sync!$J203,"نامعتبر")))</f>
        <v/>
      </c>
      <c r="R203">
        <f>IF($P203="","",COUNTIFS($N$6:$N$2005,$N203,$P$6:$P$2005,"&lt;"&amp;$P203)+COUNTIFS($A$6:$A$1005,$N203,$B$6:$B$1005,"&lt;"&amp;$P203)+1)</f>
        <v/>
      </c>
      <c r="S203">
        <f>IF($N203="","",$N203&amp;"|"&amp;RIGHT("000000"&amp;$R203,6))</f>
        <v/>
      </c>
      <c r="T203">
        <f>IF($N203="","",IF(Sync!$N203="",0,Sync!$N203))</f>
        <v/>
      </c>
      <c r="U203">
        <f>IF($N203="","",IF(Sync!$O203="",0,Sync!$O203))</f>
        <v/>
      </c>
      <c r="V203">
        <f>IF($N203="","",Sync!$L203)</f>
        <v/>
      </c>
      <c r="W203">
        <f>IF($N203="","",Sync!$P203)</f>
        <v/>
      </c>
      <c r="AA203">
        <f>IF($A203="","",IF(COUNTIF($A$6:$A203,$A203)=1,1,0))</f>
        <v/>
      </c>
      <c r="AB203">
        <f>SUM($AA$6:$AA203)</f>
        <v/>
      </c>
      <c r="AC203">
        <f>IFERROR(INDEX($A$6:$A$1005,MATCH(ROW()-5,$AB$6:$AB$1005,0)),"")</f>
        <v/>
      </c>
    </row>
    <row r="204">
      <c r="A204">
        <f>IF(OR(Entry!$B207="",Entry!$E207="",$E204="نامعتبر"),"",Entry!$E207)</f>
        <v/>
      </c>
      <c r="B204">
        <f>IF($A204="","",LEFT($E204,4)&amp;MID($E204,6,2)&amp;RIGHT($E204,2)&amp;$F204&amp;"|"&amp;"1"&amp;RIGHT("00000"&amp;199,5))</f>
        <v/>
      </c>
      <c r="C204">
        <f>IF($B204="","",COUNTIFS($A$6:$A$1005,$A204,$B$6:$B$1005,"&lt;"&amp;$B204)+COUNTIFS($N$6:$N$2005,$A204,$P$6:$P$2005,"&lt;"&amp;$B204)+1)</f>
        <v/>
      </c>
      <c r="D204">
        <f>IF($C204="","",$A204&amp;"|"&amp;RIGHT("000000"&amp;$C204,6))</f>
        <v/>
      </c>
      <c r="E204">
        <f>IF(Entry!$B207="","",IF(ISNUMBER(Entry!$B207),IF(AND(Entry!$B207&gt;=10000101,Entry!$B207&lt;=99991231),INT(Entry!$B207/10000)&amp;"/"&amp;RIGHT("00"&amp;INT(MOD(Entry!$B207,10000)/100),2)&amp;"/"&amp;RIGHT("00"&amp;MOD(Entry!$B207,100),2),"نامعتبر"),IF(LEN(Entry!$B207)=10,Entry!$B207,"نامعتبر")))</f>
        <v/>
      </c>
      <c r="F204">
        <f>IF(Entry!$B207="","",IF(Entry!$C207="","0000",IF(AND(ISNUMBER(Entry!$C207),Entry!$C207&gt;=0,Entry!$C207&lt;1),RIGHT("00"&amp;HOUR(Entry!$C207),2)&amp;RIGHT("00"&amp;MINUTE(Entry!$C207),2),IFERROR(RIGHT("00"&amp;VALUE(LEFT(Entry!$C207,FIND(":",Entry!$C207)-1)),2)&amp;RIGHT("00"&amp;VALUE(MID(Entry!$C207,FIND(":",Entry!$C207)+1,2)),2),"0000"))))</f>
        <v/>
      </c>
      <c r="G204">
        <f>IF($A204="","",Entry!$G207)</f>
        <v/>
      </c>
      <c r="H204">
        <f>IF($A204="","",IF(Entry!$H207="",0,Entry!$H207))</f>
        <v/>
      </c>
      <c r="I204">
        <f>IF($A204="","",IF(Entry!$I207="",0,Entry!$I207))</f>
        <v/>
      </c>
      <c r="J204">
        <f>IF($A204="","",ROUND($H204*$I204,0))</f>
        <v/>
      </c>
      <c r="K204">
        <f>IF($A204="","",Entry!$D207)</f>
        <v/>
      </c>
      <c r="L204">
        <f>IF($A204="","",Entry!$L207)</f>
        <v/>
      </c>
      <c r="N204">
        <f>IF(OR(Sync!$M204="",$Q204="",$Q204="نامعتبر"),"",Sync!$M204)</f>
        <v/>
      </c>
      <c r="O204">
        <f>IF($N204="","",$Q204)</f>
        <v/>
      </c>
      <c r="P204">
        <f>IF($N204="","",LEFT($Q204,4)&amp;MID($Q204,6,2)&amp;RIGHT($Q204,2)&amp;IF(Sync!$K204="","0000",IF(AND(ISNUMBER(Sync!$K204),Sync!$K204&gt;=0,Sync!$K204&lt;1),RIGHT("00"&amp;HOUR(Sync!$K204),2)&amp;RIGHT("00"&amp;MINUTE(Sync!$K204),2),IFERROR(RIGHT("00"&amp;VALUE(LEFT(Sync!$K204,FIND(":",Sync!$K204)-1)),2)&amp;RIGHT("00"&amp;VALUE(MID(Sync!$K204,FIND(":",Sync!$K204)+1,2)),2),"0000")))&amp;"|"&amp;"2"&amp;RIGHT("00000"&amp;199,5))</f>
        <v/>
      </c>
      <c r="Q204">
        <f>IF(Sync!$J204="","",IF(ISNUMBER(Sync!$J204),IF(AND(Sync!$J204&gt;=10000101,Sync!$J204&lt;=99991231),INT(Sync!$J204/10000)&amp;"/"&amp;RIGHT("00"&amp;INT(MOD(Sync!$J204,10000)/100),2)&amp;"/"&amp;RIGHT("00"&amp;MOD(Sync!$J204,100),2),"نامعتبر"),IF(LEN(Sync!$J204)=10,Sync!$J204,"نامعتبر")))</f>
        <v/>
      </c>
      <c r="R204">
        <f>IF($P204="","",COUNTIFS($N$6:$N$2005,$N204,$P$6:$P$2005,"&lt;"&amp;$P204)+COUNTIFS($A$6:$A$1005,$N204,$B$6:$B$1005,"&lt;"&amp;$P204)+1)</f>
        <v/>
      </c>
      <c r="S204">
        <f>IF($N204="","",$N204&amp;"|"&amp;RIGHT("000000"&amp;$R204,6))</f>
        <v/>
      </c>
      <c r="T204">
        <f>IF($N204="","",IF(Sync!$N204="",0,Sync!$N204))</f>
        <v/>
      </c>
      <c r="U204">
        <f>IF($N204="","",IF(Sync!$O204="",0,Sync!$O204))</f>
        <v/>
      </c>
      <c r="V204">
        <f>IF($N204="","",Sync!$L204)</f>
        <v/>
      </c>
      <c r="W204">
        <f>IF($N204="","",Sync!$P204)</f>
        <v/>
      </c>
      <c r="AA204">
        <f>IF($A204="","",IF(COUNTIF($A$6:$A204,$A204)=1,1,0))</f>
        <v/>
      </c>
      <c r="AB204">
        <f>SUM($AA$6:$AA204)</f>
        <v/>
      </c>
      <c r="AC204">
        <f>IFERROR(INDEX($A$6:$A$1005,MATCH(ROW()-5,$AB$6:$AB$1005,0)),"")</f>
        <v/>
      </c>
    </row>
    <row r="205">
      <c r="A205">
        <f>IF(OR(Entry!$B208="",Entry!$E208="",$E205="نامعتبر"),"",Entry!$E208)</f>
        <v/>
      </c>
      <c r="B205">
        <f>IF($A205="","",LEFT($E205,4)&amp;MID($E205,6,2)&amp;RIGHT($E205,2)&amp;$F205&amp;"|"&amp;"1"&amp;RIGHT("00000"&amp;200,5))</f>
        <v/>
      </c>
      <c r="C205">
        <f>IF($B205="","",COUNTIFS($A$6:$A$1005,$A205,$B$6:$B$1005,"&lt;"&amp;$B205)+COUNTIFS($N$6:$N$2005,$A205,$P$6:$P$2005,"&lt;"&amp;$B205)+1)</f>
        <v/>
      </c>
      <c r="D205">
        <f>IF($C205="","",$A205&amp;"|"&amp;RIGHT("000000"&amp;$C205,6))</f>
        <v/>
      </c>
      <c r="E205">
        <f>IF(Entry!$B208="","",IF(ISNUMBER(Entry!$B208),IF(AND(Entry!$B208&gt;=10000101,Entry!$B208&lt;=99991231),INT(Entry!$B208/10000)&amp;"/"&amp;RIGHT("00"&amp;INT(MOD(Entry!$B208,10000)/100),2)&amp;"/"&amp;RIGHT("00"&amp;MOD(Entry!$B208,100),2),"نامعتبر"),IF(LEN(Entry!$B208)=10,Entry!$B208,"نامعتبر")))</f>
        <v/>
      </c>
      <c r="F205">
        <f>IF(Entry!$B208="","",IF(Entry!$C208="","0000",IF(AND(ISNUMBER(Entry!$C208),Entry!$C208&gt;=0,Entry!$C208&lt;1),RIGHT("00"&amp;HOUR(Entry!$C208),2)&amp;RIGHT("00"&amp;MINUTE(Entry!$C208),2),IFERROR(RIGHT("00"&amp;VALUE(LEFT(Entry!$C208,FIND(":",Entry!$C208)-1)),2)&amp;RIGHT("00"&amp;VALUE(MID(Entry!$C208,FIND(":",Entry!$C208)+1,2)),2),"0000"))))</f>
        <v/>
      </c>
      <c r="G205">
        <f>IF($A205="","",Entry!$G208)</f>
        <v/>
      </c>
      <c r="H205">
        <f>IF($A205="","",IF(Entry!$H208="",0,Entry!$H208))</f>
        <v/>
      </c>
      <c r="I205">
        <f>IF($A205="","",IF(Entry!$I208="",0,Entry!$I208))</f>
        <v/>
      </c>
      <c r="J205">
        <f>IF($A205="","",ROUND($H205*$I205,0))</f>
        <v/>
      </c>
      <c r="K205">
        <f>IF($A205="","",Entry!$D208)</f>
        <v/>
      </c>
      <c r="L205">
        <f>IF($A205="","",Entry!$L208)</f>
        <v/>
      </c>
      <c r="N205">
        <f>IF(OR(Sync!$M205="",$Q205="",$Q205="نامعتبر"),"",Sync!$M205)</f>
        <v/>
      </c>
      <c r="O205">
        <f>IF($N205="","",$Q205)</f>
        <v/>
      </c>
      <c r="P205">
        <f>IF($N205="","",LEFT($Q205,4)&amp;MID($Q205,6,2)&amp;RIGHT($Q205,2)&amp;IF(Sync!$K205="","0000",IF(AND(ISNUMBER(Sync!$K205),Sync!$K205&gt;=0,Sync!$K205&lt;1),RIGHT("00"&amp;HOUR(Sync!$K205),2)&amp;RIGHT("00"&amp;MINUTE(Sync!$K205),2),IFERROR(RIGHT("00"&amp;VALUE(LEFT(Sync!$K205,FIND(":",Sync!$K205)-1)),2)&amp;RIGHT("00"&amp;VALUE(MID(Sync!$K205,FIND(":",Sync!$K205)+1,2)),2),"0000")))&amp;"|"&amp;"2"&amp;RIGHT("00000"&amp;200,5))</f>
        <v/>
      </c>
      <c r="Q205">
        <f>IF(Sync!$J205="","",IF(ISNUMBER(Sync!$J205),IF(AND(Sync!$J205&gt;=10000101,Sync!$J205&lt;=99991231),INT(Sync!$J205/10000)&amp;"/"&amp;RIGHT("00"&amp;INT(MOD(Sync!$J205,10000)/100),2)&amp;"/"&amp;RIGHT("00"&amp;MOD(Sync!$J205,100),2),"نامعتبر"),IF(LEN(Sync!$J205)=10,Sync!$J205,"نامعتبر")))</f>
        <v/>
      </c>
      <c r="R205">
        <f>IF($P205="","",COUNTIFS($N$6:$N$2005,$N205,$P$6:$P$2005,"&lt;"&amp;$P205)+COUNTIFS($A$6:$A$1005,$N205,$B$6:$B$1005,"&lt;"&amp;$P205)+1)</f>
        <v/>
      </c>
      <c r="S205">
        <f>IF($N205="","",$N205&amp;"|"&amp;RIGHT("000000"&amp;$R205,6))</f>
        <v/>
      </c>
      <c r="T205">
        <f>IF($N205="","",IF(Sync!$N205="",0,Sync!$N205))</f>
        <v/>
      </c>
      <c r="U205">
        <f>IF($N205="","",IF(Sync!$O205="",0,Sync!$O205))</f>
        <v/>
      </c>
      <c r="V205">
        <f>IF($N205="","",Sync!$L205)</f>
        <v/>
      </c>
      <c r="W205">
        <f>IF($N205="","",Sync!$P205)</f>
        <v/>
      </c>
      <c r="AA205">
        <f>IF($A205="","",IF(COUNTIF($A$6:$A205,$A205)=1,1,0))</f>
        <v/>
      </c>
      <c r="AB205">
        <f>SUM($AA$6:$AA205)</f>
        <v/>
      </c>
      <c r="AC205">
        <f>IFERROR(INDEX($A$6:$A$1005,MATCH(ROW()-5,$AB$6:$AB$1005,0)),"")</f>
        <v/>
      </c>
    </row>
    <row r="206">
      <c r="A206">
        <f>IF(OR(Entry!$B209="",Entry!$E209="",$E206="نامعتبر"),"",Entry!$E209)</f>
        <v/>
      </c>
      <c r="B206">
        <f>IF($A206="","",LEFT($E206,4)&amp;MID($E206,6,2)&amp;RIGHT($E206,2)&amp;$F206&amp;"|"&amp;"1"&amp;RIGHT("00000"&amp;201,5))</f>
        <v/>
      </c>
      <c r="C206">
        <f>IF($B206="","",COUNTIFS($A$6:$A$1005,$A206,$B$6:$B$1005,"&lt;"&amp;$B206)+COUNTIFS($N$6:$N$2005,$A206,$P$6:$P$2005,"&lt;"&amp;$B206)+1)</f>
        <v/>
      </c>
      <c r="D206">
        <f>IF($C206="","",$A206&amp;"|"&amp;RIGHT("000000"&amp;$C206,6))</f>
        <v/>
      </c>
      <c r="E206">
        <f>IF(Entry!$B209="","",IF(ISNUMBER(Entry!$B209),IF(AND(Entry!$B209&gt;=10000101,Entry!$B209&lt;=99991231),INT(Entry!$B209/10000)&amp;"/"&amp;RIGHT("00"&amp;INT(MOD(Entry!$B209,10000)/100),2)&amp;"/"&amp;RIGHT("00"&amp;MOD(Entry!$B209,100),2),"نامعتبر"),IF(LEN(Entry!$B209)=10,Entry!$B209,"نامعتبر")))</f>
        <v/>
      </c>
      <c r="F206">
        <f>IF(Entry!$B209="","",IF(Entry!$C209="","0000",IF(AND(ISNUMBER(Entry!$C209),Entry!$C209&gt;=0,Entry!$C209&lt;1),RIGHT("00"&amp;HOUR(Entry!$C209),2)&amp;RIGHT("00"&amp;MINUTE(Entry!$C209),2),IFERROR(RIGHT("00"&amp;VALUE(LEFT(Entry!$C209,FIND(":",Entry!$C209)-1)),2)&amp;RIGHT("00"&amp;VALUE(MID(Entry!$C209,FIND(":",Entry!$C209)+1,2)),2),"0000"))))</f>
        <v/>
      </c>
      <c r="G206">
        <f>IF($A206="","",Entry!$G209)</f>
        <v/>
      </c>
      <c r="H206">
        <f>IF($A206="","",IF(Entry!$H209="",0,Entry!$H209))</f>
        <v/>
      </c>
      <c r="I206">
        <f>IF($A206="","",IF(Entry!$I209="",0,Entry!$I209))</f>
        <v/>
      </c>
      <c r="J206">
        <f>IF($A206="","",ROUND($H206*$I206,0))</f>
        <v/>
      </c>
      <c r="K206">
        <f>IF($A206="","",Entry!$D209)</f>
        <v/>
      </c>
      <c r="L206">
        <f>IF($A206="","",Entry!$L209)</f>
        <v/>
      </c>
      <c r="N206">
        <f>IF(OR(Sync!$M206="",$Q206="",$Q206="نامعتبر"),"",Sync!$M206)</f>
        <v/>
      </c>
      <c r="O206">
        <f>IF($N206="","",$Q206)</f>
        <v/>
      </c>
      <c r="P206">
        <f>IF($N206="","",LEFT($Q206,4)&amp;MID($Q206,6,2)&amp;RIGHT($Q206,2)&amp;IF(Sync!$K206="","0000",IF(AND(ISNUMBER(Sync!$K206),Sync!$K206&gt;=0,Sync!$K206&lt;1),RIGHT("00"&amp;HOUR(Sync!$K206),2)&amp;RIGHT("00"&amp;MINUTE(Sync!$K206),2),IFERROR(RIGHT("00"&amp;VALUE(LEFT(Sync!$K206,FIND(":",Sync!$K206)-1)),2)&amp;RIGHT("00"&amp;VALUE(MID(Sync!$K206,FIND(":",Sync!$K206)+1,2)),2),"0000")))&amp;"|"&amp;"2"&amp;RIGHT("00000"&amp;201,5))</f>
        <v/>
      </c>
      <c r="Q206">
        <f>IF(Sync!$J206="","",IF(ISNUMBER(Sync!$J206),IF(AND(Sync!$J206&gt;=10000101,Sync!$J206&lt;=99991231),INT(Sync!$J206/10000)&amp;"/"&amp;RIGHT("00"&amp;INT(MOD(Sync!$J206,10000)/100),2)&amp;"/"&amp;RIGHT("00"&amp;MOD(Sync!$J206,100),2),"نامعتبر"),IF(LEN(Sync!$J206)=10,Sync!$J206,"نامعتبر")))</f>
        <v/>
      </c>
      <c r="R206">
        <f>IF($P206="","",COUNTIFS($N$6:$N$2005,$N206,$P$6:$P$2005,"&lt;"&amp;$P206)+COUNTIFS($A$6:$A$1005,$N206,$B$6:$B$1005,"&lt;"&amp;$P206)+1)</f>
        <v/>
      </c>
      <c r="S206">
        <f>IF($N206="","",$N206&amp;"|"&amp;RIGHT("000000"&amp;$R206,6))</f>
        <v/>
      </c>
      <c r="T206">
        <f>IF($N206="","",IF(Sync!$N206="",0,Sync!$N206))</f>
        <v/>
      </c>
      <c r="U206">
        <f>IF($N206="","",IF(Sync!$O206="",0,Sync!$O206))</f>
        <v/>
      </c>
      <c r="V206">
        <f>IF($N206="","",Sync!$L206)</f>
        <v/>
      </c>
      <c r="W206">
        <f>IF($N206="","",Sync!$P206)</f>
        <v/>
      </c>
      <c r="AA206">
        <f>IF($A206="","",IF(COUNTIF($A$6:$A206,$A206)=1,1,0))</f>
        <v/>
      </c>
      <c r="AB206">
        <f>SUM($AA$6:$AA206)</f>
        <v/>
      </c>
      <c r="AC206">
        <f>IFERROR(INDEX($A$6:$A$1005,MATCH(ROW()-5,$AB$6:$AB$1005,0)),"")</f>
        <v/>
      </c>
    </row>
    <row r="207">
      <c r="A207">
        <f>IF(OR(Entry!$B210="",Entry!$E210="",$E207="نامعتبر"),"",Entry!$E210)</f>
        <v/>
      </c>
      <c r="B207">
        <f>IF($A207="","",LEFT($E207,4)&amp;MID($E207,6,2)&amp;RIGHT($E207,2)&amp;$F207&amp;"|"&amp;"1"&amp;RIGHT("00000"&amp;202,5))</f>
        <v/>
      </c>
      <c r="C207">
        <f>IF($B207="","",COUNTIFS($A$6:$A$1005,$A207,$B$6:$B$1005,"&lt;"&amp;$B207)+COUNTIFS($N$6:$N$2005,$A207,$P$6:$P$2005,"&lt;"&amp;$B207)+1)</f>
        <v/>
      </c>
      <c r="D207">
        <f>IF($C207="","",$A207&amp;"|"&amp;RIGHT("000000"&amp;$C207,6))</f>
        <v/>
      </c>
      <c r="E207">
        <f>IF(Entry!$B210="","",IF(ISNUMBER(Entry!$B210),IF(AND(Entry!$B210&gt;=10000101,Entry!$B210&lt;=99991231),INT(Entry!$B210/10000)&amp;"/"&amp;RIGHT("00"&amp;INT(MOD(Entry!$B210,10000)/100),2)&amp;"/"&amp;RIGHT("00"&amp;MOD(Entry!$B210,100),2),"نامعتبر"),IF(LEN(Entry!$B210)=10,Entry!$B210,"نامعتبر")))</f>
        <v/>
      </c>
      <c r="F207">
        <f>IF(Entry!$B210="","",IF(Entry!$C210="","0000",IF(AND(ISNUMBER(Entry!$C210),Entry!$C210&gt;=0,Entry!$C210&lt;1),RIGHT("00"&amp;HOUR(Entry!$C210),2)&amp;RIGHT("00"&amp;MINUTE(Entry!$C210),2),IFERROR(RIGHT("00"&amp;VALUE(LEFT(Entry!$C210,FIND(":",Entry!$C210)-1)),2)&amp;RIGHT("00"&amp;VALUE(MID(Entry!$C210,FIND(":",Entry!$C210)+1,2)),2),"0000"))))</f>
        <v/>
      </c>
      <c r="G207">
        <f>IF($A207="","",Entry!$G210)</f>
        <v/>
      </c>
      <c r="H207">
        <f>IF($A207="","",IF(Entry!$H210="",0,Entry!$H210))</f>
        <v/>
      </c>
      <c r="I207">
        <f>IF($A207="","",IF(Entry!$I210="",0,Entry!$I210))</f>
        <v/>
      </c>
      <c r="J207">
        <f>IF($A207="","",ROUND($H207*$I207,0))</f>
        <v/>
      </c>
      <c r="K207">
        <f>IF($A207="","",Entry!$D210)</f>
        <v/>
      </c>
      <c r="L207">
        <f>IF($A207="","",Entry!$L210)</f>
        <v/>
      </c>
      <c r="N207">
        <f>IF(OR(Sync!$M207="",$Q207="",$Q207="نامعتبر"),"",Sync!$M207)</f>
        <v/>
      </c>
      <c r="O207">
        <f>IF($N207="","",$Q207)</f>
        <v/>
      </c>
      <c r="P207">
        <f>IF($N207="","",LEFT($Q207,4)&amp;MID($Q207,6,2)&amp;RIGHT($Q207,2)&amp;IF(Sync!$K207="","0000",IF(AND(ISNUMBER(Sync!$K207),Sync!$K207&gt;=0,Sync!$K207&lt;1),RIGHT("00"&amp;HOUR(Sync!$K207),2)&amp;RIGHT("00"&amp;MINUTE(Sync!$K207),2),IFERROR(RIGHT("00"&amp;VALUE(LEFT(Sync!$K207,FIND(":",Sync!$K207)-1)),2)&amp;RIGHT("00"&amp;VALUE(MID(Sync!$K207,FIND(":",Sync!$K207)+1,2)),2),"0000")))&amp;"|"&amp;"2"&amp;RIGHT("00000"&amp;202,5))</f>
        <v/>
      </c>
      <c r="Q207">
        <f>IF(Sync!$J207="","",IF(ISNUMBER(Sync!$J207),IF(AND(Sync!$J207&gt;=10000101,Sync!$J207&lt;=99991231),INT(Sync!$J207/10000)&amp;"/"&amp;RIGHT("00"&amp;INT(MOD(Sync!$J207,10000)/100),2)&amp;"/"&amp;RIGHT("00"&amp;MOD(Sync!$J207,100),2),"نامعتبر"),IF(LEN(Sync!$J207)=10,Sync!$J207,"نامعتبر")))</f>
        <v/>
      </c>
      <c r="R207">
        <f>IF($P207="","",COUNTIFS($N$6:$N$2005,$N207,$P$6:$P$2005,"&lt;"&amp;$P207)+COUNTIFS($A$6:$A$1005,$N207,$B$6:$B$1005,"&lt;"&amp;$P207)+1)</f>
        <v/>
      </c>
      <c r="S207">
        <f>IF($N207="","",$N207&amp;"|"&amp;RIGHT("000000"&amp;$R207,6))</f>
        <v/>
      </c>
      <c r="T207">
        <f>IF($N207="","",IF(Sync!$N207="",0,Sync!$N207))</f>
        <v/>
      </c>
      <c r="U207">
        <f>IF($N207="","",IF(Sync!$O207="",0,Sync!$O207))</f>
        <v/>
      </c>
      <c r="V207">
        <f>IF($N207="","",Sync!$L207)</f>
        <v/>
      </c>
      <c r="W207">
        <f>IF($N207="","",Sync!$P207)</f>
        <v/>
      </c>
      <c r="AA207">
        <f>IF($A207="","",IF(COUNTIF($A$6:$A207,$A207)=1,1,0))</f>
        <v/>
      </c>
      <c r="AB207">
        <f>SUM($AA$6:$AA207)</f>
        <v/>
      </c>
      <c r="AC207">
        <f>IFERROR(INDEX($A$6:$A$1005,MATCH(ROW()-5,$AB$6:$AB$1005,0)),"")</f>
        <v/>
      </c>
    </row>
    <row r="208">
      <c r="A208">
        <f>IF(OR(Entry!$B211="",Entry!$E211="",$E208="نامعتبر"),"",Entry!$E211)</f>
        <v/>
      </c>
      <c r="B208">
        <f>IF($A208="","",LEFT($E208,4)&amp;MID($E208,6,2)&amp;RIGHT($E208,2)&amp;$F208&amp;"|"&amp;"1"&amp;RIGHT("00000"&amp;203,5))</f>
        <v/>
      </c>
      <c r="C208">
        <f>IF($B208="","",COUNTIFS($A$6:$A$1005,$A208,$B$6:$B$1005,"&lt;"&amp;$B208)+COUNTIFS($N$6:$N$2005,$A208,$P$6:$P$2005,"&lt;"&amp;$B208)+1)</f>
        <v/>
      </c>
      <c r="D208">
        <f>IF($C208="","",$A208&amp;"|"&amp;RIGHT("000000"&amp;$C208,6))</f>
        <v/>
      </c>
      <c r="E208">
        <f>IF(Entry!$B211="","",IF(ISNUMBER(Entry!$B211),IF(AND(Entry!$B211&gt;=10000101,Entry!$B211&lt;=99991231),INT(Entry!$B211/10000)&amp;"/"&amp;RIGHT("00"&amp;INT(MOD(Entry!$B211,10000)/100),2)&amp;"/"&amp;RIGHT("00"&amp;MOD(Entry!$B211,100),2),"نامعتبر"),IF(LEN(Entry!$B211)=10,Entry!$B211,"نامعتبر")))</f>
        <v/>
      </c>
      <c r="F208">
        <f>IF(Entry!$B211="","",IF(Entry!$C211="","0000",IF(AND(ISNUMBER(Entry!$C211),Entry!$C211&gt;=0,Entry!$C211&lt;1),RIGHT("00"&amp;HOUR(Entry!$C211),2)&amp;RIGHT("00"&amp;MINUTE(Entry!$C211),2),IFERROR(RIGHT("00"&amp;VALUE(LEFT(Entry!$C211,FIND(":",Entry!$C211)-1)),2)&amp;RIGHT("00"&amp;VALUE(MID(Entry!$C211,FIND(":",Entry!$C211)+1,2)),2),"0000"))))</f>
        <v/>
      </c>
      <c r="G208">
        <f>IF($A208="","",Entry!$G211)</f>
        <v/>
      </c>
      <c r="H208">
        <f>IF($A208="","",IF(Entry!$H211="",0,Entry!$H211))</f>
        <v/>
      </c>
      <c r="I208">
        <f>IF($A208="","",IF(Entry!$I211="",0,Entry!$I211))</f>
        <v/>
      </c>
      <c r="J208">
        <f>IF($A208="","",ROUND($H208*$I208,0))</f>
        <v/>
      </c>
      <c r="K208">
        <f>IF($A208="","",Entry!$D211)</f>
        <v/>
      </c>
      <c r="L208">
        <f>IF($A208="","",Entry!$L211)</f>
        <v/>
      </c>
      <c r="N208">
        <f>IF(OR(Sync!$M208="",$Q208="",$Q208="نامعتبر"),"",Sync!$M208)</f>
        <v/>
      </c>
      <c r="O208">
        <f>IF($N208="","",$Q208)</f>
        <v/>
      </c>
      <c r="P208">
        <f>IF($N208="","",LEFT($Q208,4)&amp;MID($Q208,6,2)&amp;RIGHT($Q208,2)&amp;IF(Sync!$K208="","0000",IF(AND(ISNUMBER(Sync!$K208),Sync!$K208&gt;=0,Sync!$K208&lt;1),RIGHT("00"&amp;HOUR(Sync!$K208),2)&amp;RIGHT("00"&amp;MINUTE(Sync!$K208),2),IFERROR(RIGHT("00"&amp;VALUE(LEFT(Sync!$K208,FIND(":",Sync!$K208)-1)),2)&amp;RIGHT("00"&amp;VALUE(MID(Sync!$K208,FIND(":",Sync!$K208)+1,2)),2),"0000")))&amp;"|"&amp;"2"&amp;RIGHT("00000"&amp;203,5))</f>
        <v/>
      </c>
      <c r="Q208">
        <f>IF(Sync!$J208="","",IF(ISNUMBER(Sync!$J208),IF(AND(Sync!$J208&gt;=10000101,Sync!$J208&lt;=99991231),INT(Sync!$J208/10000)&amp;"/"&amp;RIGHT("00"&amp;INT(MOD(Sync!$J208,10000)/100),2)&amp;"/"&amp;RIGHT("00"&amp;MOD(Sync!$J208,100),2),"نامعتبر"),IF(LEN(Sync!$J208)=10,Sync!$J208,"نامعتبر")))</f>
        <v/>
      </c>
      <c r="R208">
        <f>IF($P208="","",COUNTIFS($N$6:$N$2005,$N208,$P$6:$P$2005,"&lt;"&amp;$P208)+COUNTIFS($A$6:$A$1005,$N208,$B$6:$B$1005,"&lt;"&amp;$P208)+1)</f>
        <v/>
      </c>
      <c r="S208">
        <f>IF($N208="","",$N208&amp;"|"&amp;RIGHT("000000"&amp;$R208,6))</f>
        <v/>
      </c>
      <c r="T208">
        <f>IF($N208="","",IF(Sync!$N208="",0,Sync!$N208))</f>
        <v/>
      </c>
      <c r="U208">
        <f>IF($N208="","",IF(Sync!$O208="",0,Sync!$O208))</f>
        <v/>
      </c>
      <c r="V208">
        <f>IF($N208="","",Sync!$L208)</f>
        <v/>
      </c>
      <c r="W208">
        <f>IF($N208="","",Sync!$P208)</f>
        <v/>
      </c>
      <c r="AA208">
        <f>IF($A208="","",IF(COUNTIF($A$6:$A208,$A208)=1,1,0))</f>
        <v/>
      </c>
      <c r="AB208">
        <f>SUM($AA$6:$AA208)</f>
        <v/>
      </c>
      <c r="AC208">
        <f>IFERROR(INDEX($A$6:$A$1005,MATCH(ROW()-5,$AB$6:$AB$1005,0)),"")</f>
        <v/>
      </c>
    </row>
    <row r="209">
      <c r="A209">
        <f>IF(OR(Entry!$B212="",Entry!$E212="",$E209="نامعتبر"),"",Entry!$E212)</f>
        <v/>
      </c>
      <c r="B209">
        <f>IF($A209="","",LEFT($E209,4)&amp;MID($E209,6,2)&amp;RIGHT($E209,2)&amp;$F209&amp;"|"&amp;"1"&amp;RIGHT("00000"&amp;204,5))</f>
        <v/>
      </c>
      <c r="C209">
        <f>IF($B209="","",COUNTIFS($A$6:$A$1005,$A209,$B$6:$B$1005,"&lt;"&amp;$B209)+COUNTIFS($N$6:$N$2005,$A209,$P$6:$P$2005,"&lt;"&amp;$B209)+1)</f>
        <v/>
      </c>
      <c r="D209">
        <f>IF($C209="","",$A209&amp;"|"&amp;RIGHT("000000"&amp;$C209,6))</f>
        <v/>
      </c>
      <c r="E209">
        <f>IF(Entry!$B212="","",IF(ISNUMBER(Entry!$B212),IF(AND(Entry!$B212&gt;=10000101,Entry!$B212&lt;=99991231),INT(Entry!$B212/10000)&amp;"/"&amp;RIGHT("00"&amp;INT(MOD(Entry!$B212,10000)/100),2)&amp;"/"&amp;RIGHT("00"&amp;MOD(Entry!$B212,100),2),"نامعتبر"),IF(LEN(Entry!$B212)=10,Entry!$B212,"نامعتبر")))</f>
        <v/>
      </c>
      <c r="F209">
        <f>IF(Entry!$B212="","",IF(Entry!$C212="","0000",IF(AND(ISNUMBER(Entry!$C212),Entry!$C212&gt;=0,Entry!$C212&lt;1),RIGHT("00"&amp;HOUR(Entry!$C212),2)&amp;RIGHT("00"&amp;MINUTE(Entry!$C212),2),IFERROR(RIGHT("00"&amp;VALUE(LEFT(Entry!$C212,FIND(":",Entry!$C212)-1)),2)&amp;RIGHT("00"&amp;VALUE(MID(Entry!$C212,FIND(":",Entry!$C212)+1,2)),2),"0000"))))</f>
        <v/>
      </c>
      <c r="G209">
        <f>IF($A209="","",Entry!$G212)</f>
        <v/>
      </c>
      <c r="H209">
        <f>IF($A209="","",IF(Entry!$H212="",0,Entry!$H212))</f>
        <v/>
      </c>
      <c r="I209">
        <f>IF($A209="","",IF(Entry!$I212="",0,Entry!$I212))</f>
        <v/>
      </c>
      <c r="J209">
        <f>IF($A209="","",ROUND($H209*$I209,0))</f>
        <v/>
      </c>
      <c r="K209">
        <f>IF($A209="","",Entry!$D212)</f>
        <v/>
      </c>
      <c r="L209">
        <f>IF($A209="","",Entry!$L212)</f>
        <v/>
      </c>
      <c r="N209">
        <f>IF(OR(Sync!$M209="",$Q209="",$Q209="نامعتبر"),"",Sync!$M209)</f>
        <v/>
      </c>
      <c r="O209">
        <f>IF($N209="","",$Q209)</f>
        <v/>
      </c>
      <c r="P209">
        <f>IF($N209="","",LEFT($Q209,4)&amp;MID($Q209,6,2)&amp;RIGHT($Q209,2)&amp;IF(Sync!$K209="","0000",IF(AND(ISNUMBER(Sync!$K209),Sync!$K209&gt;=0,Sync!$K209&lt;1),RIGHT("00"&amp;HOUR(Sync!$K209),2)&amp;RIGHT("00"&amp;MINUTE(Sync!$K209),2),IFERROR(RIGHT("00"&amp;VALUE(LEFT(Sync!$K209,FIND(":",Sync!$K209)-1)),2)&amp;RIGHT("00"&amp;VALUE(MID(Sync!$K209,FIND(":",Sync!$K209)+1,2)),2),"0000")))&amp;"|"&amp;"2"&amp;RIGHT("00000"&amp;204,5))</f>
        <v/>
      </c>
      <c r="Q209">
        <f>IF(Sync!$J209="","",IF(ISNUMBER(Sync!$J209),IF(AND(Sync!$J209&gt;=10000101,Sync!$J209&lt;=99991231),INT(Sync!$J209/10000)&amp;"/"&amp;RIGHT("00"&amp;INT(MOD(Sync!$J209,10000)/100),2)&amp;"/"&amp;RIGHT("00"&amp;MOD(Sync!$J209,100),2),"نامعتبر"),IF(LEN(Sync!$J209)=10,Sync!$J209,"نامعتبر")))</f>
        <v/>
      </c>
      <c r="R209">
        <f>IF($P209="","",COUNTIFS($N$6:$N$2005,$N209,$P$6:$P$2005,"&lt;"&amp;$P209)+COUNTIFS($A$6:$A$1005,$N209,$B$6:$B$1005,"&lt;"&amp;$P209)+1)</f>
        <v/>
      </c>
      <c r="S209">
        <f>IF($N209="","",$N209&amp;"|"&amp;RIGHT("000000"&amp;$R209,6))</f>
        <v/>
      </c>
      <c r="T209">
        <f>IF($N209="","",IF(Sync!$N209="",0,Sync!$N209))</f>
        <v/>
      </c>
      <c r="U209">
        <f>IF($N209="","",IF(Sync!$O209="",0,Sync!$O209))</f>
        <v/>
      </c>
      <c r="V209">
        <f>IF($N209="","",Sync!$L209)</f>
        <v/>
      </c>
      <c r="W209">
        <f>IF($N209="","",Sync!$P209)</f>
        <v/>
      </c>
      <c r="AA209">
        <f>IF($A209="","",IF(COUNTIF($A$6:$A209,$A209)=1,1,0))</f>
        <v/>
      </c>
      <c r="AB209">
        <f>SUM($AA$6:$AA209)</f>
        <v/>
      </c>
      <c r="AC209">
        <f>IFERROR(INDEX($A$6:$A$1005,MATCH(ROW()-5,$AB$6:$AB$1005,0)),"")</f>
        <v/>
      </c>
    </row>
    <row r="210">
      <c r="A210">
        <f>IF(OR(Entry!$B213="",Entry!$E213="",$E210="نامعتبر"),"",Entry!$E213)</f>
        <v/>
      </c>
      <c r="B210">
        <f>IF($A210="","",LEFT($E210,4)&amp;MID($E210,6,2)&amp;RIGHT($E210,2)&amp;$F210&amp;"|"&amp;"1"&amp;RIGHT("00000"&amp;205,5))</f>
        <v/>
      </c>
      <c r="C210">
        <f>IF($B210="","",COUNTIFS($A$6:$A$1005,$A210,$B$6:$B$1005,"&lt;"&amp;$B210)+COUNTIFS($N$6:$N$2005,$A210,$P$6:$P$2005,"&lt;"&amp;$B210)+1)</f>
        <v/>
      </c>
      <c r="D210">
        <f>IF($C210="","",$A210&amp;"|"&amp;RIGHT("000000"&amp;$C210,6))</f>
        <v/>
      </c>
      <c r="E210">
        <f>IF(Entry!$B213="","",IF(ISNUMBER(Entry!$B213),IF(AND(Entry!$B213&gt;=10000101,Entry!$B213&lt;=99991231),INT(Entry!$B213/10000)&amp;"/"&amp;RIGHT("00"&amp;INT(MOD(Entry!$B213,10000)/100),2)&amp;"/"&amp;RIGHT("00"&amp;MOD(Entry!$B213,100),2),"نامعتبر"),IF(LEN(Entry!$B213)=10,Entry!$B213,"نامعتبر")))</f>
        <v/>
      </c>
      <c r="F210">
        <f>IF(Entry!$B213="","",IF(Entry!$C213="","0000",IF(AND(ISNUMBER(Entry!$C213),Entry!$C213&gt;=0,Entry!$C213&lt;1),RIGHT("00"&amp;HOUR(Entry!$C213),2)&amp;RIGHT("00"&amp;MINUTE(Entry!$C213),2),IFERROR(RIGHT("00"&amp;VALUE(LEFT(Entry!$C213,FIND(":",Entry!$C213)-1)),2)&amp;RIGHT("00"&amp;VALUE(MID(Entry!$C213,FIND(":",Entry!$C213)+1,2)),2),"0000"))))</f>
        <v/>
      </c>
      <c r="G210">
        <f>IF($A210="","",Entry!$G213)</f>
        <v/>
      </c>
      <c r="H210">
        <f>IF($A210="","",IF(Entry!$H213="",0,Entry!$H213))</f>
        <v/>
      </c>
      <c r="I210">
        <f>IF($A210="","",IF(Entry!$I213="",0,Entry!$I213))</f>
        <v/>
      </c>
      <c r="J210">
        <f>IF($A210="","",ROUND($H210*$I210,0))</f>
        <v/>
      </c>
      <c r="K210">
        <f>IF($A210="","",Entry!$D213)</f>
        <v/>
      </c>
      <c r="L210">
        <f>IF($A210="","",Entry!$L213)</f>
        <v/>
      </c>
      <c r="N210">
        <f>IF(OR(Sync!$M210="",$Q210="",$Q210="نامعتبر"),"",Sync!$M210)</f>
        <v/>
      </c>
      <c r="O210">
        <f>IF($N210="","",$Q210)</f>
        <v/>
      </c>
      <c r="P210">
        <f>IF($N210="","",LEFT($Q210,4)&amp;MID($Q210,6,2)&amp;RIGHT($Q210,2)&amp;IF(Sync!$K210="","0000",IF(AND(ISNUMBER(Sync!$K210),Sync!$K210&gt;=0,Sync!$K210&lt;1),RIGHT("00"&amp;HOUR(Sync!$K210),2)&amp;RIGHT("00"&amp;MINUTE(Sync!$K210),2),IFERROR(RIGHT("00"&amp;VALUE(LEFT(Sync!$K210,FIND(":",Sync!$K210)-1)),2)&amp;RIGHT("00"&amp;VALUE(MID(Sync!$K210,FIND(":",Sync!$K210)+1,2)),2),"0000")))&amp;"|"&amp;"2"&amp;RIGHT("00000"&amp;205,5))</f>
        <v/>
      </c>
      <c r="Q210">
        <f>IF(Sync!$J210="","",IF(ISNUMBER(Sync!$J210),IF(AND(Sync!$J210&gt;=10000101,Sync!$J210&lt;=99991231),INT(Sync!$J210/10000)&amp;"/"&amp;RIGHT("00"&amp;INT(MOD(Sync!$J210,10000)/100),2)&amp;"/"&amp;RIGHT("00"&amp;MOD(Sync!$J210,100),2),"نامعتبر"),IF(LEN(Sync!$J210)=10,Sync!$J210,"نامعتبر")))</f>
        <v/>
      </c>
      <c r="R210">
        <f>IF($P210="","",COUNTIFS($N$6:$N$2005,$N210,$P$6:$P$2005,"&lt;"&amp;$P210)+COUNTIFS($A$6:$A$1005,$N210,$B$6:$B$1005,"&lt;"&amp;$P210)+1)</f>
        <v/>
      </c>
      <c r="S210">
        <f>IF($N210="","",$N210&amp;"|"&amp;RIGHT("000000"&amp;$R210,6))</f>
        <v/>
      </c>
      <c r="T210">
        <f>IF($N210="","",IF(Sync!$N210="",0,Sync!$N210))</f>
        <v/>
      </c>
      <c r="U210">
        <f>IF($N210="","",IF(Sync!$O210="",0,Sync!$O210))</f>
        <v/>
      </c>
      <c r="V210">
        <f>IF($N210="","",Sync!$L210)</f>
        <v/>
      </c>
      <c r="W210">
        <f>IF($N210="","",Sync!$P210)</f>
        <v/>
      </c>
      <c r="AA210">
        <f>IF($A210="","",IF(COUNTIF($A$6:$A210,$A210)=1,1,0))</f>
        <v/>
      </c>
      <c r="AB210">
        <f>SUM($AA$6:$AA210)</f>
        <v/>
      </c>
      <c r="AC210">
        <f>IFERROR(INDEX($A$6:$A$1005,MATCH(ROW()-5,$AB$6:$AB$1005,0)),"")</f>
        <v/>
      </c>
    </row>
    <row r="211">
      <c r="A211">
        <f>IF(OR(Entry!$B214="",Entry!$E214="",$E211="نامعتبر"),"",Entry!$E214)</f>
        <v/>
      </c>
      <c r="B211">
        <f>IF($A211="","",LEFT($E211,4)&amp;MID($E211,6,2)&amp;RIGHT($E211,2)&amp;$F211&amp;"|"&amp;"1"&amp;RIGHT("00000"&amp;206,5))</f>
        <v/>
      </c>
      <c r="C211">
        <f>IF($B211="","",COUNTIFS($A$6:$A$1005,$A211,$B$6:$B$1005,"&lt;"&amp;$B211)+COUNTIFS($N$6:$N$2005,$A211,$P$6:$P$2005,"&lt;"&amp;$B211)+1)</f>
        <v/>
      </c>
      <c r="D211">
        <f>IF($C211="","",$A211&amp;"|"&amp;RIGHT("000000"&amp;$C211,6))</f>
        <v/>
      </c>
      <c r="E211">
        <f>IF(Entry!$B214="","",IF(ISNUMBER(Entry!$B214),IF(AND(Entry!$B214&gt;=10000101,Entry!$B214&lt;=99991231),INT(Entry!$B214/10000)&amp;"/"&amp;RIGHT("00"&amp;INT(MOD(Entry!$B214,10000)/100),2)&amp;"/"&amp;RIGHT("00"&amp;MOD(Entry!$B214,100),2),"نامعتبر"),IF(LEN(Entry!$B214)=10,Entry!$B214,"نامعتبر")))</f>
        <v/>
      </c>
      <c r="F211">
        <f>IF(Entry!$B214="","",IF(Entry!$C214="","0000",IF(AND(ISNUMBER(Entry!$C214),Entry!$C214&gt;=0,Entry!$C214&lt;1),RIGHT("00"&amp;HOUR(Entry!$C214),2)&amp;RIGHT("00"&amp;MINUTE(Entry!$C214),2),IFERROR(RIGHT("00"&amp;VALUE(LEFT(Entry!$C214,FIND(":",Entry!$C214)-1)),2)&amp;RIGHT("00"&amp;VALUE(MID(Entry!$C214,FIND(":",Entry!$C214)+1,2)),2),"0000"))))</f>
        <v/>
      </c>
      <c r="G211">
        <f>IF($A211="","",Entry!$G214)</f>
        <v/>
      </c>
      <c r="H211">
        <f>IF($A211="","",IF(Entry!$H214="",0,Entry!$H214))</f>
        <v/>
      </c>
      <c r="I211">
        <f>IF($A211="","",IF(Entry!$I214="",0,Entry!$I214))</f>
        <v/>
      </c>
      <c r="J211">
        <f>IF($A211="","",ROUND($H211*$I211,0))</f>
        <v/>
      </c>
      <c r="K211">
        <f>IF($A211="","",Entry!$D214)</f>
        <v/>
      </c>
      <c r="L211">
        <f>IF($A211="","",Entry!$L214)</f>
        <v/>
      </c>
      <c r="N211">
        <f>IF(OR(Sync!$M211="",$Q211="",$Q211="نامعتبر"),"",Sync!$M211)</f>
        <v/>
      </c>
      <c r="O211">
        <f>IF($N211="","",$Q211)</f>
        <v/>
      </c>
      <c r="P211">
        <f>IF($N211="","",LEFT($Q211,4)&amp;MID($Q211,6,2)&amp;RIGHT($Q211,2)&amp;IF(Sync!$K211="","0000",IF(AND(ISNUMBER(Sync!$K211),Sync!$K211&gt;=0,Sync!$K211&lt;1),RIGHT("00"&amp;HOUR(Sync!$K211),2)&amp;RIGHT("00"&amp;MINUTE(Sync!$K211),2),IFERROR(RIGHT("00"&amp;VALUE(LEFT(Sync!$K211,FIND(":",Sync!$K211)-1)),2)&amp;RIGHT("00"&amp;VALUE(MID(Sync!$K211,FIND(":",Sync!$K211)+1,2)),2),"0000")))&amp;"|"&amp;"2"&amp;RIGHT("00000"&amp;206,5))</f>
        <v/>
      </c>
      <c r="Q211">
        <f>IF(Sync!$J211="","",IF(ISNUMBER(Sync!$J211),IF(AND(Sync!$J211&gt;=10000101,Sync!$J211&lt;=99991231),INT(Sync!$J211/10000)&amp;"/"&amp;RIGHT("00"&amp;INT(MOD(Sync!$J211,10000)/100),2)&amp;"/"&amp;RIGHT("00"&amp;MOD(Sync!$J211,100),2),"نامعتبر"),IF(LEN(Sync!$J211)=10,Sync!$J211,"نامعتبر")))</f>
        <v/>
      </c>
      <c r="R211">
        <f>IF($P211="","",COUNTIFS($N$6:$N$2005,$N211,$P$6:$P$2005,"&lt;"&amp;$P211)+COUNTIFS($A$6:$A$1005,$N211,$B$6:$B$1005,"&lt;"&amp;$P211)+1)</f>
        <v/>
      </c>
      <c r="S211">
        <f>IF($N211="","",$N211&amp;"|"&amp;RIGHT("000000"&amp;$R211,6))</f>
        <v/>
      </c>
      <c r="T211">
        <f>IF($N211="","",IF(Sync!$N211="",0,Sync!$N211))</f>
        <v/>
      </c>
      <c r="U211">
        <f>IF($N211="","",IF(Sync!$O211="",0,Sync!$O211))</f>
        <v/>
      </c>
      <c r="V211">
        <f>IF($N211="","",Sync!$L211)</f>
        <v/>
      </c>
      <c r="W211">
        <f>IF($N211="","",Sync!$P211)</f>
        <v/>
      </c>
      <c r="AA211">
        <f>IF($A211="","",IF(COUNTIF($A$6:$A211,$A211)=1,1,0))</f>
        <v/>
      </c>
      <c r="AB211">
        <f>SUM($AA$6:$AA211)</f>
        <v/>
      </c>
      <c r="AC211">
        <f>IFERROR(INDEX($A$6:$A$1005,MATCH(ROW()-5,$AB$6:$AB$1005,0)),"")</f>
        <v/>
      </c>
    </row>
    <row r="212">
      <c r="A212">
        <f>IF(OR(Entry!$B215="",Entry!$E215="",$E212="نامعتبر"),"",Entry!$E215)</f>
        <v/>
      </c>
      <c r="B212">
        <f>IF($A212="","",LEFT($E212,4)&amp;MID($E212,6,2)&amp;RIGHT($E212,2)&amp;$F212&amp;"|"&amp;"1"&amp;RIGHT("00000"&amp;207,5))</f>
        <v/>
      </c>
      <c r="C212">
        <f>IF($B212="","",COUNTIFS($A$6:$A$1005,$A212,$B$6:$B$1005,"&lt;"&amp;$B212)+COUNTIFS($N$6:$N$2005,$A212,$P$6:$P$2005,"&lt;"&amp;$B212)+1)</f>
        <v/>
      </c>
      <c r="D212">
        <f>IF($C212="","",$A212&amp;"|"&amp;RIGHT("000000"&amp;$C212,6))</f>
        <v/>
      </c>
      <c r="E212">
        <f>IF(Entry!$B215="","",IF(ISNUMBER(Entry!$B215),IF(AND(Entry!$B215&gt;=10000101,Entry!$B215&lt;=99991231),INT(Entry!$B215/10000)&amp;"/"&amp;RIGHT("00"&amp;INT(MOD(Entry!$B215,10000)/100),2)&amp;"/"&amp;RIGHT("00"&amp;MOD(Entry!$B215,100),2),"نامعتبر"),IF(LEN(Entry!$B215)=10,Entry!$B215,"نامعتبر")))</f>
        <v/>
      </c>
      <c r="F212">
        <f>IF(Entry!$B215="","",IF(Entry!$C215="","0000",IF(AND(ISNUMBER(Entry!$C215),Entry!$C215&gt;=0,Entry!$C215&lt;1),RIGHT("00"&amp;HOUR(Entry!$C215),2)&amp;RIGHT("00"&amp;MINUTE(Entry!$C215),2),IFERROR(RIGHT("00"&amp;VALUE(LEFT(Entry!$C215,FIND(":",Entry!$C215)-1)),2)&amp;RIGHT("00"&amp;VALUE(MID(Entry!$C215,FIND(":",Entry!$C215)+1,2)),2),"0000"))))</f>
        <v/>
      </c>
      <c r="G212">
        <f>IF($A212="","",Entry!$G215)</f>
        <v/>
      </c>
      <c r="H212">
        <f>IF($A212="","",IF(Entry!$H215="",0,Entry!$H215))</f>
        <v/>
      </c>
      <c r="I212">
        <f>IF($A212="","",IF(Entry!$I215="",0,Entry!$I215))</f>
        <v/>
      </c>
      <c r="J212">
        <f>IF($A212="","",ROUND($H212*$I212,0))</f>
        <v/>
      </c>
      <c r="K212">
        <f>IF($A212="","",Entry!$D215)</f>
        <v/>
      </c>
      <c r="L212">
        <f>IF($A212="","",Entry!$L215)</f>
        <v/>
      </c>
      <c r="N212">
        <f>IF(OR(Sync!$M212="",$Q212="",$Q212="نامعتبر"),"",Sync!$M212)</f>
        <v/>
      </c>
      <c r="O212">
        <f>IF($N212="","",$Q212)</f>
        <v/>
      </c>
      <c r="P212">
        <f>IF($N212="","",LEFT($Q212,4)&amp;MID($Q212,6,2)&amp;RIGHT($Q212,2)&amp;IF(Sync!$K212="","0000",IF(AND(ISNUMBER(Sync!$K212),Sync!$K212&gt;=0,Sync!$K212&lt;1),RIGHT("00"&amp;HOUR(Sync!$K212),2)&amp;RIGHT("00"&amp;MINUTE(Sync!$K212),2),IFERROR(RIGHT("00"&amp;VALUE(LEFT(Sync!$K212,FIND(":",Sync!$K212)-1)),2)&amp;RIGHT("00"&amp;VALUE(MID(Sync!$K212,FIND(":",Sync!$K212)+1,2)),2),"0000")))&amp;"|"&amp;"2"&amp;RIGHT("00000"&amp;207,5))</f>
        <v/>
      </c>
      <c r="Q212">
        <f>IF(Sync!$J212="","",IF(ISNUMBER(Sync!$J212),IF(AND(Sync!$J212&gt;=10000101,Sync!$J212&lt;=99991231),INT(Sync!$J212/10000)&amp;"/"&amp;RIGHT("00"&amp;INT(MOD(Sync!$J212,10000)/100),2)&amp;"/"&amp;RIGHT("00"&amp;MOD(Sync!$J212,100),2),"نامعتبر"),IF(LEN(Sync!$J212)=10,Sync!$J212,"نامعتبر")))</f>
        <v/>
      </c>
      <c r="R212">
        <f>IF($P212="","",COUNTIFS($N$6:$N$2005,$N212,$P$6:$P$2005,"&lt;"&amp;$P212)+COUNTIFS($A$6:$A$1005,$N212,$B$6:$B$1005,"&lt;"&amp;$P212)+1)</f>
        <v/>
      </c>
      <c r="S212">
        <f>IF($N212="","",$N212&amp;"|"&amp;RIGHT("000000"&amp;$R212,6))</f>
        <v/>
      </c>
      <c r="T212">
        <f>IF($N212="","",IF(Sync!$N212="",0,Sync!$N212))</f>
        <v/>
      </c>
      <c r="U212">
        <f>IF($N212="","",IF(Sync!$O212="",0,Sync!$O212))</f>
        <v/>
      </c>
      <c r="V212">
        <f>IF($N212="","",Sync!$L212)</f>
        <v/>
      </c>
      <c r="W212">
        <f>IF($N212="","",Sync!$P212)</f>
        <v/>
      </c>
      <c r="AA212">
        <f>IF($A212="","",IF(COUNTIF($A$6:$A212,$A212)=1,1,0))</f>
        <v/>
      </c>
      <c r="AB212">
        <f>SUM($AA$6:$AA212)</f>
        <v/>
      </c>
      <c r="AC212">
        <f>IFERROR(INDEX($A$6:$A$1005,MATCH(ROW()-5,$AB$6:$AB$1005,0)),"")</f>
        <v/>
      </c>
    </row>
    <row r="213">
      <c r="A213">
        <f>IF(OR(Entry!$B216="",Entry!$E216="",$E213="نامعتبر"),"",Entry!$E216)</f>
        <v/>
      </c>
      <c r="B213">
        <f>IF($A213="","",LEFT($E213,4)&amp;MID($E213,6,2)&amp;RIGHT($E213,2)&amp;$F213&amp;"|"&amp;"1"&amp;RIGHT("00000"&amp;208,5))</f>
        <v/>
      </c>
      <c r="C213">
        <f>IF($B213="","",COUNTIFS($A$6:$A$1005,$A213,$B$6:$B$1005,"&lt;"&amp;$B213)+COUNTIFS($N$6:$N$2005,$A213,$P$6:$P$2005,"&lt;"&amp;$B213)+1)</f>
        <v/>
      </c>
      <c r="D213">
        <f>IF($C213="","",$A213&amp;"|"&amp;RIGHT("000000"&amp;$C213,6))</f>
        <v/>
      </c>
      <c r="E213">
        <f>IF(Entry!$B216="","",IF(ISNUMBER(Entry!$B216),IF(AND(Entry!$B216&gt;=10000101,Entry!$B216&lt;=99991231),INT(Entry!$B216/10000)&amp;"/"&amp;RIGHT("00"&amp;INT(MOD(Entry!$B216,10000)/100),2)&amp;"/"&amp;RIGHT("00"&amp;MOD(Entry!$B216,100),2),"نامعتبر"),IF(LEN(Entry!$B216)=10,Entry!$B216,"نامعتبر")))</f>
        <v/>
      </c>
      <c r="F213">
        <f>IF(Entry!$B216="","",IF(Entry!$C216="","0000",IF(AND(ISNUMBER(Entry!$C216),Entry!$C216&gt;=0,Entry!$C216&lt;1),RIGHT("00"&amp;HOUR(Entry!$C216),2)&amp;RIGHT("00"&amp;MINUTE(Entry!$C216),2),IFERROR(RIGHT("00"&amp;VALUE(LEFT(Entry!$C216,FIND(":",Entry!$C216)-1)),2)&amp;RIGHT("00"&amp;VALUE(MID(Entry!$C216,FIND(":",Entry!$C216)+1,2)),2),"0000"))))</f>
        <v/>
      </c>
      <c r="G213">
        <f>IF($A213="","",Entry!$G216)</f>
        <v/>
      </c>
      <c r="H213">
        <f>IF($A213="","",IF(Entry!$H216="",0,Entry!$H216))</f>
        <v/>
      </c>
      <c r="I213">
        <f>IF($A213="","",IF(Entry!$I216="",0,Entry!$I216))</f>
        <v/>
      </c>
      <c r="J213">
        <f>IF($A213="","",ROUND($H213*$I213,0))</f>
        <v/>
      </c>
      <c r="K213">
        <f>IF($A213="","",Entry!$D216)</f>
        <v/>
      </c>
      <c r="L213">
        <f>IF($A213="","",Entry!$L216)</f>
        <v/>
      </c>
      <c r="N213">
        <f>IF(OR(Sync!$M213="",$Q213="",$Q213="نامعتبر"),"",Sync!$M213)</f>
        <v/>
      </c>
      <c r="O213">
        <f>IF($N213="","",$Q213)</f>
        <v/>
      </c>
      <c r="P213">
        <f>IF($N213="","",LEFT($Q213,4)&amp;MID($Q213,6,2)&amp;RIGHT($Q213,2)&amp;IF(Sync!$K213="","0000",IF(AND(ISNUMBER(Sync!$K213),Sync!$K213&gt;=0,Sync!$K213&lt;1),RIGHT("00"&amp;HOUR(Sync!$K213),2)&amp;RIGHT("00"&amp;MINUTE(Sync!$K213),2),IFERROR(RIGHT("00"&amp;VALUE(LEFT(Sync!$K213,FIND(":",Sync!$K213)-1)),2)&amp;RIGHT("00"&amp;VALUE(MID(Sync!$K213,FIND(":",Sync!$K213)+1,2)),2),"0000")))&amp;"|"&amp;"2"&amp;RIGHT("00000"&amp;208,5))</f>
        <v/>
      </c>
      <c r="Q213">
        <f>IF(Sync!$J213="","",IF(ISNUMBER(Sync!$J213),IF(AND(Sync!$J213&gt;=10000101,Sync!$J213&lt;=99991231),INT(Sync!$J213/10000)&amp;"/"&amp;RIGHT("00"&amp;INT(MOD(Sync!$J213,10000)/100),2)&amp;"/"&amp;RIGHT("00"&amp;MOD(Sync!$J213,100),2),"نامعتبر"),IF(LEN(Sync!$J213)=10,Sync!$J213,"نامعتبر")))</f>
        <v/>
      </c>
      <c r="R213">
        <f>IF($P213="","",COUNTIFS($N$6:$N$2005,$N213,$P$6:$P$2005,"&lt;"&amp;$P213)+COUNTIFS($A$6:$A$1005,$N213,$B$6:$B$1005,"&lt;"&amp;$P213)+1)</f>
        <v/>
      </c>
      <c r="S213">
        <f>IF($N213="","",$N213&amp;"|"&amp;RIGHT("000000"&amp;$R213,6))</f>
        <v/>
      </c>
      <c r="T213">
        <f>IF($N213="","",IF(Sync!$N213="",0,Sync!$N213))</f>
        <v/>
      </c>
      <c r="U213">
        <f>IF($N213="","",IF(Sync!$O213="",0,Sync!$O213))</f>
        <v/>
      </c>
      <c r="V213">
        <f>IF($N213="","",Sync!$L213)</f>
        <v/>
      </c>
      <c r="W213">
        <f>IF($N213="","",Sync!$P213)</f>
        <v/>
      </c>
      <c r="AA213">
        <f>IF($A213="","",IF(COUNTIF($A$6:$A213,$A213)=1,1,0))</f>
        <v/>
      </c>
      <c r="AB213">
        <f>SUM($AA$6:$AA213)</f>
        <v/>
      </c>
      <c r="AC213">
        <f>IFERROR(INDEX($A$6:$A$1005,MATCH(ROW()-5,$AB$6:$AB$1005,0)),"")</f>
        <v/>
      </c>
    </row>
    <row r="214">
      <c r="A214">
        <f>IF(OR(Entry!$B217="",Entry!$E217="",$E214="نامعتبر"),"",Entry!$E217)</f>
        <v/>
      </c>
      <c r="B214">
        <f>IF($A214="","",LEFT($E214,4)&amp;MID($E214,6,2)&amp;RIGHT($E214,2)&amp;$F214&amp;"|"&amp;"1"&amp;RIGHT("00000"&amp;209,5))</f>
        <v/>
      </c>
      <c r="C214">
        <f>IF($B214="","",COUNTIFS($A$6:$A$1005,$A214,$B$6:$B$1005,"&lt;"&amp;$B214)+COUNTIFS($N$6:$N$2005,$A214,$P$6:$P$2005,"&lt;"&amp;$B214)+1)</f>
        <v/>
      </c>
      <c r="D214">
        <f>IF($C214="","",$A214&amp;"|"&amp;RIGHT("000000"&amp;$C214,6))</f>
        <v/>
      </c>
      <c r="E214">
        <f>IF(Entry!$B217="","",IF(ISNUMBER(Entry!$B217),IF(AND(Entry!$B217&gt;=10000101,Entry!$B217&lt;=99991231),INT(Entry!$B217/10000)&amp;"/"&amp;RIGHT("00"&amp;INT(MOD(Entry!$B217,10000)/100),2)&amp;"/"&amp;RIGHT("00"&amp;MOD(Entry!$B217,100),2),"نامعتبر"),IF(LEN(Entry!$B217)=10,Entry!$B217,"نامعتبر")))</f>
        <v/>
      </c>
      <c r="F214">
        <f>IF(Entry!$B217="","",IF(Entry!$C217="","0000",IF(AND(ISNUMBER(Entry!$C217),Entry!$C217&gt;=0,Entry!$C217&lt;1),RIGHT("00"&amp;HOUR(Entry!$C217),2)&amp;RIGHT("00"&amp;MINUTE(Entry!$C217),2),IFERROR(RIGHT("00"&amp;VALUE(LEFT(Entry!$C217,FIND(":",Entry!$C217)-1)),2)&amp;RIGHT("00"&amp;VALUE(MID(Entry!$C217,FIND(":",Entry!$C217)+1,2)),2),"0000"))))</f>
        <v/>
      </c>
      <c r="G214">
        <f>IF($A214="","",Entry!$G217)</f>
        <v/>
      </c>
      <c r="H214">
        <f>IF($A214="","",IF(Entry!$H217="",0,Entry!$H217))</f>
        <v/>
      </c>
      <c r="I214">
        <f>IF($A214="","",IF(Entry!$I217="",0,Entry!$I217))</f>
        <v/>
      </c>
      <c r="J214">
        <f>IF($A214="","",ROUND($H214*$I214,0))</f>
        <v/>
      </c>
      <c r="K214">
        <f>IF($A214="","",Entry!$D217)</f>
        <v/>
      </c>
      <c r="L214">
        <f>IF($A214="","",Entry!$L217)</f>
        <v/>
      </c>
      <c r="N214">
        <f>IF(OR(Sync!$M214="",$Q214="",$Q214="نامعتبر"),"",Sync!$M214)</f>
        <v/>
      </c>
      <c r="O214">
        <f>IF($N214="","",$Q214)</f>
        <v/>
      </c>
      <c r="P214">
        <f>IF($N214="","",LEFT($Q214,4)&amp;MID($Q214,6,2)&amp;RIGHT($Q214,2)&amp;IF(Sync!$K214="","0000",IF(AND(ISNUMBER(Sync!$K214),Sync!$K214&gt;=0,Sync!$K214&lt;1),RIGHT("00"&amp;HOUR(Sync!$K214),2)&amp;RIGHT("00"&amp;MINUTE(Sync!$K214),2),IFERROR(RIGHT("00"&amp;VALUE(LEFT(Sync!$K214,FIND(":",Sync!$K214)-1)),2)&amp;RIGHT("00"&amp;VALUE(MID(Sync!$K214,FIND(":",Sync!$K214)+1,2)),2),"0000")))&amp;"|"&amp;"2"&amp;RIGHT("00000"&amp;209,5))</f>
        <v/>
      </c>
      <c r="Q214">
        <f>IF(Sync!$J214="","",IF(ISNUMBER(Sync!$J214),IF(AND(Sync!$J214&gt;=10000101,Sync!$J214&lt;=99991231),INT(Sync!$J214/10000)&amp;"/"&amp;RIGHT("00"&amp;INT(MOD(Sync!$J214,10000)/100),2)&amp;"/"&amp;RIGHT("00"&amp;MOD(Sync!$J214,100),2),"نامعتبر"),IF(LEN(Sync!$J214)=10,Sync!$J214,"نامعتبر")))</f>
        <v/>
      </c>
      <c r="R214">
        <f>IF($P214="","",COUNTIFS($N$6:$N$2005,$N214,$P$6:$P$2005,"&lt;"&amp;$P214)+COUNTIFS($A$6:$A$1005,$N214,$B$6:$B$1005,"&lt;"&amp;$P214)+1)</f>
        <v/>
      </c>
      <c r="S214">
        <f>IF($N214="","",$N214&amp;"|"&amp;RIGHT("000000"&amp;$R214,6))</f>
        <v/>
      </c>
      <c r="T214">
        <f>IF($N214="","",IF(Sync!$N214="",0,Sync!$N214))</f>
        <v/>
      </c>
      <c r="U214">
        <f>IF($N214="","",IF(Sync!$O214="",0,Sync!$O214))</f>
        <v/>
      </c>
      <c r="V214">
        <f>IF($N214="","",Sync!$L214)</f>
        <v/>
      </c>
      <c r="W214">
        <f>IF($N214="","",Sync!$P214)</f>
        <v/>
      </c>
      <c r="AA214">
        <f>IF($A214="","",IF(COUNTIF($A$6:$A214,$A214)=1,1,0))</f>
        <v/>
      </c>
      <c r="AB214">
        <f>SUM($AA$6:$AA214)</f>
        <v/>
      </c>
      <c r="AC214">
        <f>IFERROR(INDEX($A$6:$A$1005,MATCH(ROW()-5,$AB$6:$AB$1005,0)),"")</f>
        <v/>
      </c>
    </row>
    <row r="215">
      <c r="A215">
        <f>IF(OR(Entry!$B218="",Entry!$E218="",$E215="نامعتبر"),"",Entry!$E218)</f>
        <v/>
      </c>
      <c r="B215">
        <f>IF($A215="","",LEFT($E215,4)&amp;MID($E215,6,2)&amp;RIGHT($E215,2)&amp;$F215&amp;"|"&amp;"1"&amp;RIGHT("00000"&amp;210,5))</f>
        <v/>
      </c>
      <c r="C215">
        <f>IF($B215="","",COUNTIFS($A$6:$A$1005,$A215,$B$6:$B$1005,"&lt;"&amp;$B215)+COUNTIFS($N$6:$N$2005,$A215,$P$6:$P$2005,"&lt;"&amp;$B215)+1)</f>
        <v/>
      </c>
      <c r="D215">
        <f>IF($C215="","",$A215&amp;"|"&amp;RIGHT("000000"&amp;$C215,6))</f>
        <v/>
      </c>
      <c r="E215">
        <f>IF(Entry!$B218="","",IF(ISNUMBER(Entry!$B218),IF(AND(Entry!$B218&gt;=10000101,Entry!$B218&lt;=99991231),INT(Entry!$B218/10000)&amp;"/"&amp;RIGHT("00"&amp;INT(MOD(Entry!$B218,10000)/100),2)&amp;"/"&amp;RIGHT("00"&amp;MOD(Entry!$B218,100),2),"نامعتبر"),IF(LEN(Entry!$B218)=10,Entry!$B218,"نامعتبر")))</f>
        <v/>
      </c>
      <c r="F215">
        <f>IF(Entry!$B218="","",IF(Entry!$C218="","0000",IF(AND(ISNUMBER(Entry!$C218),Entry!$C218&gt;=0,Entry!$C218&lt;1),RIGHT("00"&amp;HOUR(Entry!$C218),2)&amp;RIGHT("00"&amp;MINUTE(Entry!$C218),2),IFERROR(RIGHT("00"&amp;VALUE(LEFT(Entry!$C218,FIND(":",Entry!$C218)-1)),2)&amp;RIGHT("00"&amp;VALUE(MID(Entry!$C218,FIND(":",Entry!$C218)+1,2)),2),"0000"))))</f>
        <v/>
      </c>
      <c r="G215">
        <f>IF($A215="","",Entry!$G218)</f>
        <v/>
      </c>
      <c r="H215">
        <f>IF($A215="","",IF(Entry!$H218="",0,Entry!$H218))</f>
        <v/>
      </c>
      <c r="I215">
        <f>IF($A215="","",IF(Entry!$I218="",0,Entry!$I218))</f>
        <v/>
      </c>
      <c r="J215">
        <f>IF($A215="","",ROUND($H215*$I215,0))</f>
        <v/>
      </c>
      <c r="K215">
        <f>IF($A215="","",Entry!$D218)</f>
        <v/>
      </c>
      <c r="L215">
        <f>IF($A215="","",Entry!$L218)</f>
        <v/>
      </c>
      <c r="N215">
        <f>IF(OR(Sync!$M215="",$Q215="",$Q215="نامعتبر"),"",Sync!$M215)</f>
        <v/>
      </c>
      <c r="O215">
        <f>IF($N215="","",$Q215)</f>
        <v/>
      </c>
      <c r="P215">
        <f>IF($N215="","",LEFT($Q215,4)&amp;MID($Q215,6,2)&amp;RIGHT($Q215,2)&amp;IF(Sync!$K215="","0000",IF(AND(ISNUMBER(Sync!$K215),Sync!$K215&gt;=0,Sync!$K215&lt;1),RIGHT("00"&amp;HOUR(Sync!$K215),2)&amp;RIGHT("00"&amp;MINUTE(Sync!$K215),2),IFERROR(RIGHT("00"&amp;VALUE(LEFT(Sync!$K215,FIND(":",Sync!$K215)-1)),2)&amp;RIGHT("00"&amp;VALUE(MID(Sync!$K215,FIND(":",Sync!$K215)+1,2)),2),"0000")))&amp;"|"&amp;"2"&amp;RIGHT("00000"&amp;210,5))</f>
        <v/>
      </c>
      <c r="Q215">
        <f>IF(Sync!$J215="","",IF(ISNUMBER(Sync!$J215),IF(AND(Sync!$J215&gt;=10000101,Sync!$J215&lt;=99991231),INT(Sync!$J215/10000)&amp;"/"&amp;RIGHT("00"&amp;INT(MOD(Sync!$J215,10000)/100),2)&amp;"/"&amp;RIGHT("00"&amp;MOD(Sync!$J215,100),2),"نامعتبر"),IF(LEN(Sync!$J215)=10,Sync!$J215,"نامعتبر")))</f>
        <v/>
      </c>
      <c r="R215">
        <f>IF($P215="","",COUNTIFS($N$6:$N$2005,$N215,$P$6:$P$2005,"&lt;"&amp;$P215)+COUNTIFS($A$6:$A$1005,$N215,$B$6:$B$1005,"&lt;"&amp;$P215)+1)</f>
        <v/>
      </c>
      <c r="S215">
        <f>IF($N215="","",$N215&amp;"|"&amp;RIGHT("000000"&amp;$R215,6))</f>
        <v/>
      </c>
      <c r="T215">
        <f>IF($N215="","",IF(Sync!$N215="",0,Sync!$N215))</f>
        <v/>
      </c>
      <c r="U215">
        <f>IF($N215="","",IF(Sync!$O215="",0,Sync!$O215))</f>
        <v/>
      </c>
      <c r="V215">
        <f>IF($N215="","",Sync!$L215)</f>
        <v/>
      </c>
      <c r="W215">
        <f>IF($N215="","",Sync!$P215)</f>
        <v/>
      </c>
      <c r="AA215">
        <f>IF($A215="","",IF(COUNTIF($A$6:$A215,$A215)=1,1,0))</f>
        <v/>
      </c>
      <c r="AB215">
        <f>SUM($AA$6:$AA215)</f>
        <v/>
      </c>
      <c r="AC215">
        <f>IFERROR(INDEX($A$6:$A$1005,MATCH(ROW()-5,$AB$6:$AB$1005,0)),"")</f>
        <v/>
      </c>
    </row>
    <row r="216">
      <c r="A216">
        <f>IF(OR(Entry!$B219="",Entry!$E219="",$E216="نامعتبر"),"",Entry!$E219)</f>
        <v/>
      </c>
      <c r="B216">
        <f>IF($A216="","",LEFT($E216,4)&amp;MID($E216,6,2)&amp;RIGHT($E216,2)&amp;$F216&amp;"|"&amp;"1"&amp;RIGHT("00000"&amp;211,5))</f>
        <v/>
      </c>
      <c r="C216">
        <f>IF($B216="","",COUNTIFS($A$6:$A$1005,$A216,$B$6:$B$1005,"&lt;"&amp;$B216)+COUNTIFS($N$6:$N$2005,$A216,$P$6:$P$2005,"&lt;"&amp;$B216)+1)</f>
        <v/>
      </c>
      <c r="D216">
        <f>IF($C216="","",$A216&amp;"|"&amp;RIGHT("000000"&amp;$C216,6))</f>
        <v/>
      </c>
      <c r="E216">
        <f>IF(Entry!$B219="","",IF(ISNUMBER(Entry!$B219),IF(AND(Entry!$B219&gt;=10000101,Entry!$B219&lt;=99991231),INT(Entry!$B219/10000)&amp;"/"&amp;RIGHT("00"&amp;INT(MOD(Entry!$B219,10000)/100),2)&amp;"/"&amp;RIGHT("00"&amp;MOD(Entry!$B219,100),2),"نامعتبر"),IF(LEN(Entry!$B219)=10,Entry!$B219,"نامعتبر")))</f>
        <v/>
      </c>
      <c r="F216">
        <f>IF(Entry!$B219="","",IF(Entry!$C219="","0000",IF(AND(ISNUMBER(Entry!$C219),Entry!$C219&gt;=0,Entry!$C219&lt;1),RIGHT("00"&amp;HOUR(Entry!$C219),2)&amp;RIGHT("00"&amp;MINUTE(Entry!$C219),2),IFERROR(RIGHT("00"&amp;VALUE(LEFT(Entry!$C219,FIND(":",Entry!$C219)-1)),2)&amp;RIGHT("00"&amp;VALUE(MID(Entry!$C219,FIND(":",Entry!$C219)+1,2)),2),"0000"))))</f>
        <v/>
      </c>
      <c r="G216">
        <f>IF($A216="","",Entry!$G219)</f>
        <v/>
      </c>
      <c r="H216">
        <f>IF($A216="","",IF(Entry!$H219="",0,Entry!$H219))</f>
        <v/>
      </c>
      <c r="I216">
        <f>IF($A216="","",IF(Entry!$I219="",0,Entry!$I219))</f>
        <v/>
      </c>
      <c r="J216">
        <f>IF($A216="","",ROUND($H216*$I216,0))</f>
        <v/>
      </c>
      <c r="K216">
        <f>IF($A216="","",Entry!$D219)</f>
        <v/>
      </c>
      <c r="L216">
        <f>IF($A216="","",Entry!$L219)</f>
        <v/>
      </c>
      <c r="N216">
        <f>IF(OR(Sync!$M216="",$Q216="",$Q216="نامعتبر"),"",Sync!$M216)</f>
        <v/>
      </c>
      <c r="O216">
        <f>IF($N216="","",$Q216)</f>
        <v/>
      </c>
      <c r="P216">
        <f>IF($N216="","",LEFT($Q216,4)&amp;MID($Q216,6,2)&amp;RIGHT($Q216,2)&amp;IF(Sync!$K216="","0000",IF(AND(ISNUMBER(Sync!$K216),Sync!$K216&gt;=0,Sync!$K216&lt;1),RIGHT("00"&amp;HOUR(Sync!$K216),2)&amp;RIGHT("00"&amp;MINUTE(Sync!$K216),2),IFERROR(RIGHT("00"&amp;VALUE(LEFT(Sync!$K216,FIND(":",Sync!$K216)-1)),2)&amp;RIGHT("00"&amp;VALUE(MID(Sync!$K216,FIND(":",Sync!$K216)+1,2)),2),"0000")))&amp;"|"&amp;"2"&amp;RIGHT("00000"&amp;211,5))</f>
        <v/>
      </c>
      <c r="Q216">
        <f>IF(Sync!$J216="","",IF(ISNUMBER(Sync!$J216),IF(AND(Sync!$J216&gt;=10000101,Sync!$J216&lt;=99991231),INT(Sync!$J216/10000)&amp;"/"&amp;RIGHT("00"&amp;INT(MOD(Sync!$J216,10000)/100),2)&amp;"/"&amp;RIGHT("00"&amp;MOD(Sync!$J216,100),2),"نامعتبر"),IF(LEN(Sync!$J216)=10,Sync!$J216,"نامعتبر")))</f>
        <v/>
      </c>
      <c r="R216">
        <f>IF($P216="","",COUNTIFS($N$6:$N$2005,$N216,$P$6:$P$2005,"&lt;"&amp;$P216)+COUNTIFS($A$6:$A$1005,$N216,$B$6:$B$1005,"&lt;"&amp;$P216)+1)</f>
        <v/>
      </c>
      <c r="S216">
        <f>IF($N216="","",$N216&amp;"|"&amp;RIGHT("000000"&amp;$R216,6))</f>
        <v/>
      </c>
      <c r="T216">
        <f>IF($N216="","",IF(Sync!$N216="",0,Sync!$N216))</f>
        <v/>
      </c>
      <c r="U216">
        <f>IF($N216="","",IF(Sync!$O216="",0,Sync!$O216))</f>
        <v/>
      </c>
      <c r="V216">
        <f>IF($N216="","",Sync!$L216)</f>
        <v/>
      </c>
      <c r="W216">
        <f>IF($N216="","",Sync!$P216)</f>
        <v/>
      </c>
      <c r="AA216">
        <f>IF($A216="","",IF(COUNTIF($A$6:$A216,$A216)=1,1,0))</f>
        <v/>
      </c>
      <c r="AB216">
        <f>SUM($AA$6:$AA216)</f>
        <v/>
      </c>
      <c r="AC216">
        <f>IFERROR(INDEX($A$6:$A$1005,MATCH(ROW()-5,$AB$6:$AB$1005,0)),"")</f>
        <v/>
      </c>
    </row>
    <row r="217">
      <c r="A217">
        <f>IF(OR(Entry!$B220="",Entry!$E220="",$E217="نامعتبر"),"",Entry!$E220)</f>
        <v/>
      </c>
      <c r="B217">
        <f>IF($A217="","",LEFT($E217,4)&amp;MID($E217,6,2)&amp;RIGHT($E217,2)&amp;$F217&amp;"|"&amp;"1"&amp;RIGHT("00000"&amp;212,5))</f>
        <v/>
      </c>
      <c r="C217">
        <f>IF($B217="","",COUNTIFS($A$6:$A$1005,$A217,$B$6:$B$1005,"&lt;"&amp;$B217)+COUNTIFS($N$6:$N$2005,$A217,$P$6:$P$2005,"&lt;"&amp;$B217)+1)</f>
        <v/>
      </c>
      <c r="D217">
        <f>IF($C217="","",$A217&amp;"|"&amp;RIGHT("000000"&amp;$C217,6))</f>
        <v/>
      </c>
      <c r="E217">
        <f>IF(Entry!$B220="","",IF(ISNUMBER(Entry!$B220),IF(AND(Entry!$B220&gt;=10000101,Entry!$B220&lt;=99991231),INT(Entry!$B220/10000)&amp;"/"&amp;RIGHT("00"&amp;INT(MOD(Entry!$B220,10000)/100),2)&amp;"/"&amp;RIGHT("00"&amp;MOD(Entry!$B220,100),2),"نامعتبر"),IF(LEN(Entry!$B220)=10,Entry!$B220,"نامعتبر")))</f>
        <v/>
      </c>
      <c r="F217">
        <f>IF(Entry!$B220="","",IF(Entry!$C220="","0000",IF(AND(ISNUMBER(Entry!$C220),Entry!$C220&gt;=0,Entry!$C220&lt;1),RIGHT("00"&amp;HOUR(Entry!$C220),2)&amp;RIGHT("00"&amp;MINUTE(Entry!$C220),2),IFERROR(RIGHT("00"&amp;VALUE(LEFT(Entry!$C220,FIND(":",Entry!$C220)-1)),2)&amp;RIGHT("00"&amp;VALUE(MID(Entry!$C220,FIND(":",Entry!$C220)+1,2)),2),"0000"))))</f>
        <v/>
      </c>
      <c r="G217">
        <f>IF($A217="","",Entry!$G220)</f>
        <v/>
      </c>
      <c r="H217">
        <f>IF($A217="","",IF(Entry!$H220="",0,Entry!$H220))</f>
        <v/>
      </c>
      <c r="I217">
        <f>IF($A217="","",IF(Entry!$I220="",0,Entry!$I220))</f>
        <v/>
      </c>
      <c r="J217">
        <f>IF($A217="","",ROUND($H217*$I217,0))</f>
        <v/>
      </c>
      <c r="K217">
        <f>IF($A217="","",Entry!$D220)</f>
        <v/>
      </c>
      <c r="L217">
        <f>IF($A217="","",Entry!$L220)</f>
        <v/>
      </c>
      <c r="N217">
        <f>IF(OR(Sync!$M217="",$Q217="",$Q217="نامعتبر"),"",Sync!$M217)</f>
        <v/>
      </c>
      <c r="O217">
        <f>IF($N217="","",$Q217)</f>
        <v/>
      </c>
      <c r="P217">
        <f>IF($N217="","",LEFT($Q217,4)&amp;MID($Q217,6,2)&amp;RIGHT($Q217,2)&amp;IF(Sync!$K217="","0000",IF(AND(ISNUMBER(Sync!$K217),Sync!$K217&gt;=0,Sync!$K217&lt;1),RIGHT("00"&amp;HOUR(Sync!$K217),2)&amp;RIGHT("00"&amp;MINUTE(Sync!$K217),2),IFERROR(RIGHT("00"&amp;VALUE(LEFT(Sync!$K217,FIND(":",Sync!$K217)-1)),2)&amp;RIGHT("00"&amp;VALUE(MID(Sync!$K217,FIND(":",Sync!$K217)+1,2)),2),"0000")))&amp;"|"&amp;"2"&amp;RIGHT("00000"&amp;212,5))</f>
        <v/>
      </c>
      <c r="Q217">
        <f>IF(Sync!$J217="","",IF(ISNUMBER(Sync!$J217),IF(AND(Sync!$J217&gt;=10000101,Sync!$J217&lt;=99991231),INT(Sync!$J217/10000)&amp;"/"&amp;RIGHT("00"&amp;INT(MOD(Sync!$J217,10000)/100),2)&amp;"/"&amp;RIGHT("00"&amp;MOD(Sync!$J217,100),2),"نامعتبر"),IF(LEN(Sync!$J217)=10,Sync!$J217,"نامعتبر")))</f>
        <v/>
      </c>
      <c r="R217">
        <f>IF($P217="","",COUNTIFS($N$6:$N$2005,$N217,$P$6:$P$2005,"&lt;"&amp;$P217)+COUNTIFS($A$6:$A$1005,$N217,$B$6:$B$1005,"&lt;"&amp;$P217)+1)</f>
        <v/>
      </c>
      <c r="S217">
        <f>IF($N217="","",$N217&amp;"|"&amp;RIGHT("000000"&amp;$R217,6))</f>
        <v/>
      </c>
      <c r="T217">
        <f>IF($N217="","",IF(Sync!$N217="",0,Sync!$N217))</f>
        <v/>
      </c>
      <c r="U217">
        <f>IF($N217="","",IF(Sync!$O217="",0,Sync!$O217))</f>
        <v/>
      </c>
      <c r="V217">
        <f>IF($N217="","",Sync!$L217)</f>
        <v/>
      </c>
      <c r="W217">
        <f>IF($N217="","",Sync!$P217)</f>
        <v/>
      </c>
      <c r="AA217">
        <f>IF($A217="","",IF(COUNTIF($A$6:$A217,$A217)=1,1,0))</f>
        <v/>
      </c>
      <c r="AB217">
        <f>SUM($AA$6:$AA217)</f>
        <v/>
      </c>
      <c r="AC217">
        <f>IFERROR(INDEX($A$6:$A$1005,MATCH(ROW()-5,$AB$6:$AB$1005,0)),"")</f>
        <v/>
      </c>
    </row>
    <row r="218">
      <c r="A218">
        <f>IF(OR(Entry!$B221="",Entry!$E221="",$E218="نامعتبر"),"",Entry!$E221)</f>
        <v/>
      </c>
      <c r="B218">
        <f>IF($A218="","",LEFT($E218,4)&amp;MID($E218,6,2)&amp;RIGHT($E218,2)&amp;$F218&amp;"|"&amp;"1"&amp;RIGHT("00000"&amp;213,5))</f>
        <v/>
      </c>
      <c r="C218">
        <f>IF($B218="","",COUNTIFS($A$6:$A$1005,$A218,$B$6:$B$1005,"&lt;"&amp;$B218)+COUNTIFS($N$6:$N$2005,$A218,$P$6:$P$2005,"&lt;"&amp;$B218)+1)</f>
        <v/>
      </c>
      <c r="D218">
        <f>IF($C218="","",$A218&amp;"|"&amp;RIGHT("000000"&amp;$C218,6))</f>
        <v/>
      </c>
      <c r="E218">
        <f>IF(Entry!$B221="","",IF(ISNUMBER(Entry!$B221),IF(AND(Entry!$B221&gt;=10000101,Entry!$B221&lt;=99991231),INT(Entry!$B221/10000)&amp;"/"&amp;RIGHT("00"&amp;INT(MOD(Entry!$B221,10000)/100),2)&amp;"/"&amp;RIGHT("00"&amp;MOD(Entry!$B221,100),2),"نامعتبر"),IF(LEN(Entry!$B221)=10,Entry!$B221,"نامعتبر")))</f>
        <v/>
      </c>
      <c r="F218">
        <f>IF(Entry!$B221="","",IF(Entry!$C221="","0000",IF(AND(ISNUMBER(Entry!$C221),Entry!$C221&gt;=0,Entry!$C221&lt;1),RIGHT("00"&amp;HOUR(Entry!$C221),2)&amp;RIGHT("00"&amp;MINUTE(Entry!$C221),2),IFERROR(RIGHT("00"&amp;VALUE(LEFT(Entry!$C221,FIND(":",Entry!$C221)-1)),2)&amp;RIGHT("00"&amp;VALUE(MID(Entry!$C221,FIND(":",Entry!$C221)+1,2)),2),"0000"))))</f>
        <v/>
      </c>
      <c r="G218">
        <f>IF($A218="","",Entry!$G221)</f>
        <v/>
      </c>
      <c r="H218">
        <f>IF($A218="","",IF(Entry!$H221="",0,Entry!$H221))</f>
        <v/>
      </c>
      <c r="I218">
        <f>IF($A218="","",IF(Entry!$I221="",0,Entry!$I221))</f>
        <v/>
      </c>
      <c r="J218">
        <f>IF($A218="","",ROUND($H218*$I218,0))</f>
        <v/>
      </c>
      <c r="K218">
        <f>IF($A218="","",Entry!$D221)</f>
        <v/>
      </c>
      <c r="L218">
        <f>IF($A218="","",Entry!$L221)</f>
        <v/>
      </c>
      <c r="N218">
        <f>IF(OR(Sync!$M218="",$Q218="",$Q218="نامعتبر"),"",Sync!$M218)</f>
        <v/>
      </c>
      <c r="O218">
        <f>IF($N218="","",$Q218)</f>
        <v/>
      </c>
      <c r="P218">
        <f>IF($N218="","",LEFT($Q218,4)&amp;MID($Q218,6,2)&amp;RIGHT($Q218,2)&amp;IF(Sync!$K218="","0000",IF(AND(ISNUMBER(Sync!$K218),Sync!$K218&gt;=0,Sync!$K218&lt;1),RIGHT("00"&amp;HOUR(Sync!$K218),2)&amp;RIGHT("00"&amp;MINUTE(Sync!$K218),2),IFERROR(RIGHT("00"&amp;VALUE(LEFT(Sync!$K218,FIND(":",Sync!$K218)-1)),2)&amp;RIGHT("00"&amp;VALUE(MID(Sync!$K218,FIND(":",Sync!$K218)+1,2)),2),"0000")))&amp;"|"&amp;"2"&amp;RIGHT("00000"&amp;213,5))</f>
        <v/>
      </c>
      <c r="Q218">
        <f>IF(Sync!$J218="","",IF(ISNUMBER(Sync!$J218),IF(AND(Sync!$J218&gt;=10000101,Sync!$J218&lt;=99991231),INT(Sync!$J218/10000)&amp;"/"&amp;RIGHT("00"&amp;INT(MOD(Sync!$J218,10000)/100),2)&amp;"/"&amp;RIGHT("00"&amp;MOD(Sync!$J218,100),2),"نامعتبر"),IF(LEN(Sync!$J218)=10,Sync!$J218,"نامعتبر")))</f>
        <v/>
      </c>
      <c r="R218">
        <f>IF($P218="","",COUNTIFS($N$6:$N$2005,$N218,$P$6:$P$2005,"&lt;"&amp;$P218)+COUNTIFS($A$6:$A$1005,$N218,$B$6:$B$1005,"&lt;"&amp;$P218)+1)</f>
        <v/>
      </c>
      <c r="S218">
        <f>IF($N218="","",$N218&amp;"|"&amp;RIGHT("000000"&amp;$R218,6))</f>
        <v/>
      </c>
      <c r="T218">
        <f>IF($N218="","",IF(Sync!$N218="",0,Sync!$N218))</f>
        <v/>
      </c>
      <c r="U218">
        <f>IF($N218="","",IF(Sync!$O218="",0,Sync!$O218))</f>
        <v/>
      </c>
      <c r="V218">
        <f>IF($N218="","",Sync!$L218)</f>
        <v/>
      </c>
      <c r="W218">
        <f>IF($N218="","",Sync!$P218)</f>
        <v/>
      </c>
      <c r="AA218">
        <f>IF($A218="","",IF(COUNTIF($A$6:$A218,$A218)=1,1,0))</f>
        <v/>
      </c>
      <c r="AB218">
        <f>SUM($AA$6:$AA218)</f>
        <v/>
      </c>
      <c r="AC218">
        <f>IFERROR(INDEX($A$6:$A$1005,MATCH(ROW()-5,$AB$6:$AB$1005,0)),"")</f>
        <v/>
      </c>
    </row>
    <row r="219">
      <c r="A219">
        <f>IF(OR(Entry!$B222="",Entry!$E222="",$E219="نامعتبر"),"",Entry!$E222)</f>
        <v/>
      </c>
      <c r="B219">
        <f>IF($A219="","",LEFT($E219,4)&amp;MID($E219,6,2)&amp;RIGHT($E219,2)&amp;$F219&amp;"|"&amp;"1"&amp;RIGHT("00000"&amp;214,5))</f>
        <v/>
      </c>
      <c r="C219">
        <f>IF($B219="","",COUNTIFS($A$6:$A$1005,$A219,$B$6:$B$1005,"&lt;"&amp;$B219)+COUNTIFS($N$6:$N$2005,$A219,$P$6:$P$2005,"&lt;"&amp;$B219)+1)</f>
        <v/>
      </c>
      <c r="D219">
        <f>IF($C219="","",$A219&amp;"|"&amp;RIGHT("000000"&amp;$C219,6))</f>
        <v/>
      </c>
      <c r="E219">
        <f>IF(Entry!$B222="","",IF(ISNUMBER(Entry!$B222),IF(AND(Entry!$B222&gt;=10000101,Entry!$B222&lt;=99991231),INT(Entry!$B222/10000)&amp;"/"&amp;RIGHT("00"&amp;INT(MOD(Entry!$B222,10000)/100),2)&amp;"/"&amp;RIGHT("00"&amp;MOD(Entry!$B222,100),2),"نامعتبر"),IF(LEN(Entry!$B222)=10,Entry!$B222,"نامعتبر")))</f>
        <v/>
      </c>
      <c r="F219">
        <f>IF(Entry!$B222="","",IF(Entry!$C222="","0000",IF(AND(ISNUMBER(Entry!$C222),Entry!$C222&gt;=0,Entry!$C222&lt;1),RIGHT("00"&amp;HOUR(Entry!$C222),2)&amp;RIGHT("00"&amp;MINUTE(Entry!$C222),2),IFERROR(RIGHT("00"&amp;VALUE(LEFT(Entry!$C222,FIND(":",Entry!$C222)-1)),2)&amp;RIGHT("00"&amp;VALUE(MID(Entry!$C222,FIND(":",Entry!$C222)+1,2)),2),"0000"))))</f>
        <v/>
      </c>
      <c r="G219">
        <f>IF($A219="","",Entry!$G222)</f>
        <v/>
      </c>
      <c r="H219">
        <f>IF($A219="","",IF(Entry!$H222="",0,Entry!$H222))</f>
        <v/>
      </c>
      <c r="I219">
        <f>IF($A219="","",IF(Entry!$I222="",0,Entry!$I222))</f>
        <v/>
      </c>
      <c r="J219">
        <f>IF($A219="","",ROUND($H219*$I219,0))</f>
        <v/>
      </c>
      <c r="K219">
        <f>IF($A219="","",Entry!$D222)</f>
        <v/>
      </c>
      <c r="L219">
        <f>IF($A219="","",Entry!$L222)</f>
        <v/>
      </c>
      <c r="N219">
        <f>IF(OR(Sync!$M219="",$Q219="",$Q219="نامعتبر"),"",Sync!$M219)</f>
        <v/>
      </c>
      <c r="O219">
        <f>IF($N219="","",$Q219)</f>
        <v/>
      </c>
      <c r="P219">
        <f>IF($N219="","",LEFT($Q219,4)&amp;MID($Q219,6,2)&amp;RIGHT($Q219,2)&amp;IF(Sync!$K219="","0000",IF(AND(ISNUMBER(Sync!$K219),Sync!$K219&gt;=0,Sync!$K219&lt;1),RIGHT("00"&amp;HOUR(Sync!$K219),2)&amp;RIGHT("00"&amp;MINUTE(Sync!$K219),2),IFERROR(RIGHT("00"&amp;VALUE(LEFT(Sync!$K219,FIND(":",Sync!$K219)-1)),2)&amp;RIGHT("00"&amp;VALUE(MID(Sync!$K219,FIND(":",Sync!$K219)+1,2)),2),"0000")))&amp;"|"&amp;"2"&amp;RIGHT("00000"&amp;214,5))</f>
        <v/>
      </c>
      <c r="Q219">
        <f>IF(Sync!$J219="","",IF(ISNUMBER(Sync!$J219),IF(AND(Sync!$J219&gt;=10000101,Sync!$J219&lt;=99991231),INT(Sync!$J219/10000)&amp;"/"&amp;RIGHT("00"&amp;INT(MOD(Sync!$J219,10000)/100),2)&amp;"/"&amp;RIGHT("00"&amp;MOD(Sync!$J219,100),2),"نامعتبر"),IF(LEN(Sync!$J219)=10,Sync!$J219,"نامعتبر")))</f>
        <v/>
      </c>
      <c r="R219">
        <f>IF($P219="","",COUNTIFS($N$6:$N$2005,$N219,$P$6:$P$2005,"&lt;"&amp;$P219)+COUNTIFS($A$6:$A$1005,$N219,$B$6:$B$1005,"&lt;"&amp;$P219)+1)</f>
        <v/>
      </c>
      <c r="S219">
        <f>IF($N219="","",$N219&amp;"|"&amp;RIGHT("000000"&amp;$R219,6))</f>
        <v/>
      </c>
      <c r="T219">
        <f>IF($N219="","",IF(Sync!$N219="",0,Sync!$N219))</f>
        <v/>
      </c>
      <c r="U219">
        <f>IF($N219="","",IF(Sync!$O219="",0,Sync!$O219))</f>
        <v/>
      </c>
      <c r="V219">
        <f>IF($N219="","",Sync!$L219)</f>
        <v/>
      </c>
      <c r="W219">
        <f>IF($N219="","",Sync!$P219)</f>
        <v/>
      </c>
      <c r="AA219">
        <f>IF($A219="","",IF(COUNTIF($A$6:$A219,$A219)=1,1,0))</f>
        <v/>
      </c>
      <c r="AB219">
        <f>SUM($AA$6:$AA219)</f>
        <v/>
      </c>
      <c r="AC219">
        <f>IFERROR(INDEX($A$6:$A$1005,MATCH(ROW()-5,$AB$6:$AB$1005,0)),"")</f>
        <v/>
      </c>
    </row>
    <row r="220">
      <c r="A220">
        <f>IF(OR(Entry!$B223="",Entry!$E223="",$E220="نامعتبر"),"",Entry!$E223)</f>
        <v/>
      </c>
      <c r="B220">
        <f>IF($A220="","",LEFT($E220,4)&amp;MID($E220,6,2)&amp;RIGHT($E220,2)&amp;$F220&amp;"|"&amp;"1"&amp;RIGHT("00000"&amp;215,5))</f>
        <v/>
      </c>
      <c r="C220">
        <f>IF($B220="","",COUNTIFS($A$6:$A$1005,$A220,$B$6:$B$1005,"&lt;"&amp;$B220)+COUNTIFS($N$6:$N$2005,$A220,$P$6:$P$2005,"&lt;"&amp;$B220)+1)</f>
        <v/>
      </c>
      <c r="D220">
        <f>IF($C220="","",$A220&amp;"|"&amp;RIGHT("000000"&amp;$C220,6))</f>
        <v/>
      </c>
      <c r="E220">
        <f>IF(Entry!$B223="","",IF(ISNUMBER(Entry!$B223),IF(AND(Entry!$B223&gt;=10000101,Entry!$B223&lt;=99991231),INT(Entry!$B223/10000)&amp;"/"&amp;RIGHT("00"&amp;INT(MOD(Entry!$B223,10000)/100),2)&amp;"/"&amp;RIGHT("00"&amp;MOD(Entry!$B223,100),2),"نامعتبر"),IF(LEN(Entry!$B223)=10,Entry!$B223,"نامعتبر")))</f>
        <v/>
      </c>
      <c r="F220">
        <f>IF(Entry!$B223="","",IF(Entry!$C223="","0000",IF(AND(ISNUMBER(Entry!$C223),Entry!$C223&gt;=0,Entry!$C223&lt;1),RIGHT("00"&amp;HOUR(Entry!$C223),2)&amp;RIGHT("00"&amp;MINUTE(Entry!$C223),2),IFERROR(RIGHT("00"&amp;VALUE(LEFT(Entry!$C223,FIND(":",Entry!$C223)-1)),2)&amp;RIGHT("00"&amp;VALUE(MID(Entry!$C223,FIND(":",Entry!$C223)+1,2)),2),"0000"))))</f>
        <v/>
      </c>
      <c r="G220">
        <f>IF($A220="","",Entry!$G223)</f>
        <v/>
      </c>
      <c r="H220">
        <f>IF($A220="","",IF(Entry!$H223="",0,Entry!$H223))</f>
        <v/>
      </c>
      <c r="I220">
        <f>IF($A220="","",IF(Entry!$I223="",0,Entry!$I223))</f>
        <v/>
      </c>
      <c r="J220">
        <f>IF($A220="","",ROUND($H220*$I220,0))</f>
        <v/>
      </c>
      <c r="K220">
        <f>IF($A220="","",Entry!$D223)</f>
        <v/>
      </c>
      <c r="L220">
        <f>IF($A220="","",Entry!$L223)</f>
        <v/>
      </c>
      <c r="N220">
        <f>IF(OR(Sync!$M220="",$Q220="",$Q220="نامعتبر"),"",Sync!$M220)</f>
        <v/>
      </c>
      <c r="O220">
        <f>IF($N220="","",$Q220)</f>
        <v/>
      </c>
      <c r="P220">
        <f>IF($N220="","",LEFT($Q220,4)&amp;MID($Q220,6,2)&amp;RIGHT($Q220,2)&amp;IF(Sync!$K220="","0000",IF(AND(ISNUMBER(Sync!$K220),Sync!$K220&gt;=0,Sync!$K220&lt;1),RIGHT("00"&amp;HOUR(Sync!$K220),2)&amp;RIGHT("00"&amp;MINUTE(Sync!$K220),2),IFERROR(RIGHT("00"&amp;VALUE(LEFT(Sync!$K220,FIND(":",Sync!$K220)-1)),2)&amp;RIGHT("00"&amp;VALUE(MID(Sync!$K220,FIND(":",Sync!$K220)+1,2)),2),"0000")))&amp;"|"&amp;"2"&amp;RIGHT("00000"&amp;215,5))</f>
        <v/>
      </c>
      <c r="Q220">
        <f>IF(Sync!$J220="","",IF(ISNUMBER(Sync!$J220),IF(AND(Sync!$J220&gt;=10000101,Sync!$J220&lt;=99991231),INT(Sync!$J220/10000)&amp;"/"&amp;RIGHT("00"&amp;INT(MOD(Sync!$J220,10000)/100),2)&amp;"/"&amp;RIGHT("00"&amp;MOD(Sync!$J220,100),2),"نامعتبر"),IF(LEN(Sync!$J220)=10,Sync!$J220,"نامعتبر")))</f>
        <v/>
      </c>
      <c r="R220">
        <f>IF($P220="","",COUNTIFS($N$6:$N$2005,$N220,$P$6:$P$2005,"&lt;"&amp;$P220)+COUNTIFS($A$6:$A$1005,$N220,$B$6:$B$1005,"&lt;"&amp;$P220)+1)</f>
        <v/>
      </c>
      <c r="S220">
        <f>IF($N220="","",$N220&amp;"|"&amp;RIGHT("000000"&amp;$R220,6))</f>
        <v/>
      </c>
      <c r="T220">
        <f>IF($N220="","",IF(Sync!$N220="",0,Sync!$N220))</f>
        <v/>
      </c>
      <c r="U220">
        <f>IF($N220="","",IF(Sync!$O220="",0,Sync!$O220))</f>
        <v/>
      </c>
      <c r="V220">
        <f>IF($N220="","",Sync!$L220)</f>
        <v/>
      </c>
      <c r="W220">
        <f>IF($N220="","",Sync!$P220)</f>
        <v/>
      </c>
      <c r="AA220">
        <f>IF($A220="","",IF(COUNTIF($A$6:$A220,$A220)=1,1,0))</f>
        <v/>
      </c>
      <c r="AB220">
        <f>SUM($AA$6:$AA220)</f>
        <v/>
      </c>
      <c r="AC220">
        <f>IFERROR(INDEX($A$6:$A$1005,MATCH(ROW()-5,$AB$6:$AB$1005,0)),"")</f>
        <v/>
      </c>
    </row>
    <row r="221">
      <c r="A221">
        <f>IF(OR(Entry!$B224="",Entry!$E224="",$E221="نامعتبر"),"",Entry!$E224)</f>
        <v/>
      </c>
      <c r="B221">
        <f>IF($A221="","",LEFT($E221,4)&amp;MID($E221,6,2)&amp;RIGHT($E221,2)&amp;$F221&amp;"|"&amp;"1"&amp;RIGHT("00000"&amp;216,5))</f>
        <v/>
      </c>
      <c r="C221">
        <f>IF($B221="","",COUNTIFS($A$6:$A$1005,$A221,$B$6:$B$1005,"&lt;"&amp;$B221)+COUNTIFS($N$6:$N$2005,$A221,$P$6:$P$2005,"&lt;"&amp;$B221)+1)</f>
        <v/>
      </c>
      <c r="D221">
        <f>IF($C221="","",$A221&amp;"|"&amp;RIGHT("000000"&amp;$C221,6))</f>
        <v/>
      </c>
      <c r="E221">
        <f>IF(Entry!$B224="","",IF(ISNUMBER(Entry!$B224),IF(AND(Entry!$B224&gt;=10000101,Entry!$B224&lt;=99991231),INT(Entry!$B224/10000)&amp;"/"&amp;RIGHT("00"&amp;INT(MOD(Entry!$B224,10000)/100),2)&amp;"/"&amp;RIGHT("00"&amp;MOD(Entry!$B224,100),2),"نامعتبر"),IF(LEN(Entry!$B224)=10,Entry!$B224,"نامعتبر")))</f>
        <v/>
      </c>
      <c r="F221">
        <f>IF(Entry!$B224="","",IF(Entry!$C224="","0000",IF(AND(ISNUMBER(Entry!$C224),Entry!$C224&gt;=0,Entry!$C224&lt;1),RIGHT("00"&amp;HOUR(Entry!$C224),2)&amp;RIGHT("00"&amp;MINUTE(Entry!$C224),2),IFERROR(RIGHT("00"&amp;VALUE(LEFT(Entry!$C224,FIND(":",Entry!$C224)-1)),2)&amp;RIGHT("00"&amp;VALUE(MID(Entry!$C224,FIND(":",Entry!$C224)+1,2)),2),"0000"))))</f>
        <v/>
      </c>
      <c r="G221">
        <f>IF($A221="","",Entry!$G224)</f>
        <v/>
      </c>
      <c r="H221">
        <f>IF($A221="","",IF(Entry!$H224="",0,Entry!$H224))</f>
        <v/>
      </c>
      <c r="I221">
        <f>IF($A221="","",IF(Entry!$I224="",0,Entry!$I224))</f>
        <v/>
      </c>
      <c r="J221">
        <f>IF($A221="","",ROUND($H221*$I221,0))</f>
        <v/>
      </c>
      <c r="K221">
        <f>IF($A221="","",Entry!$D224)</f>
        <v/>
      </c>
      <c r="L221">
        <f>IF($A221="","",Entry!$L224)</f>
        <v/>
      </c>
      <c r="N221">
        <f>IF(OR(Sync!$M221="",$Q221="",$Q221="نامعتبر"),"",Sync!$M221)</f>
        <v/>
      </c>
      <c r="O221">
        <f>IF($N221="","",$Q221)</f>
        <v/>
      </c>
      <c r="P221">
        <f>IF($N221="","",LEFT($Q221,4)&amp;MID($Q221,6,2)&amp;RIGHT($Q221,2)&amp;IF(Sync!$K221="","0000",IF(AND(ISNUMBER(Sync!$K221),Sync!$K221&gt;=0,Sync!$K221&lt;1),RIGHT("00"&amp;HOUR(Sync!$K221),2)&amp;RIGHT("00"&amp;MINUTE(Sync!$K221),2),IFERROR(RIGHT("00"&amp;VALUE(LEFT(Sync!$K221,FIND(":",Sync!$K221)-1)),2)&amp;RIGHT("00"&amp;VALUE(MID(Sync!$K221,FIND(":",Sync!$K221)+1,2)),2),"0000")))&amp;"|"&amp;"2"&amp;RIGHT("00000"&amp;216,5))</f>
        <v/>
      </c>
      <c r="Q221">
        <f>IF(Sync!$J221="","",IF(ISNUMBER(Sync!$J221),IF(AND(Sync!$J221&gt;=10000101,Sync!$J221&lt;=99991231),INT(Sync!$J221/10000)&amp;"/"&amp;RIGHT("00"&amp;INT(MOD(Sync!$J221,10000)/100),2)&amp;"/"&amp;RIGHT("00"&amp;MOD(Sync!$J221,100),2),"نامعتبر"),IF(LEN(Sync!$J221)=10,Sync!$J221,"نامعتبر")))</f>
        <v/>
      </c>
      <c r="R221">
        <f>IF($P221="","",COUNTIFS($N$6:$N$2005,$N221,$P$6:$P$2005,"&lt;"&amp;$P221)+COUNTIFS($A$6:$A$1005,$N221,$B$6:$B$1005,"&lt;"&amp;$P221)+1)</f>
        <v/>
      </c>
      <c r="S221">
        <f>IF($N221="","",$N221&amp;"|"&amp;RIGHT("000000"&amp;$R221,6))</f>
        <v/>
      </c>
      <c r="T221">
        <f>IF($N221="","",IF(Sync!$N221="",0,Sync!$N221))</f>
        <v/>
      </c>
      <c r="U221">
        <f>IF($N221="","",IF(Sync!$O221="",0,Sync!$O221))</f>
        <v/>
      </c>
      <c r="V221">
        <f>IF($N221="","",Sync!$L221)</f>
        <v/>
      </c>
      <c r="W221">
        <f>IF($N221="","",Sync!$P221)</f>
        <v/>
      </c>
      <c r="AA221">
        <f>IF($A221="","",IF(COUNTIF($A$6:$A221,$A221)=1,1,0))</f>
        <v/>
      </c>
      <c r="AB221">
        <f>SUM($AA$6:$AA221)</f>
        <v/>
      </c>
      <c r="AC221">
        <f>IFERROR(INDEX($A$6:$A$1005,MATCH(ROW()-5,$AB$6:$AB$1005,0)),"")</f>
        <v/>
      </c>
    </row>
    <row r="222">
      <c r="A222">
        <f>IF(OR(Entry!$B225="",Entry!$E225="",$E222="نامعتبر"),"",Entry!$E225)</f>
        <v/>
      </c>
      <c r="B222">
        <f>IF($A222="","",LEFT($E222,4)&amp;MID($E222,6,2)&amp;RIGHT($E222,2)&amp;$F222&amp;"|"&amp;"1"&amp;RIGHT("00000"&amp;217,5))</f>
        <v/>
      </c>
      <c r="C222">
        <f>IF($B222="","",COUNTIFS($A$6:$A$1005,$A222,$B$6:$B$1005,"&lt;"&amp;$B222)+COUNTIFS($N$6:$N$2005,$A222,$P$6:$P$2005,"&lt;"&amp;$B222)+1)</f>
        <v/>
      </c>
      <c r="D222">
        <f>IF($C222="","",$A222&amp;"|"&amp;RIGHT("000000"&amp;$C222,6))</f>
        <v/>
      </c>
      <c r="E222">
        <f>IF(Entry!$B225="","",IF(ISNUMBER(Entry!$B225),IF(AND(Entry!$B225&gt;=10000101,Entry!$B225&lt;=99991231),INT(Entry!$B225/10000)&amp;"/"&amp;RIGHT("00"&amp;INT(MOD(Entry!$B225,10000)/100),2)&amp;"/"&amp;RIGHT("00"&amp;MOD(Entry!$B225,100),2),"نامعتبر"),IF(LEN(Entry!$B225)=10,Entry!$B225,"نامعتبر")))</f>
        <v/>
      </c>
      <c r="F222">
        <f>IF(Entry!$B225="","",IF(Entry!$C225="","0000",IF(AND(ISNUMBER(Entry!$C225),Entry!$C225&gt;=0,Entry!$C225&lt;1),RIGHT("00"&amp;HOUR(Entry!$C225),2)&amp;RIGHT("00"&amp;MINUTE(Entry!$C225),2),IFERROR(RIGHT("00"&amp;VALUE(LEFT(Entry!$C225,FIND(":",Entry!$C225)-1)),2)&amp;RIGHT("00"&amp;VALUE(MID(Entry!$C225,FIND(":",Entry!$C225)+1,2)),2),"0000"))))</f>
        <v/>
      </c>
      <c r="G222">
        <f>IF($A222="","",Entry!$G225)</f>
        <v/>
      </c>
      <c r="H222">
        <f>IF($A222="","",IF(Entry!$H225="",0,Entry!$H225))</f>
        <v/>
      </c>
      <c r="I222">
        <f>IF($A222="","",IF(Entry!$I225="",0,Entry!$I225))</f>
        <v/>
      </c>
      <c r="J222">
        <f>IF($A222="","",ROUND($H222*$I222,0))</f>
        <v/>
      </c>
      <c r="K222">
        <f>IF($A222="","",Entry!$D225)</f>
        <v/>
      </c>
      <c r="L222">
        <f>IF($A222="","",Entry!$L225)</f>
        <v/>
      </c>
      <c r="N222">
        <f>IF(OR(Sync!$M222="",$Q222="",$Q222="نامعتبر"),"",Sync!$M222)</f>
        <v/>
      </c>
      <c r="O222">
        <f>IF($N222="","",$Q222)</f>
        <v/>
      </c>
      <c r="P222">
        <f>IF($N222="","",LEFT($Q222,4)&amp;MID($Q222,6,2)&amp;RIGHT($Q222,2)&amp;IF(Sync!$K222="","0000",IF(AND(ISNUMBER(Sync!$K222),Sync!$K222&gt;=0,Sync!$K222&lt;1),RIGHT("00"&amp;HOUR(Sync!$K222),2)&amp;RIGHT("00"&amp;MINUTE(Sync!$K222),2),IFERROR(RIGHT("00"&amp;VALUE(LEFT(Sync!$K222,FIND(":",Sync!$K222)-1)),2)&amp;RIGHT("00"&amp;VALUE(MID(Sync!$K222,FIND(":",Sync!$K222)+1,2)),2),"0000")))&amp;"|"&amp;"2"&amp;RIGHT("00000"&amp;217,5))</f>
        <v/>
      </c>
      <c r="Q222">
        <f>IF(Sync!$J222="","",IF(ISNUMBER(Sync!$J222),IF(AND(Sync!$J222&gt;=10000101,Sync!$J222&lt;=99991231),INT(Sync!$J222/10000)&amp;"/"&amp;RIGHT("00"&amp;INT(MOD(Sync!$J222,10000)/100),2)&amp;"/"&amp;RIGHT("00"&amp;MOD(Sync!$J222,100),2),"نامعتبر"),IF(LEN(Sync!$J222)=10,Sync!$J222,"نامعتبر")))</f>
        <v/>
      </c>
      <c r="R222">
        <f>IF($P222="","",COUNTIFS($N$6:$N$2005,$N222,$P$6:$P$2005,"&lt;"&amp;$P222)+COUNTIFS($A$6:$A$1005,$N222,$B$6:$B$1005,"&lt;"&amp;$P222)+1)</f>
        <v/>
      </c>
      <c r="S222">
        <f>IF($N222="","",$N222&amp;"|"&amp;RIGHT("000000"&amp;$R222,6))</f>
        <v/>
      </c>
      <c r="T222">
        <f>IF($N222="","",IF(Sync!$N222="",0,Sync!$N222))</f>
        <v/>
      </c>
      <c r="U222">
        <f>IF($N222="","",IF(Sync!$O222="",0,Sync!$O222))</f>
        <v/>
      </c>
      <c r="V222">
        <f>IF($N222="","",Sync!$L222)</f>
        <v/>
      </c>
      <c r="W222">
        <f>IF($N222="","",Sync!$P222)</f>
        <v/>
      </c>
      <c r="AA222">
        <f>IF($A222="","",IF(COUNTIF($A$6:$A222,$A222)=1,1,0))</f>
        <v/>
      </c>
      <c r="AB222">
        <f>SUM($AA$6:$AA222)</f>
        <v/>
      </c>
      <c r="AC222">
        <f>IFERROR(INDEX($A$6:$A$1005,MATCH(ROW()-5,$AB$6:$AB$1005,0)),"")</f>
        <v/>
      </c>
    </row>
    <row r="223">
      <c r="A223">
        <f>IF(OR(Entry!$B226="",Entry!$E226="",$E223="نامعتبر"),"",Entry!$E226)</f>
        <v/>
      </c>
      <c r="B223">
        <f>IF($A223="","",LEFT($E223,4)&amp;MID($E223,6,2)&amp;RIGHT($E223,2)&amp;$F223&amp;"|"&amp;"1"&amp;RIGHT("00000"&amp;218,5))</f>
        <v/>
      </c>
      <c r="C223">
        <f>IF($B223="","",COUNTIFS($A$6:$A$1005,$A223,$B$6:$B$1005,"&lt;"&amp;$B223)+COUNTIFS($N$6:$N$2005,$A223,$P$6:$P$2005,"&lt;"&amp;$B223)+1)</f>
        <v/>
      </c>
      <c r="D223">
        <f>IF($C223="","",$A223&amp;"|"&amp;RIGHT("000000"&amp;$C223,6))</f>
        <v/>
      </c>
      <c r="E223">
        <f>IF(Entry!$B226="","",IF(ISNUMBER(Entry!$B226),IF(AND(Entry!$B226&gt;=10000101,Entry!$B226&lt;=99991231),INT(Entry!$B226/10000)&amp;"/"&amp;RIGHT("00"&amp;INT(MOD(Entry!$B226,10000)/100),2)&amp;"/"&amp;RIGHT("00"&amp;MOD(Entry!$B226,100),2),"نامعتبر"),IF(LEN(Entry!$B226)=10,Entry!$B226,"نامعتبر")))</f>
        <v/>
      </c>
      <c r="F223">
        <f>IF(Entry!$B226="","",IF(Entry!$C226="","0000",IF(AND(ISNUMBER(Entry!$C226),Entry!$C226&gt;=0,Entry!$C226&lt;1),RIGHT("00"&amp;HOUR(Entry!$C226),2)&amp;RIGHT("00"&amp;MINUTE(Entry!$C226),2),IFERROR(RIGHT("00"&amp;VALUE(LEFT(Entry!$C226,FIND(":",Entry!$C226)-1)),2)&amp;RIGHT("00"&amp;VALUE(MID(Entry!$C226,FIND(":",Entry!$C226)+1,2)),2),"0000"))))</f>
        <v/>
      </c>
      <c r="G223">
        <f>IF($A223="","",Entry!$G226)</f>
        <v/>
      </c>
      <c r="H223">
        <f>IF($A223="","",IF(Entry!$H226="",0,Entry!$H226))</f>
        <v/>
      </c>
      <c r="I223">
        <f>IF($A223="","",IF(Entry!$I226="",0,Entry!$I226))</f>
        <v/>
      </c>
      <c r="J223">
        <f>IF($A223="","",ROUND($H223*$I223,0))</f>
        <v/>
      </c>
      <c r="K223">
        <f>IF($A223="","",Entry!$D226)</f>
        <v/>
      </c>
      <c r="L223">
        <f>IF($A223="","",Entry!$L226)</f>
        <v/>
      </c>
      <c r="N223">
        <f>IF(OR(Sync!$M223="",$Q223="",$Q223="نامعتبر"),"",Sync!$M223)</f>
        <v/>
      </c>
      <c r="O223">
        <f>IF($N223="","",$Q223)</f>
        <v/>
      </c>
      <c r="P223">
        <f>IF($N223="","",LEFT($Q223,4)&amp;MID($Q223,6,2)&amp;RIGHT($Q223,2)&amp;IF(Sync!$K223="","0000",IF(AND(ISNUMBER(Sync!$K223),Sync!$K223&gt;=0,Sync!$K223&lt;1),RIGHT("00"&amp;HOUR(Sync!$K223),2)&amp;RIGHT("00"&amp;MINUTE(Sync!$K223),2),IFERROR(RIGHT("00"&amp;VALUE(LEFT(Sync!$K223,FIND(":",Sync!$K223)-1)),2)&amp;RIGHT("00"&amp;VALUE(MID(Sync!$K223,FIND(":",Sync!$K223)+1,2)),2),"0000")))&amp;"|"&amp;"2"&amp;RIGHT("00000"&amp;218,5))</f>
        <v/>
      </c>
      <c r="Q223">
        <f>IF(Sync!$J223="","",IF(ISNUMBER(Sync!$J223),IF(AND(Sync!$J223&gt;=10000101,Sync!$J223&lt;=99991231),INT(Sync!$J223/10000)&amp;"/"&amp;RIGHT("00"&amp;INT(MOD(Sync!$J223,10000)/100),2)&amp;"/"&amp;RIGHT("00"&amp;MOD(Sync!$J223,100),2),"نامعتبر"),IF(LEN(Sync!$J223)=10,Sync!$J223,"نامعتبر")))</f>
        <v/>
      </c>
      <c r="R223">
        <f>IF($P223="","",COUNTIFS($N$6:$N$2005,$N223,$P$6:$P$2005,"&lt;"&amp;$P223)+COUNTIFS($A$6:$A$1005,$N223,$B$6:$B$1005,"&lt;"&amp;$P223)+1)</f>
        <v/>
      </c>
      <c r="S223">
        <f>IF($N223="","",$N223&amp;"|"&amp;RIGHT("000000"&amp;$R223,6))</f>
        <v/>
      </c>
      <c r="T223">
        <f>IF($N223="","",IF(Sync!$N223="",0,Sync!$N223))</f>
        <v/>
      </c>
      <c r="U223">
        <f>IF($N223="","",IF(Sync!$O223="",0,Sync!$O223))</f>
        <v/>
      </c>
      <c r="V223">
        <f>IF($N223="","",Sync!$L223)</f>
        <v/>
      </c>
      <c r="W223">
        <f>IF($N223="","",Sync!$P223)</f>
        <v/>
      </c>
      <c r="AA223">
        <f>IF($A223="","",IF(COUNTIF($A$6:$A223,$A223)=1,1,0))</f>
        <v/>
      </c>
      <c r="AB223">
        <f>SUM($AA$6:$AA223)</f>
        <v/>
      </c>
      <c r="AC223">
        <f>IFERROR(INDEX($A$6:$A$1005,MATCH(ROW()-5,$AB$6:$AB$1005,0)),"")</f>
        <v/>
      </c>
    </row>
    <row r="224">
      <c r="A224">
        <f>IF(OR(Entry!$B227="",Entry!$E227="",$E224="نامعتبر"),"",Entry!$E227)</f>
        <v/>
      </c>
      <c r="B224">
        <f>IF($A224="","",LEFT($E224,4)&amp;MID($E224,6,2)&amp;RIGHT($E224,2)&amp;$F224&amp;"|"&amp;"1"&amp;RIGHT("00000"&amp;219,5))</f>
        <v/>
      </c>
      <c r="C224">
        <f>IF($B224="","",COUNTIFS($A$6:$A$1005,$A224,$B$6:$B$1005,"&lt;"&amp;$B224)+COUNTIFS($N$6:$N$2005,$A224,$P$6:$P$2005,"&lt;"&amp;$B224)+1)</f>
        <v/>
      </c>
      <c r="D224">
        <f>IF($C224="","",$A224&amp;"|"&amp;RIGHT("000000"&amp;$C224,6))</f>
        <v/>
      </c>
      <c r="E224">
        <f>IF(Entry!$B227="","",IF(ISNUMBER(Entry!$B227),IF(AND(Entry!$B227&gt;=10000101,Entry!$B227&lt;=99991231),INT(Entry!$B227/10000)&amp;"/"&amp;RIGHT("00"&amp;INT(MOD(Entry!$B227,10000)/100),2)&amp;"/"&amp;RIGHT("00"&amp;MOD(Entry!$B227,100),2),"نامعتبر"),IF(LEN(Entry!$B227)=10,Entry!$B227,"نامعتبر")))</f>
        <v/>
      </c>
      <c r="F224">
        <f>IF(Entry!$B227="","",IF(Entry!$C227="","0000",IF(AND(ISNUMBER(Entry!$C227),Entry!$C227&gt;=0,Entry!$C227&lt;1),RIGHT("00"&amp;HOUR(Entry!$C227),2)&amp;RIGHT("00"&amp;MINUTE(Entry!$C227),2),IFERROR(RIGHT("00"&amp;VALUE(LEFT(Entry!$C227,FIND(":",Entry!$C227)-1)),2)&amp;RIGHT("00"&amp;VALUE(MID(Entry!$C227,FIND(":",Entry!$C227)+1,2)),2),"0000"))))</f>
        <v/>
      </c>
      <c r="G224">
        <f>IF($A224="","",Entry!$G227)</f>
        <v/>
      </c>
      <c r="H224">
        <f>IF($A224="","",IF(Entry!$H227="",0,Entry!$H227))</f>
        <v/>
      </c>
      <c r="I224">
        <f>IF($A224="","",IF(Entry!$I227="",0,Entry!$I227))</f>
        <v/>
      </c>
      <c r="J224">
        <f>IF($A224="","",ROUND($H224*$I224,0))</f>
        <v/>
      </c>
      <c r="K224">
        <f>IF($A224="","",Entry!$D227)</f>
        <v/>
      </c>
      <c r="L224">
        <f>IF($A224="","",Entry!$L227)</f>
        <v/>
      </c>
      <c r="N224">
        <f>IF(OR(Sync!$M224="",$Q224="",$Q224="نامعتبر"),"",Sync!$M224)</f>
        <v/>
      </c>
      <c r="O224">
        <f>IF($N224="","",$Q224)</f>
        <v/>
      </c>
      <c r="P224">
        <f>IF($N224="","",LEFT($Q224,4)&amp;MID($Q224,6,2)&amp;RIGHT($Q224,2)&amp;IF(Sync!$K224="","0000",IF(AND(ISNUMBER(Sync!$K224),Sync!$K224&gt;=0,Sync!$K224&lt;1),RIGHT("00"&amp;HOUR(Sync!$K224),2)&amp;RIGHT("00"&amp;MINUTE(Sync!$K224),2),IFERROR(RIGHT("00"&amp;VALUE(LEFT(Sync!$K224,FIND(":",Sync!$K224)-1)),2)&amp;RIGHT("00"&amp;VALUE(MID(Sync!$K224,FIND(":",Sync!$K224)+1,2)),2),"0000")))&amp;"|"&amp;"2"&amp;RIGHT("00000"&amp;219,5))</f>
        <v/>
      </c>
      <c r="Q224">
        <f>IF(Sync!$J224="","",IF(ISNUMBER(Sync!$J224),IF(AND(Sync!$J224&gt;=10000101,Sync!$J224&lt;=99991231),INT(Sync!$J224/10000)&amp;"/"&amp;RIGHT("00"&amp;INT(MOD(Sync!$J224,10000)/100),2)&amp;"/"&amp;RIGHT("00"&amp;MOD(Sync!$J224,100),2),"نامعتبر"),IF(LEN(Sync!$J224)=10,Sync!$J224,"نامعتبر")))</f>
        <v/>
      </c>
      <c r="R224">
        <f>IF($P224="","",COUNTIFS($N$6:$N$2005,$N224,$P$6:$P$2005,"&lt;"&amp;$P224)+COUNTIFS($A$6:$A$1005,$N224,$B$6:$B$1005,"&lt;"&amp;$P224)+1)</f>
        <v/>
      </c>
      <c r="S224">
        <f>IF($N224="","",$N224&amp;"|"&amp;RIGHT("000000"&amp;$R224,6))</f>
        <v/>
      </c>
      <c r="T224">
        <f>IF($N224="","",IF(Sync!$N224="",0,Sync!$N224))</f>
        <v/>
      </c>
      <c r="U224">
        <f>IF($N224="","",IF(Sync!$O224="",0,Sync!$O224))</f>
        <v/>
      </c>
      <c r="V224">
        <f>IF($N224="","",Sync!$L224)</f>
        <v/>
      </c>
      <c r="W224">
        <f>IF($N224="","",Sync!$P224)</f>
        <v/>
      </c>
      <c r="AA224">
        <f>IF($A224="","",IF(COUNTIF($A$6:$A224,$A224)=1,1,0))</f>
        <v/>
      </c>
      <c r="AB224">
        <f>SUM($AA$6:$AA224)</f>
        <v/>
      </c>
      <c r="AC224">
        <f>IFERROR(INDEX($A$6:$A$1005,MATCH(ROW()-5,$AB$6:$AB$1005,0)),"")</f>
        <v/>
      </c>
    </row>
    <row r="225">
      <c r="A225">
        <f>IF(OR(Entry!$B228="",Entry!$E228="",$E225="نامعتبر"),"",Entry!$E228)</f>
        <v/>
      </c>
      <c r="B225">
        <f>IF($A225="","",LEFT($E225,4)&amp;MID($E225,6,2)&amp;RIGHT($E225,2)&amp;$F225&amp;"|"&amp;"1"&amp;RIGHT("00000"&amp;220,5))</f>
        <v/>
      </c>
      <c r="C225">
        <f>IF($B225="","",COUNTIFS($A$6:$A$1005,$A225,$B$6:$B$1005,"&lt;"&amp;$B225)+COUNTIFS($N$6:$N$2005,$A225,$P$6:$P$2005,"&lt;"&amp;$B225)+1)</f>
        <v/>
      </c>
      <c r="D225">
        <f>IF($C225="","",$A225&amp;"|"&amp;RIGHT("000000"&amp;$C225,6))</f>
        <v/>
      </c>
      <c r="E225">
        <f>IF(Entry!$B228="","",IF(ISNUMBER(Entry!$B228),IF(AND(Entry!$B228&gt;=10000101,Entry!$B228&lt;=99991231),INT(Entry!$B228/10000)&amp;"/"&amp;RIGHT("00"&amp;INT(MOD(Entry!$B228,10000)/100),2)&amp;"/"&amp;RIGHT("00"&amp;MOD(Entry!$B228,100),2),"نامعتبر"),IF(LEN(Entry!$B228)=10,Entry!$B228,"نامعتبر")))</f>
        <v/>
      </c>
      <c r="F225">
        <f>IF(Entry!$B228="","",IF(Entry!$C228="","0000",IF(AND(ISNUMBER(Entry!$C228),Entry!$C228&gt;=0,Entry!$C228&lt;1),RIGHT("00"&amp;HOUR(Entry!$C228),2)&amp;RIGHT("00"&amp;MINUTE(Entry!$C228),2),IFERROR(RIGHT("00"&amp;VALUE(LEFT(Entry!$C228,FIND(":",Entry!$C228)-1)),2)&amp;RIGHT("00"&amp;VALUE(MID(Entry!$C228,FIND(":",Entry!$C228)+1,2)),2),"0000"))))</f>
        <v/>
      </c>
      <c r="G225">
        <f>IF($A225="","",Entry!$G228)</f>
        <v/>
      </c>
      <c r="H225">
        <f>IF($A225="","",IF(Entry!$H228="",0,Entry!$H228))</f>
        <v/>
      </c>
      <c r="I225">
        <f>IF($A225="","",IF(Entry!$I228="",0,Entry!$I228))</f>
        <v/>
      </c>
      <c r="J225">
        <f>IF($A225="","",ROUND($H225*$I225,0))</f>
        <v/>
      </c>
      <c r="K225">
        <f>IF($A225="","",Entry!$D228)</f>
        <v/>
      </c>
      <c r="L225">
        <f>IF($A225="","",Entry!$L228)</f>
        <v/>
      </c>
      <c r="N225">
        <f>IF(OR(Sync!$M225="",$Q225="",$Q225="نامعتبر"),"",Sync!$M225)</f>
        <v/>
      </c>
      <c r="O225">
        <f>IF($N225="","",$Q225)</f>
        <v/>
      </c>
      <c r="P225">
        <f>IF($N225="","",LEFT($Q225,4)&amp;MID($Q225,6,2)&amp;RIGHT($Q225,2)&amp;IF(Sync!$K225="","0000",IF(AND(ISNUMBER(Sync!$K225),Sync!$K225&gt;=0,Sync!$K225&lt;1),RIGHT("00"&amp;HOUR(Sync!$K225),2)&amp;RIGHT("00"&amp;MINUTE(Sync!$K225),2),IFERROR(RIGHT("00"&amp;VALUE(LEFT(Sync!$K225,FIND(":",Sync!$K225)-1)),2)&amp;RIGHT("00"&amp;VALUE(MID(Sync!$K225,FIND(":",Sync!$K225)+1,2)),2),"0000")))&amp;"|"&amp;"2"&amp;RIGHT("00000"&amp;220,5))</f>
        <v/>
      </c>
      <c r="Q225">
        <f>IF(Sync!$J225="","",IF(ISNUMBER(Sync!$J225),IF(AND(Sync!$J225&gt;=10000101,Sync!$J225&lt;=99991231),INT(Sync!$J225/10000)&amp;"/"&amp;RIGHT("00"&amp;INT(MOD(Sync!$J225,10000)/100),2)&amp;"/"&amp;RIGHT("00"&amp;MOD(Sync!$J225,100),2),"نامعتبر"),IF(LEN(Sync!$J225)=10,Sync!$J225,"نامعتبر")))</f>
        <v/>
      </c>
      <c r="R225">
        <f>IF($P225="","",COUNTIFS($N$6:$N$2005,$N225,$P$6:$P$2005,"&lt;"&amp;$P225)+COUNTIFS($A$6:$A$1005,$N225,$B$6:$B$1005,"&lt;"&amp;$P225)+1)</f>
        <v/>
      </c>
      <c r="S225">
        <f>IF($N225="","",$N225&amp;"|"&amp;RIGHT("000000"&amp;$R225,6))</f>
        <v/>
      </c>
      <c r="T225">
        <f>IF($N225="","",IF(Sync!$N225="",0,Sync!$N225))</f>
        <v/>
      </c>
      <c r="U225">
        <f>IF($N225="","",IF(Sync!$O225="",0,Sync!$O225))</f>
        <v/>
      </c>
      <c r="V225">
        <f>IF($N225="","",Sync!$L225)</f>
        <v/>
      </c>
      <c r="W225">
        <f>IF($N225="","",Sync!$P225)</f>
        <v/>
      </c>
      <c r="AA225">
        <f>IF($A225="","",IF(COUNTIF($A$6:$A225,$A225)=1,1,0))</f>
        <v/>
      </c>
      <c r="AB225">
        <f>SUM($AA$6:$AA225)</f>
        <v/>
      </c>
      <c r="AC225">
        <f>IFERROR(INDEX($A$6:$A$1005,MATCH(ROW()-5,$AB$6:$AB$1005,0)),"")</f>
        <v/>
      </c>
    </row>
    <row r="226">
      <c r="A226">
        <f>IF(OR(Entry!$B229="",Entry!$E229="",$E226="نامعتبر"),"",Entry!$E229)</f>
        <v/>
      </c>
      <c r="B226">
        <f>IF($A226="","",LEFT($E226,4)&amp;MID($E226,6,2)&amp;RIGHT($E226,2)&amp;$F226&amp;"|"&amp;"1"&amp;RIGHT("00000"&amp;221,5))</f>
        <v/>
      </c>
      <c r="C226">
        <f>IF($B226="","",COUNTIFS($A$6:$A$1005,$A226,$B$6:$B$1005,"&lt;"&amp;$B226)+COUNTIFS($N$6:$N$2005,$A226,$P$6:$P$2005,"&lt;"&amp;$B226)+1)</f>
        <v/>
      </c>
      <c r="D226">
        <f>IF($C226="","",$A226&amp;"|"&amp;RIGHT("000000"&amp;$C226,6))</f>
        <v/>
      </c>
      <c r="E226">
        <f>IF(Entry!$B229="","",IF(ISNUMBER(Entry!$B229),IF(AND(Entry!$B229&gt;=10000101,Entry!$B229&lt;=99991231),INT(Entry!$B229/10000)&amp;"/"&amp;RIGHT("00"&amp;INT(MOD(Entry!$B229,10000)/100),2)&amp;"/"&amp;RIGHT("00"&amp;MOD(Entry!$B229,100),2),"نامعتبر"),IF(LEN(Entry!$B229)=10,Entry!$B229,"نامعتبر")))</f>
        <v/>
      </c>
      <c r="F226">
        <f>IF(Entry!$B229="","",IF(Entry!$C229="","0000",IF(AND(ISNUMBER(Entry!$C229),Entry!$C229&gt;=0,Entry!$C229&lt;1),RIGHT("00"&amp;HOUR(Entry!$C229),2)&amp;RIGHT("00"&amp;MINUTE(Entry!$C229),2),IFERROR(RIGHT("00"&amp;VALUE(LEFT(Entry!$C229,FIND(":",Entry!$C229)-1)),2)&amp;RIGHT("00"&amp;VALUE(MID(Entry!$C229,FIND(":",Entry!$C229)+1,2)),2),"0000"))))</f>
        <v/>
      </c>
      <c r="G226">
        <f>IF($A226="","",Entry!$G229)</f>
        <v/>
      </c>
      <c r="H226">
        <f>IF($A226="","",IF(Entry!$H229="",0,Entry!$H229))</f>
        <v/>
      </c>
      <c r="I226">
        <f>IF($A226="","",IF(Entry!$I229="",0,Entry!$I229))</f>
        <v/>
      </c>
      <c r="J226">
        <f>IF($A226="","",ROUND($H226*$I226,0))</f>
        <v/>
      </c>
      <c r="K226">
        <f>IF($A226="","",Entry!$D229)</f>
        <v/>
      </c>
      <c r="L226">
        <f>IF($A226="","",Entry!$L229)</f>
        <v/>
      </c>
      <c r="N226">
        <f>IF(OR(Sync!$M226="",$Q226="",$Q226="نامعتبر"),"",Sync!$M226)</f>
        <v/>
      </c>
      <c r="O226">
        <f>IF($N226="","",$Q226)</f>
        <v/>
      </c>
      <c r="P226">
        <f>IF($N226="","",LEFT($Q226,4)&amp;MID($Q226,6,2)&amp;RIGHT($Q226,2)&amp;IF(Sync!$K226="","0000",IF(AND(ISNUMBER(Sync!$K226),Sync!$K226&gt;=0,Sync!$K226&lt;1),RIGHT("00"&amp;HOUR(Sync!$K226),2)&amp;RIGHT("00"&amp;MINUTE(Sync!$K226),2),IFERROR(RIGHT("00"&amp;VALUE(LEFT(Sync!$K226,FIND(":",Sync!$K226)-1)),2)&amp;RIGHT("00"&amp;VALUE(MID(Sync!$K226,FIND(":",Sync!$K226)+1,2)),2),"0000")))&amp;"|"&amp;"2"&amp;RIGHT("00000"&amp;221,5))</f>
        <v/>
      </c>
      <c r="Q226">
        <f>IF(Sync!$J226="","",IF(ISNUMBER(Sync!$J226),IF(AND(Sync!$J226&gt;=10000101,Sync!$J226&lt;=99991231),INT(Sync!$J226/10000)&amp;"/"&amp;RIGHT("00"&amp;INT(MOD(Sync!$J226,10000)/100),2)&amp;"/"&amp;RIGHT("00"&amp;MOD(Sync!$J226,100),2),"نامعتبر"),IF(LEN(Sync!$J226)=10,Sync!$J226,"نامعتبر")))</f>
        <v/>
      </c>
      <c r="R226">
        <f>IF($P226="","",COUNTIFS($N$6:$N$2005,$N226,$P$6:$P$2005,"&lt;"&amp;$P226)+COUNTIFS($A$6:$A$1005,$N226,$B$6:$B$1005,"&lt;"&amp;$P226)+1)</f>
        <v/>
      </c>
      <c r="S226">
        <f>IF($N226="","",$N226&amp;"|"&amp;RIGHT("000000"&amp;$R226,6))</f>
        <v/>
      </c>
      <c r="T226">
        <f>IF($N226="","",IF(Sync!$N226="",0,Sync!$N226))</f>
        <v/>
      </c>
      <c r="U226">
        <f>IF($N226="","",IF(Sync!$O226="",0,Sync!$O226))</f>
        <v/>
      </c>
      <c r="V226">
        <f>IF($N226="","",Sync!$L226)</f>
        <v/>
      </c>
      <c r="W226">
        <f>IF($N226="","",Sync!$P226)</f>
        <v/>
      </c>
      <c r="AA226">
        <f>IF($A226="","",IF(COUNTIF($A$6:$A226,$A226)=1,1,0))</f>
        <v/>
      </c>
      <c r="AB226">
        <f>SUM($AA$6:$AA226)</f>
        <v/>
      </c>
      <c r="AC226">
        <f>IFERROR(INDEX($A$6:$A$1005,MATCH(ROW()-5,$AB$6:$AB$1005,0)),"")</f>
        <v/>
      </c>
    </row>
    <row r="227">
      <c r="A227">
        <f>IF(OR(Entry!$B230="",Entry!$E230="",$E227="نامعتبر"),"",Entry!$E230)</f>
        <v/>
      </c>
      <c r="B227">
        <f>IF($A227="","",LEFT($E227,4)&amp;MID($E227,6,2)&amp;RIGHT($E227,2)&amp;$F227&amp;"|"&amp;"1"&amp;RIGHT("00000"&amp;222,5))</f>
        <v/>
      </c>
      <c r="C227">
        <f>IF($B227="","",COUNTIFS($A$6:$A$1005,$A227,$B$6:$B$1005,"&lt;"&amp;$B227)+COUNTIFS($N$6:$N$2005,$A227,$P$6:$P$2005,"&lt;"&amp;$B227)+1)</f>
        <v/>
      </c>
      <c r="D227">
        <f>IF($C227="","",$A227&amp;"|"&amp;RIGHT("000000"&amp;$C227,6))</f>
        <v/>
      </c>
      <c r="E227">
        <f>IF(Entry!$B230="","",IF(ISNUMBER(Entry!$B230),IF(AND(Entry!$B230&gt;=10000101,Entry!$B230&lt;=99991231),INT(Entry!$B230/10000)&amp;"/"&amp;RIGHT("00"&amp;INT(MOD(Entry!$B230,10000)/100),2)&amp;"/"&amp;RIGHT("00"&amp;MOD(Entry!$B230,100),2),"نامعتبر"),IF(LEN(Entry!$B230)=10,Entry!$B230,"نامعتبر")))</f>
        <v/>
      </c>
      <c r="F227">
        <f>IF(Entry!$B230="","",IF(Entry!$C230="","0000",IF(AND(ISNUMBER(Entry!$C230),Entry!$C230&gt;=0,Entry!$C230&lt;1),RIGHT("00"&amp;HOUR(Entry!$C230),2)&amp;RIGHT("00"&amp;MINUTE(Entry!$C230),2),IFERROR(RIGHT("00"&amp;VALUE(LEFT(Entry!$C230,FIND(":",Entry!$C230)-1)),2)&amp;RIGHT("00"&amp;VALUE(MID(Entry!$C230,FIND(":",Entry!$C230)+1,2)),2),"0000"))))</f>
        <v/>
      </c>
      <c r="G227">
        <f>IF($A227="","",Entry!$G230)</f>
        <v/>
      </c>
      <c r="H227">
        <f>IF($A227="","",IF(Entry!$H230="",0,Entry!$H230))</f>
        <v/>
      </c>
      <c r="I227">
        <f>IF($A227="","",IF(Entry!$I230="",0,Entry!$I230))</f>
        <v/>
      </c>
      <c r="J227">
        <f>IF($A227="","",ROUND($H227*$I227,0))</f>
        <v/>
      </c>
      <c r="K227">
        <f>IF($A227="","",Entry!$D230)</f>
        <v/>
      </c>
      <c r="L227">
        <f>IF($A227="","",Entry!$L230)</f>
        <v/>
      </c>
      <c r="N227">
        <f>IF(OR(Sync!$M227="",$Q227="",$Q227="نامعتبر"),"",Sync!$M227)</f>
        <v/>
      </c>
      <c r="O227">
        <f>IF($N227="","",$Q227)</f>
        <v/>
      </c>
      <c r="P227">
        <f>IF($N227="","",LEFT($Q227,4)&amp;MID($Q227,6,2)&amp;RIGHT($Q227,2)&amp;IF(Sync!$K227="","0000",IF(AND(ISNUMBER(Sync!$K227),Sync!$K227&gt;=0,Sync!$K227&lt;1),RIGHT("00"&amp;HOUR(Sync!$K227),2)&amp;RIGHT("00"&amp;MINUTE(Sync!$K227),2),IFERROR(RIGHT("00"&amp;VALUE(LEFT(Sync!$K227,FIND(":",Sync!$K227)-1)),2)&amp;RIGHT("00"&amp;VALUE(MID(Sync!$K227,FIND(":",Sync!$K227)+1,2)),2),"0000")))&amp;"|"&amp;"2"&amp;RIGHT("00000"&amp;222,5))</f>
        <v/>
      </c>
      <c r="Q227">
        <f>IF(Sync!$J227="","",IF(ISNUMBER(Sync!$J227),IF(AND(Sync!$J227&gt;=10000101,Sync!$J227&lt;=99991231),INT(Sync!$J227/10000)&amp;"/"&amp;RIGHT("00"&amp;INT(MOD(Sync!$J227,10000)/100),2)&amp;"/"&amp;RIGHT("00"&amp;MOD(Sync!$J227,100),2),"نامعتبر"),IF(LEN(Sync!$J227)=10,Sync!$J227,"نامعتبر")))</f>
        <v/>
      </c>
      <c r="R227">
        <f>IF($P227="","",COUNTIFS($N$6:$N$2005,$N227,$P$6:$P$2005,"&lt;"&amp;$P227)+COUNTIFS($A$6:$A$1005,$N227,$B$6:$B$1005,"&lt;"&amp;$P227)+1)</f>
        <v/>
      </c>
      <c r="S227">
        <f>IF($N227="","",$N227&amp;"|"&amp;RIGHT("000000"&amp;$R227,6))</f>
        <v/>
      </c>
      <c r="T227">
        <f>IF($N227="","",IF(Sync!$N227="",0,Sync!$N227))</f>
        <v/>
      </c>
      <c r="U227">
        <f>IF($N227="","",IF(Sync!$O227="",0,Sync!$O227))</f>
        <v/>
      </c>
      <c r="V227">
        <f>IF($N227="","",Sync!$L227)</f>
        <v/>
      </c>
      <c r="W227">
        <f>IF($N227="","",Sync!$P227)</f>
        <v/>
      </c>
      <c r="AA227">
        <f>IF($A227="","",IF(COUNTIF($A$6:$A227,$A227)=1,1,0))</f>
        <v/>
      </c>
      <c r="AB227">
        <f>SUM($AA$6:$AA227)</f>
        <v/>
      </c>
      <c r="AC227">
        <f>IFERROR(INDEX($A$6:$A$1005,MATCH(ROW()-5,$AB$6:$AB$1005,0)),"")</f>
        <v/>
      </c>
    </row>
    <row r="228">
      <c r="A228">
        <f>IF(OR(Entry!$B231="",Entry!$E231="",$E228="نامعتبر"),"",Entry!$E231)</f>
        <v/>
      </c>
      <c r="B228">
        <f>IF($A228="","",LEFT($E228,4)&amp;MID($E228,6,2)&amp;RIGHT($E228,2)&amp;$F228&amp;"|"&amp;"1"&amp;RIGHT("00000"&amp;223,5))</f>
        <v/>
      </c>
      <c r="C228">
        <f>IF($B228="","",COUNTIFS($A$6:$A$1005,$A228,$B$6:$B$1005,"&lt;"&amp;$B228)+COUNTIFS($N$6:$N$2005,$A228,$P$6:$P$2005,"&lt;"&amp;$B228)+1)</f>
        <v/>
      </c>
      <c r="D228">
        <f>IF($C228="","",$A228&amp;"|"&amp;RIGHT("000000"&amp;$C228,6))</f>
        <v/>
      </c>
      <c r="E228">
        <f>IF(Entry!$B231="","",IF(ISNUMBER(Entry!$B231),IF(AND(Entry!$B231&gt;=10000101,Entry!$B231&lt;=99991231),INT(Entry!$B231/10000)&amp;"/"&amp;RIGHT("00"&amp;INT(MOD(Entry!$B231,10000)/100),2)&amp;"/"&amp;RIGHT("00"&amp;MOD(Entry!$B231,100),2),"نامعتبر"),IF(LEN(Entry!$B231)=10,Entry!$B231,"نامعتبر")))</f>
        <v/>
      </c>
      <c r="F228">
        <f>IF(Entry!$B231="","",IF(Entry!$C231="","0000",IF(AND(ISNUMBER(Entry!$C231),Entry!$C231&gt;=0,Entry!$C231&lt;1),RIGHT("00"&amp;HOUR(Entry!$C231),2)&amp;RIGHT("00"&amp;MINUTE(Entry!$C231),2),IFERROR(RIGHT("00"&amp;VALUE(LEFT(Entry!$C231,FIND(":",Entry!$C231)-1)),2)&amp;RIGHT("00"&amp;VALUE(MID(Entry!$C231,FIND(":",Entry!$C231)+1,2)),2),"0000"))))</f>
        <v/>
      </c>
      <c r="G228">
        <f>IF($A228="","",Entry!$G231)</f>
        <v/>
      </c>
      <c r="H228">
        <f>IF($A228="","",IF(Entry!$H231="",0,Entry!$H231))</f>
        <v/>
      </c>
      <c r="I228">
        <f>IF($A228="","",IF(Entry!$I231="",0,Entry!$I231))</f>
        <v/>
      </c>
      <c r="J228">
        <f>IF($A228="","",ROUND($H228*$I228,0))</f>
        <v/>
      </c>
      <c r="K228">
        <f>IF($A228="","",Entry!$D231)</f>
        <v/>
      </c>
      <c r="L228">
        <f>IF($A228="","",Entry!$L231)</f>
        <v/>
      </c>
      <c r="N228">
        <f>IF(OR(Sync!$M228="",$Q228="",$Q228="نامعتبر"),"",Sync!$M228)</f>
        <v/>
      </c>
      <c r="O228">
        <f>IF($N228="","",$Q228)</f>
        <v/>
      </c>
      <c r="P228">
        <f>IF($N228="","",LEFT($Q228,4)&amp;MID($Q228,6,2)&amp;RIGHT($Q228,2)&amp;IF(Sync!$K228="","0000",IF(AND(ISNUMBER(Sync!$K228),Sync!$K228&gt;=0,Sync!$K228&lt;1),RIGHT("00"&amp;HOUR(Sync!$K228),2)&amp;RIGHT("00"&amp;MINUTE(Sync!$K228),2),IFERROR(RIGHT("00"&amp;VALUE(LEFT(Sync!$K228,FIND(":",Sync!$K228)-1)),2)&amp;RIGHT("00"&amp;VALUE(MID(Sync!$K228,FIND(":",Sync!$K228)+1,2)),2),"0000")))&amp;"|"&amp;"2"&amp;RIGHT("00000"&amp;223,5))</f>
        <v/>
      </c>
      <c r="Q228">
        <f>IF(Sync!$J228="","",IF(ISNUMBER(Sync!$J228),IF(AND(Sync!$J228&gt;=10000101,Sync!$J228&lt;=99991231),INT(Sync!$J228/10000)&amp;"/"&amp;RIGHT("00"&amp;INT(MOD(Sync!$J228,10000)/100),2)&amp;"/"&amp;RIGHT("00"&amp;MOD(Sync!$J228,100),2),"نامعتبر"),IF(LEN(Sync!$J228)=10,Sync!$J228,"نامعتبر")))</f>
        <v/>
      </c>
      <c r="R228">
        <f>IF($P228="","",COUNTIFS($N$6:$N$2005,$N228,$P$6:$P$2005,"&lt;"&amp;$P228)+COUNTIFS($A$6:$A$1005,$N228,$B$6:$B$1005,"&lt;"&amp;$P228)+1)</f>
        <v/>
      </c>
      <c r="S228">
        <f>IF($N228="","",$N228&amp;"|"&amp;RIGHT("000000"&amp;$R228,6))</f>
        <v/>
      </c>
      <c r="T228">
        <f>IF($N228="","",IF(Sync!$N228="",0,Sync!$N228))</f>
        <v/>
      </c>
      <c r="U228">
        <f>IF($N228="","",IF(Sync!$O228="",0,Sync!$O228))</f>
        <v/>
      </c>
      <c r="V228">
        <f>IF($N228="","",Sync!$L228)</f>
        <v/>
      </c>
      <c r="W228">
        <f>IF($N228="","",Sync!$P228)</f>
        <v/>
      </c>
      <c r="AA228">
        <f>IF($A228="","",IF(COUNTIF($A$6:$A228,$A228)=1,1,0))</f>
        <v/>
      </c>
      <c r="AB228">
        <f>SUM($AA$6:$AA228)</f>
        <v/>
      </c>
      <c r="AC228">
        <f>IFERROR(INDEX($A$6:$A$1005,MATCH(ROW()-5,$AB$6:$AB$1005,0)),"")</f>
        <v/>
      </c>
    </row>
    <row r="229">
      <c r="A229">
        <f>IF(OR(Entry!$B232="",Entry!$E232="",$E229="نامعتبر"),"",Entry!$E232)</f>
        <v/>
      </c>
      <c r="B229">
        <f>IF($A229="","",LEFT($E229,4)&amp;MID($E229,6,2)&amp;RIGHT($E229,2)&amp;$F229&amp;"|"&amp;"1"&amp;RIGHT("00000"&amp;224,5))</f>
        <v/>
      </c>
      <c r="C229">
        <f>IF($B229="","",COUNTIFS($A$6:$A$1005,$A229,$B$6:$B$1005,"&lt;"&amp;$B229)+COUNTIFS($N$6:$N$2005,$A229,$P$6:$P$2005,"&lt;"&amp;$B229)+1)</f>
        <v/>
      </c>
      <c r="D229">
        <f>IF($C229="","",$A229&amp;"|"&amp;RIGHT("000000"&amp;$C229,6))</f>
        <v/>
      </c>
      <c r="E229">
        <f>IF(Entry!$B232="","",IF(ISNUMBER(Entry!$B232),IF(AND(Entry!$B232&gt;=10000101,Entry!$B232&lt;=99991231),INT(Entry!$B232/10000)&amp;"/"&amp;RIGHT("00"&amp;INT(MOD(Entry!$B232,10000)/100),2)&amp;"/"&amp;RIGHT("00"&amp;MOD(Entry!$B232,100),2),"نامعتبر"),IF(LEN(Entry!$B232)=10,Entry!$B232,"نامعتبر")))</f>
        <v/>
      </c>
      <c r="F229">
        <f>IF(Entry!$B232="","",IF(Entry!$C232="","0000",IF(AND(ISNUMBER(Entry!$C232),Entry!$C232&gt;=0,Entry!$C232&lt;1),RIGHT("00"&amp;HOUR(Entry!$C232),2)&amp;RIGHT("00"&amp;MINUTE(Entry!$C232),2),IFERROR(RIGHT("00"&amp;VALUE(LEFT(Entry!$C232,FIND(":",Entry!$C232)-1)),2)&amp;RIGHT("00"&amp;VALUE(MID(Entry!$C232,FIND(":",Entry!$C232)+1,2)),2),"0000"))))</f>
        <v/>
      </c>
      <c r="G229">
        <f>IF($A229="","",Entry!$G232)</f>
        <v/>
      </c>
      <c r="H229">
        <f>IF($A229="","",IF(Entry!$H232="",0,Entry!$H232))</f>
        <v/>
      </c>
      <c r="I229">
        <f>IF($A229="","",IF(Entry!$I232="",0,Entry!$I232))</f>
        <v/>
      </c>
      <c r="J229">
        <f>IF($A229="","",ROUND($H229*$I229,0))</f>
        <v/>
      </c>
      <c r="K229">
        <f>IF($A229="","",Entry!$D232)</f>
        <v/>
      </c>
      <c r="L229">
        <f>IF($A229="","",Entry!$L232)</f>
        <v/>
      </c>
      <c r="N229">
        <f>IF(OR(Sync!$M229="",$Q229="",$Q229="نامعتبر"),"",Sync!$M229)</f>
        <v/>
      </c>
      <c r="O229">
        <f>IF($N229="","",$Q229)</f>
        <v/>
      </c>
      <c r="P229">
        <f>IF($N229="","",LEFT($Q229,4)&amp;MID($Q229,6,2)&amp;RIGHT($Q229,2)&amp;IF(Sync!$K229="","0000",IF(AND(ISNUMBER(Sync!$K229),Sync!$K229&gt;=0,Sync!$K229&lt;1),RIGHT("00"&amp;HOUR(Sync!$K229),2)&amp;RIGHT("00"&amp;MINUTE(Sync!$K229),2),IFERROR(RIGHT("00"&amp;VALUE(LEFT(Sync!$K229,FIND(":",Sync!$K229)-1)),2)&amp;RIGHT("00"&amp;VALUE(MID(Sync!$K229,FIND(":",Sync!$K229)+1,2)),2),"0000")))&amp;"|"&amp;"2"&amp;RIGHT("00000"&amp;224,5))</f>
        <v/>
      </c>
      <c r="Q229">
        <f>IF(Sync!$J229="","",IF(ISNUMBER(Sync!$J229),IF(AND(Sync!$J229&gt;=10000101,Sync!$J229&lt;=99991231),INT(Sync!$J229/10000)&amp;"/"&amp;RIGHT("00"&amp;INT(MOD(Sync!$J229,10000)/100),2)&amp;"/"&amp;RIGHT("00"&amp;MOD(Sync!$J229,100),2),"نامعتبر"),IF(LEN(Sync!$J229)=10,Sync!$J229,"نامعتبر")))</f>
        <v/>
      </c>
      <c r="R229">
        <f>IF($P229="","",COUNTIFS($N$6:$N$2005,$N229,$P$6:$P$2005,"&lt;"&amp;$P229)+COUNTIFS($A$6:$A$1005,$N229,$B$6:$B$1005,"&lt;"&amp;$P229)+1)</f>
        <v/>
      </c>
      <c r="S229">
        <f>IF($N229="","",$N229&amp;"|"&amp;RIGHT("000000"&amp;$R229,6))</f>
        <v/>
      </c>
      <c r="T229">
        <f>IF($N229="","",IF(Sync!$N229="",0,Sync!$N229))</f>
        <v/>
      </c>
      <c r="U229">
        <f>IF($N229="","",IF(Sync!$O229="",0,Sync!$O229))</f>
        <v/>
      </c>
      <c r="V229">
        <f>IF($N229="","",Sync!$L229)</f>
        <v/>
      </c>
      <c r="W229">
        <f>IF($N229="","",Sync!$P229)</f>
        <v/>
      </c>
      <c r="AA229">
        <f>IF($A229="","",IF(COUNTIF($A$6:$A229,$A229)=1,1,0))</f>
        <v/>
      </c>
      <c r="AB229">
        <f>SUM($AA$6:$AA229)</f>
        <v/>
      </c>
      <c r="AC229">
        <f>IFERROR(INDEX($A$6:$A$1005,MATCH(ROW()-5,$AB$6:$AB$1005,0)),"")</f>
        <v/>
      </c>
    </row>
    <row r="230">
      <c r="A230">
        <f>IF(OR(Entry!$B233="",Entry!$E233="",$E230="نامعتبر"),"",Entry!$E233)</f>
        <v/>
      </c>
      <c r="B230">
        <f>IF($A230="","",LEFT($E230,4)&amp;MID($E230,6,2)&amp;RIGHT($E230,2)&amp;$F230&amp;"|"&amp;"1"&amp;RIGHT("00000"&amp;225,5))</f>
        <v/>
      </c>
      <c r="C230">
        <f>IF($B230="","",COUNTIFS($A$6:$A$1005,$A230,$B$6:$B$1005,"&lt;"&amp;$B230)+COUNTIFS($N$6:$N$2005,$A230,$P$6:$P$2005,"&lt;"&amp;$B230)+1)</f>
        <v/>
      </c>
      <c r="D230">
        <f>IF($C230="","",$A230&amp;"|"&amp;RIGHT("000000"&amp;$C230,6))</f>
        <v/>
      </c>
      <c r="E230">
        <f>IF(Entry!$B233="","",IF(ISNUMBER(Entry!$B233),IF(AND(Entry!$B233&gt;=10000101,Entry!$B233&lt;=99991231),INT(Entry!$B233/10000)&amp;"/"&amp;RIGHT("00"&amp;INT(MOD(Entry!$B233,10000)/100),2)&amp;"/"&amp;RIGHT("00"&amp;MOD(Entry!$B233,100),2),"نامعتبر"),IF(LEN(Entry!$B233)=10,Entry!$B233,"نامعتبر")))</f>
        <v/>
      </c>
      <c r="F230">
        <f>IF(Entry!$B233="","",IF(Entry!$C233="","0000",IF(AND(ISNUMBER(Entry!$C233),Entry!$C233&gt;=0,Entry!$C233&lt;1),RIGHT("00"&amp;HOUR(Entry!$C233),2)&amp;RIGHT("00"&amp;MINUTE(Entry!$C233),2),IFERROR(RIGHT("00"&amp;VALUE(LEFT(Entry!$C233,FIND(":",Entry!$C233)-1)),2)&amp;RIGHT("00"&amp;VALUE(MID(Entry!$C233,FIND(":",Entry!$C233)+1,2)),2),"0000"))))</f>
        <v/>
      </c>
      <c r="G230">
        <f>IF($A230="","",Entry!$G233)</f>
        <v/>
      </c>
      <c r="H230">
        <f>IF($A230="","",IF(Entry!$H233="",0,Entry!$H233))</f>
        <v/>
      </c>
      <c r="I230">
        <f>IF($A230="","",IF(Entry!$I233="",0,Entry!$I233))</f>
        <v/>
      </c>
      <c r="J230">
        <f>IF($A230="","",ROUND($H230*$I230,0))</f>
        <v/>
      </c>
      <c r="K230">
        <f>IF($A230="","",Entry!$D233)</f>
        <v/>
      </c>
      <c r="L230">
        <f>IF($A230="","",Entry!$L233)</f>
        <v/>
      </c>
      <c r="N230">
        <f>IF(OR(Sync!$M230="",$Q230="",$Q230="نامعتبر"),"",Sync!$M230)</f>
        <v/>
      </c>
      <c r="O230">
        <f>IF($N230="","",$Q230)</f>
        <v/>
      </c>
      <c r="P230">
        <f>IF($N230="","",LEFT($Q230,4)&amp;MID($Q230,6,2)&amp;RIGHT($Q230,2)&amp;IF(Sync!$K230="","0000",IF(AND(ISNUMBER(Sync!$K230),Sync!$K230&gt;=0,Sync!$K230&lt;1),RIGHT("00"&amp;HOUR(Sync!$K230),2)&amp;RIGHT("00"&amp;MINUTE(Sync!$K230),2),IFERROR(RIGHT("00"&amp;VALUE(LEFT(Sync!$K230,FIND(":",Sync!$K230)-1)),2)&amp;RIGHT("00"&amp;VALUE(MID(Sync!$K230,FIND(":",Sync!$K230)+1,2)),2),"0000")))&amp;"|"&amp;"2"&amp;RIGHT("00000"&amp;225,5))</f>
        <v/>
      </c>
      <c r="Q230">
        <f>IF(Sync!$J230="","",IF(ISNUMBER(Sync!$J230),IF(AND(Sync!$J230&gt;=10000101,Sync!$J230&lt;=99991231),INT(Sync!$J230/10000)&amp;"/"&amp;RIGHT("00"&amp;INT(MOD(Sync!$J230,10000)/100),2)&amp;"/"&amp;RIGHT("00"&amp;MOD(Sync!$J230,100),2),"نامعتبر"),IF(LEN(Sync!$J230)=10,Sync!$J230,"نامعتبر")))</f>
        <v/>
      </c>
      <c r="R230">
        <f>IF($P230="","",COUNTIFS($N$6:$N$2005,$N230,$P$6:$P$2005,"&lt;"&amp;$P230)+COUNTIFS($A$6:$A$1005,$N230,$B$6:$B$1005,"&lt;"&amp;$P230)+1)</f>
        <v/>
      </c>
      <c r="S230">
        <f>IF($N230="","",$N230&amp;"|"&amp;RIGHT("000000"&amp;$R230,6))</f>
        <v/>
      </c>
      <c r="T230">
        <f>IF($N230="","",IF(Sync!$N230="",0,Sync!$N230))</f>
        <v/>
      </c>
      <c r="U230">
        <f>IF($N230="","",IF(Sync!$O230="",0,Sync!$O230))</f>
        <v/>
      </c>
      <c r="V230">
        <f>IF($N230="","",Sync!$L230)</f>
        <v/>
      </c>
      <c r="W230">
        <f>IF($N230="","",Sync!$P230)</f>
        <v/>
      </c>
      <c r="AA230">
        <f>IF($A230="","",IF(COUNTIF($A$6:$A230,$A230)=1,1,0))</f>
        <v/>
      </c>
      <c r="AB230">
        <f>SUM($AA$6:$AA230)</f>
        <v/>
      </c>
      <c r="AC230">
        <f>IFERROR(INDEX($A$6:$A$1005,MATCH(ROW()-5,$AB$6:$AB$1005,0)),"")</f>
        <v/>
      </c>
    </row>
    <row r="231">
      <c r="A231">
        <f>IF(OR(Entry!$B234="",Entry!$E234="",$E231="نامعتبر"),"",Entry!$E234)</f>
        <v/>
      </c>
      <c r="B231">
        <f>IF($A231="","",LEFT($E231,4)&amp;MID($E231,6,2)&amp;RIGHT($E231,2)&amp;$F231&amp;"|"&amp;"1"&amp;RIGHT("00000"&amp;226,5))</f>
        <v/>
      </c>
      <c r="C231">
        <f>IF($B231="","",COUNTIFS($A$6:$A$1005,$A231,$B$6:$B$1005,"&lt;"&amp;$B231)+COUNTIFS($N$6:$N$2005,$A231,$P$6:$P$2005,"&lt;"&amp;$B231)+1)</f>
        <v/>
      </c>
      <c r="D231">
        <f>IF($C231="","",$A231&amp;"|"&amp;RIGHT("000000"&amp;$C231,6))</f>
        <v/>
      </c>
      <c r="E231">
        <f>IF(Entry!$B234="","",IF(ISNUMBER(Entry!$B234),IF(AND(Entry!$B234&gt;=10000101,Entry!$B234&lt;=99991231),INT(Entry!$B234/10000)&amp;"/"&amp;RIGHT("00"&amp;INT(MOD(Entry!$B234,10000)/100),2)&amp;"/"&amp;RIGHT("00"&amp;MOD(Entry!$B234,100),2),"نامعتبر"),IF(LEN(Entry!$B234)=10,Entry!$B234,"نامعتبر")))</f>
        <v/>
      </c>
      <c r="F231">
        <f>IF(Entry!$B234="","",IF(Entry!$C234="","0000",IF(AND(ISNUMBER(Entry!$C234),Entry!$C234&gt;=0,Entry!$C234&lt;1),RIGHT("00"&amp;HOUR(Entry!$C234),2)&amp;RIGHT("00"&amp;MINUTE(Entry!$C234),2),IFERROR(RIGHT("00"&amp;VALUE(LEFT(Entry!$C234,FIND(":",Entry!$C234)-1)),2)&amp;RIGHT("00"&amp;VALUE(MID(Entry!$C234,FIND(":",Entry!$C234)+1,2)),2),"0000"))))</f>
        <v/>
      </c>
      <c r="G231">
        <f>IF($A231="","",Entry!$G234)</f>
        <v/>
      </c>
      <c r="H231">
        <f>IF($A231="","",IF(Entry!$H234="",0,Entry!$H234))</f>
        <v/>
      </c>
      <c r="I231">
        <f>IF($A231="","",IF(Entry!$I234="",0,Entry!$I234))</f>
        <v/>
      </c>
      <c r="J231">
        <f>IF($A231="","",ROUND($H231*$I231,0))</f>
        <v/>
      </c>
      <c r="K231">
        <f>IF($A231="","",Entry!$D234)</f>
        <v/>
      </c>
      <c r="L231">
        <f>IF($A231="","",Entry!$L234)</f>
        <v/>
      </c>
      <c r="N231">
        <f>IF(OR(Sync!$M231="",$Q231="",$Q231="نامعتبر"),"",Sync!$M231)</f>
        <v/>
      </c>
      <c r="O231">
        <f>IF($N231="","",$Q231)</f>
        <v/>
      </c>
      <c r="P231">
        <f>IF($N231="","",LEFT($Q231,4)&amp;MID($Q231,6,2)&amp;RIGHT($Q231,2)&amp;IF(Sync!$K231="","0000",IF(AND(ISNUMBER(Sync!$K231),Sync!$K231&gt;=0,Sync!$K231&lt;1),RIGHT("00"&amp;HOUR(Sync!$K231),2)&amp;RIGHT("00"&amp;MINUTE(Sync!$K231),2),IFERROR(RIGHT("00"&amp;VALUE(LEFT(Sync!$K231,FIND(":",Sync!$K231)-1)),2)&amp;RIGHT("00"&amp;VALUE(MID(Sync!$K231,FIND(":",Sync!$K231)+1,2)),2),"0000")))&amp;"|"&amp;"2"&amp;RIGHT("00000"&amp;226,5))</f>
        <v/>
      </c>
      <c r="Q231">
        <f>IF(Sync!$J231="","",IF(ISNUMBER(Sync!$J231),IF(AND(Sync!$J231&gt;=10000101,Sync!$J231&lt;=99991231),INT(Sync!$J231/10000)&amp;"/"&amp;RIGHT("00"&amp;INT(MOD(Sync!$J231,10000)/100),2)&amp;"/"&amp;RIGHT("00"&amp;MOD(Sync!$J231,100),2),"نامعتبر"),IF(LEN(Sync!$J231)=10,Sync!$J231,"نامعتبر")))</f>
        <v/>
      </c>
      <c r="R231">
        <f>IF($P231="","",COUNTIFS($N$6:$N$2005,$N231,$P$6:$P$2005,"&lt;"&amp;$P231)+COUNTIFS($A$6:$A$1005,$N231,$B$6:$B$1005,"&lt;"&amp;$P231)+1)</f>
        <v/>
      </c>
      <c r="S231">
        <f>IF($N231="","",$N231&amp;"|"&amp;RIGHT("000000"&amp;$R231,6))</f>
        <v/>
      </c>
      <c r="T231">
        <f>IF($N231="","",IF(Sync!$N231="",0,Sync!$N231))</f>
        <v/>
      </c>
      <c r="U231">
        <f>IF($N231="","",IF(Sync!$O231="",0,Sync!$O231))</f>
        <v/>
      </c>
      <c r="V231">
        <f>IF($N231="","",Sync!$L231)</f>
        <v/>
      </c>
      <c r="W231">
        <f>IF($N231="","",Sync!$P231)</f>
        <v/>
      </c>
      <c r="AA231">
        <f>IF($A231="","",IF(COUNTIF($A$6:$A231,$A231)=1,1,0))</f>
        <v/>
      </c>
      <c r="AB231">
        <f>SUM($AA$6:$AA231)</f>
        <v/>
      </c>
      <c r="AC231">
        <f>IFERROR(INDEX($A$6:$A$1005,MATCH(ROW()-5,$AB$6:$AB$1005,0)),"")</f>
        <v/>
      </c>
    </row>
    <row r="232">
      <c r="A232">
        <f>IF(OR(Entry!$B235="",Entry!$E235="",$E232="نامعتبر"),"",Entry!$E235)</f>
        <v/>
      </c>
      <c r="B232">
        <f>IF($A232="","",LEFT($E232,4)&amp;MID($E232,6,2)&amp;RIGHT($E232,2)&amp;$F232&amp;"|"&amp;"1"&amp;RIGHT("00000"&amp;227,5))</f>
        <v/>
      </c>
      <c r="C232">
        <f>IF($B232="","",COUNTIFS($A$6:$A$1005,$A232,$B$6:$B$1005,"&lt;"&amp;$B232)+COUNTIFS($N$6:$N$2005,$A232,$P$6:$P$2005,"&lt;"&amp;$B232)+1)</f>
        <v/>
      </c>
      <c r="D232">
        <f>IF($C232="","",$A232&amp;"|"&amp;RIGHT("000000"&amp;$C232,6))</f>
        <v/>
      </c>
      <c r="E232">
        <f>IF(Entry!$B235="","",IF(ISNUMBER(Entry!$B235),IF(AND(Entry!$B235&gt;=10000101,Entry!$B235&lt;=99991231),INT(Entry!$B235/10000)&amp;"/"&amp;RIGHT("00"&amp;INT(MOD(Entry!$B235,10000)/100),2)&amp;"/"&amp;RIGHT("00"&amp;MOD(Entry!$B235,100),2),"نامعتبر"),IF(LEN(Entry!$B235)=10,Entry!$B235,"نامعتبر")))</f>
        <v/>
      </c>
      <c r="F232">
        <f>IF(Entry!$B235="","",IF(Entry!$C235="","0000",IF(AND(ISNUMBER(Entry!$C235),Entry!$C235&gt;=0,Entry!$C235&lt;1),RIGHT("00"&amp;HOUR(Entry!$C235),2)&amp;RIGHT("00"&amp;MINUTE(Entry!$C235),2),IFERROR(RIGHT("00"&amp;VALUE(LEFT(Entry!$C235,FIND(":",Entry!$C235)-1)),2)&amp;RIGHT("00"&amp;VALUE(MID(Entry!$C235,FIND(":",Entry!$C235)+1,2)),2),"0000"))))</f>
        <v/>
      </c>
      <c r="G232">
        <f>IF($A232="","",Entry!$G235)</f>
        <v/>
      </c>
      <c r="H232">
        <f>IF($A232="","",IF(Entry!$H235="",0,Entry!$H235))</f>
        <v/>
      </c>
      <c r="I232">
        <f>IF($A232="","",IF(Entry!$I235="",0,Entry!$I235))</f>
        <v/>
      </c>
      <c r="J232">
        <f>IF($A232="","",ROUND($H232*$I232,0))</f>
        <v/>
      </c>
      <c r="K232">
        <f>IF($A232="","",Entry!$D235)</f>
        <v/>
      </c>
      <c r="L232">
        <f>IF($A232="","",Entry!$L235)</f>
        <v/>
      </c>
      <c r="N232">
        <f>IF(OR(Sync!$M232="",$Q232="",$Q232="نامعتبر"),"",Sync!$M232)</f>
        <v/>
      </c>
      <c r="O232">
        <f>IF($N232="","",$Q232)</f>
        <v/>
      </c>
      <c r="P232">
        <f>IF($N232="","",LEFT($Q232,4)&amp;MID($Q232,6,2)&amp;RIGHT($Q232,2)&amp;IF(Sync!$K232="","0000",IF(AND(ISNUMBER(Sync!$K232),Sync!$K232&gt;=0,Sync!$K232&lt;1),RIGHT("00"&amp;HOUR(Sync!$K232),2)&amp;RIGHT("00"&amp;MINUTE(Sync!$K232),2),IFERROR(RIGHT("00"&amp;VALUE(LEFT(Sync!$K232,FIND(":",Sync!$K232)-1)),2)&amp;RIGHT("00"&amp;VALUE(MID(Sync!$K232,FIND(":",Sync!$K232)+1,2)),2),"0000")))&amp;"|"&amp;"2"&amp;RIGHT("00000"&amp;227,5))</f>
        <v/>
      </c>
      <c r="Q232">
        <f>IF(Sync!$J232="","",IF(ISNUMBER(Sync!$J232),IF(AND(Sync!$J232&gt;=10000101,Sync!$J232&lt;=99991231),INT(Sync!$J232/10000)&amp;"/"&amp;RIGHT("00"&amp;INT(MOD(Sync!$J232,10000)/100),2)&amp;"/"&amp;RIGHT("00"&amp;MOD(Sync!$J232,100),2),"نامعتبر"),IF(LEN(Sync!$J232)=10,Sync!$J232,"نامعتبر")))</f>
        <v/>
      </c>
      <c r="R232">
        <f>IF($P232="","",COUNTIFS($N$6:$N$2005,$N232,$P$6:$P$2005,"&lt;"&amp;$P232)+COUNTIFS($A$6:$A$1005,$N232,$B$6:$B$1005,"&lt;"&amp;$P232)+1)</f>
        <v/>
      </c>
      <c r="S232">
        <f>IF($N232="","",$N232&amp;"|"&amp;RIGHT("000000"&amp;$R232,6))</f>
        <v/>
      </c>
      <c r="T232">
        <f>IF($N232="","",IF(Sync!$N232="",0,Sync!$N232))</f>
        <v/>
      </c>
      <c r="U232">
        <f>IF($N232="","",IF(Sync!$O232="",0,Sync!$O232))</f>
        <v/>
      </c>
      <c r="V232">
        <f>IF($N232="","",Sync!$L232)</f>
        <v/>
      </c>
      <c r="W232">
        <f>IF($N232="","",Sync!$P232)</f>
        <v/>
      </c>
      <c r="AA232">
        <f>IF($A232="","",IF(COUNTIF($A$6:$A232,$A232)=1,1,0))</f>
        <v/>
      </c>
      <c r="AB232">
        <f>SUM($AA$6:$AA232)</f>
        <v/>
      </c>
      <c r="AC232">
        <f>IFERROR(INDEX($A$6:$A$1005,MATCH(ROW()-5,$AB$6:$AB$1005,0)),"")</f>
        <v/>
      </c>
    </row>
    <row r="233">
      <c r="A233">
        <f>IF(OR(Entry!$B236="",Entry!$E236="",$E233="نامعتبر"),"",Entry!$E236)</f>
        <v/>
      </c>
      <c r="B233">
        <f>IF($A233="","",LEFT($E233,4)&amp;MID($E233,6,2)&amp;RIGHT($E233,2)&amp;$F233&amp;"|"&amp;"1"&amp;RIGHT("00000"&amp;228,5))</f>
        <v/>
      </c>
      <c r="C233">
        <f>IF($B233="","",COUNTIFS($A$6:$A$1005,$A233,$B$6:$B$1005,"&lt;"&amp;$B233)+COUNTIFS($N$6:$N$2005,$A233,$P$6:$P$2005,"&lt;"&amp;$B233)+1)</f>
        <v/>
      </c>
      <c r="D233">
        <f>IF($C233="","",$A233&amp;"|"&amp;RIGHT("000000"&amp;$C233,6))</f>
        <v/>
      </c>
      <c r="E233">
        <f>IF(Entry!$B236="","",IF(ISNUMBER(Entry!$B236),IF(AND(Entry!$B236&gt;=10000101,Entry!$B236&lt;=99991231),INT(Entry!$B236/10000)&amp;"/"&amp;RIGHT("00"&amp;INT(MOD(Entry!$B236,10000)/100),2)&amp;"/"&amp;RIGHT("00"&amp;MOD(Entry!$B236,100),2),"نامعتبر"),IF(LEN(Entry!$B236)=10,Entry!$B236,"نامعتبر")))</f>
        <v/>
      </c>
      <c r="F233">
        <f>IF(Entry!$B236="","",IF(Entry!$C236="","0000",IF(AND(ISNUMBER(Entry!$C236),Entry!$C236&gt;=0,Entry!$C236&lt;1),RIGHT("00"&amp;HOUR(Entry!$C236),2)&amp;RIGHT("00"&amp;MINUTE(Entry!$C236),2),IFERROR(RIGHT("00"&amp;VALUE(LEFT(Entry!$C236,FIND(":",Entry!$C236)-1)),2)&amp;RIGHT("00"&amp;VALUE(MID(Entry!$C236,FIND(":",Entry!$C236)+1,2)),2),"0000"))))</f>
        <v/>
      </c>
      <c r="G233">
        <f>IF($A233="","",Entry!$G236)</f>
        <v/>
      </c>
      <c r="H233">
        <f>IF($A233="","",IF(Entry!$H236="",0,Entry!$H236))</f>
        <v/>
      </c>
      <c r="I233">
        <f>IF($A233="","",IF(Entry!$I236="",0,Entry!$I236))</f>
        <v/>
      </c>
      <c r="J233">
        <f>IF($A233="","",ROUND($H233*$I233,0))</f>
        <v/>
      </c>
      <c r="K233">
        <f>IF($A233="","",Entry!$D236)</f>
        <v/>
      </c>
      <c r="L233">
        <f>IF($A233="","",Entry!$L236)</f>
        <v/>
      </c>
      <c r="N233">
        <f>IF(OR(Sync!$M233="",$Q233="",$Q233="نامعتبر"),"",Sync!$M233)</f>
        <v/>
      </c>
      <c r="O233">
        <f>IF($N233="","",$Q233)</f>
        <v/>
      </c>
      <c r="P233">
        <f>IF($N233="","",LEFT($Q233,4)&amp;MID($Q233,6,2)&amp;RIGHT($Q233,2)&amp;IF(Sync!$K233="","0000",IF(AND(ISNUMBER(Sync!$K233),Sync!$K233&gt;=0,Sync!$K233&lt;1),RIGHT("00"&amp;HOUR(Sync!$K233),2)&amp;RIGHT("00"&amp;MINUTE(Sync!$K233),2),IFERROR(RIGHT("00"&amp;VALUE(LEFT(Sync!$K233,FIND(":",Sync!$K233)-1)),2)&amp;RIGHT("00"&amp;VALUE(MID(Sync!$K233,FIND(":",Sync!$K233)+1,2)),2),"0000")))&amp;"|"&amp;"2"&amp;RIGHT("00000"&amp;228,5))</f>
        <v/>
      </c>
      <c r="Q233">
        <f>IF(Sync!$J233="","",IF(ISNUMBER(Sync!$J233),IF(AND(Sync!$J233&gt;=10000101,Sync!$J233&lt;=99991231),INT(Sync!$J233/10000)&amp;"/"&amp;RIGHT("00"&amp;INT(MOD(Sync!$J233,10000)/100),2)&amp;"/"&amp;RIGHT("00"&amp;MOD(Sync!$J233,100),2),"نامعتبر"),IF(LEN(Sync!$J233)=10,Sync!$J233,"نامعتبر")))</f>
        <v/>
      </c>
      <c r="R233">
        <f>IF($P233="","",COUNTIFS($N$6:$N$2005,$N233,$P$6:$P$2005,"&lt;"&amp;$P233)+COUNTIFS($A$6:$A$1005,$N233,$B$6:$B$1005,"&lt;"&amp;$P233)+1)</f>
        <v/>
      </c>
      <c r="S233">
        <f>IF($N233="","",$N233&amp;"|"&amp;RIGHT("000000"&amp;$R233,6))</f>
        <v/>
      </c>
      <c r="T233">
        <f>IF($N233="","",IF(Sync!$N233="",0,Sync!$N233))</f>
        <v/>
      </c>
      <c r="U233">
        <f>IF($N233="","",IF(Sync!$O233="",0,Sync!$O233))</f>
        <v/>
      </c>
      <c r="V233">
        <f>IF($N233="","",Sync!$L233)</f>
        <v/>
      </c>
      <c r="W233">
        <f>IF($N233="","",Sync!$P233)</f>
        <v/>
      </c>
      <c r="AA233">
        <f>IF($A233="","",IF(COUNTIF($A$6:$A233,$A233)=1,1,0))</f>
        <v/>
      </c>
      <c r="AB233">
        <f>SUM($AA$6:$AA233)</f>
        <v/>
      </c>
      <c r="AC233">
        <f>IFERROR(INDEX($A$6:$A$1005,MATCH(ROW()-5,$AB$6:$AB$1005,0)),"")</f>
        <v/>
      </c>
    </row>
    <row r="234">
      <c r="A234">
        <f>IF(OR(Entry!$B237="",Entry!$E237="",$E234="نامعتبر"),"",Entry!$E237)</f>
        <v/>
      </c>
      <c r="B234">
        <f>IF($A234="","",LEFT($E234,4)&amp;MID($E234,6,2)&amp;RIGHT($E234,2)&amp;$F234&amp;"|"&amp;"1"&amp;RIGHT("00000"&amp;229,5))</f>
        <v/>
      </c>
      <c r="C234">
        <f>IF($B234="","",COUNTIFS($A$6:$A$1005,$A234,$B$6:$B$1005,"&lt;"&amp;$B234)+COUNTIFS($N$6:$N$2005,$A234,$P$6:$P$2005,"&lt;"&amp;$B234)+1)</f>
        <v/>
      </c>
      <c r="D234">
        <f>IF($C234="","",$A234&amp;"|"&amp;RIGHT("000000"&amp;$C234,6))</f>
        <v/>
      </c>
      <c r="E234">
        <f>IF(Entry!$B237="","",IF(ISNUMBER(Entry!$B237),IF(AND(Entry!$B237&gt;=10000101,Entry!$B237&lt;=99991231),INT(Entry!$B237/10000)&amp;"/"&amp;RIGHT("00"&amp;INT(MOD(Entry!$B237,10000)/100),2)&amp;"/"&amp;RIGHT("00"&amp;MOD(Entry!$B237,100),2),"نامعتبر"),IF(LEN(Entry!$B237)=10,Entry!$B237,"نامعتبر")))</f>
        <v/>
      </c>
      <c r="F234">
        <f>IF(Entry!$B237="","",IF(Entry!$C237="","0000",IF(AND(ISNUMBER(Entry!$C237),Entry!$C237&gt;=0,Entry!$C237&lt;1),RIGHT("00"&amp;HOUR(Entry!$C237),2)&amp;RIGHT("00"&amp;MINUTE(Entry!$C237),2),IFERROR(RIGHT("00"&amp;VALUE(LEFT(Entry!$C237,FIND(":",Entry!$C237)-1)),2)&amp;RIGHT("00"&amp;VALUE(MID(Entry!$C237,FIND(":",Entry!$C237)+1,2)),2),"0000"))))</f>
        <v/>
      </c>
      <c r="G234">
        <f>IF($A234="","",Entry!$G237)</f>
        <v/>
      </c>
      <c r="H234">
        <f>IF($A234="","",IF(Entry!$H237="",0,Entry!$H237))</f>
        <v/>
      </c>
      <c r="I234">
        <f>IF($A234="","",IF(Entry!$I237="",0,Entry!$I237))</f>
        <v/>
      </c>
      <c r="J234">
        <f>IF($A234="","",ROUND($H234*$I234,0))</f>
        <v/>
      </c>
      <c r="K234">
        <f>IF($A234="","",Entry!$D237)</f>
        <v/>
      </c>
      <c r="L234">
        <f>IF($A234="","",Entry!$L237)</f>
        <v/>
      </c>
      <c r="N234">
        <f>IF(OR(Sync!$M234="",$Q234="",$Q234="نامعتبر"),"",Sync!$M234)</f>
        <v/>
      </c>
      <c r="O234">
        <f>IF($N234="","",$Q234)</f>
        <v/>
      </c>
      <c r="P234">
        <f>IF($N234="","",LEFT($Q234,4)&amp;MID($Q234,6,2)&amp;RIGHT($Q234,2)&amp;IF(Sync!$K234="","0000",IF(AND(ISNUMBER(Sync!$K234),Sync!$K234&gt;=0,Sync!$K234&lt;1),RIGHT("00"&amp;HOUR(Sync!$K234),2)&amp;RIGHT("00"&amp;MINUTE(Sync!$K234),2),IFERROR(RIGHT("00"&amp;VALUE(LEFT(Sync!$K234,FIND(":",Sync!$K234)-1)),2)&amp;RIGHT("00"&amp;VALUE(MID(Sync!$K234,FIND(":",Sync!$K234)+1,2)),2),"0000")))&amp;"|"&amp;"2"&amp;RIGHT("00000"&amp;229,5))</f>
        <v/>
      </c>
      <c r="Q234">
        <f>IF(Sync!$J234="","",IF(ISNUMBER(Sync!$J234),IF(AND(Sync!$J234&gt;=10000101,Sync!$J234&lt;=99991231),INT(Sync!$J234/10000)&amp;"/"&amp;RIGHT("00"&amp;INT(MOD(Sync!$J234,10000)/100),2)&amp;"/"&amp;RIGHT("00"&amp;MOD(Sync!$J234,100),2),"نامعتبر"),IF(LEN(Sync!$J234)=10,Sync!$J234,"نامعتبر")))</f>
        <v/>
      </c>
      <c r="R234">
        <f>IF($P234="","",COUNTIFS($N$6:$N$2005,$N234,$P$6:$P$2005,"&lt;"&amp;$P234)+COUNTIFS($A$6:$A$1005,$N234,$B$6:$B$1005,"&lt;"&amp;$P234)+1)</f>
        <v/>
      </c>
      <c r="S234">
        <f>IF($N234="","",$N234&amp;"|"&amp;RIGHT("000000"&amp;$R234,6))</f>
        <v/>
      </c>
      <c r="T234">
        <f>IF($N234="","",IF(Sync!$N234="",0,Sync!$N234))</f>
        <v/>
      </c>
      <c r="U234">
        <f>IF($N234="","",IF(Sync!$O234="",0,Sync!$O234))</f>
        <v/>
      </c>
      <c r="V234">
        <f>IF($N234="","",Sync!$L234)</f>
        <v/>
      </c>
      <c r="W234">
        <f>IF($N234="","",Sync!$P234)</f>
        <v/>
      </c>
      <c r="AA234">
        <f>IF($A234="","",IF(COUNTIF($A$6:$A234,$A234)=1,1,0))</f>
        <v/>
      </c>
      <c r="AB234">
        <f>SUM($AA$6:$AA234)</f>
        <v/>
      </c>
      <c r="AC234">
        <f>IFERROR(INDEX($A$6:$A$1005,MATCH(ROW()-5,$AB$6:$AB$1005,0)),"")</f>
        <v/>
      </c>
    </row>
    <row r="235">
      <c r="A235">
        <f>IF(OR(Entry!$B238="",Entry!$E238="",$E235="نامعتبر"),"",Entry!$E238)</f>
        <v/>
      </c>
      <c r="B235">
        <f>IF($A235="","",LEFT($E235,4)&amp;MID($E235,6,2)&amp;RIGHT($E235,2)&amp;$F235&amp;"|"&amp;"1"&amp;RIGHT("00000"&amp;230,5))</f>
        <v/>
      </c>
      <c r="C235">
        <f>IF($B235="","",COUNTIFS($A$6:$A$1005,$A235,$B$6:$B$1005,"&lt;"&amp;$B235)+COUNTIFS($N$6:$N$2005,$A235,$P$6:$P$2005,"&lt;"&amp;$B235)+1)</f>
        <v/>
      </c>
      <c r="D235">
        <f>IF($C235="","",$A235&amp;"|"&amp;RIGHT("000000"&amp;$C235,6))</f>
        <v/>
      </c>
      <c r="E235">
        <f>IF(Entry!$B238="","",IF(ISNUMBER(Entry!$B238),IF(AND(Entry!$B238&gt;=10000101,Entry!$B238&lt;=99991231),INT(Entry!$B238/10000)&amp;"/"&amp;RIGHT("00"&amp;INT(MOD(Entry!$B238,10000)/100),2)&amp;"/"&amp;RIGHT("00"&amp;MOD(Entry!$B238,100),2),"نامعتبر"),IF(LEN(Entry!$B238)=10,Entry!$B238,"نامعتبر")))</f>
        <v/>
      </c>
      <c r="F235">
        <f>IF(Entry!$B238="","",IF(Entry!$C238="","0000",IF(AND(ISNUMBER(Entry!$C238),Entry!$C238&gt;=0,Entry!$C238&lt;1),RIGHT("00"&amp;HOUR(Entry!$C238),2)&amp;RIGHT("00"&amp;MINUTE(Entry!$C238),2),IFERROR(RIGHT("00"&amp;VALUE(LEFT(Entry!$C238,FIND(":",Entry!$C238)-1)),2)&amp;RIGHT("00"&amp;VALUE(MID(Entry!$C238,FIND(":",Entry!$C238)+1,2)),2),"0000"))))</f>
        <v/>
      </c>
      <c r="G235">
        <f>IF($A235="","",Entry!$G238)</f>
        <v/>
      </c>
      <c r="H235">
        <f>IF($A235="","",IF(Entry!$H238="",0,Entry!$H238))</f>
        <v/>
      </c>
      <c r="I235">
        <f>IF($A235="","",IF(Entry!$I238="",0,Entry!$I238))</f>
        <v/>
      </c>
      <c r="J235">
        <f>IF($A235="","",ROUND($H235*$I235,0))</f>
        <v/>
      </c>
      <c r="K235">
        <f>IF($A235="","",Entry!$D238)</f>
        <v/>
      </c>
      <c r="L235">
        <f>IF($A235="","",Entry!$L238)</f>
        <v/>
      </c>
      <c r="N235">
        <f>IF(OR(Sync!$M235="",$Q235="",$Q235="نامعتبر"),"",Sync!$M235)</f>
        <v/>
      </c>
      <c r="O235">
        <f>IF($N235="","",$Q235)</f>
        <v/>
      </c>
      <c r="P235">
        <f>IF($N235="","",LEFT($Q235,4)&amp;MID($Q235,6,2)&amp;RIGHT($Q235,2)&amp;IF(Sync!$K235="","0000",IF(AND(ISNUMBER(Sync!$K235),Sync!$K235&gt;=0,Sync!$K235&lt;1),RIGHT("00"&amp;HOUR(Sync!$K235),2)&amp;RIGHT("00"&amp;MINUTE(Sync!$K235),2),IFERROR(RIGHT("00"&amp;VALUE(LEFT(Sync!$K235,FIND(":",Sync!$K235)-1)),2)&amp;RIGHT("00"&amp;VALUE(MID(Sync!$K235,FIND(":",Sync!$K235)+1,2)),2),"0000")))&amp;"|"&amp;"2"&amp;RIGHT("00000"&amp;230,5))</f>
        <v/>
      </c>
      <c r="Q235">
        <f>IF(Sync!$J235="","",IF(ISNUMBER(Sync!$J235),IF(AND(Sync!$J235&gt;=10000101,Sync!$J235&lt;=99991231),INT(Sync!$J235/10000)&amp;"/"&amp;RIGHT("00"&amp;INT(MOD(Sync!$J235,10000)/100),2)&amp;"/"&amp;RIGHT("00"&amp;MOD(Sync!$J235,100),2),"نامعتبر"),IF(LEN(Sync!$J235)=10,Sync!$J235,"نامعتبر")))</f>
        <v/>
      </c>
      <c r="R235">
        <f>IF($P235="","",COUNTIFS($N$6:$N$2005,$N235,$P$6:$P$2005,"&lt;"&amp;$P235)+COUNTIFS($A$6:$A$1005,$N235,$B$6:$B$1005,"&lt;"&amp;$P235)+1)</f>
        <v/>
      </c>
      <c r="S235">
        <f>IF($N235="","",$N235&amp;"|"&amp;RIGHT("000000"&amp;$R235,6))</f>
        <v/>
      </c>
      <c r="T235">
        <f>IF($N235="","",IF(Sync!$N235="",0,Sync!$N235))</f>
        <v/>
      </c>
      <c r="U235">
        <f>IF($N235="","",IF(Sync!$O235="",0,Sync!$O235))</f>
        <v/>
      </c>
      <c r="V235">
        <f>IF($N235="","",Sync!$L235)</f>
        <v/>
      </c>
      <c r="W235">
        <f>IF($N235="","",Sync!$P235)</f>
        <v/>
      </c>
      <c r="AA235">
        <f>IF($A235="","",IF(COUNTIF($A$6:$A235,$A235)=1,1,0))</f>
        <v/>
      </c>
      <c r="AB235">
        <f>SUM($AA$6:$AA235)</f>
        <v/>
      </c>
      <c r="AC235">
        <f>IFERROR(INDEX($A$6:$A$1005,MATCH(ROW()-5,$AB$6:$AB$1005,0)),"")</f>
        <v/>
      </c>
    </row>
    <row r="236">
      <c r="A236">
        <f>IF(OR(Entry!$B239="",Entry!$E239="",$E236="نامعتبر"),"",Entry!$E239)</f>
        <v/>
      </c>
      <c r="B236">
        <f>IF($A236="","",LEFT($E236,4)&amp;MID($E236,6,2)&amp;RIGHT($E236,2)&amp;$F236&amp;"|"&amp;"1"&amp;RIGHT("00000"&amp;231,5))</f>
        <v/>
      </c>
      <c r="C236">
        <f>IF($B236="","",COUNTIFS($A$6:$A$1005,$A236,$B$6:$B$1005,"&lt;"&amp;$B236)+COUNTIFS($N$6:$N$2005,$A236,$P$6:$P$2005,"&lt;"&amp;$B236)+1)</f>
        <v/>
      </c>
      <c r="D236">
        <f>IF($C236="","",$A236&amp;"|"&amp;RIGHT("000000"&amp;$C236,6))</f>
        <v/>
      </c>
      <c r="E236">
        <f>IF(Entry!$B239="","",IF(ISNUMBER(Entry!$B239),IF(AND(Entry!$B239&gt;=10000101,Entry!$B239&lt;=99991231),INT(Entry!$B239/10000)&amp;"/"&amp;RIGHT("00"&amp;INT(MOD(Entry!$B239,10000)/100),2)&amp;"/"&amp;RIGHT("00"&amp;MOD(Entry!$B239,100),2),"نامعتبر"),IF(LEN(Entry!$B239)=10,Entry!$B239,"نامعتبر")))</f>
        <v/>
      </c>
      <c r="F236">
        <f>IF(Entry!$B239="","",IF(Entry!$C239="","0000",IF(AND(ISNUMBER(Entry!$C239),Entry!$C239&gt;=0,Entry!$C239&lt;1),RIGHT("00"&amp;HOUR(Entry!$C239),2)&amp;RIGHT("00"&amp;MINUTE(Entry!$C239),2),IFERROR(RIGHT("00"&amp;VALUE(LEFT(Entry!$C239,FIND(":",Entry!$C239)-1)),2)&amp;RIGHT("00"&amp;VALUE(MID(Entry!$C239,FIND(":",Entry!$C239)+1,2)),2),"0000"))))</f>
        <v/>
      </c>
      <c r="G236">
        <f>IF($A236="","",Entry!$G239)</f>
        <v/>
      </c>
      <c r="H236">
        <f>IF($A236="","",IF(Entry!$H239="",0,Entry!$H239))</f>
        <v/>
      </c>
      <c r="I236">
        <f>IF($A236="","",IF(Entry!$I239="",0,Entry!$I239))</f>
        <v/>
      </c>
      <c r="J236">
        <f>IF($A236="","",ROUND($H236*$I236,0))</f>
        <v/>
      </c>
      <c r="K236">
        <f>IF($A236="","",Entry!$D239)</f>
        <v/>
      </c>
      <c r="L236">
        <f>IF($A236="","",Entry!$L239)</f>
        <v/>
      </c>
      <c r="N236">
        <f>IF(OR(Sync!$M236="",$Q236="",$Q236="نامعتبر"),"",Sync!$M236)</f>
        <v/>
      </c>
      <c r="O236">
        <f>IF($N236="","",$Q236)</f>
        <v/>
      </c>
      <c r="P236">
        <f>IF($N236="","",LEFT($Q236,4)&amp;MID($Q236,6,2)&amp;RIGHT($Q236,2)&amp;IF(Sync!$K236="","0000",IF(AND(ISNUMBER(Sync!$K236),Sync!$K236&gt;=0,Sync!$K236&lt;1),RIGHT("00"&amp;HOUR(Sync!$K236),2)&amp;RIGHT("00"&amp;MINUTE(Sync!$K236),2),IFERROR(RIGHT("00"&amp;VALUE(LEFT(Sync!$K236,FIND(":",Sync!$K236)-1)),2)&amp;RIGHT("00"&amp;VALUE(MID(Sync!$K236,FIND(":",Sync!$K236)+1,2)),2),"0000")))&amp;"|"&amp;"2"&amp;RIGHT("00000"&amp;231,5))</f>
        <v/>
      </c>
      <c r="Q236">
        <f>IF(Sync!$J236="","",IF(ISNUMBER(Sync!$J236),IF(AND(Sync!$J236&gt;=10000101,Sync!$J236&lt;=99991231),INT(Sync!$J236/10000)&amp;"/"&amp;RIGHT("00"&amp;INT(MOD(Sync!$J236,10000)/100),2)&amp;"/"&amp;RIGHT("00"&amp;MOD(Sync!$J236,100),2),"نامعتبر"),IF(LEN(Sync!$J236)=10,Sync!$J236,"نامعتبر")))</f>
        <v/>
      </c>
      <c r="R236">
        <f>IF($P236="","",COUNTIFS($N$6:$N$2005,$N236,$P$6:$P$2005,"&lt;"&amp;$P236)+COUNTIFS($A$6:$A$1005,$N236,$B$6:$B$1005,"&lt;"&amp;$P236)+1)</f>
        <v/>
      </c>
      <c r="S236">
        <f>IF($N236="","",$N236&amp;"|"&amp;RIGHT("000000"&amp;$R236,6))</f>
        <v/>
      </c>
      <c r="T236">
        <f>IF($N236="","",IF(Sync!$N236="",0,Sync!$N236))</f>
        <v/>
      </c>
      <c r="U236">
        <f>IF($N236="","",IF(Sync!$O236="",0,Sync!$O236))</f>
        <v/>
      </c>
      <c r="V236">
        <f>IF($N236="","",Sync!$L236)</f>
        <v/>
      </c>
      <c r="W236">
        <f>IF($N236="","",Sync!$P236)</f>
        <v/>
      </c>
      <c r="AA236">
        <f>IF($A236="","",IF(COUNTIF($A$6:$A236,$A236)=1,1,0))</f>
        <v/>
      </c>
      <c r="AB236">
        <f>SUM($AA$6:$AA236)</f>
        <v/>
      </c>
      <c r="AC236">
        <f>IFERROR(INDEX($A$6:$A$1005,MATCH(ROW()-5,$AB$6:$AB$1005,0)),"")</f>
        <v/>
      </c>
    </row>
    <row r="237">
      <c r="A237">
        <f>IF(OR(Entry!$B240="",Entry!$E240="",$E237="نامعتبر"),"",Entry!$E240)</f>
        <v/>
      </c>
      <c r="B237">
        <f>IF($A237="","",LEFT($E237,4)&amp;MID($E237,6,2)&amp;RIGHT($E237,2)&amp;$F237&amp;"|"&amp;"1"&amp;RIGHT("00000"&amp;232,5))</f>
        <v/>
      </c>
      <c r="C237">
        <f>IF($B237="","",COUNTIFS($A$6:$A$1005,$A237,$B$6:$B$1005,"&lt;"&amp;$B237)+COUNTIFS($N$6:$N$2005,$A237,$P$6:$P$2005,"&lt;"&amp;$B237)+1)</f>
        <v/>
      </c>
      <c r="D237">
        <f>IF($C237="","",$A237&amp;"|"&amp;RIGHT("000000"&amp;$C237,6))</f>
        <v/>
      </c>
      <c r="E237">
        <f>IF(Entry!$B240="","",IF(ISNUMBER(Entry!$B240),IF(AND(Entry!$B240&gt;=10000101,Entry!$B240&lt;=99991231),INT(Entry!$B240/10000)&amp;"/"&amp;RIGHT("00"&amp;INT(MOD(Entry!$B240,10000)/100),2)&amp;"/"&amp;RIGHT("00"&amp;MOD(Entry!$B240,100),2),"نامعتبر"),IF(LEN(Entry!$B240)=10,Entry!$B240,"نامعتبر")))</f>
        <v/>
      </c>
      <c r="F237">
        <f>IF(Entry!$B240="","",IF(Entry!$C240="","0000",IF(AND(ISNUMBER(Entry!$C240),Entry!$C240&gt;=0,Entry!$C240&lt;1),RIGHT("00"&amp;HOUR(Entry!$C240),2)&amp;RIGHT("00"&amp;MINUTE(Entry!$C240),2),IFERROR(RIGHT("00"&amp;VALUE(LEFT(Entry!$C240,FIND(":",Entry!$C240)-1)),2)&amp;RIGHT("00"&amp;VALUE(MID(Entry!$C240,FIND(":",Entry!$C240)+1,2)),2),"0000"))))</f>
        <v/>
      </c>
      <c r="G237">
        <f>IF($A237="","",Entry!$G240)</f>
        <v/>
      </c>
      <c r="H237">
        <f>IF($A237="","",IF(Entry!$H240="",0,Entry!$H240))</f>
        <v/>
      </c>
      <c r="I237">
        <f>IF($A237="","",IF(Entry!$I240="",0,Entry!$I240))</f>
        <v/>
      </c>
      <c r="J237">
        <f>IF($A237="","",ROUND($H237*$I237,0))</f>
        <v/>
      </c>
      <c r="K237">
        <f>IF($A237="","",Entry!$D240)</f>
        <v/>
      </c>
      <c r="L237">
        <f>IF($A237="","",Entry!$L240)</f>
        <v/>
      </c>
      <c r="N237">
        <f>IF(OR(Sync!$M237="",$Q237="",$Q237="نامعتبر"),"",Sync!$M237)</f>
        <v/>
      </c>
      <c r="O237">
        <f>IF($N237="","",$Q237)</f>
        <v/>
      </c>
      <c r="P237">
        <f>IF($N237="","",LEFT($Q237,4)&amp;MID($Q237,6,2)&amp;RIGHT($Q237,2)&amp;IF(Sync!$K237="","0000",IF(AND(ISNUMBER(Sync!$K237),Sync!$K237&gt;=0,Sync!$K237&lt;1),RIGHT("00"&amp;HOUR(Sync!$K237),2)&amp;RIGHT("00"&amp;MINUTE(Sync!$K237),2),IFERROR(RIGHT("00"&amp;VALUE(LEFT(Sync!$K237,FIND(":",Sync!$K237)-1)),2)&amp;RIGHT("00"&amp;VALUE(MID(Sync!$K237,FIND(":",Sync!$K237)+1,2)),2),"0000")))&amp;"|"&amp;"2"&amp;RIGHT("00000"&amp;232,5))</f>
        <v/>
      </c>
      <c r="Q237">
        <f>IF(Sync!$J237="","",IF(ISNUMBER(Sync!$J237),IF(AND(Sync!$J237&gt;=10000101,Sync!$J237&lt;=99991231),INT(Sync!$J237/10000)&amp;"/"&amp;RIGHT("00"&amp;INT(MOD(Sync!$J237,10000)/100),2)&amp;"/"&amp;RIGHT("00"&amp;MOD(Sync!$J237,100),2),"نامعتبر"),IF(LEN(Sync!$J237)=10,Sync!$J237,"نامعتبر")))</f>
        <v/>
      </c>
      <c r="R237">
        <f>IF($P237="","",COUNTIFS($N$6:$N$2005,$N237,$P$6:$P$2005,"&lt;"&amp;$P237)+COUNTIFS($A$6:$A$1005,$N237,$B$6:$B$1005,"&lt;"&amp;$P237)+1)</f>
        <v/>
      </c>
      <c r="S237">
        <f>IF($N237="","",$N237&amp;"|"&amp;RIGHT("000000"&amp;$R237,6))</f>
        <v/>
      </c>
      <c r="T237">
        <f>IF($N237="","",IF(Sync!$N237="",0,Sync!$N237))</f>
        <v/>
      </c>
      <c r="U237">
        <f>IF($N237="","",IF(Sync!$O237="",0,Sync!$O237))</f>
        <v/>
      </c>
      <c r="V237">
        <f>IF($N237="","",Sync!$L237)</f>
        <v/>
      </c>
      <c r="W237">
        <f>IF($N237="","",Sync!$P237)</f>
        <v/>
      </c>
      <c r="AA237">
        <f>IF($A237="","",IF(COUNTIF($A$6:$A237,$A237)=1,1,0))</f>
        <v/>
      </c>
      <c r="AB237">
        <f>SUM($AA$6:$AA237)</f>
        <v/>
      </c>
      <c r="AC237">
        <f>IFERROR(INDEX($A$6:$A$1005,MATCH(ROW()-5,$AB$6:$AB$1005,0)),"")</f>
        <v/>
      </c>
    </row>
    <row r="238">
      <c r="A238">
        <f>IF(OR(Entry!$B241="",Entry!$E241="",$E238="نامعتبر"),"",Entry!$E241)</f>
        <v/>
      </c>
      <c r="B238">
        <f>IF($A238="","",LEFT($E238,4)&amp;MID($E238,6,2)&amp;RIGHT($E238,2)&amp;$F238&amp;"|"&amp;"1"&amp;RIGHT("00000"&amp;233,5))</f>
        <v/>
      </c>
      <c r="C238">
        <f>IF($B238="","",COUNTIFS($A$6:$A$1005,$A238,$B$6:$B$1005,"&lt;"&amp;$B238)+COUNTIFS($N$6:$N$2005,$A238,$P$6:$P$2005,"&lt;"&amp;$B238)+1)</f>
        <v/>
      </c>
      <c r="D238">
        <f>IF($C238="","",$A238&amp;"|"&amp;RIGHT("000000"&amp;$C238,6))</f>
        <v/>
      </c>
      <c r="E238">
        <f>IF(Entry!$B241="","",IF(ISNUMBER(Entry!$B241),IF(AND(Entry!$B241&gt;=10000101,Entry!$B241&lt;=99991231),INT(Entry!$B241/10000)&amp;"/"&amp;RIGHT("00"&amp;INT(MOD(Entry!$B241,10000)/100),2)&amp;"/"&amp;RIGHT("00"&amp;MOD(Entry!$B241,100),2),"نامعتبر"),IF(LEN(Entry!$B241)=10,Entry!$B241,"نامعتبر")))</f>
        <v/>
      </c>
      <c r="F238">
        <f>IF(Entry!$B241="","",IF(Entry!$C241="","0000",IF(AND(ISNUMBER(Entry!$C241),Entry!$C241&gt;=0,Entry!$C241&lt;1),RIGHT("00"&amp;HOUR(Entry!$C241),2)&amp;RIGHT("00"&amp;MINUTE(Entry!$C241),2),IFERROR(RIGHT("00"&amp;VALUE(LEFT(Entry!$C241,FIND(":",Entry!$C241)-1)),2)&amp;RIGHT("00"&amp;VALUE(MID(Entry!$C241,FIND(":",Entry!$C241)+1,2)),2),"0000"))))</f>
        <v/>
      </c>
      <c r="G238">
        <f>IF($A238="","",Entry!$G241)</f>
        <v/>
      </c>
      <c r="H238">
        <f>IF($A238="","",IF(Entry!$H241="",0,Entry!$H241))</f>
        <v/>
      </c>
      <c r="I238">
        <f>IF($A238="","",IF(Entry!$I241="",0,Entry!$I241))</f>
        <v/>
      </c>
      <c r="J238">
        <f>IF($A238="","",ROUND($H238*$I238,0))</f>
        <v/>
      </c>
      <c r="K238">
        <f>IF($A238="","",Entry!$D241)</f>
        <v/>
      </c>
      <c r="L238">
        <f>IF($A238="","",Entry!$L241)</f>
        <v/>
      </c>
      <c r="N238">
        <f>IF(OR(Sync!$M238="",$Q238="",$Q238="نامعتبر"),"",Sync!$M238)</f>
        <v/>
      </c>
      <c r="O238">
        <f>IF($N238="","",$Q238)</f>
        <v/>
      </c>
      <c r="P238">
        <f>IF($N238="","",LEFT($Q238,4)&amp;MID($Q238,6,2)&amp;RIGHT($Q238,2)&amp;IF(Sync!$K238="","0000",IF(AND(ISNUMBER(Sync!$K238),Sync!$K238&gt;=0,Sync!$K238&lt;1),RIGHT("00"&amp;HOUR(Sync!$K238),2)&amp;RIGHT("00"&amp;MINUTE(Sync!$K238),2),IFERROR(RIGHT("00"&amp;VALUE(LEFT(Sync!$K238,FIND(":",Sync!$K238)-1)),2)&amp;RIGHT("00"&amp;VALUE(MID(Sync!$K238,FIND(":",Sync!$K238)+1,2)),2),"0000")))&amp;"|"&amp;"2"&amp;RIGHT("00000"&amp;233,5))</f>
        <v/>
      </c>
      <c r="Q238">
        <f>IF(Sync!$J238="","",IF(ISNUMBER(Sync!$J238),IF(AND(Sync!$J238&gt;=10000101,Sync!$J238&lt;=99991231),INT(Sync!$J238/10000)&amp;"/"&amp;RIGHT("00"&amp;INT(MOD(Sync!$J238,10000)/100),2)&amp;"/"&amp;RIGHT("00"&amp;MOD(Sync!$J238,100),2),"نامعتبر"),IF(LEN(Sync!$J238)=10,Sync!$J238,"نامعتبر")))</f>
        <v/>
      </c>
      <c r="R238">
        <f>IF($P238="","",COUNTIFS($N$6:$N$2005,$N238,$P$6:$P$2005,"&lt;"&amp;$P238)+COUNTIFS($A$6:$A$1005,$N238,$B$6:$B$1005,"&lt;"&amp;$P238)+1)</f>
        <v/>
      </c>
      <c r="S238">
        <f>IF($N238="","",$N238&amp;"|"&amp;RIGHT("000000"&amp;$R238,6))</f>
        <v/>
      </c>
      <c r="T238">
        <f>IF($N238="","",IF(Sync!$N238="",0,Sync!$N238))</f>
        <v/>
      </c>
      <c r="U238">
        <f>IF($N238="","",IF(Sync!$O238="",0,Sync!$O238))</f>
        <v/>
      </c>
      <c r="V238">
        <f>IF($N238="","",Sync!$L238)</f>
        <v/>
      </c>
      <c r="W238">
        <f>IF($N238="","",Sync!$P238)</f>
        <v/>
      </c>
      <c r="AA238">
        <f>IF($A238="","",IF(COUNTIF($A$6:$A238,$A238)=1,1,0))</f>
        <v/>
      </c>
      <c r="AB238">
        <f>SUM($AA$6:$AA238)</f>
        <v/>
      </c>
      <c r="AC238">
        <f>IFERROR(INDEX($A$6:$A$1005,MATCH(ROW()-5,$AB$6:$AB$1005,0)),"")</f>
        <v/>
      </c>
    </row>
    <row r="239">
      <c r="A239">
        <f>IF(OR(Entry!$B242="",Entry!$E242="",$E239="نامعتبر"),"",Entry!$E242)</f>
        <v/>
      </c>
      <c r="B239">
        <f>IF($A239="","",LEFT($E239,4)&amp;MID($E239,6,2)&amp;RIGHT($E239,2)&amp;$F239&amp;"|"&amp;"1"&amp;RIGHT("00000"&amp;234,5))</f>
        <v/>
      </c>
      <c r="C239">
        <f>IF($B239="","",COUNTIFS($A$6:$A$1005,$A239,$B$6:$B$1005,"&lt;"&amp;$B239)+COUNTIFS($N$6:$N$2005,$A239,$P$6:$P$2005,"&lt;"&amp;$B239)+1)</f>
        <v/>
      </c>
      <c r="D239">
        <f>IF($C239="","",$A239&amp;"|"&amp;RIGHT("000000"&amp;$C239,6))</f>
        <v/>
      </c>
      <c r="E239">
        <f>IF(Entry!$B242="","",IF(ISNUMBER(Entry!$B242),IF(AND(Entry!$B242&gt;=10000101,Entry!$B242&lt;=99991231),INT(Entry!$B242/10000)&amp;"/"&amp;RIGHT("00"&amp;INT(MOD(Entry!$B242,10000)/100),2)&amp;"/"&amp;RIGHT("00"&amp;MOD(Entry!$B242,100),2),"نامعتبر"),IF(LEN(Entry!$B242)=10,Entry!$B242,"نامعتبر")))</f>
        <v/>
      </c>
      <c r="F239">
        <f>IF(Entry!$B242="","",IF(Entry!$C242="","0000",IF(AND(ISNUMBER(Entry!$C242),Entry!$C242&gt;=0,Entry!$C242&lt;1),RIGHT("00"&amp;HOUR(Entry!$C242),2)&amp;RIGHT("00"&amp;MINUTE(Entry!$C242),2),IFERROR(RIGHT("00"&amp;VALUE(LEFT(Entry!$C242,FIND(":",Entry!$C242)-1)),2)&amp;RIGHT("00"&amp;VALUE(MID(Entry!$C242,FIND(":",Entry!$C242)+1,2)),2),"0000"))))</f>
        <v/>
      </c>
      <c r="G239">
        <f>IF($A239="","",Entry!$G242)</f>
        <v/>
      </c>
      <c r="H239">
        <f>IF($A239="","",IF(Entry!$H242="",0,Entry!$H242))</f>
        <v/>
      </c>
      <c r="I239">
        <f>IF($A239="","",IF(Entry!$I242="",0,Entry!$I242))</f>
        <v/>
      </c>
      <c r="J239">
        <f>IF($A239="","",ROUND($H239*$I239,0))</f>
        <v/>
      </c>
      <c r="K239">
        <f>IF($A239="","",Entry!$D242)</f>
        <v/>
      </c>
      <c r="L239">
        <f>IF($A239="","",Entry!$L242)</f>
        <v/>
      </c>
      <c r="N239">
        <f>IF(OR(Sync!$M239="",$Q239="",$Q239="نامعتبر"),"",Sync!$M239)</f>
        <v/>
      </c>
      <c r="O239">
        <f>IF($N239="","",$Q239)</f>
        <v/>
      </c>
      <c r="P239">
        <f>IF($N239="","",LEFT($Q239,4)&amp;MID($Q239,6,2)&amp;RIGHT($Q239,2)&amp;IF(Sync!$K239="","0000",IF(AND(ISNUMBER(Sync!$K239),Sync!$K239&gt;=0,Sync!$K239&lt;1),RIGHT("00"&amp;HOUR(Sync!$K239),2)&amp;RIGHT("00"&amp;MINUTE(Sync!$K239),2),IFERROR(RIGHT("00"&amp;VALUE(LEFT(Sync!$K239,FIND(":",Sync!$K239)-1)),2)&amp;RIGHT("00"&amp;VALUE(MID(Sync!$K239,FIND(":",Sync!$K239)+1,2)),2),"0000")))&amp;"|"&amp;"2"&amp;RIGHT("00000"&amp;234,5))</f>
        <v/>
      </c>
      <c r="Q239">
        <f>IF(Sync!$J239="","",IF(ISNUMBER(Sync!$J239),IF(AND(Sync!$J239&gt;=10000101,Sync!$J239&lt;=99991231),INT(Sync!$J239/10000)&amp;"/"&amp;RIGHT("00"&amp;INT(MOD(Sync!$J239,10000)/100),2)&amp;"/"&amp;RIGHT("00"&amp;MOD(Sync!$J239,100),2),"نامعتبر"),IF(LEN(Sync!$J239)=10,Sync!$J239,"نامعتبر")))</f>
        <v/>
      </c>
      <c r="R239">
        <f>IF($P239="","",COUNTIFS($N$6:$N$2005,$N239,$P$6:$P$2005,"&lt;"&amp;$P239)+COUNTIFS($A$6:$A$1005,$N239,$B$6:$B$1005,"&lt;"&amp;$P239)+1)</f>
        <v/>
      </c>
      <c r="S239">
        <f>IF($N239="","",$N239&amp;"|"&amp;RIGHT("000000"&amp;$R239,6))</f>
        <v/>
      </c>
      <c r="T239">
        <f>IF($N239="","",IF(Sync!$N239="",0,Sync!$N239))</f>
        <v/>
      </c>
      <c r="U239">
        <f>IF($N239="","",IF(Sync!$O239="",0,Sync!$O239))</f>
        <v/>
      </c>
      <c r="V239">
        <f>IF($N239="","",Sync!$L239)</f>
        <v/>
      </c>
      <c r="W239">
        <f>IF($N239="","",Sync!$P239)</f>
        <v/>
      </c>
      <c r="AA239">
        <f>IF($A239="","",IF(COUNTIF($A$6:$A239,$A239)=1,1,0))</f>
        <v/>
      </c>
      <c r="AB239">
        <f>SUM($AA$6:$AA239)</f>
        <v/>
      </c>
      <c r="AC239">
        <f>IFERROR(INDEX($A$6:$A$1005,MATCH(ROW()-5,$AB$6:$AB$1005,0)),"")</f>
        <v/>
      </c>
    </row>
    <row r="240">
      <c r="A240">
        <f>IF(OR(Entry!$B243="",Entry!$E243="",$E240="نامعتبر"),"",Entry!$E243)</f>
        <v/>
      </c>
      <c r="B240">
        <f>IF($A240="","",LEFT($E240,4)&amp;MID($E240,6,2)&amp;RIGHT($E240,2)&amp;$F240&amp;"|"&amp;"1"&amp;RIGHT("00000"&amp;235,5))</f>
        <v/>
      </c>
      <c r="C240">
        <f>IF($B240="","",COUNTIFS($A$6:$A$1005,$A240,$B$6:$B$1005,"&lt;"&amp;$B240)+COUNTIFS($N$6:$N$2005,$A240,$P$6:$P$2005,"&lt;"&amp;$B240)+1)</f>
        <v/>
      </c>
      <c r="D240">
        <f>IF($C240="","",$A240&amp;"|"&amp;RIGHT("000000"&amp;$C240,6))</f>
        <v/>
      </c>
      <c r="E240">
        <f>IF(Entry!$B243="","",IF(ISNUMBER(Entry!$B243),IF(AND(Entry!$B243&gt;=10000101,Entry!$B243&lt;=99991231),INT(Entry!$B243/10000)&amp;"/"&amp;RIGHT("00"&amp;INT(MOD(Entry!$B243,10000)/100),2)&amp;"/"&amp;RIGHT("00"&amp;MOD(Entry!$B243,100),2),"نامعتبر"),IF(LEN(Entry!$B243)=10,Entry!$B243,"نامعتبر")))</f>
        <v/>
      </c>
      <c r="F240">
        <f>IF(Entry!$B243="","",IF(Entry!$C243="","0000",IF(AND(ISNUMBER(Entry!$C243),Entry!$C243&gt;=0,Entry!$C243&lt;1),RIGHT("00"&amp;HOUR(Entry!$C243),2)&amp;RIGHT("00"&amp;MINUTE(Entry!$C243),2),IFERROR(RIGHT("00"&amp;VALUE(LEFT(Entry!$C243,FIND(":",Entry!$C243)-1)),2)&amp;RIGHT("00"&amp;VALUE(MID(Entry!$C243,FIND(":",Entry!$C243)+1,2)),2),"0000"))))</f>
        <v/>
      </c>
      <c r="G240">
        <f>IF($A240="","",Entry!$G243)</f>
        <v/>
      </c>
      <c r="H240">
        <f>IF($A240="","",IF(Entry!$H243="",0,Entry!$H243))</f>
        <v/>
      </c>
      <c r="I240">
        <f>IF($A240="","",IF(Entry!$I243="",0,Entry!$I243))</f>
        <v/>
      </c>
      <c r="J240">
        <f>IF($A240="","",ROUND($H240*$I240,0))</f>
        <v/>
      </c>
      <c r="K240">
        <f>IF($A240="","",Entry!$D243)</f>
        <v/>
      </c>
      <c r="L240">
        <f>IF($A240="","",Entry!$L243)</f>
        <v/>
      </c>
      <c r="N240">
        <f>IF(OR(Sync!$M240="",$Q240="",$Q240="نامعتبر"),"",Sync!$M240)</f>
        <v/>
      </c>
      <c r="O240">
        <f>IF($N240="","",$Q240)</f>
        <v/>
      </c>
      <c r="P240">
        <f>IF($N240="","",LEFT($Q240,4)&amp;MID($Q240,6,2)&amp;RIGHT($Q240,2)&amp;IF(Sync!$K240="","0000",IF(AND(ISNUMBER(Sync!$K240),Sync!$K240&gt;=0,Sync!$K240&lt;1),RIGHT("00"&amp;HOUR(Sync!$K240),2)&amp;RIGHT("00"&amp;MINUTE(Sync!$K240),2),IFERROR(RIGHT("00"&amp;VALUE(LEFT(Sync!$K240,FIND(":",Sync!$K240)-1)),2)&amp;RIGHT("00"&amp;VALUE(MID(Sync!$K240,FIND(":",Sync!$K240)+1,2)),2),"0000")))&amp;"|"&amp;"2"&amp;RIGHT("00000"&amp;235,5))</f>
        <v/>
      </c>
      <c r="Q240">
        <f>IF(Sync!$J240="","",IF(ISNUMBER(Sync!$J240),IF(AND(Sync!$J240&gt;=10000101,Sync!$J240&lt;=99991231),INT(Sync!$J240/10000)&amp;"/"&amp;RIGHT("00"&amp;INT(MOD(Sync!$J240,10000)/100),2)&amp;"/"&amp;RIGHT("00"&amp;MOD(Sync!$J240,100),2),"نامعتبر"),IF(LEN(Sync!$J240)=10,Sync!$J240,"نامعتبر")))</f>
        <v/>
      </c>
      <c r="R240">
        <f>IF($P240="","",COUNTIFS($N$6:$N$2005,$N240,$P$6:$P$2005,"&lt;"&amp;$P240)+COUNTIFS($A$6:$A$1005,$N240,$B$6:$B$1005,"&lt;"&amp;$P240)+1)</f>
        <v/>
      </c>
      <c r="S240">
        <f>IF($N240="","",$N240&amp;"|"&amp;RIGHT("000000"&amp;$R240,6))</f>
        <v/>
      </c>
      <c r="T240">
        <f>IF($N240="","",IF(Sync!$N240="",0,Sync!$N240))</f>
        <v/>
      </c>
      <c r="U240">
        <f>IF($N240="","",IF(Sync!$O240="",0,Sync!$O240))</f>
        <v/>
      </c>
      <c r="V240">
        <f>IF($N240="","",Sync!$L240)</f>
        <v/>
      </c>
      <c r="W240">
        <f>IF($N240="","",Sync!$P240)</f>
        <v/>
      </c>
      <c r="AA240">
        <f>IF($A240="","",IF(COUNTIF($A$6:$A240,$A240)=1,1,0))</f>
        <v/>
      </c>
      <c r="AB240">
        <f>SUM($AA$6:$AA240)</f>
        <v/>
      </c>
      <c r="AC240">
        <f>IFERROR(INDEX($A$6:$A$1005,MATCH(ROW()-5,$AB$6:$AB$1005,0)),"")</f>
        <v/>
      </c>
    </row>
    <row r="241">
      <c r="A241">
        <f>IF(OR(Entry!$B244="",Entry!$E244="",$E241="نامعتبر"),"",Entry!$E244)</f>
        <v/>
      </c>
      <c r="B241">
        <f>IF($A241="","",LEFT($E241,4)&amp;MID($E241,6,2)&amp;RIGHT($E241,2)&amp;$F241&amp;"|"&amp;"1"&amp;RIGHT("00000"&amp;236,5))</f>
        <v/>
      </c>
      <c r="C241">
        <f>IF($B241="","",COUNTIFS($A$6:$A$1005,$A241,$B$6:$B$1005,"&lt;"&amp;$B241)+COUNTIFS($N$6:$N$2005,$A241,$P$6:$P$2005,"&lt;"&amp;$B241)+1)</f>
        <v/>
      </c>
      <c r="D241">
        <f>IF($C241="","",$A241&amp;"|"&amp;RIGHT("000000"&amp;$C241,6))</f>
        <v/>
      </c>
      <c r="E241">
        <f>IF(Entry!$B244="","",IF(ISNUMBER(Entry!$B244),IF(AND(Entry!$B244&gt;=10000101,Entry!$B244&lt;=99991231),INT(Entry!$B244/10000)&amp;"/"&amp;RIGHT("00"&amp;INT(MOD(Entry!$B244,10000)/100),2)&amp;"/"&amp;RIGHT("00"&amp;MOD(Entry!$B244,100),2),"نامعتبر"),IF(LEN(Entry!$B244)=10,Entry!$B244,"نامعتبر")))</f>
        <v/>
      </c>
      <c r="F241">
        <f>IF(Entry!$B244="","",IF(Entry!$C244="","0000",IF(AND(ISNUMBER(Entry!$C244),Entry!$C244&gt;=0,Entry!$C244&lt;1),RIGHT("00"&amp;HOUR(Entry!$C244),2)&amp;RIGHT("00"&amp;MINUTE(Entry!$C244),2),IFERROR(RIGHT("00"&amp;VALUE(LEFT(Entry!$C244,FIND(":",Entry!$C244)-1)),2)&amp;RIGHT("00"&amp;VALUE(MID(Entry!$C244,FIND(":",Entry!$C244)+1,2)),2),"0000"))))</f>
        <v/>
      </c>
      <c r="G241">
        <f>IF($A241="","",Entry!$G244)</f>
        <v/>
      </c>
      <c r="H241">
        <f>IF($A241="","",IF(Entry!$H244="",0,Entry!$H244))</f>
        <v/>
      </c>
      <c r="I241">
        <f>IF($A241="","",IF(Entry!$I244="",0,Entry!$I244))</f>
        <v/>
      </c>
      <c r="J241">
        <f>IF($A241="","",ROUND($H241*$I241,0))</f>
        <v/>
      </c>
      <c r="K241">
        <f>IF($A241="","",Entry!$D244)</f>
        <v/>
      </c>
      <c r="L241">
        <f>IF($A241="","",Entry!$L244)</f>
        <v/>
      </c>
      <c r="N241">
        <f>IF(OR(Sync!$M241="",$Q241="",$Q241="نامعتبر"),"",Sync!$M241)</f>
        <v/>
      </c>
      <c r="O241">
        <f>IF($N241="","",$Q241)</f>
        <v/>
      </c>
      <c r="P241">
        <f>IF($N241="","",LEFT($Q241,4)&amp;MID($Q241,6,2)&amp;RIGHT($Q241,2)&amp;IF(Sync!$K241="","0000",IF(AND(ISNUMBER(Sync!$K241),Sync!$K241&gt;=0,Sync!$K241&lt;1),RIGHT("00"&amp;HOUR(Sync!$K241),2)&amp;RIGHT("00"&amp;MINUTE(Sync!$K241),2),IFERROR(RIGHT("00"&amp;VALUE(LEFT(Sync!$K241,FIND(":",Sync!$K241)-1)),2)&amp;RIGHT("00"&amp;VALUE(MID(Sync!$K241,FIND(":",Sync!$K241)+1,2)),2),"0000")))&amp;"|"&amp;"2"&amp;RIGHT("00000"&amp;236,5))</f>
        <v/>
      </c>
      <c r="Q241">
        <f>IF(Sync!$J241="","",IF(ISNUMBER(Sync!$J241),IF(AND(Sync!$J241&gt;=10000101,Sync!$J241&lt;=99991231),INT(Sync!$J241/10000)&amp;"/"&amp;RIGHT("00"&amp;INT(MOD(Sync!$J241,10000)/100),2)&amp;"/"&amp;RIGHT("00"&amp;MOD(Sync!$J241,100),2),"نامعتبر"),IF(LEN(Sync!$J241)=10,Sync!$J241,"نامعتبر")))</f>
        <v/>
      </c>
      <c r="R241">
        <f>IF($P241="","",COUNTIFS($N$6:$N$2005,$N241,$P$6:$P$2005,"&lt;"&amp;$P241)+COUNTIFS($A$6:$A$1005,$N241,$B$6:$B$1005,"&lt;"&amp;$P241)+1)</f>
        <v/>
      </c>
      <c r="S241">
        <f>IF($N241="","",$N241&amp;"|"&amp;RIGHT("000000"&amp;$R241,6))</f>
        <v/>
      </c>
      <c r="T241">
        <f>IF($N241="","",IF(Sync!$N241="",0,Sync!$N241))</f>
        <v/>
      </c>
      <c r="U241">
        <f>IF($N241="","",IF(Sync!$O241="",0,Sync!$O241))</f>
        <v/>
      </c>
      <c r="V241">
        <f>IF($N241="","",Sync!$L241)</f>
        <v/>
      </c>
      <c r="W241">
        <f>IF($N241="","",Sync!$P241)</f>
        <v/>
      </c>
      <c r="AA241">
        <f>IF($A241="","",IF(COUNTIF($A$6:$A241,$A241)=1,1,0))</f>
        <v/>
      </c>
      <c r="AB241">
        <f>SUM($AA$6:$AA241)</f>
        <v/>
      </c>
      <c r="AC241">
        <f>IFERROR(INDEX($A$6:$A$1005,MATCH(ROW()-5,$AB$6:$AB$1005,0)),"")</f>
        <v/>
      </c>
    </row>
    <row r="242">
      <c r="A242">
        <f>IF(OR(Entry!$B245="",Entry!$E245="",$E242="نامعتبر"),"",Entry!$E245)</f>
        <v/>
      </c>
      <c r="B242">
        <f>IF($A242="","",LEFT($E242,4)&amp;MID($E242,6,2)&amp;RIGHT($E242,2)&amp;$F242&amp;"|"&amp;"1"&amp;RIGHT("00000"&amp;237,5))</f>
        <v/>
      </c>
      <c r="C242">
        <f>IF($B242="","",COUNTIFS($A$6:$A$1005,$A242,$B$6:$B$1005,"&lt;"&amp;$B242)+COUNTIFS($N$6:$N$2005,$A242,$P$6:$P$2005,"&lt;"&amp;$B242)+1)</f>
        <v/>
      </c>
      <c r="D242">
        <f>IF($C242="","",$A242&amp;"|"&amp;RIGHT("000000"&amp;$C242,6))</f>
        <v/>
      </c>
      <c r="E242">
        <f>IF(Entry!$B245="","",IF(ISNUMBER(Entry!$B245),IF(AND(Entry!$B245&gt;=10000101,Entry!$B245&lt;=99991231),INT(Entry!$B245/10000)&amp;"/"&amp;RIGHT("00"&amp;INT(MOD(Entry!$B245,10000)/100),2)&amp;"/"&amp;RIGHT("00"&amp;MOD(Entry!$B245,100),2),"نامعتبر"),IF(LEN(Entry!$B245)=10,Entry!$B245,"نامعتبر")))</f>
        <v/>
      </c>
      <c r="F242">
        <f>IF(Entry!$B245="","",IF(Entry!$C245="","0000",IF(AND(ISNUMBER(Entry!$C245),Entry!$C245&gt;=0,Entry!$C245&lt;1),RIGHT("00"&amp;HOUR(Entry!$C245),2)&amp;RIGHT("00"&amp;MINUTE(Entry!$C245),2),IFERROR(RIGHT("00"&amp;VALUE(LEFT(Entry!$C245,FIND(":",Entry!$C245)-1)),2)&amp;RIGHT("00"&amp;VALUE(MID(Entry!$C245,FIND(":",Entry!$C245)+1,2)),2),"0000"))))</f>
        <v/>
      </c>
      <c r="G242">
        <f>IF($A242="","",Entry!$G245)</f>
        <v/>
      </c>
      <c r="H242">
        <f>IF($A242="","",IF(Entry!$H245="",0,Entry!$H245))</f>
        <v/>
      </c>
      <c r="I242">
        <f>IF($A242="","",IF(Entry!$I245="",0,Entry!$I245))</f>
        <v/>
      </c>
      <c r="J242">
        <f>IF($A242="","",ROUND($H242*$I242,0))</f>
        <v/>
      </c>
      <c r="K242">
        <f>IF($A242="","",Entry!$D245)</f>
        <v/>
      </c>
      <c r="L242">
        <f>IF($A242="","",Entry!$L245)</f>
        <v/>
      </c>
      <c r="N242">
        <f>IF(OR(Sync!$M242="",$Q242="",$Q242="نامعتبر"),"",Sync!$M242)</f>
        <v/>
      </c>
      <c r="O242">
        <f>IF($N242="","",$Q242)</f>
        <v/>
      </c>
      <c r="P242">
        <f>IF($N242="","",LEFT($Q242,4)&amp;MID($Q242,6,2)&amp;RIGHT($Q242,2)&amp;IF(Sync!$K242="","0000",IF(AND(ISNUMBER(Sync!$K242),Sync!$K242&gt;=0,Sync!$K242&lt;1),RIGHT("00"&amp;HOUR(Sync!$K242),2)&amp;RIGHT("00"&amp;MINUTE(Sync!$K242),2),IFERROR(RIGHT("00"&amp;VALUE(LEFT(Sync!$K242,FIND(":",Sync!$K242)-1)),2)&amp;RIGHT("00"&amp;VALUE(MID(Sync!$K242,FIND(":",Sync!$K242)+1,2)),2),"0000")))&amp;"|"&amp;"2"&amp;RIGHT("00000"&amp;237,5))</f>
        <v/>
      </c>
      <c r="Q242">
        <f>IF(Sync!$J242="","",IF(ISNUMBER(Sync!$J242),IF(AND(Sync!$J242&gt;=10000101,Sync!$J242&lt;=99991231),INT(Sync!$J242/10000)&amp;"/"&amp;RIGHT("00"&amp;INT(MOD(Sync!$J242,10000)/100),2)&amp;"/"&amp;RIGHT("00"&amp;MOD(Sync!$J242,100),2),"نامعتبر"),IF(LEN(Sync!$J242)=10,Sync!$J242,"نامعتبر")))</f>
        <v/>
      </c>
      <c r="R242">
        <f>IF($P242="","",COUNTIFS($N$6:$N$2005,$N242,$P$6:$P$2005,"&lt;"&amp;$P242)+COUNTIFS($A$6:$A$1005,$N242,$B$6:$B$1005,"&lt;"&amp;$P242)+1)</f>
        <v/>
      </c>
      <c r="S242">
        <f>IF($N242="","",$N242&amp;"|"&amp;RIGHT("000000"&amp;$R242,6))</f>
        <v/>
      </c>
      <c r="T242">
        <f>IF($N242="","",IF(Sync!$N242="",0,Sync!$N242))</f>
        <v/>
      </c>
      <c r="U242">
        <f>IF($N242="","",IF(Sync!$O242="",0,Sync!$O242))</f>
        <v/>
      </c>
      <c r="V242">
        <f>IF($N242="","",Sync!$L242)</f>
        <v/>
      </c>
      <c r="W242">
        <f>IF($N242="","",Sync!$P242)</f>
        <v/>
      </c>
      <c r="AA242">
        <f>IF($A242="","",IF(COUNTIF($A$6:$A242,$A242)=1,1,0))</f>
        <v/>
      </c>
      <c r="AB242">
        <f>SUM($AA$6:$AA242)</f>
        <v/>
      </c>
      <c r="AC242">
        <f>IFERROR(INDEX($A$6:$A$1005,MATCH(ROW()-5,$AB$6:$AB$1005,0)),"")</f>
        <v/>
      </c>
    </row>
    <row r="243">
      <c r="A243">
        <f>IF(OR(Entry!$B246="",Entry!$E246="",$E243="نامعتبر"),"",Entry!$E246)</f>
        <v/>
      </c>
      <c r="B243">
        <f>IF($A243="","",LEFT($E243,4)&amp;MID($E243,6,2)&amp;RIGHT($E243,2)&amp;$F243&amp;"|"&amp;"1"&amp;RIGHT("00000"&amp;238,5))</f>
        <v/>
      </c>
      <c r="C243">
        <f>IF($B243="","",COUNTIFS($A$6:$A$1005,$A243,$B$6:$B$1005,"&lt;"&amp;$B243)+COUNTIFS($N$6:$N$2005,$A243,$P$6:$P$2005,"&lt;"&amp;$B243)+1)</f>
        <v/>
      </c>
      <c r="D243">
        <f>IF($C243="","",$A243&amp;"|"&amp;RIGHT("000000"&amp;$C243,6))</f>
        <v/>
      </c>
      <c r="E243">
        <f>IF(Entry!$B246="","",IF(ISNUMBER(Entry!$B246),IF(AND(Entry!$B246&gt;=10000101,Entry!$B246&lt;=99991231),INT(Entry!$B246/10000)&amp;"/"&amp;RIGHT("00"&amp;INT(MOD(Entry!$B246,10000)/100),2)&amp;"/"&amp;RIGHT("00"&amp;MOD(Entry!$B246,100),2),"نامعتبر"),IF(LEN(Entry!$B246)=10,Entry!$B246,"نامعتبر")))</f>
        <v/>
      </c>
      <c r="F243">
        <f>IF(Entry!$B246="","",IF(Entry!$C246="","0000",IF(AND(ISNUMBER(Entry!$C246),Entry!$C246&gt;=0,Entry!$C246&lt;1),RIGHT("00"&amp;HOUR(Entry!$C246),2)&amp;RIGHT("00"&amp;MINUTE(Entry!$C246),2),IFERROR(RIGHT("00"&amp;VALUE(LEFT(Entry!$C246,FIND(":",Entry!$C246)-1)),2)&amp;RIGHT("00"&amp;VALUE(MID(Entry!$C246,FIND(":",Entry!$C246)+1,2)),2),"0000"))))</f>
        <v/>
      </c>
      <c r="G243">
        <f>IF($A243="","",Entry!$G246)</f>
        <v/>
      </c>
      <c r="H243">
        <f>IF($A243="","",IF(Entry!$H246="",0,Entry!$H246))</f>
        <v/>
      </c>
      <c r="I243">
        <f>IF($A243="","",IF(Entry!$I246="",0,Entry!$I246))</f>
        <v/>
      </c>
      <c r="J243">
        <f>IF($A243="","",ROUND($H243*$I243,0))</f>
        <v/>
      </c>
      <c r="K243">
        <f>IF($A243="","",Entry!$D246)</f>
        <v/>
      </c>
      <c r="L243">
        <f>IF($A243="","",Entry!$L246)</f>
        <v/>
      </c>
      <c r="N243">
        <f>IF(OR(Sync!$M243="",$Q243="",$Q243="نامعتبر"),"",Sync!$M243)</f>
        <v/>
      </c>
      <c r="O243">
        <f>IF($N243="","",$Q243)</f>
        <v/>
      </c>
      <c r="P243">
        <f>IF($N243="","",LEFT($Q243,4)&amp;MID($Q243,6,2)&amp;RIGHT($Q243,2)&amp;IF(Sync!$K243="","0000",IF(AND(ISNUMBER(Sync!$K243),Sync!$K243&gt;=0,Sync!$K243&lt;1),RIGHT("00"&amp;HOUR(Sync!$K243),2)&amp;RIGHT("00"&amp;MINUTE(Sync!$K243),2),IFERROR(RIGHT("00"&amp;VALUE(LEFT(Sync!$K243,FIND(":",Sync!$K243)-1)),2)&amp;RIGHT("00"&amp;VALUE(MID(Sync!$K243,FIND(":",Sync!$K243)+1,2)),2),"0000")))&amp;"|"&amp;"2"&amp;RIGHT("00000"&amp;238,5))</f>
        <v/>
      </c>
      <c r="Q243">
        <f>IF(Sync!$J243="","",IF(ISNUMBER(Sync!$J243),IF(AND(Sync!$J243&gt;=10000101,Sync!$J243&lt;=99991231),INT(Sync!$J243/10000)&amp;"/"&amp;RIGHT("00"&amp;INT(MOD(Sync!$J243,10000)/100),2)&amp;"/"&amp;RIGHT("00"&amp;MOD(Sync!$J243,100),2),"نامعتبر"),IF(LEN(Sync!$J243)=10,Sync!$J243,"نامعتبر")))</f>
        <v/>
      </c>
      <c r="R243">
        <f>IF($P243="","",COUNTIFS($N$6:$N$2005,$N243,$P$6:$P$2005,"&lt;"&amp;$P243)+COUNTIFS($A$6:$A$1005,$N243,$B$6:$B$1005,"&lt;"&amp;$P243)+1)</f>
        <v/>
      </c>
      <c r="S243">
        <f>IF($N243="","",$N243&amp;"|"&amp;RIGHT("000000"&amp;$R243,6))</f>
        <v/>
      </c>
      <c r="T243">
        <f>IF($N243="","",IF(Sync!$N243="",0,Sync!$N243))</f>
        <v/>
      </c>
      <c r="U243">
        <f>IF($N243="","",IF(Sync!$O243="",0,Sync!$O243))</f>
        <v/>
      </c>
      <c r="V243">
        <f>IF($N243="","",Sync!$L243)</f>
        <v/>
      </c>
      <c r="W243">
        <f>IF($N243="","",Sync!$P243)</f>
        <v/>
      </c>
      <c r="AA243">
        <f>IF($A243="","",IF(COUNTIF($A$6:$A243,$A243)=1,1,0))</f>
        <v/>
      </c>
      <c r="AB243">
        <f>SUM($AA$6:$AA243)</f>
        <v/>
      </c>
      <c r="AC243">
        <f>IFERROR(INDEX($A$6:$A$1005,MATCH(ROW()-5,$AB$6:$AB$1005,0)),"")</f>
        <v/>
      </c>
    </row>
    <row r="244">
      <c r="A244">
        <f>IF(OR(Entry!$B247="",Entry!$E247="",$E244="نامعتبر"),"",Entry!$E247)</f>
        <v/>
      </c>
      <c r="B244">
        <f>IF($A244="","",LEFT($E244,4)&amp;MID($E244,6,2)&amp;RIGHT($E244,2)&amp;$F244&amp;"|"&amp;"1"&amp;RIGHT("00000"&amp;239,5))</f>
        <v/>
      </c>
      <c r="C244">
        <f>IF($B244="","",COUNTIFS($A$6:$A$1005,$A244,$B$6:$B$1005,"&lt;"&amp;$B244)+COUNTIFS($N$6:$N$2005,$A244,$P$6:$P$2005,"&lt;"&amp;$B244)+1)</f>
        <v/>
      </c>
      <c r="D244">
        <f>IF($C244="","",$A244&amp;"|"&amp;RIGHT("000000"&amp;$C244,6))</f>
        <v/>
      </c>
      <c r="E244">
        <f>IF(Entry!$B247="","",IF(ISNUMBER(Entry!$B247),IF(AND(Entry!$B247&gt;=10000101,Entry!$B247&lt;=99991231),INT(Entry!$B247/10000)&amp;"/"&amp;RIGHT("00"&amp;INT(MOD(Entry!$B247,10000)/100),2)&amp;"/"&amp;RIGHT("00"&amp;MOD(Entry!$B247,100),2),"نامعتبر"),IF(LEN(Entry!$B247)=10,Entry!$B247,"نامعتبر")))</f>
        <v/>
      </c>
      <c r="F244">
        <f>IF(Entry!$B247="","",IF(Entry!$C247="","0000",IF(AND(ISNUMBER(Entry!$C247),Entry!$C247&gt;=0,Entry!$C247&lt;1),RIGHT("00"&amp;HOUR(Entry!$C247),2)&amp;RIGHT("00"&amp;MINUTE(Entry!$C247),2),IFERROR(RIGHT("00"&amp;VALUE(LEFT(Entry!$C247,FIND(":",Entry!$C247)-1)),2)&amp;RIGHT("00"&amp;VALUE(MID(Entry!$C247,FIND(":",Entry!$C247)+1,2)),2),"0000"))))</f>
        <v/>
      </c>
      <c r="G244">
        <f>IF($A244="","",Entry!$G247)</f>
        <v/>
      </c>
      <c r="H244">
        <f>IF($A244="","",IF(Entry!$H247="",0,Entry!$H247))</f>
        <v/>
      </c>
      <c r="I244">
        <f>IF($A244="","",IF(Entry!$I247="",0,Entry!$I247))</f>
        <v/>
      </c>
      <c r="J244">
        <f>IF($A244="","",ROUND($H244*$I244,0))</f>
        <v/>
      </c>
      <c r="K244">
        <f>IF($A244="","",Entry!$D247)</f>
        <v/>
      </c>
      <c r="L244">
        <f>IF($A244="","",Entry!$L247)</f>
        <v/>
      </c>
      <c r="N244">
        <f>IF(OR(Sync!$M244="",$Q244="",$Q244="نامعتبر"),"",Sync!$M244)</f>
        <v/>
      </c>
      <c r="O244">
        <f>IF($N244="","",$Q244)</f>
        <v/>
      </c>
      <c r="P244">
        <f>IF($N244="","",LEFT($Q244,4)&amp;MID($Q244,6,2)&amp;RIGHT($Q244,2)&amp;IF(Sync!$K244="","0000",IF(AND(ISNUMBER(Sync!$K244),Sync!$K244&gt;=0,Sync!$K244&lt;1),RIGHT("00"&amp;HOUR(Sync!$K244),2)&amp;RIGHT("00"&amp;MINUTE(Sync!$K244),2),IFERROR(RIGHT("00"&amp;VALUE(LEFT(Sync!$K244,FIND(":",Sync!$K244)-1)),2)&amp;RIGHT("00"&amp;VALUE(MID(Sync!$K244,FIND(":",Sync!$K244)+1,2)),2),"0000")))&amp;"|"&amp;"2"&amp;RIGHT("00000"&amp;239,5))</f>
        <v/>
      </c>
      <c r="Q244">
        <f>IF(Sync!$J244="","",IF(ISNUMBER(Sync!$J244),IF(AND(Sync!$J244&gt;=10000101,Sync!$J244&lt;=99991231),INT(Sync!$J244/10000)&amp;"/"&amp;RIGHT("00"&amp;INT(MOD(Sync!$J244,10000)/100),2)&amp;"/"&amp;RIGHT("00"&amp;MOD(Sync!$J244,100),2),"نامعتبر"),IF(LEN(Sync!$J244)=10,Sync!$J244,"نامعتبر")))</f>
        <v/>
      </c>
      <c r="R244">
        <f>IF($P244="","",COUNTIFS($N$6:$N$2005,$N244,$P$6:$P$2005,"&lt;"&amp;$P244)+COUNTIFS($A$6:$A$1005,$N244,$B$6:$B$1005,"&lt;"&amp;$P244)+1)</f>
        <v/>
      </c>
      <c r="S244">
        <f>IF($N244="","",$N244&amp;"|"&amp;RIGHT("000000"&amp;$R244,6))</f>
        <v/>
      </c>
      <c r="T244">
        <f>IF($N244="","",IF(Sync!$N244="",0,Sync!$N244))</f>
        <v/>
      </c>
      <c r="U244">
        <f>IF($N244="","",IF(Sync!$O244="",0,Sync!$O244))</f>
        <v/>
      </c>
      <c r="V244">
        <f>IF($N244="","",Sync!$L244)</f>
        <v/>
      </c>
      <c r="W244">
        <f>IF($N244="","",Sync!$P244)</f>
        <v/>
      </c>
      <c r="AA244">
        <f>IF($A244="","",IF(COUNTIF($A$6:$A244,$A244)=1,1,0))</f>
        <v/>
      </c>
      <c r="AB244">
        <f>SUM($AA$6:$AA244)</f>
        <v/>
      </c>
      <c r="AC244">
        <f>IFERROR(INDEX($A$6:$A$1005,MATCH(ROW()-5,$AB$6:$AB$1005,0)),"")</f>
        <v/>
      </c>
    </row>
    <row r="245">
      <c r="A245">
        <f>IF(OR(Entry!$B248="",Entry!$E248="",$E245="نامعتبر"),"",Entry!$E248)</f>
        <v/>
      </c>
      <c r="B245">
        <f>IF($A245="","",LEFT($E245,4)&amp;MID($E245,6,2)&amp;RIGHT($E245,2)&amp;$F245&amp;"|"&amp;"1"&amp;RIGHT("00000"&amp;240,5))</f>
        <v/>
      </c>
      <c r="C245">
        <f>IF($B245="","",COUNTIFS($A$6:$A$1005,$A245,$B$6:$B$1005,"&lt;"&amp;$B245)+COUNTIFS($N$6:$N$2005,$A245,$P$6:$P$2005,"&lt;"&amp;$B245)+1)</f>
        <v/>
      </c>
      <c r="D245">
        <f>IF($C245="","",$A245&amp;"|"&amp;RIGHT("000000"&amp;$C245,6))</f>
        <v/>
      </c>
      <c r="E245">
        <f>IF(Entry!$B248="","",IF(ISNUMBER(Entry!$B248),IF(AND(Entry!$B248&gt;=10000101,Entry!$B248&lt;=99991231),INT(Entry!$B248/10000)&amp;"/"&amp;RIGHT("00"&amp;INT(MOD(Entry!$B248,10000)/100),2)&amp;"/"&amp;RIGHT("00"&amp;MOD(Entry!$B248,100),2),"نامعتبر"),IF(LEN(Entry!$B248)=10,Entry!$B248,"نامعتبر")))</f>
        <v/>
      </c>
      <c r="F245">
        <f>IF(Entry!$B248="","",IF(Entry!$C248="","0000",IF(AND(ISNUMBER(Entry!$C248),Entry!$C248&gt;=0,Entry!$C248&lt;1),RIGHT("00"&amp;HOUR(Entry!$C248),2)&amp;RIGHT("00"&amp;MINUTE(Entry!$C248),2),IFERROR(RIGHT("00"&amp;VALUE(LEFT(Entry!$C248,FIND(":",Entry!$C248)-1)),2)&amp;RIGHT("00"&amp;VALUE(MID(Entry!$C248,FIND(":",Entry!$C248)+1,2)),2),"0000"))))</f>
        <v/>
      </c>
      <c r="G245">
        <f>IF($A245="","",Entry!$G248)</f>
        <v/>
      </c>
      <c r="H245">
        <f>IF($A245="","",IF(Entry!$H248="",0,Entry!$H248))</f>
        <v/>
      </c>
      <c r="I245">
        <f>IF($A245="","",IF(Entry!$I248="",0,Entry!$I248))</f>
        <v/>
      </c>
      <c r="J245">
        <f>IF($A245="","",ROUND($H245*$I245,0))</f>
        <v/>
      </c>
      <c r="K245">
        <f>IF($A245="","",Entry!$D248)</f>
        <v/>
      </c>
      <c r="L245">
        <f>IF($A245="","",Entry!$L248)</f>
        <v/>
      </c>
      <c r="N245">
        <f>IF(OR(Sync!$M245="",$Q245="",$Q245="نامعتبر"),"",Sync!$M245)</f>
        <v/>
      </c>
      <c r="O245">
        <f>IF($N245="","",$Q245)</f>
        <v/>
      </c>
      <c r="P245">
        <f>IF($N245="","",LEFT($Q245,4)&amp;MID($Q245,6,2)&amp;RIGHT($Q245,2)&amp;IF(Sync!$K245="","0000",IF(AND(ISNUMBER(Sync!$K245),Sync!$K245&gt;=0,Sync!$K245&lt;1),RIGHT("00"&amp;HOUR(Sync!$K245),2)&amp;RIGHT("00"&amp;MINUTE(Sync!$K245),2),IFERROR(RIGHT("00"&amp;VALUE(LEFT(Sync!$K245,FIND(":",Sync!$K245)-1)),2)&amp;RIGHT("00"&amp;VALUE(MID(Sync!$K245,FIND(":",Sync!$K245)+1,2)),2),"0000")))&amp;"|"&amp;"2"&amp;RIGHT("00000"&amp;240,5))</f>
        <v/>
      </c>
      <c r="Q245">
        <f>IF(Sync!$J245="","",IF(ISNUMBER(Sync!$J245),IF(AND(Sync!$J245&gt;=10000101,Sync!$J245&lt;=99991231),INT(Sync!$J245/10000)&amp;"/"&amp;RIGHT("00"&amp;INT(MOD(Sync!$J245,10000)/100),2)&amp;"/"&amp;RIGHT("00"&amp;MOD(Sync!$J245,100),2),"نامعتبر"),IF(LEN(Sync!$J245)=10,Sync!$J245,"نامعتبر")))</f>
        <v/>
      </c>
      <c r="R245">
        <f>IF($P245="","",COUNTIFS($N$6:$N$2005,$N245,$P$6:$P$2005,"&lt;"&amp;$P245)+COUNTIFS($A$6:$A$1005,$N245,$B$6:$B$1005,"&lt;"&amp;$P245)+1)</f>
        <v/>
      </c>
      <c r="S245">
        <f>IF($N245="","",$N245&amp;"|"&amp;RIGHT("000000"&amp;$R245,6))</f>
        <v/>
      </c>
      <c r="T245">
        <f>IF($N245="","",IF(Sync!$N245="",0,Sync!$N245))</f>
        <v/>
      </c>
      <c r="U245">
        <f>IF($N245="","",IF(Sync!$O245="",0,Sync!$O245))</f>
        <v/>
      </c>
      <c r="V245">
        <f>IF($N245="","",Sync!$L245)</f>
        <v/>
      </c>
      <c r="W245">
        <f>IF($N245="","",Sync!$P245)</f>
        <v/>
      </c>
      <c r="AA245">
        <f>IF($A245="","",IF(COUNTIF($A$6:$A245,$A245)=1,1,0))</f>
        <v/>
      </c>
      <c r="AB245">
        <f>SUM($AA$6:$AA245)</f>
        <v/>
      </c>
      <c r="AC245">
        <f>IFERROR(INDEX($A$6:$A$1005,MATCH(ROW()-5,$AB$6:$AB$1005,0)),"")</f>
        <v/>
      </c>
    </row>
    <row r="246">
      <c r="A246">
        <f>IF(OR(Entry!$B249="",Entry!$E249="",$E246="نامعتبر"),"",Entry!$E249)</f>
        <v/>
      </c>
      <c r="B246">
        <f>IF($A246="","",LEFT($E246,4)&amp;MID($E246,6,2)&amp;RIGHT($E246,2)&amp;$F246&amp;"|"&amp;"1"&amp;RIGHT("00000"&amp;241,5))</f>
        <v/>
      </c>
      <c r="C246">
        <f>IF($B246="","",COUNTIFS($A$6:$A$1005,$A246,$B$6:$B$1005,"&lt;"&amp;$B246)+COUNTIFS($N$6:$N$2005,$A246,$P$6:$P$2005,"&lt;"&amp;$B246)+1)</f>
        <v/>
      </c>
      <c r="D246">
        <f>IF($C246="","",$A246&amp;"|"&amp;RIGHT("000000"&amp;$C246,6))</f>
        <v/>
      </c>
      <c r="E246">
        <f>IF(Entry!$B249="","",IF(ISNUMBER(Entry!$B249),IF(AND(Entry!$B249&gt;=10000101,Entry!$B249&lt;=99991231),INT(Entry!$B249/10000)&amp;"/"&amp;RIGHT("00"&amp;INT(MOD(Entry!$B249,10000)/100),2)&amp;"/"&amp;RIGHT("00"&amp;MOD(Entry!$B249,100),2),"نامعتبر"),IF(LEN(Entry!$B249)=10,Entry!$B249,"نامعتبر")))</f>
        <v/>
      </c>
      <c r="F246">
        <f>IF(Entry!$B249="","",IF(Entry!$C249="","0000",IF(AND(ISNUMBER(Entry!$C249),Entry!$C249&gt;=0,Entry!$C249&lt;1),RIGHT("00"&amp;HOUR(Entry!$C249),2)&amp;RIGHT("00"&amp;MINUTE(Entry!$C249),2),IFERROR(RIGHT("00"&amp;VALUE(LEFT(Entry!$C249,FIND(":",Entry!$C249)-1)),2)&amp;RIGHT("00"&amp;VALUE(MID(Entry!$C249,FIND(":",Entry!$C249)+1,2)),2),"0000"))))</f>
        <v/>
      </c>
      <c r="G246">
        <f>IF($A246="","",Entry!$G249)</f>
        <v/>
      </c>
      <c r="H246">
        <f>IF($A246="","",IF(Entry!$H249="",0,Entry!$H249))</f>
        <v/>
      </c>
      <c r="I246">
        <f>IF($A246="","",IF(Entry!$I249="",0,Entry!$I249))</f>
        <v/>
      </c>
      <c r="J246">
        <f>IF($A246="","",ROUND($H246*$I246,0))</f>
        <v/>
      </c>
      <c r="K246">
        <f>IF($A246="","",Entry!$D249)</f>
        <v/>
      </c>
      <c r="L246">
        <f>IF($A246="","",Entry!$L249)</f>
        <v/>
      </c>
      <c r="N246">
        <f>IF(OR(Sync!$M246="",$Q246="",$Q246="نامعتبر"),"",Sync!$M246)</f>
        <v/>
      </c>
      <c r="O246">
        <f>IF($N246="","",$Q246)</f>
        <v/>
      </c>
      <c r="P246">
        <f>IF($N246="","",LEFT($Q246,4)&amp;MID($Q246,6,2)&amp;RIGHT($Q246,2)&amp;IF(Sync!$K246="","0000",IF(AND(ISNUMBER(Sync!$K246),Sync!$K246&gt;=0,Sync!$K246&lt;1),RIGHT("00"&amp;HOUR(Sync!$K246),2)&amp;RIGHT("00"&amp;MINUTE(Sync!$K246),2),IFERROR(RIGHT("00"&amp;VALUE(LEFT(Sync!$K246,FIND(":",Sync!$K246)-1)),2)&amp;RIGHT("00"&amp;VALUE(MID(Sync!$K246,FIND(":",Sync!$K246)+1,2)),2),"0000")))&amp;"|"&amp;"2"&amp;RIGHT("00000"&amp;241,5))</f>
        <v/>
      </c>
      <c r="Q246">
        <f>IF(Sync!$J246="","",IF(ISNUMBER(Sync!$J246),IF(AND(Sync!$J246&gt;=10000101,Sync!$J246&lt;=99991231),INT(Sync!$J246/10000)&amp;"/"&amp;RIGHT("00"&amp;INT(MOD(Sync!$J246,10000)/100),2)&amp;"/"&amp;RIGHT("00"&amp;MOD(Sync!$J246,100),2),"نامعتبر"),IF(LEN(Sync!$J246)=10,Sync!$J246,"نامعتبر")))</f>
        <v/>
      </c>
      <c r="R246">
        <f>IF($P246="","",COUNTIFS($N$6:$N$2005,$N246,$P$6:$P$2005,"&lt;"&amp;$P246)+COUNTIFS($A$6:$A$1005,$N246,$B$6:$B$1005,"&lt;"&amp;$P246)+1)</f>
        <v/>
      </c>
      <c r="S246">
        <f>IF($N246="","",$N246&amp;"|"&amp;RIGHT("000000"&amp;$R246,6))</f>
        <v/>
      </c>
      <c r="T246">
        <f>IF($N246="","",IF(Sync!$N246="",0,Sync!$N246))</f>
        <v/>
      </c>
      <c r="U246">
        <f>IF($N246="","",IF(Sync!$O246="",0,Sync!$O246))</f>
        <v/>
      </c>
      <c r="V246">
        <f>IF($N246="","",Sync!$L246)</f>
        <v/>
      </c>
      <c r="W246">
        <f>IF($N246="","",Sync!$P246)</f>
        <v/>
      </c>
      <c r="AA246">
        <f>IF($A246="","",IF(COUNTIF($A$6:$A246,$A246)=1,1,0))</f>
        <v/>
      </c>
      <c r="AB246">
        <f>SUM($AA$6:$AA246)</f>
        <v/>
      </c>
      <c r="AC246">
        <f>IFERROR(INDEX($A$6:$A$1005,MATCH(ROW()-5,$AB$6:$AB$1005,0)),"")</f>
        <v/>
      </c>
    </row>
    <row r="247">
      <c r="A247">
        <f>IF(OR(Entry!$B250="",Entry!$E250="",$E247="نامعتبر"),"",Entry!$E250)</f>
        <v/>
      </c>
      <c r="B247">
        <f>IF($A247="","",LEFT($E247,4)&amp;MID($E247,6,2)&amp;RIGHT($E247,2)&amp;$F247&amp;"|"&amp;"1"&amp;RIGHT("00000"&amp;242,5))</f>
        <v/>
      </c>
      <c r="C247">
        <f>IF($B247="","",COUNTIFS($A$6:$A$1005,$A247,$B$6:$B$1005,"&lt;"&amp;$B247)+COUNTIFS($N$6:$N$2005,$A247,$P$6:$P$2005,"&lt;"&amp;$B247)+1)</f>
        <v/>
      </c>
      <c r="D247">
        <f>IF($C247="","",$A247&amp;"|"&amp;RIGHT("000000"&amp;$C247,6))</f>
        <v/>
      </c>
      <c r="E247">
        <f>IF(Entry!$B250="","",IF(ISNUMBER(Entry!$B250),IF(AND(Entry!$B250&gt;=10000101,Entry!$B250&lt;=99991231),INT(Entry!$B250/10000)&amp;"/"&amp;RIGHT("00"&amp;INT(MOD(Entry!$B250,10000)/100),2)&amp;"/"&amp;RIGHT("00"&amp;MOD(Entry!$B250,100),2),"نامعتبر"),IF(LEN(Entry!$B250)=10,Entry!$B250,"نامعتبر")))</f>
        <v/>
      </c>
      <c r="F247">
        <f>IF(Entry!$B250="","",IF(Entry!$C250="","0000",IF(AND(ISNUMBER(Entry!$C250),Entry!$C250&gt;=0,Entry!$C250&lt;1),RIGHT("00"&amp;HOUR(Entry!$C250),2)&amp;RIGHT("00"&amp;MINUTE(Entry!$C250),2),IFERROR(RIGHT("00"&amp;VALUE(LEFT(Entry!$C250,FIND(":",Entry!$C250)-1)),2)&amp;RIGHT("00"&amp;VALUE(MID(Entry!$C250,FIND(":",Entry!$C250)+1,2)),2),"0000"))))</f>
        <v/>
      </c>
      <c r="G247">
        <f>IF($A247="","",Entry!$G250)</f>
        <v/>
      </c>
      <c r="H247">
        <f>IF($A247="","",IF(Entry!$H250="",0,Entry!$H250))</f>
        <v/>
      </c>
      <c r="I247">
        <f>IF($A247="","",IF(Entry!$I250="",0,Entry!$I250))</f>
        <v/>
      </c>
      <c r="J247">
        <f>IF($A247="","",ROUND($H247*$I247,0))</f>
        <v/>
      </c>
      <c r="K247">
        <f>IF($A247="","",Entry!$D250)</f>
        <v/>
      </c>
      <c r="L247">
        <f>IF($A247="","",Entry!$L250)</f>
        <v/>
      </c>
      <c r="N247">
        <f>IF(OR(Sync!$M247="",$Q247="",$Q247="نامعتبر"),"",Sync!$M247)</f>
        <v/>
      </c>
      <c r="O247">
        <f>IF($N247="","",$Q247)</f>
        <v/>
      </c>
      <c r="P247">
        <f>IF($N247="","",LEFT($Q247,4)&amp;MID($Q247,6,2)&amp;RIGHT($Q247,2)&amp;IF(Sync!$K247="","0000",IF(AND(ISNUMBER(Sync!$K247),Sync!$K247&gt;=0,Sync!$K247&lt;1),RIGHT("00"&amp;HOUR(Sync!$K247),2)&amp;RIGHT("00"&amp;MINUTE(Sync!$K247),2),IFERROR(RIGHT("00"&amp;VALUE(LEFT(Sync!$K247,FIND(":",Sync!$K247)-1)),2)&amp;RIGHT("00"&amp;VALUE(MID(Sync!$K247,FIND(":",Sync!$K247)+1,2)),2),"0000")))&amp;"|"&amp;"2"&amp;RIGHT("00000"&amp;242,5))</f>
        <v/>
      </c>
      <c r="Q247">
        <f>IF(Sync!$J247="","",IF(ISNUMBER(Sync!$J247),IF(AND(Sync!$J247&gt;=10000101,Sync!$J247&lt;=99991231),INT(Sync!$J247/10000)&amp;"/"&amp;RIGHT("00"&amp;INT(MOD(Sync!$J247,10000)/100),2)&amp;"/"&amp;RIGHT("00"&amp;MOD(Sync!$J247,100),2),"نامعتبر"),IF(LEN(Sync!$J247)=10,Sync!$J247,"نامعتبر")))</f>
        <v/>
      </c>
      <c r="R247">
        <f>IF($P247="","",COUNTIFS($N$6:$N$2005,$N247,$P$6:$P$2005,"&lt;"&amp;$P247)+COUNTIFS($A$6:$A$1005,$N247,$B$6:$B$1005,"&lt;"&amp;$P247)+1)</f>
        <v/>
      </c>
      <c r="S247">
        <f>IF($N247="","",$N247&amp;"|"&amp;RIGHT("000000"&amp;$R247,6))</f>
        <v/>
      </c>
      <c r="T247">
        <f>IF($N247="","",IF(Sync!$N247="",0,Sync!$N247))</f>
        <v/>
      </c>
      <c r="U247">
        <f>IF($N247="","",IF(Sync!$O247="",0,Sync!$O247))</f>
        <v/>
      </c>
      <c r="V247">
        <f>IF($N247="","",Sync!$L247)</f>
        <v/>
      </c>
      <c r="W247">
        <f>IF($N247="","",Sync!$P247)</f>
        <v/>
      </c>
      <c r="AA247">
        <f>IF($A247="","",IF(COUNTIF($A$6:$A247,$A247)=1,1,0))</f>
        <v/>
      </c>
      <c r="AB247">
        <f>SUM($AA$6:$AA247)</f>
        <v/>
      </c>
      <c r="AC247">
        <f>IFERROR(INDEX($A$6:$A$1005,MATCH(ROW()-5,$AB$6:$AB$1005,0)),"")</f>
        <v/>
      </c>
    </row>
    <row r="248">
      <c r="A248">
        <f>IF(OR(Entry!$B251="",Entry!$E251="",$E248="نامعتبر"),"",Entry!$E251)</f>
        <v/>
      </c>
      <c r="B248">
        <f>IF($A248="","",LEFT($E248,4)&amp;MID($E248,6,2)&amp;RIGHT($E248,2)&amp;$F248&amp;"|"&amp;"1"&amp;RIGHT("00000"&amp;243,5))</f>
        <v/>
      </c>
      <c r="C248">
        <f>IF($B248="","",COUNTIFS($A$6:$A$1005,$A248,$B$6:$B$1005,"&lt;"&amp;$B248)+COUNTIFS($N$6:$N$2005,$A248,$P$6:$P$2005,"&lt;"&amp;$B248)+1)</f>
        <v/>
      </c>
      <c r="D248">
        <f>IF($C248="","",$A248&amp;"|"&amp;RIGHT("000000"&amp;$C248,6))</f>
        <v/>
      </c>
      <c r="E248">
        <f>IF(Entry!$B251="","",IF(ISNUMBER(Entry!$B251),IF(AND(Entry!$B251&gt;=10000101,Entry!$B251&lt;=99991231),INT(Entry!$B251/10000)&amp;"/"&amp;RIGHT("00"&amp;INT(MOD(Entry!$B251,10000)/100),2)&amp;"/"&amp;RIGHT("00"&amp;MOD(Entry!$B251,100),2),"نامعتبر"),IF(LEN(Entry!$B251)=10,Entry!$B251,"نامعتبر")))</f>
        <v/>
      </c>
      <c r="F248">
        <f>IF(Entry!$B251="","",IF(Entry!$C251="","0000",IF(AND(ISNUMBER(Entry!$C251),Entry!$C251&gt;=0,Entry!$C251&lt;1),RIGHT("00"&amp;HOUR(Entry!$C251),2)&amp;RIGHT("00"&amp;MINUTE(Entry!$C251),2),IFERROR(RIGHT("00"&amp;VALUE(LEFT(Entry!$C251,FIND(":",Entry!$C251)-1)),2)&amp;RIGHT("00"&amp;VALUE(MID(Entry!$C251,FIND(":",Entry!$C251)+1,2)),2),"0000"))))</f>
        <v/>
      </c>
      <c r="G248">
        <f>IF($A248="","",Entry!$G251)</f>
        <v/>
      </c>
      <c r="H248">
        <f>IF($A248="","",IF(Entry!$H251="",0,Entry!$H251))</f>
        <v/>
      </c>
      <c r="I248">
        <f>IF($A248="","",IF(Entry!$I251="",0,Entry!$I251))</f>
        <v/>
      </c>
      <c r="J248">
        <f>IF($A248="","",ROUND($H248*$I248,0))</f>
        <v/>
      </c>
      <c r="K248">
        <f>IF($A248="","",Entry!$D251)</f>
        <v/>
      </c>
      <c r="L248">
        <f>IF($A248="","",Entry!$L251)</f>
        <v/>
      </c>
      <c r="N248">
        <f>IF(OR(Sync!$M248="",$Q248="",$Q248="نامعتبر"),"",Sync!$M248)</f>
        <v/>
      </c>
      <c r="O248">
        <f>IF($N248="","",$Q248)</f>
        <v/>
      </c>
      <c r="P248">
        <f>IF($N248="","",LEFT($Q248,4)&amp;MID($Q248,6,2)&amp;RIGHT($Q248,2)&amp;IF(Sync!$K248="","0000",IF(AND(ISNUMBER(Sync!$K248),Sync!$K248&gt;=0,Sync!$K248&lt;1),RIGHT("00"&amp;HOUR(Sync!$K248),2)&amp;RIGHT("00"&amp;MINUTE(Sync!$K248),2),IFERROR(RIGHT("00"&amp;VALUE(LEFT(Sync!$K248,FIND(":",Sync!$K248)-1)),2)&amp;RIGHT("00"&amp;VALUE(MID(Sync!$K248,FIND(":",Sync!$K248)+1,2)),2),"0000")))&amp;"|"&amp;"2"&amp;RIGHT("00000"&amp;243,5))</f>
        <v/>
      </c>
      <c r="Q248">
        <f>IF(Sync!$J248="","",IF(ISNUMBER(Sync!$J248),IF(AND(Sync!$J248&gt;=10000101,Sync!$J248&lt;=99991231),INT(Sync!$J248/10000)&amp;"/"&amp;RIGHT("00"&amp;INT(MOD(Sync!$J248,10000)/100),2)&amp;"/"&amp;RIGHT("00"&amp;MOD(Sync!$J248,100),2),"نامعتبر"),IF(LEN(Sync!$J248)=10,Sync!$J248,"نامعتبر")))</f>
        <v/>
      </c>
      <c r="R248">
        <f>IF($P248="","",COUNTIFS($N$6:$N$2005,$N248,$P$6:$P$2005,"&lt;"&amp;$P248)+COUNTIFS($A$6:$A$1005,$N248,$B$6:$B$1005,"&lt;"&amp;$P248)+1)</f>
        <v/>
      </c>
      <c r="S248">
        <f>IF($N248="","",$N248&amp;"|"&amp;RIGHT("000000"&amp;$R248,6))</f>
        <v/>
      </c>
      <c r="T248">
        <f>IF($N248="","",IF(Sync!$N248="",0,Sync!$N248))</f>
        <v/>
      </c>
      <c r="U248">
        <f>IF($N248="","",IF(Sync!$O248="",0,Sync!$O248))</f>
        <v/>
      </c>
      <c r="V248">
        <f>IF($N248="","",Sync!$L248)</f>
        <v/>
      </c>
      <c r="W248">
        <f>IF($N248="","",Sync!$P248)</f>
        <v/>
      </c>
      <c r="AA248">
        <f>IF($A248="","",IF(COUNTIF($A$6:$A248,$A248)=1,1,0))</f>
        <v/>
      </c>
      <c r="AB248">
        <f>SUM($AA$6:$AA248)</f>
        <v/>
      </c>
      <c r="AC248">
        <f>IFERROR(INDEX($A$6:$A$1005,MATCH(ROW()-5,$AB$6:$AB$1005,0)),"")</f>
        <v/>
      </c>
    </row>
    <row r="249">
      <c r="A249">
        <f>IF(OR(Entry!$B252="",Entry!$E252="",$E249="نامعتبر"),"",Entry!$E252)</f>
        <v/>
      </c>
      <c r="B249">
        <f>IF($A249="","",LEFT($E249,4)&amp;MID($E249,6,2)&amp;RIGHT($E249,2)&amp;$F249&amp;"|"&amp;"1"&amp;RIGHT("00000"&amp;244,5))</f>
        <v/>
      </c>
      <c r="C249">
        <f>IF($B249="","",COUNTIFS($A$6:$A$1005,$A249,$B$6:$B$1005,"&lt;"&amp;$B249)+COUNTIFS($N$6:$N$2005,$A249,$P$6:$P$2005,"&lt;"&amp;$B249)+1)</f>
        <v/>
      </c>
      <c r="D249">
        <f>IF($C249="","",$A249&amp;"|"&amp;RIGHT("000000"&amp;$C249,6))</f>
        <v/>
      </c>
      <c r="E249">
        <f>IF(Entry!$B252="","",IF(ISNUMBER(Entry!$B252),IF(AND(Entry!$B252&gt;=10000101,Entry!$B252&lt;=99991231),INT(Entry!$B252/10000)&amp;"/"&amp;RIGHT("00"&amp;INT(MOD(Entry!$B252,10000)/100),2)&amp;"/"&amp;RIGHT("00"&amp;MOD(Entry!$B252,100),2),"نامعتبر"),IF(LEN(Entry!$B252)=10,Entry!$B252,"نامعتبر")))</f>
        <v/>
      </c>
      <c r="F249">
        <f>IF(Entry!$B252="","",IF(Entry!$C252="","0000",IF(AND(ISNUMBER(Entry!$C252),Entry!$C252&gt;=0,Entry!$C252&lt;1),RIGHT("00"&amp;HOUR(Entry!$C252),2)&amp;RIGHT("00"&amp;MINUTE(Entry!$C252),2),IFERROR(RIGHT("00"&amp;VALUE(LEFT(Entry!$C252,FIND(":",Entry!$C252)-1)),2)&amp;RIGHT("00"&amp;VALUE(MID(Entry!$C252,FIND(":",Entry!$C252)+1,2)),2),"0000"))))</f>
        <v/>
      </c>
      <c r="G249">
        <f>IF($A249="","",Entry!$G252)</f>
        <v/>
      </c>
      <c r="H249">
        <f>IF($A249="","",IF(Entry!$H252="",0,Entry!$H252))</f>
        <v/>
      </c>
      <c r="I249">
        <f>IF($A249="","",IF(Entry!$I252="",0,Entry!$I252))</f>
        <v/>
      </c>
      <c r="J249">
        <f>IF($A249="","",ROUND($H249*$I249,0))</f>
        <v/>
      </c>
      <c r="K249">
        <f>IF($A249="","",Entry!$D252)</f>
        <v/>
      </c>
      <c r="L249">
        <f>IF($A249="","",Entry!$L252)</f>
        <v/>
      </c>
      <c r="N249">
        <f>IF(OR(Sync!$M249="",$Q249="",$Q249="نامعتبر"),"",Sync!$M249)</f>
        <v/>
      </c>
      <c r="O249">
        <f>IF($N249="","",$Q249)</f>
        <v/>
      </c>
      <c r="P249">
        <f>IF($N249="","",LEFT($Q249,4)&amp;MID($Q249,6,2)&amp;RIGHT($Q249,2)&amp;IF(Sync!$K249="","0000",IF(AND(ISNUMBER(Sync!$K249),Sync!$K249&gt;=0,Sync!$K249&lt;1),RIGHT("00"&amp;HOUR(Sync!$K249),2)&amp;RIGHT("00"&amp;MINUTE(Sync!$K249),2),IFERROR(RIGHT("00"&amp;VALUE(LEFT(Sync!$K249,FIND(":",Sync!$K249)-1)),2)&amp;RIGHT("00"&amp;VALUE(MID(Sync!$K249,FIND(":",Sync!$K249)+1,2)),2),"0000")))&amp;"|"&amp;"2"&amp;RIGHT("00000"&amp;244,5))</f>
        <v/>
      </c>
      <c r="Q249">
        <f>IF(Sync!$J249="","",IF(ISNUMBER(Sync!$J249),IF(AND(Sync!$J249&gt;=10000101,Sync!$J249&lt;=99991231),INT(Sync!$J249/10000)&amp;"/"&amp;RIGHT("00"&amp;INT(MOD(Sync!$J249,10000)/100),2)&amp;"/"&amp;RIGHT("00"&amp;MOD(Sync!$J249,100),2),"نامعتبر"),IF(LEN(Sync!$J249)=10,Sync!$J249,"نامعتبر")))</f>
        <v/>
      </c>
      <c r="R249">
        <f>IF($P249="","",COUNTIFS($N$6:$N$2005,$N249,$P$6:$P$2005,"&lt;"&amp;$P249)+COUNTIFS($A$6:$A$1005,$N249,$B$6:$B$1005,"&lt;"&amp;$P249)+1)</f>
        <v/>
      </c>
      <c r="S249">
        <f>IF($N249="","",$N249&amp;"|"&amp;RIGHT("000000"&amp;$R249,6))</f>
        <v/>
      </c>
      <c r="T249">
        <f>IF($N249="","",IF(Sync!$N249="",0,Sync!$N249))</f>
        <v/>
      </c>
      <c r="U249">
        <f>IF($N249="","",IF(Sync!$O249="",0,Sync!$O249))</f>
        <v/>
      </c>
      <c r="V249">
        <f>IF($N249="","",Sync!$L249)</f>
        <v/>
      </c>
      <c r="W249">
        <f>IF($N249="","",Sync!$P249)</f>
        <v/>
      </c>
      <c r="AA249">
        <f>IF($A249="","",IF(COUNTIF($A$6:$A249,$A249)=1,1,0))</f>
        <v/>
      </c>
      <c r="AB249">
        <f>SUM($AA$6:$AA249)</f>
        <v/>
      </c>
      <c r="AC249">
        <f>IFERROR(INDEX($A$6:$A$1005,MATCH(ROW()-5,$AB$6:$AB$1005,0)),"")</f>
        <v/>
      </c>
    </row>
    <row r="250">
      <c r="A250">
        <f>IF(OR(Entry!$B253="",Entry!$E253="",$E250="نامعتبر"),"",Entry!$E253)</f>
        <v/>
      </c>
      <c r="B250">
        <f>IF($A250="","",LEFT($E250,4)&amp;MID($E250,6,2)&amp;RIGHT($E250,2)&amp;$F250&amp;"|"&amp;"1"&amp;RIGHT("00000"&amp;245,5))</f>
        <v/>
      </c>
      <c r="C250">
        <f>IF($B250="","",COUNTIFS($A$6:$A$1005,$A250,$B$6:$B$1005,"&lt;"&amp;$B250)+COUNTIFS($N$6:$N$2005,$A250,$P$6:$P$2005,"&lt;"&amp;$B250)+1)</f>
        <v/>
      </c>
      <c r="D250">
        <f>IF($C250="","",$A250&amp;"|"&amp;RIGHT("000000"&amp;$C250,6))</f>
        <v/>
      </c>
      <c r="E250">
        <f>IF(Entry!$B253="","",IF(ISNUMBER(Entry!$B253),IF(AND(Entry!$B253&gt;=10000101,Entry!$B253&lt;=99991231),INT(Entry!$B253/10000)&amp;"/"&amp;RIGHT("00"&amp;INT(MOD(Entry!$B253,10000)/100),2)&amp;"/"&amp;RIGHT("00"&amp;MOD(Entry!$B253,100),2),"نامعتبر"),IF(LEN(Entry!$B253)=10,Entry!$B253,"نامعتبر")))</f>
        <v/>
      </c>
      <c r="F250">
        <f>IF(Entry!$B253="","",IF(Entry!$C253="","0000",IF(AND(ISNUMBER(Entry!$C253),Entry!$C253&gt;=0,Entry!$C253&lt;1),RIGHT("00"&amp;HOUR(Entry!$C253),2)&amp;RIGHT("00"&amp;MINUTE(Entry!$C253),2),IFERROR(RIGHT("00"&amp;VALUE(LEFT(Entry!$C253,FIND(":",Entry!$C253)-1)),2)&amp;RIGHT("00"&amp;VALUE(MID(Entry!$C253,FIND(":",Entry!$C253)+1,2)),2),"0000"))))</f>
        <v/>
      </c>
      <c r="G250">
        <f>IF($A250="","",Entry!$G253)</f>
        <v/>
      </c>
      <c r="H250">
        <f>IF($A250="","",IF(Entry!$H253="",0,Entry!$H253))</f>
        <v/>
      </c>
      <c r="I250">
        <f>IF($A250="","",IF(Entry!$I253="",0,Entry!$I253))</f>
        <v/>
      </c>
      <c r="J250">
        <f>IF($A250="","",ROUND($H250*$I250,0))</f>
        <v/>
      </c>
      <c r="K250">
        <f>IF($A250="","",Entry!$D253)</f>
        <v/>
      </c>
      <c r="L250">
        <f>IF($A250="","",Entry!$L253)</f>
        <v/>
      </c>
      <c r="N250">
        <f>IF(OR(Sync!$M250="",$Q250="",$Q250="نامعتبر"),"",Sync!$M250)</f>
        <v/>
      </c>
      <c r="O250">
        <f>IF($N250="","",$Q250)</f>
        <v/>
      </c>
      <c r="P250">
        <f>IF($N250="","",LEFT($Q250,4)&amp;MID($Q250,6,2)&amp;RIGHT($Q250,2)&amp;IF(Sync!$K250="","0000",IF(AND(ISNUMBER(Sync!$K250),Sync!$K250&gt;=0,Sync!$K250&lt;1),RIGHT("00"&amp;HOUR(Sync!$K250),2)&amp;RIGHT("00"&amp;MINUTE(Sync!$K250),2),IFERROR(RIGHT("00"&amp;VALUE(LEFT(Sync!$K250,FIND(":",Sync!$K250)-1)),2)&amp;RIGHT("00"&amp;VALUE(MID(Sync!$K250,FIND(":",Sync!$K250)+1,2)),2),"0000")))&amp;"|"&amp;"2"&amp;RIGHT("00000"&amp;245,5))</f>
        <v/>
      </c>
      <c r="Q250">
        <f>IF(Sync!$J250="","",IF(ISNUMBER(Sync!$J250),IF(AND(Sync!$J250&gt;=10000101,Sync!$J250&lt;=99991231),INT(Sync!$J250/10000)&amp;"/"&amp;RIGHT("00"&amp;INT(MOD(Sync!$J250,10000)/100),2)&amp;"/"&amp;RIGHT("00"&amp;MOD(Sync!$J250,100),2),"نامعتبر"),IF(LEN(Sync!$J250)=10,Sync!$J250,"نامعتبر")))</f>
        <v/>
      </c>
      <c r="R250">
        <f>IF($P250="","",COUNTIFS($N$6:$N$2005,$N250,$P$6:$P$2005,"&lt;"&amp;$P250)+COUNTIFS($A$6:$A$1005,$N250,$B$6:$B$1005,"&lt;"&amp;$P250)+1)</f>
        <v/>
      </c>
      <c r="S250">
        <f>IF($N250="","",$N250&amp;"|"&amp;RIGHT("000000"&amp;$R250,6))</f>
        <v/>
      </c>
      <c r="T250">
        <f>IF($N250="","",IF(Sync!$N250="",0,Sync!$N250))</f>
        <v/>
      </c>
      <c r="U250">
        <f>IF($N250="","",IF(Sync!$O250="",0,Sync!$O250))</f>
        <v/>
      </c>
      <c r="V250">
        <f>IF($N250="","",Sync!$L250)</f>
        <v/>
      </c>
      <c r="W250">
        <f>IF($N250="","",Sync!$P250)</f>
        <v/>
      </c>
      <c r="AA250">
        <f>IF($A250="","",IF(COUNTIF($A$6:$A250,$A250)=1,1,0))</f>
        <v/>
      </c>
      <c r="AB250">
        <f>SUM($AA$6:$AA250)</f>
        <v/>
      </c>
      <c r="AC250">
        <f>IFERROR(INDEX($A$6:$A$1005,MATCH(ROW()-5,$AB$6:$AB$1005,0)),"")</f>
        <v/>
      </c>
    </row>
    <row r="251">
      <c r="A251">
        <f>IF(OR(Entry!$B254="",Entry!$E254="",$E251="نامعتبر"),"",Entry!$E254)</f>
        <v/>
      </c>
      <c r="B251">
        <f>IF($A251="","",LEFT($E251,4)&amp;MID($E251,6,2)&amp;RIGHT($E251,2)&amp;$F251&amp;"|"&amp;"1"&amp;RIGHT("00000"&amp;246,5))</f>
        <v/>
      </c>
      <c r="C251">
        <f>IF($B251="","",COUNTIFS($A$6:$A$1005,$A251,$B$6:$B$1005,"&lt;"&amp;$B251)+COUNTIFS($N$6:$N$2005,$A251,$P$6:$P$2005,"&lt;"&amp;$B251)+1)</f>
        <v/>
      </c>
      <c r="D251">
        <f>IF($C251="","",$A251&amp;"|"&amp;RIGHT("000000"&amp;$C251,6))</f>
        <v/>
      </c>
      <c r="E251">
        <f>IF(Entry!$B254="","",IF(ISNUMBER(Entry!$B254),IF(AND(Entry!$B254&gt;=10000101,Entry!$B254&lt;=99991231),INT(Entry!$B254/10000)&amp;"/"&amp;RIGHT("00"&amp;INT(MOD(Entry!$B254,10000)/100),2)&amp;"/"&amp;RIGHT("00"&amp;MOD(Entry!$B254,100),2),"نامعتبر"),IF(LEN(Entry!$B254)=10,Entry!$B254,"نامعتبر")))</f>
        <v/>
      </c>
      <c r="F251">
        <f>IF(Entry!$B254="","",IF(Entry!$C254="","0000",IF(AND(ISNUMBER(Entry!$C254),Entry!$C254&gt;=0,Entry!$C254&lt;1),RIGHT("00"&amp;HOUR(Entry!$C254),2)&amp;RIGHT("00"&amp;MINUTE(Entry!$C254),2),IFERROR(RIGHT("00"&amp;VALUE(LEFT(Entry!$C254,FIND(":",Entry!$C254)-1)),2)&amp;RIGHT("00"&amp;VALUE(MID(Entry!$C254,FIND(":",Entry!$C254)+1,2)),2),"0000"))))</f>
        <v/>
      </c>
      <c r="G251">
        <f>IF($A251="","",Entry!$G254)</f>
        <v/>
      </c>
      <c r="H251">
        <f>IF($A251="","",IF(Entry!$H254="",0,Entry!$H254))</f>
        <v/>
      </c>
      <c r="I251">
        <f>IF($A251="","",IF(Entry!$I254="",0,Entry!$I254))</f>
        <v/>
      </c>
      <c r="J251">
        <f>IF($A251="","",ROUND($H251*$I251,0))</f>
        <v/>
      </c>
      <c r="K251">
        <f>IF($A251="","",Entry!$D254)</f>
        <v/>
      </c>
      <c r="L251">
        <f>IF($A251="","",Entry!$L254)</f>
        <v/>
      </c>
      <c r="N251">
        <f>IF(OR(Sync!$M251="",$Q251="",$Q251="نامعتبر"),"",Sync!$M251)</f>
        <v/>
      </c>
      <c r="O251">
        <f>IF($N251="","",$Q251)</f>
        <v/>
      </c>
      <c r="P251">
        <f>IF($N251="","",LEFT($Q251,4)&amp;MID($Q251,6,2)&amp;RIGHT($Q251,2)&amp;IF(Sync!$K251="","0000",IF(AND(ISNUMBER(Sync!$K251),Sync!$K251&gt;=0,Sync!$K251&lt;1),RIGHT("00"&amp;HOUR(Sync!$K251),2)&amp;RIGHT("00"&amp;MINUTE(Sync!$K251),2),IFERROR(RIGHT("00"&amp;VALUE(LEFT(Sync!$K251,FIND(":",Sync!$K251)-1)),2)&amp;RIGHT("00"&amp;VALUE(MID(Sync!$K251,FIND(":",Sync!$K251)+1,2)),2),"0000")))&amp;"|"&amp;"2"&amp;RIGHT("00000"&amp;246,5))</f>
        <v/>
      </c>
      <c r="Q251">
        <f>IF(Sync!$J251="","",IF(ISNUMBER(Sync!$J251),IF(AND(Sync!$J251&gt;=10000101,Sync!$J251&lt;=99991231),INT(Sync!$J251/10000)&amp;"/"&amp;RIGHT("00"&amp;INT(MOD(Sync!$J251,10000)/100),2)&amp;"/"&amp;RIGHT("00"&amp;MOD(Sync!$J251,100),2),"نامعتبر"),IF(LEN(Sync!$J251)=10,Sync!$J251,"نامعتبر")))</f>
        <v/>
      </c>
      <c r="R251">
        <f>IF($P251="","",COUNTIFS($N$6:$N$2005,$N251,$P$6:$P$2005,"&lt;"&amp;$P251)+COUNTIFS($A$6:$A$1005,$N251,$B$6:$B$1005,"&lt;"&amp;$P251)+1)</f>
        <v/>
      </c>
      <c r="S251">
        <f>IF($N251="","",$N251&amp;"|"&amp;RIGHT("000000"&amp;$R251,6))</f>
        <v/>
      </c>
      <c r="T251">
        <f>IF($N251="","",IF(Sync!$N251="",0,Sync!$N251))</f>
        <v/>
      </c>
      <c r="U251">
        <f>IF($N251="","",IF(Sync!$O251="",0,Sync!$O251))</f>
        <v/>
      </c>
      <c r="V251">
        <f>IF($N251="","",Sync!$L251)</f>
        <v/>
      </c>
      <c r="W251">
        <f>IF($N251="","",Sync!$P251)</f>
        <v/>
      </c>
      <c r="AA251">
        <f>IF($A251="","",IF(COUNTIF($A$6:$A251,$A251)=1,1,0))</f>
        <v/>
      </c>
      <c r="AB251">
        <f>SUM($AA$6:$AA251)</f>
        <v/>
      </c>
      <c r="AC251">
        <f>IFERROR(INDEX($A$6:$A$1005,MATCH(ROW()-5,$AB$6:$AB$1005,0)),"")</f>
        <v/>
      </c>
    </row>
    <row r="252">
      <c r="A252">
        <f>IF(OR(Entry!$B255="",Entry!$E255="",$E252="نامعتبر"),"",Entry!$E255)</f>
        <v/>
      </c>
      <c r="B252">
        <f>IF($A252="","",LEFT($E252,4)&amp;MID($E252,6,2)&amp;RIGHT($E252,2)&amp;$F252&amp;"|"&amp;"1"&amp;RIGHT("00000"&amp;247,5))</f>
        <v/>
      </c>
      <c r="C252">
        <f>IF($B252="","",COUNTIFS($A$6:$A$1005,$A252,$B$6:$B$1005,"&lt;"&amp;$B252)+COUNTIFS($N$6:$N$2005,$A252,$P$6:$P$2005,"&lt;"&amp;$B252)+1)</f>
        <v/>
      </c>
      <c r="D252">
        <f>IF($C252="","",$A252&amp;"|"&amp;RIGHT("000000"&amp;$C252,6))</f>
        <v/>
      </c>
      <c r="E252">
        <f>IF(Entry!$B255="","",IF(ISNUMBER(Entry!$B255),IF(AND(Entry!$B255&gt;=10000101,Entry!$B255&lt;=99991231),INT(Entry!$B255/10000)&amp;"/"&amp;RIGHT("00"&amp;INT(MOD(Entry!$B255,10000)/100),2)&amp;"/"&amp;RIGHT("00"&amp;MOD(Entry!$B255,100),2),"نامعتبر"),IF(LEN(Entry!$B255)=10,Entry!$B255,"نامعتبر")))</f>
        <v/>
      </c>
      <c r="F252">
        <f>IF(Entry!$B255="","",IF(Entry!$C255="","0000",IF(AND(ISNUMBER(Entry!$C255),Entry!$C255&gt;=0,Entry!$C255&lt;1),RIGHT("00"&amp;HOUR(Entry!$C255),2)&amp;RIGHT("00"&amp;MINUTE(Entry!$C255),2),IFERROR(RIGHT("00"&amp;VALUE(LEFT(Entry!$C255,FIND(":",Entry!$C255)-1)),2)&amp;RIGHT("00"&amp;VALUE(MID(Entry!$C255,FIND(":",Entry!$C255)+1,2)),2),"0000"))))</f>
        <v/>
      </c>
      <c r="G252">
        <f>IF($A252="","",Entry!$G255)</f>
        <v/>
      </c>
      <c r="H252">
        <f>IF($A252="","",IF(Entry!$H255="",0,Entry!$H255))</f>
        <v/>
      </c>
      <c r="I252">
        <f>IF($A252="","",IF(Entry!$I255="",0,Entry!$I255))</f>
        <v/>
      </c>
      <c r="J252">
        <f>IF($A252="","",ROUND($H252*$I252,0))</f>
        <v/>
      </c>
      <c r="K252">
        <f>IF($A252="","",Entry!$D255)</f>
        <v/>
      </c>
      <c r="L252">
        <f>IF($A252="","",Entry!$L255)</f>
        <v/>
      </c>
      <c r="N252">
        <f>IF(OR(Sync!$M252="",$Q252="",$Q252="نامعتبر"),"",Sync!$M252)</f>
        <v/>
      </c>
      <c r="O252">
        <f>IF($N252="","",$Q252)</f>
        <v/>
      </c>
      <c r="P252">
        <f>IF($N252="","",LEFT($Q252,4)&amp;MID($Q252,6,2)&amp;RIGHT($Q252,2)&amp;IF(Sync!$K252="","0000",IF(AND(ISNUMBER(Sync!$K252),Sync!$K252&gt;=0,Sync!$K252&lt;1),RIGHT("00"&amp;HOUR(Sync!$K252),2)&amp;RIGHT("00"&amp;MINUTE(Sync!$K252),2),IFERROR(RIGHT("00"&amp;VALUE(LEFT(Sync!$K252,FIND(":",Sync!$K252)-1)),2)&amp;RIGHT("00"&amp;VALUE(MID(Sync!$K252,FIND(":",Sync!$K252)+1,2)),2),"0000")))&amp;"|"&amp;"2"&amp;RIGHT("00000"&amp;247,5))</f>
        <v/>
      </c>
      <c r="Q252">
        <f>IF(Sync!$J252="","",IF(ISNUMBER(Sync!$J252),IF(AND(Sync!$J252&gt;=10000101,Sync!$J252&lt;=99991231),INT(Sync!$J252/10000)&amp;"/"&amp;RIGHT("00"&amp;INT(MOD(Sync!$J252,10000)/100),2)&amp;"/"&amp;RIGHT("00"&amp;MOD(Sync!$J252,100),2),"نامعتبر"),IF(LEN(Sync!$J252)=10,Sync!$J252,"نامعتبر")))</f>
        <v/>
      </c>
      <c r="R252">
        <f>IF($P252="","",COUNTIFS($N$6:$N$2005,$N252,$P$6:$P$2005,"&lt;"&amp;$P252)+COUNTIFS($A$6:$A$1005,$N252,$B$6:$B$1005,"&lt;"&amp;$P252)+1)</f>
        <v/>
      </c>
      <c r="S252">
        <f>IF($N252="","",$N252&amp;"|"&amp;RIGHT("000000"&amp;$R252,6))</f>
        <v/>
      </c>
      <c r="T252">
        <f>IF($N252="","",IF(Sync!$N252="",0,Sync!$N252))</f>
        <v/>
      </c>
      <c r="U252">
        <f>IF($N252="","",IF(Sync!$O252="",0,Sync!$O252))</f>
        <v/>
      </c>
      <c r="V252">
        <f>IF($N252="","",Sync!$L252)</f>
        <v/>
      </c>
      <c r="W252">
        <f>IF($N252="","",Sync!$P252)</f>
        <v/>
      </c>
      <c r="AA252">
        <f>IF($A252="","",IF(COUNTIF($A$6:$A252,$A252)=1,1,0))</f>
        <v/>
      </c>
      <c r="AB252">
        <f>SUM($AA$6:$AA252)</f>
        <v/>
      </c>
      <c r="AC252">
        <f>IFERROR(INDEX($A$6:$A$1005,MATCH(ROW()-5,$AB$6:$AB$1005,0)),"")</f>
        <v/>
      </c>
    </row>
    <row r="253">
      <c r="A253">
        <f>IF(OR(Entry!$B256="",Entry!$E256="",$E253="نامعتبر"),"",Entry!$E256)</f>
        <v/>
      </c>
      <c r="B253">
        <f>IF($A253="","",LEFT($E253,4)&amp;MID($E253,6,2)&amp;RIGHT($E253,2)&amp;$F253&amp;"|"&amp;"1"&amp;RIGHT("00000"&amp;248,5))</f>
        <v/>
      </c>
      <c r="C253">
        <f>IF($B253="","",COUNTIFS($A$6:$A$1005,$A253,$B$6:$B$1005,"&lt;"&amp;$B253)+COUNTIFS($N$6:$N$2005,$A253,$P$6:$P$2005,"&lt;"&amp;$B253)+1)</f>
        <v/>
      </c>
      <c r="D253">
        <f>IF($C253="","",$A253&amp;"|"&amp;RIGHT("000000"&amp;$C253,6))</f>
        <v/>
      </c>
      <c r="E253">
        <f>IF(Entry!$B256="","",IF(ISNUMBER(Entry!$B256),IF(AND(Entry!$B256&gt;=10000101,Entry!$B256&lt;=99991231),INT(Entry!$B256/10000)&amp;"/"&amp;RIGHT("00"&amp;INT(MOD(Entry!$B256,10000)/100),2)&amp;"/"&amp;RIGHT("00"&amp;MOD(Entry!$B256,100),2),"نامعتبر"),IF(LEN(Entry!$B256)=10,Entry!$B256,"نامعتبر")))</f>
        <v/>
      </c>
      <c r="F253">
        <f>IF(Entry!$B256="","",IF(Entry!$C256="","0000",IF(AND(ISNUMBER(Entry!$C256),Entry!$C256&gt;=0,Entry!$C256&lt;1),RIGHT("00"&amp;HOUR(Entry!$C256),2)&amp;RIGHT("00"&amp;MINUTE(Entry!$C256),2),IFERROR(RIGHT("00"&amp;VALUE(LEFT(Entry!$C256,FIND(":",Entry!$C256)-1)),2)&amp;RIGHT("00"&amp;VALUE(MID(Entry!$C256,FIND(":",Entry!$C256)+1,2)),2),"0000"))))</f>
        <v/>
      </c>
      <c r="G253">
        <f>IF($A253="","",Entry!$G256)</f>
        <v/>
      </c>
      <c r="H253">
        <f>IF($A253="","",IF(Entry!$H256="",0,Entry!$H256))</f>
        <v/>
      </c>
      <c r="I253">
        <f>IF($A253="","",IF(Entry!$I256="",0,Entry!$I256))</f>
        <v/>
      </c>
      <c r="J253">
        <f>IF($A253="","",ROUND($H253*$I253,0))</f>
        <v/>
      </c>
      <c r="K253">
        <f>IF($A253="","",Entry!$D256)</f>
        <v/>
      </c>
      <c r="L253">
        <f>IF($A253="","",Entry!$L256)</f>
        <v/>
      </c>
      <c r="N253">
        <f>IF(OR(Sync!$M253="",$Q253="",$Q253="نامعتبر"),"",Sync!$M253)</f>
        <v/>
      </c>
      <c r="O253">
        <f>IF($N253="","",$Q253)</f>
        <v/>
      </c>
      <c r="P253">
        <f>IF($N253="","",LEFT($Q253,4)&amp;MID($Q253,6,2)&amp;RIGHT($Q253,2)&amp;IF(Sync!$K253="","0000",IF(AND(ISNUMBER(Sync!$K253),Sync!$K253&gt;=0,Sync!$K253&lt;1),RIGHT("00"&amp;HOUR(Sync!$K253),2)&amp;RIGHT("00"&amp;MINUTE(Sync!$K253),2),IFERROR(RIGHT("00"&amp;VALUE(LEFT(Sync!$K253,FIND(":",Sync!$K253)-1)),2)&amp;RIGHT("00"&amp;VALUE(MID(Sync!$K253,FIND(":",Sync!$K253)+1,2)),2),"0000")))&amp;"|"&amp;"2"&amp;RIGHT("00000"&amp;248,5))</f>
        <v/>
      </c>
      <c r="Q253">
        <f>IF(Sync!$J253="","",IF(ISNUMBER(Sync!$J253),IF(AND(Sync!$J253&gt;=10000101,Sync!$J253&lt;=99991231),INT(Sync!$J253/10000)&amp;"/"&amp;RIGHT("00"&amp;INT(MOD(Sync!$J253,10000)/100),2)&amp;"/"&amp;RIGHT("00"&amp;MOD(Sync!$J253,100),2),"نامعتبر"),IF(LEN(Sync!$J253)=10,Sync!$J253,"نامعتبر")))</f>
        <v/>
      </c>
      <c r="R253">
        <f>IF($P253="","",COUNTIFS($N$6:$N$2005,$N253,$P$6:$P$2005,"&lt;"&amp;$P253)+COUNTIFS($A$6:$A$1005,$N253,$B$6:$B$1005,"&lt;"&amp;$P253)+1)</f>
        <v/>
      </c>
      <c r="S253">
        <f>IF($N253="","",$N253&amp;"|"&amp;RIGHT("000000"&amp;$R253,6))</f>
        <v/>
      </c>
      <c r="T253">
        <f>IF($N253="","",IF(Sync!$N253="",0,Sync!$N253))</f>
        <v/>
      </c>
      <c r="U253">
        <f>IF($N253="","",IF(Sync!$O253="",0,Sync!$O253))</f>
        <v/>
      </c>
      <c r="V253">
        <f>IF($N253="","",Sync!$L253)</f>
        <v/>
      </c>
      <c r="W253">
        <f>IF($N253="","",Sync!$P253)</f>
        <v/>
      </c>
      <c r="AA253">
        <f>IF($A253="","",IF(COUNTIF($A$6:$A253,$A253)=1,1,0))</f>
        <v/>
      </c>
      <c r="AB253">
        <f>SUM($AA$6:$AA253)</f>
        <v/>
      </c>
      <c r="AC253">
        <f>IFERROR(INDEX($A$6:$A$1005,MATCH(ROW()-5,$AB$6:$AB$1005,0)),"")</f>
        <v/>
      </c>
    </row>
    <row r="254">
      <c r="A254">
        <f>IF(OR(Entry!$B257="",Entry!$E257="",$E254="نامعتبر"),"",Entry!$E257)</f>
        <v/>
      </c>
      <c r="B254">
        <f>IF($A254="","",LEFT($E254,4)&amp;MID($E254,6,2)&amp;RIGHT($E254,2)&amp;$F254&amp;"|"&amp;"1"&amp;RIGHT("00000"&amp;249,5))</f>
        <v/>
      </c>
      <c r="C254">
        <f>IF($B254="","",COUNTIFS($A$6:$A$1005,$A254,$B$6:$B$1005,"&lt;"&amp;$B254)+COUNTIFS($N$6:$N$2005,$A254,$P$6:$P$2005,"&lt;"&amp;$B254)+1)</f>
        <v/>
      </c>
      <c r="D254">
        <f>IF($C254="","",$A254&amp;"|"&amp;RIGHT("000000"&amp;$C254,6))</f>
        <v/>
      </c>
      <c r="E254">
        <f>IF(Entry!$B257="","",IF(ISNUMBER(Entry!$B257),IF(AND(Entry!$B257&gt;=10000101,Entry!$B257&lt;=99991231),INT(Entry!$B257/10000)&amp;"/"&amp;RIGHT("00"&amp;INT(MOD(Entry!$B257,10000)/100),2)&amp;"/"&amp;RIGHT("00"&amp;MOD(Entry!$B257,100),2),"نامعتبر"),IF(LEN(Entry!$B257)=10,Entry!$B257,"نامعتبر")))</f>
        <v/>
      </c>
      <c r="F254">
        <f>IF(Entry!$B257="","",IF(Entry!$C257="","0000",IF(AND(ISNUMBER(Entry!$C257),Entry!$C257&gt;=0,Entry!$C257&lt;1),RIGHT("00"&amp;HOUR(Entry!$C257),2)&amp;RIGHT("00"&amp;MINUTE(Entry!$C257),2),IFERROR(RIGHT("00"&amp;VALUE(LEFT(Entry!$C257,FIND(":",Entry!$C257)-1)),2)&amp;RIGHT("00"&amp;VALUE(MID(Entry!$C257,FIND(":",Entry!$C257)+1,2)),2),"0000"))))</f>
        <v/>
      </c>
      <c r="G254">
        <f>IF($A254="","",Entry!$G257)</f>
        <v/>
      </c>
      <c r="H254">
        <f>IF($A254="","",IF(Entry!$H257="",0,Entry!$H257))</f>
        <v/>
      </c>
      <c r="I254">
        <f>IF($A254="","",IF(Entry!$I257="",0,Entry!$I257))</f>
        <v/>
      </c>
      <c r="J254">
        <f>IF($A254="","",ROUND($H254*$I254,0))</f>
        <v/>
      </c>
      <c r="K254">
        <f>IF($A254="","",Entry!$D257)</f>
        <v/>
      </c>
      <c r="L254">
        <f>IF($A254="","",Entry!$L257)</f>
        <v/>
      </c>
      <c r="N254">
        <f>IF(OR(Sync!$M254="",$Q254="",$Q254="نامعتبر"),"",Sync!$M254)</f>
        <v/>
      </c>
      <c r="O254">
        <f>IF($N254="","",$Q254)</f>
        <v/>
      </c>
      <c r="P254">
        <f>IF($N254="","",LEFT($Q254,4)&amp;MID($Q254,6,2)&amp;RIGHT($Q254,2)&amp;IF(Sync!$K254="","0000",IF(AND(ISNUMBER(Sync!$K254),Sync!$K254&gt;=0,Sync!$K254&lt;1),RIGHT("00"&amp;HOUR(Sync!$K254),2)&amp;RIGHT("00"&amp;MINUTE(Sync!$K254),2),IFERROR(RIGHT("00"&amp;VALUE(LEFT(Sync!$K254,FIND(":",Sync!$K254)-1)),2)&amp;RIGHT("00"&amp;VALUE(MID(Sync!$K254,FIND(":",Sync!$K254)+1,2)),2),"0000")))&amp;"|"&amp;"2"&amp;RIGHT("00000"&amp;249,5))</f>
        <v/>
      </c>
      <c r="Q254">
        <f>IF(Sync!$J254="","",IF(ISNUMBER(Sync!$J254),IF(AND(Sync!$J254&gt;=10000101,Sync!$J254&lt;=99991231),INT(Sync!$J254/10000)&amp;"/"&amp;RIGHT("00"&amp;INT(MOD(Sync!$J254,10000)/100),2)&amp;"/"&amp;RIGHT("00"&amp;MOD(Sync!$J254,100),2),"نامعتبر"),IF(LEN(Sync!$J254)=10,Sync!$J254,"نامعتبر")))</f>
        <v/>
      </c>
      <c r="R254">
        <f>IF($P254="","",COUNTIFS($N$6:$N$2005,$N254,$P$6:$P$2005,"&lt;"&amp;$P254)+COUNTIFS($A$6:$A$1005,$N254,$B$6:$B$1005,"&lt;"&amp;$P254)+1)</f>
        <v/>
      </c>
      <c r="S254">
        <f>IF($N254="","",$N254&amp;"|"&amp;RIGHT("000000"&amp;$R254,6))</f>
        <v/>
      </c>
      <c r="T254">
        <f>IF($N254="","",IF(Sync!$N254="",0,Sync!$N254))</f>
        <v/>
      </c>
      <c r="U254">
        <f>IF($N254="","",IF(Sync!$O254="",0,Sync!$O254))</f>
        <v/>
      </c>
      <c r="V254">
        <f>IF($N254="","",Sync!$L254)</f>
        <v/>
      </c>
      <c r="W254">
        <f>IF($N254="","",Sync!$P254)</f>
        <v/>
      </c>
      <c r="AA254">
        <f>IF($A254="","",IF(COUNTIF($A$6:$A254,$A254)=1,1,0))</f>
        <v/>
      </c>
      <c r="AB254">
        <f>SUM($AA$6:$AA254)</f>
        <v/>
      </c>
      <c r="AC254">
        <f>IFERROR(INDEX($A$6:$A$1005,MATCH(ROW()-5,$AB$6:$AB$1005,0)),"")</f>
        <v/>
      </c>
    </row>
    <row r="255">
      <c r="A255">
        <f>IF(OR(Entry!$B258="",Entry!$E258="",$E255="نامعتبر"),"",Entry!$E258)</f>
        <v/>
      </c>
      <c r="B255">
        <f>IF($A255="","",LEFT($E255,4)&amp;MID($E255,6,2)&amp;RIGHT($E255,2)&amp;$F255&amp;"|"&amp;"1"&amp;RIGHT("00000"&amp;250,5))</f>
        <v/>
      </c>
      <c r="C255">
        <f>IF($B255="","",COUNTIFS($A$6:$A$1005,$A255,$B$6:$B$1005,"&lt;"&amp;$B255)+COUNTIFS($N$6:$N$2005,$A255,$P$6:$P$2005,"&lt;"&amp;$B255)+1)</f>
        <v/>
      </c>
      <c r="D255">
        <f>IF($C255="","",$A255&amp;"|"&amp;RIGHT("000000"&amp;$C255,6))</f>
        <v/>
      </c>
      <c r="E255">
        <f>IF(Entry!$B258="","",IF(ISNUMBER(Entry!$B258),IF(AND(Entry!$B258&gt;=10000101,Entry!$B258&lt;=99991231),INT(Entry!$B258/10000)&amp;"/"&amp;RIGHT("00"&amp;INT(MOD(Entry!$B258,10000)/100),2)&amp;"/"&amp;RIGHT("00"&amp;MOD(Entry!$B258,100),2),"نامعتبر"),IF(LEN(Entry!$B258)=10,Entry!$B258,"نامعتبر")))</f>
        <v/>
      </c>
      <c r="F255">
        <f>IF(Entry!$B258="","",IF(Entry!$C258="","0000",IF(AND(ISNUMBER(Entry!$C258),Entry!$C258&gt;=0,Entry!$C258&lt;1),RIGHT("00"&amp;HOUR(Entry!$C258),2)&amp;RIGHT("00"&amp;MINUTE(Entry!$C258),2),IFERROR(RIGHT("00"&amp;VALUE(LEFT(Entry!$C258,FIND(":",Entry!$C258)-1)),2)&amp;RIGHT("00"&amp;VALUE(MID(Entry!$C258,FIND(":",Entry!$C258)+1,2)),2),"0000"))))</f>
        <v/>
      </c>
      <c r="G255">
        <f>IF($A255="","",Entry!$G258)</f>
        <v/>
      </c>
      <c r="H255">
        <f>IF($A255="","",IF(Entry!$H258="",0,Entry!$H258))</f>
        <v/>
      </c>
      <c r="I255">
        <f>IF($A255="","",IF(Entry!$I258="",0,Entry!$I258))</f>
        <v/>
      </c>
      <c r="J255">
        <f>IF($A255="","",ROUND($H255*$I255,0))</f>
        <v/>
      </c>
      <c r="K255">
        <f>IF($A255="","",Entry!$D258)</f>
        <v/>
      </c>
      <c r="L255">
        <f>IF($A255="","",Entry!$L258)</f>
        <v/>
      </c>
      <c r="N255">
        <f>IF(OR(Sync!$M255="",$Q255="",$Q255="نامعتبر"),"",Sync!$M255)</f>
        <v/>
      </c>
      <c r="O255">
        <f>IF($N255="","",$Q255)</f>
        <v/>
      </c>
      <c r="P255">
        <f>IF($N255="","",LEFT($Q255,4)&amp;MID($Q255,6,2)&amp;RIGHT($Q255,2)&amp;IF(Sync!$K255="","0000",IF(AND(ISNUMBER(Sync!$K255),Sync!$K255&gt;=0,Sync!$K255&lt;1),RIGHT("00"&amp;HOUR(Sync!$K255),2)&amp;RIGHT("00"&amp;MINUTE(Sync!$K255),2),IFERROR(RIGHT("00"&amp;VALUE(LEFT(Sync!$K255,FIND(":",Sync!$K255)-1)),2)&amp;RIGHT("00"&amp;VALUE(MID(Sync!$K255,FIND(":",Sync!$K255)+1,2)),2),"0000")))&amp;"|"&amp;"2"&amp;RIGHT("00000"&amp;250,5))</f>
        <v/>
      </c>
      <c r="Q255">
        <f>IF(Sync!$J255="","",IF(ISNUMBER(Sync!$J255),IF(AND(Sync!$J255&gt;=10000101,Sync!$J255&lt;=99991231),INT(Sync!$J255/10000)&amp;"/"&amp;RIGHT("00"&amp;INT(MOD(Sync!$J255,10000)/100),2)&amp;"/"&amp;RIGHT("00"&amp;MOD(Sync!$J255,100),2),"نامعتبر"),IF(LEN(Sync!$J255)=10,Sync!$J255,"نامعتبر")))</f>
        <v/>
      </c>
      <c r="R255">
        <f>IF($P255="","",COUNTIFS($N$6:$N$2005,$N255,$P$6:$P$2005,"&lt;"&amp;$P255)+COUNTIFS($A$6:$A$1005,$N255,$B$6:$B$1005,"&lt;"&amp;$P255)+1)</f>
        <v/>
      </c>
      <c r="S255">
        <f>IF($N255="","",$N255&amp;"|"&amp;RIGHT("000000"&amp;$R255,6))</f>
        <v/>
      </c>
      <c r="T255">
        <f>IF($N255="","",IF(Sync!$N255="",0,Sync!$N255))</f>
        <v/>
      </c>
      <c r="U255">
        <f>IF($N255="","",IF(Sync!$O255="",0,Sync!$O255))</f>
        <v/>
      </c>
      <c r="V255">
        <f>IF($N255="","",Sync!$L255)</f>
        <v/>
      </c>
      <c r="W255">
        <f>IF($N255="","",Sync!$P255)</f>
        <v/>
      </c>
      <c r="AA255">
        <f>IF($A255="","",IF(COUNTIF($A$6:$A255,$A255)=1,1,0))</f>
        <v/>
      </c>
      <c r="AB255">
        <f>SUM($AA$6:$AA255)</f>
        <v/>
      </c>
      <c r="AC255">
        <f>IFERROR(INDEX($A$6:$A$1005,MATCH(ROW()-5,$AB$6:$AB$1005,0)),"")</f>
        <v/>
      </c>
    </row>
    <row r="256">
      <c r="A256">
        <f>IF(OR(Entry!$B259="",Entry!$E259="",$E256="نامعتبر"),"",Entry!$E259)</f>
        <v/>
      </c>
      <c r="B256">
        <f>IF($A256="","",LEFT($E256,4)&amp;MID($E256,6,2)&amp;RIGHT($E256,2)&amp;$F256&amp;"|"&amp;"1"&amp;RIGHT("00000"&amp;251,5))</f>
        <v/>
      </c>
      <c r="C256">
        <f>IF($B256="","",COUNTIFS($A$6:$A$1005,$A256,$B$6:$B$1005,"&lt;"&amp;$B256)+COUNTIFS($N$6:$N$2005,$A256,$P$6:$P$2005,"&lt;"&amp;$B256)+1)</f>
        <v/>
      </c>
      <c r="D256">
        <f>IF($C256="","",$A256&amp;"|"&amp;RIGHT("000000"&amp;$C256,6))</f>
        <v/>
      </c>
      <c r="E256">
        <f>IF(Entry!$B259="","",IF(ISNUMBER(Entry!$B259),IF(AND(Entry!$B259&gt;=10000101,Entry!$B259&lt;=99991231),INT(Entry!$B259/10000)&amp;"/"&amp;RIGHT("00"&amp;INT(MOD(Entry!$B259,10000)/100),2)&amp;"/"&amp;RIGHT("00"&amp;MOD(Entry!$B259,100),2),"نامعتبر"),IF(LEN(Entry!$B259)=10,Entry!$B259,"نامعتبر")))</f>
        <v/>
      </c>
      <c r="F256">
        <f>IF(Entry!$B259="","",IF(Entry!$C259="","0000",IF(AND(ISNUMBER(Entry!$C259),Entry!$C259&gt;=0,Entry!$C259&lt;1),RIGHT("00"&amp;HOUR(Entry!$C259),2)&amp;RIGHT("00"&amp;MINUTE(Entry!$C259),2),IFERROR(RIGHT("00"&amp;VALUE(LEFT(Entry!$C259,FIND(":",Entry!$C259)-1)),2)&amp;RIGHT("00"&amp;VALUE(MID(Entry!$C259,FIND(":",Entry!$C259)+1,2)),2),"0000"))))</f>
        <v/>
      </c>
      <c r="G256">
        <f>IF($A256="","",Entry!$G259)</f>
        <v/>
      </c>
      <c r="H256">
        <f>IF($A256="","",IF(Entry!$H259="",0,Entry!$H259))</f>
        <v/>
      </c>
      <c r="I256">
        <f>IF($A256="","",IF(Entry!$I259="",0,Entry!$I259))</f>
        <v/>
      </c>
      <c r="J256">
        <f>IF($A256="","",ROUND($H256*$I256,0))</f>
        <v/>
      </c>
      <c r="K256">
        <f>IF($A256="","",Entry!$D259)</f>
        <v/>
      </c>
      <c r="L256">
        <f>IF($A256="","",Entry!$L259)</f>
        <v/>
      </c>
      <c r="N256">
        <f>IF(OR(Sync!$M256="",$Q256="",$Q256="نامعتبر"),"",Sync!$M256)</f>
        <v/>
      </c>
      <c r="O256">
        <f>IF($N256="","",$Q256)</f>
        <v/>
      </c>
      <c r="P256">
        <f>IF($N256="","",LEFT($Q256,4)&amp;MID($Q256,6,2)&amp;RIGHT($Q256,2)&amp;IF(Sync!$K256="","0000",IF(AND(ISNUMBER(Sync!$K256),Sync!$K256&gt;=0,Sync!$K256&lt;1),RIGHT("00"&amp;HOUR(Sync!$K256),2)&amp;RIGHT("00"&amp;MINUTE(Sync!$K256),2),IFERROR(RIGHT("00"&amp;VALUE(LEFT(Sync!$K256,FIND(":",Sync!$K256)-1)),2)&amp;RIGHT("00"&amp;VALUE(MID(Sync!$K256,FIND(":",Sync!$K256)+1,2)),2),"0000")))&amp;"|"&amp;"2"&amp;RIGHT("00000"&amp;251,5))</f>
        <v/>
      </c>
      <c r="Q256">
        <f>IF(Sync!$J256="","",IF(ISNUMBER(Sync!$J256),IF(AND(Sync!$J256&gt;=10000101,Sync!$J256&lt;=99991231),INT(Sync!$J256/10000)&amp;"/"&amp;RIGHT("00"&amp;INT(MOD(Sync!$J256,10000)/100),2)&amp;"/"&amp;RIGHT("00"&amp;MOD(Sync!$J256,100),2),"نامعتبر"),IF(LEN(Sync!$J256)=10,Sync!$J256,"نامعتبر")))</f>
        <v/>
      </c>
      <c r="R256">
        <f>IF($P256="","",COUNTIFS($N$6:$N$2005,$N256,$P$6:$P$2005,"&lt;"&amp;$P256)+COUNTIFS($A$6:$A$1005,$N256,$B$6:$B$1005,"&lt;"&amp;$P256)+1)</f>
        <v/>
      </c>
      <c r="S256">
        <f>IF($N256="","",$N256&amp;"|"&amp;RIGHT("000000"&amp;$R256,6))</f>
        <v/>
      </c>
      <c r="T256">
        <f>IF($N256="","",IF(Sync!$N256="",0,Sync!$N256))</f>
        <v/>
      </c>
      <c r="U256">
        <f>IF($N256="","",IF(Sync!$O256="",0,Sync!$O256))</f>
        <v/>
      </c>
      <c r="V256">
        <f>IF($N256="","",Sync!$L256)</f>
        <v/>
      </c>
      <c r="W256">
        <f>IF($N256="","",Sync!$P256)</f>
        <v/>
      </c>
      <c r="AA256">
        <f>IF($A256="","",IF(COUNTIF($A$6:$A256,$A256)=1,1,0))</f>
        <v/>
      </c>
      <c r="AB256">
        <f>SUM($AA$6:$AA256)</f>
        <v/>
      </c>
      <c r="AC256">
        <f>IFERROR(INDEX($A$6:$A$1005,MATCH(ROW()-5,$AB$6:$AB$1005,0)),"")</f>
        <v/>
      </c>
    </row>
    <row r="257">
      <c r="A257">
        <f>IF(OR(Entry!$B260="",Entry!$E260="",$E257="نامعتبر"),"",Entry!$E260)</f>
        <v/>
      </c>
      <c r="B257">
        <f>IF($A257="","",LEFT($E257,4)&amp;MID($E257,6,2)&amp;RIGHT($E257,2)&amp;$F257&amp;"|"&amp;"1"&amp;RIGHT("00000"&amp;252,5))</f>
        <v/>
      </c>
      <c r="C257">
        <f>IF($B257="","",COUNTIFS($A$6:$A$1005,$A257,$B$6:$B$1005,"&lt;"&amp;$B257)+COUNTIFS($N$6:$N$2005,$A257,$P$6:$P$2005,"&lt;"&amp;$B257)+1)</f>
        <v/>
      </c>
      <c r="D257">
        <f>IF($C257="","",$A257&amp;"|"&amp;RIGHT("000000"&amp;$C257,6))</f>
        <v/>
      </c>
      <c r="E257">
        <f>IF(Entry!$B260="","",IF(ISNUMBER(Entry!$B260),IF(AND(Entry!$B260&gt;=10000101,Entry!$B260&lt;=99991231),INT(Entry!$B260/10000)&amp;"/"&amp;RIGHT("00"&amp;INT(MOD(Entry!$B260,10000)/100),2)&amp;"/"&amp;RIGHT("00"&amp;MOD(Entry!$B260,100),2),"نامعتبر"),IF(LEN(Entry!$B260)=10,Entry!$B260,"نامعتبر")))</f>
        <v/>
      </c>
      <c r="F257">
        <f>IF(Entry!$B260="","",IF(Entry!$C260="","0000",IF(AND(ISNUMBER(Entry!$C260),Entry!$C260&gt;=0,Entry!$C260&lt;1),RIGHT("00"&amp;HOUR(Entry!$C260),2)&amp;RIGHT("00"&amp;MINUTE(Entry!$C260),2),IFERROR(RIGHT("00"&amp;VALUE(LEFT(Entry!$C260,FIND(":",Entry!$C260)-1)),2)&amp;RIGHT("00"&amp;VALUE(MID(Entry!$C260,FIND(":",Entry!$C260)+1,2)),2),"0000"))))</f>
        <v/>
      </c>
      <c r="G257">
        <f>IF($A257="","",Entry!$G260)</f>
        <v/>
      </c>
      <c r="H257">
        <f>IF($A257="","",IF(Entry!$H260="",0,Entry!$H260))</f>
        <v/>
      </c>
      <c r="I257">
        <f>IF($A257="","",IF(Entry!$I260="",0,Entry!$I260))</f>
        <v/>
      </c>
      <c r="J257">
        <f>IF($A257="","",ROUND($H257*$I257,0))</f>
        <v/>
      </c>
      <c r="K257">
        <f>IF($A257="","",Entry!$D260)</f>
        <v/>
      </c>
      <c r="L257">
        <f>IF($A257="","",Entry!$L260)</f>
        <v/>
      </c>
      <c r="N257">
        <f>IF(OR(Sync!$M257="",$Q257="",$Q257="نامعتبر"),"",Sync!$M257)</f>
        <v/>
      </c>
      <c r="O257">
        <f>IF($N257="","",$Q257)</f>
        <v/>
      </c>
      <c r="P257">
        <f>IF($N257="","",LEFT($Q257,4)&amp;MID($Q257,6,2)&amp;RIGHT($Q257,2)&amp;IF(Sync!$K257="","0000",IF(AND(ISNUMBER(Sync!$K257),Sync!$K257&gt;=0,Sync!$K257&lt;1),RIGHT("00"&amp;HOUR(Sync!$K257),2)&amp;RIGHT("00"&amp;MINUTE(Sync!$K257),2),IFERROR(RIGHT("00"&amp;VALUE(LEFT(Sync!$K257,FIND(":",Sync!$K257)-1)),2)&amp;RIGHT("00"&amp;VALUE(MID(Sync!$K257,FIND(":",Sync!$K257)+1,2)),2),"0000")))&amp;"|"&amp;"2"&amp;RIGHT("00000"&amp;252,5))</f>
        <v/>
      </c>
      <c r="Q257">
        <f>IF(Sync!$J257="","",IF(ISNUMBER(Sync!$J257),IF(AND(Sync!$J257&gt;=10000101,Sync!$J257&lt;=99991231),INT(Sync!$J257/10000)&amp;"/"&amp;RIGHT("00"&amp;INT(MOD(Sync!$J257,10000)/100),2)&amp;"/"&amp;RIGHT("00"&amp;MOD(Sync!$J257,100),2),"نامعتبر"),IF(LEN(Sync!$J257)=10,Sync!$J257,"نامعتبر")))</f>
        <v/>
      </c>
      <c r="R257">
        <f>IF($P257="","",COUNTIFS($N$6:$N$2005,$N257,$P$6:$P$2005,"&lt;"&amp;$P257)+COUNTIFS($A$6:$A$1005,$N257,$B$6:$B$1005,"&lt;"&amp;$P257)+1)</f>
        <v/>
      </c>
      <c r="S257">
        <f>IF($N257="","",$N257&amp;"|"&amp;RIGHT("000000"&amp;$R257,6))</f>
        <v/>
      </c>
      <c r="T257">
        <f>IF($N257="","",IF(Sync!$N257="",0,Sync!$N257))</f>
        <v/>
      </c>
      <c r="U257">
        <f>IF($N257="","",IF(Sync!$O257="",0,Sync!$O257))</f>
        <v/>
      </c>
      <c r="V257">
        <f>IF($N257="","",Sync!$L257)</f>
        <v/>
      </c>
      <c r="W257">
        <f>IF($N257="","",Sync!$P257)</f>
        <v/>
      </c>
      <c r="AA257">
        <f>IF($A257="","",IF(COUNTIF($A$6:$A257,$A257)=1,1,0))</f>
        <v/>
      </c>
      <c r="AB257">
        <f>SUM($AA$6:$AA257)</f>
        <v/>
      </c>
      <c r="AC257">
        <f>IFERROR(INDEX($A$6:$A$1005,MATCH(ROW()-5,$AB$6:$AB$1005,0)),"")</f>
        <v/>
      </c>
    </row>
    <row r="258">
      <c r="A258">
        <f>IF(OR(Entry!$B261="",Entry!$E261="",$E258="نامعتبر"),"",Entry!$E261)</f>
        <v/>
      </c>
      <c r="B258">
        <f>IF($A258="","",LEFT($E258,4)&amp;MID($E258,6,2)&amp;RIGHT($E258,2)&amp;$F258&amp;"|"&amp;"1"&amp;RIGHT("00000"&amp;253,5))</f>
        <v/>
      </c>
      <c r="C258">
        <f>IF($B258="","",COUNTIFS($A$6:$A$1005,$A258,$B$6:$B$1005,"&lt;"&amp;$B258)+COUNTIFS($N$6:$N$2005,$A258,$P$6:$P$2005,"&lt;"&amp;$B258)+1)</f>
        <v/>
      </c>
      <c r="D258">
        <f>IF($C258="","",$A258&amp;"|"&amp;RIGHT("000000"&amp;$C258,6))</f>
        <v/>
      </c>
      <c r="E258">
        <f>IF(Entry!$B261="","",IF(ISNUMBER(Entry!$B261),IF(AND(Entry!$B261&gt;=10000101,Entry!$B261&lt;=99991231),INT(Entry!$B261/10000)&amp;"/"&amp;RIGHT("00"&amp;INT(MOD(Entry!$B261,10000)/100),2)&amp;"/"&amp;RIGHT("00"&amp;MOD(Entry!$B261,100),2),"نامعتبر"),IF(LEN(Entry!$B261)=10,Entry!$B261,"نامعتبر")))</f>
        <v/>
      </c>
      <c r="F258">
        <f>IF(Entry!$B261="","",IF(Entry!$C261="","0000",IF(AND(ISNUMBER(Entry!$C261),Entry!$C261&gt;=0,Entry!$C261&lt;1),RIGHT("00"&amp;HOUR(Entry!$C261),2)&amp;RIGHT("00"&amp;MINUTE(Entry!$C261),2),IFERROR(RIGHT("00"&amp;VALUE(LEFT(Entry!$C261,FIND(":",Entry!$C261)-1)),2)&amp;RIGHT("00"&amp;VALUE(MID(Entry!$C261,FIND(":",Entry!$C261)+1,2)),2),"0000"))))</f>
        <v/>
      </c>
      <c r="G258">
        <f>IF($A258="","",Entry!$G261)</f>
        <v/>
      </c>
      <c r="H258">
        <f>IF($A258="","",IF(Entry!$H261="",0,Entry!$H261))</f>
        <v/>
      </c>
      <c r="I258">
        <f>IF($A258="","",IF(Entry!$I261="",0,Entry!$I261))</f>
        <v/>
      </c>
      <c r="J258">
        <f>IF($A258="","",ROUND($H258*$I258,0))</f>
        <v/>
      </c>
      <c r="K258">
        <f>IF($A258="","",Entry!$D261)</f>
        <v/>
      </c>
      <c r="L258">
        <f>IF($A258="","",Entry!$L261)</f>
        <v/>
      </c>
      <c r="N258">
        <f>IF(OR(Sync!$M258="",$Q258="",$Q258="نامعتبر"),"",Sync!$M258)</f>
        <v/>
      </c>
      <c r="O258">
        <f>IF($N258="","",$Q258)</f>
        <v/>
      </c>
      <c r="P258">
        <f>IF($N258="","",LEFT($Q258,4)&amp;MID($Q258,6,2)&amp;RIGHT($Q258,2)&amp;IF(Sync!$K258="","0000",IF(AND(ISNUMBER(Sync!$K258),Sync!$K258&gt;=0,Sync!$K258&lt;1),RIGHT("00"&amp;HOUR(Sync!$K258),2)&amp;RIGHT("00"&amp;MINUTE(Sync!$K258),2),IFERROR(RIGHT("00"&amp;VALUE(LEFT(Sync!$K258,FIND(":",Sync!$K258)-1)),2)&amp;RIGHT("00"&amp;VALUE(MID(Sync!$K258,FIND(":",Sync!$K258)+1,2)),2),"0000")))&amp;"|"&amp;"2"&amp;RIGHT("00000"&amp;253,5))</f>
        <v/>
      </c>
      <c r="Q258">
        <f>IF(Sync!$J258="","",IF(ISNUMBER(Sync!$J258),IF(AND(Sync!$J258&gt;=10000101,Sync!$J258&lt;=99991231),INT(Sync!$J258/10000)&amp;"/"&amp;RIGHT("00"&amp;INT(MOD(Sync!$J258,10000)/100),2)&amp;"/"&amp;RIGHT("00"&amp;MOD(Sync!$J258,100),2),"نامعتبر"),IF(LEN(Sync!$J258)=10,Sync!$J258,"نامعتبر")))</f>
        <v/>
      </c>
      <c r="R258">
        <f>IF($P258="","",COUNTIFS($N$6:$N$2005,$N258,$P$6:$P$2005,"&lt;"&amp;$P258)+COUNTIFS($A$6:$A$1005,$N258,$B$6:$B$1005,"&lt;"&amp;$P258)+1)</f>
        <v/>
      </c>
      <c r="S258">
        <f>IF($N258="","",$N258&amp;"|"&amp;RIGHT("000000"&amp;$R258,6))</f>
        <v/>
      </c>
      <c r="T258">
        <f>IF($N258="","",IF(Sync!$N258="",0,Sync!$N258))</f>
        <v/>
      </c>
      <c r="U258">
        <f>IF($N258="","",IF(Sync!$O258="",0,Sync!$O258))</f>
        <v/>
      </c>
      <c r="V258">
        <f>IF($N258="","",Sync!$L258)</f>
        <v/>
      </c>
      <c r="W258">
        <f>IF($N258="","",Sync!$P258)</f>
        <v/>
      </c>
      <c r="AA258">
        <f>IF($A258="","",IF(COUNTIF($A$6:$A258,$A258)=1,1,0))</f>
        <v/>
      </c>
      <c r="AB258">
        <f>SUM($AA$6:$AA258)</f>
        <v/>
      </c>
      <c r="AC258">
        <f>IFERROR(INDEX($A$6:$A$1005,MATCH(ROW()-5,$AB$6:$AB$1005,0)),"")</f>
        <v/>
      </c>
    </row>
    <row r="259">
      <c r="A259">
        <f>IF(OR(Entry!$B262="",Entry!$E262="",$E259="نامعتبر"),"",Entry!$E262)</f>
        <v/>
      </c>
      <c r="B259">
        <f>IF($A259="","",LEFT($E259,4)&amp;MID($E259,6,2)&amp;RIGHT($E259,2)&amp;$F259&amp;"|"&amp;"1"&amp;RIGHT("00000"&amp;254,5))</f>
        <v/>
      </c>
      <c r="C259">
        <f>IF($B259="","",COUNTIFS($A$6:$A$1005,$A259,$B$6:$B$1005,"&lt;"&amp;$B259)+COUNTIFS($N$6:$N$2005,$A259,$P$6:$P$2005,"&lt;"&amp;$B259)+1)</f>
        <v/>
      </c>
      <c r="D259">
        <f>IF($C259="","",$A259&amp;"|"&amp;RIGHT("000000"&amp;$C259,6))</f>
        <v/>
      </c>
      <c r="E259">
        <f>IF(Entry!$B262="","",IF(ISNUMBER(Entry!$B262),IF(AND(Entry!$B262&gt;=10000101,Entry!$B262&lt;=99991231),INT(Entry!$B262/10000)&amp;"/"&amp;RIGHT("00"&amp;INT(MOD(Entry!$B262,10000)/100),2)&amp;"/"&amp;RIGHT("00"&amp;MOD(Entry!$B262,100),2),"نامعتبر"),IF(LEN(Entry!$B262)=10,Entry!$B262,"نامعتبر")))</f>
        <v/>
      </c>
      <c r="F259">
        <f>IF(Entry!$B262="","",IF(Entry!$C262="","0000",IF(AND(ISNUMBER(Entry!$C262),Entry!$C262&gt;=0,Entry!$C262&lt;1),RIGHT("00"&amp;HOUR(Entry!$C262),2)&amp;RIGHT("00"&amp;MINUTE(Entry!$C262),2),IFERROR(RIGHT("00"&amp;VALUE(LEFT(Entry!$C262,FIND(":",Entry!$C262)-1)),2)&amp;RIGHT("00"&amp;VALUE(MID(Entry!$C262,FIND(":",Entry!$C262)+1,2)),2),"0000"))))</f>
        <v/>
      </c>
      <c r="G259">
        <f>IF($A259="","",Entry!$G262)</f>
        <v/>
      </c>
      <c r="H259">
        <f>IF($A259="","",IF(Entry!$H262="",0,Entry!$H262))</f>
        <v/>
      </c>
      <c r="I259">
        <f>IF($A259="","",IF(Entry!$I262="",0,Entry!$I262))</f>
        <v/>
      </c>
      <c r="J259">
        <f>IF($A259="","",ROUND($H259*$I259,0))</f>
        <v/>
      </c>
      <c r="K259">
        <f>IF($A259="","",Entry!$D262)</f>
        <v/>
      </c>
      <c r="L259">
        <f>IF($A259="","",Entry!$L262)</f>
        <v/>
      </c>
      <c r="N259">
        <f>IF(OR(Sync!$M259="",$Q259="",$Q259="نامعتبر"),"",Sync!$M259)</f>
        <v/>
      </c>
      <c r="O259">
        <f>IF($N259="","",$Q259)</f>
        <v/>
      </c>
      <c r="P259">
        <f>IF($N259="","",LEFT($Q259,4)&amp;MID($Q259,6,2)&amp;RIGHT($Q259,2)&amp;IF(Sync!$K259="","0000",IF(AND(ISNUMBER(Sync!$K259),Sync!$K259&gt;=0,Sync!$K259&lt;1),RIGHT("00"&amp;HOUR(Sync!$K259),2)&amp;RIGHT("00"&amp;MINUTE(Sync!$K259),2),IFERROR(RIGHT("00"&amp;VALUE(LEFT(Sync!$K259,FIND(":",Sync!$K259)-1)),2)&amp;RIGHT("00"&amp;VALUE(MID(Sync!$K259,FIND(":",Sync!$K259)+1,2)),2),"0000")))&amp;"|"&amp;"2"&amp;RIGHT("00000"&amp;254,5))</f>
        <v/>
      </c>
      <c r="Q259">
        <f>IF(Sync!$J259="","",IF(ISNUMBER(Sync!$J259),IF(AND(Sync!$J259&gt;=10000101,Sync!$J259&lt;=99991231),INT(Sync!$J259/10000)&amp;"/"&amp;RIGHT("00"&amp;INT(MOD(Sync!$J259,10000)/100),2)&amp;"/"&amp;RIGHT("00"&amp;MOD(Sync!$J259,100),2),"نامعتبر"),IF(LEN(Sync!$J259)=10,Sync!$J259,"نامعتبر")))</f>
        <v/>
      </c>
      <c r="R259">
        <f>IF($P259="","",COUNTIFS($N$6:$N$2005,$N259,$P$6:$P$2005,"&lt;"&amp;$P259)+COUNTIFS($A$6:$A$1005,$N259,$B$6:$B$1005,"&lt;"&amp;$P259)+1)</f>
        <v/>
      </c>
      <c r="S259">
        <f>IF($N259="","",$N259&amp;"|"&amp;RIGHT("000000"&amp;$R259,6))</f>
        <v/>
      </c>
      <c r="T259">
        <f>IF($N259="","",IF(Sync!$N259="",0,Sync!$N259))</f>
        <v/>
      </c>
      <c r="U259">
        <f>IF($N259="","",IF(Sync!$O259="",0,Sync!$O259))</f>
        <v/>
      </c>
      <c r="V259">
        <f>IF($N259="","",Sync!$L259)</f>
        <v/>
      </c>
      <c r="W259">
        <f>IF($N259="","",Sync!$P259)</f>
        <v/>
      </c>
      <c r="AA259">
        <f>IF($A259="","",IF(COUNTIF($A$6:$A259,$A259)=1,1,0))</f>
        <v/>
      </c>
      <c r="AB259">
        <f>SUM($AA$6:$AA259)</f>
        <v/>
      </c>
      <c r="AC259">
        <f>IFERROR(INDEX($A$6:$A$1005,MATCH(ROW()-5,$AB$6:$AB$1005,0)),"")</f>
        <v/>
      </c>
    </row>
    <row r="260">
      <c r="A260">
        <f>IF(OR(Entry!$B263="",Entry!$E263="",$E260="نامعتبر"),"",Entry!$E263)</f>
        <v/>
      </c>
      <c r="B260">
        <f>IF($A260="","",LEFT($E260,4)&amp;MID($E260,6,2)&amp;RIGHT($E260,2)&amp;$F260&amp;"|"&amp;"1"&amp;RIGHT("00000"&amp;255,5))</f>
        <v/>
      </c>
      <c r="C260">
        <f>IF($B260="","",COUNTIFS($A$6:$A$1005,$A260,$B$6:$B$1005,"&lt;"&amp;$B260)+COUNTIFS($N$6:$N$2005,$A260,$P$6:$P$2005,"&lt;"&amp;$B260)+1)</f>
        <v/>
      </c>
      <c r="D260">
        <f>IF($C260="","",$A260&amp;"|"&amp;RIGHT("000000"&amp;$C260,6))</f>
        <v/>
      </c>
      <c r="E260">
        <f>IF(Entry!$B263="","",IF(ISNUMBER(Entry!$B263),IF(AND(Entry!$B263&gt;=10000101,Entry!$B263&lt;=99991231),INT(Entry!$B263/10000)&amp;"/"&amp;RIGHT("00"&amp;INT(MOD(Entry!$B263,10000)/100),2)&amp;"/"&amp;RIGHT("00"&amp;MOD(Entry!$B263,100),2),"نامعتبر"),IF(LEN(Entry!$B263)=10,Entry!$B263,"نامعتبر")))</f>
        <v/>
      </c>
      <c r="F260">
        <f>IF(Entry!$B263="","",IF(Entry!$C263="","0000",IF(AND(ISNUMBER(Entry!$C263),Entry!$C263&gt;=0,Entry!$C263&lt;1),RIGHT("00"&amp;HOUR(Entry!$C263),2)&amp;RIGHT("00"&amp;MINUTE(Entry!$C263),2),IFERROR(RIGHT("00"&amp;VALUE(LEFT(Entry!$C263,FIND(":",Entry!$C263)-1)),2)&amp;RIGHT("00"&amp;VALUE(MID(Entry!$C263,FIND(":",Entry!$C263)+1,2)),2),"0000"))))</f>
        <v/>
      </c>
      <c r="G260">
        <f>IF($A260="","",Entry!$G263)</f>
        <v/>
      </c>
      <c r="H260">
        <f>IF($A260="","",IF(Entry!$H263="",0,Entry!$H263))</f>
        <v/>
      </c>
      <c r="I260">
        <f>IF($A260="","",IF(Entry!$I263="",0,Entry!$I263))</f>
        <v/>
      </c>
      <c r="J260">
        <f>IF($A260="","",ROUND($H260*$I260,0))</f>
        <v/>
      </c>
      <c r="K260">
        <f>IF($A260="","",Entry!$D263)</f>
        <v/>
      </c>
      <c r="L260">
        <f>IF($A260="","",Entry!$L263)</f>
        <v/>
      </c>
      <c r="N260">
        <f>IF(OR(Sync!$M260="",$Q260="",$Q260="نامعتبر"),"",Sync!$M260)</f>
        <v/>
      </c>
      <c r="O260">
        <f>IF($N260="","",$Q260)</f>
        <v/>
      </c>
      <c r="P260">
        <f>IF($N260="","",LEFT($Q260,4)&amp;MID($Q260,6,2)&amp;RIGHT($Q260,2)&amp;IF(Sync!$K260="","0000",IF(AND(ISNUMBER(Sync!$K260),Sync!$K260&gt;=0,Sync!$K260&lt;1),RIGHT("00"&amp;HOUR(Sync!$K260),2)&amp;RIGHT("00"&amp;MINUTE(Sync!$K260),2),IFERROR(RIGHT("00"&amp;VALUE(LEFT(Sync!$K260,FIND(":",Sync!$K260)-1)),2)&amp;RIGHT("00"&amp;VALUE(MID(Sync!$K260,FIND(":",Sync!$K260)+1,2)),2),"0000")))&amp;"|"&amp;"2"&amp;RIGHT("00000"&amp;255,5))</f>
        <v/>
      </c>
      <c r="Q260">
        <f>IF(Sync!$J260="","",IF(ISNUMBER(Sync!$J260),IF(AND(Sync!$J260&gt;=10000101,Sync!$J260&lt;=99991231),INT(Sync!$J260/10000)&amp;"/"&amp;RIGHT("00"&amp;INT(MOD(Sync!$J260,10000)/100),2)&amp;"/"&amp;RIGHT("00"&amp;MOD(Sync!$J260,100),2),"نامعتبر"),IF(LEN(Sync!$J260)=10,Sync!$J260,"نامعتبر")))</f>
        <v/>
      </c>
      <c r="R260">
        <f>IF($P260="","",COUNTIFS($N$6:$N$2005,$N260,$P$6:$P$2005,"&lt;"&amp;$P260)+COUNTIFS($A$6:$A$1005,$N260,$B$6:$B$1005,"&lt;"&amp;$P260)+1)</f>
        <v/>
      </c>
      <c r="S260">
        <f>IF($N260="","",$N260&amp;"|"&amp;RIGHT("000000"&amp;$R260,6))</f>
        <v/>
      </c>
      <c r="T260">
        <f>IF($N260="","",IF(Sync!$N260="",0,Sync!$N260))</f>
        <v/>
      </c>
      <c r="U260">
        <f>IF($N260="","",IF(Sync!$O260="",0,Sync!$O260))</f>
        <v/>
      </c>
      <c r="V260">
        <f>IF($N260="","",Sync!$L260)</f>
        <v/>
      </c>
      <c r="W260">
        <f>IF($N260="","",Sync!$P260)</f>
        <v/>
      </c>
      <c r="AA260">
        <f>IF($A260="","",IF(COUNTIF($A$6:$A260,$A260)=1,1,0))</f>
        <v/>
      </c>
      <c r="AB260">
        <f>SUM($AA$6:$AA260)</f>
        <v/>
      </c>
      <c r="AC260">
        <f>IFERROR(INDEX($A$6:$A$1005,MATCH(ROW()-5,$AB$6:$AB$1005,0)),"")</f>
        <v/>
      </c>
    </row>
    <row r="261">
      <c r="A261">
        <f>IF(OR(Entry!$B264="",Entry!$E264="",$E261="نامعتبر"),"",Entry!$E264)</f>
        <v/>
      </c>
      <c r="B261">
        <f>IF($A261="","",LEFT($E261,4)&amp;MID($E261,6,2)&amp;RIGHT($E261,2)&amp;$F261&amp;"|"&amp;"1"&amp;RIGHT("00000"&amp;256,5))</f>
        <v/>
      </c>
      <c r="C261">
        <f>IF($B261="","",COUNTIFS($A$6:$A$1005,$A261,$B$6:$B$1005,"&lt;"&amp;$B261)+COUNTIFS($N$6:$N$2005,$A261,$P$6:$P$2005,"&lt;"&amp;$B261)+1)</f>
        <v/>
      </c>
      <c r="D261">
        <f>IF($C261="","",$A261&amp;"|"&amp;RIGHT("000000"&amp;$C261,6))</f>
        <v/>
      </c>
      <c r="E261">
        <f>IF(Entry!$B264="","",IF(ISNUMBER(Entry!$B264),IF(AND(Entry!$B264&gt;=10000101,Entry!$B264&lt;=99991231),INT(Entry!$B264/10000)&amp;"/"&amp;RIGHT("00"&amp;INT(MOD(Entry!$B264,10000)/100),2)&amp;"/"&amp;RIGHT("00"&amp;MOD(Entry!$B264,100),2),"نامعتبر"),IF(LEN(Entry!$B264)=10,Entry!$B264,"نامعتبر")))</f>
        <v/>
      </c>
      <c r="F261">
        <f>IF(Entry!$B264="","",IF(Entry!$C264="","0000",IF(AND(ISNUMBER(Entry!$C264),Entry!$C264&gt;=0,Entry!$C264&lt;1),RIGHT("00"&amp;HOUR(Entry!$C264),2)&amp;RIGHT("00"&amp;MINUTE(Entry!$C264),2),IFERROR(RIGHT("00"&amp;VALUE(LEFT(Entry!$C264,FIND(":",Entry!$C264)-1)),2)&amp;RIGHT("00"&amp;VALUE(MID(Entry!$C264,FIND(":",Entry!$C264)+1,2)),2),"0000"))))</f>
        <v/>
      </c>
      <c r="G261">
        <f>IF($A261="","",Entry!$G264)</f>
        <v/>
      </c>
      <c r="H261">
        <f>IF($A261="","",IF(Entry!$H264="",0,Entry!$H264))</f>
        <v/>
      </c>
      <c r="I261">
        <f>IF($A261="","",IF(Entry!$I264="",0,Entry!$I264))</f>
        <v/>
      </c>
      <c r="J261">
        <f>IF($A261="","",ROUND($H261*$I261,0))</f>
        <v/>
      </c>
      <c r="K261">
        <f>IF($A261="","",Entry!$D264)</f>
        <v/>
      </c>
      <c r="L261">
        <f>IF($A261="","",Entry!$L264)</f>
        <v/>
      </c>
      <c r="N261">
        <f>IF(OR(Sync!$M261="",$Q261="",$Q261="نامعتبر"),"",Sync!$M261)</f>
        <v/>
      </c>
      <c r="O261">
        <f>IF($N261="","",$Q261)</f>
        <v/>
      </c>
      <c r="P261">
        <f>IF($N261="","",LEFT($Q261,4)&amp;MID($Q261,6,2)&amp;RIGHT($Q261,2)&amp;IF(Sync!$K261="","0000",IF(AND(ISNUMBER(Sync!$K261),Sync!$K261&gt;=0,Sync!$K261&lt;1),RIGHT("00"&amp;HOUR(Sync!$K261),2)&amp;RIGHT("00"&amp;MINUTE(Sync!$K261),2),IFERROR(RIGHT("00"&amp;VALUE(LEFT(Sync!$K261,FIND(":",Sync!$K261)-1)),2)&amp;RIGHT("00"&amp;VALUE(MID(Sync!$K261,FIND(":",Sync!$K261)+1,2)),2),"0000")))&amp;"|"&amp;"2"&amp;RIGHT("00000"&amp;256,5))</f>
        <v/>
      </c>
      <c r="Q261">
        <f>IF(Sync!$J261="","",IF(ISNUMBER(Sync!$J261),IF(AND(Sync!$J261&gt;=10000101,Sync!$J261&lt;=99991231),INT(Sync!$J261/10000)&amp;"/"&amp;RIGHT("00"&amp;INT(MOD(Sync!$J261,10000)/100),2)&amp;"/"&amp;RIGHT("00"&amp;MOD(Sync!$J261,100),2),"نامعتبر"),IF(LEN(Sync!$J261)=10,Sync!$J261,"نامعتبر")))</f>
        <v/>
      </c>
      <c r="R261">
        <f>IF($P261="","",COUNTIFS($N$6:$N$2005,$N261,$P$6:$P$2005,"&lt;"&amp;$P261)+COUNTIFS($A$6:$A$1005,$N261,$B$6:$B$1005,"&lt;"&amp;$P261)+1)</f>
        <v/>
      </c>
      <c r="S261">
        <f>IF($N261="","",$N261&amp;"|"&amp;RIGHT("000000"&amp;$R261,6))</f>
        <v/>
      </c>
      <c r="T261">
        <f>IF($N261="","",IF(Sync!$N261="",0,Sync!$N261))</f>
        <v/>
      </c>
      <c r="U261">
        <f>IF($N261="","",IF(Sync!$O261="",0,Sync!$O261))</f>
        <v/>
      </c>
      <c r="V261">
        <f>IF($N261="","",Sync!$L261)</f>
        <v/>
      </c>
      <c r="W261">
        <f>IF($N261="","",Sync!$P261)</f>
        <v/>
      </c>
      <c r="AA261">
        <f>IF($A261="","",IF(COUNTIF($A$6:$A261,$A261)=1,1,0))</f>
        <v/>
      </c>
      <c r="AB261">
        <f>SUM($AA$6:$AA261)</f>
        <v/>
      </c>
      <c r="AC261">
        <f>IFERROR(INDEX($A$6:$A$1005,MATCH(ROW()-5,$AB$6:$AB$1005,0)),"")</f>
        <v/>
      </c>
    </row>
    <row r="262">
      <c r="A262">
        <f>IF(OR(Entry!$B265="",Entry!$E265="",$E262="نامعتبر"),"",Entry!$E265)</f>
        <v/>
      </c>
      <c r="B262">
        <f>IF($A262="","",LEFT($E262,4)&amp;MID($E262,6,2)&amp;RIGHT($E262,2)&amp;$F262&amp;"|"&amp;"1"&amp;RIGHT("00000"&amp;257,5))</f>
        <v/>
      </c>
      <c r="C262">
        <f>IF($B262="","",COUNTIFS($A$6:$A$1005,$A262,$B$6:$B$1005,"&lt;"&amp;$B262)+COUNTIFS($N$6:$N$2005,$A262,$P$6:$P$2005,"&lt;"&amp;$B262)+1)</f>
        <v/>
      </c>
      <c r="D262">
        <f>IF($C262="","",$A262&amp;"|"&amp;RIGHT("000000"&amp;$C262,6))</f>
        <v/>
      </c>
      <c r="E262">
        <f>IF(Entry!$B265="","",IF(ISNUMBER(Entry!$B265),IF(AND(Entry!$B265&gt;=10000101,Entry!$B265&lt;=99991231),INT(Entry!$B265/10000)&amp;"/"&amp;RIGHT("00"&amp;INT(MOD(Entry!$B265,10000)/100),2)&amp;"/"&amp;RIGHT("00"&amp;MOD(Entry!$B265,100),2),"نامعتبر"),IF(LEN(Entry!$B265)=10,Entry!$B265,"نامعتبر")))</f>
        <v/>
      </c>
      <c r="F262">
        <f>IF(Entry!$B265="","",IF(Entry!$C265="","0000",IF(AND(ISNUMBER(Entry!$C265),Entry!$C265&gt;=0,Entry!$C265&lt;1),RIGHT("00"&amp;HOUR(Entry!$C265),2)&amp;RIGHT("00"&amp;MINUTE(Entry!$C265),2),IFERROR(RIGHT("00"&amp;VALUE(LEFT(Entry!$C265,FIND(":",Entry!$C265)-1)),2)&amp;RIGHT("00"&amp;VALUE(MID(Entry!$C265,FIND(":",Entry!$C265)+1,2)),2),"0000"))))</f>
        <v/>
      </c>
      <c r="G262">
        <f>IF($A262="","",Entry!$G265)</f>
        <v/>
      </c>
      <c r="H262">
        <f>IF($A262="","",IF(Entry!$H265="",0,Entry!$H265))</f>
        <v/>
      </c>
      <c r="I262">
        <f>IF($A262="","",IF(Entry!$I265="",0,Entry!$I265))</f>
        <v/>
      </c>
      <c r="J262">
        <f>IF($A262="","",ROUND($H262*$I262,0))</f>
        <v/>
      </c>
      <c r="K262">
        <f>IF($A262="","",Entry!$D265)</f>
        <v/>
      </c>
      <c r="L262">
        <f>IF($A262="","",Entry!$L265)</f>
        <v/>
      </c>
      <c r="N262">
        <f>IF(OR(Sync!$M262="",$Q262="",$Q262="نامعتبر"),"",Sync!$M262)</f>
        <v/>
      </c>
      <c r="O262">
        <f>IF($N262="","",$Q262)</f>
        <v/>
      </c>
      <c r="P262">
        <f>IF($N262="","",LEFT($Q262,4)&amp;MID($Q262,6,2)&amp;RIGHT($Q262,2)&amp;IF(Sync!$K262="","0000",IF(AND(ISNUMBER(Sync!$K262),Sync!$K262&gt;=0,Sync!$K262&lt;1),RIGHT("00"&amp;HOUR(Sync!$K262),2)&amp;RIGHT("00"&amp;MINUTE(Sync!$K262),2),IFERROR(RIGHT("00"&amp;VALUE(LEFT(Sync!$K262,FIND(":",Sync!$K262)-1)),2)&amp;RIGHT("00"&amp;VALUE(MID(Sync!$K262,FIND(":",Sync!$K262)+1,2)),2),"0000")))&amp;"|"&amp;"2"&amp;RIGHT("00000"&amp;257,5))</f>
        <v/>
      </c>
      <c r="Q262">
        <f>IF(Sync!$J262="","",IF(ISNUMBER(Sync!$J262),IF(AND(Sync!$J262&gt;=10000101,Sync!$J262&lt;=99991231),INT(Sync!$J262/10000)&amp;"/"&amp;RIGHT("00"&amp;INT(MOD(Sync!$J262,10000)/100),2)&amp;"/"&amp;RIGHT("00"&amp;MOD(Sync!$J262,100),2),"نامعتبر"),IF(LEN(Sync!$J262)=10,Sync!$J262,"نامعتبر")))</f>
        <v/>
      </c>
      <c r="R262">
        <f>IF($P262="","",COUNTIFS($N$6:$N$2005,$N262,$P$6:$P$2005,"&lt;"&amp;$P262)+COUNTIFS($A$6:$A$1005,$N262,$B$6:$B$1005,"&lt;"&amp;$P262)+1)</f>
        <v/>
      </c>
      <c r="S262">
        <f>IF($N262="","",$N262&amp;"|"&amp;RIGHT("000000"&amp;$R262,6))</f>
        <v/>
      </c>
      <c r="T262">
        <f>IF($N262="","",IF(Sync!$N262="",0,Sync!$N262))</f>
        <v/>
      </c>
      <c r="U262">
        <f>IF($N262="","",IF(Sync!$O262="",0,Sync!$O262))</f>
        <v/>
      </c>
      <c r="V262">
        <f>IF($N262="","",Sync!$L262)</f>
        <v/>
      </c>
      <c r="W262">
        <f>IF($N262="","",Sync!$P262)</f>
        <v/>
      </c>
      <c r="AA262">
        <f>IF($A262="","",IF(COUNTIF($A$6:$A262,$A262)=1,1,0))</f>
        <v/>
      </c>
      <c r="AB262">
        <f>SUM($AA$6:$AA262)</f>
        <v/>
      </c>
      <c r="AC262">
        <f>IFERROR(INDEX($A$6:$A$1005,MATCH(ROW()-5,$AB$6:$AB$1005,0)),"")</f>
        <v/>
      </c>
    </row>
    <row r="263">
      <c r="A263">
        <f>IF(OR(Entry!$B266="",Entry!$E266="",$E263="نامعتبر"),"",Entry!$E266)</f>
        <v/>
      </c>
      <c r="B263">
        <f>IF($A263="","",LEFT($E263,4)&amp;MID($E263,6,2)&amp;RIGHT($E263,2)&amp;$F263&amp;"|"&amp;"1"&amp;RIGHT("00000"&amp;258,5))</f>
        <v/>
      </c>
      <c r="C263">
        <f>IF($B263="","",COUNTIFS($A$6:$A$1005,$A263,$B$6:$B$1005,"&lt;"&amp;$B263)+COUNTIFS($N$6:$N$2005,$A263,$P$6:$P$2005,"&lt;"&amp;$B263)+1)</f>
        <v/>
      </c>
      <c r="D263">
        <f>IF($C263="","",$A263&amp;"|"&amp;RIGHT("000000"&amp;$C263,6))</f>
        <v/>
      </c>
      <c r="E263">
        <f>IF(Entry!$B266="","",IF(ISNUMBER(Entry!$B266),IF(AND(Entry!$B266&gt;=10000101,Entry!$B266&lt;=99991231),INT(Entry!$B266/10000)&amp;"/"&amp;RIGHT("00"&amp;INT(MOD(Entry!$B266,10000)/100),2)&amp;"/"&amp;RIGHT("00"&amp;MOD(Entry!$B266,100),2),"نامعتبر"),IF(LEN(Entry!$B266)=10,Entry!$B266,"نامعتبر")))</f>
        <v/>
      </c>
      <c r="F263">
        <f>IF(Entry!$B266="","",IF(Entry!$C266="","0000",IF(AND(ISNUMBER(Entry!$C266),Entry!$C266&gt;=0,Entry!$C266&lt;1),RIGHT("00"&amp;HOUR(Entry!$C266),2)&amp;RIGHT("00"&amp;MINUTE(Entry!$C266),2),IFERROR(RIGHT("00"&amp;VALUE(LEFT(Entry!$C266,FIND(":",Entry!$C266)-1)),2)&amp;RIGHT("00"&amp;VALUE(MID(Entry!$C266,FIND(":",Entry!$C266)+1,2)),2),"0000"))))</f>
        <v/>
      </c>
      <c r="G263">
        <f>IF($A263="","",Entry!$G266)</f>
        <v/>
      </c>
      <c r="H263">
        <f>IF($A263="","",IF(Entry!$H266="",0,Entry!$H266))</f>
        <v/>
      </c>
      <c r="I263">
        <f>IF($A263="","",IF(Entry!$I266="",0,Entry!$I266))</f>
        <v/>
      </c>
      <c r="J263">
        <f>IF($A263="","",ROUND($H263*$I263,0))</f>
        <v/>
      </c>
      <c r="K263">
        <f>IF($A263="","",Entry!$D266)</f>
        <v/>
      </c>
      <c r="L263">
        <f>IF($A263="","",Entry!$L266)</f>
        <v/>
      </c>
      <c r="N263">
        <f>IF(OR(Sync!$M263="",$Q263="",$Q263="نامعتبر"),"",Sync!$M263)</f>
        <v/>
      </c>
      <c r="O263">
        <f>IF($N263="","",$Q263)</f>
        <v/>
      </c>
      <c r="P263">
        <f>IF($N263="","",LEFT($Q263,4)&amp;MID($Q263,6,2)&amp;RIGHT($Q263,2)&amp;IF(Sync!$K263="","0000",IF(AND(ISNUMBER(Sync!$K263),Sync!$K263&gt;=0,Sync!$K263&lt;1),RIGHT("00"&amp;HOUR(Sync!$K263),2)&amp;RIGHT("00"&amp;MINUTE(Sync!$K263),2),IFERROR(RIGHT("00"&amp;VALUE(LEFT(Sync!$K263,FIND(":",Sync!$K263)-1)),2)&amp;RIGHT("00"&amp;VALUE(MID(Sync!$K263,FIND(":",Sync!$K263)+1,2)),2),"0000")))&amp;"|"&amp;"2"&amp;RIGHT("00000"&amp;258,5))</f>
        <v/>
      </c>
      <c r="Q263">
        <f>IF(Sync!$J263="","",IF(ISNUMBER(Sync!$J263),IF(AND(Sync!$J263&gt;=10000101,Sync!$J263&lt;=99991231),INT(Sync!$J263/10000)&amp;"/"&amp;RIGHT("00"&amp;INT(MOD(Sync!$J263,10000)/100),2)&amp;"/"&amp;RIGHT("00"&amp;MOD(Sync!$J263,100),2),"نامعتبر"),IF(LEN(Sync!$J263)=10,Sync!$J263,"نامعتبر")))</f>
        <v/>
      </c>
      <c r="R263">
        <f>IF($P263="","",COUNTIFS($N$6:$N$2005,$N263,$P$6:$P$2005,"&lt;"&amp;$P263)+COUNTIFS($A$6:$A$1005,$N263,$B$6:$B$1005,"&lt;"&amp;$P263)+1)</f>
        <v/>
      </c>
      <c r="S263">
        <f>IF($N263="","",$N263&amp;"|"&amp;RIGHT("000000"&amp;$R263,6))</f>
        <v/>
      </c>
      <c r="T263">
        <f>IF($N263="","",IF(Sync!$N263="",0,Sync!$N263))</f>
        <v/>
      </c>
      <c r="U263">
        <f>IF($N263="","",IF(Sync!$O263="",0,Sync!$O263))</f>
        <v/>
      </c>
      <c r="V263">
        <f>IF($N263="","",Sync!$L263)</f>
        <v/>
      </c>
      <c r="W263">
        <f>IF($N263="","",Sync!$P263)</f>
        <v/>
      </c>
      <c r="AA263">
        <f>IF($A263="","",IF(COUNTIF($A$6:$A263,$A263)=1,1,0))</f>
        <v/>
      </c>
      <c r="AB263">
        <f>SUM($AA$6:$AA263)</f>
        <v/>
      </c>
      <c r="AC263">
        <f>IFERROR(INDEX($A$6:$A$1005,MATCH(ROW()-5,$AB$6:$AB$1005,0)),"")</f>
        <v/>
      </c>
    </row>
    <row r="264">
      <c r="A264">
        <f>IF(OR(Entry!$B267="",Entry!$E267="",$E264="نامعتبر"),"",Entry!$E267)</f>
        <v/>
      </c>
      <c r="B264">
        <f>IF($A264="","",LEFT($E264,4)&amp;MID($E264,6,2)&amp;RIGHT($E264,2)&amp;$F264&amp;"|"&amp;"1"&amp;RIGHT("00000"&amp;259,5))</f>
        <v/>
      </c>
      <c r="C264">
        <f>IF($B264="","",COUNTIFS($A$6:$A$1005,$A264,$B$6:$B$1005,"&lt;"&amp;$B264)+COUNTIFS($N$6:$N$2005,$A264,$P$6:$P$2005,"&lt;"&amp;$B264)+1)</f>
        <v/>
      </c>
      <c r="D264">
        <f>IF($C264="","",$A264&amp;"|"&amp;RIGHT("000000"&amp;$C264,6))</f>
        <v/>
      </c>
      <c r="E264">
        <f>IF(Entry!$B267="","",IF(ISNUMBER(Entry!$B267),IF(AND(Entry!$B267&gt;=10000101,Entry!$B267&lt;=99991231),INT(Entry!$B267/10000)&amp;"/"&amp;RIGHT("00"&amp;INT(MOD(Entry!$B267,10000)/100),2)&amp;"/"&amp;RIGHT("00"&amp;MOD(Entry!$B267,100),2),"نامعتبر"),IF(LEN(Entry!$B267)=10,Entry!$B267,"نامعتبر")))</f>
        <v/>
      </c>
      <c r="F264">
        <f>IF(Entry!$B267="","",IF(Entry!$C267="","0000",IF(AND(ISNUMBER(Entry!$C267),Entry!$C267&gt;=0,Entry!$C267&lt;1),RIGHT("00"&amp;HOUR(Entry!$C267),2)&amp;RIGHT("00"&amp;MINUTE(Entry!$C267),2),IFERROR(RIGHT("00"&amp;VALUE(LEFT(Entry!$C267,FIND(":",Entry!$C267)-1)),2)&amp;RIGHT("00"&amp;VALUE(MID(Entry!$C267,FIND(":",Entry!$C267)+1,2)),2),"0000"))))</f>
        <v/>
      </c>
      <c r="G264">
        <f>IF($A264="","",Entry!$G267)</f>
        <v/>
      </c>
      <c r="H264">
        <f>IF($A264="","",IF(Entry!$H267="",0,Entry!$H267))</f>
        <v/>
      </c>
      <c r="I264">
        <f>IF($A264="","",IF(Entry!$I267="",0,Entry!$I267))</f>
        <v/>
      </c>
      <c r="J264">
        <f>IF($A264="","",ROUND($H264*$I264,0))</f>
        <v/>
      </c>
      <c r="K264">
        <f>IF($A264="","",Entry!$D267)</f>
        <v/>
      </c>
      <c r="L264">
        <f>IF($A264="","",Entry!$L267)</f>
        <v/>
      </c>
      <c r="N264">
        <f>IF(OR(Sync!$M264="",$Q264="",$Q264="نامعتبر"),"",Sync!$M264)</f>
        <v/>
      </c>
      <c r="O264">
        <f>IF($N264="","",$Q264)</f>
        <v/>
      </c>
      <c r="P264">
        <f>IF($N264="","",LEFT($Q264,4)&amp;MID($Q264,6,2)&amp;RIGHT($Q264,2)&amp;IF(Sync!$K264="","0000",IF(AND(ISNUMBER(Sync!$K264),Sync!$K264&gt;=0,Sync!$K264&lt;1),RIGHT("00"&amp;HOUR(Sync!$K264),2)&amp;RIGHT("00"&amp;MINUTE(Sync!$K264),2),IFERROR(RIGHT("00"&amp;VALUE(LEFT(Sync!$K264,FIND(":",Sync!$K264)-1)),2)&amp;RIGHT("00"&amp;VALUE(MID(Sync!$K264,FIND(":",Sync!$K264)+1,2)),2),"0000")))&amp;"|"&amp;"2"&amp;RIGHT("00000"&amp;259,5))</f>
        <v/>
      </c>
      <c r="Q264">
        <f>IF(Sync!$J264="","",IF(ISNUMBER(Sync!$J264),IF(AND(Sync!$J264&gt;=10000101,Sync!$J264&lt;=99991231),INT(Sync!$J264/10000)&amp;"/"&amp;RIGHT("00"&amp;INT(MOD(Sync!$J264,10000)/100),2)&amp;"/"&amp;RIGHT("00"&amp;MOD(Sync!$J264,100),2),"نامعتبر"),IF(LEN(Sync!$J264)=10,Sync!$J264,"نامعتبر")))</f>
        <v/>
      </c>
      <c r="R264">
        <f>IF($P264="","",COUNTIFS($N$6:$N$2005,$N264,$P$6:$P$2005,"&lt;"&amp;$P264)+COUNTIFS($A$6:$A$1005,$N264,$B$6:$B$1005,"&lt;"&amp;$P264)+1)</f>
        <v/>
      </c>
      <c r="S264">
        <f>IF($N264="","",$N264&amp;"|"&amp;RIGHT("000000"&amp;$R264,6))</f>
        <v/>
      </c>
      <c r="T264">
        <f>IF($N264="","",IF(Sync!$N264="",0,Sync!$N264))</f>
        <v/>
      </c>
      <c r="U264">
        <f>IF($N264="","",IF(Sync!$O264="",0,Sync!$O264))</f>
        <v/>
      </c>
      <c r="V264">
        <f>IF($N264="","",Sync!$L264)</f>
        <v/>
      </c>
      <c r="W264">
        <f>IF($N264="","",Sync!$P264)</f>
        <v/>
      </c>
      <c r="AA264">
        <f>IF($A264="","",IF(COUNTIF($A$6:$A264,$A264)=1,1,0))</f>
        <v/>
      </c>
      <c r="AB264">
        <f>SUM($AA$6:$AA264)</f>
        <v/>
      </c>
      <c r="AC264">
        <f>IFERROR(INDEX($A$6:$A$1005,MATCH(ROW()-5,$AB$6:$AB$1005,0)),"")</f>
        <v/>
      </c>
    </row>
    <row r="265">
      <c r="A265">
        <f>IF(OR(Entry!$B268="",Entry!$E268="",$E265="نامعتبر"),"",Entry!$E268)</f>
        <v/>
      </c>
      <c r="B265">
        <f>IF($A265="","",LEFT($E265,4)&amp;MID($E265,6,2)&amp;RIGHT($E265,2)&amp;$F265&amp;"|"&amp;"1"&amp;RIGHT("00000"&amp;260,5))</f>
        <v/>
      </c>
      <c r="C265">
        <f>IF($B265="","",COUNTIFS($A$6:$A$1005,$A265,$B$6:$B$1005,"&lt;"&amp;$B265)+COUNTIFS($N$6:$N$2005,$A265,$P$6:$P$2005,"&lt;"&amp;$B265)+1)</f>
        <v/>
      </c>
      <c r="D265">
        <f>IF($C265="","",$A265&amp;"|"&amp;RIGHT("000000"&amp;$C265,6))</f>
        <v/>
      </c>
      <c r="E265">
        <f>IF(Entry!$B268="","",IF(ISNUMBER(Entry!$B268),IF(AND(Entry!$B268&gt;=10000101,Entry!$B268&lt;=99991231),INT(Entry!$B268/10000)&amp;"/"&amp;RIGHT("00"&amp;INT(MOD(Entry!$B268,10000)/100),2)&amp;"/"&amp;RIGHT("00"&amp;MOD(Entry!$B268,100),2),"نامعتبر"),IF(LEN(Entry!$B268)=10,Entry!$B268,"نامعتبر")))</f>
        <v/>
      </c>
      <c r="F265">
        <f>IF(Entry!$B268="","",IF(Entry!$C268="","0000",IF(AND(ISNUMBER(Entry!$C268),Entry!$C268&gt;=0,Entry!$C268&lt;1),RIGHT("00"&amp;HOUR(Entry!$C268),2)&amp;RIGHT("00"&amp;MINUTE(Entry!$C268),2),IFERROR(RIGHT("00"&amp;VALUE(LEFT(Entry!$C268,FIND(":",Entry!$C268)-1)),2)&amp;RIGHT("00"&amp;VALUE(MID(Entry!$C268,FIND(":",Entry!$C268)+1,2)),2),"0000"))))</f>
        <v/>
      </c>
      <c r="G265">
        <f>IF($A265="","",Entry!$G268)</f>
        <v/>
      </c>
      <c r="H265">
        <f>IF($A265="","",IF(Entry!$H268="",0,Entry!$H268))</f>
        <v/>
      </c>
      <c r="I265">
        <f>IF($A265="","",IF(Entry!$I268="",0,Entry!$I268))</f>
        <v/>
      </c>
      <c r="J265">
        <f>IF($A265="","",ROUND($H265*$I265,0))</f>
        <v/>
      </c>
      <c r="K265">
        <f>IF($A265="","",Entry!$D268)</f>
        <v/>
      </c>
      <c r="L265">
        <f>IF($A265="","",Entry!$L268)</f>
        <v/>
      </c>
      <c r="N265">
        <f>IF(OR(Sync!$M265="",$Q265="",$Q265="نامعتبر"),"",Sync!$M265)</f>
        <v/>
      </c>
      <c r="O265">
        <f>IF($N265="","",$Q265)</f>
        <v/>
      </c>
      <c r="P265">
        <f>IF($N265="","",LEFT($Q265,4)&amp;MID($Q265,6,2)&amp;RIGHT($Q265,2)&amp;IF(Sync!$K265="","0000",IF(AND(ISNUMBER(Sync!$K265),Sync!$K265&gt;=0,Sync!$K265&lt;1),RIGHT("00"&amp;HOUR(Sync!$K265),2)&amp;RIGHT("00"&amp;MINUTE(Sync!$K265),2),IFERROR(RIGHT("00"&amp;VALUE(LEFT(Sync!$K265,FIND(":",Sync!$K265)-1)),2)&amp;RIGHT("00"&amp;VALUE(MID(Sync!$K265,FIND(":",Sync!$K265)+1,2)),2),"0000")))&amp;"|"&amp;"2"&amp;RIGHT("00000"&amp;260,5))</f>
        <v/>
      </c>
      <c r="Q265">
        <f>IF(Sync!$J265="","",IF(ISNUMBER(Sync!$J265),IF(AND(Sync!$J265&gt;=10000101,Sync!$J265&lt;=99991231),INT(Sync!$J265/10000)&amp;"/"&amp;RIGHT("00"&amp;INT(MOD(Sync!$J265,10000)/100),2)&amp;"/"&amp;RIGHT("00"&amp;MOD(Sync!$J265,100),2),"نامعتبر"),IF(LEN(Sync!$J265)=10,Sync!$J265,"نامعتبر")))</f>
        <v/>
      </c>
      <c r="R265">
        <f>IF($P265="","",COUNTIFS($N$6:$N$2005,$N265,$P$6:$P$2005,"&lt;"&amp;$P265)+COUNTIFS($A$6:$A$1005,$N265,$B$6:$B$1005,"&lt;"&amp;$P265)+1)</f>
        <v/>
      </c>
      <c r="S265">
        <f>IF($N265="","",$N265&amp;"|"&amp;RIGHT("000000"&amp;$R265,6))</f>
        <v/>
      </c>
      <c r="T265">
        <f>IF($N265="","",IF(Sync!$N265="",0,Sync!$N265))</f>
        <v/>
      </c>
      <c r="U265">
        <f>IF($N265="","",IF(Sync!$O265="",0,Sync!$O265))</f>
        <v/>
      </c>
      <c r="V265">
        <f>IF($N265="","",Sync!$L265)</f>
        <v/>
      </c>
      <c r="W265">
        <f>IF($N265="","",Sync!$P265)</f>
        <v/>
      </c>
      <c r="AA265">
        <f>IF($A265="","",IF(COUNTIF($A$6:$A265,$A265)=1,1,0))</f>
        <v/>
      </c>
      <c r="AB265">
        <f>SUM($AA$6:$AA265)</f>
        <v/>
      </c>
      <c r="AC265">
        <f>IFERROR(INDEX($A$6:$A$1005,MATCH(ROW()-5,$AB$6:$AB$1005,0)),"")</f>
        <v/>
      </c>
    </row>
    <row r="266">
      <c r="A266">
        <f>IF(OR(Entry!$B269="",Entry!$E269="",$E266="نامعتبر"),"",Entry!$E269)</f>
        <v/>
      </c>
      <c r="B266">
        <f>IF($A266="","",LEFT($E266,4)&amp;MID($E266,6,2)&amp;RIGHT($E266,2)&amp;$F266&amp;"|"&amp;"1"&amp;RIGHT("00000"&amp;261,5))</f>
        <v/>
      </c>
      <c r="C266">
        <f>IF($B266="","",COUNTIFS($A$6:$A$1005,$A266,$B$6:$B$1005,"&lt;"&amp;$B266)+COUNTIFS($N$6:$N$2005,$A266,$P$6:$P$2005,"&lt;"&amp;$B266)+1)</f>
        <v/>
      </c>
      <c r="D266">
        <f>IF($C266="","",$A266&amp;"|"&amp;RIGHT("000000"&amp;$C266,6))</f>
        <v/>
      </c>
      <c r="E266">
        <f>IF(Entry!$B269="","",IF(ISNUMBER(Entry!$B269),IF(AND(Entry!$B269&gt;=10000101,Entry!$B269&lt;=99991231),INT(Entry!$B269/10000)&amp;"/"&amp;RIGHT("00"&amp;INT(MOD(Entry!$B269,10000)/100),2)&amp;"/"&amp;RIGHT("00"&amp;MOD(Entry!$B269,100),2),"نامعتبر"),IF(LEN(Entry!$B269)=10,Entry!$B269,"نامعتبر")))</f>
        <v/>
      </c>
      <c r="F266">
        <f>IF(Entry!$B269="","",IF(Entry!$C269="","0000",IF(AND(ISNUMBER(Entry!$C269),Entry!$C269&gt;=0,Entry!$C269&lt;1),RIGHT("00"&amp;HOUR(Entry!$C269),2)&amp;RIGHT("00"&amp;MINUTE(Entry!$C269),2),IFERROR(RIGHT("00"&amp;VALUE(LEFT(Entry!$C269,FIND(":",Entry!$C269)-1)),2)&amp;RIGHT("00"&amp;VALUE(MID(Entry!$C269,FIND(":",Entry!$C269)+1,2)),2),"0000"))))</f>
        <v/>
      </c>
      <c r="G266">
        <f>IF($A266="","",Entry!$G269)</f>
        <v/>
      </c>
      <c r="H266">
        <f>IF($A266="","",IF(Entry!$H269="",0,Entry!$H269))</f>
        <v/>
      </c>
      <c r="I266">
        <f>IF($A266="","",IF(Entry!$I269="",0,Entry!$I269))</f>
        <v/>
      </c>
      <c r="J266">
        <f>IF($A266="","",ROUND($H266*$I266,0))</f>
        <v/>
      </c>
      <c r="K266">
        <f>IF($A266="","",Entry!$D269)</f>
        <v/>
      </c>
      <c r="L266">
        <f>IF($A266="","",Entry!$L269)</f>
        <v/>
      </c>
      <c r="N266">
        <f>IF(OR(Sync!$M266="",$Q266="",$Q266="نامعتبر"),"",Sync!$M266)</f>
        <v/>
      </c>
      <c r="O266">
        <f>IF($N266="","",$Q266)</f>
        <v/>
      </c>
      <c r="P266">
        <f>IF($N266="","",LEFT($Q266,4)&amp;MID($Q266,6,2)&amp;RIGHT($Q266,2)&amp;IF(Sync!$K266="","0000",IF(AND(ISNUMBER(Sync!$K266),Sync!$K266&gt;=0,Sync!$K266&lt;1),RIGHT("00"&amp;HOUR(Sync!$K266),2)&amp;RIGHT("00"&amp;MINUTE(Sync!$K266),2),IFERROR(RIGHT("00"&amp;VALUE(LEFT(Sync!$K266,FIND(":",Sync!$K266)-1)),2)&amp;RIGHT("00"&amp;VALUE(MID(Sync!$K266,FIND(":",Sync!$K266)+1,2)),2),"0000")))&amp;"|"&amp;"2"&amp;RIGHT("00000"&amp;261,5))</f>
        <v/>
      </c>
      <c r="Q266">
        <f>IF(Sync!$J266="","",IF(ISNUMBER(Sync!$J266),IF(AND(Sync!$J266&gt;=10000101,Sync!$J266&lt;=99991231),INT(Sync!$J266/10000)&amp;"/"&amp;RIGHT("00"&amp;INT(MOD(Sync!$J266,10000)/100),2)&amp;"/"&amp;RIGHT("00"&amp;MOD(Sync!$J266,100),2),"نامعتبر"),IF(LEN(Sync!$J266)=10,Sync!$J266,"نامعتبر")))</f>
        <v/>
      </c>
      <c r="R266">
        <f>IF($P266="","",COUNTIFS($N$6:$N$2005,$N266,$P$6:$P$2005,"&lt;"&amp;$P266)+COUNTIFS($A$6:$A$1005,$N266,$B$6:$B$1005,"&lt;"&amp;$P266)+1)</f>
        <v/>
      </c>
      <c r="S266">
        <f>IF($N266="","",$N266&amp;"|"&amp;RIGHT("000000"&amp;$R266,6))</f>
        <v/>
      </c>
      <c r="T266">
        <f>IF($N266="","",IF(Sync!$N266="",0,Sync!$N266))</f>
        <v/>
      </c>
      <c r="U266">
        <f>IF($N266="","",IF(Sync!$O266="",0,Sync!$O266))</f>
        <v/>
      </c>
      <c r="V266">
        <f>IF($N266="","",Sync!$L266)</f>
        <v/>
      </c>
      <c r="W266">
        <f>IF($N266="","",Sync!$P266)</f>
        <v/>
      </c>
      <c r="AA266">
        <f>IF($A266="","",IF(COUNTIF($A$6:$A266,$A266)=1,1,0))</f>
        <v/>
      </c>
      <c r="AB266">
        <f>SUM($AA$6:$AA266)</f>
        <v/>
      </c>
      <c r="AC266">
        <f>IFERROR(INDEX($A$6:$A$1005,MATCH(ROW()-5,$AB$6:$AB$1005,0)),"")</f>
        <v/>
      </c>
    </row>
    <row r="267">
      <c r="A267">
        <f>IF(OR(Entry!$B270="",Entry!$E270="",$E267="نامعتبر"),"",Entry!$E270)</f>
        <v/>
      </c>
      <c r="B267">
        <f>IF($A267="","",LEFT($E267,4)&amp;MID($E267,6,2)&amp;RIGHT($E267,2)&amp;$F267&amp;"|"&amp;"1"&amp;RIGHT("00000"&amp;262,5))</f>
        <v/>
      </c>
      <c r="C267">
        <f>IF($B267="","",COUNTIFS($A$6:$A$1005,$A267,$B$6:$B$1005,"&lt;"&amp;$B267)+COUNTIFS($N$6:$N$2005,$A267,$P$6:$P$2005,"&lt;"&amp;$B267)+1)</f>
        <v/>
      </c>
      <c r="D267">
        <f>IF($C267="","",$A267&amp;"|"&amp;RIGHT("000000"&amp;$C267,6))</f>
        <v/>
      </c>
      <c r="E267">
        <f>IF(Entry!$B270="","",IF(ISNUMBER(Entry!$B270),IF(AND(Entry!$B270&gt;=10000101,Entry!$B270&lt;=99991231),INT(Entry!$B270/10000)&amp;"/"&amp;RIGHT("00"&amp;INT(MOD(Entry!$B270,10000)/100),2)&amp;"/"&amp;RIGHT("00"&amp;MOD(Entry!$B270,100),2),"نامعتبر"),IF(LEN(Entry!$B270)=10,Entry!$B270,"نامعتبر")))</f>
        <v/>
      </c>
      <c r="F267">
        <f>IF(Entry!$B270="","",IF(Entry!$C270="","0000",IF(AND(ISNUMBER(Entry!$C270),Entry!$C270&gt;=0,Entry!$C270&lt;1),RIGHT("00"&amp;HOUR(Entry!$C270),2)&amp;RIGHT("00"&amp;MINUTE(Entry!$C270),2),IFERROR(RIGHT("00"&amp;VALUE(LEFT(Entry!$C270,FIND(":",Entry!$C270)-1)),2)&amp;RIGHT("00"&amp;VALUE(MID(Entry!$C270,FIND(":",Entry!$C270)+1,2)),2),"0000"))))</f>
        <v/>
      </c>
      <c r="G267">
        <f>IF($A267="","",Entry!$G270)</f>
        <v/>
      </c>
      <c r="H267">
        <f>IF($A267="","",IF(Entry!$H270="",0,Entry!$H270))</f>
        <v/>
      </c>
      <c r="I267">
        <f>IF($A267="","",IF(Entry!$I270="",0,Entry!$I270))</f>
        <v/>
      </c>
      <c r="J267">
        <f>IF($A267="","",ROUND($H267*$I267,0))</f>
        <v/>
      </c>
      <c r="K267">
        <f>IF($A267="","",Entry!$D270)</f>
        <v/>
      </c>
      <c r="L267">
        <f>IF($A267="","",Entry!$L270)</f>
        <v/>
      </c>
      <c r="N267">
        <f>IF(OR(Sync!$M267="",$Q267="",$Q267="نامعتبر"),"",Sync!$M267)</f>
        <v/>
      </c>
      <c r="O267">
        <f>IF($N267="","",$Q267)</f>
        <v/>
      </c>
      <c r="P267">
        <f>IF($N267="","",LEFT($Q267,4)&amp;MID($Q267,6,2)&amp;RIGHT($Q267,2)&amp;IF(Sync!$K267="","0000",IF(AND(ISNUMBER(Sync!$K267),Sync!$K267&gt;=0,Sync!$K267&lt;1),RIGHT("00"&amp;HOUR(Sync!$K267),2)&amp;RIGHT("00"&amp;MINUTE(Sync!$K267),2),IFERROR(RIGHT("00"&amp;VALUE(LEFT(Sync!$K267,FIND(":",Sync!$K267)-1)),2)&amp;RIGHT("00"&amp;VALUE(MID(Sync!$K267,FIND(":",Sync!$K267)+1,2)),2),"0000")))&amp;"|"&amp;"2"&amp;RIGHT("00000"&amp;262,5))</f>
        <v/>
      </c>
      <c r="Q267">
        <f>IF(Sync!$J267="","",IF(ISNUMBER(Sync!$J267),IF(AND(Sync!$J267&gt;=10000101,Sync!$J267&lt;=99991231),INT(Sync!$J267/10000)&amp;"/"&amp;RIGHT("00"&amp;INT(MOD(Sync!$J267,10000)/100),2)&amp;"/"&amp;RIGHT("00"&amp;MOD(Sync!$J267,100),2),"نامعتبر"),IF(LEN(Sync!$J267)=10,Sync!$J267,"نامعتبر")))</f>
        <v/>
      </c>
      <c r="R267">
        <f>IF($P267="","",COUNTIFS($N$6:$N$2005,$N267,$P$6:$P$2005,"&lt;"&amp;$P267)+COUNTIFS($A$6:$A$1005,$N267,$B$6:$B$1005,"&lt;"&amp;$P267)+1)</f>
        <v/>
      </c>
      <c r="S267">
        <f>IF($N267="","",$N267&amp;"|"&amp;RIGHT("000000"&amp;$R267,6))</f>
        <v/>
      </c>
      <c r="T267">
        <f>IF($N267="","",IF(Sync!$N267="",0,Sync!$N267))</f>
        <v/>
      </c>
      <c r="U267">
        <f>IF($N267="","",IF(Sync!$O267="",0,Sync!$O267))</f>
        <v/>
      </c>
      <c r="V267">
        <f>IF($N267="","",Sync!$L267)</f>
        <v/>
      </c>
      <c r="W267">
        <f>IF($N267="","",Sync!$P267)</f>
        <v/>
      </c>
      <c r="AA267">
        <f>IF($A267="","",IF(COUNTIF($A$6:$A267,$A267)=1,1,0))</f>
        <v/>
      </c>
      <c r="AB267">
        <f>SUM($AA$6:$AA267)</f>
        <v/>
      </c>
      <c r="AC267">
        <f>IFERROR(INDEX($A$6:$A$1005,MATCH(ROW()-5,$AB$6:$AB$1005,0)),"")</f>
        <v/>
      </c>
    </row>
    <row r="268">
      <c r="A268">
        <f>IF(OR(Entry!$B271="",Entry!$E271="",$E268="نامعتبر"),"",Entry!$E271)</f>
        <v/>
      </c>
      <c r="B268">
        <f>IF($A268="","",LEFT($E268,4)&amp;MID($E268,6,2)&amp;RIGHT($E268,2)&amp;$F268&amp;"|"&amp;"1"&amp;RIGHT("00000"&amp;263,5))</f>
        <v/>
      </c>
      <c r="C268">
        <f>IF($B268="","",COUNTIFS($A$6:$A$1005,$A268,$B$6:$B$1005,"&lt;"&amp;$B268)+COUNTIFS($N$6:$N$2005,$A268,$P$6:$P$2005,"&lt;"&amp;$B268)+1)</f>
        <v/>
      </c>
      <c r="D268">
        <f>IF($C268="","",$A268&amp;"|"&amp;RIGHT("000000"&amp;$C268,6))</f>
        <v/>
      </c>
      <c r="E268">
        <f>IF(Entry!$B271="","",IF(ISNUMBER(Entry!$B271),IF(AND(Entry!$B271&gt;=10000101,Entry!$B271&lt;=99991231),INT(Entry!$B271/10000)&amp;"/"&amp;RIGHT("00"&amp;INT(MOD(Entry!$B271,10000)/100),2)&amp;"/"&amp;RIGHT("00"&amp;MOD(Entry!$B271,100),2),"نامعتبر"),IF(LEN(Entry!$B271)=10,Entry!$B271,"نامعتبر")))</f>
        <v/>
      </c>
      <c r="F268">
        <f>IF(Entry!$B271="","",IF(Entry!$C271="","0000",IF(AND(ISNUMBER(Entry!$C271),Entry!$C271&gt;=0,Entry!$C271&lt;1),RIGHT("00"&amp;HOUR(Entry!$C271),2)&amp;RIGHT("00"&amp;MINUTE(Entry!$C271),2),IFERROR(RIGHT("00"&amp;VALUE(LEFT(Entry!$C271,FIND(":",Entry!$C271)-1)),2)&amp;RIGHT("00"&amp;VALUE(MID(Entry!$C271,FIND(":",Entry!$C271)+1,2)),2),"0000"))))</f>
        <v/>
      </c>
      <c r="G268">
        <f>IF($A268="","",Entry!$G271)</f>
        <v/>
      </c>
      <c r="H268">
        <f>IF($A268="","",IF(Entry!$H271="",0,Entry!$H271))</f>
        <v/>
      </c>
      <c r="I268">
        <f>IF($A268="","",IF(Entry!$I271="",0,Entry!$I271))</f>
        <v/>
      </c>
      <c r="J268">
        <f>IF($A268="","",ROUND($H268*$I268,0))</f>
        <v/>
      </c>
      <c r="K268">
        <f>IF($A268="","",Entry!$D271)</f>
        <v/>
      </c>
      <c r="L268">
        <f>IF($A268="","",Entry!$L271)</f>
        <v/>
      </c>
      <c r="N268">
        <f>IF(OR(Sync!$M268="",$Q268="",$Q268="نامعتبر"),"",Sync!$M268)</f>
        <v/>
      </c>
      <c r="O268">
        <f>IF($N268="","",$Q268)</f>
        <v/>
      </c>
      <c r="P268">
        <f>IF($N268="","",LEFT($Q268,4)&amp;MID($Q268,6,2)&amp;RIGHT($Q268,2)&amp;IF(Sync!$K268="","0000",IF(AND(ISNUMBER(Sync!$K268),Sync!$K268&gt;=0,Sync!$K268&lt;1),RIGHT("00"&amp;HOUR(Sync!$K268),2)&amp;RIGHT("00"&amp;MINUTE(Sync!$K268),2),IFERROR(RIGHT("00"&amp;VALUE(LEFT(Sync!$K268,FIND(":",Sync!$K268)-1)),2)&amp;RIGHT("00"&amp;VALUE(MID(Sync!$K268,FIND(":",Sync!$K268)+1,2)),2),"0000")))&amp;"|"&amp;"2"&amp;RIGHT("00000"&amp;263,5))</f>
        <v/>
      </c>
      <c r="Q268">
        <f>IF(Sync!$J268="","",IF(ISNUMBER(Sync!$J268),IF(AND(Sync!$J268&gt;=10000101,Sync!$J268&lt;=99991231),INT(Sync!$J268/10000)&amp;"/"&amp;RIGHT("00"&amp;INT(MOD(Sync!$J268,10000)/100),2)&amp;"/"&amp;RIGHT("00"&amp;MOD(Sync!$J268,100),2),"نامعتبر"),IF(LEN(Sync!$J268)=10,Sync!$J268,"نامعتبر")))</f>
        <v/>
      </c>
      <c r="R268">
        <f>IF($P268="","",COUNTIFS($N$6:$N$2005,$N268,$P$6:$P$2005,"&lt;"&amp;$P268)+COUNTIFS($A$6:$A$1005,$N268,$B$6:$B$1005,"&lt;"&amp;$P268)+1)</f>
        <v/>
      </c>
      <c r="S268">
        <f>IF($N268="","",$N268&amp;"|"&amp;RIGHT("000000"&amp;$R268,6))</f>
        <v/>
      </c>
      <c r="T268">
        <f>IF($N268="","",IF(Sync!$N268="",0,Sync!$N268))</f>
        <v/>
      </c>
      <c r="U268">
        <f>IF($N268="","",IF(Sync!$O268="",0,Sync!$O268))</f>
        <v/>
      </c>
      <c r="V268">
        <f>IF($N268="","",Sync!$L268)</f>
        <v/>
      </c>
      <c r="W268">
        <f>IF($N268="","",Sync!$P268)</f>
        <v/>
      </c>
      <c r="AA268">
        <f>IF($A268="","",IF(COUNTIF($A$6:$A268,$A268)=1,1,0))</f>
        <v/>
      </c>
      <c r="AB268">
        <f>SUM($AA$6:$AA268)</f>
        <v/>
      </c>
      <c r="AC268">
        <f>IFERROR(INDEX($A$6:$A$1005,MATCH(ROW()-5,$AB$6:$AB$1005,0)),"")</f>
        <v/>
      </c>
    </row>
    <row r="269">
      <c r="A269">
        <f>IF(OR(Entry!$B272="",Entry!$E272="",$E269="نامعتبر"),"",Entry!$E272)</f>
        <v/>
      </c>
      <c r="B269">
        <f>IF($A269="","",LEFT($E269,4)&amp;MID($E269,6,2)&amp;RIGHT($E269,2)&amp;$F269&amp;"|"&amp;"1"&amp;RIGHT("00000"&amp;264,5))</f>
        <v/>
      </c>
      <c r="C269">
        <f>IF($B269="","",COUNTIFS($A$6:$A$1005,$A269,$B$6:$B$1005,"&lt;"&amp;$B269)+COUNTIFS($N$6:$N$2005,$A269,$P$6:$P$2005,"&lt;"&amp;$B269)+1)</f>
        <v/>
      </c>
      <c r="D269">
        <f>IF($C269="","",$A269&amp;"|"&amp;RIGHT("000000"&amp;$C269,6))</f>
        <v/>
      </c>
      <c r="E269">
        <f>IF(Entry!$B272="","",IF(ISNUMBER(Entry!$B272),IF(AND(Entry!$B272&gt;=10000101,Entry!$B272&lt;=99991231),INT(Entry!$B272/10000)&amp;"/"&amp;RIGHT("00"&amp;INT(MOD(Entry!$B272,10000)/100),2)&amp;"/"&amp;RIGHT("00"&amp;MOD(Entry!$B272,100),2),"نامعتبر"),IF(LEN(Entry!$B272)=10,Entry!$B272,"نامعتبر")))</f>
        <v/>
      </c>
      <c r="F269">
        <f>IF(Entry!$B272="","",IF(Entry!$C272="","0000",IF(AND(ISNUMBER(Entry!$C272),Entry!$C272&gt;=0,Entry!$C272&lt;1),RIGHT("00"&amp;HOUR(Entry!$C272),2)&amp;RIGHT("00"&amp;MINUTE(Entry!$C272),2),IFERROR(RIGHT("00"&amp;VALUE(LEFT(Entry!$C272,FIND(":",Entry!$C272)-1)),2)&amp;RIGHT("00"&amp;VALUE(MID(Entry!$C272,FIND(":",Entry!$C272)+1,2)),2),"0000"))))</f>
        <v/>
      </c>
      <c r="G269">
        <f>IF($A269="","",Entry!$G272)</f>
        <v/>
      </c>
      <c r="H269">
        <f>IF($A269="","",IF(Entry!$H272="",0,Entry!$H272))</f>
        <v/>
      </c>
      <c r="I269">
        <f>IF($A269="","",IF(Entry!$I272="",0,Entry!$I272))</f>
        <v/>
      </c>
      <c r="J269">
        <f>IF($A269="","",ROUND($H269*$I269,0))</f>
        <v/>
      </c>
      <c r="K269">
        <f>IF($A269="","",Entry!$D272)</f>
        <v/>
      </c>
      <c r="L269">
        <f>IF($A269="","",Entry!$L272)</f>
        <v/>
      </c>
      <c r="N269">
        <f>IF(OR(Sync!$M269="",$Q269="",$Q269="نامعتبر"),"",Sync!$M269)</f>
        <v/>
      </c>
      <c r="O269">
        <f>IF($N269="","",$Q269)</f>
        <v/>
      </c>
      <c r="P269">
        <f>IF($N269="","",LEFT($Q269,4)&amp;MID($Q269,6,2)&amp;RIGHT($Q269,2)&amp;IF(Sync!$K269="","0000",IF(AND(ISNUMBER(Sync!$K269),Sync!$K269&gt;=0,Sync!$K269&lt;1),RIGHT("00"&amp;HOUR(Sync!$K269),2)&amp;RIGHT("00"&amp;MINUTE(Sync!$K269),2),IFERROR(RIGHT("00"&amp;VALUE(LEFT(Sync!$K269,FIND(":",Sync!$K269)-1)),2)&amp;RIGHT("00"&amp;VALUE(MID(Sync!$K269,FIND(":",Sync!$K269)+1,2)),2),"0000")))&amp;"|"&amp;"2"&amp;RIGHT("00000"&amp;264,5))</f>
        <v/>
      </c>
      <c r="Q269">
        <f>IF(Sync!$J269="","",IF(ISNUMBER(Sync!$J269),IF(AND(Sync!$J269&gt;=10000101,Sync!$J269&lt;=99991231),INT(Sync!$J269/10000)&amp;"/"&amp;RIGHT("00"&amp;INT(MOD(Sync!$J269,10000)/100),2)&amp;"/"&amp;RIGHT("00"&amp;MOD(Sync!$J269,100),2),"نامعتبر"),IF(LEN(Sync!$J269)=10,Sync!$J269,"نامعتبر")))</f>
        <v/>
      </c>
      <c r="R269">
        <f>IF($P269="","",COUNTIFS($N$6:$N$2005,$N269,$P$6:$P$2005,"&lt;"&amp;$P269)+COUNTIFS($A$6:$A$1005,$N269,$B$6:$B$1005,"&lt;"&amp;$P269)+1)</f>
        <v/>
      </c>
      <c r="S269">
        <f>IF($N269="","",$N269&amp;"|"&amp;RIGHT("000000"&amp;$R269,6))</f>
        <v/>
      </c>
      <c r="T269">
        <f>IF($N269="","",IF(Sync!$N269="",0,Sync!$N269))</f>
        <v/>
      </c>
      <c r="U269">
        <f>IF($N269="","",IF(Sync!$O269="",0,Sync!$O269))</f>
        <v/>
      </c>
      <c r="V269">
        <f>IF($N269="","",Sync!$L269)</f>
        <v/>
      </c>
      <c r="W269">
        <f>IF($N269="","",Sync!$P269)</f>
        <v/>
      </c>
      <c r="AA269">
        <f>IF($A269="","",IF(COUNTIF($A$6:$A269,$A269)=1,1,0))</f>
        <v/>
      </c>
      <c r="AB269">
        <f>SUM($AA$6:$AA269)</f>
        <v/>
      </c>
      <c r="AC269">
        <f>IFERROR(INDEX($A$6:$A$1005,MATCH(ROW()-5,$AB$6:$AB$1005,0)),"")</f>
        <v/>
      </c>
    </row>
    <row r="270">
      <c r="A270">
        <f>IF(OR(Entry!$B273="",Entry!$E273="",$E270="نامعتبر"),"",Entry!$E273)</f>
        <v/>
      </c>
      <c r="B270">
        <f>IF($A270="","",LEFT($E270,4)&amp;MID($E270,6,2)&amp;RIGHT($E270,2)&amp;$F270&amp;"|"&amp;"1"&amp;RIGHT("00000"&amp;265,5))</f>
        <v/>
      </c>
      <c r="C270">
        <f>IF($B270="","",COUNTIFS($A$6:$A$1005,$A270,$B$6:$B$1005,"&lt;"&amp;$B270)+COUNTIFS($N$6:$N$2005,$A270,$P$6:$P$2005,"&lt;"&amp;$B270)+1)</f>
        <v/>
      </c>
      <c r="D270">
        <f>IF($C270="","",$A270&amp;"|"&amp;RIGHT("000000"&amp;$C270,6))</f>
        <v/>
      </c>
      <c r="E270">
        <f>IF(Entry!$B273="","",IF(ISNUMBER(Entry!$B273),IF(AND(Entry!$B273&gt;=10000101,Entry!$B273&lt;=99991231),INT(Entry!$B273/10000)&amp;"/"&amp;RIGHT("00"&amp;INT(MOD(Entry!$B273,10000)/100),2)&amp;"/"&amp;RIGHT("00"&amp;MOD(Entry!$B273,100),2),"نامعتبر"),IF(LEN(Entry!$B273)=10,Entry!$B273,"نامعتبر")))</f>
        <v/>
      </c>
      <c r="F270">
        <f>IF(Entry!$B273="","",IF(Entry!$C273="","0000",IF(AND(ISNUMBER(Entry!$C273),Entry!$C273&gt;=0,Entry!$C273&lt;1),RIGHT("00"&amp;HOUR(Entry!$C273),2)&amp;RIGHT("00"&amp;MINUTE(Entry!$C273),2),IFERROR(RIGHT("00"&amp;VALUE(LEFT(Entry!$C273,FIND(":",Entry!$C273)-1)),2)&amp;RIGHT("00"&amp;VALUE(MID(Entry!$C273,FIND(":",Entry!$C273)+1,2)),2),"0000"))))</f>
        <v/>
      </c>
      <c r="G270">
        <f>IF($A270="","",Entry!$G273)</f>
        <v/>
      </c>
      <c r="H270">
        <f>IF($A270="","",IF(Entry!$H273="",0,Entry!$H273))</f>
        <v/>
      </c>
      <c r="I270">
        <f>IF($A270="","",IF(Entry!$I273="",0,Entry!$I273))</f>
        <v/>
      </c>
      <c r="J270">
        <f>IF($A270="","",ROUND($H270*$I270,0))</f>
        <v/>
      </c>
      <c r="K270">
        <f>IF($A270="","",Entry!$D273)</f>
        <v/>
      </c>
      <c r="L270">
        <f>IF($A270="","",Entry!$L273)</f>
        <v/>
      </c>
      <c r="N270">
        <f>IF(OR(Sync!$M270="",$Q270="",$Q270="نامعتبر"),"",Sync!$M270)</f>
        <v/>
      </c>
      <c r="O270">
        <f>IF($N270="","",$Q270)</f>
        <v/>
      </c>
      <c r="P270">
        <f>IF($N270="","",LEFT($Q270,4)&amp;MID($Q270,6,2)&amp;RIGHT($Q270,2)&amp;IF(Sync!$K270="","0000",IF(AND(ISNUMBER(Sync!$K270),Sync!$K270&gt;=0,Sync!$K270&lt;1),RIGHT("00"&amp;HOUR(Sync!$K270),2)&amp;RIGHT("00"&amp;MINUTE(Sync!$K270),2),IFERROR(RIGHT("00"&amp;VALUE(LEFT(Sync!$K270,FIND(":",Sync!$K270)-1)),2)&amp;RIGHT("00"&amp;VALUE(MID(Sync!$K270,FIND(":",Sync!$K270)+1,2)),2),"0000")))&amp;"|"&amp;"2"&amp;RIGHT("00000"&amp;265,5))</f>
        <v/>
      </c>
      <c r="Q270">
        <f>IF(Sync!$J270="","",IF(ISNUMBER(Sync!$J270),IF(AND(Sync!$J270&gt;=10000101,Sync!$J270&lt;=99991231),INT(Sync!$J270/10000)&amp;"/"&amp;RIGHT("00"&amp;INT(MOD(Sync!$J270,10000)/100),2)&amp;"/"&amp;RIGHT("00"&amp;MOD(Sync!$J270,100),2),"نامعتبر"),IF(LEN(Sync!$J270)=10,Sync!$J270,"نامعتبر")))</f>
        <v/>
      </c>
      <c r="R270">
        <f>IF($P270="","",COUNTIFS($N$6:$N$2005,$N270,$P$6:$P$2005,"&lt;"&amp;$P270)+COUNTIFS($A$6:$A$1005,$N270,$B$6:$B$1005,"&lt;"&amp;$P270)+1)</f>
        <v/>
      </c>
      <c r="S270">
        <f>IF($N270="","",$N270&amp;"|"&amp;RIGHT("000000"&amp;$R270,6))</f>
        <v/>
      </c>
      <c r="T270">
        <f>IF($N270="","",IF(Sync!$N270="",0,Sync!$N270))</f>
        <v/>
      </c>
      <c r="U270">
        <f>IF($N270="","",IF(Sync!$O270="",0,Sync!$O270))</f>
        <v/>
      </c>
      <c r="V270">
        <f>IF($N270="","",Sync!$L270)</f>
        <v/>
      </c>
      <c r="W270">
        <f>IF($N270="","",Sync!$P270)</f>
        <v/>
      </c>
      <c r="AA270">
        <f>IF($A270="","",IF(COUNTIF($A$6:$A270,$A270)=1,1,0))</f>
        <v/>
      </c>
      <c r="AB270">
        <f>SUM($AA$6:$AA270)</f>
        <v/>
      </c>
      <c r="AC270">
        <f>IFERROR(INDEX($A$6:$A$1005,MATCH(ROW()-5,$AB$6:$AB$1005,0)),"")</f>
        <v/>
      </c>
    </row>
    <row r="271">
      <c r="A271">
        <f>IF(OR(Entry!$B274="",Entry!$E274="",$E271="نامعتبر"),"",Entry!$E274)</f>
        <v/>
      </c>
      <c r="B271">
        <f>IF($A271="","",LEFT($E271,4)&amp;MID($E271,6,2)&amp;RIGHT($E271,2)&amp;$F271&amp;"|"&amp;"1"&amp;RIGHT("00000"&amp;266,5))</f>
        <v/>
      </c>
      <c r="C271">
        <f>IF($B271="","",COUNTIFS($A$6:$A$1005,$A271,$B$6:$B$1005,"&lt;"&amp;$B271)+COUNTIFS($N$6:$N$2005,$A271,$P$6:$P$2005,"&lt;"&amp;$B271)+1)</f>
        <v/>
      </c>
      <c r="D271">
        <f>IF($C271="","",$A271&amp;"|"&amp;RIGHT("000000"&amp;$C271,6))</f>
        <v/>
      </c>
      <c r="E271">
        <f>IF(Entry!$B274="","",IF(ISNUMBER(Entry!$B274),IF(AND(Entry!$B274&gt;=10000101,Entry!$B274&lt;=99991231),INT(Entry!$B274/10000)&amp;"/"&amp;RIGHT("00"&amp;INT(MOD(Entry!$B274,10000)/100),2)&amp;"/"&amp;RIGHT("00"&amp;MOD(Entry!$B274,100),2),"نامعتبر"),IF(LEN(Entry!$B274)=10,Entry!$B274,"نامعتبر")))</f>
        <v/>
      </c>
      <c r="F271">
        <f>IF(Entry!$B274="","",IF(Entry!$C274="","0000",IF(AND(ISNUMBER(Entry!$C274),Entry!$C274&gt;=0,Entry!$C274&lt;1),RIGHT("00"&amp;HOUR(Entry!$C274),2)&amp;RIGHT("00"&amp;MINUTE(Entry!$C274),2),IFERROR(RIGHT("00"&amp;VALUE(LEFT(Entry!$C274,FIND(":",Entry!$C274)-1)),2)&amp;RIGHT("00"&amp;VALUE(MID(Entry!$C274,FIND(":",Entry!$C274)+1,2)),2),"0000"))))</f>
        <v/>
      </c>
      <c r="G271">
        <f>IF($A271="","",Entry!$G274)</f>
        <v/>
      </c>
      <c r="H271">
        <f>IF($A271="","",IF(Entry!$H274="",0,Entry!$H274))</f>
        <v/>
      </c>
      <c r="I271">
        <f>IF($A271="","",IF(Entry!$I274="",0,Entry!$I274))</f>
        <v/>
      </c>
      <c r="J271">
        <f>IF($A271="","",ROUND($H271*$I271,0))</f>
        <v/>
      </c>
      <c r="K271">
        <f>IF($A271="","",Entry!$D274)</f>
        <v/>
      </c>
      <c r="L271">
        <f>IF($A271="","",Entry!$L274)</f>
        <v/>
      </c>
      <c r="N271">
        <f>IF(OR(Sync!$M271="",$Q271="",$Q271="نامعتبر"),"",Sync!$M271)</f>
        <v/>
      </c>
      <c r="O271">
        <f>IF($N271="","",$Q271)</f>
        <v/>
      </c>
      <c r="P271">
        <f>IF($N271="","",LEFT($Q271,4)&amp;MID($Q271,6,2)&amp;RIGHT($Q271,2)&amp;IF(Sync!$K271="","0000",IF(AND(ISNUMBER(Sync!$K271),Sync!$K271&gt;=0,Sync!$K271&lt;1),RIGHT("00"&amp;HOUR(Sync!$K271),2)&amp;RIGHT("00"&amp;MINUTE(Sync!$K271),2),IFERROR(RIGHT("00"&amp;VALUE(LEFT(Sync!$K271,FIND(":",Sync!$K271)-1)),2)&amp;RIGHT("00"&amp;VALUE(MID(Sync!$K271,FIND(":",Sync!$K271)+1,2)),2),"0000")))&amp;"|"&amp;"2"&amp;RIGHT("00000"&amp;266,5))</f>
        <v/>
      </c>
      <c r="Q271">
        <f>IF(Sync!$J271="","",IF(ISNUMBER(Sync!$J271),IF(AND(Sync!$J271&gt;=10000101,Sync!$J271&lt;=99991231),INT(Sync!$J271/10000)&amp;"/"&amp;RIGHT("00"&amp;INT(MOD(Sync!$J271,10000)/100),2)&amp;"/"&amp;RIGHT("00"&amp;MOD(Sync!$J271,100),2),"نامعتبر"),IF(LEN(Sync!$J271)=10,Sync!$J271,"نامعتبر")))</f>
        <v/>
      </c>
      <c r="R271">
        <f>IF($P271="","",COUNTIFS($N$6:$N$2005,$N271,$P$6:$P$2005,"&lt;"&amp;$P271)+COUNTIFS($A$6:$A$1005,$N271,$B$6:$B$1005,"&lt;"&amp;$P271)+1)</f>
        <v/>
      </c>
      <c r="S271">
        <f>IF($N271="","",$N271&amp;"|"&amp;RIGHT("000000"&amp;$R271,6))</f>
        <v/>
      </c>
      <c r="T271">
        <f>IF($N271="","",IF(Sync!$N271="",0,Sync!$N271))</f>
        <v/>
      </c>
      <c r="U271">
        <f>IF($N271="","",IF(Sync!$O271="",0,Sync!$O271))</f>
        <v/>
      </c>
      <c r="V271">
        <f>IF($N271="","",Sync!$L271)</f>
        <v/>
      </c>
      <c r="W271">
        <f>IF($N271="","",Sync!$P271)</f>
        <v/>
      </c>
      <c r="AA271">
        <f>IF($A271="","",IF(COUNTIF($A$6:$A271,$A271)=1,1,0))</f>
        <v/>
      </c>
      <c r="AB271">
        <f>SUM($AA$6:$AA271)</f>
        <v/>
      </c>
      <c r="AC271">
        <f>IFERROR(INDEX($A$6:$A$1005,MATCH(ROW()-5,$AB$6:$AB$1005,0)),"")</f>
        <v/>
      </c>
    </row>
    <row r="272">
      <c r="A272">
        <f>IF(OR(Entry!$B275="",Entry!$E275="",$E272="نامعتبر"),"",Entry!$E275)</f>
        <v/>
      </c>
      <c r="B272">
        <f>IF($A272="","",LEFT($E272,4)&amp;MID($E272,6,2)&amp;RIGHT($E272,2)&amp;$F272&amp;"|"&amp;"1"&amp;RIGHT("00000"&amp;267,5))</f>
        <v/>
      </c>
      <c r="C272">
        <f>IF($B272="","",COUNTIFS($A$6:$A$1005,$A272,$B$6:$B$1005,"&lt;"&amp;$B272)+COUNTIFS($N$6:$N$2005,$A272,$P$6:$P$2005,"&lt;"&amp;$B272)+1)</f>
        <v/>
      </c>
      <c r="D272">
        <f>IF($C272="","",$A272&amp;"|"&amp;RIGHT("000000"&amp;$C272,6))</f>
        <v/>
      </c>
      <c r="E272">
        <f>IF(Entry!$B275="","",IF(ISNUMBER(Entry!$B275),IF(AND(Entry!$B275&gt;=10000101,Entry!$B275&lt;=99991231),INT(Entry!$B275/10000)&amp;"/"&amp;RIGHT("00"&amp;INT(MOD(Entry!$B275,10000)/100),2)&amp;"/"&amp;RIGHT("00"&amp;MOD(Entry!$B275,100),2),"نامعتبر"),IF(LEN(Entry!$B275)=10,Entry!$B275,"نامعتبر")))</f>
        <v/>
      </c>
      <c r="F272">
        <f>IF(Entry!$B275="","",IF(Entry!$C275="","0000",IF(AND(ISNUMBER(Entry!$C275),Entry!$C275&gt;=0,Entry!$C275&lt;1),RIGHT("00"&amp;HOUR(Entry!$C275),2)&amp;RIGHT("00"&amp;MINUTE(Entry!$C275),2),IFERROR(RIGHT("00"&amp;VALUE(LEFT(Entry!$C275,FIND(":",Entry!$C275)-1)),2)&amp;RIGHT("00"&amp;VALUE(MID(Entry!$C275,FIND(":",Entry!$C275)+1,2)),2),"0000"))))</f>
        <v/>
      </c>
      <c r="G272">
        <f>IF($A272="","",Entry!$G275)</f>
        <v/>
      </c>
      <c r="H272">
        <f>IF($A272="","",IF(Entry!$H275="",0,Entry!$H275))</f>
        <v/>
      </c>
      <c r="I272">
        <f>IF($A272="","",IF(Entry!$I275="",0,Entry!$I275))</f>
        <v/>
      </c>
      <c r="J272">
        <f>IF($A272="","",ROUND($H272*$I272,0))</f>
        <v/>
      </c>
      <c r="K272">
        <f>IF($A272="","",Entry!$D275)</f>
        <v/>
      </c>
      <c r="L272">
        <f>IF($A272="","",Entry!$L275)</f>
        <v/>
      </c>
      <c r="N272">
        <f>IF(OR(Sync!$M272="",$Q272="",$Q272="نامعتبر"),"",Sync!$M272)</f>
        <v/>
      </c>
      <c r="O272">
        <f>IF($N272="","",$Q272)</f>
        <v/>
      </c>
      <c r="P272">
        <f>IF($N272="","",LEFT($Q272,4)&amp;MID($Q272,6,2)&amp;RIGHT($Q272,2)&amp;IF(Sync!$K272="","0000",IF(AND(ISNUMBER(Sync!$K272),Sync!$K272&gt;=0,Sync!$K272&lt;1),RIGHT("00"&amp;HOUR(Sync!$K272),2)&amp;RIGHT("00"&amp;MINUTE(Sync!$K272),2),IFERROR(RIGHT("00"&amp;VALUE(LEFT(Sync!$K272,FIND(":",Sync!$K272)-1)),2)&amp;RIGHT("00"&amp;VALUE(MID(Sync!$K272,FIND(":",Sync!$K272)+1,2)),2),"0000")))&amp;"|"&amp;"2"&amp;RIGHT("00000"&amp;267,5))</f>
        <v/>
      </c>
      <c r="Q272">
        <f>IF(Sync!$J272="","",IF(ISNUMBER(Sync!$J272),IF(AND(Sync!$J272&gt;=10000101,Sync!$J272&lt;=99991231),INT(Sync!$J272/10000)&amp;"/"&amp;RIGHT("00"&amp;INT(MOD(Sync!$J272,10000)/100),2)&amp;"/"&amp;RIGHT("00"&amp;MOD(Sync!$J272,100),2),"نامعتبر"),IF(LEN(Sync!$J272)=10,Sync!$J272,"نامعتبر")))</f>
        <v/>
      </c>
      <c r="R272">
        <f>IF($P272="","",COUNTIFS($N$6:$N$2005,$N272,$P$6:$P$2005,"&lt;"&amp;$P272)+COUNTIFS($A$6:$A$1005,$N272,$B$6:$B$1005,"&lt;"&amp;$P272)+1)</f>
        <v/>
      </c>
      <c r="S272">
        <f>IF($N272="","",$N272&amp;"|"&amp;RIGHT("000000"&amp;$R272,6))</f>
        <v/>
      </c>
      <c r="T272">
        <f>IF($N272="","",IF(Sync!$N272="",0,Sync!$N272))</f>
        <v/>
      </c>
      <c r="U272">
        <f>IF($N272="","",IF(Sync!$O272="",0,Sync!$O272))</f>
        <v/>
      </c>
      <c r="V272">
        <f>IF($N272="","",Sync!$L272)</f>
        <v/>
      </c>
      <c r="W272">
        <f>IF($N272="","",Sync!$P272)</f>
        <v/>
      </c>
      <c r="AA272">
        <f>IF($A272="","",IF(COUNTIF($A$6:$A272,$A272)=1,1,0))</f>
        <v/>
      </c>
      <c r="AB272">
        <f>SUM($AA$6:$AA272)</f>
        <v/>
      </c>
      <c r="AC272">
        <f>IFERROR(INDEX($A$6:$A$1005,MATCH(ROW()-5,$AB$6:$AB$1005,0)),"")</f>
        <v/>
      </c>
    </row>
    <row r="273">
      <c r="A273">
        <f>IF(OR(Entry!$B276="",Entry!$E276="",$E273="نامعتبر"),"",Entry!$E276)</f>
        <v/>
      </c>
      <c r="B273">
        <f>IF($A273="","",LEFT($E273,4)&amp;MID($E273,6,2)&amp;RIGHT($E273,2)&amp;$F273&amp;"|"&amp;"1"&amp;RIGHT("00000"&amp;268,5))</f>
        <v/>
      </c>
      <c r="C273">
        <f>IF($B273="","",COUNTIFS($A$6:$A$1005,$A273,$B$6:$B$1005,"&lt;"&amp;$B273)+COUNTIFS($N$6:$N$2005,$A273,$P$6:$P$2005,"&lt;"&amp;$B273)+1)</f>
        <v/>
      </c>
      <c r="D273">
        <f>IF($C273="","",$A273&amp;"|"&amp;RIGHT("000000"&amp;$C273,6))</f>
        <v/>
      </c>
      <c r="E273">
        <f>IF(Entry!$B276="","",IF(ISNUMBER(Entry!$B276),IF(AND(Entry!$B276&gt;=10000101,Entry!$B276&lt;=99991231),INT(Entry!$B276/10000)&amp;"/"&amp;RIGHT("00"&amp;INT(MOD(Entry!$B276,10000)/100),2)&amp;"/"&amp;RIGHT("00"&amp;MOD(Entry!$B276,100),2),"نامعتبر"),IF(LEN(Entry!$B276)=10,Entry!$B276,"نامعتبر")))</f>
        <v/>
      </c>
      <c r="F273">
        <f>IF(Entry!$B276="","",IF(Entry!$C276="","0000",IF(AND(ISNUMBER(Entry!$C276),Entry!$C276&gt;=0,Entry!$C276&lt;1),RIGHT("00"&amp;HOUR(Entry!$C276),2)&amp;RIGHT("00"&amp;MINUTE(Entry!$C276),2),IFERROR(RIGHT("00"&amp;VALUE(LEFT(Entry!$C276,FIND(":",Entry!$C276)-1)),2)&amp;RIGHT("00"&amp;VALUE(MID(Entry!$C276,FIND(":",Entry!$C276)+1,2)),2),"0000"))))</f>
        <v/>
      </c>
      <c r="G273">
        <f>IF($A273="","",Entry!$G276)</f>
        <v/>
      </c>
      <c r="H273">
        <f>IF($A273="","",IF(Entry!$H276="",0,Entry!$H276))</f>
        <v/>
      </c>
      <c r="I273">
        <f>IF($A273="","",IF(Entry!$I276="",0,Entry!$I276))</f>
        <v/>
      </c>
      <c r="J273">
        <f>IF($A273="","",ROUND($H273*$I273,0))</f>
        <v/>
      </c>
      <c r="K273">
        <f>IF($A273="","",Entry!$D276)</f>
        <v/>
      </c>
      <c r="L273">
        <f>IF($A273="","",Entry!$L276)</f>
        <v/>
      </c>
      <c r="N273">
        <f>IF(OR(Sync!$M273="",$Q273="",$Q273="نامعتبر"),"",Sync!$M273)</f>
        <v/>
      </c>
      <c r="O273">
        <f>IF($N273="","",$Q273)</f>
        <v/>
      </c>
      <c r="P273">
        <f>IF($N273="","",LEFT($Q273,4)&amp;MID($Q273,6,2)&amp;RIGHT($Q273,2)&amp;IF(Sync!$K273="","0000",IF(AND(ISNUMBER(Sync!$K273),Sync!$K273&gt;=0,Sync!$K273&lt;1),RIGHT("00"&amp;HOUR(Sync!$K273),2)&amp;RIGHT("00"&amp;MINUTE(Sync!$K273),2),IFERROR(RIGHT("00"&amp;VALUE(LEFT(Sync!$K273,FIND(":",Sync!$K273)-1)),2)&amp;RIGHT("00"&amp;VALUE(MID(Sync!$K273,FIND(":",Sync!$K273)+1,2)),2),"0000")))&amp;"|"&amp;"2"&amp;RIGHT("00000"&amp;268,5))</f>
        <v/>
      </c>
      <c r="Q273">
        <f>IF(Sync!$J273="","",IF(ISNUMBER(Sync!$J273),IF(AND(Sync!$J273&gt;=10000101,Sync!$J273&lt;=99991231),INT(Sync!$J273/10000)&amp;"/"&amp;RIGHT("00"&amp;INT(MOD(Sync!$J273,10000)/100),2)&amp;"/"&amp;RIGHT("00"&amp;MOD(Sync!$J273,100),2),"نامعتبر"),IF(LEN(Sync!$J273)=10,Sync!$J273,"نامعتبر")))</f>
        <v/>
      </c>
      <c r="R273">
        <f>IF($P273="","",COUNTIFS($N$6:$N$2005,$N273,$P$6:$P$2005,"&lt;"&amp;$P273)+COUNTIFS($A$6:$A$1005,$N273,$B$6:$B$1005,"&lt;"&amp;$P273)+1)</f>
        <v/>
      </c>
      <c r="S273">
        <f>IF($N273="","",$N273&amp;"|"&amp;RIGHT("000000"&amp;$R273,6))</f>
        <v/>
      </c>
      <c r="T273">
        <f>IF($N273="","",IF(Sync!$N273="",0,Sync!$N273))</f>
        <v/>
      </c>
      <c r="U273">
        <f>IF($N273="","",IF(Sync!$O273="",0,Sync!$O273))</f>
        <v/>
      </c>
      <c r="V273">
        <f>IF($N273="","",Sync!$L273)</f>
        <v/>
      </c>
      <c r="W273">
        <f>IF($N273="","",Sync!$P273)</f>
        <v/>
      </c>
      <c r="AA273">
        <f>IF($A273="","",IF(COUNTIF($A$6:$A273,$A273)=1,1,0))</f>
        <v/>
      </c>
      <c r="AB273">
        <f>SUM($AA$6:$AA273)</f>
        <v/>
      </c>
      <c r="AC273">
        <f>IFERROR(INDEX($A$6:$A$1005,MATCH(ROW()-5,$AB$6:$AB$1005,0)),"")</f>
        <v/>
      </c>
    </row>
    <row r="274">
      <c r="A274">
        <f>IF(OR(Entry!$B277="",Entry!$E277="",$E274="نامعتبر"),"",Entry!$E277)</f>
        <v/>
      </c>
      <c r="B274">
        <f>IF($A274="","",LEFT($E274,4)&amp;MID($E274,6,2)&amp;RIGHT($E274,2)&amp;$F274&amp;"|"&amp;"1"&amp;RIGHT("00000"&amp;269,5))</f>
        <v/>
      </c>
      <c r="C274">
        <f>IF($B274="","",COUNTIFS($A$6:$A$1005,$A274,$B$6:$B$1005,"&lt;"&amp;$B274)+COUNTIFS($N$6:$N$2005,$A274,$P$6:$P$2005,"&lt;"&amp;$B274)+1)</f>
        <v/>
      </c>
      <c r="D274">
        <f>IF($C274="","",$A274&amp;"|"&amp;RIGHT("000000"&amp;$C274,6))</f>
        <v/>
      </c>
      <c r="E274">
        <f>IF(Entry!$B277="","",IF(ISNUMBER(Entry!$B277),IF(AND(Entry!$B277&gt;=10000101,Entry!$B277&lt;=99991231),INT(Entry!$B277/10000)&amp;"/"&amp;RIGHT("00"&amp;INT(MOD(Entry!$B277,10000)/100),2)&amp;"/"&amp;RIGHT("00"&amp;MOD(Entry!$B277,100),2),"نامعتبر"),IF(LEN(Entry!$B277)=10,Entry!$B277,"نامعتبر")))</f>
        <v/>
      </c>
      <c r="F274">
        <f>IF(Entry!$B277="","",IF(Entry!$C277="","0000",IF(AND(ISNUMBER(Entry!$C277),Entry!$C277&gt;=0,Entry!$C277&lt;1),RIGHT("00"&amp;HOUR(Entry!$C277),2)&amp;RIGHT("00"&amp;MINUTE(Entry!$C277),2),IFERROR(RIGHT("00"&amp;VALUE(LEFT(Entry!$C277,FIND(":",Entry!$C277)-1)),2)&amp;RIGHT("00"&amp;VALUE(MID(Entry!$C277,FIND(":",Entry!$C277)+1,2)),2),"0000"))))</f>
        <v/>
      </c>
      <c r="G274">
        <f>IF($A274="","",Entry!$G277)</f>
        <v/>
      </c>
      <c r="H274">
        <f>IF($A274="","",IF(Entry!$H277="",0,Entry!$H277))</f>
        <v/>
      </c>
      <c r="I274">
        <f>IF($A274="","",IF(Entry!$I277="",0,Entry!$I277))</f>
        <v/>
      </c>
      <c r="J274">
        <f>IF($A274="","",ROUND($H274*$I274,0))</f>
        <v/>
      </c>
      <c r="K274">
        <f>IF($A274="","",Entry!$D277)</f>
        <v/>
      </c>
      <c r="L274">
        <f>IF($A274="","",Entry!$L277)</f>
        <v/>
      </c>
      <c r="N274">
        <f>IF(OR(Sync!$M274="",$Q274="",$Q274="نامعتبر"),"",Sync!$M274)</f>
        <v/>
      </c>
      <c r="O274">
        <f>IF($N274="","",$Q274)</f>
        <v/>
      </c>
      <c r="P274">
        <f>IF($N274="","",LEFT($Q274,4)&amp;MID($Q274,6,2)&amp;RIGHT($Q274,2)&amp;IF(Sync!$K274="","0000",IF(AND(ISNUMBER(Sync!$K274),Sync!$K274&gt;=0,Sync!$K274&lt;1),RIGHT("00"&amp;HOUR(Sync!$K274),2)&amp;RIGHT("00"&amp;MINUTE(Sync!$K274),2),IFERROR(RIGHT("00"&amp;VALUE(LEFT(Sync!$K274,FIND(":",Sync!$K274)-1)),2)&amp;RIGHT("00"&amp;VALUE(MID(Sync!$K274,FIND(":",Sync!$K274)+1,2)),2),"0000")))&amp;"|"&amp;"2"&amp;RIGHT("00000"&amp;269,5))</f>
        <v/>
      </c>
      <c r="Q274">
        <f>IF(Sync!$J274="","",IF(ISNUMBER(Sync!$J274),IF(AND(Sync!$J274&gt;=10000101,Sync!$J274&lt;=99991231),INT(Sync!$J274/10000)&amp;"/"&amp;RIGHT("00"&amp;INT(MOD(Sync!$J274,10000)/100),2)&amp;"/"&amp;RIGHT("00"&amp;MOD(Sync!$J274,100),2),"نامعتبر"),IF(LEN(Sync!$J274)=10,Sync!$J274,"نامعتبر")))</f>
        <v/>
      </c>
      <c r="R274">
        <f>IF($P274="","",COUNTIFS($N$6:$N$2005,$N274,$P$6:$P$2005,"&lt;"&amp;$P274)+COUNTIFS($A$6:$A$1005,$N274,$B$6:$B$1005,"&lt;"&amp;$P274)+1)</f>
        <v/>
      </c>
      <c r="S274">
        <f>IF($N274="","",$N274&amp;"|"&amp;RIGHT("000000"&amp;$R274,6))</f>
        <v/>
      </c>
      <c r="T274">
        <f>IF($N274="","",IF(Sync!$N274="",0,Sync!$N274))</f>
        <v/>
      </c>
      <c r="U274">
        <f>IF($N274="","",IF(Sync!$O274="",0,Sync!$O274))</f>
        <v/>
      </c>
      <c r="V274">
        <f>IF($N274="","",Sync!$L274)</f>
        <v/>
      </c>
      <c r="W274">
        <f>IF($N274="","",Sync!$P274)</f>
        <v/>
      </c>
      <c r="AA274">
        <f>IF($A274="","",IF(COUNTIF($A$6:$A274,$A274)=1,1,0))</f>
        <v/>
      </c>
      <c r="AB274">
        <f>SUM($AA$6:$AA274)</f>
        <v/>
      </c>
      <c r="AC274">
        <f>IFERROR(INDEX($A$6:$A$1005,MATCH(ROW()-5,$AB$6:$AB$1005,0)),"")</f>
        <v/>
      </c>
    </row>
    <row r="275">
      <c r="A275">
        <f>IF(OR(Entry!$B278="",Entry!$E278="",$E275="نامعتبر"),"",Entry!$E278)</f>
        <v/>
      </c>
      <c r="B275">
        <f>IF($A275="","",LEFT($E275,4)&amp;MID($E275,6,2)&amp;RIGHT($E275,2)&amp;$F275&amp;"|"&amp;"1"&amp;RIGHT("00000"&amp;270,5))</f>
        <v/>
      </c>
      <c r="C275">
        <f>IF($B275="","",COUNTIFS($A$6:$A$1005,$A275,$B$6:$B$1005,"&lt;"&amp;$B275)+COUNTIFS($N$6:$N$2005,$A275,$P$6:$P$2005,"&lt;"&amp;$B275)+1)</f>
        <v/>
      </c>
      <c r="D275">
        <f>IF($C275="","",$A275&amp;"|"&amp;RIGHT("000000"&amp;$C275,6))</f>
        <v/>
      </c>
      <c r="E275">
        <f>IF(Entry!$B278="","",IF(ISNUMBER(Entry!$B278),IF(AND(Entry!$B278&gt;=10000101,Entry!$B278&lt;=99991231),INT(Entry!$B278/10000)&amp;"/"&amp;RIGHT("00"&amp;INT(MOD(Entry!$B278,10000)/100),2)&amp;"/"&amp;RIGHT("00"&amp;MOD(Entry!$B278,100),2),"نامعتبر"),IF(LEN(Entry!$B278)=10,Entry!$B278,"نامعتبر")))</f>
        <v/>
      </c>
      <c r="F275">
        <f>IF(Entry!$B278="","",IF(Entry!$C278="","0000",IF(AND(ISNUMBER(Entry!$C278),Entry!$C278&gt;=0,Entry!$C278&lt;1),RIGHT("00"&amp;HOUR(Entry!$C278),2)&amp;RIGHT("00"&amp;MINUTE(Entry!$C278),2),IFERROR(RIGHT("00"&amp;VALUE(LEFT(Entry!$C278,FIND(":",Entry!$C278)-1)),2)&amp;RIGHT("00"&amp;VALUE(MID(Entry!$C278,FIND(":",Entry!$C278)+1,2)),2),"0000"))))</f>
        <v/>
      </c>
      <c r="G275">
        <f>IF($A275="","",Entry!$G278)</f>
        <v/>
      </c>
      <c r="H275">
        <f>IF($A275="","",IF(Entry!$H278="",0,Entry!$H278))</f>
        <v/>
      </c>
      <c r="I275">
        <f>IF($A275="","",IF(Entry!$I278="",0,Entry!$I278))</f>
        <v/>
      </c>
      <c r="J275">
        <f>IF($A275="","",ROUND($H275*$I275,0))</f>
        <v/>
      </c>
      <c r="K275">
        <f>IF($A275="","",Entry!$D278)</f>
        <v/>
      </c>
      <c r="L275">
        <f>IF($A275="","",Entry!$L278)</f>
        <v/>
      </c>
      <c r="N275">
        <f>IF(OR(Sync!$M275="",$Q275="",$Q275="نامعتبر"),"",Sync!$M275)</f>
        <v/>
      </c>
      <c r="O275">
        <f>IF($N275="","",$Q275)</f>
        <v/>
      </c>
      <c r="P275">
        <f>IF($N275="","",LEFT($Q275,4)&amp;MID($Q275,6,2)&amp;RIGHT($Q275,2)&amp;IF(Sync!$K275="","0000",IF(AND(ISNUMBER(Sync!$K275),Sync!$K275&gt;=0,Sync!$K275&lt;1),RIGHT("00"&amp;HOUR(Sync!$K275),2)&amp;RIGHT("00"&amp;MINUTE(Sync!$K275),2),IFERROR(RIGHT("00"&amp;VALUE(LEFT(Sync!$K275,FIND(":",Sync!$K275)-1)),2)&amp;RIGHT("00"&amp;VALUE(MID(Sync!$K275,FIND(":",Sync!$K275)+1,2)),2),"0000")))&amp;"|"&amp;"2"&amp;RIGHT("00000"&amp;270,5))</f>
        <v/>
      </c>
      <c r="Q275">
        <f>IF(Sync!$J275="","",IF(ISNUMBER(Sync!$J275),IF(AND(Sync!$J275&gt;=10000101,Sync!$J275&lt;=99991231),INT(Sync!$J275/10000)&amp;"/"&amp;RIGHT("00"&amp;INT(MOD(Sync!$J275,10000)/100),2)&amp;"/"&amp;RIGHT("00"&amp;MOD(Sync!$J275,100),2),"نامعتبر"),IF(LEN(Sync!$J275)=10,Sync!$J275,"نامعتبر")))</f>
        <v/>
      </c>
      <c r="R275">
        <f>IF($P275="","",COUNTIFS($N$6:$N$2005,$N275,$P$6:$P$2005,"&lt;"&amp;$P275)+COUNTIFS($A$6:$A$1005,$N275,$B$6:$B$1005,"&lt;"&amp;$P275)+1)</f>
        <v/>
      </c>
      <c r="S275">
        <f>IF($N275="","",$N275&amp;"|"&amp;RIGHT("000000"&amp;$R275,6))</f>
        <v/>
      </c>
      <c r="T275">
        <f>IF($N275="","",IF(Sync!$N275="",0,Sync!$N275))</f>
        <v/>
      </c>
      <c r="U275">
        <f>IF($N275="","",IF(Sync!$O275="",0,Sync!$O275))</f>
        <v/>
      </c>
      <c r="V275">
        <f>IF($N275="","",Sync!$L275)</f>
        <v/>
      </c>
      <c r="W275">
        <f>IF($N275="","",Sync!$P275)</f>
        <v/>
      </c>
      <c r="AA275">
        <f>IF($A275="","",IF(COUNTIF($A$6:$A275,$A275)=1,1,0))</f>
        <v/>
      </c>
      <c r="AB275">
        <f>SUM($AA$6:$AA275)</f>
        <v/>
      </c>
      <c r="AC275">
        <f>IFERROR(INDEX($A$6:$A$1005,MATCH(ROW()-5,$AB$6:$AB$1005,0)),"")</f>
        <v/>
      </c>
    </row>
    <row r="276">
      <c r="A276">
        <f>IF(OR(Entry!$B279="",Entry!$E279="",$E276="نامعتبر"),"",Entry!$E279)</f>
        <v/>
      </c>
      <c r="B276">
        <f>IF($A276="","",LEFT($E276,4)&amp;MID($E276,6,2)&amp;RIGHT($E276,2)&amp;$F276&amp;"|"&amp;"1"&amp;RIGHT("00000"&amp;271,5))</f>
        <v/>
      </c>
      <c r="C276">
        <f>IF($B276="","",COUNTIFS($A$6:$A$1005,$A276,$B$6:$B$1005,"&lt;"&amp;$B276)+COUNTIFS($N$6:$N$2005,$A276,$P$6:$P$2005,"&lt;"&amp;$B276)+1)</f>
        <v/>
      </c>
      <c r="D276">
        <f>IF($C276="","",$A276&amp;"|"&amp;RIGHT("000000"&amp;$C276,6))</f>
        <v/>
      </c>
      <c r="E276">
        <f>IF(Entry!$B279="","",IF(ISNUMBER(Entry!$B279),IF(AND(Entry!$B279&gt;=10000101,Entry!$B279&lt;=99991231),INT(Entry!$B279/10000)&amp;"/"&amp;RIGHT("00"&amp;INT(MOD(Entry!$B279,10000)/100),2)&amp;"/"&amp;RIGHT("00"&amp;MOD(Entry!$B279,100),2),"نامعتبر"),IF(LEN(Entry!$B279)=10,Entry!$B279,"نامعتبر")))</f>
        <v/>
      </c>
      <c r="F276">
        <f>IF(Entry!$B279="","",IF(Entry!$C279="","0000",IF(AND(ISNUMBER(Entry!$C279),Entry!$C279&gt;=0,Entry!$C279&lt;1),RIGHT("00"&amp;HOUR(Entry!$C279),2)&amp;RIGHT("00"&amp;MINUTE(Entry!$C279),2),IFERROR(RIGHT("00"&amp;VALUE(LEFT(Entry!$C279,FIND(":",Entry!$C279)-1)),2)&amp;RIGHT("00"&amp;VALUE(MID(Entry!$C279,FIND(":",Entry!$C279)+1,2)),2),"0000"))))</f>
        <v/>
      </c>
      <c r="G276">
        <f>IF($A276="","",Entry!$G279)</f>
        <v/>
      </c>
      <c r="H276">
        <f>IF($A276="","",IF(Entry!$H279="",0,Entry!$H279))</f>
        <v/>
      </c>
      <c r="I276">
        <f>IF($A276="","",IF(Entry!$I279="",0,Entry!$I279))</f>
        <v/>
      </c>
      <c r="J276">
        <f>IF($A276="","",ROUND($H276*$I276,0))</f>
        <v/>
      </c>
      <c r="K276">
        <f>IF($A276="","",Entry!$D279)</f>
        <v/>
      </c>
      <c r="L276">
        <f>IF($A276="","",Entry!$L279)</f>
        <v/>
      </c>
      <c r="N276">
        <f>IF(OR(Sync!$M276="",$Q276="",$Q276="نامعتبر"),"",Sync!$M276)</f>
        <v/>
      </c>
      <c r="O276">
        <f>IF($N276="","",$Q276)</f>
        <v/>
      </c>
      <c r="P276">
        <f>IF($N276="","",LEFT($Q276,4)&amp;MID($Q276,6,2)&amp;RIGHT($Q276,2)&amp;IF(Sync!$K276="","0000",IF(AND(ISNUMBER(Sync!$K276),Sync!$K276&gt;=0,Sync!$K276&lt;1),RIGHT("00"&amp;HOUR(Sync!$K276),2)&amp;RIGHT("00"&amp;MINUTE(Sync!$K276),2),IFERROR(RIGHT("00"&amp;VALUE(LEFT(Sync!$K276,FIND(":",Sync!$K276)-1)),2)&amp;RIGHT("00"&amp;VALUE(MID(Sync!$K276,FIND(":",Sync!$K276)+1,2)),2),"0000")))&amp;"|"&amp;"2"&amp;RIGHT("00000"&amp;271,5))</f>
        <v/>
      </c>
      <c r="Q276">
        <f>IF(Sync!$J276="","",IF(ISNUMBER(Sync!$J276),IF(AND(Sync!$J276&gt;=10000101,Sync!$J276&lt;=99991231),INT(Sync!$J276/10000)&amp;"/"&amp;RIGHT("00"&amp;INT(MOD(Sync!$J276,10000)/100),2)&amp;"/"&amp;RIGHT("00"&amp;MOD(Sync!$J276,100),2),"نامعتبر"),IF(LEN(Sync!$J276)=10,Sync!$J276,"نامعتبر")))</f>
        <v/>
      </c>
      <c r="R276">
        <f>IF($P276="","",COUNTIFS($N$6:$N$2005,$N276,$P$6:$P$2005,"&lt;"&amp;$P276)+COUNTIFS($A$6:$A$1005,$N276,$B$6:$B$1005,"&lt;"&amp;$P276)+1)</f>
        <v/>
      </c>
      <c r="S276">
        <f>IF($N276="","",$N276&amp;"|"&amp;RIGHT("000000"&amp;$R276,6))</f>
        <v/>
      </c>
      <c r="T276">
        <f>IF($N276="","",IF(Sync!$N276="",0,Sync!$N276))</f>
        <v/>
      </c>
      <c r="U276">
        <f>IF($N276="","",IF(Sync!$O276="",0,Sync!$O276))</f>
        <v/>
      </c>
      <c r="V276">
        <f>IF($N276="","",Sync!$L276)</f>
        <v/>
      </c>
      <c r="W276">
        <f>IF($N276="","",Sync!$P276)</f>
        <v/>
      </c>
      <c r="AA276">
        <f>IF($A276="","",IF(COUNTIF($A$6:$A276,$A276)=1,1,0))</f>
        <v/>
      </c>
      <c r="AB276">
        <f>SUM($AA$6:$AA276)</f>
        <v/>
      </c>
      <c r="AC276">
        <f>IFERROR(INDEX($A$6:$A$1005,MATCH(ROW()-5,$AB$6:$AB$1005,0)),"")</f>
        <v/>
      </c>
    </row>
    <row r="277">
      <c r="A277">
        <f>IF(OR(Entry!$B280="",Entry!$E280="",$E277="نامعتبر"),"",Entry!$E280)</f>
        <v/>
      </c>
      <c r="B277">
        <f>IF($A277="","",LEFT($E277,4)&amp;MID($E277,6,2)&amp;RIGHT($E277,2)&amp;$F277&amp;"|"&amp;"1"&amp;RIGHT("00000"&amp;272,5))</f>
        <v/>
      </c>
      <c r="C277">
        <f>IF($B277="","",COUNTIFS($A$6:$A$1005,$A277,$B$6:$B$1005,"&lt;"&amp;$B277)+COUNTIFS($N$6:$N$2005,$A277,$P$6:$P$2005,"&lt;"&amp;$B277)+1)</f>
        <v/>
      </c>
      <c r="D277">
        <f>IF($C277="","",$A277&amp;"|"&amp;RIGHT("000000"&amp;$C277,6))</f>
        <v/>
      </c>
      <c r="E277">
        <f>IF(Entry!$B280="","",IF(ISNUMBER(Entry!$B280),IF(AND(Entry!$B280&gt;=10000101,Entry!$B280&lt;=99991231),INT(Entry!$B280/10000)&amp;"/"&amp;RIGHT("00"&amp;INT(MOD(Entry!$B280,10000)/100),2)&amp;"/"&amp;RIGHT("00"&amp;MOD(Entry!$B280,100),2),"نامعتبر"),IF(LEN(Entry!$B280)=10,Entry!$B280,"نامعتبر")))</f>
        <v/>
      </c>
      <c r="F277">
        <f>IF(Entry!$B280="","",IF(Entry!$C280="","0000",IF(AND(ISNUMBER(Entry!$C280),Entry!$C280&gt;=0,Entry!$C280&lt;1),RIGHT("00"&amp;HOUR(Entry!$C280),2)&amp;RIGHT("00"&amp;MINUTE(Entry!$C280),2),IFERROR(RIGHT("00"&amp;VALUE(LEFT(Entry!$C280,FIND(":",Entry!$C280)-1)),2)&amp;RIGHT("00"&amp;VALUE(MID(Entry!$C280,FIND(":",Entry!$C280)+1,2)),2),"0000"))))</f>
        <v/>
      </c>
      <c r="G277">
        <f>IF($A277="","",Entry!$G280)</f>
        <v/>
      </c>
      <c r="H277">
        <f>IF($A277="","",IF(Entry!$H280="",0,Entry!$H280))</f>
        <v/>
      </c>
      <c r="I277">
        <f>IF($A277="","",IF(Entry!$I280="",0,Entry!$I280))</f>
        <v/>
      </c>
      <c r="J277">
        <f>IF($A277="","",ROUND($H277*$I277,0))</f>
        <v/>
      </c>
      <c r="K277">
        <f>IF($A277="","",Entry!$D280)</f>
        <v/>
      </c>
      <c r="L277">
        <f>IF($A277="","",Entry!$L280)</f>
        <v/>
      </c>
      <c r="N277">
        <f>IF(OR(Sync!$M277="",$Q277="",$Q277="نامعتبر"),"",Sync!$M277)</f>
        <v/>
      </c>
      <c r="O277">
        <f>IF($N277="","",$Q277)</f>
        <v/>
      </c>
      <c r="P277">
        <f>IF($N277="","",LEFT($Q277,4)&amp;MID($Q277,6,2)&amp;RIGHT($Q277,2)&amp;IF(Sync!$K277="","0000",IF(AND(ISNUMBER(Sync!$K277),Sync!$K277&gt;=0,Sync!$K277&lt;1),RIGHT("00"&amp;HOUR(Sync!$K277),2)&amp;RIGHT("00"&amp;MINUTE(Sync!$K277),2),IFERROR(RIGHT("00"&amp;VALUE(LEFT(Sync!$K277,FIND(":",Sync!$K277)-1)),2)&amp;RIGHT("00"&amp;VALUE(MID(Sync!$K277,FIND(":",Sync!$K277)+1,2)),2),"0000")))&amp;"|"&amp;"2"&amp;RIGHT("00000"&amp;272,5))</f>
        <v/>
      </c>
      <c r="Q277">
        <f>IF(Sync!$J277="","",IF(ISNUMBER(Sync!$J277),IF(AND(Sync!$J277&gt;=10000101,Sync!$J277&lt;=99991231),INT(Sync!$J277/10000)&amp;"/"&amp;RIGHT("00"&amp;INT(MOD(Sync!$J277,10000)/100),2)&amp;"/"&amp;RIGHT("00"&amp;MOD(Sync!$J277,100),2),"نامعتبر"),IF(LEN(Sync!$J277)=10,Sync!$J277,"نامعتبر")))</f>
        <v/>
      </c>
      <c r="R277">
        <f>IF($P277="","",COUNTIFS($N$6:$N$2005,$N277,$P$6:$P$2005,"&lt;"&amp;$P277)+COUNTIFS($A$6:$A$1005,$N277,$B$6:$B$1005,"&lt;"&amp;$P277)+1)</f>
        <v/>
      </c>
      <c r="S277">
        <f>IF($N277="","",$N277&amp;"|"&amp;RIGHT("000000"&amp;$R277,6))</f>
        <v/>
      </c>
      <c r="T277">
        <f>IF($N277="","",IF(Sync!$N277="",0,Sync!$N277))</f>
        <v/>
      </c>
      <c r="U277">
        <f>IF($N277="","",IF(Sync!$O277="",0,Sync!$O277))</f>
        <v/>
      </c>
      <c r="V277">
        <f>IF($N277="","",Sync!$L277)</f>
        <v/>
      </c>
      <c r="W277">
        <f>IF($N277="","",Sync!$P277)</f>
        <v/>
      </c>
      <c r="AA277">
        <f>IF($A277="","",IF(COUNTIF($A$6:$A277,$A277)=1,1,0))</f>
        <v/>
      </c>
      <c r="AB277">
        <f>SUM($AA$6:$AA277)</f>
        <v/>
      </c>
      <c r="AC277">
        <f>IFERROR(INDEX($A$6:$A$1005,MATCH(ROW()-5,$AB$6:$AB$1005,0)),"")</f>
        <v/>
      </c>
    </row>
    <row r="278">
      <c r="A278">
        <f>IF(OR(Entry!$B281="",Entry!$E281="",$E278="نامعتبر"),"",Entry!$E281)</f>
        <v/>
      </c>
      <c r="B278">
        <f>IF($A278="","",LEFT($E278,4)&amp;MID($E278,6,2)&amp;RIGHT($E278,2)&amp;$F278&amp;"|"&amp;"1"&amp;RIGHT("00000"&amp;273,5))</f>
        <v/>
      </c>
      <c r="C278">
        <f>IF($B278="","",COUNTIFS($A$6:$A$1005,$A278,$B$6:$B$1005,"&lt;"&amp;$B278)+COUNTIFS($N$6:$N$2005,$A278,$P$6:$P$2005,"&lt;"&amp;$B278)+1)</f>
        <v/>
      </c>
      <c r="D278">
        <f>IF($C278="","",$A278&amp;"|"&amp;RIGHT("000000"&amp;$C278,6))</f>
        <v/>
      </c>
      <c r="E278">
        <f>IF(Entry!$B281="","",IF(ISNUMBER(Entry!$B281),IF(AND(Entry!$B281&gt;=10000101,Entry!$B281&lt;=99991231),INT(Entry!$B281/10000)&amp;"/"&amp;RIGHT("00"&amp;INT(MOD(Entry!$B281,10000)/100),2)&amp;"/"&amp;RIGHT("00"&amp;MOD(Entry!$B281,100),2),"نامعتبر"),IF(LEN(Entry!$B281)=10,Entry!$B281,"نامعتبر")))</f>
        <v/>
      </c>
      <c r="F278">
        <f>IF(Entry!$B281="","",IF(Entry!$C281="","0000",IF(AND(ISNUMBER(Entry!$C281),Entry!$C281&gt;=0,Entry!$C281&lt;1),RIGHT("00"&amp;HOUR(Entry!$C281),2)&amp;RIGHT("00"&amp;MINUTE(Entry!$C281),2),IFERROR(RIGHT("00"&amp;VALUE(LEFT(Entry!$C281,FIND(":",Entry!$C281)-1)),2)&amp;RIGHT("00"&amp;VALUE(MID(Entry!$C281,FIND(":",Entry!$C281)+1,2)),2),"0000"))))</f>
        <v/>
      </c>
      <c r="G278">
        <f>IF($A278="","",Entry!$G281)</f>
        <v/>
      </c>
      <c r="H278">
        <f>IF($A278="","",IF(Entry!$H281="",0,Entry!$H281))</f>
        <v/>
      </c>
      <c r="I278">
        <f>IF($A278="","",IF(Entry!$I281="",0,Entry!$I281))</f>
        <v/>
      </c>
      <c r="J278">
        <f>IF($A278="","",ROUND($H278*$I278,0))</f>
        <v/>
      </c>
      <c r="K278">
        <f>IF($A278="","",Entry!$D281)</f>
        <v/>
      </c>
      <c r="L278">
        <f>IF($A278="","",Entry!$L281)</f>
        <v/>
      </c>
      <c r="N278">
        <f>IF(OR(Sync!$M278="",$Q278="",$Q278="نامعتبر"),"",Sync!$M278)</f>
        <v/>
      </c>
      <c r="O278">
        <f>IF($N278="","",$Q278)</f>
        <v/>
      </c>
      <c r="P278">
        <f>IF($N278="","",LEFT($Q278,4)&amp;MID($Q278,6,2)&amp;RIGHT($Q278,2)&amp;IF(Sync!$K278="","0000",IF(AND(ISNUMBER(Sync!$K278),Sync!$K278&gt;=0,Sync!$K278&lt;1),RIGHT("00"&amp;HOUR(Sync!$K278),2)&amp;RIGHT("00"&amp;MINUTE(Sync!$K278),2),IFERROR(RIGHT("00"&amp;VALUE(LEFT(Sync!$K278,FIND(":",Sync!$K278)-1)),2)&amp;RIGHT("00"&amp;VALUE(MID(Sync!$K278,FIND(":",Sync!$K278)+1,2)),2),"0000")))&amp;"|"&amp;"2"&amp;RIGHT("00000"&amp;273,5))</f>
        <v/>
      </c>
      <c r="Q278">
        <f>IF(Sync!$J278="","",IF(ISNUMBER(Sync!$J278),IF(AND(Sync!$J278&gt;=10000101,Sync!$J278&lt;=99991231),INT(Sync!$J278/10000)&amp;"/"&amp;RIGHT("00"&amp;INT(MOD(Sync!$J278,10000)/100),2)&amp;"/"&amp;RIGHT("00"&amp;MOD(Sync!$J278,100),2),"نامعتبر"),IF(LEN(Sync!$J278)=10,Sync!$J278,"نامعتبر")))</f>
        <v/>
      </c>
      <c r="R278">
        <f>IF($P278="","",COUNTIFS($N$6:$N$2005,$N278,$P$6:$P$2005,"&lt;"&amp;$P278)+COUNTIFS($A$6:$A$1005,$N278,$B$6:$B$1005,"&lt;"&amp;$P278)+1)</f>
        <v/>
      </c>
      <c r="S278">
        <f>IF($N278="","",$N278&amp;"|"&amp;RIGHT("000000"&amp;$R278,6))</f>
        <v/>
      </c>
      <c r="T278">
        <f>IF($N278="","",IF(Sync!$N278="",0,Sync!$N278))</f>
        <v/>
      </c>
      <c r="U278">
        <f>IF($N278="","",IF(Sync!$O278="",0,Sync!$O278))</f>
        <v/>
      </c>
      <c r="V278">
        <f>IF($N278="","",Sync!$L278)</f>
        <v/>
      </c>
      <c r="W278">
        <f>IF($N278="","",Sync!$P278)</f>
        <v/>
      </c>
      <c r="AA278">
        <f>IF($A278="","",IF(COUNTIF($A$6:$A278,$A278)=1,1,0))</f>
        <v/>
      </c>
      <c r="AB278">
        <f>SUM($AA$6:$AA278)</f>
        <v/>
      </c>
      <c r="AC278">
        <f>IFERROR(INDEX($A$6:$A$1005,MATCH(ROW()-5,$AB$6:$AB$1005,0)),"")</f>
        <v/>
      </c>
    </row>
    <row r="279">
      <c r="A279">
        <f>IF(OR(Entry!$B282="",Entry!$E282="",$E279="نامعتبر"),"",Entry!$E282)</f>
        <v/>
      </c>
      <c r="B279">
        <f>IF($A279="","",LEFT($E279,4)&amp;MID($E279,6,2)&amp;RIGHT($E279,2)&amp;$F279&amp;"|"&amp;"1"&amp;RIGHT("00000"&amp;274,5))</f>
        <v/>
      </c>
      <c r="C279">
        <f>IF($B279="","",COUNTIFS($A$6:$A$1005,$A279,$B$6:$B$1005,"&lt;"&amp;$B279)+COUNTIFS($N$6:$N$2005,$A279,$P$6:$P$2005,"&lt;"&amp;$B279)+1)</f>
        <v/>
      </c>
      <c r="D279">
        <f>IF($C279="","",$A279&amp;"|"&amp;RIGHT("000000"&amp;$C279,6))</f>
        <v/>
      </c>
      <c r="E279">
        <f>IF(Entry!$B282="","",IF(ISNUMBER(Entry!$B282),IF(AND(Entry!$B282&gt;=10000101,Entry!$B282&lt;=99991231),INT(Entry!$B282/10000)&amp;"/"&amp;RIGHT("00"&amp;INT(MOD(Entry!$B282,10000)/100),2)&amp;"/"&amp;RIGHT("00"&amp;MOD(Entry!$B282,100),2),"نامعتبر"),IF(LEN(Entry!$B282)=10,Entry!$B282,"نامعتبر")))</f>
        <v/>
      </c>
      <c r="F279">
        <f>IF(Entry!$B282="","",IF(Entry!$C282="","0000",IF(AND(ISNUMBER(Entry!$C282),Entry!$C282&gt;=0,Entry!$C282&lt;1),RIGHT("00"&amp;HOUR(Entry!$C282),2)&amp;RIGHT("00"&amp;MINUTE(Entry!$C282),2),IFERROR(RIGHT("00"&amp;VALUE(LEFT(Entry!$C282,FIND(":",Entry!$C282)-1)),2)&amp;RIGHT("00"&amp;VALUE(MID(Entry!$C282,FIND(":",Entry!$C282)+1,2)),2),"0000"))))</f>
        <v/>
      </c>
      <c r="G279">
        <f>IF($A279="","",Entry!$G282)</f>
        <v/>
      </c>
      <c r="H279">
        <f>IF($A279="","",IF(Entry!$H282="",0,Entry!$H282))</f>
        <v/>
      </c>
      <c r="I279">
        <f>IF($A279="","",IF(Entry!$I282="",0,Entry!$I282))</f>
        <v/>
      </c>
      <c r="J279">
        <f>IF($A279="","",ROUND($H279*$I279,0))</f>
        <v/>
      </c>
      <c r="K279">
        <f>IF($A279="","",Entry!$D282)</f>
        <v/>
      </c>
      <c r="L279">
        <f>IF($A279="","",Entry!$L282)</f>
        <v/>
      </c>
      <c r="N279">
        <f>IF(OR(Sync!$M279="",$Q279="",$Q279="نامعتبر"),"",Sync!$M279)</f>
        <v/>
      </c>
      <c r="O279">
        <f>IF($N279="","",$Q279)</f>
        <v/>
      </c>
      <c r="P279">
        <f>IF($N279="","",LEFT($Q279,4)&amp;MID($Q279,6,2)&amp;RIGHT($Q279,2)&amp;IF(Sync!$K279="","0000",IF(AND(ISNUMBER(Sync!$K279),Sync!$K279&gt;=0,Sync!$K279&lt;1),RIGHT("00"&amp;HOUR(Sync!$K279),2)&amp;RIGHT("00"&amp;MINUTE(Sync!$K279),2),IFERROR(RIGHT("00"&amp;VALUE(LEFT(Sync!$K279,FIND(":",Sync!$K279)-1)),2)&amp;RIGHT("00"&amp;VALUE(MID(Sync!$K279,FIND(":",Sync!$K279)+1,2)),2),"0000")))&amp;"|"&amp;"2"&amp;RIGHT("00000"&amp;274,5))</f>
        <v/>
      </c>
      <c r="Q279">
        <f>IF(Sync!$J279="","",IF(ISNUMBER(Sync!$J279),IF(AND(Sync!$J279&gt;=10000101,Sync!$J279&lt;=99991231),INT(Sync!$J279/10000)&amp;"/"&amp;RIGHT("00"&amp;INT(MOD(Sync!$J279,10000)/100),2)&amp;"/"&amp;RIGHT("00"&amp;MOD(Sync!$J279,100),2),"نامعتبر"),IF(LEN(Sync!$J279)=10,Sync!$J279,"نامعتبر")))</f>
        <v/>
      </c>
      <c r="R279">
        <f>IF($P279="","",COUNTIFS($N$6:$N$2005,$N279,$P$6:$P$2005,"&lt;"&amp;$P279)+COUNTIFS($A$6:$A$1005,$N279,$B$6:$B$1005,"&lt;"&amp;$P279)+1)</f>
        <v/>
      </c>
      <c r="S279">
        <f>IF($N279="","",$N279&amp;"|"&amp;RIGHT("000000"&amp;$R279,6))</f>
        <v/>
      </c>
      <c r="T279">
        <f>IF($N279="","",IF(Sync!$N279="",0,Sync!$N279))</f>
        <v/>
      </c>
      <c r="U279">
        <f>IF($N279="","",IF(Sync!$O279="",0,Sync!$O279))</f>
        <v/>
      </c>
      <c r="V279">
        <f>IF($N279="","",Sync!$L279)</f>
        <v/>
      </c>
      <c r="W279">
        <f>IF($N279="","",Sync!$P279)</f>
        <v/>
      </c>
      <c r="AA279">
        <f>IF($A279="","",IF(COUNTIF($A$6:$A279,$A279)=1,1,0))</f>
        <v/>
      </c>
      <c r="AB279">
        <f>SUM($AA$6:$AA279)</f>
        <v/>
      </c>
      <c r="AC279">
        <f>IFERROR(INDEX($A$6:$A$1005,MATCH(ROW()-5,$AB$6:$AB$1005,0)),"")</f>
        <v/>
      </c>
    </row>
    <row r="280">
      <c r="A280">
        <f>IF(OR(Entry!$B283="",Entry!$E283="",$E280="نامعتبر"),"",Entry!$E283)</f>
        <v/>
      </c>
      <c r="B280">
        <f>IF($A280="","",LEFT($E280,4)&amp;MID($E280,6,2)&amp;RIGHT($E280,2)&amp;$F280&amp;"|"&amp;"1"&amp;RIGHT("00000"&amp;275,5))</f>
        <v/>
      </c>
      <c r="C280">
        <f>IF($B280="","",COUNTIFS($A$6:$A$1005,$A280,$B$6:$B$1005,"&lt;"&amp;$B280)+COUNTIFS($N$6:$N$2005,$A280,$P$6:$P$2005,"&lt;"&amp;$B280)+1)</f>
        <v/>
      </c>
      <c r="D280">
        <f>IF($C280="","",$A280&amp;"|"&amp;RIGHT("000000"&amp;$C280,6))</f>
        <v/>
      </c>
      <c r="E280">
        <f>IF(Entry!$B283="","",IF(ISNUMBER(Entry!$B283),IF(AND(Entry!$B283&gt;=10000101,Entry!$B283&lt;=99991231),INT(Entry!$B283/10000)&amp;"/"&amp;RIGHT("00"&amp;INT(MOD(Entry!$B283,10000)/100),2)&amp;"/"&amp;RIGHT("00"&amp;MOD(Entry!$B283,100),2),"نامعتبر"),IF(LEN(Entry!$B283)=10,Entry!$B283,"نامعتبر")))</f>
        <v/>
      </c>
      <c r="F280">
        <f>IF(Entry!$B283="","",IF(Entry!$C283="","0000",IF(AND(ISNUMBER(Entry!$C283),Entry!$C283&gt;=0,Entry!$C283&lt;1),RIGHT("00"&amp;HOUR(Entry!$C283),2)&amp;RIGHT("00"&amp;MINUTE(Entry!$C283),2),IFERROR(RIGHT("00"&amp;VALUE(LEFT(Entry!$C283,FIND(":",Entry!$C283)-1)),2)&amp;RIGHT("00"&amp;VALUE(MID(Entry!$C283,FIND(":",Entry!$C283)+1,2)),2),"0000"))))</f>
        <v/>
      </c>
      <c r="G280">
        <f>IF($A280="","",Entry!$G283)</f>
        <v/>
      </c>
      <c r="H280">
        <f>IF($A280="","",IF(Entry!$H283="",0,Entry!$H283))</f>
        <v/>
      </c>
      <c r="I280">
        <f>IF($A280="","",IF(Entry!$I283="",0,Entry!$I283))</f>
        <v/>
      </c>
      <c r="J280">
        <f>IF($A280="","",ROUND($H280*$I280,0))</f>
        <v/>
      </c>
      <c r="K280">
        <f>IF($A280="","",Entry!$D283)</f>
        <v/>
      </c>
      <c r="L280">
        <f>IF($A280="","",Entry!$L283)</f>
        <v/>
      </c>
      <c r="N280">
        <f>IF(OR(Sync!$M280="",$Q280="",$Q280="نامعتبر"),"",Sync!$M280)</f>
        <v/>
      </c>
      <c r="O280">
        <f>IF($N280="","",$Q280)</f>
        <v/>
      </c>
      <c r="P280">
        <f>IF($N280="","",LEFT($Q280,4)&amp;MID($Q280,6,2)&amp;RIGHT($Q280,2)&amp;IF(Sync!$K280="","0000",IF(AND(ISNUMBER(Sync!$K280),Sync!$K280&gt;=0,Sync!$K280&lt;1),RIGHT("00"&amp;HOUR(Sync!$K280),2)&amp;RIGHT("00"&amp;MINUTE(Sync!$K280),2),IFERROR(RIGHT("00"&amp;VALUE(LEFT(Sync!$K280,FIND(":",Sync!$K280)-1)),2)&amp;RIGHT("00"&amp;VALUE(MID(Sync!$K280,FIND(":",Sync!$K280)+1,2)),2),"0000")))&amp;"|"&amp;"2"&amp;RIGHT("00000"&amp;275,5))</f>
        <v/>
      </c>
      <c r="Q280">
        <f>IF(Sync!$J280="","",IF(ISNUMBER(Sync!$J280),IF(AND(Sync!$J280&gt;=10000101,Sync!$J280&lt;=99991231),INT(Sync!$J280/10000)&amp;"/"&amp;RIGHT("00"&amp;INT(MOD(Sync!$J280,10000)/100),2)&amp;"/"&amp;RIGHT("00"&amp;MOD(Sync!$J280,100),2),"نامعتبر"),IF(LEN(Sync!$J280)=10,Sync!$J280,"نامعتبر")))</f>
        <v/>
      </c>
      <c r="R280">
        <f>IF($P280="","",COUNTIFS($N$6:$N$2005,$N280,$P$6:$P$2005,"&lt;"&amp;$P280)+COUNTIFS($A$6:$A$1005,$N280,$B$6:$B$1005,"&lt;"&amp;$P280)+1)</f>
        <v/>
      </c>
      <c r="S280">
        <f>IF($N280="","",$N280&amp;"|"&amp;RIGHT("000000"&amp;$R280,6))</f>
        <v/>
      </c>
      <c r="T280">
        <f>IF($N280="","",IF(Sync!$N280="",0,Sync!$N280))</f>
        <v/>
      </c>
      <c r="U280">
        <f>IF($N280="","",IF(Sync!$O280="",0,Sync!$O280))</f>
        <v/>
      </c>
      <c r="V280">
        <f>IF($N280="","",Sync!$L280)</f>
        <v/>
      </c>
      <c r="W280">
        <f>IF($N280="","",Sync!$P280)</f>
        <v/>
      </c>
      <c r="AA280">
        <f>IF($A280="","",IF(COUNTIF($A$6:$A280,$A280)=1,1,0))</f>
        <v/>
      </c>
      <c r="AB280">
        <f>SUM($AA$6:$AA280)</f>
        <v/>
      </c>
      <c r="AC280">
        <f>IFERROR(INDEX($A$6:$A$1005,MATCH(ROW()-5,$AB$6:$AB$1005,0)),"")</f>
        <v/>
      </c>
    </row>
    <row r="281">
      <c r="A281">
        <f>IF(OR(Entry!$B284="",Entry!$E284="",$E281="نامعتبر"),"",Entry!$E284)</f>
        <v/>
      </c>
      <c r="B281">
        <f>IF($A281="","",LEFT($E281,4)&amp;MID($E281,6,2)&amp;RIGHT($E281,2)&amp;$F281&amp;"|"&amp;"1"&amp;RIGHT("00000"&amp;276,5))</f>
        <v/>
      </c>
      <c r="C281">
        <f>IF($B281="","",COUNTIFS($A$6:$A$1005,$A281,$B$6:$B$1005,"&lt;"&amp;$B281)+COUNTIFS($N$6:$N$2005,$A281,$P$6:$P$2005,"&lt;"&amp;$B281)+1)</f>
        <v/>
      </c>
      <c r="D281">
        <f>IF($C281="","",$A281&amp;"|"&amp;RIGHT("000000"&amp;$C281,6))</f>
        <v/>
      </c>
      <c r="E281">
        <f>IF(Entry!$B284="","",IF(ISNUMBER(Entry!$B284),IF(AND(Entry!$B284&gt;=10000101,Entry!$B284&lt;=99991231),INT(Entry!$B284/10000)&amp;"/"&amp;RIGHT("00"&amp;INT(MOD(Entry!$B284,10000)/100),2)&amp;"/"&amp;RIGHT("00"&amp;MOD(Entry!$B284,100),2),"نامعتبر"),IF(LEN(Entry!$B284)=10,Entry!$B284,"نامعتبر")))</f>
        <v/>
      </c>
      <c r="F281">
        <f>IF(Entry!$B284="","",IF(Entry!$C284="","0000",IF(AND(ISNUMBER(Entry!$C284),Entry!$C284&gt;=0,Entry!$C284&lt;1),RIGHT("00"&amp;HOUR(Entry!$C284),2)&amp;RIGHT("00"&amp;MINUTE(Entry!$C284),2),IFERROR(RIGHT("00"&amp;VALUE(LEFT(Entry!$C284,FIND(":",Entry!$C284)-1)),2)&amp;RIGHT("00"&amp;VALUE(MID(Entry!$C284,FIND(":",Entry!$C284)+1,2)),2),"0000"))))</f>
        <v/>
      </c>
      <c r="G281">
        <f>IF($A281="","",Entry!$G284)</f>
        <v/>
      </c>
      <c r="H281">
        <f>IF($A281="","",IF(Entry!$H284="",0,Entry!$H284))</f>
        <v/>
      </c>
      <c r="I281">
        <f>IF($A281="","",IF(Entry!$I284="",0,Entry!$I284))</f>
        <v/>
      </c>
      <c r="J281">
        <f>IF($A281="","",ROUND($H281*$I281,0))</f>
        <v/>
      </c>
      <c r="K281">
        <f>IF($A281="","",Entry!$D284)</f>
        <v/>
      </c>
      <c r="L281">
        <f>IF($A281="","",Entry!$L284)</f>
        <v/>
      </c>
      <c r="N281">
        <f>IF(OR(Sync!$M281="",$Q281="",$Q281="نامعتبر"),"",Sync!$M281)</f>
        <v/>
      </c>
      <c r="O281">
        <f>IF($N281="","",$Q281)</f>
        <v/>
      </c>
      <c r="P281">
        <f>IF($N281="","",LEFT($Q281,4)&amp;MID($Q281,6,2)&amp;RIGHT($Q281,2)&amp;IF(Sync!$K281="","0000",IF(AND(ISNUMBER(Sync!$K281),Sync!$K281&gt;=0,Sync!$K281&lt;1),RIGHT("00"&amp;HOUR(Sync!$K281),2)&amp;RIGHT("00"&amp;MINUTE(Sync!$K281),2),IFERROR(RIGHT("00"&amp;VALUE(LEFT(Sync!$K281,FIND(":",Sync!$K281)-1)),2)&amp;RIGHT("00"&amp;VALUE(MID(Sync!$K281,FIND(":",Sync!$K281)+1,2)),2),"0000")))&amp;"|"&amp;"2"&amp;RIGHT("00000"&amp;276,5))</f>
        <v/>
      </c>
      <c r="Q281">
        <f>IF(Sync!$J281="","",IF(ISNUMBER(Sync!$J281),IF(AND(Sync!$J281&gt;=10000101,Sync!$J281&lt;=99991231),INT(Sync!$J281/10000)&amp;"/"&amp;RIGHT("00"&amp;INT(MOD(Sync!$J281,10000)/100),2)&amp;"/"&amp;RIGHT("00"&amp;MOD(Sync!$J281,100),2),"نامعتبر"),IF(LEN(Sync!$J281)=10,Sync!$J281,"نامعتبر")))</f>
        <v/>
      </c>
      <c r="R281">
        <f>IF($P281="","",COUNTIFS($N$6:$N$2005,$N281,$P$6:$P$2005,"&lt;"&amp;$P281)+COUNTIFS($A$6:$A$1005,$N281,$B$6:$B$1005,"&lt;"&amp;$P281)+1)</f>
        <v/>
      </c>
      <c r="S281">
        <f>IF($N281="","",$N281&amp;"|"&amp;RIGHT("000000"&amp;$R281,6))</f>
        <v/>
      </c>
      <c r="T281">
        <f>IF($N281="","",IF(Sync!$N281="",0,Sync!$N281))</f>
        <v/>
      </c>
      <c r="U281">
        <f>IF($N281="","",IF(Sync!$O281="",0,Sync!$O281))</f>
        <v/>
      </c>
      <c r="V281">
        <f>IF($N281="","",Sync!$L281)</f>
        <v/>
      </c>
      <c r="W281">
        <f>IF($N281="","",Sync!$P281)</f>
        <v/>
      </c>
      <c r="AA281">
        <f>IF($A281="","",IF(COUNTIF($A$6:$A281,$A281)=1,1,0))</f>
        <v/>
      </c>
      <c r="AB281">
        <f>SUM($AA$6:$AA281)</f>
        <v/>
      </c>
      <c r="AC281">
        <f>IFERROR(INDEX($A$6:$A$1005,MATCH(ROW()-5,$AB$6:$AB$1005,0)),"")</f>
        <v/>
      </c>
    </row>
    <row r="282">
      <c r="A282">
        <f>IF(OR(Entry!$B285="",Entry!$E285="",$E282="نامعتبر"),"",Entry!$E285)</f>
        <v/>
      </c>
      <c r="B282">
        <f>IF($A282="","",LEFT($E282,4)&amp;MID($E282,6,2)&amp;RIGHT($E282,2)&amp;$F282&amp;"|"&amp;"1"&amp;RIGHT("00000"&amp;277,5))</f>
        <v/>
      </c>
      <c r="C282">
        <f>IF($B282="","",COUNTIFS($A$6:$A$1005,$A282,$B$6:$B$1005,"&lt;"&amp;$B282)+COUNTIFS($N$6:$N$2005,$A282,$P$6:$P$2005,"&lt;"&amp;$B282)+1)</f>
        <v/>
      </c>
      <c r="D282">
        <f>IF($C282="","",$A282&amp;"|"&amp;RIGHT("000000"&amp;$C282,6))</f>
        <v/>
      </c>
      <c r="E282">
        <f>IF(Entry!$B285="","",IF(ISNUMBER(Entry!$B285),IF(AND(Entry!$B285&gt;=10000101,Entry!$B285&lt;=99991231),INT(Entry!$B285/10000)&amp;"/"&amp;RIGHT("00"&amp;INT(MOD(Entry!$B285,10000)/100),2)&amp;"/"&amp;RIGHT("00"&amp;MOD(Entry!$B285,100),2),"نامعتبر"),IF(LEN(Entry!$B285)=10,Entry!$B285,"نامعتبر")))</f>
        <v/>
      </c>
      <c r="F282">
        <f>IF(Entry!$B285="","",IF(Entry!$C285="","0000",IF(AND(ISNUMBER(Entry!$C285),Entry!$C285&gt;=0,Entry!$C285&lt;1),RIGHT("00"&amp;HOUR(Entry!$C285),2)&amp;RIGHT("00"&amp;MINUTE(Entry!$C285),2),IFERROR(RIGHT("00"&amp;VALUE(LEFT(Entry!$C285,FIND(":",Entry!$C285)-1)),2)&amp;RIGHT("00"&amp;VALUE(MID(Entry!$C285,FIND(":",Entry!$C285)+1,2)),2),"0000"))))</f>
        <v/>
      </c>
      <c r="G282">
        <f>IF($A282="","",Entry!$G285)</f>
        <v/>
      </c>
      <c r="H282">
        <f>IF($A282="","",IF(Entry!$H285="",0,Entry!$H285))</f>
        <v/>
      </c>
      <c r="I282">
        <f>IF($A282="","",IF(Entry!$I285="",0,Entry!$I285))</f>
        <v/>
      </c>
      <c r="J282">
        <f>IF($A282="","",ROUND($H282*$I282,0))</f>
        <v/>
      </c>
      <c r="K282">
        <f>IF($A282="","",Entry!$D285)</f>
        <v/>
      </c>
      <c r="L282">
        <f>IF($A282="","",Entry!$L285)</f>
        <v/>
      </c>
      <c r="N282">
        <f>IF(OR(Sync!$M282="",$Q282="",$Q282="نامعتبر"),"",Sync!$M282)</f>
        <v/>
      </c>
      <c r="O282">
        <f>IF($N282="","",$Q282)</f>
        <v/>
      </c>
      <c r="P282">
        <f>IF($N282="","",LEFT($Q282,4)&amp;MID($Q282,6,2)&amp;RIGHT($Q282,2)&amp;IF(Sync!$K282="","0000",IF(AND(ISNUMBER(Sync!$K282),Sync!$K282&gt;=0,Sync!$K282&lt;1),RIGHT("00"&amp;HOUR(Sync!$K282),2)&amp;RIGHT("00"&amp;MINUTE(Sync!$K282),2),IFERROR(RIGHT("00"&amp;VALUE(LEFT(Sync!$K282,FIND(":",Sync!$K282)-1)),2)&amp;RIGHT("00"&amp;VALUE(MID(Sync!$K282,FIND(":",Sync!$K282)+1,2)),2),"0000")))&amp;"|"&amp;"2"&amp;RIGHT("00000"&amp;277,5))</f>
        <v/>
      </c>
      <c r="Q282">
        <f>IF(Sync!$J282="","",IF(ISNUMBER(Sync!$J282),IF(AND(Sync!$J282&gt;=10000101,Sync!$J282&lt;=99991231),INT(Sync!$J282/10000)&amp;"/"&amp;RIGHT("00"&amp;INT(MOD(Sync!$J282,10000)/100),2)&amp;"/"&amp;RIGHT("00"&amp;MOD(Sync!$J282,100),2),"نامعتبر"),IF(LEN(Sync!$J282)=10,Sync!$J282,"نامعتبر")))</f>
        <v/>
      </c>
      <c r="R282">
        <f>IF($P282="","",COUNTIFS($N$6:$N$2005,$N282,$P$6:$P$2005,"&lt;"&amp;$P282)+COUNTIFS($A$6:$A$1005,$N282,$B$6:$B$1005,"&lt;"&amp;$P282)+1)</f>
        <v/>
      </c>
      <c r="S282">
        <f>IF($N282="","",$N282&amp;"|"&amp;RIGHT("000000"&amp;$R282,6))</f>
        <v/>
      </c>
      <c r="T282">
        <f>IF($N282="","",IF(Sync!$N282="",0,Sync!$N282))</f>
        <v/>
      </c>
      <c r="U282">
        <f>IF($N282="","",IF(Sync!$O282="",0,Sync!$O282))</f>
        <v/>
      </c>
      <c r="V282">
        <f>IF($N282="","",Sync!$L282)</f>
        <v/>
      </c>
      <c r="W282">
        <f>IF($N282="","",Sync!$P282)</f>
        <v/>
      </c>
      <c r="AA282">
        <f>IF($A282="","",IF(COUNTIF($A$6:$A282,$A282)=1,1,0))</f>
        <v/>
      </c>
      <c r="AB282">
        <f>SUM($AA$6:$AA282)</f>
        <v/>
      </c>
      <c r="AC282">
        <f>IFERROR(INDEX($A$6:$A$1005,MATCH(ROW()-5,$AB$6:$AB$1005,0)),"")</f>
        <v/>
      </c>
    </row>
    <row r="283">
      <c r="A283">
        <f>IF(OR(Entry!$B286="",Entry!$E286="",$E283="نامعتبر"),"",Entry!$E286)</f>
        <v/>
      </c>
      <c r="B283">
        <f>IF($A283="","",LEFT($E283,4)&amp;MID($E283,6,2)&amp;RIGHT($E283,2)&amp;$F283&amp;"|"&amp;"1"&amp;RIGHT("00000"&amp;278,5))</f>
        <v/>
      </c>
      <c r="C283">
        <f>IF($B283="","",COUNTIFS($A$6:$A$1005,$A283,$B$6:$B$1005,"&lt;"&amp;$B283)+COUNTIFS($N$6:$N$2005,$A283,$P$6:$P$2005,"&lt;"&amp;$B283)+1)</f>
        <v/>
      </c>
      <c r="D283">
        <f>IF($C283="","",$A283&amp;"|"&amp;RIGHT("000000"&amp;$C283,6))</f>
        <v/>
      </c>
      <c r="E283">
        <f>IF(Entry!$B286="","",IF(ISNUMBER(Entry!$B286),IF(AND(Entry!$B286&gt;=10000101,Entry!$B286&lt;=99991231),INT(Entry!$B286/10000)&amp;"/"&amp;RIGHT("00"&amp;INT(MOD(Entry!$B286,10000)/100),2)&amp;"/"&amp;RIGHT("00"&amp;MOD(Entry!$B286,100),2),"نامعتبر"),IF(LEN(Entry!$B286)=10,Entry!$B286,"نامعتبر")))</f>
        <v/>
      </c>
      <c r="F283">
        <f>IF(Entry!$B286="","",IF(Entry!$C286="","0000",IF(AND(ISNUMBER(Entry!$C286),Entry!$C286&gt;=0,Entry!$C286&lt;1),RIGHT("00"&amp;HOUR(Entry!$C286),2)&amp;RIGHT("00"&amp;MINUTE(Entry!$C286),2),IFERROR(RIGHT("00"&amp;VALUE(LEFT(Entry!$C286,FIND(":",Entry!$C286)-1)),2)&amp;RIGHT("00"&amp;VALUE(MID(Entry!$C286,FIND(":",Entry!$C286)+1,2)),2),"0000"))))</f>
        <v/>
      </c>
      <c r="G283">
        <f>IF($A283="","",Entry!$G286)</f>
        <v/>
      </c>
      <c r="H283">
        <f>IF($A283="","",IF(Entry!$H286="",0,Entry!$H286))</f>
        <v/>
      </c>
      <c r="I283">
        <f>IF($A283="","",IF(Entry!$I286="",0,Entry!$I286))</f>
        <v/>
      </c>
      <c r="J283">
        <f>IF($A283="","",ROUND($H283*$I283,0))</f>
        <v/>
      </c>
      <c r="K283">
        <f>IF($A283="","",Entry!$D286)</f>
        <v/>
      </c>
      <c r="L283">
        <f>IF($A283="","",Entry!$L286)</f>
        <v/>
      </c>
      <c r="N283">
        <f>IF(OR(Sync!$M283="",$Q283="",$Q283="نامعتبر"),"",Sync!$M283)</f>
        <v/>
      </c>
      <c r="O283">
        <f>IF($N283="","",$Q283)</f>
        <v/>
      </c>
      <c r="P283">
        <f>IF($N283="","",LEFT($Q283,4)&amp;MID($Q283,6,2)&amp;RIGHT($Q283,2)&amp;IF(Sync!$K283="","0000",IF(AND(ISNUMBER(Sync!$K283),Sync!$K283&gt;=0,Sync!$K283&lt;1),RIGHT("00"&amp;HOUR(Sync!$K283),2)&amp;RIGHT("00"&amp;MINUTE(Sync!$K283),2),IFERROR(RIGHT("00"&amp;VALUE(LEFT(Sync!$K283,FIND(":",Sync!$K283)-1)),2)&amp;RIGHT("00"&amp;VALUE(MID(Sync!$K283,FIND(":",Sync!$K283)+1,2)),2),"0000")))&amp;"|"&amp;"2"&amp;RIGHT("00000"&amp;278,5))</f>
        <v/>
      </c>
      <c r="Q283">
        <f>IF(Sync!$J283="","",IF(ISNUMBER(Sync!$J283),IF(AND(Sync!$J283&gt;=10000101,Sync!$J283&lt;=99991231),INT(Sync!$J283/10000)&amp;"/"&amp;RIGHT("00"&amp;INT(MOD(Sync!$J283,10000)/100),2)&amp;"/"&amp;RIGHT("00"&amp;MOD(Sync!$J283,100),2),"نامعتبر"),IF(LEN(Sync!$J283)=10,Sync!$J283,"نامعتبر")))</f>
        <v/>
      </c>
      <c r="R283">
        <f>IF($P283="","",COUNTIFS($N$6:$N$2005,$N283,$P$6:$P$2005,"&lt;"&amp;$P283)+COUNTIFS($A$6:$A$1005,$N283,$B$6:$B$1005,"&lt;"&amp;$P283)+1)</f>
        <v/>
      </c>
      <c r="S283">
        <f>IF($N283="","",$N283&amp;"|"&amp;RIGHT("000000"&amp;$R283,6))</f>
        <v/>
      </c>
      <c r="T283">
        <f>IF($N283="","",IF(Sync!$N283="",0,Sync!$N283))</f>
        <v/>
      </c>
      <c r="U283">
        <f>IF($N283="","",IF(Sync!$O283="",0,Sync!$O283))</f>
        <v/>
      </c>
      <c r="V283">
        <f>IF($N283="","",Sync!$L283)</f>
        <v/>
      </c>
      <c r="W283">
        <f>IF($N283="","",Sync!$P283)</f>
        <v/>
      </c>
      <c r="AA283">
        <f>IF($A283="","",IF(COUNTIF($A$6:$A283,$A283)=1,1,0))</f>
        <v/>
      </c>
      <c r="AB283">
        <f>SUM($AA$6:$AA283)</f>
        <v/>
      </c>
      <c r="AC283">
        <f>IFERROR(INDEX($A$6:$A$1005,MATCH(ROW()-5,$AB$6:$AB$1005,0)),"")</f>
        <v/>
      </c>
    </row>
    <row r="284">
      <c r="A284">
        <f>IF(OR(Entry!$B287="",Entry!$E287="",$E284="نامعتبر"),"",Entry!$E287)</f>
        <v/>
      </c>
      <c r="B284">
        <f>IF($A284="","",LEFT($E284,4)&amp;MID($E284,6,2)&amp;RIGHT($E284,2)&amp;$F284&amp;"|"&amp;"1"&amp;RIGHT("00000"&amp;279,5))</f>
        <v/>
      </c>
      <c r="C284">
        <f>IF($B284="","",COUNTIFS($A$6:$A$1005,$A284,$B$6:$B$1005,"&lt;"&amp;$B284)+COUNTIFS($N$6:$N$2005,$A284,$P$6:$P$2005,"&lt;"&amp;$B284)+1)</f>
        <v/>
      </c>
      <c r="D284">
        <f>IF($C284="","",$A284&amp;"|"&amp;RIGHT("000000"&amp;$C284,6))</f>
        <v/>
      </c>
      <c r="E284">
        <f>IF(Entry!$B287="","",IF(ISNUMBER(Entry!$B287),IF(AND(Entry!$B287&gt;=10000101,Entry!$B287&lt;=99991231),INT(Entry!$B287/10000)&amp;"/"&amp;RIGHT("00"&amp;INT(MOD(Entry!$B287,10000)/100),2)&amp;"/"&amp;RIGHT("00"&amp;MOD(Entry!$B287,100),2),"نامعتبر"),IF(LEN(Entry!$B287)=10,Entry!$B287,"نامعتبر")))</f>
        <v/>
      </c>
      <c r="F284">
        <f>IF(Entry!$B287="","",IF(Entry!$C287="","0000",IF(AND(ISNUMBER(Entry!$C287),Entry!$C287&gt;=0,Entry!$C287&lt;1),RIGHT("00"&amp;HOUR(Entry!$C287),2)&amp;RIGHT("00"&amp;MINUTE(Entry!$C287),2),IFERROR(RIGHT("00"&amp;VALUE(LEFT(Entry!$C287,FIND(":",Entry!$C287)-1)),2)&amp;RIGHT("00"&amp;VALUE(MID(Entry!$C287,FIND(":",Entry!$C287)+1,2)),2),"0000"))))</f>
        <v/>
      </c>
      <c r="G284">
        <f>IF($A284="","",Entry!$G287)</f>
        <v/>
      </c>
      <c r="H284">
        <f>IF($A284="","",IF(Entry!$H287="",0,Entry!$H287))</f>
        <v/>
      </c>
      <c r="I284">
        <f>IF($A284="","",IF(Entry!$I287="",0,Entry!$I287))</f>
        <v/>
      </c>
      <c r="J284">
        <f>IF($A284="","",ROUND($H284*$I284,0))</f>
        <v/>
      </c>
      <c r="K284">
        <f>IF($A284="","",Entry!$D287)</f>
        <v/>
      </c>
      <c r="L284">
        <f>IF($A284="","",Entry!$L287)</f>
        <v/>
      </c>
      <c r="N284">
        <f>IF(OR(Sync!$M284="",$Q284="",$Q284="نامعتبر"),"",Sync!$M284)</f>
        <v/>
      </c>
      <c r="O284">
        <f>IF($N284="","",$Q284)</f>
        <v/>
      </c>
      <c r="P284">
        <f>IF($N284="","",LEFT($Q284,4)&amp;MID($Q284,6,2)&amp;RIGHT($Q284,2)&amp;IF(Sync!$K284="","0000",IF(AND(ISNUMBER(Sync!$K284),Sync!$K284&gt;=0,Sync!$K284&lt;1),RIGHT("00"&amp;HOUR(Sync!$K284),2)&amp;RIGHT("00"&amp;MINUTE(Sync!$K284),2),IFERROR(RIGHT("00"&amp;VALUE(LEFT(Sync!$K284,FIND(":",Sync!$K284)-1)),2)&amp;RIGHT("00"&amp;VALUE(MID(Sync!$K284,FIND(":",Sync!$K284)+1,2)),2),"0000")))&amp;"|"&amp;"2"&amp;RIGHT("00000"&amp;279,5))</f>
        <v/>
      </c>
      <c r="Q284">
        <f>IF(Sync!$J284="","",IF(ISNUMBER(Sync!$J284),IF(AND(Sync!$J284&gt;=10000101,Sync!$J284&lt;=99991231),INT(Sync!$J284/10000)&amp;"/"&amp;RIGHT("00"&amp;INT(MOD(Sync!$J284,10000)/100),2)&amp;"/"&amp;RIGHT("00"&amp;MOD(Sync!$J284,100),2),"نامعتبر"),IF(LEN(Sync!$J284)=10,Sync!$J284,"نامعتبر")))</f>
        <v/>
      </c>
      <c r="R284">
        <f>IF($P284="","",COUNTIFS($N$6:$N$2005,$N284,$P$6:$P$2005,"&lt;"&amp;$P284)+COUNTIFS($A$6:$A$1005,$N284,$B$6:$B$1005,"&lt;"&amp;$P284)+1)</f>
        <v/>
      </c>
      <c r="S284">
        <f>IF($N284="","",$N284&amp;"|"&amp;RIGHT("000000"&amp;$R284,6))</f>
        <v/>
      </c>
      <c r="T284">
        <f>IF($N284="","",IF(Sync!$N284="",0,Sync!$N284))</f>
        <v/>
      </c>
      <c r="U284">
        <f>IF($N284="","",IF(Sync!$O284="",0,Sync!$O284))</f>
        <v/>
      </c>
      <c r="V284">
        <f>IF($N284="","",Sync!$L284)</f>
        <v/>
      </c>
      <c r="W284">
        <f>IF($N284="","",Sync!$P284)</f>
        <v/>
      </c>
      <c r="AA284">
        <f>IF($A284="","",IF(COUNTIF($A$6:$A284,$A284)=1,1,0))</f>
        <v/>
      </c>
      <c r="AB284">
        <f>SUM($AA$6:$AA284)</f>
        <v/>
      </c>
      <c r="AC284">
        <f>IFERROR(INDEX($A$6:$A$1005,MATCH(ROW()-5,$AB$6:$AB$1005,0)),"")</f>
        <v/>
      </c>
    </row>
    <row r="285">
      <c r="A285">
        <f>IF(OR(Entry!$B288="",Entry!$E288="",$E285="نامعتبر"),"",Entry!$E288)</f>
        <v/>
      </c>
      <c r="B285">
        <f>IF($A285="","",LEFT($E285,4)&amp;MID($E285,6,2)&amp;RIGHT($E285,2)&amp;$F285&amp;"|"&amp;"1"&amp;RIGHT("00000"&amp;280,5))</f>
        <v/>
      </c>
      <c r="C285">
        <f>IF($B285="","",COUNTIFS($A$6:$A$1005,$A285,$B$6:$B$1005,"&lt;"&amp;$B285)+COUNTIFS($N$6:$N$2005,$A285,$P$6:$P$2005,"&lt;"&amp;$B285)+1)</f>
        <v/>
      </c>
      <c r="D285">
        <f>IF($C285="","",$A285&amp;"|"&amp;RIGHT("000000"&amp;$C285,6))</f>
        <v/>
      </c>
      <c r="E285">
        <f>IF(Entry!$B288="","",IF(ISNUMBER(Entry!$B288),IF(AND(Entry!$B288&gt;=10000101,Entry!$B288&lt;=99991231),INT(Entry!$B288/10000)&amp;"/"&amp;RIGHT("00"&amp;INT(MOD(Entry!$B288,10000)/100),2)&amp;"/"&amp;RIGHT("00"&amp;MOD(Entry!$B288,100),2),"نامعتبر"),IF(LEN(Entry!$B288)=10,Entry!$B288,"نامعتبر")))</f>
        <v/>
      </c>
      <c r="F285">
        <f>IF(Entry!$B288="","",IF(Entry!$C288="","0000",IF(AND(ISNUMBER(Entry!$C288),Entry!$C288&gt;=0,Entry!$C288&lt;1),RIGHT("00"&amp;HOUR(Entry!$C288),2)&amp;RIGHT("00"&amp;MINUTE(Entry!$C288),2),IFERROR(RIGHT("00"&amp;VALUE(LEFT(Entry!$C288,FIND(":",Entry!$C288)-1)),2)&amp;RIGHT("00"&amp;VALUE(MID(Entry!$C288,FIND(":",Entry!$C288)+1,2)),2),"0000"))))</f>
        <v/>
      </c>
      <c r="G285">
        <f>IF($A285="","",Entry!$G288)</f>
        <v/>
      </c>
      <c r="H285">
        <f>IF($A285="","",IF(Entry!$H288="",0,Entry!$H288))</f>
        <v/>
      </c>
      <c r="I285">
        <f>IF($A285="","",IF(Entry!$I288="",0,Entry!$I288))</f>
        <v/>
      </c>
      <c r="J285">
        <f>IF($A285="","",ROUND($H285*$I285,0))</f>
        <v/>
      </c>
      <c r="K285">
        <f>IF($A285="","",Entry!$D288)</f>
        <v/>
      </c>
      <c r="L285">
        <f>IF($A285="","",Entry!$L288)</f>
        <v/>
      </c>
      <c r="N285">
        <f>IF(OR(Sync!$M285="",$Q285="",$Q285="نامعتبر"),"",Sync!$M285)</f>
        <v/>
      </c>
      <c r="O285">
        <f>IF($N285="","",$Q285)</f>
        <v/>
      </c>
      <c r="P285">
        <f>IF($N285="","",LEFT($Q285,4)&amp;MID($Q285,6,2)&amp;RIGHT($Q285,2)&amp;IF(Sync!$K285="","0000",IF(AND(ISNUMBER(Sync!$K285),Sync!$K285&gt;=0,Sync!$K285&lt;1),RIGHT("00"&amp;HOUR(Sync!$K285),2)&amp;RIGHT("00"&amp;MINUTE(Sync!$K285),2),IFERROR(RIGHT("00"&amp;VALUE(LEFT(Sync!$K285,FIND(":",Sync!$K285)-1)),2)&amp;RIGHT("00"&amp;VALUE(MID(Sync!$K285,FIND(":",Sync!$K285)+1,2)),2),"0000")))&amp;"|"&amp;"2"&amp;RIGHT("00000"&amp;280,5))</f>
        <v/>
      </c>
      <c r="Q285">
        <f>IF(Sync!$J285="","",IF(ISNUMBER(Sync!$J285),IF(AND(Sync!$J285&gt;=10000101,Sync!$J285&lt;=99991231),INT(Sync!$J285/10000)&amp;"/"&amp;RIGHT("00"&amp;INT(MOD(Sync!$J285,10000)/100),2)&amp;"/"&amp;RIGHT("00"&amp;MOD(Sync!$J285,100),2),"نامعتبر"),IF(LEN(Sync!$J285)=10,Sync!$J285,"نامعتبر")))</f>
        <v/>
      </c>
      <c r="R285">
        <f>IF($P285="","",COUNTIFS($N$6:$N$2005,$N285,$P$6:$P$2005,"&lt;"&amp;$P285)+COUNTIFS($A$6:$A$1005,$N285,$B$6:$B$1005,"&lt;"&amp;$P285)+1)</f>
        <v/>
      </c>
      <c r="S285">
        <f>IF($N285="","",$N285&amp;"|"&amp;RIGHT("000000"&amp;$R285,6))</f>
        <v/>
      </c>
      <c r="T285">
        <f>IF($N285="","",IF(Sync!$N285="",0,Sync!$N285))</f>
        <v/>
      </c>
      <c r="U285">
        <f>IF($N285="","",IF(Sync!$O285="",0,Sync!$O285))</f>
        <v/>
      </c>
      <c r="V285">
        <f>IF($N285="","",Sync!$L285)</f>
        <v/>
      </c>
      <c r="W285">
        <f>IF($N285="","",Sync!$P285)</f>
        <v/>
      </c>
      <c r="AA285">
        <f>IF($A285="","",IF(COUNTIF($A$6:$A285,$A285)=1,1,0))</f>
        <v/>
      </c>
      <c r="AB285">
        <f>SUM($AA$6:$AA285)</f>
        <v/>
      </c>
      <c r="AC285">
        <f>IFERROR(INDEX($A$6:$A$1005,MATCH(ROW()-5,$AB$6:$AB$1005,0)),"")</f>
        <v/>
      </c>
    </row>
    <row r="286">
      <c r="A286">
        <f>IF(OR(Entry!$B289="",Entry!$E289="",$E286="نامعتبر"),"",Entry!$E289)</f>
        <v/>
      </c>
      <c r="B286">
        <f>IF($A286="","",LEFT($E286,4)&amp;MID($E286,6,2)&amp;RIGHT($E286,2)&amp;$F286&amp;"|"&amp;"1"&amp;RIGHT("00000"&amp;281,5))</f>
        <v/>
      </c>
      <c r="C286">
        <f>IF($B286="","",COUNTIFS($A$6:$A$1005,$A286,$B$6:$B$1005,"&lt;"&amp;$B286)+COUNTIFS($N$6:$N$2005,$A286,$P$6:$P$2005,"&lt;"&amp;$B286)+1)</f>
        <v/>
      </c>
      <c r="D286">
        <f>IF($C286="","",$A286&amp;"|"&amp;RIGHT("000000"&amp;$C286,6))</f>
        <v/>
      </c>
      <c r="E286">
        <f>IF(Entry!$B289="","",IF(ISNUMBER(Entry!$B289),IF(AND(Entry!$B289&gt;=10000101,Entry!$B289&lt;=99991231),INT(Entry!$B289/10000)&amp;"/"&amp;RIGHT("00"&amp;INT(MOD(Entry!$B289,10000)/100),2)&amp;"/"&amp;RIGHT("00"&amp;MOD(Entry!$B289,100),2),"نامعتبر"),IF(LEN(Entry!$B289)=10,Entry!$B289,"نامعتبر")))</f>
        <v/>
      </c>
      <c r="F286">
        <f>IF(Entry!$B289="","",IF(Entry!$C289="","0000",IF(AND(ISNUMBER(Entry!$C289),Entry!$C289&gt;=0,Entry!$C289&lt;1),RIGHT("00"&amp;HOUR(Entry!$C289),2)&amp;RIGHT("00"&amp;MINUTE(Entry!$C289),2),IFERROR(RIGHT("00"&amp;VALUE(LEFT(Entry!$C289,FIND(":",Entry!$C289)-1)),2)&amp;RIGHT("00"&amp;VALUE(MID(Entry!$C289,FIND(":",Entry!$C289)+1,2)),2),"0000"))))</f>
        <v/>
      </c>
      <c r="G286">
        <f>IF($A286="","",Entry!$G289)</f>
        <v/>
      </c>
      <c r="H286">
        <f>IF($A286="","",IF(Entry!$H289="",0,Entry!$H289))</f>
        <v/>
      </c>
      <c r="I286">
        <f>IF($A286="","",IF(Entry!$I289="",0,Entry!$I289))</f>
        <v/>
      </c>
      <c r="J286">
        <f>IF($A286="","",ROUND($H286*$I286,0))</f>
        <v/>
      </c>
      <c r="K286">
        <f>IF($A286="","",Entry!$D289)</f>
        <v/>
      </c>
      <c r="L286">
        <f>IF($A286="","",Entry!$L289)</f>
        <v/>
      </c>
      <c r="N286">
        <f>IF(OR(Sync!$M286="",$Q286="",$Q286="نامعتبر"),"",Sync!$M286)</f>
        <v/>
      </c>
      <c r="O286">
        <f>IF($N286="","",$Q286)</f>
        <v/>
      </c>
      <c r="P286">
        <f>IF($N286="","",LEFT($Q286,4)&amp;MID($Q286,6,2)&amp;RIGHT($Q286,2)&amp;IF(Sync!$K286="","0000",IF(AND(ISNUMBER(Sync!$K286),Sync!$K286&gt;=0,Sync!$K286&lt;1),RIGHT("00"&amp;HOUR(Sync!$K286),2)&amp;RIGHT("00"&amp;MINUTE(Sync!$K286),2),IFERROR(RIGHT("00"&amp;VALUE(LEFT(Sync!$K286,FIND(":",Sync!$K286)-1)),2)&amp;RIGHT("00"&amp;VALUE(MID(Sync!$K286,FIND(":",Sync!$K286)+1,2)),2),"0000")))&amp;"|"&amp;"2"&amp;RIGHT("00000"&amp;281,5))</f>
        <v/>
      </c>
      <c r="Q286">
        <f>IF(Sync!$J286="","",IF(ISNUMBER(Sync!$J286),IF(AND(Sync!$J286&gt;=10000101,Sync!$J286&lt;=99991231),INT(Sync!$J286/10000)&amp;"/"&amp;RIGHT("00"&amp;INT(MOD(Sync!$J286,10000)/100),2)&amp;"/"&amp;RIGHT("00"&amp;MOD(Sync!$J286,100),2),"نامعتبر"),IF(LEN(Sync!$J286)=10,Sync!$J286,"نامعتبر")))</f>
        <v/>
      </c>
      <c r="R286">
        <f>IF($P286="","",COUNTIFS($N$6:$N$2005,$N286,$P$6:$P$2005,"&lt;"&amp;$P286)+COUNTIFS($A$6:$A$1005,$N286,$B$6:$B$1005,"&lt;"&amp;$P286)+1)</f>
        <v/>
      </c>
      <c r="S286">
        <f>IF($N286="","",$N286&amp;"|"&amp;RIGHT("000000"&amp;$R286,6))</f>
        <v/>
      </c>
      <c r="T286">
        <f>IF($N286="","",IF(Sync!$N286="",0,Sync!$N286))</f>
        <v/>
      </c>
      <c r="U286">
        <f>IF($N286="","",IF(Sync!$O286="",0,Sync!$O286))</f>
        <v/>
      </c>
      <c r="V286">
        <f>IF($N286="","",Sync!$L286)</f>
        <v/>
      </c>
      <c r="W286">
        <f>IF($N286="","",Sync!$P286)</f>
        <v/>
      </c>
      <c r="AA286">
        <f>IF($A286="","",IF(COUNTIF($A$6:$A286,$A286)=1,1,0))</f>
        <v/>
      </c>
      <c r="AB286">
        <f>SUM($AA$6:$AA286)</f>
        <v/>
      </c>
      <c r="AC286">
        <f>IFERROR(INDEX($A$6:$A$1005,MATCH(ROW()-5,$AB$6:$AB$1005,0)),"")</f>
        <v/>
      </c>
    </row>
    <row r="287">
      <c r="A287">
        <f>IF(OR(Entry!$B290="",Entry!$E290="",$E287="نامعتبر"),"",Entry!$E290)</f>
        <v/>
      </c>
      <c r="B287">
        <f>IF($A287="","",LEFT($E287,4)&amp;MID($E287,6,2)&amp;RIGHT($E287,2)&amp;$F287&amp;"|"&amp;"1"&amp;RIGHT("00000"&amp;282,5))</f>
        <v/>
      </c>
      <c r="C287">
        <f>IF($B287="","",COUNTIFS($A$6:$A$1005,$A287,$B$6:$B$1005,"&lt;"&amp;$B287)+COUNTIFS($N$6:$N$2005,$A287,$P$6:$P$2005,"&lt;"&amp;$B287)+1)</f>
        <v/>
      </c>
      <c r="D287">
        <f>IF($C287="","",$A287&amp;"|"&amp;RIGHT("000000"&amp;$C287,6))</f>
        <v/>
      </c>
      <c r="E287">
        <f>IF(Entry!$B290="","",IF(ISNUMBER(Entry!$B290),IF(AND(Entry!$B290&gt;=10000101,Entry!$B290&lt;=99991231),INT(Entry!$B290/10000)&amp;"/"&amp;RIGHT("00"&amp;INT(MOD(Entry!$B290,10000)/100),2)&amp;"/"&amp;RIGHT("00"&amp;MOD(Entry!$B290,100),2),"نامعتبر"),IF(LEN(Entry!$B290)=10,Entry!$B290,"نامعتبر")))</f>
        <v/>
      </c>
      <c r="F287">
        <f>IF(Entry!$B290="","",IF(Entry!$C290="","0000",IF(AND(ISNUMBER(Entry!$C290),Entry!$C290&gt;=0,Entry!$C290&lt;1),RIGHT("00"&amp;HOUR(Entry!$C290),2)&amp;RIGHT("00"&amp;MINUTE(Entry!$C290),2),IFERROR(RIGHT("00"&amp;VALUE(LEFT(Entry!$C290,FIND(":",Entry!$C290)-1)),2)&amp;RIGHT("00"&amp;VALUE(MID(Entry!$C290,FIND(":",Entry!$C290)+1,2)),2),"0000"))))</f>
        <v/>
      </c>
      <c r="G287">
        <f>IF($A287="","",Entry!$G290)</f>
        <v/>
      </c>
      <c r="H287">
        <f>IF($A287="","",IF(Entry!$H290="",0,Entry!$H290))</f>
        <v/>
      </c>
      <c r="I287">
        <f>IF($A287="","",IF(Entry!$I290="",0,Entry!$I290))</f>
        <v/>
      </c>
      <c r="J287">
        <f>IF($A287="","",ROUND($H287*$I287,0))</f>
        <v/>
      </c>
      <c r="K287">
        <f>IF($A287="","",Entry!$D290)</f>
        <v/>
      </c>
      <c r="L287">
        <f>IF($A287="","",Entry!$L290)</f>
        <v/>
      </c>
      <c r="N287">
        <f>IF(OR(Sync!$M287="",$Q287="",$Q287="نامعتبر"),"",Sync!$M287)</f>
        <v/>
      </c>
      <c r="O287">
        <f>IF($N287="","",$Q287)</f>
        <v/>
      </c>
      <c r="P287">
        <f>IF($N287="","",LEFT($Q287,4)&amp;MID($Q287,6,2)&amp;RIGHT($Q287,2)&amp;IF(Sync!$K287="","0000",IF(AND(ISNUMBER(Sync!$K287),Sync!$K287&gt;=0,Sync!$K287&lt;1),RIGHT("00"&amp;HOUR(Sync!$K287),2)&amp;RIGHT("00"&amp;MINUTE(Sync!$K287),2),IFERROR(RIGHT("00"&amp;VALUE(LEFT(Sync!$K287,FIND(":",Sync!$K287)-1)),2)&amp;RIGHT("00"&amp;VALUE(MID(Sync!$K287,FIND(":",Sync!$K287)+1,2)),2),"0000")))&amp;"|"&amp;"2"&amp;RIGHT("00000"&amp;282,5))</f>
        <v/>
      </c>
      <c r="Q287">
        <f>IF(Sync!$J287="","",IF(ISNUMBER(Sync!$J287),IF(AND(Sync!$J287&gt;=10000101,Sync!$J287&lt;=99991231),INT(Sync!$J287/10000)&amp;"/"&amp;RIGHT("00"&amp;INT(MOD(Sync!$J287,10000)/100),2)&amp;"/"&amp;RIGHT("00"&amp;MOD(Sync!$J287,100),2),"نامعتبر"),IF(LEN(Sync!$J287)=10,Sync!$J287,"نامعتبر")))</f>
        <v/>
      </c>
      <c r="R287">
        <f>IF($P287="","",COUNTIFS($N$6:$N$2005,$N287,$P$6:$P$2005,"&lt;"&amp;$P287)+COUNTIFS($A$6:$A$1005,$N287,$B$6:$B$1005,"&lt;"&amp;$P287)+1)</f>
        <v/>
      </c>
      <c r="S287">
        <f>IF($N287="","",$N287&amp;"|"&amp;RIGHT("000000"&amp;$R287,6))</f>
        <v/>
      </c>
      <c r="T287">
        <f>IF($N287="","",IF(Sync!$N287="",0,Sync!$N287))</f>
        <v/>
      </c>
      <c r="U287">
        <f>IF($N287="","",IF(Sync!$O287="",0,Sync!$O287))</f>
        <v/>
      </c>
      <c r="V287">
        <f>IF($N287="","",Sync!$L287)</f>
        <v/>
      </c>
      <c r="W287">
        <f>IF($N287="","",Sync!$P287)</f>
        <v/>
      </c>
      <c r="AA287">
        <f>IF($A287="","",IF(COUNTIF($A$6:$A287,$A287)=1,1,0))</f>
        <v/>
      </c>
      <c r="AB287">
        <f>SUM($AA$6:$AA287)</f>
        <v/>
      </c>
      <c r="AC287">
        <f>IFERROR(INDEX($A$6:$A$1005,MATCH(ROW()-5,$AB$6:$AB$1005,0)),"")</f>
        <v/>
      </c>
    </row>
    <row r="288">
      <c r="A288">
        <f>IF(OR(Entry!$B291="",Entry!$E291="",$E288="نامعتبر"),"",Entry!$E291)</f>
        <v/>
      </c>
      <c r="B288">
        <f>IF($A288="","",LEFT($E288,4)&amp;MID($E288,6,2)&amp;RIGHT($E288,2)&amp;$F288&amp;"|"&amp;"1"&amp;RIGHT("00000"&amp;283,5))</f>
        <v/>
      </c>
      <c r="C288">
        <f>IF($B288="","",COUNTIFS($A$6:$A$1005,$A288,$B$6:$B$1005,"&lt;"&amp;$B288)+COUNTIFS($N$6:$N$2005,$A288,$P$6:$P$2005,"&lt;"&amp;$B288)+1)</f>
        <v/>
      </c>
      <c r="D288">
        <f>IF($C288="","",$A288&amp;"|"&amp;RIGHT("000000"&amp;$C288,6))</f>
        <v/>
      </c>
      <c r="E288">
        <f>IF(Entry!$B291="","",IF(ISNUMBER(Entry!$B291),IF(AND(Entry!$B291&gt;=10000101,Entry!$B291&lt;=99991231),INT(Entry!$B291/10000)&amp;"/"&amp;RIGHT("00"&amp;INT(MOD(Entry!$B291,10000)/100),2)&amp;"/"&amp;RIGHT("00"&amp;MOD(Entry!$B291,100),2),"نامعتبر"),IF(LEN(Entry!$B291)=10,Entry!$B291,"نامعتبر")))</f>
        <v/>
      </c>
      <c r="F288">
        <f>IF(Entry!$B291="","",IF(Entry!$C291="","0000",IF(AND(ISNUMBER(Entry!$C291),Entry!$C291&gt;=0,Entry!$C291&lt;1),RIGHT("00"&amp;HOUR(Entry!$C291),2)&amp;RIGHT("00"&amp;MINUTE(Entry!$C291),2),IFERROR(RIGHT("00"&amp;VALUE(LEFT(Entry!$C291,FIND(":",Entry!$C291)-1)),2)&amp;RIGHT("00"&amp;VALUE(MID(Entry!$C291,FIND(":",Entry!$C291)+1,2)),2),"0000"))))</f>
        <v/>
      </c>
      <c r="G288">
        <f>IF($A288="","",Entry!$G291)</f>
        <v/>
      </c>
      <c r="H288">
        <f>IF($A288="","",IF(Entry!$H291="",0,Entry!$H291))</f>
        <v/>
      </c>
      <c r="I288">
        <f>IF($A288="","",IF(Entry!$I291="",0,Entry!$I291))</f>
        <v/>
      </c>
      <c r="J288">
        <f>IF($A288="","",ROUND($H288*$I288,0))</f>
        <v/>
      </c>
      <c r="K288">
        <f>IF($A288="","",Entry!$D291)</f>
        <v/>
      </c>
      <c r="L288">
        <f>IF($A288="","",Entry!$L291)</f>
        <v/>
      </c>
      <c r="N288">
        <f>IF(OR(Sync!$M288="",$Q288="",$Q288="نامعتبر"),"",Sync!$M288)</f>
        <v/>
      </c>
      <c r="O288">
        <f>IF($N288="","",$Q288)</f>
        <v/>
      </c>
      <c r="P288">
        <f>IF($N288="","",LEFT($Q288,4)&amp;MID($Q288,6,2)&amp;RIGHT($Q288,2)&amp;IF(Sync!$K288="","0000",IF(AND(ISNUMBER(Sync!$K288),Sync!$K288&gt;=0,Sync!$K288&lt;1),RIGHT("00"&amp;HOUR(Sync!$K288),2)&amp;RIGHT("00"&amp;MINUTE(Sync!$K288),2),IFERROR(RIGHT("00"&amp;VALUE(LEFT(Sync!$K288,FIND(":",Sync!$K288)-1)),2)&amp;RIGHT("00"&amp;VALUE(MID(Sync!$K288,FIND(":",Sync!$K288)+1,2)),2),"0000")))&amp;"|"&amp;"2"&amp;RIGHT("00000"&amp;283,5))</f>
        <v/>
      </c>
      <c r="Q288">
        <f>IF(Sync!$J288="","",IF(ISNUMBER(Sync!$J288),IF(AND(Sync!$J288&gt;=10000101,Sync!$J288&lt;=99991231),INT(Sync!$J288/10000)&amp;"/"&amp;RIGHT("00"&amp;INT(MOD(Sync!$J288,10000)/100),2)&amp;"/"&amp;RIGHT("00"&amp;MOD(Sync!$J288,100),2),"نامعتبر"),IF(LEN(Sync!$J288)=10,Sync!$J288,"نامعتبر")))</f>
        <v/>
      </c>
      <c r="R288">
        <f>IF($P288="","",COUNTIFS($N$6:$N$2005,$N288,$P$6:$P$2005,"&lt;"&amp;$P288)+COUNTIFS($A$6:$A$1005,$N288,$B$6:$B$1005,"&lt;"&amp;$P288)+1)</f>
        <v/>
      </c>
      <c r="S288">
        <f>IF($N288="","",$N288&amp;"|"&amp;RIGHT("000000"&amp;$R288,6))</f>
        <v/>
      </c>
      <c r="T288">
        <f>IF($N288="","",IF(Sync!$N288="",0,Sync!$N288))</f>
        <v/>
      </c>
      <c r="U288">
        <f>IF($N288="","",IF(Sync!$O288="",0,Sync!$O288))</f>
        <v/>
      </c>
      <c r="V288">
        <f>IF($N288="","",Sync!$L288)</f>
        <v/>
      </c>
      <c r="W288">
        <f>IF($N288="","",Sync!$P288)</f>
        <v/>
      </c>
      <c r="AA288">
        <f>IF($A288="","",IF(COUNTIF($A$6:$A288,$A288)=1,1,0))</f>
        <v/>
      </c>
      <c r="AB288">
        <f>SUM($AA$6:$AA288)</f>
        <v/>
      </c>
      <c r="AC288">
        <f>IFERROR(INDEX($A$6:$A$1005,MATCH(ROW()-5,$AB$6:$AB$1005,0)),"")</f>
        <v/>
      </c>
    </row>
    <row r="289">
      <c r="A289">
        <f>IF(OR(Entry!$B292="",Entry!$E292="",$E289="نامعتبر"),"",Entry!$E292)</f>
        <v/>
      </c>
      <c r="B289">
        <f>IF($A289="","",LEFT($E289,4)&amp;MID($E289,6,2)&amp;RIGHT($E289,2)&amp;$F289&amp;"|"&amp;"1"&amp;RIGHT("00000"&amp;284,5))</f>
        <v/>
      </c>
      <c r="C289">
        <f>IF($B289="","",COUNTIFS($A$6:$A$1005,$A289,$B$6:$B$1005,"&lt;"&amp;$B289)+COUNTIFS($N$6:$N$2005,$A289,$P$6:$P$2005,"&lt;"&amp;$B289)+1)</f>
        <v/>
      </c>
      <c r="D289">
        <f>IF($C289="","",$A289&amp;"|"&amp;RIGHT("000000"&amp;$C289,6))</f>
        <v/>
      </c>
      <c r="E289">
        <f>IF(Entry!$B292="","",IF(ISNUMBER(Entry!$B292),IF(AND(Entry!$B292&gt;=10000101,Entry!$B292&lt;=99991231),INT(Entry!$B292/10000)&amp;"/"&amp;RIGHT("00"&amp;INT(MOD(Entry!$B292,10000)/100),2)&amp;"/"&amp;RIGHT("00"&amp;MOD(Entry!$B292,100),2),"نامعتبر"),IF(LEN(Entry!$B292)=10,Entry!$B292,"نامعتبر")))</f>
        <v/>
      </c>
      <c r="F289">
        <f>IF(Entry!$B292="","",IF(Entry!$C292="","0000",IF(AND(ISNUMBER(Entry!$C292),Entry!$C292&gt;=0,Entry!$C292&lt;1),RIGHT("00"&amp;HOUR(Entry!$C292),2)&amp;RIGHT("00"&amp;MINUTE(Entry!$C292),2),IFERROR(RIGHT("00"&amp;VALUE(LEFT(Entry!$C292,FIND(":",Entry!$C292)-1)),2)&amp;RIGHT("00"&amp;VALUE(MID(Entry!$C292,FIND(":",Entry!$C292)+1,2)),2),"0000"))))</f>
        <v/>
      </c>
      <c r="G289">
        <f>IF($A289="","",Entry!$G292)</f>
        <v/>
      </c>
      <c r="H289">
        <f>IF($A289="","",IF(Entry!$H292="",0,Entry!$H292))</f>
        <v/>
      </c>
      <c r="I289">
        <f>IF($A289="","",IF(Entry!$I292="",0,Entry!$I292))</f>
        <v/>
      </c>
      <c r="J289">
        <f>IF($A289="","",ROUND($H289*$I289,0))</f>
        <v/>
      </c>
      <c r="K289">
        <f>IF($A289="","",Entry!$D292)</f>
        <v/>
      </c>
      <c r="L289">
        <f>IF($A289="","",Entry!$L292)</f>
        <v/>
      </c>
      <c r="N289">
        <f>IF(OR(Sync!$M289="",$Q289="",$Q289="نامعتبر"),"",Sync!$M289)</f>
        <v/>
      </c>
      <c r="O289">
        <f>IF($N289="","",$Q289)</f>
        <v/>
      </c>
      <c r="P289">
        <f>IF($N289="","",LEFT($Q289,4)&amp;MID($Q289,6,2)&amp;RIGHT($Q289,2)&amp;IF(Sync!$K289="","0000",IF(AND(ISNUMBER(Sync!$K289),Sync!$K289&gt;=0,Sync!$K289&lt;1),RIGHT("00"&amp;HOUR(Sync!$K289),2)&amp;RIGHT("00"&amp;MINUTE(Sync!$K289),2),IFERROR(RIGHT("00"&amp;VALUE(LEFT(Sync!$K289,FIND(":",Sync!$K289)-1)),2)&amp;RIGHT("00"&amp;VALUE(MID(Sync!$K289,FIND(":",Sync!$K289)+1,2)),2),"0000")))&amp;"|"&amp;"2"&amp;RIGHT("00000"&amp;284,5))</f>
        <v/>
      </c>
      <c r="Q289">
        <f>IF(Sync!$J289="","",IF(ISNUMBER(Sync!$J289),IF(AND(Sync!$J289&gt;=10000101,Sync!$J289&lt;=99991231),INT(Sync!$J289/10000)&amp;"/"&amp;RIGHT("00"&amp;INT(MOD(Sync!$J289,10000)/100),2)&amp;"/"&amp;RIGHT("00"&amp;MOD(Sync!$J289,100),2),"نامعتبر"),IF(LEN(Sync!$J289)=10,Sync!$J289,"نامعتبر")))</f>
        <v/>
      </c>
      <c r="R289">
        <f>IF($P289="","",COUNTIFS($N$6:$N$2005,$N289,$P$6:$P$2005,"&lt;"&amp;$P289)+COUNTIFS($A$6:$A$1005,$N289,$B$6:$B$1005,"&lt;"&amp;$P289)+1)</f>
        <v/>
      </c>
      <c r="S289">
        <f>IF($N289="","",$N289&amp;"|"&amp;RIGHT("000000"&amp;$R289,6))</f>
        <v/>
      </c>
      <c r="T289">
        <f>IF($N289="","",IF(Sync!$N289="",0,Sync!$N289))</f>
        <v/>
      </c>
      <c r="U289">
        <f>IF($N289="","",IF(Sync!$O289="",0,Sync!$O289))</f>
        <v/>
      </c>
      <c r="V289">
        <f>IF($N289="","",Sync!$L289)</f>
        <v/>
      </c>
      <c r="W289">
        <f>IF($N289="","",Sync!$P289)</f>
        <v/>
      </c>
      <c r="AA289">
        <f>IF($A289="","",IF(COUNTIF($A$6:$A289,$A289)=1,1,0))</f>
        <v/>
      </c>
      <c r="AB289">
        <f>SUM($AA$6:$AA289)</f>
        <v/>
      </c>
      <c r="AC289">
        <f>IFERROR(INDEX($A$6:$A$1005,MATCH(ROW()-5,$AB$6:$AB$1005,0)),"")</f>
        <v/>
      </c>
    </row>
    <row r="290">
      <c r="A290">
        <f>IF(OR(Entry!$B293="",Entry!$E293="",$E290="نامعتبر"),"",Entry!$E293)</f>
        <v/>
      </c>
      <c r="B290">
        <f>IF($A290="","",LEFT($E290,4)&amp;MID($E290,6,2)&amp;RIGHT($E290,2)&amp;$F290&amp;"|"&amp;"1"&amp;RIGHT("00000"&amp;285,5))</f>
        <v/>
      </c>
      <c r="C290">
        <f>IF($B290="","",COUNTIFS($A$6:$A$1005,$A290,$B$6:$B$1005,"&lt;"&amp;$B290)+COUNTIFS($N$6:$N$2005,$A290,$P$6:$P$2005,"&lt;"&amp;$B290)+1)</f>
        <v/>
      </c>
      <c r="D290">
        <f>IF($C290="","",$A290&amp;"|"&amp;RIGHT("000000"&amp;$C290,6))</f>
        <v/>
      </c>
      <c r="E290">
        <f>IF(Entry!$B293="","",IF(ISNUMBER(Entry!$B293),IF(AND(Entry!$B293&gt;=10000101,Entry!$B293&lt;=99991231),INT(Entry!$B293/10000)&amp;"/"&amp;RIGHT("00"&amp;INT(MOD(Entry!$B293,10000)/100),2)&amp;"/"&amp;RIGHT("00"&amp;MOD(Entry!$B293,100),2),"نامعتبر"),IF(LEN(Entry!$B293)=10,Entry!$B293,"نامعتبر")))</f>
        <v/>
      </c>
      <c r="F290">
        <f>IF(Entry!$B293="","",IF(Entry!$C293="","0000",IF(AND(ISNUMBER(Entry!$C293),Entry!$C293&gt;=0,Entry!$C293&lt;1),RIGHT("00"&amp;HOUR(Entry!$C293),2)&amp;RIGHT("00"&amp;MINUTE(Entry!$C293),2),IFERROR(RIGHT("00"&amp;VALUE(LEFT(Entry!$C293,FIND(":",Entry!$C293)-1)),2)&amp;RIGHT("00"&amp;VALUE(MID(Entry!$C293,FIND(":",Entry!$C293)+1,2)),2),"0000"))))</f>
        <v/>
      </c>
      <c r="G290">
        <f>IF($A290="","",Entry!$G293)</f>
        <v/>
      </c>
      <c r="H290">
        <f>IF($A290="","",IF(Entry!$H293="",0,Entry!$H293))</f>
        <v/>
      </c>
      <c r="I290">
        <f>IF($A290="","",IF(Entry!$I293="",0,Entry!$I293))</f>
        <v/>
      </c>
      <c r="J290">
        <f>IF($A290="","",ROUND($H290*$I290,0))</f>
        <v/>
      </c>
      <c r="K290">
        <f>IF($A290="","",Entry!$D293)</f>
        <v/>
      </c>
      <c r="L290">
        <f>IF($A290="","",Entry!$L293)</f>
        <v/>
      </c>
      <c r="N290">
        <f>IF(OR(Sync!$M290="",$Q290="",$Q290="نامعتبر"),"",Sync!$M290)</f>
        <v/>
      </c>
      <c r="O290">
        <f>IF($N290="","",$Q290)</f>
        <v/>
      </c>
      <c r="P290">
        <f>IF($N290="","",LEFT($Q290,4)&amp;MID($Q290,6,2)&amp;RIGHT($Q290,2)&amp;IF(Sync!$K290="","0000",IF(AND(ISNUMBER(Sync!$K290),Sync!$K290&gt;=0,Sync!$K290&lt;1),RIGHT("00"&amp;HOUR(Sync!$K290),2)&amp;RIGHT("00"&amp;MINUTE(Sync!$K290),2),IFERROR(RIGHT("00"&amp;VALUE(LEFT(Sync!$K290,FIND(":",Sync!$K290)-1)),2)&amp;RIGHT("00"&amp;VALUE(MID(Sync!$K290,FIND(":",Sync!$K290)+1,2)),2),"0000")))&amp;"|"&amp;"2"&amp;RIGHT("00000"&amp;285,5))</f>
        <v/>
      </c>
      <c r="Q290">
        <f>IF(Sync!$J290="","",IF(ISNUMBER(Sync!$J290),IF(AND(Sync!$J290&gt;=10000101,Sync!$J290&lt;=99991231),INT(Sync!$J290/10000)&amp;"/"&amp;RIGHT("00"&amp;INT(MOD(Sync!$J290,10000)/100),2)&amp;"/"&amp;RIGHT("00"&amp;MOD(Sync!$J290,100),2),"نامعتبر"),IF(LEN(Sync!$J290)=10,Sync!$J290,"نامعتبر")))</f>
        <v/>
      </c>
      <c r="R290">
        <f>IF($P290="","",COUNTIFS($N$6:$N$2005,$N290,$P$6:$P$2005,"&lt;"&amp;$P290)+COUNTIFS($A$6:$A$1005,$N290,$B$6:$B$1005,"&lt;"&amp;$P290)+1)</f>
        <v/>
      </c>
      <c r="S290">
        <f>IF($N290="","",$N290&amp;"|"&amp;RIGHT("000000"&amp;$R290,6))</f>
        <v/>
      </c>
      <c r="T290">
        <f>IF($N290="","",IF(Sync!$N290="",0,Sync!$N290))</f>
        <v/>
      </c>
      <c r="U290">
        <f>IF($N290="","",IF(Sync!$O290="",0,Sync!$O290))</f>
        <v/>
      </c>
      <c r="V290">
        <f>IF($N290="","",Sync!$L290)</f>
        <v/>
      </c>
      <c r="W290">
        <f>IF($N290="","",Sync!$P290)</f>
        <v/>
      </c>
      <c r="AA290">
        <f>IF($A290="","",IF(COUNTIF($A$6:$A290,$A290)=1,1,0))</f>
        <v/>
      </c>
      <c r="AB290">
        <f>SUM($AA$6:$AA290)</f>
        <v/>
      </c>
      <c r="AC290">
        <f>IFERROR(INDEX($A$6:$A$1005,MATCH(ROW()-5,$AB$6:$AB$1005,0)),"")</f>
        <v/>
      </c>
    </row>
    <row r="291">
      <c r="A291">
        <f>IF(OR(Entry!$B294="",Entry!$E294="",$E291="نامعتبر"),"",Entry!$E294)</f>
        <v/>
      </c>
      <c r="B291">
        <f>IF($A291="","",LEFT($E291,4)&amp;MID($E291,6,2)&amp;RIGHT($E291,2)&amp;$F291&amp;"|"&amp;"1"&amp;RIGHT("00000"&amp;286,5))</f>
        <v/>
      </c>
      <c r="C291">
        <f>IF($B291="","",COUNTIFS($A$6:$A$1005,$A291,$B$6:$B$1005,"&lt;"&amp;$B291)+COUNTIFS($N$6:$N$2005,$A291,$P$6:$P$2005,"&lt;"&amp;$B291)+1)</f>
        <v/>
      </c>
      <c r="D291">
        <f>IF($C291="","",$A291&amp;"|"&amp;RIGHT("000000"&amp;$C291,6))</f>
        <v/>
      </c>
      <c r="E291">
        <f>IF(Entry!$B294="","",IF(ISNUMBER(Entry!$B294),IF(AND(Entry!$B294&gt;=10000101,Entry!$B294&lt;=99991231),INT(Entry!$B294/10000)&amp;"/"&amp;RIGHT("00"&amp;INT(MOD(Entry!$B294,10000)/100),2)&amp;"/"&amp;RIGHT("00"&amp;MOD(Entry!$B294,100),2),"نامعتبر"),IF(LEN(Entry!$B294)=10,Entry!$B294,"نامعتبر")))</f>
        <v/>
      </c>
      <c r="F291">
        <f>IF(Entry!$B294="","",IF(Entry!$C294="","0000",IF(AND(ISNUMBER(Entry!$C294),Entry!$C294&gt;=0,Entry!$C294&lt;1),RIGHT("00"&amp;HOUR(Entry!$C294),2)&amp;RIGHT("00"&amp;MINUTE(Entry!$C294),2),IFERROR(RIGHT("00"&amp;VALUE(LEFT(Entry!$C294,FIND(":",Entry!$C294)-1)),2)&amp;RIGHT("00"&amp;VALUE(MID(Entry!$C294,FIND(":",Entry!$C294)+1,2)),2),"0000"))))</f>
        <v/>
      </c>
      <c r="G291">
        <f>IF($A291="","",Entry!$G294)</f>
        <v/>
      </c>
      <c r="H291">
        <f>IF($A291="","",IF(Entry!$H294="",0,Entry!$H294))</f>
        <v/>
      </c>
      <c r="I291">
        <f>IF($A291="","",IF(Entry!$I294="",0,Entry!$I294))</f>
        <v/>
      </c>
      <c r="J291">
        <f>IF($A291="","",ROUND($H291*$I291,0))</f>
        <v/>
      </c>
      <c r="K291">
        <f>IF($A291="","",Entry!$D294)</f>
        <v/>
      </c>
      <c r="L291">
        <f>IF($A291="","",Entry!$L294)</f>
        <v/>
      </c>
      <c r="N291">
        <f>IF(OR(Sync!$M291="",$Q291="",$Q291="نامعتبر"),"",Sync!$M291)</f>
        <v/>
      </c>
      <c r="O291">
        <f>IF($N291="","",$Q291)</f>
        <v/>
      </c>
      <c r="P291">
        <f>IF($N291="","",LEFT($Q291,4)&amp;MID($Q291,6,2)&amp;RIGHT($Q291,2)&amp;IF(Sync!$K291="","0000",IF(AND(ISNUMBER(Sync!$K291),Sync!$K291&gt;=0,Sync!$K291&lt;1),RIGHT("00"&amp;HOUR(Sync!$K291),2)&amp;RIGHT("00"&amp;MINUTE(Sync!$K291),2),IFERROR(RIGHT("00"&amp;VALUE(LEFT(Sync!$K291,FIND(":",Sync!$K291)-1)),2)&amp;RIGHT("00"&amp;VALUE(MID(Sync!$K291,FIND(":",Sync!$K291)+1,2)),2),"0000")))&amp;"|"&amp;"2"&amp;RIGHT("00000"&amp;286,5))</f>
        <v/>
      </c>
      <c r="Q291">
        <f>IF(Sync!$J291="","",IF(ISNUMBER(Sync!$J291),IF(AND(Sync!$J291&gt;=10000101,Sync!$J291&lt;=99991231),INT(Sync!$J291/10000)&amp;"/"&amp;RIGHT("00"&amp;INT(MOD(Sync!$J291,10000)/100),2)&amp;"/"&amp;RIGHT("00"&amp;MOD(Sync!$J291,100),2),"نامعتبر"),IF(LEN(Sync!$J291)=10,Sync!$J291,"نامعتبر")))</f>
        <v/>
      </c>
      <c r="R291">
        <f>IF($P291="","",COUNTIFS($N$6:$N$2005,$N291,$P$6:$P$2005,"&lt;"&amp;$P291)+COUNTIFS($A$6:$A$1005,$N291,$B$6:$B$1005,"&lt;"&amp;$P291)+1)</f>
        <v/>
      </c>
      <c r="S291">
        <f>IF($N291="","",$N291&amp;"|"&amp;RIGHT("000000"&amp;$R291,6))</f>
        <v/>
      </c>
      <c r="T291">
        <f>IF($N291="","",IF(Sync!$N291="",0,Sync!$N291))</f>
        <v/>
      </c>
      <c r="U291">
        <f>IF($N291="","",IF(Sync!$O291="",0,Sync!$O291))</f>
        <v/>
      </c>
      <c r="V291">
        <f>IF($N291="","",Sync!$L291)</f>
        <v/>
      </c>
      <c r="W291">
        <f>IF($N291="","",Sync!$P291)</f>
        <v/>
      </c>
      <c r="AA291">
        <f>IF($A291="","",IF(COUNTIF($A$6:$A291,$A291)=1,1,0))</f>
        <v/>
      </c>
      <c r="AB291">
        <f>SUM($AA$6:$AA291)</f>
        <v/>
      </c>
      <c r="AC291">
        <f>IFERROR(INDEX($A$6:$A$1005,MATCH(ROW()-5,$AB$6:$AB$1005,0)),"")</f>
        <v/>
      </c>
    </row>
    <row r="292">
      <c r="A292">
        <f>IF(OR(Entry!$B295="",Entry!$E295="",$E292="نامعتبر"),"",Entry!$E295)</f>
        <v/>
      </c>
      <c r="B292">
        <f>IF($A292="","",LEFT($E292,4)&amp;MID($E292,6,2)&amp;RIGHT($E292,2)&amp;$F292&amp;"|"&amp;"1"&amp;RIGHT("00000"&amp;287,5))</f>
        <v/>
      </c>
      <c r="C292">
        <f>IF($B292="","",COUNTIFS($A$6:$A$1005,$A292,$B$6:$B$1005,"&lt;"&amp;$B292)+COUNTIFS($N$6:$N$2005,$A292,$P$6:$P$2005,"&lt;"&amp;$B292)+1)</f>
        <v/>
      </c>
      <c r="D292">
        <f>IF($C292="","",$A292&amp;"|"&amp;RIGHT("000000"&amp;$C292,6))</f>
        <v/>
      </c>
      <c r="E292">
        <f>IF(Entry!$B295="","",IF(ISNUMBER(Entry!$B295),IF(AND(Entry!$B295&gt;=10000101,Entry!$B295&lt;=99991231),INT(Entry!$B295/10000)&amp;"/"&amp;RIGHT("00"&amp;INT(MOD(Entry!$B295,10000)/100),2)&amp;"/"&amp;RIGHT("00"&amp;MOD(Entry!$B295,100),2),"نامعتبر"),IF(LEN(Entry!$B295)=10,Entry!$B295,"نامعتبر")))</f>
        <v/>
      </c>
      <c r="F292">
        <f>IF(Entry!$B295="","",IF(Entry!$C295="","0000",IF(AND(ISNUMBER(Entry!$C295),Entry!$C295&gt;=0,Entry!$C295&lt;1),RIGHT("00"&amp;HOUR(Entry!$C295),2)&amp;RIGHT("00"&amp;MINUTE(Entry!$C295),2),IFERROR(RIGHT("00"&amp;VALUE(LEFT(Entry!$C295,FIND(":",Entry!$C295)-1)),2)&amp;RIGHT("00"&amp;VALUE(MID(Entry!$C295,FIND(":",Entry!$C295)+1,2)),2),"0000"))))</f>
        <v/>
      </c>
      <c r="G292">
        <f>IF($A292="","",Entry!$G295)</f>
        <v/>
      </c>
      <c r="H292">
        <f>IF($A292="","",IF(Entry!$H295="",0,Entry!$H295))</f>
        <v/>
      </c>
      <c r="I292">
        <f>IF($A292="","",IF(Entry!$I295="",0,Entry!$I295))</f>
        <v/>
      </c>
      <c r="J292">
        <f>IF($A292="","",ROUND($H292*$I292,0))</f>
        <v/>
      </c>
      <c r="K292">
        <f>IF($A292="","",Entry!$D295)</f>
        <v/>
      </c>
      <c r="L292">
        <f>IF($A292="","",Entry!$L295)</f>
        <v/>
      </c>
      <c r="N292">
        <f>IF(OR(Sync!$M292="",$Q292="",$Q292="نامعتبر"),"",Sync!$M292)</f>
        <v/>
      </c>
      <c r="O292">
        <f>IF($N292="","",$Q292)</f>
        <v/>
      </c>
      <c r="P292">
        <f>IF($N292="","",LEFT($Q292,4)&amp;MID($Q292,6,2)&amp;RIGHT($Q292,2)&amp;IF(Sync!$K292="","0000",IF(AND(ISNUMBER(Sync!$K292),Sync!$K292&gt;=0,Sync!$K292&lt;1),RIGHT("00"&amp;HOUR(Sync!$K292),2)&amp;RIGHT("00"&amp;MINUTE(Sync!$K292),2),IFERROR(RIGHT("00"&amp;VALUE(LEFT(Sync!$K292,FIND(":",Sync!$K292)-1)),2)&amp;RIGHT("00"&amp;VALUE(MID(Sync!$K292,FIND(":",Sync!$K292)+1,2)),2),"0000")))&amp;"|"&amp;"2"&amp;RIGHT("00000"&amp;287,5))</f>
        <v/>
      </c>
      <c r="Q292">
        <f>IF(Sync!$J292="","",IF(ISNUMBER(Sync!$J292),IF(AND(Sync!$J292&gt;=10000101,Sync!$J292&lt;=99991231),INT(Sync!$J292/10000)&amp;"/"&amp;RIGHT("00"&amp;INT(MOD(Sync!$J292,10000)/100),2)&amp;"/"&amp;RIGHT("00"&amp;MOD(Sync!$J292,100),2),"نامعتبر"),IF(LEN(Sync!$J292)=10,Sync!$J292,"نامعتبر")))</f>
        <v/>
      </c>
      <c r="R292">
        <f>IF($P292="","",COUNTIFS($N$6:$N$2005,$N292,$P$6:$P$2005,"&lt;"&amp;$P292)+COUNTIFS($A$6:$A$1005,$N292,$B$6:$B$1005,"&lt;"&amp;$P292)+1)</f>
        <v/>
      </c>
      <c r="S292">
        <f>IF($N292="","",$N292&amp;"|"&amp;RIGHT("000000"&amp;$R292,6))</f>
        <v/>
      </c>
      <c r="T292">
        <f>IF($N292="","",IF(Sync!$N292="",0,Sync!$N292))</f>
        <v/>
      </c>
      <c r="U292">
        <f>IF($N292="","",IF(Sync!$O292="",0,Sync!$O292))</f>
        <v/>
      </c>
      <c r="V292">
        <f>IF($N292="","",Sync!$L292)</f>
        <v/>
      </c>
      <c r="W292">
        <f>IF($N292="","",Sync!$P292)</f>
        <v/>
      </c>
      <c r="AA292">
        <f>IF($A292="","",IF(COUNTIF($A$6:$A292,$A292)=1,1,0))</f>
        <v/>
      </c>
      <c r="AB292">
        <f>SUM($AA$6:$AA292)</f>
        <v/>
      </c>
      <c r="AC292">
        <f>IFERROR(INDEX($A$6:$A$1005,MATCH(ROW()-5,$AB$6:$AB$1005,0)),"")</f>
        <v/>
      </c>
    </row>
    <row r="293">
      <c r="A293">
        <f>IF(OR(Entry!$B296="",Entry!$E296="",$E293="نامعتبر"),"",Entry!$E296)</f>
        <v/>
      </c>
      <c r="B293">
        <f>IF($A293="","",LEFT($E293,4)&amp;MID($E293,6,2)&amp;RIGHT($E293,2)&amp;$F293&amp;"|"&amp;"1"&amp;RIGHT("00000"&amp;288,5))</f>
        <v/>
      </c>
      <c r="C293">
        <f>IF($B293="","",COUNTIFS($A$6:$A$1005,$A293,$B$6:$B$1005,"&lt;"&amp;$B293)+COUNTIFS($N$6:$N$2005,$A293,$P$6:$P$2005,"&lt;"&amp;$B293)+1)</f>
        <v/>
      </c>
      <c r="D293">
        <f>IF($C293="","",$A293&amp;"|"&amp;RIGHT("000000"&amp;$C293,6))</f>
        <v/>
      </c>
      <c r="E293">
        <f>IF(Entry!$B296="","",IF(ISNUMBER(Entry!$B296),IF(AND(Entry!$B296&gt;=10000101,Entry!$B296&lt;=99991231),INT(Entry!$B296/10000)&amp;"/"&amp;RIGHT("00"&amp;INT(MOD(Entry!$B296,10000)/100),2)&amp;"/"&amp;RIGHT("00"&amp;MOD(Entry!$B296,100),2),"نامعتبر"),IF(LEN(Entry!$B296)=10,Entry!$B296,"نامعتبر")))</f>
        <v/>
      </c>
      <c r="F293">
        <f>IF(Entry!$B296="","",IF(Entry!$C296="","0000",IF(AND(ISNUMBER(Entry!$C296),Entry!$C296&gt;=0,Entry!$C296&lt;1),RIGHT("00"&amp;HOUR(Entry!$C296),2)&amp;RIGHT("00"&amp;MINUTE(Entry!$C296),2),IFERROR(RIGHT("00"&amp;VALUE(LEFT(Entry!$C296,FIND(":",Entry!$C296)-1)),2)&amp;RIGHT("00"&amp;VALUE(MID(Entry!$C296,FIND(":",Entry!$C296)+1,2)),2),"0000"))))</f>
        <v/>
      </c>
      <c r="G293">
        <f>IF($A293="","",Entry!$G296)</f>
        <v/>
      </c>
      <c r="H293">
        <f>IF($A293="","",IF(Entry!$H296="",0,Entry!$H296))</f>
        <v/>
      </c>
      <c r="I293">
        <f>IF($A293="","",IF(Entry!$I296="",0,Entry!$I296))</f>
        <v/>
      </c>
      <c r="J293">
        <f>IF($A293="","",ROUND($H293*$I293,0))</f>
        <v/>
      </c>
      <c r="K293">
        <f>IF($A293="","",Entry!$D296)</f>
        <v/>
      </c>
      <c r="L293">
        <f>IF($A293="","",Entry!$L296)</f>
        <v/>
      </c>
      <c r="N293">
        <f>IF(OR(Sync!$M293="",$Q293="",$Q293="نامعتبر"),"",Sync!$M293)</f>
        <v/>
      </c>
      <c r="O293">
        <f>IF($N293="","",$Q293)</f>
        <v/>
      </c>
      <c r="P293">
        <f>IF($N293="","",LEFT($Q293,4)&amp;MID($Q293,6,2)&amp;RIGHT($Q293,2)&amp;IF(Sync!$K293="","0000",IF(AND(ISNUMBER(Sync!$K293),Sync!$K293&gt;=0,Sync!$K293&lt;1),RIGHT("00"&amp;HOUR(Sync!$K293),2)&amp;RIGHT("00"&amp;MINUTE(Sync!$K293),2),IFERROR(RIGHT("00"&amp;VALUE(LEFT(Sync!$K293,FIND(":",Sync!$K293)-1)),2)&amp;RIGHT("00"&amp;VALUE(MID(Sync!$K293,FIND(":",Sync!$K293)+1,2)),2),"0000")))&amp;"|"&amp;"2"&amp;RIGHT("00000"&amp;288,5))</f>
        <v/>
      </c>
      <c r="Q293">
        <f>IF(Sync!$J293="","",IF(ISNUMBER(Sync!$J293),IF(AND(Sync!$J293&gt;=10000101,Sync!$J293&lt;=99991231),INT(Sync!$J293/10000)&amp;"/"&amp;RIGHT("00"&amp;INT(MOD(Sync!$J293,10000)/100),2)&amp;"/"&amp;RIGHT("00"&amp;MOD(Sync!$J293,100),2),"نامعتبر"),IF(LEN(Sync!$J293)=10,Sync!$J293,"نامعتبر")))</f>
        <v/>
      </c>
      <c r="R293">
        <f>IF($P293="","",COUNTIFS($N$6:$N$2005,$N293,$P$6:$P$2005,"&lt;"&amp;$P293)+COUNTIFS($A$6:$A$1005,$N293,$B$6:$B$1005,"&lt;"&amp;$P293)+1)</f>
        <v/>
      </c>
      <c r="S293">
        <f>IF($N293="","",$N293&amp;"|"&amp;RIGHT("000000"&amp;$R293,6))</f>
        <v/>
      </c>
      <c r="T293">
        <f>IF($N293="","",IF(Sync!$N293="",0,Sync!$N293))</f>
        <v/>
      </c>
      <c r="U293">
        <f>IF($N293="","",IF(Sync!$O293="",0,Sync!$O293))</f>
        <v/>
      </c>
      <c r="V293">
        <f>IF($N293="","",Sync!$L293)</f>
        <v/>
      </c>
      <c r="W293">
        <f>IF($N293="","",Sync!$P293)</f>
        <v/>
      </c>
      <c r="AA293">
        <f>IF($A293="","",IF(COUNTIF($A$6:$A293,$A293)=1,1,0))</f>
        <v/>
      </c>
      <c r="AB293">
        <f>SUM($AA$6:$AA293)</f>
        <v/>
      </c>
      <c r="AC293">
        <f>IFERROR(INDEX($A$6:$A$1005,MATCH(ROW()-5,$AB$6:$AB$1005,0)),"")</f>
        <v/>
      </c>
    </row>
    <row r="294">
      <c r="A294">
        <f>IF(OR(Entry!$B297="",Entry!$E297="",$E294="نامعتبر"),"",Entry!$E297)</f>
        <v/>
      </c>
      <c r="B294">
        <f>IF($A294="","",LEFT($E294,4)&amp;MID($E294,6,2)&amp;RIGHT($E294,2)&amp;$F294&amp;"|"&amp;"1"&amp;RIGHT("00000"&amp;289,5))</f>
        <v/>
      </c>
      <c r="C294">
        <f>IF($B294="","",COUNTIFS($A$6:$A$1005,$A294,$B$6:$B$1005,"&lt;"&amp;$B294)+COUNTIFS($N$6:$N$2005,$A294,$P$6:$P$2005,"&lt;"&amp;$B294)+1)</f>
        <v/>
      </c>
      <c r="D294">
        <f>IF($C294="","",$A294&amp;"|"&amp;RIGHT("000000"&amp;$C294,6))</f>
        <v/>
      </c>
      <c r="E294">
        <f>IF(Entry!$B297="","",IF(ISNUMBER(Entry!$B297),IF(AND(Entry!$B297&gt;=10000101,Entry!$B297&lt;=99991231),INT(Entry!$B297/10000)&amp;"/"&amp;RIGHT("00"&amp;INT(MOD(Entry!$B297,10000)/100),2)&amp;"/"&amp;RIGHT("00"&amp;MOD(Entry!$B297,100),2),"نامعتبر"),IF(LEN(Entry!$B297)=10,Entry!$B297,"نامعتبر")))</f>
        <v/>
      </c>
      <c r="F294">
        <f>IF(Entry!$B297="","",IF(Entry!$C297="","0000",IF(AND(ISNUMBER(Entry!$C297),Entry!$C297&gt;=0,Entry!$C297&lt;1),RIGHT("00"&amp;HOUR(Entry!$C297),2)&amp;RIGHT("00"&amp;MINUTE(Entry!$C297),2),IFERROR(RIGHT("00"&amp;VALUE(LEFT(Entry!$C297,FIND(":",Entry!$C297)-1)),2)&amp;RIGHT("00"&amp;VALUE(MID(Entry!$C297,FIND(":",Entry!$C297)+1,2)),2),"0000"))))</f>
        <v/>
      </c>
      <c r="G294">
        <f>IF($A294="","",Entry!$G297)</f>
        <v/>
      </c>
      <c r="H294">
        <f>IF($A294="","",IF(Entry!$H297="",0,Entry!$H297))</f>
        <v/>
      </c>
      <c r="I294">
        <f>IF($A294="","",IF(Entry!$I297="",0,Entry!$I297))</f>
        <v/>
      </c>
      <c r="J294">
        <f>IF($A294="","",ROUND($H294*$I294,0))</f>
        <v/>
      </c>
      <c r="K294">
        <f>IF($A294="","",Entry!$D297)</f>
        <v/>
      </c>
      <c r="L294">
        <f>IF($A294="","",Entry!$L297)</f>
        <v/>
      </c>
      <c r="N294">
        <f>IF(OR(Sync!$M294="",$Q294="",$Q294="نامعتبر"),"",Sync!$M294)</f>
        <v/>
      </c>
      <c r="O294">
        <f>IF($N294="","",$Q294)</f>
        <v/>
      </c>
      <c r="P294">
        <f>IF($N294="","",LEFT($Q294,4)&amp;MID($Q294,6,2)&amp;RIGHT($Q294,2)&amp;IF(Sync!$K294="","0000",IF(AND(ISNUMBER(Sync!$K294),Sync!$K294&gt;=0,Sync!$K294&lt;1),RIGHT("00"&amp;HOUR(Sync!$K294),2)&amp;RIGHT("00"&amp;MINUTE(Sync!$K294),2),IFERROR(RIGHT("00"&amp;VALUE(LEFT(Sync!$K294,FIND(":",Sync!$K294)-1)),2)&amp;RIGHT("00"&amp;VALUE(MID(Sync!$K294,FIND(":",Sync!$K294)+1,2)),2),"0000")))&amp;"|"&amp;"2"&amp;RIGHT("00000"&amp;289,5))</f>
        <v/>
      </c>
      <c r="Q294">
        <f>IF(Sync!$J294="","",IF(ISNUMBER(Sync!$J294),IF(AND(Sync!$J294&gt;=10000101,Sync!$J294&lt;=99991231),INT(Sync!$J294/10000)&amp;"/"&amp;RIGHT("00"&amp;INT(MOD(Sync!$J294,10000)/100),2)&amp;"/"&amp;RIGHT("00"&amp;MOD(Sync!$J294,100),2),"نامعتبر"),IF(LEN(Sync!$J294)=10,Sync!$J294,"نامعتبر")))</f>
        <v/>
      </c>
      <c r="R294">
        <f>IF($P294="","",COUNTIFS($N$6:$N$2005,$N294,$P$6:$P$2005,"&lt;"&amp;$P294)+COUNTIFS($A$6:$A$1005,$N294,$B$6:$B$1005,"&lt;"&amp;$P294)+1)</f>
        <v/>
      </c>
      <c r="S294">
        <f>IF($N294="","",$N294&amp;"|"&amp;RIGHT("000000"&amp;$R294,6))</f>
        <v/>
      </c>
      <c r="T294">
        <f>IF($N294="","",IF(Sync!$N294="",0,Sync!$N294))</f>
        <v/>
      </c>
      <c r="U294">
        <f>IF($N294="","",IF(Sync!$O294="",0,Sync!$O294))</f>
        <v/>
      </c>
      <c r="V294">
        <f>IF($N294="","",Sync!$L294)</f>
        <v/>
      </c>
      <c r="W294">
        <f>IF($N294="","",Sync!$P294)</f>
        <v/>
      </c>
      <c r="AA294">
        <f>IF($A294="","",IF(COUNTIF($A$6:$A294,$A294)=1,1,0))</f>
        <v/>
      </c>
      <c r="AB294">
        <f>SUM($AA$6:$AA294)</f>
        <v/>
      </c>
      <c r="AC294">
        <f>IFERROR(INDEX($A$6:$A$1005,MATCH(ROW()-5,$AB$6:$AB$1005,0)),"")</f>
        <v/>
      </c>
    </row>
    <row r="295">
      <c r="A295">
        <f>IF(OR(Entry!$B298="",Entry!$E298="",$E295="نامعتبر"),"",Entry!$E298)</f>
        <v/>
      </c>
      <c r="B295">
        <f>IF($A295="","",LEFT($E295,4)&amp;MID($E295,6,2)&amp;RIGHT($E295,2)&amp;$F295&amp;"|"&amp;"1"&amp;RIGHT("00000"&amp;290,5))</f>
        <v/>
      </c>
      <c r="C295">
        <f>IF($B295="","",COUNTIFS($A$6:$A$1005,$A295,$B$6:$B$1005,"&lt;"&amp;$B295)+COUNTIFS($N$6:$N$2005,$A295,$P$6:$P$2005,"&lt;"&amp;$B295)+1)</f>
        <v/>
      </c>
      <c r="D295">
        <f>IF($C295="","",$A295&amp;"|"&amp;RIGHT("000000"&amp;$C295,6))</f>
        <v/>
      </c>
      <c r="E295">
        <f>IF(Entry!$B298="","",IF(ISNUMBER(Entry!$B298),IF(AND(Entry!$B298&gt;=10000101,Entry!$B298&lt;=99991231),INT(Entry!$B298/10000)&amp;"/"&amp;RIGHT("00"&amp;INT(MOD(Entry!$B298,10000)/100),2)&amp;"/"&amp;RIGHT("00"&amp;MOD(Entry!$B298,100),2),"نامعتبر"),IF(LEN(Entry!$B298)=10,Entry!$B298,"نامعتبر")))</f>
        <v/>
      </c>
      <c r="F295">
        <f>IF(Entry!$B298="","",IF(Entry!$C298="","0000",IF(AND(ISNUMBER(Entry!$C298),Entry!$C298&gt;=0,Entry!$C298&lt;1),RIGHT("00"&amp;HOUR(Entry!$C298),2)&amp;RIGHT("00"&amp;MINUTE(Entry!$C298),2),IFERROR(RIGHT("00"&amp;VALUE(LEFT(Entry!$C298,FIND(":",Entry!$C298)-1)),2)&amp;RIGHT("00"&amp;VALUE(MID(Entry!$C298,FIND(":",Entry!$C298)+1,2)),2),"0000"))))</f>
        <v/>
      </c>
      <c r="G295">
        <f>IF($A295="","",Entry!$G298)</f>
        <v/>
      </c>
      <c r="H295">
        <f>IF($A295="","",IF(Entry!$H298="",0,Entry!$H298))</f>
        <v/>
      </c>
      <c r="I295">
        <f>IF($A295="","",IF(Entry!$I298="",0,Entry!$I298))</f>
        <v/>
      </c>
      <c r="J295">
        <f>IF($A295="","",ROUND($H295*$I295,0))</f>
        <v/>
      </c>
      <c r="K295">
        <f>IF($A295="","",Entry!$D298)</f>
        <v/>
      </c>
      <c r="L295">
        <f>IF($A295="","",Entry!$L298)</f>
        <v/>
      </c>
      <c r="N295">
        <f>IF(OR(Sync!$M295="",$Q295="",$Q295="نامعتبر"),"",Sync!$M295)</f>
        <v/>
      </c>
      <c r="O295">
        <f>IF($N295="","",$Q295)</f>
        <v/>
      </c>
      <c r="P295">
        <f>IF($N295="","",LEFT($Q295,4)&amp;MID($Q295,6,2)&amp;RIGHT($Q295,2)&amp;IF(Sync!$K295="","0000",IF(AND(ISNUMBER(Sync!$K295),Sync!$K295&gt;=0,Sync!$K295&lt;1),RIGHT("00"&amp;HOUR(Sync!$K295),2)&amp;RIGHT("00"&amp;MINUTE(Sync!$K295),2),IFERROR(RIGHT("00"&amp;VALUE(LEFT(Sync!$K295,FIND(":",Sync!$K295)-1)),2)&amp;RIGHT("00"&amp;VALUE(MID(Sync!$K295,FIND(":",Sync!$K295)+1,2)),2),"0000")))&amp;"|"&amp;"2"&amp;RIGHT("00000"&amp;290,5))</f>
        <v/>
      </c>
      <c r="Q295">
        <f>IF(Sync!$J295="","",IF(ISNUMBER(Sync!$J295),IF(AND(Sync!$J295&gt;=10000101,Sync!$J295&lt;=99991231),INT(Sync!$J295/10000)&amp;"/"&amp;RIGHT("00"&amp;INT(MOD(Sync!$J295,10000)/100),2)&amp;"/"&amp;RIGHT("00"&amp;MOD(Sync!$J295,100),2),"نامعتبر"),IF(LEN(Sync!$J295)=10,Sync!$J295,"نامعتبر")))</f>
        <v/>
      </c>
      <c r="R295">
        <f>IF($P295="","",COUNTIFS($N$6:$N$2005,$N295,$P$6:$P$2005,"&lt;"&amp;$P295)+COUNTIFS($A$6:$A$1005,$N295,$B$6:$B$1005,"&lt;"&amp;$P295)+1)</f>
        <v/>
      </c>
      <c r="S295">
        <f>IF($N295="","",$N295&amp;"|"&amp;RIGHT("000000"&amp;$R295,6))</f>
        <v/>
      </c>
      <c r="T295">
        <f>IF($N295="","",IF(Sync!$N295="",0,Sync!$N295))</f>
        <v/>
      </c>
      <c r="U295">
        <f>IF($N295="","",IF(Sync!$O295="",0,Sync!$O295))</f>
        <v/>
      </c>
      <c r="V295">
        <f>IF($N295="","",Sync!$L295)</f>
        <v/>
      </c>
      <c r="W295">
        <f>IF($N295="","",Sync!$P295)</f>
        <v/>
      </c>
      <c r="AA295">
        <f>IF($A295="","",IF(COUNTIF($A$6:$A295,$A295)=1,1,0))</f>
        <v/>
      </c>
      <c r="AB295">
        <f>SUM($AA$6:$AA295)</f>
        <v/>
      </c>
      <c r="AC295">
        <f>IFERROR(INDEX($A$6:$A$1005,MATCH(ROW()-5,$AB$6:$AB$1005,0)),"")</f>
        <v/>
      </c>
    </row>
    <row r="296">
      <c r="A296">
        <f>IF(OR(Entry!$B299="",Entry!$E299="",$E296="نامعتبر"),"",Entry!$E299)</f>
        <v/>
      </c>
      <c r="B296">
        <f>IF($A296="","",LEFT($E296,4)&amp;MID($E296,6,2)&amp;RIGHT($E296,2)&amp;$F296&amp;"|"&amp;"1"&amp;RIGHT("00000"&amp;291,5))</f>
        <v/>
      </c>
      <c r="C296">
        <f>IF($B296="","",COUNTIFS($A$6:$A$1005,$A296,$B$6:$B$1005,"&lt;"&amp;$B296)+COUNTIFS($N$6:$N$2005,$A296,$P$6:$P$2005,"&lt;"&amp;$B296)+1)</f>
        <v/>
      </c>
      <c r="D296">
        <f>IF($C296="","",$A296&amp;"|"&amp;RIGHT("000000"&amp;$C296,6))</f>
        <v/>
      </c>
      <c r="E296">
        <f>IF(Entry!$B299="","",IF(ISNUMBER(Entry!$B299),IF(AND(Entry!$B299&gt;=10000101,Entry!$B299&lt;=99991231),INT(Entry!$B299/10000)&amp;"/"&amp;RIGHT("00"&amp;INT(MOD(Entry!$B299,10000)/100),2)&amp;"/"&amp;RIGHT("00"&amp;MOD(Entry!$B299,100),2),"نامعتبر"),IF(LEN(Entry!$B299)=10,Entry!$B299,"نامعتبر")))</f>
        <v/>
      </c>
      <c r="F296">
        <f>IF(Entry!$B299="","",IF(Entry!$C299="","0000",IF(AND(ISNUMBER(Entry!$C299),Entry!$C299&gt;=0,Entry!$C299&lt;1),RIGHT("00"&amp;HOUR(Entry!$C299),2)&amp;RIGHT("00"&amp;MINUTE(Entry!$C299),2),IFERROR(RIGHT("00"&amp;VALUE(LEFT(Entry!$C299,FIND(":",Entry!$C299)-1)),2)&amp;RIGHT("00"&amp;VALUE(MID(Entry!$C299,FIND(":",Entry!$C299)+1,2)),2),"0000"))))</f>
        <v/>
      </c>
      <c r="G296">
        <f>IF($A296="","",Entry!$G299)</f>
        <v/>
      </c>
      <c r="H296">
        <f>IF($A296="","",IF(Entry!$H299="",0,Entry!$H299))</f>
        <v/>
      </c>
      <c r="I296">
        <f>IF($A296="","",IF(Entry!$I299="",0,Entry!$I299))</f>
        <v/>
      </c>
      <c r="J296">
        <f>IF($A296="","",ROUND($H296*$I296,0))</f>
        <v/>
      </c>
      <c r="K296">
        <f>IF($A296="","",Entry!$D299)</f>
        <v/>
      </c>
      <c r="L296">
        <f>IF($A296="","",Entry!$L299)</f>
        <v/>
      </c>
      <c r="N296">
        <f>IF(OR(Sync!$M296="",$Q296="",$Q296="نامعتبر"),"",Sync!$M296)</f>
        <v/>
      </c>
      <c r="O296">
        <f>IF($N296="","",$Q296)</f>
        <v/>
      </c>
      <c r="P296">
        <f>IF($N296="","",LEFT($Q296,4)&amp;MID($Q296,6,2)&amp;RIGHT($Q296,2)&amp;IF(Sync!$K296="","0000",IF(AND(ISNUMBER(Sync!$K296),Sync!$K296&gt;=0,Sync!$K296&lt;1),RIGHT("00"&amp;HOUR(Sync!$K296),2)&amp;RIGHT("00"&amp;MINUTE(Sync!$K296),2),IFERROR(RIGHT("00"&amp;VALUE(LEFT(Sync!$K296,FIND(":",Sync!$K296)-1)),2)&amp;RIGHT("00"&amp;VALUE(MID(Sync!$K296,FIND(":",Sync!$K296)+1,2)),2),"0000")))&amp;"|"&amp;"2"&amp;RIGHT("00000"&amp;291,5))</f>
        <v/>
      </c>
      <c r="Q296">
        <f>IF(Sync!$J296="","",IF(ISNUMBER(Sync!$J296),IF(AND(Sync!$J296&gt;=10000101,Sync!$J296&lt;=99991231),INT(Sync!$J296/10000)&amp;"/"&amp;RIGHT("00"&amp;INT(MOD(Sync!$J296,10000)/100),2)&amp;"/"&amp;RIGHT("00"&amp;MOD(Sync!$J296,100),2),"نامعتبر"),IF(LEN(Sync!$J296)=10,Sync!$J296,"نامعتبر")))</f>
        <v/>
      </c>
      <c r="R296">
        <f>IF($P296="","",COUNTIFS($N$6:$N$2005,$N296,$P$6:$P$2005,"&lt;"&amp;$P296)+COUNTIFS($A$6:$A$1005,$N296,$B$6:$B$1005,"&lt;"&amp;$P296)+1)</f>
        <v/>
      </c>
      <c r="S296">
        <f>IF($N296="","",$N296&amp;"|"&amp;RIGHT("000000"&amp;$R296,6))</f>
        <v/>
      </c>
      <c r="T296">
        <f>IF($N296="","",IF(Sync!$N296="",0,Sync!$N296))</f>
        <v/>
      </c>
      <c r="U296">
        <f>IF($N296="","",IF(Sync!$O296="",0,Sync!$O296))</f>
        <v/>
      </c>
      <c r="V296">
        <f>IF($N296="","",Sync!$L296)</f>
        <v/>
      </c>
      <c r="W296">
        <f>IF($N296="","",Sync!$P296)</f>
        <v/>
      </c>
      <c r="AA296">
        <f>IF($A296="","",IF(COUNTIF($A$6:$A296,$A296)=1,1,0))</f>
        <v/>
      </c>
      <c r="AB296">
        <f>SUM($AA$6:$AA296)</f>
        <v/>
      </c>
      <c r="AC296">
        <f>IFERROR(INDEX($A$6:$A$1005,MATCH(ROW()-5,$AB$6:$AB$1005,0)),"")</f>
        <v/>
      </c>
    </row>
    <row r="297">
      <c r="A297">
        <f>IF(OR(Entry!$B300="",Entry!$E300="",$E297="نامعتبر"),"",Entry!$E300)</f>
        <v/>
      </c>
      <c r="B297">
        <f>IF($A297="","",LEFT($E297,4)&amp;MID($E297,6,2)&amp;RIGHT($E297,2)&amp;$F297&amp;"|"&amp;"1"&amp;RIGHT("00000"&amp;292,5))</f>
        <v/>
      </c>
      <c r="C297">
        <f>IF($B297="","",COUNTIFS($A$6:$A$1005,$A297,$B$6:$B$1005,"&lt;"&amp;$B297)+COUNTIFS($N$6:$N$2005,$A297,$P$6:$P$2005,"&lt;"&amp;$B297)+1)</f>
        <v/>
      </c>
      <c r="D297">
        <f>IF($C297="","",$A297&amp;"|"&amp;RIGHT("000000"&amp;$C297,6))</f>
        <v/>
      </c>
      <c r="E297">
        <f>IF(Entry!$B300="","",IF(ISNUMBER(Entry!$B300),IF(AND(Entry!$B300&gt;=10000101,Entry!$B300&lt;=99991231),INT(Entry!$B300/10000)&amp;"/"&amp;RIGHT("00"&amp;INT(MOD(Entry!$B300,10000)/100),2)&amp;"/"&amp;RIGHT("00"&amp;MOD(Entry!$B300,100),2),"نامعتبر"),IF(LEN(Entry!$B300)=10,Entry!$B300,"نامعتبر")))</f>
        <v/>
      </c>
      <c r="F297">
        <f>IF(Entry!$B300="","",IF(Entry!$C300="","0000",IF(AND(ISNUMBER(Entry!$C300),Entry!$C300&gt;=0,Entry!$C300&lt;1),RIGHT("00"&amp;HOUR(Entry!$C300),2)&amp;RIGHT("00"&amp;MINUTE(Entry!$C300),2),IFERROR(RIGHT("00"&amp;VALUE(LEFT(Entry!$C300,FIND(":",Entry!$C300)-1)),2)&amp;RIGHT("00"&amp;VALUE(MID(Entry!$C300,FIND(":",Entry!$C300)+1,2)),2),"0000"))))</f>
        <v/>
      </c>
      <c r="G297">
        <f>IF($A297="","",Entry!$G300)</f>
        <v/>
      </c>
      <c r="H297">
        <f>IF($A297="","",IF(Entry!$H300="",0,Entry!$H300))</f>
        <v/>
      </c>
      <c r="I297">
        <f>IF($A297="","",IF(Entry!$I300="",0,Entry!$I300))</f>
        <v/>
      </c>
      <c r="J297">
        <f>IF($A297="","",ROUND($H297*$I297,0))</f>
        <v/>
      </c>
      <c r="K297">
        <f>IF($A297="","",Entry!$D300)</f>
        <v/>
      </c>
      <c r="L297">
        <f>IF($A297="","",Entry!$L300)</f>
        <v/>
      </c>
      <c r="N297">
        <f>IF(OR(Sync!$M297="",$Q297="",$Q297="نامعتبر"),"",Sync!$M297)</f>
        <v/>
      </c>
      <c r="O297">
        <f>IF($N297="","",$Q297)</f>
        <v/>
      </c>
      <c r="P297">
        <f>IF($N297="","",LEFT($Q297,4)&amp;MID($Q297,6,2)&amp;RIGHT($Q297,2)&amp;IF(Sync!$K297="","0000",IF(AND(ISNUMBER(Sync!$K297),Sync!$K297&gt;=0,Sync!$K297&lt;1),RIGHT("00"&amp;HOUR(Sync!$K297),2)&amp;RIGHT("00"&amp;MINUTE(Sync!$K297),2),IFERROR(RIGHT("00"&amp;VALUE(LEFT(Sync!$K297,FIND(":",Sync!$K297)-1)),2)&amp;RIGHT("00"&amp;VALUE(MID(Sync!$K297,FIND(":",Sync!$K297)+1,2)),2),"0000")))&amp;"|"&amp;"2"&amp;RIGHT("00000"&amp;292,5))</f>
        <v/>
      </c>
      <c r="Q297">
        <f>IF(Sync!$J297="","",IF(ISNUMBER(Sync!$J297),IF(AND(Sync!$J297&gt;=10000101,Sync!$J297&lt;=99991231),INT(Sync!$J297/10000)&amp;"/"&amp;RIGHT("00"&amp;INT(MOD(Sync!$J297,10000)/100),2)&amp;"/"&amp;RIGHT("00"&amp;MOD(Sync!$J297,100),2),"نامعتبر"),IF(LEN(Sync!$J297)=10,Sync!$J297,"نامعتبر")))</f>
        <v/>
      </c>
      <c r="R297">
        <f>IF($P297="","",COUNTIFS($N$6:$N$2005,$N297,$P$6:$P$2005,"&lt;"&amp;$P297)+COUNTIFS($A$6:$A$1005,$N297,$B$6:$B$1005,"&lt;"&amp;$P297)+1)</f>
        <v/>
      </c>
      <c r="S297">
        <f>IF($N297="","",$N297&amp;"|"&amp;RIGHT("000000"&amp;$R297,6))</f>
        <v/>
      </c>
      <c r="T297">
        <f>IF($N297="","",IF(Sync!$N297="",0,Sync!$N297))</f>
        <v/>
      </c>
      <c r="U297">
        <f>IF($N297="","",IF(Sync!$O297="",0,Sync!$O297))</f>
        <v/>
      </c>
      <c r="V297">
        <f>IF($N297="","",Sync!$L297)</f>
        <v/>
      </c>
      <c r="W297">
        <f>IF($N297="","",Sync!$P297)</f>
        <v/>
      </c>
      <c r="AA297">
        <f>IF($A297="","",IF(COUNTIF($A$6:$A297,$A297)=1,1,0))</f>
        <v/>
      </c>
      <c r="AB297">
        <f>SUM($AA$6:$AA297)</f>
        <v/>
      </c>
      <c r="AC297">
        <f>IFERROR(INDEX($A$6:$A$1005,MATCH(ROW()-5,$AB$6:$AB$1005,0)),"")</f>
        <v/>
      </c>
    </row>
    <row r="298">
      <c r="A298">
        <f>IF(OR(Entry!$B301="",Entry!$E301="",$E298="نامعتبر"),"",Entry!$E301)</f>
        <v/>
      </c>
      <c r="B298">
        <f>IF($A298="","",LEFT($E298,4)&amp;MID($E298,6,2)&amp;RIGHT($E298,2)&amp;$F298&amp;"|"&amp;"1"&amp;RIGHT("00000"&amp;293,5))</f>
        <v/>
      </c>
      <c r="C298">
        <f>IF($B298="","",COUNTIFS($A$6:$A$1005,$A298,$B$6:$B$1005,"&lt;"&amp;$B298)+COUNTIFS($N$6:$N$2005,$A298,$P$6:$P$2005,"&lt;"&amp;$B298)+1)</f>
        <v/>
      </c>
      <c r="D298">
        <f>IF($C298="","",$A298&amp;"|"&amp;RIGHT("000000"&amp;$C298,6))</f>
        <v/>
      </c>
      <c r="E298">
        <f>IF(Entry!$B301="","",IF(ISNUMBER(Entry!$B301),IF(AND(Entry!$B301&gt;=10000101,Entry!$B301&lt;=99991231),INT(Entry!$B301/10000)&amp;"/"&amp;RIGHT("00"&amp;INT(MOD(Entry!$B301,10000)/100),2)&amp;"/"&amp;RIGHT("00"&amp;MOD(Entry!$B301,100),2),"نامعتبر"),IF(LEN(Entry!$B301)=10,Entry!$B301,"نامعتبر")))</f>
        <v/>
      </c>
      <c r="F298">
        <f>IF(Entry!$B301="","",IF(Entry!$C301="","0000",IF(AND(ISNUMBER(Entry!$C301),Entry!$C301&gt;=0,Entry!$C301&lt;1),RIGHT("00"&amp;HOUR(Entry!$C301),2)&amp;RIGHT("00"&amp;MINUTE(Entry!$C301),2),IFERROR(RIGHT("00"&amp;VALUE(LEFT(Entry!$C301,FIND(":",Entry!$C301)-1)),2)&amp;RIGHT("00"&amp;VALUE(MID(Entry!$C301,FIND(":",Entry!$C301)+1,2)),2),"0000"))))</f>
        <v/>
      </c>
      <c r="G298">
        <f>IF($A298="","",Entry!$G301)</f>
        <v/>
      </c>
      <c r="H298">
        <f>IF($A298="","",IF(Entry!$H301="",0,Entry!$H301))</f>
        <v/>
      </c>
      <c r="I298">
        <f>IF($A298="","",IF(Entry!$I301="",0,Entry!$I301))</f>
        <v/>
      </c>
      <c r="J298">
        <f>IF($A298="","",ROUND($H298*$I298,0))</f>
        <v/>
      </c>
      <c r="K298">
        <f>IF($A298="","",Entry!$D301)</f>
        <v/>
      </c>
      <c r="L298">
        <f>IF($A298="","",Entry!$L301)</f>
        <v/>
      </c>
      <c r="N298">
        <f>IF(OR(Sync!$M298="",$Q298="",$Q298="نامعتبر"),"",Sync!$M298)</f>
        <v/>
      </c>
      <c r="O298">
        <f>IF($N298="","",$Q298)</f>
        <v/>
      </c>
      <c r="P298">
        <f>IF($N298="","",LEFT($Q298,4)&amp;MID($Q298,6,2)&amp;RIGHT($Q298,2)&amp;IF(Sync!$K298="","0000",IF(AND(ISNUMBER(Sync!$K298),Sync!$K298&gt;=0,Sync!$K298&lt;1),RIGHT("00"&amp;HOUR(Sync!$K298),2)&amp;RIGHT("00"&amp;MINUTE(Sync!$K298),2),IFERROR(RIGHT("00"&amp;VALUE(LEFT(Sync!$K298,FIND(":",Sync!$K298)-1)),2)&amp;RIGHT("00"&amp;VALUE(MID(Sync!$K298,FIND(":",Sync!$K298)+1,2)),2),"0000")))&amp;"|"&amp;"2"&amp;RIGHT("00000"&amp;293,5))</f>
        <v/>
      </c>
      <c r="Q298">
        <f>IF(Sync!$J298="","",IF(ISNUMBER(Sync!$J298),IF(AND(Sync!$J298&gt;=10000101,Sync!$J298&lt;=99991231),INT(Sync!$J298/10000)&amp;"/"&amp;RIGHT("00"&amp;INT(MOD(Sync!$J298,10000)/100),2)&amp;"/"&amp;RIGHT("00"&amp;MOD(Sync!$J298,100),2),"نامعتبر"),IF(LEN(Sync!$J298)=10,Sync!$J298,"نامعتبر")))</f>
        <v/>
      </c>
      <c r="R298">
        <f>IF($P298="","",COUNTIFS($N$6:$N$2005,$N298,$P$6:$P$2005,"&lt;"&amp;$P298)+COUNTIFS($A$6:$A$1005,$N298,$B$6:$B$1005,"&lt;"&amp;$P298)+1)</f>
        <v/>
      </c>
      <c r="S298">
        <f>IF($N298="","",$N298&amp;"|"&amp;RIGHT("000000"&amp;$R298,6))</f>
        <v/>
      </c>
      <c r="T298">
        <f>IF($N298="","",IF(Sync!$N298="",0,Sync!$N298))</f>
        <v/>
      </c>
      <c r="U298">
        <f>IF($N298="","",IF(Sync!$O298="",0,Sync!$O298))</f>
        <v/>
      </c>
      <c r="V298">
        <f>IF($N298="","",Sync!$L298)</f>
        <v/>
      </c>
      <c r="W298">
        <f>IF($N298="","",Sync!$P298)</f>
        <v/>
      </c>
      <c r="AA298">
        <f>IF($A298="","",IF(COUNTIF($A$6:$A298,$A298)=1,1,0))</f>
        <v/>
      </c>
      <c r="AB298">
        <f>SUM($AA$6:$AA298)</f>
        <v/>
      </c>
      <c r="AC298">
        <f>IFERROR(INDEX($A$6:$A$1005,MATCH(ROW()-5,$AB$6:$AB$1005,0)),"")</f>
        <v/>
      </c>
    </row>
    <row r="299">
      <c r="A299">
        <f>IF(OR(Entry!$B302="",Entry!$E302="",$E299="نامعتبر"),"",Entry!$E302)</f>
        <v/>
      </c>
      <c r="B299">
        <f>IF($A299="","",LEFT($E299,4)&amp;MID($E299,6,2)&amp;RIGHT($E299,2)&amp;$F299&amp;"|"&amp;"1"&amp;RIGHT("00000"&amp;294,5))</f>
        <v/>
      </c>
      <c r="C299">
        <f>IF($B299="","",COUNTIFS($A$6:$A$1005,$A299,$B$6:$B$1005,"&lt;"&amp;$B299)+COUNTIFS($N$6:$N$2005,$A299,$P$6:$P$2005,"&lt;"&amp;$B299)+1)</f>
        <v/>
      </c>
      <c r="D299">
        <f>IF($C299="","",$A299&amp;"|"&amp;RIGHT("000000"&amp;$C299,6))</f>
        <v/>
      </c>
      <c r="E299">
        <f>IF(Entry!$B302="","",IF(ISNUMBER(Entry!$B302),IF(AND(Entry!$B302&gt;=10000101,Entry!$B302&lt;=99991231),INT(Entry!$B302/10000)&amp;"/"&amp;RIGHT("00"&amp;INT(MOD(Entry!$B302,10000)/100),2)&amp;"/"&amp;RIGHT("00"&amp;MOD(Entry!$B302,100),2),"نامعتبر"),IF(LEN(Entry!$B302)=10,Entry!$B302,"نامعتبر")))</f>
        <v/>
      </c>
      <c r="F299">
        <f>IF(Entry!$B302="","",IF(Entry!$C302="","0000",IF(AND(ISNUMBER(Entry!$C302),Entry!$C302&gt;=0,Entry!$C302&lt;1),RIGHT("00"&amp;HOUR(Entry!$C302),2)&amp;RIGHT("00"&amp;MINUTE(Entry!$C302),2),IFERROR(RIGHT("00"&amp;VALUE(LEFT(Entry!$C302,FIND(":",Entry!$C302)-1)),2)&amp;RIGHT("00"&amp;VALUE(MID(Entry!$C302,FIND(":",Entry!$C302)+1,2)),2),"0000"))))</f>
        <v/>
      </c>
      <c r="G299">
        <f>IF($A299="","",Entry!$G302)</f>
        <v/>
      </c>
      <c r="H299">
        <f>IF($A299="","",IF(Entry!$H302="",0,Entry!$H302))</f>
        <v/>
      </c>
      <c r="I299">
        <f>IF($A299="","",IF(Entry!$I302="",0,Entry!$I302))</f>
        <v/>
      </c>
      <c r="J299">
        <f>IF($A299="","",ROUND($H299*$I299,0))</f>
        <v/>
      </c>
      <c r="K299">
        <f>IF($A299="","",Entry!$D302)</f>
        <v/>
      </c>
      <c r="L299">
        <f>IF($A299="","",Entry!$L302)</f>
        <v/>
      </c>
      <c r="N299">
        <f>IF(OR(Sync!$M299="",$Q299="",$Q299="نامعتبر"),"",Sync!$M299)</f>
        <v/>
      </c>
      <c r="O299">
        <f>IF($N299="","",$Q299)</f>
        <v/>
      </c>
      <c r="P299">
        <f>IF($N299="","",LEFT($Q299,4)&amp;MID($Q299,6,2)&amp;RIGHT($Q299,2)&amp;IF(Sync!$K299="","0000",IF(AND(ISNUMBER(Sync!$K299),Sync!$K299&gt;=0,Sync!$K299&lt;1),RIGHT("00"&amp;HOUR(Sync!$K299),2)&amp;RIGHT("00"&amp;MINUTE(Sync!$K299),2),IFERROR(RIGHT("00"&amp;VALUE(LEFT(Sync!$K299,FIND(":",Sync!$K299)-1)),2)&amp;RIGHT("00"&amp;VALUE(MID(Sync!$K299,FIND(":",Sync!$K299)+1,2)),2),"0000")))&amp;"|"&amp;"2"&amp;RIGHT("00000"&amp;294,5))</f>
        <v/>
      </c>
      <c r="Q299">
        <f>IF(Sync!$J299="","",IF(ISNUMBER(Sync!$J299),IF(AND(Sync!$J299&gt;=10000101,Sync!$J299&lt;=99991231),INT(Sync!$J299/10000)&amp;"/"&amp;RIGHT("00"&amp;INT(MOD(Sync!$J299,10000)/100),2)&amp;"/"&amp;RIGHT("00"&amp;MOD(Sync!$J299,100),2),"نامعتبر"),IF(LEN(Sync!$J299)=10,Sync!$J299,"نامعتبر")))</f>
        <v/>
      </c>
      <c r="R299">
        <f>IF($P299="","",COUNTIFS($N$6:$N$2005,$N299,$P$6:$P$2005,"&lt;"&amp;$P299)+COUNTIFS($A$6:$A$1005,$N299,$B$6:$B$1005,"&lt;"&amp;$P299)+1)</f>
        <v/>
      </c>
      <c r="S299">
        <f>IF($N299="","",$N299&amp;"|"&amp;RIGHT("000000"&amp;$R299,6))</f>
        <v/>
      </c>
      <c r="T299">
        <f>IF($N299="","",IF(Sync!$N299="",0,Sync!$N299))</f>
        <v/>
      </c>
      <c r="U299">
        <f>IF($N299="","",IF(Sync!$O299="",0,Sync!$O299))</f>
        <v/>
      </c>
      <c r="V299">
        <f>IF($N299="","",Sync!$L299)</f>
        <v/>
      </c>
      <c r="W299">
        <f>IF($N299="","",Sync!$P299)</f>
        <v/>
      </c>
      <c r="AA299">
        <f>IF($A299="","",IF(COUNTIF($A$6:$A299,$A299)=1,1,0))</f>
        <v/>
      </c>
      <c r="AB299">
        <f>SUM($AA$6:$AA299)</f>
        <v/>
      </c>
      <c r="AC299">
        <f>IFERROR(INDEX($A$6:$A$1005,MATCH(ROW()-5,$AB$6:$AB$1005,0)),"")</f>
        <v/>
      </c>
    </row>
    <row r="300">
      <c r="A300">
        <f>IF(OR(Entry!$B303="",Entry!$E303="",$E300="نامعتبر"),"",Entry!$E303)</f>
        <v/>
      </c>
      <c r="B300">
        <f>IF($A300="","",LEFT($E300,4)&amp;MID($E300,6,2)&amp;RIGHT($E300,2)&amp;$F300&amp;"|"&amp;"1"&amp;RIGHT("00000"&amp;295,5))</f>
        <v/>
      </c>
      <c r="C300">
        <f>IF($B300="","",COUNTIFS($A$6:$A$1005,$A300,$B$6:$B$1005,"&lt;"&amp;$B300)+COUNTIFS($N$6:$N$2005,$A300,$P$6:$P$2005,"&lt;"&amp;$B300)+1)</f>
        <v/>
      </c>
      <c r="D300">
        <f>IF($C300="","",$A300&amp;"|"&amp;RIGHT("000000"&amp;$C300,6))</f>
        <v/>
      </c>
      <c r="E300">
        <f>IF(Entry!$B303="","",IF(ISNUMBER(Entry!$B303),IF(AND(Entry!$B303&gt;=10000101,Entry!$B303&lt;=99991231),INT(Entry!$B303/10000)&amp;"/"&amp;RIGHT("00"&amp;INT(MOD(Entry!$B303,10000)/100),2)&amp;"/"&amp;RIGHT("00"&amp;MOD(Entry!$B303,100),2),"نامعتبر"),IF(LEN(Entry!$B303)=10,Entry!$B303,"نامعتبر")))</f>
        <v/>
      </c>
      <c r="F300">
        <f>IF(Entry!$B303="","",IF(Entry!$C303="","0000",IF(AND(ISNUMBER(Entry!$C303),Entry!$C303&gt;=0,Entry!$C303&lt;1),RIGHT("00"&amp;HOUR(Entry!$C303),2)&amp;RIGHT("00"&amp;MINUTE(Entry!$C303),2),IFERROR(RIGHT("00"&amp;VALUE(LEFT(Entry!$C303,FIND(":",Entry!$C303)-1)),2)&amp;RIGHT("00"&amp;VALUE(MID(Entry!$C303,FIND(":",Entry!$C303)+1,2)),2),"0000"))))</f>
        <v/>
      </c>
      <c r="G300">
        <f>IF($A300="","",Entry!$G303)</f>
        <v/>
      </c>
      <c r="H300">
        <f>IF($A300="","",IF(Entry!$H303="",0,Entry!$H303))</f>
        <v/>
      </c>
      <c r="I300">
        <f>IF($A300="","",IF(Entry!$I303="",0,Entry!$I303))</f>
        <v/>
      </c>
      <c r="J300">
        <f>IF($A300="","",ROUND($H300*$I300,0))</f>
        <v/>
      </c>
      <c r="K300">
        <f>IF($A300="","",Entry!$D303)</f>
        <v/>
      </c>
      <c r="L300">
        <f>IF($A300="","",Entry!$L303)</f>
        <v/>
      </c>
      <c r="N300">
        <f>IF(OR(Sync!$M300="",$Q300="",$Q300="نامعتبر"),"",Sync!$M300)</f>
        <v/>
      </c>
      <c r="O300">
        <f>IF($N300="","",$Q300)</f>
        <v/>
      </c>
      <c r="P300">
        <f>IF($N300="","",LEFT($Q300,4)&amp;MID($Q300,6,2)&amp;RIGHT($Q300,2)&amp;IF(Sync!$K300="","0000",IF(AND(ISNUMBER(Sync!$K300),Sync!$K300&gt;=0,Sync!$K300&lt;1),RIGHT("00"&amp;HOUR(Sync!$K300),2)&amp;RIGHT("00"&amp;MINUTE(Sync!$K300),2),IFERROR(RIGHT("00"&amp;VALUE(LEFT(Sync!$K300,FIND(":",Sync!$K300)-1)),2)&amp;RIGHT("00"&amp;VALUE(MID(Sync!$K300,FIND(":",Sync!$K300)+1,2)),2),"0000")))&amp;"|"&amp;"2"&amp;RIGHT("00000"&amp;295,5))</f>
        <v/>
      </c>
      <c r="Q300">
        <f>IF(Sync!$J300="","",IF(ISNUMBER(Sync!$J300),IF(AND(Sync!$J300&gt;=10000101,Sync!$J300&lt;=99991231),INT(Sync!$J300/10000)&amp;"/"&amp;RIGHT("00"&amp;INT(MOD(Sync!$J300,10000)/100),2)&amp;"/"&amp;RIGHT("00"&amp;MOD(Sync!$J300,100),2),"نامعتبر"),IF(LEN(Sync!$J300)=10,Sync!$J300,"نامعتبر")))</f>
        <v/>
      </c>
      <c r="R300">
        <f>IF($P300="","",COUNTIFS($N$6:$N$2005,$N300,$P$6:$P$2005,"&lt;"&amp;$P300)+COUNTIFS($A$6:$A$1005,$N300,$B$6:$B$1005,"&lt;"&amp;$P300)+1)</f>
        <v/>
      </c>
      <c r="S300">
        <f>IF($N300="","",$N300&amp;"|"&amp;RIGHT("000000"&amp;$R300,6))</f>
        <v/>
      </c>
      <c r="T300">
        <f>IF($N300="","",IF(Sync!$N300="",0,Sync!$N300))</f>
        <v/>
      </c>
      <c r="U300">
        <f>IF($N300="","",IF(Sync!$O300="",0,Sync!$O300))</f>
        <v/>
      </c>
      <c r="V300">
        <f>IF($N300="","",Sync!$L300)</f>
        <v/>
      </c>
      <c r="W300">
        <f>IF($N300="","",Sync!$P300)</f>
        <v/>
      </c>
      <c r="AA300">
        <f>IF($A300="","",IF(COUNTIF($A$6:$A300,$A300)=1,1,0))</f>
        <v/>
      </c>
      <c r="AB300">
        <f>SUM($AA$6:$AA300)</f>
        <v/>
      </c>
      <c r="AC300">
        <f>IFERROR(INDEX($A$6:$A$1005,MATCH(ROW()-5,$AB$6:$AB$1005,0)),"")</f>
        <v/>
      </c>
    </row>
    <row r="301">
      <c r="A301">
        <f>IF(OR(Entry!$B304="",Entry!$E304="",$E301="نامعتبر"),"",Entry!$E304)</f>
        <v/>
      </c>
      <c r="B301">
        <f>IF($A301="","",LEFT($E301,4)&amp;MID($E301,6,2)&amp;RIGHT($E301,2)&amp;$F301&amp;"|"&amp;"1"&amp;RIGHT("00000"&amp;296,5))</f>
        <v/>
      </c>
      <c r="C301">
        <f>IF($B301="","",COUNTIFS($A$6:$A$1005,$A301,$B$6:$B$1005,"&lt;"&amp;$B301)+COUNTIFS($N$6:$N$2005,$A301,$P$6:$P$2005,"&lt;"&amp;$B301)+1)</f>
        <v/>
      </c>
      <c r="D301">
        <f>IF($C301="","",$A301&amp;"|"&amp;RIGHT("000000"&amp;$C301,6))</f>
        <v/>
      </c>
      <c r="E301">
        <f>IF(Entry!$B304="","",IF(ISNUMBER(Entry!$B304),IF(AND(Entry!$B304&gt;=10000101,Entry!$B304&lt;=99991231),INT(Entry!$B304/10000)&amp;"/"&amp;RIGHT("00"&amp;INT(MOD(Entry!$B304,10000)/100),2)&amp;"/"&amp;RIGHT("00"&amp;MOD(Entry!$B304,100),2),"نامعتبر"),IF(LEN(Entry!$B304)=10,Entry!$B304,"نامعتبر")))</f>
        <v/>
      </c>
      <c r="F301">
        <f>IF(Entry!$B304="","",IF(Entry!$C304="","0000",IF(AND(ISNUMBER(Entry!$C304),Entry!$C304&gt;=0,Entry!$C304&lt;1),RIGHT("00"&amp;HOUR(Entry!$C304),2)&amp;RIGHT("00"&amp;MINUTE(Entry!$C304),2),IFERROR(RIGHT("00"&amp;VALUE(LEFT(Entry!$C304,FIND(":",Entry!$C304)-1)),2)&amp;RIGHT("00"&amp;VALUE(MID(Entry!$C304,FIND(":",Entry!$C304)+1,2)),2),"0000"))))</f>
        <v/>
      </c>
      <c r="G301">
        <f>IF($A301="","",Entry!$G304)</f>
        <v/>
      </c>
      <c r="H301">
        <f>IF($A301="","",IF(Entry!$H304="",0,Entry!$H304))</f>
        <v/>
      </c>
      <c r="I301">
        <f>IF($A301="","",IF(Entry!$I304="",0,Entry!$I304))</f>
        <v/>
      </c>
      <c r="J301">
        <f>IF($A301="","",ROUND($H301*$I301,0))</f>
        <v/>
      </c>
      <c r="K301">
        <f>IF($A301="","",Entry!$D304)</f>
        <v/>
      </c>
      <c r="L301">
        <f>IF($A301="","",Entry!$L304)</f>
        <v/>
      </c>
      <c r="N301">
        <f>IF(OR(Sync!$M301="",$Q301="",$Q301="نامعتبر"),"",Sync!$M301)</f>
        <v/>
      </c>
      <c r="O301">
        <f>IF($N301="","",$Q301)</f>
        <v/>
      </c>
      <c r="P301">
        <f>IF($N301="","",LEFT($Q301,4)&amp;MID($Q301,6,2)&amp;RIGHT($Q301,2)&amp;IF(Sync!$K301="","0000",IF(AND(ISNUMBER(Sync!$K301),Sync!$K301&gt;=0,Sync!$K301&lt;1),RIGHT("00"&amp;HOUR(Sync!$K301),2)&amp;RIGHT("00"&amp;MINUTE(Sync!$K301),2),IFERROR(RIGHT("00"&amp;VALUE(LEFT(Sync!$K301,FIND(":",Sync!$K301)-1)),2)&amp;RIGHT("00"&amp;VALUE(MID(Sync!$K301,FIND(":",Sync!$K301)+1,2)),2),"0000")))&amp;"|"&amp;"2"&amp;RIGHT("00000"&amp;296,5))</f>
        <v/>
      </c>
      <c r="Q301">
        <f>IF(Sync!$J301="","",IF(ISNUMBER(Sync!$J301),IF(AND(Sync!$J301&gt;=10000101,Sync!$J301&lt;=99991231),INT(Sync!$J301/10000)&amp;"/"&amp;RIGHT("00"&amp;INT(MOD(Sync!$J301,10000)/100),2)&amp;"/"&amp;RIGHT("00"&amp;MOD(Sync!$J301,100),2),"نامعتبر"),IF(LEN(Sync!$J301)=10,Sync!$J301,"نامعتبر")))</f>
        <v/>
      </c>
      <c r="R301">
        <f>IF($P301="","",COUNTIFS($N$6:$N$2005,$N301,$P$6:$P$2005,"&lt;"&amp;$P301)+COUNTIFS($A$6:$A$1005,$N301,$B$6:$B$1005,"&lt;"&amp;$P301)+1)</f>
        <v/>
      </c>
      <c r="S301">
        <f>IF($N301="","",$N301&amp;"|"&amp;RIGHT("000000"&amp;$R301,6))</f>
        <v/>
      </c>
      <c r="T301">
        <f>IF($N301="","",IF(Sync!$N301="",0,Sync!$N301))</f>
        <v/>
      </c>
      <c r="U301">
        <f>IF($N301="","",IF(Sync!$O301="",0,Sync!$O301))</f>
        <v/>
      </c>
      <c r="V301">
        <f>IF($N301="","",Sync!$L301)</f>
        <v/>
      </c>
      <c r="W301">
        <f>IF($N301="","",Sync!$P301)</f>
        <v/>
      </c>
      <c r="AA301">
        <f>IF($A301="","",IF(COUNTIF($A$6:$A301,$A301)=1,1,0))</f>
        <v/>
      </c>
      <c r="AB301">
        <f>SUM($AA$6:$AA301)</f>
        <v/>
      </c>
      <c r="AC301">
        <f>IFERROR(INDEX($A$6:$A$1005,MATCH(ROW()-5,$AB$6:$AB$1005,0)),"")</f>
        <v/>
      </c>
    </row>
    <row r="302">
      <c r="A302">
        <f>IF(OR(Entry!$B305="",Entry!$E305="",$E302="نامعتبر"),"",Entry!$E305)</f>
        <v/>
      </c>
      <c r="B302">
        <f>IF($A302="","",LEFT($E302,4)&amp;MID($E302,6,2)&amp;RIGHT($E302,2)&amp;$F302&amp;"|"&amp;"1"&amp;RIGHT("00000"&amp;297,5))</f>
        <v/>
      </c>
      <c r="C302">
        <f>IF($B302="","",COUNTIFS($A$6:$A$1005,$A302,$B$6:$B$1005,"&lt;"&amp;$B302)+COUNTIFS($N$6:$N$2005,$A302,$P$6:$P$2005,"&lt;"&amp;$B302)+1)</f>
        <v/>
      </c>
      <c r="D302">
        <f>IF($C302="","",$A302&amp;"|"&amp;RIGHT("000000"&amp;$C302,6))</f>
        <v/>
      </c>
      <c r="E302">
        <f>IF(Entry!$B305="","",IF(ISNUMBER(Entry!$B305),IF(AND(Entry!$B305&gt;=10000101,Entry!$B305&lt;=99991231),INT(Entry!$B305/10000)&amp;"/"&amp;RIGHT("00"&amp;INT(MOD(Entry!$B305,10000)/100),2)&amp;"/"&amp;RIGHT("00"&amp;MOD(Entry!$B305,100),2),"نامعتبر"),IF(LEN(Entry!$B305)=10,Entry!$B305,"نامعتبر")))</f>
        <v/>
      </c>
      <c r="F302">
        <f>IF(Entry!$B305="","",IF(Entry!$C305="","0000",IF(AND(ISNUMBER(Entry!$C305),Entry!$C305&gt;=0,Entry!$C305&lt;1),RIGHT("00"&amp;HOUR(Entry!$C305),2)&amp;RIGHT("00"&amp;MINUTE(Entry!$C305),2),IFERROR(RIGHT("00"&amp;VALUE(LEFT(Entry!$C305,FIND(":",Entry!$C305)-1)),2)&amp;RIGHT("00"&amp;VALUE(MID(Entry!$C305,FIND(":",Entry!$C305)+1,2)),2),"0000"))))</f>
        <v/>
      </c>
      <c r="G302">
        <f>IF($A302="","",Entry!$G305)</f>
        <v/>
      </c>
      <c r="H302">
        <f>IF($A302="","",IF(Entry!$H305="",0,Entry!$H305))</f>
        <v/>
      </c>
      <c r="I302">
        <f>IF($A302="","",IF(Entry!$I305="",0,Entry!$I305))</f>
        <v/>
      </c>
      <c r="J302">
        <f>IF($A302="","",ROUND($H302*$I302,0))</f>
        <v/>
      </c>
      <c r="K302">
        <f>IF($A302="","",Entry!$D305)</f>
        <v/>
      </c>
      <c r="L302">
        <f>IF($A302="","",Entry!$L305)</f>
        <v/>
      </c>
      <c r="N302">
        <f>IF(OR(Sync!$M302="",$Q302="",$Q302="نامعتبر"),"",Sync!$M302)</f>
        <v/>
      </c>
      <c r="O302">
        <f>IF($N302="","",$Q302)</f>
        <v/>
      </c>
      <c r="P302">
        <f>IF($N302="","",LEFT($Q302,4)&amp;MID($Q302,6,2)&amp;RIGHT($Q302,2)&amp;IF(Sync!$K302="","0000",IF(AND(ISNUMBER(Sync!$K302),Sync!$K302&gt;=0,Sync!$K302&lt;1),RIGHT("00"&amp;HOUR(Sync!$K302),2)&amp;RIGHT("00"&amp;MINUTE(Sync!$K302),2),IFERROR(RIGHT("00"&amp;VALUE(LEFT(Sync!$K302,FIND(":",Sync!$K302)-1)),2)&amp;RIGHT("00"&amp;VALUE(MID(Sync!$K302,FIND(":",Sync!$K302)+1,2)),2),"0000")))&amp;"|"&amp;"2"&amp;RIGHT("00000"&amp;297,5))</f>
        <v/>
      </c>
      <c r="Q302">
        <f>IF(Sync!$J302="","",IF(ISNUMBER(Sync!$J302),IF(AND(Sync!$J302&gt;=10000101,Sync!$J302&lt;=99991231),INT(Sync!$J302/10000)&amp;"/"&amp;RIGHT("00"&amp;INT(MOD(Sync!$J302,10000)/100),2)&amp;"/"&amp;RIGHT("00"&amp;MOD(Sync!$J302,100),2),"نامعتبر"),IF(LEN(Sync!$J302)=10,Sync!$J302,"نامعتبر")))</f>
        <v/>
      </c>
      <c r="R302">
        <f>IF($P302="","",COUNTIFS($N$6:$N$2005,$N302,$P$6:$P$2005,"&lt;"&amp;$P302)+COUNTIFS($A$6:$A$1005,$N302,$B$6:$B$1005,"&lt;"&amp;$P302)+1)</f>
        <v/>
      </c>
      <c r="S302">
        <f>IF($N302="","",$N302&amp;"|"&amp;RIGHT("000000"&amp;$R302,6))</f>
        <v/>
      </c>
      <c r="T302">
        <f>IF($N302="","",IF(Sync!$N302="",0,Sync!$N302))</f>
        <v/>
      </c>
      <c r="U302">
        <f>IF($N302="","",IF(Sync!$O302="",0,Sync!$O302))</f>
        <v/>
      </c>
      <c r="V302">
        <f>IF($N302="","",Sync!$L302)</f>
        <v/>
      </c>
      <c r="W302">
        <f>IF($N302="","",Sync!$P302)</f>
        <v/>
      </c>
      <c r="AA302">
        <f>IF($A302="","",IF(COUNTIF($A$6:$A302,$A302)=1,1,0))</f>
        <v/>
      </c>
      <c r="AB302">
        <f>SUM($AA$6:$AA302)</f>
        <v/>
      </c>
      <c r="AC302">
        <f>IFERROR(INDEX($A$6:$A$1005,MATCH(ROW()-5,$AB$6:$AB$1005,0)),"")</f>
        <v/>
      </c>
    </row>
    <row r="303">
      <c r="A303">
        <f>IF(OR(Entry!$B306="",Entry!$E306="",$E303="نامعتبر"),"",Entry!$E306)</f>
        <v/>
      </c>
      <c r="B303">
        <f>IF($A303="","",LEFT($E303,4)&amp;MID($E303,6,2)&amp;RIGHT($E303,2)&amp;$F303&amp;"|"&amp;"1"&amp;RIGHT("00000"&amp;298,5))</f>
        <v/>
      </c>
      <c r="C303">
        <f>IF($B303="","",COUNTIFS($A$6:$A$1005,$A303,$B$6:$B$1005,"&lt;"&amp;$B303)+COUNTIFS($N$6:$N$2005,$A303,$P$6:$P$2005,"&lt;"&amp;$B303)+1)</f>
        <v/>
      </c>
      <c r="D303">
        <f>IF($C303="","",$A303&amp;"|"&amp;RIGHT("000000"&amp;$C303,6))</f>
        <v/>
      </c>
      <c r="E303">
        <f>IF(Entry!$B306="","",IF(ISNUMBER(Entry!$B306),IF(AND(Entry!$B306&gt;=10000101,Entry!$B306&lt;=99991231),INT(Entry!$B306/10000)&amp;"/"&amp;RIGHT("00"&amp;INT(MOD(Entry!$B306,10000)/100),2)&amp;"/"&amp;RIGHT("00"&amp;MOD(Entry!$B306,100),2),"نامعتبر"),IF(LEN(Entry!$B306)=10,Entry!$B306,"نامعتبر")))</f>
        <v/>
      </c>
      <c r="F303">
        <f>IF(Entry!$B306="","",IF(Entry!$C306="","0000",IF(AND(ISNUMBER(Entry!$C306),Entry!$C306&gt;=0,Entry!$C306&lt;1),RIGHT("00"&amp;HOUR(Entry!$C306),2)&amp;RIGHT("00"&amp;MINUTE(Entry!$C306),2),IFERROR(RIGHT("00"&amp;VALUE(LEFT(Entry!$C306,FIND(":",Entry!$C306)-1)),2)&amp;RIGHT("00"&amp;VALUE(MID(Entry!$C306,FIND(":",Entry!$C306)+1,2)),2),"0000"))))</f>
        <v/>
      </c>
      <c r="G303">
        <f>IF($A303="","",Entry!$G306)</f>
        <v/>
      </c>
      <c r="H303">
        <f>IF($A303="","",IF(Entry!$H306="",0,Entry!$H306))</f>
        <v/>
      </c>
      <c r="I303">
        <f>IF($A303="","",IF(Entry!$I306="",0,Entry!$I306))</f>
        <v/>
      </c>
      <c r="J303">
        <f>IF($A303="","",ROUND($H303*$I303,0))</f>
        <v/>
      </c>
      <c r="K303">
        <f>IF($A303="","",Entry!$D306)</f>
        <v/>
      </c>
      <c r="L303">
        <f>IF($A303="","",Entry!$L306)</f>
        <v/>
      </c>
      <c r="N303">
        <f>IF(OR(Sync!$M303="",$Q303="",$Q303="نامعتبر"),"",Sync!$M303)</f>
        <v/>
      </c>
      <c r="O303">
        <f>IF($N303="","",$Q303)</f>
        <v/>
      </c>
      <c r="P303">
        <f>IF($N303="","",LEFT($Q303,4)&amp;MID($Q303,6,2)&amp;RIGHT($Q303,2)&amp;IF(Sync!$K303="","0000",IF(AND(ISNUMBER(Sync!$K303),Sync!$K303&gt;=0,Sync!$K303&lt;1),RIGHT("00"&amp;HOUR(Sync!$K303),2)&amp;RIGHT("00"&amp;MINUTE(Sync!$K303),2),IFERROR(RIGHT("00"&amp;VALUE(LEFT(Sync!$K303,FIND(":",Sync!$K303)-1)),2)&amp;RIGHT("00"&amp;VALUE(MID(Sync!$K303,FIND(":",Sync!$K303)+1,2)),2),"0000")))&amp;"|"&amp;"2"&amp;RIGHT("00000"&amp;298,5))</f>
        <v/>
      </c>
      <c r="Q303">
        <f>IF(Sync!$J303="","",IF(ISNUMBER(Sync!$J303),IF(AND(Sync!$J303&gt;=10000101,Sync!$J303&lt;=99991231),INT(Sync!$J303/10000)&amp;"/"&amp;RIGHT("00"&amp;INT(MOD(Sync!$J303,10000)/100),2)&amp;"/"&amp;RIGHT("00"&amp;MOD(Sync!$J303,100),2),"نامعتبر"),IF(LEN(Sync!$J303)=10,Sync!$J303,"نامعتبر")))</f>
        <v/>
      </c>
      <c r="R303">
        <f>IF($P303="","",COUNTIFS($N$6:$N$2005,$N303,$P$6:$P$2005,"&lt;"&amp;$P303)+COUNTIFS($A$6:$A$1005,$N303,$B$6:$B$1005,"&lt;"&amp;$P303)+1)</f>
        <v/>
      </c>
      <c r="S303">
        <f>IF($N303="","",$N303&amp;"|"&amp;RIGHT("000000"&amp;$R303,6))</f>
        <v/>
      </c>
      <c r="T303">
        <f>IF($N303="","",IF(Sync!$N303="",0,Sync!$N303))</f>
        <v/>
      </c>
      <c r="U303">
        <f>IF($N303="","",IF(Sync!$O303="",0,Sync!$O303))</f>
        <v/>
      </c>
      <c r="V303">
        <f>IF($N303="","",Sync!$L303)</f>
        <v/>
      </c>
      <c r="W303">
        <f>IF($N303="","",Sync!$P303)</f>
        <v/>
      </c>
      <c r="AA303">
        <f>IF($A303="","",IF(COUNTIF($A$6:$A303,$A303)=1,1,0))</f>
        <v/>
      </c>
      <c r="AB303">
        <f>SUM($AA$6:$AA303)</f>
        <v/>
      </c>
      <c r="AC303">
        <f>IFERROR(INDEX($A$6:$A$1005,MATCH(ROW()-5,$AB$6:$AB$1005,0)),"")</f>
        <v/>
      </c>
    </row>
    <row r="304">
      <c r="A304">
        <f>IF(OR(Entry!$B307="",Entry!$E307="",$E304="نامعتبر"),"",Entry!$E307)</f>
        <v/>
      </c>
      <c r="B304">
        <f>IF($A304="","",LEFT($E304,4)&amp;MID($E304,6,2)&amp;RIGHT($E304,2)&amp;$F304&amp;"|"&amp;"1"&amp;RIGHT("00000"&amp;299,5))</f>
        <v/>
      </c>
      <c r="C304">
        <f>IF($B304="","",COUNTIFS($A$6:$A$1005,$A304,$B$6:$B$1005,"&lt;"&amp;$B304)+COUNTIFS($N$6:$N$2005,$A304,$P$6:$P$2005,"&lt;"&amp;$B304)+1)</f>
        <v/>
      </c>
      <c r="D304">
        <f>IF($C304="","",$A304&amp;"|"&amp;RIGHT("000000"&amp;$C304,6))</f>
        <v/>
      </c>
      <c r="E304">
        <f>IF(Entry!$B307="","",IF(ISNUMBER(Entry!$B307),IF(AND(Entry!$B307&gt;=10000101,Entry!$B307&lt;=99991231),INT(Entry!$B307/10000)&amp;"/"&amp;RIGHT("00"&amp;INT(MOD(Entry!$B307,10000)/100),2)&amp;"/"&amp;RIGHT("00"&amp;MOD(Entry!$B307,100),2),"نامعتبر"),IF(LEN(Entry!$B307)=10,Entry!$B307,"نامعتبر")))</f>
        <v/>
      </c>
      <c r="F304">
        <f>IF(Entry!$B307="","",IF(Entry!$C307="","0000",IF(AND(ISNUMBER(Entry!$C307),Entry!$C307&gt;=0,Entry!$C307&lt;1),RIGHT("00"&amp;HOUR(Entry!$C307),2)&amp;RIGHT("00"&amp;MINUTE(Entry!$C307),2),IFERROR(RIGHT("00"&amp;VALUE(LEFT(Entry!$C307,FIND(":",Entry!$C307)-1)),2)&amp;RIGHT("00"&amp;VALUE(MID(Entry!$C307,FIND(":",Entry!$C307)+1,2)),2),"0000"))))</f>
        <v/>
      </c>
      <c r="G304">
        <f>IF($A304="","",Entry!$G307)</f>
        <v/>
      </c>
      <c r="H304">
        <f>IF($A304="","",IF(Entry!$H307="",0,Entry!$H307))</f>
        <v/>
      </c>
      <c r="I304">
        <f>IF($A304="","",IF(Entry!$I307="",0,Entry!$I307))</f>
        <v/>
      </c>
      <c r="J304">
        <f>IF($A304="","",ROUND($H304*$I304,0))</f>
        <v/>
      </c>
      <c r="K304">
        <f>IF($A304="","",Entry!$D307)</f>
        <v/>
      </c>
      <c r="L304">
        <f>IF($A304="","",Entry!$L307)</f>
        <v/>
      </c>
      <c r="N304">
        <f>IF(OR(Sync!$M304="",$Q304="",$Q304="نامعتبر"),"",Sync!$M304)</f>
        <v/>
      </c>
      <c r="O304">
        <f>IF($N304="","",$Q304)</f>
        <v/>
      </c>
      <c r="P304">
        <f>IF($N304="","",LEFT($Q304,4)&amp;MID($Q304,6,2)&amp;RIGHT($Q304,2)&amp;IF(Sync!$K304="","0000",IF(AND(ISNUMBER(Sync!$K304),Sync!$K304&gt;=0,Sync!$K304&lt;1),RIGHT("00"&amp;HOUR(Sync!$K304),2)&amp;RIGHT("00"&amp;MINUTE(Sync!$K304),2),IFERROR(RIGHT("00"&amp;VALUE(LEFT(Sync!$K304,FIND(":",Sync!$K304)-1)),2)&amp;RIGHT("00"&amp;VALUE(MID(Sync!$K304,FIND(":",Sync!$K304)+1,2)),2),"0000")))&amp;"|"&amp;"2"&amp;RIGHT("00000"&amp;299,5))</f>
        <v/>
      </c>
      <c r="Q304">
        <f>IF(Sync!$J304="","",IF(ISNUMBER(Sync!$J304),IF(AND(Sync!$J304&gt;=10000101,Sync!$J304&lt;=99991231),INT(Sync!$J304/10000)&amp;"/"&amp;RIGHT("00"&amp;INT(MOD(Sync!$J304,10000)/100),2)&amp;"/"&amp;RIGHT("00"&amp;MOD(Sync!$J304,100),2),"نامعتبر"),IF(LEN(Sync!$J304)=10,Sync!$J304,"نامعتبر")))</f>
        <v/>
      </c>
      <c r="R304">
        <f>IF($P304="","",COUNTIFS($N$6:$N$2005,$N304,$P$6:$P$2005,"&lt;"&amp;$P304)+COUNTIFS($A$6:$A$1005,$N304,$B$6:$B$1005,"&lt;"&amp;$P304)+1)</f>
        <v/>
      </c>
      <c r="S304">
        <f>IF($N304="","",$N304&amp;"|"&amp;RIGHT("000000"&amp;$R304,6))</f>
        <v/>
      </c>
      <c r="T304">
        <f>IF($N304="","",IF(Sync!$N304="",0,Sync!$N304))</f>
        <v/>
      </c>
      <c r="U304">
        <f>IF($N304="","",IF(Sync!$O304="",0,Sync!$O304))</f>
        <v/>
      </c>
      <c r="V304">
        <f>IF($N304="","",Sync!$L304)</f>
        <v/>
      </c>
      <c r="W304">
        <f>IF($N304="","",Sync!$P304)</f>
        <v/>
      </c>
      <c r="AA304">
        <f>IF($A304="","",IF(COUNTIF($A$6:$A304,$A304)=1,1,0))</f>
        <v/>
      </c>
      <c r="AB304">
        <f>SUM($AA$6:$AA304)</f>
        <v/>
      </c>
      <c r="AC304">
        <f>IFERROR(INDEX($A$6:$A$1005,MATCH(ROW()-5,$AB$6:$AB$1005,0)),"")</f>
        <v/>
      </c>
    </row>
    <row r="305">
      <c r="A305">
        <f>IF(OR(Entry!$B308="",Entry!$E308="",$E305="نامعتبر"),"",Entry!$E308)</f>
        <v/>
      </c>
      <c r="B305">
        <f>IF($A305="","",LEFT($E305,4)&amp;MID($E305,6,2)&amp;RIGHT($E305,2)&amp;$F305&amp;"|"&amp;"1"&amp;RIGHT("00000"&amp;300,5))</f>
        <v/>
      </c>
      <c r="C305">
        <f>IF($B305="","",COUNTIFS($A$6:$A$1005,$A305,$B$6:$B$1005,"&lt;"&amp;$B305)+COUNTIFS($N$6:$N$2005,$A305,$P$6:$P$2005,"&lt;"&amp;$B305)+1)</f>
        <v/>
      </c>
      <c r="D305">
        <f>IF($C305="","",$A305&amp;"|"&amp;RIGHT("000000"&amp;$C305,6))</f>
        <v/>
      </c>
      <c r="E305">
        <f>IF(Entry!$B308="","",IF(ISNUMBER(Entry!$B308),IF(AND(Entry!$B308&gt;=10000101,Entry!$B308&lt;=99991231),INT(Entry!$B308/10000)&amp;"/"&amp;RIGHT("00"&amp;INT(MOD(Entry!$B308,10000)/100),2)&amp;"/"&amp;RIGHT("00"&amp;MOD(Entry!$B308,100),2),"نامعتبر"),IF(LEN(Entry!$B308)=10,Entry!$B308,"نامعتبر")))</f>
        <v/>
      </c>
      <c r="F305">
        <f>IF(Entry!$B308="","",IF(Entry!$C308="","0000",IF(AND(ISNUMBER(Entry!$C308),Entry!$C308&gt;=0,Entry!$C308&lt;1),RIGHT("00"&amp;HOUR(Entry!$C308),2)&amp;RIGHT("00"&amp;MINUTE(Entry!$C308),2),IFERROR(RIGHT("00"&amp;VALUE(LEFT(Entry!$C308,FIND(":",Entry!$C308)-1)),2)&amp;RIGHT("00"&amp;VALUE(MID(Entry!$C308,FIND(":",Entry!$C308)+1,2)),2),"0000"))))</f>
        <v/>
      </c>
      <c r="G305">
        <f>IF($A305="","",Entry!$G308)</f>
        <v/>
      </c>
      <c r="H305">
        <f>IF($A305="","",IF(Entry!$H308="",0,Entry!$H308))</f>
        <v/>
      </c>
      <c r="I305">
        <f>IF($A305="","",IF(Entry!$I308="",0,Entry!$I308))</f>
        <v/>
      </c>
      <c r="J305">
        <f>IF($A305="","",ROUND($H305*$I305,0))</f>
        <v/>
      </c>
      <c r="K305">
        <f>IF($A305="","",Entry!$D308)</f>
        <v/>
      </c>
      <c r="L305">
        <f>IF($A305="","",Entry!$L308)</f>
        <v/>
      </c>
      <c r="N305">
        <f>IF(OR(Sync!$M305="",$Q305="",$Q305="نامعتبر"),"",Sync!$M305)</f>
        <v/>
      </c>
      <c r="O305">
        <f>IF($N305="","",$Q305)</f>
        <v/>
      </c>
      <c r="P305">
        <f>IF($N305="","",LEFT($Q305,4)&amp;MID($Q305,6,2)&amp;RIGHT($Q305,2)&amp;IF(Sync!$K305="","0000",IF(AND(ISNUMBER(Sync!$K305),Sync!$K305&gt;=0,Sync!$K305&lt;1),RIGHT("00"&amp;HOUR(Sync!$K305),2)&amp;RIGHT("00"&amp;MINUTE(Sync!$K305),2),IFERROR(RIGHT("00"&amp;VALUE(LEFT(Sync!$K305,FIND(":",Sync!$K305)-1)),2)&amp;RIGHT("00"&amp;VALUE(MID(Sync!$K305,FIND(":",Sync!$K305)+1,2)),2),"0000")))&amp;"|"&amp;"2"&amp;RIGHT("00000"&amp;300,5))</f>
        <v/>
      </c>
      <c r="Q305">
        <f>IF(Sync!$J305="","",IF(ISNUMBER(Sync!$J305),IF(AND(Sync!$J305&gt;=10000101,Sync!$J305&lt;=99991231),INT(Sync!$J305/10000)&amp;"/"&amp;RIGHT("00"&amp;INT(MOD(Sync!$J305,10000)/100),2)&amp;"/"&amp;RIGHT("00"&amp;MOD(Sync!$J305,100),2),"نامعتبر"),IF(LEN(Sync!$J305)=10,Sync!$J305,"نامعتبر")))</f>
        <v/>
      </c>
      <c r="R305">
        <f>IF($P305="","",COUNTIFS($N$6:$N$2005,$N305,$P$6:$P$2005,"&lt;"&amp;$P305)+COUNTIFS($A$6:$A$1005,$N305,$B$6:$B$1005,"&lt;"&amp;$P305)+1)</f>
        <v/>
      </c>
      <c r="S305">
        <f>IF($N305="","",$N305&amp;"|"&amp;RIGHT("000000"&amp;$R305,6))</f>
        <v/>
      </c>
      <c r="T305">
        <f>IF($N305="","",IF(Sync!$N305="",0,Sync!$N305))</f>
        <v/>
      </c>
      <c r="U305">
        <f>IF($N305="","",IF(Sync!$O305="",0,Sync!$O305))</f>
        <v/>
      </c>
      <c r="V305">
        <f>IF($N305="","",Sync!$L305)</f>
        <v/>
      </c>
      <c r="W305">
        <f>IF($N305="","",Sync!$P305)</f>
        <v/>
      </c>
      <c r="AA305">
        <f>IF($A305="","",IF(COUNTIF($A$6:$A305,$A305)=1,1,0))</f>
        <v/>
      </c>
      <c r="AB305">
        <f>SUM($AA$6:$AA305)</f>
        <v/>
      </c>
      <c r="AC305">
        <f>IFERROR(INDEX($A$6:$A$1005,MATCH(ROW()-5,$AB$6:$AB$1005,0)),"")</f>
        <v/>
      </c>
    </row>
    <row r="306">
      <c r="A306">
        <f>IF(OR(Entry!$B309="",Entry!$E309="",$E306="نامعتبر"),"",Entry!$E309)</f>
        <v/>
      </c>
      <c r="B306">
        <f>IF($A306="","",LEFT($E306,4)&amp;MID($E306,6,2)&amp;RIGHT($E306,2)&amp;$F306&amp;"|"&amp;"1"&amp;RIGHT("00000"&amp;301,5))</f>
        <v/>
      </c>
      <c r="C306">
        <f>IF($B306="","",COUNTIFS($A$6:$A$1005,$A306,$B$6:$B$1005,"&lt;"&amp;$B306)+COUNTIFS($N$6:$N$2005,$A306,$P$6:$P$2005,"&lt;"&amp;$B306)+1)</f>
        <v/>
      </c>
      <c r="D306">
        <f>IF($C306="","",$A306&amp;"|"&amp;RIGHT("000000"&amp;$C306,6))</f>
        <v/>
      </c>
      <c r="E306">
        <f>IF(Entry!$B309="","",IF(ISNUMBER(Entry!$B309),IF(AND(Entry!$B309&gt;=10000101,Entry!$B309&lt;=99991231),INT(Entry!$B309/10000)&amp;"/"&amp;RIGHT("00"&amp;INT(MOD(Entry!$B309,10000)/100),2)&amp;"/"&amp;RIGHT("00"&amp;MOD(Entry!$B309,100),2),"نامعتبر"),IF(LEN(Entry!$B309)=10,Entry!$B309,"نامعتبر")))</f>
        <v/>
      </c>
      <c r="F306">
        <f>IF(Entry!$B309="","",IF(Entry!$C309="","0000",IF(AND(ISNUMBER(Entry!$C309),Entry!$C309&gt;=0,Entry!$C309&lt;1),RIGHT("00"&amp;HOUR(Entry!$C309),2)&amp;RIGHT("00"&amp;MINUTE(Entry!$C309),2),IFERROR(RIGHT("00"&amp;VALUE(LEFT(Entry!$C309,FIND(":",Entry!$C309)-1)),2)&amp;RIGHT("00"&amp;VALUE(MID(Entry!$C309,FIND(":",Entry!$C309)+1,2)),2),"0000"))))</f>
        <v/>
      </c>
      <c r="G306">
        <f>IF($A306="","",Entry!$G309)</f>
        <v/>
      </c>
      <c r="H306">
        <f>IF($A306="","",IF(Entry!$H309="",0,Entry!$H309))</f>
        <v/>
      </c>
      <c r="I306">
        <f>IF($A306="","",IF(Entry!$I309="",0,Entry!$I309))</f>
        <v/>
      </c>
      <c r="J306">
        <f>IF($A306="","",ROUND($H306*$I306,0))</f>
        <v/>
      </c>
      <c r="K306">
        <f>IF($A306="","",Entry!$D309)</f>
        <v/>
      </c>
      <c r="L306">
        <f>IF($A306="","",Entry!$L309)</f>
        <v/>
      </c>
      <c r="N306">
        <f>IF(OR(Sync!$M306="",$Q306="",$Q306="نامعتبر"),"",Sync!$M306)</f>
        <v/>
      </c>
      <c r="O306">
        <f>IF($N306="","",$Q306)</f>
        <v/>
      </c>
      <c r="P306">
        <f>IF($N306="","",LEFT($Q306,4)&amp;MID($Q306,6,2)&amp;RIGHT($Q306,2)&amp;IF(Sync!$K306="","0000",IF(AND(ISNUMBER(Sync!$K306),Sync!$K306&gt;=0,Sync!$K306&lt;1),RIGHT("00"&amp;HOUR(Sync!$K306),2)&amp;RIGHT("00"&amp;MINUTE(Sync!$K306),2),IFERROR(RIGHT("00"&amp;VALUE(LEFT(Sync!$K306,FIND(":",Sync!$K306)-1)),2)&amp;RIGHT("00"&amp;VALUE(MID(Sync!$K306,FIND(":",Sync!$K306)+1,2)),2),"0000")))&amp;"|"&amp;"2"&amp;RIGHT("00000"&amp;301,5))</f>
        <v/>
      </c>
      <c r="Q306">
        <f>IF(Sync!$J306="","",IF(ISNUMBER(Sync!$J306),IF(AND(Sync!$J306&gt;=10000101,Sync!$J306&lt;=99991231),INT(Sync!$J306/10000)&amp;"/"&amp;RIGHT("00"&amp;INT(MOD(Sync!$J306,10000)/100),2)&amp;"/"&amp;RIGHT("00"&amp;MOD(Sync!$J306,100),2),"نامعتبر"),IF(LEN(Sync!$J306)=10,Sync!$J306,"نامعتبر")))</f>
        <v/>
      </c>
      <c r="R306">
        <f>IF($P306="","",COUNTIFS($N$6:$N$2005,$N306,$P$6:$P$2005,"&lt;"&amp;$P306)+COUNTIFS($A$6:$A$1005,$N306,$B$6:$B$1005,"&lt;"&amp;$P306)+1)</f>
        <v/>
      </c>
      <c r="S306">
        <f>IF($N306="","",$N306&amp;"|"&amp;RIGHT("000000"&amp;$R306,6))</f>
        <v/>
      </c>
      <c r="T306">
        <f>IF($N306="","",IF(Sync!$N306="",0,Sync!$N306))</f>
        <v/>
      </c>
      <c r="U306">
        <f>IF($N306="","",IF(Sync!$O306="",0,Sync!$O306))</f>
        <v/>
      </c>
      <c r="V306">
        <f>IF($N306="","",Sync!$L306)</f>
        <v/>
      </c>
      <c r="W306">
        <f>IF($N306="","",Sync!$P306)</f>
        <v/>
      </c>
      <c r="AA306">
        <f>IF($A306="","",IF(COUNTIF($A$6:$A306,$A306)=1,1,0))</f>
        <v/>
      </c>
      <c r="AB306">
        <f>SUM($AA$6:$AA306)</f>
        <v/>
      </c>
      <c r="AC306">
        <f>IFERROR(INDEX($A$6:$A$1005,MATCH(ROW()-5,$AB$6:$AB$1005,0)),"")</f>
        <v/>
      </c>
    </row>
    <row r="307">
      <c r="A307">
        <f>IF(OR(Entry!$B310="",Entry!$E310="",$E307="نامعتبر"),"",Entry!$E310)</f>
        <v/>
      </c>
      <c r="B307">
        <f>IF($A307="","",LEFT($E307,4)&amp;MID($E307,6,2)&amp;RIGHT($E307,2)&amp;$F307&amp;"|"&amp;"1"&amp;RIGHT("00000"&amp;302,5))</f>
        <v/>
      </c>
      <c r="C307">
        <f>IF($B307="","",COUNTIFS($A$6:$A$1005,$A307,$B$6:$B$1005,"&lt;"&amp;$B307)+COUNTIFS($N$6:$N$2005,$A307,$P$6:$P$2005,"&lt;"&amp;$B307)+1)</f>
        <v/>
      </c>
      <c r="D307">
        <f>IF($C307="","",$A307&amp;"|"&amp;RIGHT("000000"&amp;$C307,6))</f>
        <v/>
      </c>
      <c r="E307">
        <f>IF(Entry!$B310="","",IF(ISNUMBER(Entry!$B310),IF(AND(Entry!$B310&gt;=10000101,Entry!$B310&lt;=99991231),INT(Entry!$B310/10000)&amp;"/"&amp;RIGHT("00"&amp;INT(MOD(Entry!$B310,10000)/100),2)&amp;"/"&amp;RIGHT("00"&amp;MOD(Entry!$B310,100),2),"نامعتبر"),IF(LEN(Entry!$B310)=10,Entry!$B310,"نامعتبر")))</f>
        <v/>
      </c>
      <c r="F307">
        <f>IF(Entry!$B310="","",IF(Entry!$C310="","0000",IF(AND(ISNUMBER(Entry!$C310),Entry!$C310&gt;=0,Entry!$C310&lt;1),RIGHT("00"&amp;HOUR(Entry!$C310),2)&amp;RIGHT("00"&amp;MINUTE(Entry!$C310),2),IFERROR(RIGHT("00"&amp;VALUE(LEFT(Entry!$C310,FIND(":",Entry!$C310)-1)),2)&amp;RIGHT("00"&amp;VALUE(MID(Entry!$C310,FIND(":",Entry!$C310)+1,2)),2),"0000"))))</f>
        <v/>
      </c>
      <c r="G307">
        <f>IF($A307="","",Entry!$G310)</f>
        <v/>
      </c>
      <c r="H307">
        <f>IF($A307="","",IF(Entry!$H310="",0,Entry!$H310))</f>
        <v/>
      </c>
      <c r="I307">
        <f>IF($A307="","",IF(Entry!$I310="",0,Entry!$I310))</f>
        <v/>
      </c>
      <c r="J307">
        <f>IF($A307="","",ROUND($H307*$I307,0))</f>
        <v/>
      </c>
      <c r="K307">
        <f>IF($A307="","",Entry!$D310)</f>
        <v/>
      </c>
      <c r="L307">
        <f>IF($A307="","",Entry!$L310)</f>
        <v/>
      </c>
      <c r="N307">
        <f>IF(OR(Sync!$M307="",$Q307="",$Q307="نامعتبر"),"",Sync!$M307)</f>
        <v/>
      </c>
      <c r="O307">
        <f>IF($N307="","",$Q307)</f>
        <v/>
      </c>
      <c r="P307">
        <f>IF($N307="","",LEFT($Q307,4)&amp;MID($Q307,6,2)&amp;RIGHT($Q307,2)&amp;IF(Sync!$K307="","0000",IF(AND(ISNUMBER(Sync!$K307),Sync!$K307&gt;=0,Sync!$K307&lt;1),RIGHT("00"&amp;HOUR(Sync!$K307),2)&amp;RIGHT("00"&amp;MINUTE(Sync!$K307),2),IFERROR(RIGHT("00"&amp;VALUE(LEFT(Sync!$K307,FIND(":",Sync!$K307)-1)),2)&amp;RIGHT("00"&amp;VALUE(MID(Sync!$K307,FIND(":",Sync!$K307)+1,2)),2),"0000")))&amp;"|"&amp;"2"&amp;RIGHT("00000"&amp;302,5))</f>
        <v/>
      </c>
      <c r="Q307">
        <f>IF(Sync!$J307="","",IF(ISNUMBER(Sync!$J307),IF(AND(Sync!$J307&gt;=10000101,Sync!$J307&lt;=99991231),INT(Sync!$J307/10000)&amp;"/"&amp;RIGHT("00"&amp;INT(MOD(Sync!$J307,10000)/100),2)&amp;"/"&amp;RIGHT("00"&amp;MOD(Sync!$J307,100),2),"نامعتبر"),IF(LEN(Sync!$J307)=10,Sync!$J307,"نامعتبر")))</f>
        <v/>
      </c>
      <c r="R307">
        <f>IF($P307="","",COUNTIFS($N$6:$N$2005,$N307,$P$6:$P$2005,"&lt;"&amp;$P307)+COUNTIFS($A$6:$A$1005,$N307,$B$6:$B$1005,"&lt;"&amp;$P307)+1)</f>
        <v/>
      </c>
      <c r="S307">
        <f>IF($N307="","",$N307&amp;"|"&amp;RIGHT("000000"&amp;$R307,6))</f>
        <v/>
      </c>
      <c r="T307">
        <f>IF($N307="","",IF(Sync!$N307="",0,Sync!$N307))</f>
        <v/>
      </c>
      <c r="U307">
        <f>IF($N307="","",IF(Sync!$O307="",0,Sync!$O307))</f>
        <v/>
      </c>
      <c r="V307">
        <f>IF($N307="","",Sync!$L307)</f>
        <v/>
      </c>
      <c r="W307">
        <f>IF($N307="","",Sync!$P307)</f>
        <v/>
      </c>
      <c r="AA307">
        <f>IF($A307="","",IF(COUNTIF($A$6:$A307,$A307)=1,1,0))</f>
        <v/>
      </c>
      <c r="AB307">
        <f>SUM($AA$6:$AA307)</f>
        <v/>
      </c>
      <c r="AC307">
        <f>IFERROR(INDEX($A$6:$A$1005,MATCH(ROW()-5,$AB$6:$AB$1005,0)),"")</f>
        <v/>
      </c>
    </row>
    <row r="308">
      <c r="A308">
        <f>IF(OR(Entry!$B311="",Entry!$E311="",$E308="نامعتبر"),"",Entry!$E311)</f>
        <v/>
      </c>
      <c r="B308">
        <f>IF($A308="","",LEFT($E308,4)&amp;MID($E308,6,2)&amp;RIGHT($E308,2)&amp;$F308&amp;"|"&amp;"1"&amp;RIGHT("00000"&amp;303,5))</f>
        <v/>
      </c>
      <c r="C308">
        <f>IF($B308="","",COUNTIFS($A$6:$A$1005,$A308,$B$6:$B$1005,"&lt;"&amp;$B308)+COUNTIFS($N$6:$N$2005,$A308,$P$6:$P$2005,"&lt;"&amp;$B308)+1)</f>
        <v/>
      </c>
      <c r="D308">
        <f>IF($C308="","",$A308&amp;"|"&amp;RIGHT("000000"&amp;$C308,6))</f>
        <v/>
      </c>
      <c r="E308">
        <f>IF(Entry!$B311="","",IF(ISNUMBER(Entry!$B311),IF(AND(Entry!$B311&gt;=10000101,Entry!$B311&lt;=99991231),INT(Entry!$B311/10000)&amp;"/"&amp;RIGHT("00"&amp;INT(MOD(Entry!$B311,10000)/100),2)&amp;"/"&amp;RIGHT("00"&amp;MOD(Entry!$B311,100),2),"نامعتبر"),IF(LEN(Entry!$B311)=10,Entry!$B311,"نامعتبر")))</f>
        <v/>
      </c>
      <c r="F308">
        <f>IF(Entry!$B311="","",IF(Entry!$C311="","0000",IF(AND(ISNUMBER(Entry!$C311),Entry!$C311&gt;=0,Entry!$C311&lt;1),RIGHT("00"&amp;HOUR(Entry!$C311),2)&amp;RIGHT("00"&amp;MINUTE(Entry!$C311),2),IFERROR(RIGHT("00"&amp;VALUE(LEFT(Entry!$C311,FIND(":",Entry!$C311)-1)),2)&amp;RIGHT("00"&amp;VALUE(MID(Entry!$C311,FIND(":",Entry!$C311)+1,2)),2),"0000"))))</f>
        <v/>
      </c>
      <c r="G308">
        <f>IF($A308="","",Entry!$G311)</f>
        <v/>
      </c>
      <c r="H308">
        <f>IF($A308="","",IF(Entry!$H311="",0,Entry!$H311))</f>
        <v/>
      </c>
      <c r="I308">
        <f>IF($A308="","",IF(Entry!$I311="",0,Entry!$I311))</f>
        <v/>
      </c>
      <c r="J308">
        <f>IF($A308="","",ROUND($H308*$I308,0))</f>
        <v/>
      </c>
      <c r="K308">
        <f>IF($A308="","",Entry!$D311)</f>
        <v/>
      </c>
      <c r="L308">
        <f>IF($A308="","",Entry!$L311)</f>
        <v/>
      </c>
      <c r="N308">
        <f>IF(OR(Sync!$M308="",$Q308="",$Q308="نامعتبر"),"",Sync!$M308)</f>
        <v/>
      </c>
      <c r="O308">
        <f>IF($N308="","",$Q308)</f>
        <v/>
      </c>
      <c r="P308">
        <f>IF($N308="","",LEFT($Q308,4)&amp;MID($Q308,6,2)&amp;RIGHT($Q308,2)&amp;IF(Sync!$K308="","0000",IF(AND(ISNUMBER(Sync!$K308),Sync!$K308&gt;=0,Sync!$K308&lt;1),RIGHT("00"&amp;HOUR(Sync!$K308),2)&amp;RIGHT("00"&amp;MINUTE(Sync!$K308),2),IFERROR(RIGHT("00"&amp;VALUE(LEFT(Sync!$K308,FIND(":",Sync!$K308)-1)),2)&amp;RIGHT("00"&amp;VALUE(MID(Sync!$K308,FIND(":",Sync!$K308)+1,2)),2),"0000")))&amp;"|"&amp;"2"&amp;RIGHT("00000"&amp;303,5))</f>
        <v/>
      </c>
      <c r="Q308">
        <f>IF(Sync!$J308="","",IF(ISNUMBER(Sync!$J308),IF(AND(Sync!$J308&gt;=10000101,Sync!$J308&lt;=99991231),INT(Sync!$J308/10000)&amp;"/"&amp;RIGHT("00"&amp;INT(MOD(Sync!$J308,10000)/100),2)&amp;"/"&amp;RIGHT("00"&amp;MOD(Sync!$J308,100),2),"نامعتبر"),IF(LEN(Sync!$J308)=10,Sync!$J308,"نامعتبر")))</f>
        <v/>
      </c>
      <c r="R308">
        <f>IF($P308="","",COUNTIFS($N$6:$N$2005,$N308,$P$6:$P$2005,"&lt;"&amp;$P308)+COUNTIFS($A$6:$A$1005,$N308,$B$6:$B$1005,"&lt;"&amp;$P308)+1)</f>
        <v/>
      </c>
      <c r="S308">
        <f>IF($N308="","",$N308&amp;"|"&amp;RIGHT("000000"&amp;$R308,6))</f>
        <v/>
      </c>
      <c r="T308">
        <f>IF($N308="","",IF(Sync!$N308="",0,Sync!$N308))</f>
        <v/>
      </c>
      <c r="U308">
        <f>IF($N308="","",IF(Sync!$O308="",0,Sync!$O308))</f>
        <v/>
      </c>
      <c r="V308">
        <f>IF($N308="","",Sync!$L308)</f>
        <v/>
      </c>
      <c r="W308">
        <f>IF($N308="","",Sync!$P308)</f>
        <v/>
      </c>
      <c r="AA308">
        <f>IF($A308="","",IF(COUNTIF($A$6:$A308,$A308)=1,1,0))</f>
        <v/>
      </c>
      <c r="AB308">
        <f>SUM($AA$6:$AA308)</f>
        <v/>
      </c>
      <c r="AC308">
        <f>IFERROR(INDEX($A$6:$A$1005,MATCH(ROW()-5,$AB$6:$AB$1005,0)),"")</f>
        <v/>
      </c>
    </row>
    <row r="309">
      <c r="A309">
        <f>IF(OR(Entry!$B312="",Entry!$E312="",$E309="نامعتبر"),"",Entry!$E312)</f>
        <v/>
      </c>
      <c r="B309">
        <f>IF($A309="","",LEFT($E309,4)&amp;MID($E309,6,2)&amp;RIGHT($E309,2)&amp;$F309&amp;"|"&amp;"1"&amp;RIGHT("00000"&amp;304,5))</f>
        <v/>
      </c>
      <c r="C309">
        <f>IF($B309="","",COUNTIFS($A$6:$A$1005,$A309,$B$6:$B$1005,"&lt;"&amp;$B309)+COUNTIFS($N$6:$N$2005,$A309,$P$6:$P$2005,"&lt;"&amp;$B309)+1)</f>
        <v/>
      </c>
      <c r="D309">
        <f>IF($C309="","",$A309&amp;"|"&amp;RIGHT("000000"&amp;$C309,6))</f>
        <v/>
      </c>
      <c r="E309">
        <f>IF(Entry!$B312="","",IF(ISNUMBER(Entry!$B312),IF(AND(Entry!$B312&gt;=10000101,Entry!$B312&lt;=99991231),INT(Entry!$B312/10000)&amp;"/"&amp;RIGHT("00"&amp;INT(MOD(Entry!$B312,10000)/100),2)&amp;"/"&amp;RIGHT("00"&amp;MOD(Entry!$B312,100),2),"نامعتبر"),IF(LEN(Entry!$B312)=10,Entry!$B312,"نامعتبر")))</f>
        <v/>
      </c>
      <c r="F309">
        <f>IF(Entry!$B312="","",IF(Entry!$C312="","0000",IF(AND(ISNUMBER(Entry!$C312),Entry!$C312&gt;=0,Entry!$C312&lt;1),RIGHT("00"&amp;HOUR(Entry!$C312),2)&amp;RIGHT("00"&amp;MINUTE(Entry!$C312),2),IFERROR(RIGHT("00"&amp;VALUE(LEFT(Entry!$C312,FIND(":",Entry!$C312)-1)),2)&amp;RIGHT("00"&amp;VALUE(MID(Entry!$C312,FIND(":",Entry!$C312)+1,2)),2),"0000"))))</f>
        <v/>
      </c>
      <c r="G309">
        <f>IF($A309="","",Entry!$G312)</f>
        <v/>
      </c>
      <c r="H309">
        <f>IF($A309="","",IF(Entry!$H312="",0,Entry!$H312))</f>
        <v/>
      </c>
      <c r="I309">
        <f>IF($A309="","",IF(Entry!$I312="",0,Entry!$I312))</f>
        <v/>
      </c>
      <c r="J309">
        <f>IF($A309="","",ROUND($H309*$I309,0))</f>
        <v/>
      </c>
      <c r="K309">
        <f>IF($A309="","",Entry!$D312)</f>
        <v/>
      </c>
      <c r="L309">
        <f>IF($A309="","",Entry!$L312)</f>
        <v/>
      </c>
      <c r="N309">
        <f>IF(OR(Sync!$M309="",$Q309="",$Q309="نامعتبر"),"",Sync!$M309)</f>
        <v/>
      </c>
      <c r="O309">
        <f>IF($N309="","",$Q309)</f>
        <v/>
      </c>
      <c r="P309">
        <f>IF($N309="","",LEFT($Q309,4)&amp;MID($Q309,6,2)&amp;RIGHT($Q309,2)&amp;IF(Sync!$K309="","0000",IF(AND(ISNUMBER(Sync!$K309),Sync!$K309&gt;=0,Sync!$K309&lt;1),RIGHT("00"&amp;HOUR(Sync!$K309),2)&amp;RIGHT("00"&amp;MINUTE(Sync!$K309),2),IFERROR(RIGHT("00"&amp;VALUE(LEFT(Sync!$K309,FIND(":",Sync!$K309)-1)),2)&amp;RIGHT("00"&amp;VALUE(MID(Sync!$K309,FIND(":",Sync!$K309)+1,2)),2),"0000")))&amp;"|"&amp;"2"&amp;RIGHT("00000"&amp;304,5))</f>
        <v/>
      </c>
      <c r="Q309">
        <f>IF(Sync!$J309="","",IF(ISNUMBER(Sync!$J309),IF(AND(Sync!$J309&gt;=10000101,Sync!$J309&lt;=99991231),INT(Sync!$J309/10000)&amp;"/"&amp;RIGHT("00"&amp;INT(MOD(Sync!$J309,10000)/100),2)&amp;"/"&amp;RIGHT("00"&amp;MOD(Sync!$J309,100),2),"نامعتبر"),IF(LEN(Sync!$J309)=10,Sync!$J309,"نامعتبر")))</f>
        <v/>
      </c>
      <c r="R309">
        <f>IF($P309="","",COUNTIFS($N$6:$N$2005,$N309,$P$6:$P$2005,"&lt;"&amp;$P309)+COUNTIFS($A$6:$A$1005,$N309,$B$6:$B$1005,"&lt;"&amp;$P309)+1)</f>
        <v/>
      </c>
      <c r="S309">
        <f>IF($N309="","",$N309&amp;"|"&amp;RIGHT("000000"&amp;$R309,6))</f>
        <v/>
      </c>
      <c r="T309">
        <f>IF($N309="","",IF(Sync!$N309="",0,Sync!$N309))</f>
        <v/>
      </c>
      <c r="U309">
        <f>IF($N309="","",IF(Sync!$O309="",0,Sync!$O309))</f>
        <v/>
      </c>
      <c r="V309">
        <f>IF($N309="","",Sync!$L309)</f>
        <v/>
      </c>
      <c r="W309">
        <f>IF($N309="","",Sync!$P309)</f>
        <v/>
      </c>
      <c r="AA309">
        <f>IF($A309="","",IF(COUNTIF($A$6:$A309,$A309)=1,1,0))</f>
        <v/>
      </c>
      <c r="AB309">
        <f>SUM($AA$6:$AA309)</f>
        <v/>
      </c>
      <c r="AC309">
        <f>IFERROR(INDEX($A$6:$A$1005,MATCH(ROW()-5,$AB$6:$AB$1005,0)),"")</f>
        <v/>
      </c>
    </row>
    <row r="310">
      <c r="A310">
        <f>IF(OR(Entry!$B313="",Entry!$E313="",$E310="نامعتبر"),"",Entry!$E313)</f>
        <v/>
      </c>
      <c r="B310">
        <f>IF($A310="","",LEFT($E310,4)&amp;MID($E310,6,2)&amp;RIGHT($E310,2)&amp;$F310&amp;"|"&amp;"1"&amp;RIGHT("00000"&amp;305,5))</f>
        <v/>
      </c>
      <c r="C310">
        <f>IF($B310="","",COUNTIFS($A$6:$A$1005,$A310,$B$6:$B$1005,"&lt;"&amp;$B310)+COUNTIFS($N$6:$N$2005,$A310,$P$6:$P$2005,"&lt;"&amp;$B310)+1)</f>
        <v/>
      </c>
      <c r="D310">
        <f>IF($C310="","",$A310&amp;"|"&amp;RIGHT("000000"&amp;$C310,6))</f>
        <v/>
      </c>
      <c r="E310">
        <f>IF(Entry!$B313="","",IF(ISNUMBER(Entry!$B313),IF(AND(Entry!$B313&gt;=10000101,Entry!$B313&lt;=99991231),INT(Entry!$B313/10000)&amp;"/"&amp;RIGHT("00"&amp;INT(MOD(Entry!$B313,10000)/100),2)&amp;"/"&amp;RIGHT("00"&amp;MOD(Entry!$B313,100),2),"نامعتبر"),IF(LEN(Entry!$B313)=10,Entry!$B313,"نامعتبر")))</f>
        <v/>
      </c>
      <c r="F310">
        <f>IF(Entry!$B313="","",IF(Entry!$C313="","0000",IF(AND(ISNUMBER(Entry!$C313),Entry!$C313&gt;=0,Entry!$C313&lt;1),RIGHT("00"&amp;HOUR(Entry!$C313),2)&amp;RIGHT("00"&amp;MINUTE(Entry!$C313),2),IFERROR(RIGHT("00"&amp;VALUE(LEFT(Entry!$C313,FIND(":",Entry!$C313)-1)),2)&amp;RIGHT("00"&amp;VALUE(MID(Entry!$C313,FIND(":",Entry!$C313)+1,2)),2),"0000"))))</f>
        <v/>
      </c>
      <c r="G310">
        <f>IF($A310="","",Entry!$G313)</f>
        <v/>
      </c>
      <c r="H310">
        <f>IF($A310="","",IF(Entry!$H313="",0,Entry!$H313))</f>
        <v/>
      </c>
      <c r="I310">
        <f>IF($A310="","",IF(Entry!$I313="",0,Entry!$I313))</f>
        <v/>
      </c>
      <c r="J310">
        <f>IF($A310="","",ROUND($H310*$I310,0))</f>
        <v/>
      </c>
      <c r="K310">
        <f>IF($A310="","",Entry!$D313)</f>
        <v/>
      </c>
      <c r="L310">
        <f>IF($A310="","",Entry!$L313)</f>
        <v/>
      </c>
      <c r="N310">
        <f>IF(OR(Sync!$M310="",$Q310="",$Q310="نامعتبر"),"",Sync!$M310)</f>
        <v/>
      </c>
      <c r="O310">
        <f>IF($N310="","",$Q310)</f>
        <v/>
      </c>
      <c r="P310">
        <f>IF($N310="","",LEFT($Q310,4)&amp;MID($Q310,6,2)&amp;RIGHT($Q310,2)&amp;IF(Sync!$K310="","0000",IF(AND(ISNUMBER(Sync!$K310),Sync!$K310&gt;=0,Sync!$K310&lt;1),RIGHT("00"&amp;HOUR(Sync!$K310),2)&amp;RIGHT("00"&amp;MINUTE(Sync!$K310),2),IFERROR(RIGHT("00"&amp;VALUE(LEFT(Sync!$K310,FIND(":",Sync!$K310)-1)),2)&amp;RIGHT("00"&amp;VALUE(MID(Sync!$K310,FIND(":",Sync!$K310)+1,2)),2),"0000")))&amp;"|"&amp;"2"&amp;RIGHT("00000"&amp;305,5))</f>
        <v/>
      </c>
      <c r="Q310">
        <f>IF(Sync!$J310="","",IF(ISNUMBER(Sync!$J310),IF(AND(Sync!$J310&gt;=10000101,Sync!$J310&lt;=99991231),INT(Sync!$J310/10000)&amp;"/"&amp;RIGHT("00"&amp;INT(MOD(Sync!$J310,10000)/100),2)&amp;"/"&amp;RIGHT("00"&amp;MOD(Sync!$J310,100),2),"نامعتبر"),IF(LEN(Sync!$J310)=10,Sync!$J310,"نامعتبر")))</f>
        <v/>
      </c>
      <c r="R310">
        <f>IF($P310="","",COUNTIFS($N$6:$N$2005,$N310,$P$6:$P$2005,"&lt;"&amp;$P310)+COUNTIFS($A$6:$A$1005,$N310,$B$6:$B$1005,"&lt;"&amp;$P310)+1)</f>
        <v/>
      </c>
      <c r="S310">
        <f>IF($N310="","",$N310&amp;"|"&amp;RIGHT("000000"&amp;$R310,6))</f>
        <v/>
      </c>
      <c r="T310">
        <f>IF($N310="","",IF(Sync!$N310="",0,Sync!$N310))</f>
        <v/>
      </c>
      <c r="U310">
        <f>IF($N310="","",IF(Sync!$O310="",0,Sync!$O310))</f>
        <v/>
      </c>
      <c r="V310">
        <f>IF($N310="","",Sync!$L310)</f>
        <v/>
      </c>
      <c r="W310">
        <f>IF($N310="","",Sync!$P310)</f>
        <v/>
      </c>
      <c r="AA310">
        <f>IF($A310="","",IF(COUNTIF($A$6:$A310,$A310)=1,1,0))</f>
        <v/>
      </c>
      <c r="AB310">
        <f>SUM($AA$6:$AA310)</f>
        <v/>
      </c>
      <c r="AC310">
        <f>IFERROR(INDEX($A$6:$A$1005,MATCH(ROW()-5,$AB$6:$AB$1005,0)),"")</f>
        <v/>
      </c>
    </row>
    <row r="311">
      <c r="A311">
        <f>IF(OR(Entry!$B314="",Entry!$E314="",$E311="نامعتبر"),"",Entry!$E314)</f>
        <v/>
      </c>
      <c r="B311">
        <f>IF($A311="","",LEFT($E311,4)&amp;MID($E311,6,2)&amp;RIGHT($E311,2)&amp;$F311&amp;"|"&amp;"1"&amp;RIGHT("00000"&amp;306,5))</f>
        <v/>
      </c>
      <c r="C311">
        <f>IF($B311="","",COUNTIFS($A$6:$A$1005,$A311,$B$6:$B$1005,"&lt;"&amp;$B311)+COUNTIFS($N$6:$N$2005,$A311,$P$6:$P$2005,"&lt;"&amp;$B311)+1)</f>
        <v/>
      </c>
      <c r="D311">
        <f>IF($C311="","",$A311&amp;"|"&amp;RIGHT("000000"&amp;$C311,6))</f>
        <v/>
      </c>
      <c r="E311">
        <f>IF(Entry!$B314="","",IF(ISNUMBER(Entry!$B314),IF(AND(Entry!$B314&gt;=10000101,Entry!$B314&lt;=99991231),INT(Entry!$B314/10000)&amp;"/"&amp;RIGHT("00"&amp;INT(MOD(Entry!$B314,10000)/100),2)&amp;"/"&amp;RIGHT("00"&amp;MOD(Entry!$B314,100),2),"نامعتبر"),IF(LEN(Entry!$B314)=10,Entry!$B314,"نامعتبر")))</f>
        <v/>
      </c>
      <c r="F311">
        <f>IF(Entry!$B314="","",IF(Entry!$C314="","0000",IF(AND(ISNUMBER(Entry!$C314),Entry!$C314&gt;=0,Entry!$C314&lt;1),RIGHT("00"&amp;HOUR(Entry!$C314),2)&amp;RIGHT("00"&amp;MINUTE(Entry!$C314),2),IFERROR(RIGHT("00"&amp;VALUE(LEFT(Entry!$C314,FIND(":",Entry!$C314)-1)),2)&amp;RIGHT("00"&amp;VALUE(MID(Entry!$C314,FIND(":",Entry!$C314)+1,2)),2),"0000"))))</f>
        <v/>
      </c>
      <c r="G311">
        <f>IF($A311="","",Entry!$G314)</f>
        <v/>
      </c>
      <c r="H311">
        <f>IF($A311="","",IF(Entry!$H314="",0,Entry!$H314))</f>
        <v/>
      </c>
      <c r="I311">
        <f>IF($A311="","",IF(Entry!$I314="",0,Entry!$I314))</f>
        <v/>
      </c>
      <c r="J311">
        <f>IF($A311="","",ROUND($H311*$I311,0))</f>
        <v/>
      </c>
      <c r="K311">
        <f>IF($A311="","",Entry!$D314)</f>
        <v/>
      </c>
      <c r="L311">
        <f>IF($A311="","",Entry!$L314)</f>
        <v/>
      </c>
      <c r="N311">
        <f>IF(OR(Sync!$M311="",$Q311="",$Q311="نامعتبر"),"",Sync!$M311)</f>
        <v/>
      </c>
      <c r="O311">
        <f>IF($N311="","",$Q311)</f>
        <v/>
      </c>
      <c r="P311">
        <f>IF($N311="","",LEFT($Q311,4)&amp;MID($Q311,6,2)&amp;RIGHT($Q311,2)&amp;IF(Sync!$K311="","0000",IF(AND(ISNUMBER(Sync!$K311),Sync!$K311&gt;=0,Sync!$K311&lt;1),RIGHT("00"&amp;HOUR(Sync!$K311),2)&amp;RIGHT("00"&amp;MINUTE(Sync!$K311),2),IFERROR(RIGHT("00"&amp;VALUE(LEFT(Sync!$K311,FIND(":",Sync!$K311)-1)),2)&amp;RIGHT("00"&amp;VALUE(MID(Sync!$K311,FIND(":",Sync!$K311)+1,2)),2),"0000")))&amp;"|"&amp;"2"&amp;RIGHT("00000"&amp;306,5))</f>
        <v/>
      </c>
      <c r="Q311">
        <f>IF(Sync!$J311="","",IF(ISNUMBER(Sync!$J311),IF(AND(Sync!$J311&gt;=10000101,Sync!$J311&lt;=99991231),INT(Sync!$J311/10000)&amp;"/"&amp;RIGHT("00"&amp;INT(MOD(Sync!$J311,10000)/100),2)&amp;"/"&amp;RIGHT("00"&amp;MOD(Sync!$J311,100),2),"نامعتبر"),IF(LEN(Sync!$J311)=10,Sync!$J311,"نامعتبر")))</f>
        <v/>
      </c>
      <c r="R311">
        <f>IF($P311="","",COUNTIFS($N$6:$N$2005,$N311,$P$6:$P$2005,"&lt;"&amp;$P311)+COUNTIFS($A$6:$A$1005,$N311,$B$6:$B$1005,"&lt;"&amp;$P311)+1)</f>
        <v/>
      </c>
      <c r="S311">
        <f>IF($N311="","",$N311&amp;"|"&amp;RIGHT("000000"&amp;$R311,6))</f>
        <v/>
      </c>
      <c r="T311">
        <f>IF($N311="","",IF(Sync!$N311="",0,Sync!$N311))</f>
        <v/>
      </c>
      <c r="U311">
        <f>IF($N311="","",IF(Sync!$O311="",0,Sync!$O311))</f>
        <v/>
      </c>
      <c r="V311">
        <f>IF($N311="","",Sync!$L311)</f>
        <v/>
      </c>
      <c r="W311">
        <f>IF($N311="","",Sync!$P311)</f>
        <v/>
      </c>
      <c r="AA311">
        <f>IF($A311="","",IF(COUNTIF($A$6:$A311,$A311)=1,1,0))</f>
        <v/>
      </c>
      <c r="AB311">
        <f>SUM($AA$6:$AA311)</f>
        <v/>
      </c>
      <c r="AC311">
        <f>IFERROR(INDEX($A$6:$A$1005,MATCH(ROW()-5,$AB$6:$AB$1005,0)),"")</f>
        <v/>
      </c>
    </row>
    <row r="312">
      <c r="A312">
        <f>IF(OR(Entry!$B315="",Entry!$E315="",$E312="نامعتبر"),"",Entry!$E315)</f>
        <v/>
      </c>
      <c r="B312">
        <f>IF($A312="","",LEFT($E312,4)&amp;MID($E312,6,2)&amp;RIGHT($E312,2)&amp;$F312&amp;"|"&amp;"1"&amp;RIGHT("00000"&amp;307,5))</f>
        <v/>
      </c>
      <c r="C312">
        <f>IF($B312="","",COUNTIFS($A$6:$A$1005,$A312,$B$6:$B$1005,"&lt;"&amp;$B312)+COUNTIFS($N$6:$N$2005,$A312,$P$6:$P$2005,"&lt;"&amp;$B312)+1)</f>
        <v/>
      </c>
      <c r="D312">
        <f>IF($C312="","",$A312&amp;"|"&amp;RIGHT("000000"&amp;$C312,6))</f>
        <v/>
      </c>
      <c r="E312">
        <f>IF(Entry!$B315="","",IF(ISNUMBER(Entry!$B315),IF(AND(Entry!$B315&gt;=10000101,Entry!$B315&lt;=99991231),INT(Entry!$B315/10000)&amp;"/"&amp;RIGHT("00"&amp;INT(MOD(Entry!$B315,10000)/100),2)&amp;"/"&amp;RIGHT("00"&amp;MOD(Entry!$B315,100),2),"نامعتبر"),IF(LEN(Entry!$B315)=10,Entry!$B315,"نامعتبر")))</f>
        <v/>
      </c>
      <c r="F312">
        <f>IF(Entry!$B315="","",IF(Entry!$C315="","0000",IF(AND(ISNUMBER(Entry!$C315),Entry!$C315&gt;=0,Entry!$C315&lt;1),RIGHT("00"&amp;HOUR(Entry!$C315),2)&amp;RIGHT("00"&amp;MINUTE(Entry!$C315),2),IFERROR(RIGHT("00"&amp;VALUE(LEFT(Entry!$C315,FIND(":",Entry!$C315)-1)),2)&amp;RIGHT("00"&amp;VALUE(MID(Entry!$C315,FIND(":",Entry!$C315)+1,2)),2),"0000"))))</f>
        <v/>
      </c>
      <c r="G312">
        <f>IF($A312="","",Entry!$G315)</f>
        <v/>
      </c>
      <c r="H312">
        <f>IF($A312="","",IF(Entry!$H315="",0,Entry!$H315))</f>
        <v/>
      </c>
      <c r="I312">
        <f>IF($A312="","",IF(Entry!$I315="",0,Entry!$I315))</f>
        <v/>
      </c>
      <c r="J312">
        <f>IF($A312="","",ROUND($H312*$I312,0))</f>
        <v/>
      </c>
      <c r="K312">
        <f>IF($A312="","",Entry!$D315)</f>
        <v/>
      </c>
      <c r="L312">
        <f>IF($A312="","",Entry!$L315)</f>
        <v/>
      </c>
      <c r="N312">
        <f>IF(OR(Sync!$M312="",$Q312="",$Q312="نامعتبر"),"",Sync!$M312)</f>
        <v/>
      </c>
      <c r="O312">
        <f>IF($N312="","",$Q312)</f>
        <v/>
      </c>
      <c r="P312">
        <f>IF($N312="","",LEFT($Q312,4)&amp;MID($Q312,6,2)&amp;RIGHT($Q312,2)&amp;IF(Sync!$K312="","0000",IF(AND(ISNUMBER(Sync!$K312),Sync!$K312&gt;=0,Sync!$K312&lt;1),RIGHT("00"&amp;HOUR(Sync!$K312),2)&amp;RIGHT("00"&amp;MINUTE(Sync!$K312),2),IFERROR(RIGHT("00"&amp;VALUE(LEFT(Sync!$K312,FIND(":",Sync!$K312)-1)),2)&amp;RIGHT("00"&amp;VALUE(MID(Sync!$K312,FIND(":",Sync!$K312)+1,2)),2),"0000")))&amp;"|"&amp;"2"&amp;RIGHT("00000"&amp;307,5))</f>
        <v/>
      </c>
      <c r="Q312">
        <f>IF(Sync!$J312="","",IF(ISNUMBER(Sync!$J312),IF(AND(Sync!$J312&gt;=10000101,Sync!$J312&lt;=99991231),INT(Sync!$J312/10000)&amp;"/"&amp;RIGHT("00"&amp;INT(MOD(Sync!$J312,10000)/100),2)&amp;"/"&amp;RIGHT("00"&amp;MOD(Sync!$J312,100),2),"نامعتبر"),IF(LEN(Sync!$J312)=10,Sync!$J312,"نامعتبر")))</f>
        <v/>
      </c>
      <c r="R312">
        <f>IF($P312="","",COUNTIFS($N$6:$N$2005,$N312,$P$6:$P$2005,"&lt;"&amp;$P312)+COUNTIFS($A$6:$A$1005,$N312,$B$6:$B$1005,"&lt;"&amp;$P312)+1)</f>
        <v/>
      </c>
      <c r="S312">
        <f>IF($N312="","",$N312&amp;"|"&amp;RIGHT("000000"&amp;$R312,6))</f>
        <v/>
      </c>
      <c r="T312">
        <f>IF($N312="","",IF(Sync!$N312="",0,Sync!$N312))</f>
        <v/>
      </c>
      <c r="U312">
        <f>IF($N312="","",IF(Sync!$O312="",0,Sync!$O312))</f>
        <v/>
      </c>
      <c r="V312">
        <f>IF($N312="","",Sync!$L312)</f>
        <v/>
      </c>
      <c r="W312">
        <f>IF($N312="","",Sync!$P312)</f>
        <v/>
      </c>
      <c r="AA312">
        <f>IF($A312="","",IF(COUNTIF($A$6:$A312,$A312)=1,1,0))</f>
        <v/>
      </c>
      <c r="AB312">
        <f>SUM($AA$6:$AA312)</f>
        <v/>
      </c>
      <c r="AC312">
        <f>IFERROR(INDEX($A$6:$A$1005,MATCH(ROW()-5,$AB$6:$AB$1005,0)),"")</f>
        <v/>
      </c>
    </row>
    <row r="313">
      <c r="A313">
        <f>IF(OR(Entry!$B316="",Entry!$E316="",$E313="نامعتبر"),"",Entry!$E316)</f>
        <v/>
      </c>
      <c r="B313">
        <f>IF($A313="","",LEFT($E313,4)&amp;MID($E313,6,2)&amp;RIGHT($E313,2)&amp;$F313&amp;"|"&amp;"1"&amp;RIGHT("00000"&amp;308,5))</f>
        <v/>
      </c>
      <c r="C313">
        <f>IF($B313="","",COUNTIFS($A$6:$A$1005,$A313,$B$6:$B$1005,"&lt;"&amp;$B313)+COUNTIFS($N$6:$N$2005,$A313,$P$6:$P$2005,"&lt;"&amp;$B313)+1)</f>
        <v/>
      </c>
      <c r="D313">
        <f>IF($C313="","",$A313&amp;"|"&amp;RIGHT("000000"&amp;$C313,6))</f>
        <v/>
      </c>
      <c r="E313">
        <f>IF(Entry!$B316="","",IF(ISNUMBER(Entry!$B316),IF(AND(Entry!$B316&gt;=10000101,Entry!$B316&lt;=99991231),INT(Entry!$B316/10000)&amp;"/"&amp;RIGHT("00"&amp;INT(MOD(Entry!$B316,10000)/100),2)&amp;"/"&amp;RIGHT("00"&amp;MOD(Entry!$B316,100),2),"نامعتبر"),IF(LEN(Entry!$B316)=10,Entry!$B316,"نامعتبر")))</f>
        <v/>
      </c>
      <c r="F313">
        <f>IF(Entry!$B316="","",IF(Entry!$C316="","0000",IF(AND(ISNUMBER(Entry!$C316),Entry!$C316&gt;=0,Entry!$C316&lt;1),RIGHT("00"&amp;HOUR(Entry!$C316),2)&amp;RIGHT("00"&amp;MINUTE(Entry!$C316),2),IFERROR(RIGHT("00"&amp;VALUE(LEFT(Entry!$C316,FIND(":",Entry!$C316)-1)),2)&amp;RIGHT("00"&amp;VALUE(MID(Entry!$C316,FIND(":",Entry!$C316)+1,2)),2),"0000"))))</f>
        <v/>
      </c>
      <c r="G313">
        <f>IF($A313="","",Entry!$G316)</f>
        <v/>
      </c>
      <c r="H313">
        <f>IF($A313="","",IF(Entry!$H316="",0,Entry!$H316))</f>
        <v/>
      </c>
      <c r="I313">
        <f>IF($A313="","",IF(Entry!$I316="",0,Entry!$I316))</f>
        <v/>
      </c>
      <c r="J313">
        <f>IF($A313="","",ROUND($H313*$I313,0))</f>
        <v/>
      </c>
      <c r="K313">
        <f>IF($A313="","",Entry!$D316)</f>
        <v/>
      </c>
      <c r="L313">
        <f>IF($A313="","",Entry!$L316)</f>
        <v/>
      </c>
      <c r="N313">
        <f>IF(OR(Sync!$M313="",$Q313="",$Q313="نامعتبر"),"",Sync!$M313)</f>
        <v/>
      </c>
      <c r="O313">
        <f>IF($N313="","",$Q313)</f>
        <v/>
      </c>
      <c r="P313">
        <f>IF($N313="","",LEFT($Q313,4)&amp;MID($Q313,6,2)&amp;RIGHT($Q313,2)&amp;IF(Sync!$K313="","0000",IF(AND(ISNUMBER(Sync!$K313),Sync!$K313&gt;=0,Sync!$K313&lt;1),RIGHT("00"&amp;HOUR(Sync!$K313),2)&amp;RIGHT("00"&amp;MINUTE(Sync!$K313),2),IFERROR(RIGHT("00"&amp;VALUE(LEFT(Sync!$K313,FIND(":",Sync!$K313)-1)),2)&amp;RIGHT("00"&amp;VALUE(MID(Sync!$K313,FIND(":",Sync!$K313)+1,2)),2),"0000")))&amp;"|"&amp;"2"&amp;RIGHT("00000"&amp;308,5))</f>
        <v/>
      </c>
      <c r="Q313">
        <f>IF(Sync!$J313="","",IF(ISNUMBER(Sync!$J313),IF(AND(Sync!$J313&gt;=10000101,Sync!$J313&lt;=99991231),INT(Sync!$J313/10000)&amp;"/"&amp;RIGHT("00"&amp;INT(MOD(Sync!$J313,10000)/100),2)&amp;"/"&amp;RIGHT("00"&amp;MOD(Sync!$J313,100),2),"نامعتبر"),IF(LEN(Sync!$J313)=10,Sync!$J313,"نامعتبر")))</f>
        <v/>
      </c>
      <c r="R313">
        <f>IF($P313="","",COUNTIFS($N$6:$N$2005,$N313,$P$6:$P$2005,"&lt;"&amp;$P313)+COUNTIFS($A$6:$A$1005,$N313,$B$6:$B$1005,"&lt;"&amp;$P313)+1)</f>
        <v/>
      </c>
      <c r="S313">
        <f>IF($N313="","",$N313&amp;"|"&amp;RIGHT("000000"&amp;$R313,6))</f>
        <v/>
      </c>
      <c r="T313">
        <f>IF($N313="","",IF(Sync!$N313="",0,Sync!$N313))</f>
        <v/>
      </c>
      <c r="U313">
        <f>IF($N313="","",IF(Sync!$O313="",0,Sync!$O313))</f>
        <v/>
      </c>
      <c r="V313">
        <f>IF($N313="","",Sync!$L313)</f>
        <v/>
      </c>
      <c r="W313">
        <f>IF($N313="","",Sync!$P313)</f>
        <v/>
      </c>
      <c r="AA313">
        <f>IF($A313="","",IF(COUNTIF($A$6:$A313,$A313)=1,1,0))</f>
        <v/>
      </c>
      <c r="AB313">
        <f>SUM($AA$6:$AA313)</f>
        <v/>
      </c>
      <c r="AC313">
        <f>IFERROR(INDEX($A$6:$A$1005,MATCH(ROW()-5,$AB$6:$AB$1005,0)),"")</f>
        <v/>
      </c>
    </row>
    <row r="314">
      <c r="A314">
        <f>IF(OR(Entry!$B317="",Entry!$E317="",$E314="نامعتبر"),"",Entry!$E317)</f>
        <v/>
      </c>
      <c r="B314">
        <f>IF($A314="","",LEFT($E314,4)&amp;MID($E314,6,2)&amp;RIGHT($E314,2)&amp;$F314&amp;"|"&amp;"1"&amp;RIGHT("00000"&amp;309,5))</f>
        <v/>
      </c>
      <c r="C314">
        <f>IF($B314="","",COUNTIFS($A$6:$A$1005,$A314,$B$6:$B$1005,"&lt;"&amp;$B314)+COUNTIFS($N$6:$N$2005,$A314,$P$6:$P$2005,"&lt;"&amp;$B314)+1)</f>
        <v/>
      </c>
      <c r="D314">
        <f>IF($C314="","",$A314&amp;"|"&amp;RIGHT("000000"&amp;$C314,6))</f>
        <v/>
      </c>
      <c r="E314">
        <f>IF(Entry!$B317="","",IF(ISNUMBER(Entry!$B317),IF(AND(Entry!$B317&gt;=10000101,Entry!$B317&lt;=99991231),INT(Entry!$B317/10000)&amp;"/"&amp;RIGHT("00"&amp;INT(MOD(Entry!$B317,10000)/100),2)&amp;"/"&amp;RIGHT("00"&amp;MOD(Entry!$B317,100),2),"نامعتبر"),IF(LEN(Entry!$B317)=10,Entry!$B317,"نامعتبر")))</f>
        <v/>
      </c>
      <c r="F314">
        <f>IF(Entry!$B317="","",IF(Entry!$C317="","0000",IF(AND(ISNUMBER(Entry!$C317),Entry!$C317&gt;=0,Entry!$C317&lt;1),RIGHT("00"&amp;HOUR(Entry!$C317),2)&amp;RIGHT("00"&amp;MINUTE(Entry!$C317),2),IFERROR(RIGHT("00"&amp;VALUE(LEFT(Entry!$C317,FIND(":",Entry!$C317)-1)),2)&amp;RIGHT("00"&amp;VALUE(MID(Entry!$C317,FIND(":",Entry!$C317)+1,2)),2),"0000"))))</f>
        <v/>
      </c>
      <c r="G314">
        <f>IF($A314="","",Entry!$G317)</f>
        <v/>
      </c>
      <c r="H314">
        <f>IF($A314="","",IF(Entry!$H317="",0,Entry!$H317))</f>
        <v/>
      </c>
      <c r="I314">
        <f>IF($A314="","",IF(Entry!$I317="",0,Entry!$I317))</f>
        <v/>
      </c>
      <c r="J314">
        <f>IF($A314="","",ROUND($H314*$I314,0))</f>
        <v/>
      </c>
      <c r="K314">
        <f>IF($A314="","",Entry!$D317)</f>
        <v/>
      </c>
      <c r="L314">
        <f>IF($A314="","",Entry!$L317)</f>
        <v/>
      </c>
      <c r="N314">
        <f>IF(OR(Sync!$M314="",$Q314="",$Q314="نامعتبر"),"",Sync!$M314)</f>
        <v/>
      </c>
      <c r="O314">
        <f>IF($N314="","",$Q314)</f>
        <v/>
      </c>
      <c r="P314">
        <f>IF($N314="","",LEFT($Q314,4)&amp;MID($Q314,6,2)&amp;RIGHT($Q314,2)&amp;IF(Sync!$K314="","0000",IF(AND(ISNUMBER(Sync!$K314),Sync!$K314&gt;=0,Sync!$K314&lt;1),RIGHT("00"&amp;HOUR(Sync!$K314),2)&amp;RIGHT("00"&amp;MINUTE(Sync!$K314),2),IFERROR(RIGHT("00"&amp;VALUE(LEFT(Sync!$K314,FIND(":",Sync!$K314)-1)),2)&amp;RIGHT("00"&amp;VALUE(MID(Sync!$K314,FIND(":",Sync!$K314)+1,2)),2),"0000")))&amp;"|"&amp;"2"&amp;RIGHT("00000"&amp;309,5))</f>
        <v/>
      </c>
      <c r="Q314">
        <f>IF(Sync!$J314="","",IF(ISNUMBER(Sync!$J314),IF(AND(Sync!$J314&gt;=10000101,Sync!$J314&lt;=99991231),INT(Sync!$J314/10000)&amp;"/"&amp;RIGHT("00"&amp;INT(MOD(Sync!$J314,10000)/100),2)&amp;"/"&amp;RIGHT("00"&amp;MOD(Sync!$J314,100),2),"نامعتبر"),IF(LEN(Sync!$J314)=10,Sync!$J314,"نامعتبر")))</f>
        <v/>
      </c>
      <c r="R314">
        <f>IF($P314="","",COUNTIFS($N$6:$N$2005,$N314,$P$6:$P$2005,"&lt;"&amp;$P314)+COUNTIFS($A$6:$A$1005,$N314,$B$6:$B$1005,"&lt;"&amp;$P314)+1)</f>
        <v/>
      </c>
      <c r="S314">
        <f>IF($N314="","",$N314&amp;"|"&amp;RIGHT("000000"&amp;$R314,6))</f>
        <v/>
      </c>
      <c r="T314">
        <f>IF($N314="","",IF(Sync!$N314="",0,Sync!$N314))</f>
        <v/>
      </c>
      <c r="U314">
        <f>IF($N314="","",IF(Sync!$O314="",0,Sync!$O314))</f>
        <v/>
      </c>
      <c r="V314">
        <f>IF($N314="","",Sync!$L314)</f>
        <v/>
      </c>
      <c r="W314">
        <f>IF($N314="","",Sync!$P314)</f>
        <v/>
      </c>
      <c r="AA314">
        <f>IF($A314="","",IF(COUNTIF($A$6:$A314,$A314)=1,1,0))</f>
        <v/>
      </c>
      <c r="AB314">
        <f>SUM($AA$6:$AA314)</f>
        <v/>
      </c>
      <c r="AC314">
        <f>IFERROR(INDEX($A$6:$A$1005,MATCH(ROW()-5,$AB$6:$AB$1005,0)),"")</f>
        <v/>
      </c>
    </row>
    <row r="315">
      <c r="A315">
        <f>IF(OR(Entry!$B318="",Entry!$E318="",$E315="نامعتبر"),"",Entry!$E318)</f>
        <v/>
      </c>
      <c r="B315">
        <f>IF($A315="","",LEFT($E315,4)&amp;MID($E315,6,2)&amp;RIGHT($E315,2)&amp;$F315&amp;"|"&amp;"1"&amp;RIGHT("00000"&amp;310,5))</f>
        <v/>
      </c>
      <c r="C315">
        <f>IF($B315="","",COUNTIFS($A$6:$A$1005,$A315,$B$6:$B$1005,"&lt;"&amp;$B315)+COUNTIFS($N$6:$N$2005,$A315,$P$6:$P$2005,"&lt;"&amp;$B315)+1)</f>
        <v/>
      </c>
      <c r="D315">
        <f>IF($C315="","",$A315&amp;"|"&amp;RIGHT("000000"&amp;$C315,6))</f>
        <v/>
      </c>
      <c r="E315">
        <f>IF(Entry!$B318="","",IF(ISNUMBER(Entry!$B318),IF(AND(Entry!$B318&gt;=10000101,Entry!$B318&lt;=99991231),INT(Entry!$B318/10000)&amp;"/"&amp;RIGHT("00"&amp;INT(MOD(Entry!$B318,10000)/100),2)&amp;"/"&amp;RIGHT("00"&amp;MOD(Entry!$B318,100),2),"نامعتبر"),IF(LEN(Entry!$B318)=10,Entry!$B318,"نامعتبر")))</f>
        <v/>
      </c>
      <c r="F315">
        <f>IF(Entry!$B318="","",IF(Entry!$C318="","0000",IF(AND(ISNUMBER(Entry!$C318),Entry!$C318&gt;=0,Entry!$C318&lt;1),RIGHT("00"&amp;HOUR(Entry!$C318),2)&amp;RIGHT("00"&amp;MINUTE(Entry!$C318),2),IFERROR(RIGHT("00"&amp;VALUE(LEFT(Entry!$C318,FIND(":",Entry!$C318)-1)),2)&amp;RIGHT("00"&amp;VALUE(MID(Entry!$C318,FIND(":",Entry!$C318)+1,2)),2),"0000"))))</f>
        <v/>
      </c>
      <c r="G315">
        <f>IF($A315="","",Entry!$G318)</f>
        <v/>
      </c>
      <c r="H315">
        <f>IF($A315="","",IF(Entry!$H318="",0,Entry!$H318))</f>
        <v/>
      </c>
      <c r="I315">
        <f>IF($A315="","",IF(Entry!$I318="",0,Entry!$I318))</f>
        <v/>
      </c>
      <c r="J315">
        <f>IF($A315="","",ROUND($H315*$I315,0))</f>
        <v/>
      </c>
      <c r="K315">
        <f>IF($A315="","",Entry!$D318)</f>
        <v/>
      </c>
      <c r="L315">
        <f>IF($A315="","",Entry!$L318)</f>
        <v/>
      </c>
      <c r="N315">
        <f>IF(OR(Sync!$M315="",$Q315="",$Q315="نامعتبر"),"",Sync!$M315)</f>
        <v/>
      </c>
      <c r="O315">
        <f>IF($N315="","",$Q315)</f>
        <v/>
      </c>
      <c r="P315">
        <f>IF($N315="","",LEFT($Q315,4)&amp;MID($Q315,6,2)&amp;RIGHT($Q315,2)&amp;IF(Sync!$K315="","0000",IF(AND(ISNUMBER(Sync!$K315),Sync!$K315&gt;=0,Sync!$K315&lt;1),RIGHT("00"&amp;HOUR(Sync!$K315),2)&amp;RIGHT("00"&amp;MINUTE(Sync!$K315),2),IFERROR(RIGHT("00"&amp;VALUE(LEFT(Sync!$K315,FIND(":",Sync!$K315)-1)),2)&amp;RIGHT("00"&amp;VALUE(MID(Sync!$K315,FIND(":",Sync!$K315)+1,2)),2),"0000")))&amp;"|"&amp;"2"&amp;RIGHT("00000"&amp;310,5))</f>
        <v/>
      </c>
      <c r="Q315">
        <f>IF(Sync!$J315="","",IF(ISNUMBER(Sync!$J315),IF(AND(Sync!$J315&gt;=10000101,Sync!$J315&lt;=99991231),INT(Sync!$J315/10000)&amp;"/"&amp;RIGHT("00"&amp;INT(MOD(Sync!$J315,10000)/100),2)&amp;"/"&amp;RIGHT("00"&amp;MOD(Sync!$J315,100),2),"نامعتبر"),IF(LEN(Sync!$J315)=10,Sync!$J315,"نامعتبر")))</f>
        <v/>
      </c>
      <c r="R315">
        <f>IF($P315="","",COUNTIFS($N$6:$N$2005,$N315,$P$6:$P$2005,"&lt;"&amp;$P315)+COUNTIFS($A$6:$A$1005,$N315,$B$6:$B$1005,"&lt;"&amp;$P315)+1)</f>
        <v/>
      </c>
      <c r="S315">
        <f>IF($N315="","",$N315&amp;"|"&amp;RIGHT("000000"&amp;$R315,6))</f>
        <v/>
      </c>
      <c r="T315">
        <f>IF($N315="","",IF(Sync!$N315="",0,Sync!$N315))</f>
        <v/>
      </c>
      <c r="U315">
        <f>IF($N315="","",IF(Sync!$O315="",0,Sync!$O315))</f>
        <v/>
      </c>
      <c r="V315">
        <f>IF($N315="","",Sync!$L315)</f>
        <v/>
      </c>
      <c r="W315">
        <f>IF($N315="","",Sync!$P315)</f>
        <v/>
      </c>
      <c r="AA315">
        <f>IF($A315="","",IF(COUNTIF($A$6:$A315,$A315)=1,1,0))</f>
        <v/>
      </c>
      <c r="AB315">
        <f>SUM($AA$6:$AA315)</f>
        <v/>
      </c>
      <c r="AC315">
        <f>IFERROR(INDEX($A$6:$A$1005,MATCH(ROW()-5,$AB$6:$AB$1005,0)),"")</f>
        <v/>
      </c>
    </row>
    <row r="316">
      <c r="A316">
        <f>IF(OR(Entry!$B319="",Entry!$E319="",$E316="نامعتبر"),"",Entry!$E319)</f>
        <v/>
      </c>
      <c r="B316">
        <f>IF($A316="","",LEFT($E316,4)&amp;MID($E316,6,2)&amp;RIGHT($E316,2)&amp;$F316&amp;"|"&amp;"1"&amp;RIGHT("00000"&amp;311,5))</f>
        <v/>
      </c>
      <c r="C316">
        <f>IF($B316="","",COUNTIFS($A$6:$A$1005,$A316,$B$6:$B$1005,"&lt;"&amp;$B316)+COUNTIFS($N$6:$N$2005,$A316,$P$6:$P$2005,"&lt;"&amp;$B316)+1)</f>
        <v/>
      </c>
      <c r="D316">
        <f>IF($C316="","",$A316&amp;"|"&amp;RIGHT("000000"&amp;$C316,6))</f>
        <v/>
      </c>
      <c r="E316">
        <f>IF(Entry!$B319="","",IF(ISNUMBER(Entry!$B319),IF(AND(Entry!$B319&gt;=10000101,Entry!$B319&lt;=99991231),INT(Entry!$B319/10000)&amp;"/"&amp;RIGHT("00"&amp;INT(MOD(Entry!$B319,10000)/100),2)&amp;"/"&amp;RIGHT("00"&amp;MOD(Entry!$B319,100),2),"نامعتبر"),IF(LEN(Entry!$B319)=10,Entry!$B319,"نامعتبر")))</f>
        <v/>
      </c>
      <c r="F316">
        <f>IF(Entry!$B319="","",IF(Entry!$C319="","0000",IF(AND(ISNUMBER(Entry!$C319),Entry!$C319&gt;=0,Entry!$C319&lt;1),RIGHT("00"&amp;HOUR(Entry!$C319),2)&amp;RIGHT("00"&amp;MINUTE(Entry!$C319),2),IFERROR(RIGHT("00"&amp;VALUE(LEFT(Entry!$C319,FIND(":",Entry!$C319)-1)),2)&amp;RIGHT("00"&amp;VALUE(MID(Entry!$C319,FIND(":",Entry!$C319)+1,2)),2),"0000"))))</f>
        <v/>
      </c>
      <c r="G316">
        <f>IF($A316="","",Entry!$G319)</f>
        <v/>
      </c>
      <c r="H316">
        <f>IF($A316="","",IF(Entry!$H319="",0,Entry!$H319))</f>
        <v/>
      </c>
      <c r="I316">
        <f>IF($A316="","",IF(Entry!$I319="",0,Entry!$I319))</f>
        <v/>
      </c>
      <c r="J316">
        <f>IF($A316="","",ROUND($H316*$I316,0))</f>
        <v/>
      </c>
      <c r="K316">
        <f>IF($A316="","",Entry!$D319)</f>
        <v/>
      </c>
      <c r="L316">
        <f>IF($A316="","",Entry!$L319)</f>
        <v/>
      </c>
      <c r="N316">
        <f>IF(OR(Sync!$M316="",$Q316="",$Q316="نامعتبر"),"",Sync!$M316)</f>
        <v/>
      </c>
      <c r="O316">
        <f>IF($N316="","",$Q316)</f>
        <v/>
      </c>
      <c r="P316">
        <f>IF($N316="","",LEFT($Q316,4)&amp;MID($Q316,6,2)&amp;RIGHT($Q316,2)&amp;IF(Sync!$K316="","0000",IF(AND(ISNUMBER(Sync!$K316),Sync!$K316&gt;=0,Sync!$K316&lt;1),RIGHT("00"&amp;HOUR(Sync!$K316),2)&amp;RIGHT("00"&amp;MINUTE(Sync!$K316),2),IFERROR(RIGHT("00"&amp;VALUE(LEFT(Sync!$K316,FIND(":",Sync!$K316)-1)),2)&amp;RIGHT("00"&amp;VALUE(MID(Sync!$K316,FIND(":",Sync!$K316)+1,2)),2),"0000")))&amp;"|"&amp;"2"&amp;RIGHT("00000"&amp;311,5))</f>
        <v/>
      </c>
      <c r="Q316">
        <f>IF(Sync!$J316="","",IF(ISNUMBER(Sync!$J316),IF(AND(Sync!$J316&gt;=10000101,Sync!$J316&lt;=99991231),INT(Sync!$J316/10000)&amp;"/"&amp;RIGHT("00"&amp;INT(MOD(Sync!$J316,10000)/100),2)&amp;"/"&amp;RIGHT("00"&amp;MOD(Sync!$J316,100),2),"نامعتبر"),IF(LEN(Sync!$J316)=10,Sync!$J316,"نامعتبر")))</f>
        <v/>
      </c>
      <c r="R316">
        <f>IF($P316="","",COUNTIFS($N$6:$N$2005,$N316,$P$6:$P$2005,"&lt;"&amp;$P316)+COUNTIFS($A$6:$A$1005,$N316,$B$6:$B$1005,"&lt;"&amp;$P316)+1)</f>
        <v/>
      </c>
      <c r="S316">
        <f>IF($N316="","",$N316&amp;"|"&amp;RIGHT("000000"&amp;$R316,6))</f>
        <v/>
      </c>
      <c r="T316">
        <f>IF($N316="","",IF(Sync!$N316="",0,Sync!$N316))</f>
        <v/>
      </c>
      <c r="U316">
        <f>IF($N316="","",IF(Sync!$O316="",0,Sync!$O316))</f>
        <v/>
      </c>
      <c r="V316">
        <f>IF($N316="","",Sync!$L316)</f>
        <v/>
      </c>
      <c r="W316">
        <f>IF($N316="","",Sync!$P316)</f>
        <v/>
      </c>
      <c r="AA316">
        <f>IF($A316="","",IF(COUNTIF($A$6:$A316,$A316)=1,1,0))</f>
        <v/>
      </c>
      <c r="AB316">
        <f>SUM($AA$6:$AA316)</f>
        <v/>
      </c>
      <c r="AC316">
        <f>IFERROR(INDEX($A$6:$A$1005,MATCH(ROW()-5,$AB$6:$AB$1005,0)),"")</f>
        <v/>
      </c>
    </row>
    <row r="317">
      <c r="A317">
        <f>IF(OR(Entry!$B320="",Entry!$E320="",$E317="نامعتبر"),"",Entry!$E320)</f>
        <v/>
      </c>
      <c r="B317">
        <f>IF($A317="","",LEFT($E317,4)&amp;MID($E317,6,2)&amp;RIGHT($E317,2)&amp;$F317&amp;"|"&amp;"1"&amp;RIGHT("00000"&amp;312,5))</f>
        <v/>
      </c>
      <c r="C317">
        <f>IF($B317="","",COUNTIFS($A$6:$A$1005,$A317,$B$6:$B$1005,"&lt;"&amp;$B317)+COUNTIFS($N$6:$N$2005,$A317,$P$6:$P$2005,"&lt;"&amp;$B317)+1)</f>
        <v/>
      </c>
      <c r="D317">
        <f>IF($C317="","",$A317&amp;"|"&amp;RIGHT("000000"&amp;$C317,6))</f>
        <v/>
      </c>
      <c r="E317">
        <f>IF(Entry!$B320="","",IF(ISNUMBER(Entry!$B320),IF(AND(Entry!$B320&gt;=10000101,Entry!$B320&lt;=99991231),INT(Entry!$B320/10000)&amp;"/"&amp;RIGHT("00"&amp;INT(MOD(Entry!$B320,10000)/100),2)&amp;"/"&amp;RIGHT("00"&amp;MOD(Entry!$B320,100),2),"نامعتبر"),IF(LEN(Entry!$B320)=10,Entry!$B320,"نامعتبر")))</f>
        <v/>
      </c>
      <c r="F317">
        <f>IF(Entry!$B320="","",IF(Entry!$C320="","0000",IF(AND(ISNUMBER(Entry!$C320),Entry!$C320&gt;=0,Entry!$C320&lt;1),RIGHT("00"&amp;HOUR(Entry!$C320),2)&amp;RIGHT("00"&amp;MINUTE(Entry!$C320),2),IFERROR(RIGHT("00"&amp;VALUE(LEFT(Entry!$C320,FIND(":",Entry!$C320)-1)),2)&amp;RIGHT("00"&amp;VALUE(MID(Entry!$C320,FIND(":",Entry!$C320)+1,2)),2),"0000"))))</f>
        <v/>
      </c>
      <c r="G317">
        <f>IF($A317="","",Entry!$G320)</f>
        <v/>
      </c>
      <c r="H317">
        <f>IF($A317="","",IF(Entry!$H320="",0,Entry!$H320))</f>
        <v/>
      </c>
      <c r="I317">
        <f>IF($A317="","",IF(Entry!$I320="",0,Entry!$I320))</f>
        <v/>
      </c>
      <c r="J317">
        <f>IF($A317="","",ROUND($H317*$I317,0))</f>
        <v/>
      </c>
      <c r="K317">
        <f>IF($A317="","",Entry!$D320)</f>
        <v/>
      </c>
      <c r="L317">
        <f>IF($A317="","",Entry!$L320)</f>
        <v/>
      </c>
      <c r="N317">
        <f>IF(OR(Sync!$M317="",$Q317="",$Q317="نامعتبر"),"",Sync!$M317)</f>
        <v/>
      </c>
      <c r="O317">
        <f>IF($N317="","",$Q317)</f>
        <v/>
      </c>
      <c r="P317">
        <f>IF($N317="","",LEFT($Q317,4)&amp;MID($Q317,6,2)&amp;RIGHT($Q317,2)&amp;IF(Sync!$K317="","0000",IF(AND(ISNUMBER(Sync!$K317),Sync!$K317&gt;=0,Sync!$K317&lt;1),RIGHT("00"&amp;HOUR(Sync!$K317),2)&amp;RIGHT("00"&amp;MINUTE(Sync!$K317),2),IFERROR(RIGHT("00"&amp;VALUE(LEFT(Sync!$K317,FIND(":",Sync!$K317)-1)),2)&amp;RIGHT("00"&amp;VALUE(MID(Sync!$K317,FIND(":",Sync!$K317)+1,2)),2),"0000")))&amp;"|"&amp;"2"&amp;RIGHT("00000"&amp;312,5))</f>
        <v/>
      </c>
      <c r="Q317">
        <f>IF(Sync!$J317="","",IF(ISNUMBER(Sync!$J317),IF(AND(Sync!$J317&gt;=10000101,Sync!$J317&lt;=99991231),INT(Sync!$J317/10000)&amp;"/"&amp;RIGHT("00"&amp;INT(MOD(Sync!$J317,10000)/100),2)&amp;"/"&amp;RIGHT("00"&amp;MOD(Sync!$J317,100),2),"نامعتبر"),IF(LEN(Sync!$J317)=10,Sync!$J317,"نامعتبر")))</f>
        <v/>
      </c>
      <c r="R317">
        <f>IF($P317="","",COUNTIFS($N$6:$N$2005,$N317,$P$6:$P$2005,"&lt;"&amp;$P317)+COUNTIFS($A$6:$A$1005,$N317,$B$6:$B$1005,"&lt;"&amp;$P317)+1)</f>
        <v/>
      </c>
      <c r="S317">
        <f>IF($N317="","",$N317&amp;"|"&amp;RIGHT("000000"&amp;$R317,6))</f>
        <v/>
      </c>
      <c r="T317">
        <f>IF($N317="","",IF(Sync!$N317="",0,Sync!$N317))</f>
        <v/>
      </c>
      <c r="U317">
        <f>IF($N317="","",IF(Sync!$O317="",0,Sync!$O317))</f>
        <v/>
      </c>
      <c r="V317">
        <f>IF($N317="","",Sync!$L317)</f>
        <v/>
      </c>
      <c r="W317">
        <f>IF($N317="","",Sync!$P317)</f>
        <v/>
      </c>
      <c r="AA317">
        <f>IF($A317="","",IF(COUNTIF($A$6:$A317,$A317)=1,1,0))</f>
        <v/>
      </c>
      <c r="AB317">
        <f>SUM($AA$6:$AA317)</f>
        <v/>
      </c>
      <c r="AC317">
        <f>IFERROR(INDEX($A$6:$A$1005,MATCH(ROW()-5,$AB$6:$AB$1005,0)),"")</f>
        <v/>
      </c>
    </row>
    <row r="318">
      <c r="A318">
        <f>IF(OR(Entry!$B321="",Entry!$E321="",$E318="نامعتبر"),"",Entry!$E321)</f>
        <v/>
      </c>
      <c r="B318">
        <f>IF($A318="","",LEFT($E318,4)&amp;MID($E318,6,2)&amp;RIGHT($E318,2)&amp;$F318&amp;"|"&amp;"1"&amp;RIGHT("00000"&amp;313,5))</f>
        <v/>
      </c>
      <c r="C318">
        <f>IF($B318="","",COUNTIFS($A$6:$A$1005,$A318,$B$6:$B$1005,"&lt;"&amp;$B318)+COUNTIFS($N$6:$N$2005,$A318,$P$6:$P$2005,"&lt;"&amp;$B318)+1)</f>
        <v/>
      </c>
      <c r="D318">
        <f>IF($C318="","",$A318&amp;"|"&amp;RIGHT("000000"&amp;$C318,6))</f>
        <v/>
      </c>
      <c r="E318">
        <f>IF(Entry!$B321="","",IF(ISNUMBER(Entry!$B321),IF(AND(Entry!$B321&gt;=10000101,Entry!$B321&lt;=99991231),INT(Entry!$B321/10000)&amp;"/"&amp;RIGHT("00"&amp;INT(MOD(Entry!$B321,10000)/100),2)&amp;"/"&amp;RIGHT("00"&amp;MOD(Entry!$B321,100),2),"نامعتبر"),IF(LEN(Entry!$B321)=10,Entry!$B321,"نامعتبر")))</f>
        <v/>
      </c>
      <c r="F318">
        <f>IF(Entry!$B321="","",IF(Entry!$C321="","0000",IF(AND(ISNUMBER(Entry!$C321),Entry!$C321&gt;=0,Entry!$C321&lt;1),RIGHT("00"&amp;HOUR(Entry!$C321),2)&amp;RIGHT("00"&amp;MINUTE(Entry!$C321),2),IFERROR(RIGHT("00"&amp;VALUE(LEFT(Entry!$C321,FIND(":",Entry!$C321)-1)),2)&amp;RIGHT("00"&amp;VALUE(MID(Entry!$C321,FIND(":",Entry!$C321)+1,2)),2),"0000"))))</f>
        <v/>
      </c>
      <c r="G318">
        <f>IF($A318="","",Entry!$G321)</f>
        <v/>
      </c>
      <c r="H318">
        <f>IF($A318="","",IF(Entry!$H321="",0,Entry!$H321))</f>
        <v/>
      </c>
      <c r="I318">
        <f>IF($A318="","",IF(Entry!$I321="",0,Entry!$I321))</f>
        <v/>
      </c>
      <c r="J318">
        <f>IF($A318="","",ROUND($H318*$I318,0))</f>
        <v/>
      </c>
      <c r="K318">
        <f>IF($A318="","",Entry!$D321)</f>
        <v/>
      </c>
      <c r="L318">
        <f>IF($A318="","",Entry!$L321)</f>
        <v/>
      </c>
      <c r="N318">
        <f>IF(OR(Sync!$M318="",$Q318="",$Q318="نامعتبر"),"",Sync!$M318)</f>
        <v/>
      </c>
      <c r="O318">
        <f>IF($N318="","",$Q318)</f>
        <v/>
      </c>
      <c r="P318">
        <f>IF($N318="","",LEFT($Q318,4)&amp;MID($Q318,6,2)&amp;RIGHT($Q318,2)&amp;IF(Sync!$K318="","0000",IF(AND(ISNUMBER(Sync!$K318),Sync!$K318&gt;=0,Sync!$K318&lt;1),RIGHT("00"&amp;HOUR(Sync!$K318),2)&amp;RIGHT("00"&amp;MINUTE(Sync!$K318),2),IFERROR(RIGHT("00"&amp;VALUE(LEFT(Sync!$K318,FIND(":",Sync!$K318)-1)),2)&amp;RIGHT("00"&amp;VALUE(MID(Sync!$K318,FIND(":",Sync!$K318)+1,2)),2),"0000")))&amp;"|"&amp;"2"&amp;RIGHT("00000"&amp;313,5))</f>
        <v/>
      </c>
      <c r="Q318">
        <f>IF(Sync!$J318="","",IF(ISNUMBER(Sync!$J318),IF(AND(Sync!$J318&gt;=10000101,Sync!$J318&lt;=99991231),INT(Sync!$J318/10000)&amp;"/"&amp;RIGHT("00"&amp;INT(MOD(Sync!$J318,10000)/100),2)&amp;"/"&amp;RIGHT("00"&amp;MOD(Sync!$J318,100),2),"نامعتبر"),IF(LEN(Sync!$J318)=10,Sync!$J318,"نامعتبر")))</f>
        <v/>
      </c>
      <c r="R318">
        <f>IF($P318="","",COUNTIFS($N$6:$N$2005,$N318,$P$6:$P$2005,"&lt;"&amp;$P318)+COUNTIFS($A$6:$A$1005,$N318,$B$6:$B$1005,"&lt;"&amp;$P318)+1)</f>
        <v/>
      </c>
      <c r="S318">
        <f>IF($N318="","",$N318&amp;"|"&amp;RIGHT("000000"&amp;$R318,6))</f>
        <v/>
      </c>
      <c r="T318">
        <f>IF($N318="","",IF(Sync!$N318="",0,Sync!$N318))</f>
        <v/>
      </c>
      <c r="U318">
        <f>IF($N318="","",IF(Sync!$O318="",0,Sync!$O318))</f>
        <v/>
      </c>
      <c r="V318">
        <f>IF($N318="","",Sync!$L318)</f>
        <v/>
      </c>
      <c r="W318">
        <f>IF($N318="","",Sync!$P318)</f>
        <v/>
      </c>
      <c r="AA318">
        <f>IF($A318="","",IF(COUNTIF($A$6:$A318,$A318)=1,1,0))</f>
        <v/>
      </c>
      <c r="AB318">
        <f>SUM($AA$6:$AA318)</f>
        <v/>
      </c>
      <c r="AC318">
        <f>IFERROR(INDEX($A$6:$A$1005,MATCH(ROW()-5,$AB$6:$AB$1005,0)),"")</f>
        <v/>
      </c>
    </row>
    <row r="319">
      <c r="A319">
        <f>IF(OR(Entry!$B322="",Entry!$E322="",$E319="نامعتبر"),"",Entry!$E322)</f>
        <v/>
      </c>
      <c r="B319">
        <f>IF($A319="","",LEFT($E319,4)&amp;MID($E319,6,2)&amp;RIGHT($E319,2)&amp;$F319&amp;"|"&amp;"1"&amp;RIGHT("00000"&amp;314,5))</f>
        <v/>
      </c>
      <c r="C319">
        <f>IF($B319="","",COUNTIFS($A$6:$A$1005,$A319,$B$6:$B$1005,"&lt;"&amp;$B319)+COUNTIFS($N$6:$N$2005,$A319,$P$6:$P$2005,"&lt;"&amp;$B319)+1)</f>
        <v/>
      </c>
      <c r="D319">
        <f>IF($C319="","",$A319&amp;"|"&amp;RIGHT("000000"&amp;$C319,6))</f>
        <v/>
      </c>
      <c r="E319">
        <f>IF(Entry!$B322="","",IF(ISNUMBER(Entry!$B322),IF(AND(Entry!$B322&gt;=10000101,Entry!$B322&lt;=99991231),INT(Entry!$B322/10000)&amp;"/"&amp;RIGHT("00"&amp;INT(MOD(Entry!$B322,10000)/100),2)&amp;"/"&amp;RIGHT("00"&amp;MOD(Entry!$B322,100),2),"نامعتبر"),IF(LEN(Entry!$B322)=10,Entry!$B322,"نامعتبر")))</f>
        <v/>
      </c>
      <c r="F319">
        <f>IF(Entry!$B322="","",IF(Entry!$C322="","0000",IF(AND(ISNUMBER(Entry!$C322),Entry!$C322&gt;=0,Entry!$C322&lt;1),RIGHT("00"&amp;HOUR(Entry!$C322),2)&amp;RIGHT("00"&amp;MINUTE(Entry!$C322),2),IFERROR(RIGHT("00"&amp;VALUE(LEFT(Entry!$C322,FIND(":",Entry!$C322)-1)),2)&amp;RIGHT("00"&amp;VALUE(MID(Entry!$C322,FIND(":",Entry!$C322)+1,2)),2),"0000"))))</f>
        <v/>
      </c>
      <c r="G319">
        <f>IF($A319="","",Entry!$G322)</f>
        <v/>
      </c>
      <c r="H319">
        <f>IF($A319="","",IF(Entry!$H322="",0,Entry!$H322))</f>
        <v/>
      </c>
      <c r="I319">
        <f>IF($A319="","",IF(Entry!$I322="",0,Entry!$I322))</f>
        <v/>
      </c>
      <c r="J319">
        <f>IF($A319="","",ROUND($H319*$I319,0))</f>
        <v/>
      </c>
      <c r="K319">
        <f>IF($A319="","",Entry!$D322)</f>
        <v/>
      </c>
      <c r="L319">
        <f>IF($A319="","",Entry!$L322)</f>
        <v/>
      </c>
      <c r="N319">
        <f>IF(OR(Sync!$M319="",$Q319="",$Q319="نامعتبر"),"",Sync!$M319)</f>
        <v/>
      </c>
      <c r="O319">
        <f>IF($N319="","",$Q319)</f>
        <v/>
      </c>
      <c r="P319">
        <f>IF($N319="","",LEFT($Q319,4)&amp;MID($Q319,6,2)&amp;RIGHT($Q319,2)&amp;IF(Sync!$K319="","0000",IF(AND(ISNUMBER(Sync!$K319),Sync!$K319&gt;=0,Sync!$K319&lt;1),RIGHT("00"&amp;HOUR(Sync!$K319),2)&amp;RIGHT("00"&amp;MINUTE(Sync!$K319),2),IFERROR(RIGHT("00"&amp;VALUE(LEFT(Sync!$K319,FIND(":",Sync!$K319)-1)),2)&amp;RIGHT("00"&amp;VALUE(MID(Sync!$K319,FIND(":",Sync!$K319)+1,2)),2),"0000")))&amp;"|"&amp;"2"&amp;RIGHT("00000"&amp;314,5))</f>
        <v/>
      </c>
      <c r="Q319">
        <f>IF(Sync!$J319="","",IF(ISNUMBER(Sync!$J319),IF(AND(Sync!$J319&gt;=10000101,Sync!$J319&lt;=99991231),INT(Sync!$J319/10000)&amp;"/"&amp;RIGHT("00"&amp;INT(MOD(Sync!$J319,10000)/100),2)&amp;"/"&amp;RIGHT("00"&amp;MOD(Sync!$J319,100),2),"نامعتبر"),IF(LEN(Sync!$J319)=10,Sync!$J319,"نامعتبر")))</f>
        <v/>
      </c>
      <c r="R319">
        <f>IF($P319="","",COUNTIFS($N$6:$N$2005,$N319,$P$6:$P$2005,"&lt;"&amp;$P319)+COUNTIFS($A$6:$A$1005,$N319,$B$6:$B$1005,"&lt;"&amp;$P319)+1)</f>
        <v/>
      </c>
      <c r="S319">
        <f>IF($N319="","",$N319&amp;"|"&amp;RIGHT("000000"&amp;$R319,6))</f>
        <v/>
      </c>
      <c r="T319">
        <f>IF($N319="","",IF(Sync!$N319="",0,Sync!$N319))</f>
        <v/>
      </c>
      <c r="U319">
        <f>IF($N319="","",IF(Sync!$O319="",0,Sync!$O319))</f>
        <v/>
      </c>
      <c r="V319">
        <f>IF($N319="","",Sync!$L319)</f>
        <v/>
      </c>
      <c r="W319">
        <f>IF($N319="","",Sync!$P319)</f>
        <v/>
      </c>
      <c r="AA319">
        <f>IF($A319="","",IF(COUNTIF($A$6:$A319,$A319)=1,1,0))</f>
        <v/>
      </c>
      <c r="AB319">
        <f>SUM($AA$6:$AA319)</f>
        <v/>
      </c>
      <c r="AC319">
        <f>IFERROR(INDEX($A$6:$A$1005,MATCH(ROW()-5,$AB$6:$AB$1005,0)),"")</f>
        <v/>
      </c>
    </row>
    <row r="320">
      <c r="A320">
        <f>IF(OR(Entry!$B323="",Entry!$E323="",$E320="نامعتبر"),"",Entry!$E323)</f>
        <v/>
      </c>
      <c r="B320">
        <f>IF($A320="","",LEFT($E320,4)&amp;MID($E320,6,2)&amp;RIGHT($E320,2)&amp;$F320&amp;"|"&amp;"1"&amp;RIGHT("00000"&amp;315,5))</f>
        <v/>
      </c>
      <c r="C320">
        <f>IF($B320="","",COUNTIFS($A$6:$A$1005,$A320,$B$6:$B$1005,"&lt;"&amp;$B320)+COUNTIFS($N$6:$N$2005,$A320,$P$6:$P$2005,"&lt;"&amp;$B320)+1)</f>
        <v/>
      </c>
      <c r="D320">
        <f>IF($C320="","",$A320&amp;"|"&amp;RIGHT("000000"&amp;$C320,6))</f>
        <v/>
      </c>
      <c r="E320">
        <f>IF(Entry!$B323="","",IF(ISNUMBER(Entry!$B323),IF(AND(Entry!$B323&gt;=10000101,Entry!$B323&lt;=99991231),INT(Entry!$B323/10000)&amp;"/"&amp;RIGHT("00"&amp;INT(MOD(Entry!$B323,10000)/100),2)&amp;"/"&amp;RIGHT("00"&amp;MOD(Entry!$B323,100),2),"نامعتبر"),IF(LEN(Entry!$B323)=10,Entry!$B323,"نامعتبر")))</f>
        <v/>
      </c>
      <c r="F320">
        <f>IF(Entry!$B323="","",IF(Entry!$C323="","0000",IF(AND(ISNUMBER(Entry!$C323),Entry!$C323&gt;=0,Entry!$C323&lt;1),RIGHT("00"&amp;HOUR(Entry!$C323),2)&amp;RIGHT("00"&amp;MINUTE(Entry!$C323),2),IFERROR(RIGHT("00"&amp;VALUE(LEFT(Entry!$C323,FIND(":",Entry!$C323)-1)),2)&amp;RIGHT("00"&amp;VALUE(MID(Entry!$C323,FIND(":",Entry!$C323)+1,2)),2),"0000"))))</f>
        <v/>
      </c>
      <c r="G320">
        <f>IF($A320="","",Entry!$G323)</f>
        <v/>
      </c>
      <c r="H320">
        <f>IF($A320="","",IF(Entry!$H323="",0,Entry!$H323))</f>
        <v/>
      </c>
      <c r="I320">
        <f>IF($A320="","",IF(Entry!$I323="",0,Entry!$I323))</f>
        <v/>
      </c>
      <c r="J320">
        <f>IF($A320="","",ROUND($H320*$I320,0))</f>
        <v/>
      </c>
      <c r="K320">
        <f>IF($A320="","",Entry!$D323)</f>
        <v/>
      </c>
      <c r="L320">
        <f>IF($A320="","",Entry!$L323)</f>
        <v/>
      </c>
      <c r="N320">
        <f>IF(OR(Sync!$M320="",$Q320="",$Q320="نامعتبر"),"",Sync!$M320)</f>
        <v/>
      </c>
      <c r="O320">
        <f>IF($N320="","",$Q320)</f>
        <v/>
      </c>
      <c r="P320">
        <f>IF($N320="","",LEFT($Q320,4)&amp;MID($Q320,6,2)&amp;RIGHT($Q320,2)&amp;IF(Sync!$K320="","0000",IF(AND(ISNUMBER(Sync!$K320),Sync!$K320&gt;=0,Sync!$K320&lt;1),RIGHT("00"&amp;HOUR(Sync!$K320),2)&amp;RIGHT("00"&amp;MINUTE(Sync!$K320),2),IFERROR(RIGHT("00"&amp;VALUE(LEFT(Sync!$K320,FIND(":",Sync!$K320)-1)),2)&amp;RIGHT("00"&amp;VALUE(MID(Sync!$K320,FIND(":",Sync!$K320)+1,2)),2),"0000")))&amp;"|"&amp;"2"&amp;RIGHT("00000"&amp;315,5))</f>
        <v/>
      </c>
      <c r="Q320">
        <f>IF(Sync!$J320="","",IF(ISNUMBER(Sync!$J320),IF(AND(Sync!$J320&gt;=10000101,Sync!$J320&lt;=99991231),INT(Sync!$J320/10000)&amp;"/"&amp;RIGHT("00"&amp;INT(MOD(Sync!$J320,10000)/100),2)&amp;"/"&amp;RIGHT("00"&amp;MOD(Sync!$J320,100),2),"نامعتبر"),IF(LEN(Sync!$J320)=10,Sync!$J320,"نامعتبر")))</f>
        <v/>
      </c>
      <c r="R320">
        <f>IF($P320="","",COUNTIFS($N$6:$N$2005,$N320,$P$6:$P$2005,"&lt;"&amp;$P320)+COUNTIFS($A$6:$A$1005,$N320,$B$6:$B$1005,"&lt;"&amp;$P320)+1)</f>
        <v/>
      </c>
      <c r="S320">
        <f>IF($N320="","",$N320&amp;"|"&amp;RIGHT("000000"&amp;$R320,6))</f>
        <v/>
      </c>
      <c r="T320">
        <f>IF($N320="","",IF(Sync!$N320="",0,Sync!$N320))</f>
        <v/>
      </c>
      <c r="U320">
        <f>IF($N320="","",IF(Sync!$O320="",0,Sync!$O320))</f>
        <v/>
      </c>
      <c r="V320">
        <f>IF($N320="","",Sync!$L320)</f>
        <v/>
      </c>
      <c r="W320">
        <f>IF($N320="","",Sync!$P320)</f>
        <v/>
      </c>
      <c r="AA320">
        <f>IF($A320="","",IF(COUNTIF($A$6:$A320,$A320)=1,1,0))</f>
        <v/>
      </c>
      <c r="AB320">
        <f>SUM($AA$6:$AA320)</f>
        <v/>
      </c>
      <c r="AC320">
        <f>IFERROR(INDEX($A$6:$A$1005,MATCH(ROW()-5,$AB$6:$AB$1005,0)),"")</f>
        <v/>
      </c>
    </row>
    <row r="321">
      <c r="A321">
        <f>IF(OR(Entry!$B324="",Entry!$E324="",$E321="نامعتبر"),"",Entry!$E324)</f>
        <v/>
      </c>
      <c r="B321">
        <f>IF($A321="","",LEFT($E321,4)&amp;MID($E321,6,2)&amp;RIGHT($E321,2)&amp;$F321&amp;"|"&amp;"1"&amp;RIGHT("00000"&amp;316,5))</f>
        <v/>
      </c>
      <c r="C321">
        <f>IF($B321="","",COUNTIFS($A$6:$A$1005,$A321,$B$6:$B$1005,"&lt;"&amp;$B321)+COUNTIFS($N$6:$N$2005,$A321,$P$6:$P$2005,"&lt;"&amp;$B321)+1)</f>
        <v/>
      </c>
      <c r="D321">
        <f>IF($C321="","",$A321&amp;"|"&amp;RIGHT("000000"&amp;$C321,6))</f>
        <v/>
      </c>
      <c r="E321">
        <f>IF(Entry!$B324="","",IF(ISNUMBER(Entry!$B324),IF(AND(Entry!$B324&gt;=10000101,Entry!$B324&lt;=99991231),INT(Entry!$B324/10000)&amp;"/"&amp;RIGHT("00"&amp;INT(MOD(Entry!$B324,10000)/100),2)&amp;"/"&amp;RIGHT("00"&amp;MOD(Entry!$B324,100),2),"نامعتبر"),IF(LEN(Entry!$B324)=10,Entry!$B324,"نامعتبر")))</f>
        <v/>
      </c>
      <c r="F321">
        <f>IF(Entry!$B324="","",IF(Entry!$C324="","0000",IF(AND(ISNUMBER(Entry!$C324),Entry!$C324&gt;=0,Entry!$C324&lt;1),RIGHT("00"&amp;HOUR(Entry!$C324),2)&amp;RIGHT("00"&amp;MINUTE(Entry!$C324),2),IFERROR(RIGHT("00"&amp;VALUE(LEFT(Entry!$C324,FIND(":",Entry!$C324)-1)),2)&amp;RIGHT("00"&amp;VALUE(MID(Entry!$C324,FIND(":",Entry!$C324)+1,2)),2),"0000"))))</f>
        <v/>
      </c>
      <c r="G321">
        <f>IF($A321="","",Entry!$G324)</f>
        <v/>
      </c>
      <c r="H321">
        <f>IF($A321="","",IF(Entry!$H324="",0,Entry!$H324))</f>
        <v/>
      </c>
      <c r="I321">
        <f>IF($A321="","",IF(Entry!$I324="",0,Entry!$I324))</f>
        <v/>
      </c>
      <c r="J321">
        <f>IF($A321="","",ROUND($H321*$I321,0))</f>
        <v/>
      </c>
      <c r="K321">
        <f>IF($A321="","",Entry!$D324)</f>
        <v/>
      </c>
      <c r="L321">
        <f>IF($A321="","",Entry!$L324)</f>
        <v/>
      </c>
      <c r="N321">
        <f>IF(OR(Sync!$M321="",$Q321="",$Q321="نامعتبر"),"",Sync!$M321)</f>
        <v/>
      </c>
      <c r="O321">
        <f>IF($N321="","",$Q321)</f>
        <v/>
      </c>
      <c r="P321">
        <f>IF($N321="","",LEFT($Q321,4)&amp;MID($Q321,6,2)&amp;RIGHT($Q321,2)&amp;IF(Sync!$K321="","0000",IF(AND(ISNUMBER(Sync!$K321),Sync!$K321&gt;=0,Sync!$K321&lt;1),RIGHT("00"&amp;HOUR(Sync!$K321),2)&amp;RIGHT("00"&amp;MINUTE(Sync!$K321),2),IFERROR(RIGHT("00"&amp;VALUE(LEFT(Sync!$K321,FIND(":",Sync!$K321)-1)),2)&amp;RIGHT("00"&amp;VALUE(MID(Sync!$K321,FIND(":",Sync!$K321)+1,2)),2),"0000")))&amp;"|"&amp;"2"&amp;RIGHT("00000"&amp;316,5))</f>
        <v/>
      </c>
      <c r="Q321">
        <f>IF(Sync!$J321="","",IF(ISNUMBER(Sync!$J321),IF(AND(Sync!$J321&gt;=10000101,Sync!$J321&lt;=99991231),INT(Sync!$J321/10000)&amp;"/"&amp;RIGHT("00"&amp;INT(MOD(Sync!$J321,10000)/100),2)&amp;"/"&amp;RIGHT("00"&amp;MOD(Sync!$J321,100),2),"نامعتبر"),IF(LEN(Sync!$J321)=10,Sync!$J321,"نامعتبر")))</f>
        <v/>
      </c>
      <c r="R321">
        <f>IF($P321="","",COUNTIFS($N$6:$N$2005,$N321,$P$6:$P$2005,"&lt;"&amp;$P321)+COUNTIFS($A$6:$A$1005,$N321,$B$6:$B$1005,"&lt;"&amp;$P321)+1)</f>
        <v/>
      </c>
      <c r="S321">
        <f>IF($N321="","",$N321&amp;"|"&amp;RIGHT("000000"&amp;$R321,6))</f>
        <v/>
      </c>
      <c r="T321">
        <f>IF($N321="","",IF(Sync!$N321="",0,Sync!$N321))</f>
        <v/>
      </c>
      <c r="U321">
        <f>IF($N321="","",IF(Sync!$O321="",0,Sync!$O321))</f>
        <v/>
      </c>
      <c r="V321">
        <f>IF($N321="","",Sync!$L321)</f>
        <v/>
      </c>
      <c r="W321">
        <f>IF($N321="","",Sync!$P321)</f>
        <v/>
      </c>
      <c r="AA321">
        <f>IF($A321="","",IF(COUNTIF($A$6:$A321,$A321)=1,1,0))</f>
        <v/>
      </c>
      <c r="AB321">
        <f>SUM($AA$6:$AA321)</f>
        <v/>
      </c>
      <c r="AC321">
        <f>IFERROR(INDEX($A$6:$A$1005,MATCH(ROW()-5,$AB$6:$AB$1005,0)),"")</f>
        <v/>
      </c>
    </row>
    <row r="322">
      <c r="A322">
        <f>IF(OR(Entry!$B325="",Entry!$E325="",$E322="نامعتبر"),"",Entry!$E325)</f>
        <v/>
      </c>
      <c r="B322">
        <f>IF($A322="","",LEFT($E322,4)&amp;MID($E322,6,2)&amp;RIGHT($E322,2)&amp;$F322&amp;"|"&amp;"1"&amp;RIGHT("00000"&amp;317,5))</f>
        <v/>
      </c>
      <c r="C322">
        <f>IF($B322="","",COUNTIFS($A$6:$A$1005,$A322,$B$6:$B$1005,"&lt;"&amp;$B322)+COUNTIFS($N$6:$N$2005,$A322,$P$6:$P$2005,"&lt;"&amp;$B322)+1)</f>
        <v/>
      </c>
      <c r="D322">
        <f>IF($C322="","",$A322&amp;"|"&amp;RIGHT("000000"&amp;$C322,6))</f>
        <v/>
      </c>
      <c r="E322">
        <f>IF(Entry!$B325="","",IF(ISNUMBER(Entry!$B325),IF(AND(Entry!$B325&gt;=10000101,Entry!$B325&lt;=99991231),INT(Entry!$B325/10000)&amp;"/"&amp;RIGHT("00"&amp;INT(MOD(Entry!$B325,10000)/100),2)&amp;"/"&amp;RIGHT("00"&amp;MOD(Entry!$B325,100),2),"نامعتبر"),IF(LEN(Entry!$B325)=10,Entry!$B325,"نامعتبر")))</f>
        <v/>
      </c>
      <c r="F322">
        <f>IF(Entry!$B325="","",IF(Entry!$C325="","0000",IF(AND(ISNUMBER(Entry!$C325),Entry!$C325&gt;=0,Entry!$C325&lt;1),RIGHT("00"&amp;HOUR(Entry!$C325),2)&amp;RIGHT("00"&amp;MINUTE(Entry!$C325),2),IFERROR(RIGHT("00"&amp;VALUE(LEFT(Entry!$C325,FIND(":",Entry!$C325)-1)),2)&amp;RIGHT("00"&amp;VALUE(MID(Entry!$C325,FIND(":",Entry!$C325)+1,2)),2),"0000"))))</f>
        <v/>
      </c>
      <c r="G322">
        <f>IF($A322="","",Entry!$G325)</f>
        <v/>
      </c>
      <c r="H322">
        <f>IF($A322="","",IF(Entry!$H325="",0,Entry!$H325))</f>
        <v/>
      </c>
      <c r="I322">
        <f>IF($A322="","",IF(Entry!$I325="",0,Entry!$I325))</f>
        <v/>
      </c>
      <c r="J322">
        <f>IF($A322="","",ROUND($H322*$I322,0))</f>
        <v/>
      </c>
      <c r="K322">
        <f>IF($A322="","",Entry!$D325)</f>
        <v/>
      </c>
      <c r="L322">
        <f>IF($A322="","",Entry!$L325)</f>
        <v/>
      </c>
      <c r="N322">
        <f>IF(OR(Sync!$M322="",$Q322="",$Q322="نامعتبر"),"",Sync!$M322)</f>
        <v/>
      </c>
      <c r="O322">
        <f>IF($N322="","",$Q322)</f>
        <v/>
      </c>
      <c r="P322">
        <f>IF($N322="","",LEFT($Q322,4)&amp;MID($Q322,6,2)&amp;RIGHT($Q322,2)&amp;IF(Sync!$K322="","0000",IF(AND(ISNUMBER(Sync!$K322),Sync!$K322&gt;=0,Sync!$K322&lt;1),RIGHT("00"&amp;HOUR(Sync!$K322),2)&amp;RIGHT("00"&amp;MINUTE(Sync!$K322),2),IFERROR(RIGHT("00"&amp;VALUE(LEFT(Sync!$K322,FIND(":",Sync!$K322)-1)),2)&amp;RIGHT("00"&amp;VALUE(MID(Sync!$K322,FIND(":",Sync!$K322)+1,2)),2),"0000")))&amp;"|"&amp;"2"&amp;RIGHT("00000"&amp;317,5))</f>
        <v/>
      </c>
      <c r="Q322">
        <f>IF(Sync!$J322="","",IF(ISNUMBER(Sync!$J322),IF(AND(Sync!$J322&gt;=10000101,Sync!$J322&lt;=99991231),INT(Sync!$J322/10000)&amp;"/"&amp;RIGHT("00"&amp;INT(MOD(Sync!$J322,10000)/100),2)&amp;"/"&amp;RIGHT("00"&amp;MOD(Sync!$J322,100),2),"نامعتبر"),IF(LEN(Sync!$J322)=10,Sync!$J322,"نامعتبر")))</f>
        <v/>
      </c>
      <c r="R322">
        <f>IF($P322="","",COUNTIFS($N$6:$N$2005,$N322,$P$6:$P$2005,"&lt;"&amp;$P322)+COUNTIFS($A$6:$A$1005,$N322,$B$6:$B$1005,"&lt;"&amp;$P322)+1)</f>
        <v/>
      </c>
      <c r="S322">
        <f>IF($N322="","",$N322&amp;"|"&amp;RIGHT("000000"&amp;$R322,6))</f>
        <v/>
      </c>
      <c r="T322">
        <f>IF($N322="","",IF(Sync!$N322="",0,Sync!$N322))</f>
        <v/>
      </c>
      <c r="U322">
        <f>IF($N322="","",IF(Sync!$O322="",0,Sync!$O322))</f>
        <v/>
      </c>
      <c r="V322">
        <f>IF($N322="","",Sync!$L322)</f>
        <v/>
      </c>
      <c r="W322">
        <f>IF($N322="","",Sync!$P322)</f>
        <v/>
      </c>
      <c r="AA322">
        <f>IF($A322="","",IF(COUNTIF($A$6:$A322,$A322)=1,1,0))</f>
        <v/>
      </c>
      <c r="AB322">
        <f>SUM($AA$6:$AA322)</f>
        <v/>
      </c>
      <c r="AC322">
        <f>IFERROR(INDEX($A$6:$A$1005,MATCH(ROW()-5,$AB$6:$AB$1005,0)),"")</f>
        <v/>
      </c>
    </row>
    <row r="323">
      <c r="A323">
        <f>IF(OR(Entry!$B326="",Entry!$E326="",$E323="نامعتبر"),"",Entry!$E326)</f>
        <v/>
      </c>
      <c r="B323">
        <f>IF($A323="","",LEFT($E323,4)&amp;MID($E323,6,2)&amp;RIGHT($E323,2)&amp;$F323&amp;"|"&amp;"1"&amp;RIGHT("00000"&amp;318,5))</f>
        <v/>
      </c>
      <c r="C323">
        <f>IF($B323="","",COUNTIFS($A$6:$A$1005,$A323,$B$6:$B$1005,"&lt;"&amp;$B323)+COUNTIFS($N$6:$N$2005,$A323,$P$6:$P$2005,"&lt;"&amp;$B323)+1)</f>
        <v/>
      </c>
      <c r="D323">
        <f>IF($C323="","",$A323&amp;"|"&amp;RIGHT("000000"&amp;$C323,6))</f>
        <v/>
      </c>
      <c r="E323">
        <f>IF(Entry!$B326="","",IF(ISNUMBER(Entry!$B326),IF(AND(Entry!$B326&gt;=10000101,Entry!$B326&lt;=99991231),INT(Entry!$B326/10000)&amp;"/"&amp;RIGHT("00"&amp;INT(MOD(Entry!$B326,10000)/100),2)&amp;"/"&amp;RIGHT("00"&amp;MOD(Entry!$B326,100),2),"نامعتبر"),IF(LEN(Entry!$B326)=10,Entry!$B326,"نامعتبر")))</f>
        <v/>
      </c>
      <c r="F323">
        <f>IF(Entry!$B326="","",IF(Entry!$C326="","0000",IF(AND(ISNUMBER(Entry!$C326),Entry!$C326&gt;=0,Entry!$C326&lt;1),RIGHT("00"&amp;HOUR(Entry!$C326),2)&amp;RIGHT("00"&amp;MINUTE(Entry!$C326),2),IFERROR(RIGHT("00"&amp;VALUE(LEFT(Entry!$C326,FIND(":",Entry!$C326)-1)),2)&amp;RIGHT("00"&amp;VALUE(MID(Entry!$C326,FIND(":",Entry!$C326)+1,2)),2),"0000"))))</f>
        <v/>
      </c>
      <c r="G323">
        <f>IF($A323="","",Entry!$G326)</f>
        <v/>
      </c>
      <c r="H323">
        <f>IF($A323="","",IF(Entry!$H326="",0,Entry!$H326))</f>
        <v/>
      </c>
      <c r="I323">
        <f>IF($A323="","",IF(Entry!$I326="",0,Entry!$I326))</f>
        <v/>
      </c>
      <c r="J323">
        <f>IF($A323="","",ROUND($H323*$I323,0))</f>
        <v/>
      </c>
      <c r="K323">
        <f>IF($A323="","",Entry!$D326)</f>
        <v/>
      </c>
      <c r="L323">
        <f>IF($A323="","",Entry!$L326)</f>
        <v/>
      </c>
      <c r="N323">
        <f>IF(OR(Sync!$M323="",$Q323="",$Q323="نامعتبر"),"",Sync!$M323)</f>
        <v/>
      </c>
      <c r="O323">
        <f>IF($N323="","",$Q323)</f>
        <v/>
      </c>
      <c r="P323">
        <f>IF($N323="","",LEFT($Q323,4)&amp;MID($Q323,6,2)&amp;RIGHT($Q323,2)&amp;IF(Sync!$K323="","0000",IF(AND(ISNUMBER(Sync!$K323),Sync!$K323&gt;=0,Sync!$K323&lt;1),RIGHT("00"&amp;HOUR(Sync!$K323),2)&amp;RIGHT("00"&amp;MINUTE(Sync!$K323),2),IFERROR(RIGHT("00"&amp;VALUE(LEFT(Sync!$K323,FIND(":",Sync!$K323)-1)),2)&amp;RIGHT("00"&amp;VALUE(MID(Sync!$K323,FIND(":",Sync!$K323)+1,2)),2),"0000")))&amp;"|"&amp;"2"&amp;RIGHT("00000"&amp;318,5))</f>
        <v/>
      </c>
      <c r="Q323">
        <f>IF(Sync!$J323="","",IF(ISNUMBER(Sync!$J323),IF(AND(Sync!$J323&gt;=10000101,Sync!$J323&lt;=99991231),INT(Sync!$J323/10000)&amp;"/"&amp;RIGHT("00"&amp;INT(MOD(Sync!$J323,10000)/100),2)&amp;"/"&amp;RIGHT("00"&amp;MOD(Sync!$J323,100),2),"نامعتبر"),IF(LEN(Sync!$J323)=10,Sync!$J323,"نامعتبر")))</f>
        <v/>
      </c>
      <c r="R323">
        <f>IF($P323="","",COUNTIFS($N$6:$N$2005,$N323,$P$6:$P$2005,"&lt;"&amp;$P323)+COUNTIFS($A$6:$A$1005,$N323,$B$6:$B$1005,"&lt;"&amp;$P323)+1)</f>
        <v/>
      </c>
      <c r="S323">
        <f>IF($N323="","",$N323&amp;"|"&amp;RIGHT("000000"&amp;$R323,6))</f>
        <v/>
      </c>
      <c r="T323">
        <f>IF($N323="","",IF(Sync!$N323="",0,Sync!$N323))</f>
        <v/>
      </c>
      <c r="U323">
        <f>IF($N323="","",IF(Sync!$O323="",0,Sync!$O323))</f>
        <v/>
      </c>
      <c r="V323">
        <f>IF($N323="","",Sync!$L323)</f>
        <v/>
      </c>
      <c r="W323">
        <f>IF($N323="","",Sync!$P323)</f>
        <v/>
      </c>
      <c r="AA323">
        <f>IF($A323="","",IF(COUNTIF($A$6:$A323,$A323)=1,1,0))</f>
        <v/>
      </c>
      <c r="AB323">
        <f>SUM($AA$6:$AA323)</f>
        <v/>
      </c>
      <c r="AC323">
        <f>IFERROR(INDEX($A$6:$A$1005,MATCH(ROW()-5,$AB$6:$AB$1005,0)),"")</f>
        <v/>
      </c>
    </row>
    <row r="324">
      <c r="A324">
        <f>IF(OR(Entry!$B327="",Entry!$E327="",$E324="نامعتبر"),"",Entry!$E327)</f>
        <v/>
      </c>
      <c r="B324">
        <f>IF($A324="","",LEFT($E324,4)&amp;MID($E324,6,2)&amp;RIGHT($E324,2)&amp;$F324&amp;"|"&amp;"1"&amp;RIGHT("00000"&amp;319,5))</f>
        <v/>
      </c>
      <c r="C324">
        <f>IF($B324="","",COUNTIFS($A$6:$A$1005,$A324,$B$6:$B$1005,"&lt;"&amp;$B324)+COUNTIFS($N$6:$N$2005,$A324,$P$6:$P$2005,"&lt;"&amp;$B324)+1)</f>
        <v/>
      </c>
      <c r="D324">
        <f>IF($C324="","",$A324&amp;"|"&amp;RIGHT("000000"&amp;$C324,6))</f>
        <v/>
      </c>
      <c r="E324">
        <f>IF(Entry!$B327="","",IF(ISNUMBER(Entry!$B327),IF(AND(Entry!$B327&gt;=10000101,Entry!$B327&lt;=99991231),INT(Entry!$B327/10000)&amp;"/"&amp;RIGHT("00"&amp;INT(MOD(Entry!$B327,10000)/100),2)&amp;"/"&amp;RIGHT("00"&amp;MOD(Entry!$B327,100),2),"نامعتبر"),IF(LEN(Entry!$B327)=10,Entry!$B327,"نامعتبر")))</f>
        <v/>
      </c>
      <c r="F324">
        <f>IF(Entry!$B327="","",IF(Entry!$C327="","0000",IF(AND(ISNUMBER(Entry!$C327),Entry!$C327&gt;=0,Entry!$C327&lt;1),RIGHT("00"&amp;HOUR(Entry!$C327),2)&amp;RIGHT("00"&amp;MINUTE(Entry!$C327),2),IFERROR(RIGHT("00"&amp;VALUE(LEFT(Entry!$C327,FIND(":",Entry!$C327)-1)),2)&amp;RIGHT("00"&amp;VALUE(MID(Entry!$C327,FIND(":",Entry!$C327)+1,2)),2),"0000"))))</f>
        <v/>
      </c>
      <c r="G324">
        <f>IF($A324="","",Entry!$G327)</f>
        <v/>
      </c>
      <c r="H324">
        <f>IF($A324="","",IF(Entry!$H327="",0,Entry!$H327))</f>
        <v/>
      </c>
      <c r="I324">
        <f>IF($A324="","",IF(Entry!$I327="",0,Entry!$I327))</f>
        <v/>
      </c>
      <c r="J324">
        <f>IF($A324="","",ROUND($H324*$I324,0))</f>
        <v/>
      </c>
      <c r="K324">
        <f>IF($A324="","",Entry!$D327)</f>
        <v/>
      </c>
      <c r="L324">
        <f>IF($A324="","",Entry!$L327)</f>
        <v/>
      </c>
      <c r="N324">
        <f>IF(OR(Sync!$M324="",$Q324="",$Q324="نامعتبر"),"",Sync!$M324)</f>
        <v/>
      </c>
      <c r="O324">
        <f>IF($N324="","",$Q324)</f>
        <v/>
      </c>
      <c r="P324">
        <f>IF($N324="","",LEFT($Q324,4)&amp;MID($Q324,6,2)&amp;RIGHT($Q324,2)&amp;IF(Sync!$K324="","0000",IF(AND(ISNUMBER(Sync!$K324),Sync!$K324&gt;=0,Sync!$K324&lt;1),RIGHT("00"&amp;HOUR(Sync!$K324),2)&amp;RIGHT("00"&amp;MINUTE(Sync!$K324),2),IFERROR(RIGHT("00"&amp;VALUE(LEFT(Sync!$K324,FIND(":",Sync!$K324)-1)),2)&amp;RIGHT("00"&amp;VALUE(MID(Sync!$K324,FIND(":",Sync!$K324)+1,2)),2),"0000")))&amp;"|"&amp;"2"&amp;RIGHT("00000"&amp;319,5))</f>
        <v/>
      </c>
      <c r="Q324">
        <f>IF(Sync!$J324="","",IF(ISNUMBER(Sync!$J324),IF(AND(Sync!$J324&gt;=10000101,Sync!$J324&lt;=99991231),INT(Sync!$J324/10000)&amp;"/"&amp;RIGHT("00"&amp;INT(MOD(Sync!$J324,10000)/100),2)&amp;"/"&amp;RIGHT("00"&amp;MOD(Sync!$J324,100),2),"نامعتبر"),IF(LEN(Sync!$J324)=10,Sync!$J324,"نامعتبر")))</f>
        <v/>
      </c>
      <c r="R324">
        <f>IF($P324="","",COUNTIFS($N$6:$N$2005,$N324,$P$6:$P$2005,"&lt;"&amp;$P324)+COUNTIFS($A$6:$A$1005,$N324,$B$6:$B$1005,"&lt;"&amp;$P324)+1)</f>
        <v/>
      </c>
      <c r="S324">
        <f>IF($N324="","",$N324&amp;"|"&amp;RIGHT("000000"&amp;$R324,6))</f>
        <v/>
      </c>
      <c r="T324">
        <f>IF($N324="","",IF(Sync!$N324="",0,Sync!$N324))</f>
        <v/>
      </c>
      <c r="U324">
        <f>IF($N324="","",IF(Sync!$O324="",0,Sync!$O324))</f>
        <v/>
      </c>
      <c r="V324">
        <f>IF($N324="","",Sync!$L324)</f>
        <v/>
      </c>
      <c r="W324">
        <f>IF($N324="","",Sync!$P324)</f>
        <v/>
      </c>
      <c r="AA324">
        <f>IF($A324="","",IF(COUNTIF($A$6:$A324,$A324)=1,1,0))</f>
        <v/>
      </c>
      <c r="AB324">
        <f>SUM($AA$6:$AA324)</f>
        <v/>
      </c>
      <c r="AC324">
        <f>IFERROR(INDEX($A$6:$A$1005,MATCH(ROW()-5,$AB$6:$AB$1005,0)),"")</f>
        <v/>
      </c>
    </row>
    <row r="325">
      <c r="A325">
        <f>IF(OR(Entry!$B328="",Entry!$E328="",$E325="نامعتبر"),"",Entry!$E328)</f>
        <v/>
      </c>
      <c r="B325">
        <f>IF($A325="","",LEFT($E325,4)&amp;MID($E325,6,2)&amp;RIGHT($E325,2)&amp;$F325&amp;"|"&amp;"1"&amp;RIGHT("00000"&amp;320,5))</f>
        <v/>
      </c>
      <c r="C325">
        <f>IF($B325="","",COUNTIFS($A$6:$A$1005,$A325,$B$6:$B$1005,"&lt;"&amp;$B325)+COUNTIFS($N$6:$N$2005,$A325,$P$6:$P$2005,"&lt;"&amp;$B325)+1)</f>
        <v/>
      </c>
      <c r="D325">
        <f>IF($C325="","",$A325&amp;"|"&amp;RIGHT("000000"&amp;$C325,6))</f>
        <v/>
      </c>
      <c r="E325">
        <f>IF(Entry!$B328="","",IF(ISNUMBER(Entry!$B328),IF(AND(Entry!$B328&gt;=10000101,Entry!$B328&lt;=99991231),INT(Entry!$B328/10000)&amp;"/"&amp;RIGHT("00"&amp;INT(MOD(Entry!$B328,10000)/100),2)&amp;"/"&amp;RIGHT("00"&amp;MOD(Entry!$B328,100),2),"نامعتبر"),IF(LEN(Entry!$B328)=10,Entry!$B328,"نامعتبر")))</f>
        <v/>
      </c>
      <c r="F325">
        <f>IF(Entry!$B328="","",IF(Entry!$C328="","0000",IF(AND(ISNUMBER(Entry!$C328),Entry!$C328&gt;=0,Entry!$C328&lt;1),RIGHT("00"&amp;HOUR(Entry!$C328),2)&amp;RIGHT("00"&amp;MINUTE(Entry!$C328),2),IFERROR(RIGHT("00"&amp;VALUE(LEFT(Entry!$C328,FIND(":",Entry!$C328)-1)),2)&amp;RIGHT("00"&amp;VALUE(MID(Entry!$C328,FIND(":",Entry!$C328)+1,2)),2),"0000"))))</f>
        <v/>
      </c>
      <c r="G325">
        <f>IF($A325="","",Entry!$G328)</f>
        <v/>
      </c>
      <c r="H325">
        <f>IF($A325="","",IF(Entry!$H328="",0,Entry!$H328))</f>
        <v/>
      </c>
      <c r="I325">
        <f>IF($A325="","",IF(Entry!$I328="",0,Entry!$I328))</f>
        <v/>
      </c>
      <c r="J325">
        <f>IF($A325="","",ROUND($H325*$I325,0))</f>
        <v/>
      </c>
      <c r="K325">
        <f>IF($A325="","",Entry!$D328)</f>
        <v/>
      </c>
      <c r="L325">
        <f>IF($A325="","",Entry!$L328)</f>
        <v/>
      </c>
      <c r="N325">
        <f>IF(OR(Sync!$M325="",$Q325="",$Q325="نامعتبر"),"",Sync!$M325)</f>
        <v/>
      </c>
      <c r="O325">
        <f>IF($N325="","",$Q325)</f>
        <v/>
      </c>
      <c r="P325">
        <f>IF($N325="","",LEFT($Q325,4)&amp;MID($Q325,6,2)&amp;RIGHT($Q325,2)&amp;IF(Sync!$K325="","0000",IF(AND(ISNUMBER(Sync!$K325),Sync!$K325&gt;=0,Sync!$K325&lt;1),RIGHT("00"&amp;HOUR(Sync!$K325),2)&amp;RIGHT("00"&amp;MINUTE(Sync!$K325),2),IFERROR(RIGHT("00"&amp;VALUE(LEFT(Sync!$K325,FIND(":",Sync!$K325)-1)),2)&amp;RIGHT("00"&amp;VALUE(MID(Sync!$K325,FIND(":",Sync!$K325)+1,2)),2),"0000")))&amp;"|"&amp;"2"&amp;RIGHT("00000"&amp;320,5))</f>
        <v/>
      </c>
      <c r="Q325">
        <f>IF(Sync!$J325="","",IF(ISNUMBER(Sync!$J325),IF(AND(Sync!$J325&gt;=10000101,Sync!$J325&lt;=99991231),INT(Sync!$J325/10000)&amp;"/"&amp;RIGHT("00"&amp;INT(MOD(Sync!$J325,10000)/100),2)&amp;"/"&amp;RIGHT("00"&amp;MOD(Sync!$J325,100),2),"نامعتبر"),IF(LEN(Sync!$J325)=10,Sync!$J325,"نامعتبر")))</f>
        <v/>
      </c>
      <c r="R325">
        <f>IF($P325="","",COUNTIFS($N$6:$N$2005,$N325,$P$6:$P$2005,"&lt;"&amp;$P325)+COUNTIFS($A$6:$A$1005,$N325,$B$6:$B$1005,"&lt;"&amp;$P325)+1)</f>
        <v/>
      </c>
      <c r="S325">
        <f>IF($N325="","",$N325&amp;"|"&amp;RIGHT("000000"&amp;$R325,6))</f>
        <v/>
      </c>
      <c r="T325">
        <f>IF($N325="","",IF(Sync!$N325="",0,Sync!$N325))</f>
        <v/>
      </c>
      <c r="U325">
        <f>IF($N325="","",IF(Sync!$O325="",0,Sync!$O325))</f>
        <v/>
      </c>
      <c r="V325">
        <f>IF($N325="","",Sync!$L325)</f>
        <v/>
      </c>
      <c r="W325">
        <f>IF($N325="","",Sync!$P325)</f>
        <v/>
      </c>
      <c r="AA325">
        <f>IF($A325="","",IF(COUNTIF($A$6:$A325,$A325)=1,1,0))</f>
        <v/>
      </c>
      <c r="AB325">
        <f>SUM($AA$6:$AA325)</f>
        <v/>
      </c>
      <c r="AC325">
        <f>IFERROR(INDEX($A$6:$A$1005,MATCH(ROW()-5,$AB$6:$AB$1005,0)),"")</f>
        <v/>
      </c>
    </row>
    <row r="326">
      <c r="A326">
        <f>IF(OR(Entry!$B329="",Entry!$E329="",$E326="نامعتبر"),"",Entry!$E329)</f>
        <v/>
      </c>
      <c r="B326">
        <f>IF($A326="","",LEFT($E326,4)&amp;MID($E326,6,2)&amp;RIGHT($E326,2)&amp;$F326&amp;"|"&amp;"1"&amp;RIGHT("00000"&amp;321,5))</f>
        <v/>
      </c>
      <c r="C326">
        <f>IF($B326="","",COUNTIFS($A$6:$A$1005,$A326,$B$6:$B$1005,"&lt;"&amp;$B326)+COUNTIFS($N$6:$N$2005,$A326,$P$6:$P$2005,"&lt;"&amp;$B326)+1)</f>
        <v/>
      </c>
      <c r="D326">
        <f>IF($C326="","",$A326&amp;"|"&amp;RIGHT("000000"&amp;$C326,6))</f>
        <v/>
      </c>
      <c r="E326">
        <f>IF(Entry!$B329="","",IF(ISNUMBER(Entry!$B329),IF(AND(Entry!$B329&gt;=10000101,Entry!$B329&lt;=99991231),INT(Entry!$B329/10000)&amp;"/"&amp;RIGHT("00"&amp;INT(MOD(Entry!$B329,10000)/100),2)&amp;"/"&amp;RIGHT("00"&amp;MOD(Entry!$B329,100),2),"نامعتبر"),IF(LEN(Entry!$B329)=10,Entry!$B329,"نامعتبر")))</f>
        <v/>
      </c>
      <c r="F326">
        <f>IF(Entry!$B329="","",IF(Entry!$C329="","0000",IF(AND(ISNUMBER(Entry!$C329),Entry!$C329&gt;=0,Entry!$C329&lt;1),RIGHT("00"&amp;HOUR(Entry!$C329),2)&amp;RIGHT("00"&amp;MINUTE(Entry!$C329),2),IFERROR(RIGHT("00"&amp;VALUE(LEFT(Entry!$C329,FIND(":",Entry!$C329)-1)),2)&amp;RIGHT("00"&amp;VALUE(MID(Entry!$C329,FIND(":",Entry!$C329)+1,2)),2),"0000"))))</f>
        <v/>
      </c>
      <c r="G326">
        <f>IF($A326="","",Entry!$G329)</f>
        <v/>
      </c>
      <c r="H326">
        <f>IF($A326="","",IF(Entry!$H329="",0,Entry!$H329))</f>
        <v/>
      </c>
      <c r="I326">
        <f>IF($A326="","",IF(Entry!$I329="",0,Entry!$I329))</f>
        <v/>
      </c>
      <c r="J326">
        <f>IF($A326="","",ROUND($H326*$I326,0))</f>
        <v/>
      </c>
      <c r="K326">
        <f>IF($A326="","",Entry!$D329)</f>
        <v/>
      </c>
      <c r="L326">
        <f>IF($A326="","",Entry!$L329)</f>
        <v/>
      </c>
      <c r="N326">
        <f>IF(OR(Sync!$M326="",$Q326="",$Q326="نامعتبر"),"",Sync!$M326)</f>
        <v/>
      </c>
      <c r="O326">
        <f>IF($N326="","",$Q326)</f>
        <v/>
      </c>
      <c r="P326">
        <f>IF($N326="","",LEFT($Q326,4)&amp;MID($Q326,6,2)&amp;RIGHT($Q326,2)&amp;IF(Sync!$K326="","0000",IF(AND(ISNUMBER(Sync!$K326),Sync!$K326&gt;=0,Sync!$K326&lt;1),RIGHT("00"&amp;HOUR(Sync!$K326),2)&amp;RIGHT("00"&amp;MINUTE(Sync!$K326),2),IFERROR(RIGHT("00"&amp;VALUE(LEFT(Sync!$K326,FIND(":",Sync!$K326)-1)),2)&amp;RIGHT("00"&amp;VALUE(MID(Sync!$K326,FIND(":",Sync!$K326)+1,2)),2),"0000")))&amp;"|"&amp;"2"&amp;RIGHT("00000"&amp;321,5))</f>
        <v/>
      </c>
      <c r="Q326">
        <f>IF(Sync!$J326="","",IF(ISNUMBER(Sync!$J326),IF(AND(Sync!$J326&gt;=10000101,Sync!$J326&lt;=99991231),INT(Sync!$J326/10000)&amp;"/"&amp;RIGHT("00"&amp;INT(MOD(Sync!$J326,10000)/100),2)&amp;"/"&amp;RIGHT("00"&amp;MOD(Sync!$J326,100),2),"نامعتبر"),IF(LEN(Sync!$J326)=10,Sync!$J326,"نامعتبر")))</f>
        <v/>
      </c>
      <c r="R326">
        <f>IF($P326="","",COUNTIFS($N$6:$N$2005,$N326,$P$6:$P$2005,"&lt;"&amp;$P326)+COUNTIFS($A$6:$A$1005,$N326,$B$6:$B$1005,"&lt;"&amp;$P326)+1)</f>
        <v/>
      </c>
      <c r="S326">
        <f>IF($N326="","",$N326&amp;"|"&amp;RIGHT("000000"&amp;$R326,6))</f>
        <v/>
      </c>
      <c r="T326">
        <f>IF($N326="","",IF(Sync!$N326="",0,Sync!$N326))</f>
        <v/>
      </c>
      <c r="U326">
        <f>IF($N326="","",IF(Sync!$O326="",0,Sync!$O326))</f>
        <v/>
      </c>
      <c r="V326">
        <f>IF($N326="","",Sync!$L326)</f>
        <v/>
      </c>
      <c r="W326">
        <f>IF($N326="","",Sync!$P326)</f>
        <v/>
      </c>
      <c r="AA326">
        <f>IF($A326="","",IF(COUNTIF($A$6:$A326,$A326)=1,1,0))</f>
        <v/>
      </c>
      <c r="AB326">
        <f>SUM($AA$6:$AA326)</f>
        <v/>
      </c>
      <c r="AC326">
        <f>IFERROR(INDEX($A$6:$A$1005,MATCH(ROW()-5,$AB$6:$AB$1005,0)),"")</f>
        <v/>
      </c>
    </row>
    <row r="327">
      <c r="A327">
        <f>IF(OR(Entry!$B330="",Entry!$E330="",$E327="نامعتبر"),"",Entry!$E330)</f>
        <v/>
      </c>
      <c r="B327">
        <f>IF($A327="","",LEFT($E327,4)&amp;MID($E327,6,2)&amp;RIGHT($E327,2)&amp;$F327&amp;"|"&amp;"1"&amp;RIGHT("00000"&amp;322,5))</f>
        <v/>
      </c>
      <c r="C327">
        <f>IF($B327="","",COUNTIFS($A$6:$A$1005,$A327,$B$6:$B$1005,"&lt;"&amp;$B327)+COUNTIFS($N$6:$N$2005,$A327,$P$6:$P$2005,"&lt;"&amp;$B327)+1)</f>
        <v/>
      </c>
      <c r="D327">
        <f>IF($C327="","",$A327&amp;"|"&amp;RIGHT("000000"&amp;$C327,6))</f>
        <v/>
      </c>
      <c r="E327">
        <f>IF(Entry!$B330="","",IF(ISNUMBER(Entry!$B330),IF(AND(Entry!$B330&gt;=10000101,Entry!$B330&lt;=99991231),INT(Entry!$B330/10000)&amp;"/"&amp;RIGHT("00"&amp;INT(MOD(Entry!$B330,10000)/100),2)&amp;"/"&amp;RIGHT("00"&amp;MOD(Entry!$B330,100),2),"نامعتبر"),IF(LEN(Entry!$B330)=10,Entry!$B330,"نامعتبر")))</f>
        <v/>
      </c>
      <c r="F327">
        <f>IF(Entry!$B330="","",IF(Entry!$C330="","0000",IF(AND(ISNUMBER(Entry!$C330),Entry!$C330&gt;=0,Entry!$C330&lt;1),RIGHT("00"&amp;HOUR(Entry!$C330),2)&amp;RIGHT("00"&amp;MINUTE(Entry!$C330),2),IFERROR(RIGHT("00"&amp;VALUE(LEFT(Entry!$C330,FIND(":",Entry!$C330)-1)),2)&amp;RIGHT("00"&amp;VALUE(MID(Entry!$C330,FIND(":",Entry!$C330)+1,2)),2),"0000"))))</f>
        <v/>
      </c>
      <c r="G327">
        <f>IF($A327="","",Entry!$G330)</f>
        <v/>
      </c>
      <c r="H327">
        <f>IF($A327="","",IF(Entry!$H330="",0,Entry!$H330))</f>
        <v/>
      </c>
      <c r="I327">
        <f>IF($A327="","",IF(Entry!$I330="",0,Entry!$I330))</f>
        <v/>
      </c>
      <c r="J327">
        <f>IF($A327="","",ROUND($H327*$I327,0))</f>
        <v/>
      </c>
      <c r="K327">
        <f>IF($A327="","",Entry!$D330)</f>
        <v/>
      </c>
      <c r="L327">
        <f>IF($A327="","",Entry!$L330)</f>
        <v/>
      </c>
      <c r="N327">
        <f>IF(OR(Sync!$M327="",$Q327="",$Q327="نامعتبر"),"",Sync!$M327)</f>
        <v/>
      </c>
      <c r="O327">
        <f>IF($N327="","",$Q327)</f>
        <v/>
      </c>
      <c r="P327">
        <f>IF($N327="","",LEFT($Q327,4)&amp;MID($Q327,6,2)&amp;RIGHT($Q327,2)&amp;IF(Sync!$K327="","0000",IF(AND(ISNUMBER(Sync!$K327),Sync!$K327&gt;=0,Sync!$K327&lt;1),RIGHT("00"&amp;HOUR(Sync!$K327),2)&amp;RIGHT("00"&amp;MINUTE(Sync!$K327),2),IFERROR(RIGHT("00"&amp;VALUE(LEFT(Sync!$K327,FIND(":",Sync!$K327)-1)),2)&amp;RIGHT("00"&amp;VALUE(MID(Sync!$K327,FIND(":",Sync!$K327)+1,2)),2),"0000")))&amp;"|"&amp;"2"&amp;RIGHT("00000"&amp;322,5))</f>
        <v/>
      </c>
      <c r="Q327">
        <f>IF(Sync!$J327="","",IF(ISNUMBER(Sync!$J327),IF(AND(Sync!$J327&gt;=10000101,Sync!$J327&lt;=99991231),INT(Sync!$J327/10000)&amp;"/"&amp;RIGHT("00"&amp;INT(MOD(Sync!$J327,10000)/100),2)&amp;"/"&amp;RIGHT("00"&amp;MOD(Sync!$J327,100),2),"نامعتبر"),IF(LEN(Sync!$J327)=10,Sync!$J327,"نامعتبر")))</f>
        <v/>
      </c>
      <c r="R327">
        <f>IF($P327="","",COUNTIFS($N$6:$N$2005,$N327,$P$6:$P$2005,"&lt;"&amp;$P327)+COUNTIFS($A$6:$A$1005,$N327,$B$6:$B$1005,"&lt;"&amp;$P327)+1)</f>
        <v/>
      </c>
      <c r="S327">
        <f>IF($N327="","",$N327&amp;"|"&amp;RIGHT("000000"&amp;$R327,6))</f>
        <v/>
      </c>
      <c r="T327">
        <f>IF($N327="","",IF(Sync!$N327="",0,Sync!$N327))</f>
        <v/>
      </c>
      <c r="U327">
        <f>IF($N327="","",IF(Sync!$O327="",0,Sync!$O327))</f>
        <v/>
      </c>
      <c r="V327">
        <f>IF($N327="","",Sync!$L327)</f>
        <v/>
      </c>
      <c r="W327">
        <f>IF($N327="","",Sync!$P327)</f>
        <v/>
      </c>
      <c r="AA327">
        <f>IF($A327="","",IF(COUNTIF($A$6:$A327,$A327)=1,1,0))</f>
        <v/>
      </c>
      <c r="AB327">
        <f>SUM($AA$6:$AA327)</f>
        <v/>
      </c>
      <c r="AC327">
        <f>IFERROR(INDEX($A$6:$A$1005,MATCH(ROW()-5,$AB$6:$AB$1005,0)),"")</f>
        <v/>
      </c>
    </row>
    <row r="328">
      <c r="A328">
        <f>IF(OR(Entry!$B331="",Entry!$E331="",$E328="نامعتبر"),"",Entry!$E331)</f>
        <v/>
      </c>
      <c r="B328">
        <f>IF($A328="","",LEFT($E328,4)&amp;MID($E328,6,2)&amp;RIGHT($E328,2)&amp;$F328&amp;"|"&amp;"1"&amp;RIGHT("00000"&amp;323,5))</f>
        <v/>
      </c>
      <c r="C328">
        <f>IF($B328="","",COUNTIFS($A$6:$A$1005,$A328,$B$6:$B$1005,"&lt;"&amp;$B328)+COUNTIFS($N$6:$N$2005,$A328,$P$6:$P$2005,"&lt;"&amp;$B328)+1)</f>
        <v/>
      </c>
      <c r="D328">
        <f>IF($C328="","",$A328&amp;"|"&amp;RIGHT("000000"&amp;$C328,6))</f>
        <v/>
      </c>
      <c r="E328">
        <f>IF(Entry!$B331="","",IF(ISNUMBER(Entry!$B331),IF(AND(Entry!$B331&gt;=10000101,Entry!$B331&lt;=99991231),INT(Entry!$B331/10000)&amp;"/"&amp;RIGHT("00"&amp;INT(MOD(Entry!$B331,10000)/100),2)&amp;"/"&amp;RIGHT("00"&amp;MOD(Entry!$B331,100),2),"نامعتبر"),IF(LEN(Entry!$B331)=10,Entry!$B331,"نامعتبر")))</f>
        <v/>
      </c>
      <c r="F328">
        <f>IF(Entry!$B331="","",IF(Entry!$C331="","0000",IF(AND(ISNUMBER(Entry!$C331),Entry!$C331&gt;=0,Entry!$C331&lt;1),RIGHT("00"&amp;HOUR(Entry!$C331),2)&amp;RIGHT("00"&amp;MINUTE(Entry!$C331),2),IFERROR(RIGHT("00"&amp;VALUE(LEFT(Entry!$C331,FIND(":",Entry!$C331)-1)),2)&amp;RIGHT("00"&amp;VALUE(MID(Entry!$C331,FIND(":",Entry!$C331)+1,2)),2),"0000"))))</f>
        <v/>
      </c>
      <c r="G328">
        <f>IF($A328="","",Entry!$G331)</f>
        <v/>
      </c>
      <c r="H328">
        <f>IF($A328="","",IF(Entry!$H331="",0,Entry!$H331))</f>
        <v/>
      </c>
      <c r="I328">
        <f>IF($A328="","",IF(Entry!$I331="",0,Entry!$I331))</f>
        <v/>
      </c>
      <c r="J328">
        <f>IF($A328="","",ROUND($H328*$I328,0))</f>
        <v/>
      </c>
      <c r="K328">
        <f>IF($A328="","",Entry!$D331)</f>
        <v/>
      </c>
      <c r="L328">
        <f>IF($A328="","",Entry!$L331)</f>
        <v/>
      </c>
      <c r="N328">
        <f>IF(OR(Sync!$M328="",$Q328="",$Q328="نامعتبر"),"",Sync!$M328)</f>
        <v/>
      </c>
      <c r="O328">
        <f>IF($N328="","",$Q328)</f>
        <v/>
      </c>
      <c r="P328">
        <f>IF($N328="","",LEFT($Q328,4)&amp;MID($Q328,6,2)&amp;RIGHT($Q328,2)&amp;IF(Sync!$K328="","0000",IF(AND(ISNUMBER(Sync!$K328),Sync!$K328&gt;=0,Sync!$K328&lt;1),RIGHT("00"&amp;HOUR(Sync!$K328),2)&amp;RIGHT("00"&amp;MINUTE(Sync!$K328),2),IFERROR(RIGHT("00"&amp;VALUE(LEFT(Sync!$K328,FIND(":",Sync!$K328)-1)),2)&amp;RIGHT("00"&amp;VALUE(MID(Sync!$K328,FIND(":",Sync!$K328)+1,2)),2),"0000")))&amp;"|"&amp;"2"&amp;RIGHT("00000"&amp;323,5))</f>
        <v/>
      </c>
      <c r="Q328">
        <f>IF(Sync!$J328="","",IF(ISNUMBER(Sync!$J328),IF(AND(Sync!$J328&gt;=10000101,Sync!$J328&lt;=99991231),INT(Sync!$J328/10000)&amp;"/"&amp;RIGHT("00"&amp;INT(MOD(Sync!$J328,10000)/100),2)&amp;"/"&amp;RIGHT("00"&amp;MOD(Sync!$J328,100),2),"نامعتبر"),IF(LEN(Sync!$J328)=10,Sync!$J328,"نامعتبر")))</f>
        <v/>
      </c>
      <c r="R328">
        <f>IF($P328="","",COUNTIFS($N$6:$N$2005,$N328,$P$6:$P$2005,"&lt;"&amp;$P328)+COUNTIFS($A$6:$A$1005,$N328,$B$6:$B$1005,"&lt;"&amp;$P328)+1)</f>
        <v/>
      </c>
      <c r="S328">
        <f>IF($N328="","",$N328&amp;"|"&amp;RIGHT("000000"&amp;$R328,6))</f>
        <v/>
      </c>
      <c r="T328">
        <f>IF($N328="","",IF(Sync!$N328="",0,Sync!$N328))</f>
        <v/>
      </c>
      <c r="U328">
        <f>IF($N328="","",IF(Sync!$O328="",0,Sync!$O328))</f>
        <v/>
      </c>
      <c r="V328">
        <f>IF($N328="","",Sync!$L328)</f>
        <v/>
      </c>
      <c r="W328">
        <f>IF($N328="","",Sync!$P328)</f>
        <v/>
      </c>
      <c r="AA328">
        <f>IF($A328="","",IF(COUNTIF($A$6:$A328,$A328)=1,1,0))</f>
        <v/>
      </c>
      <c r="AB328">
        <f>SUM($AA$6:$AA328)</f>
        <v/>
      </c>
      <c r="AC328">
        <f>IFERROR(INDEX($A$6:$A$1005,MATCH(ROW()-5,$AB$6:$AB$1005,0)),"")</f>
        <v/>
      </c>
    </row>
    <row r="329">
      <c r="A329">
        <f>IF(OR(Entry!$B332="",Entry!$E332="",$E329="نامعتبر"),"",Entry!$E332)</f>
        <v/>
      </c>
      <c r="B329">
        <f>IF($A329="","",LEFT($E329,4)&amp;MID($E329,6,2)&amp;RIGHT($E329,2)&amp;$F329&amp;"|"&amp;"1"&amp;RIGHT("00000"&amp;324,5))</f>
        <v/>
      </c>
      <c r="C329">
        <f>IF($B329="","",COUNTIFS($A$6:$A$1005,$A329,$B$6:$B$1005,"&lt;"&amp;$B329)+COUNTIFS($N$6:$N$2005,$A329,$P$6:$P$2005,"&lt;"&amp;$B329)+1)</f>
        <v/>
      </c>
      <c r="D329">
        <f>IF($C329="","",$A329&amp;"|"&amp;RIGHT("000000"&amp;$C329,6))</f>
        <v/>
      </c>
      <c r="E329">
        <f>IF(Entry!$B332="","",IF(ISNUMBER(Entry!$B332),IF(AND(Entry!$B332&gt;=10000101,Entry!$B332&lt;=99991231),INT(Entry!$B332/10000)&amp;"/"&amp;RIGHT("00"&amp;INT(MOD(Entry!$B332,10000)/100),2)&amp;"/"&amp;RIGHT("00"&amp;MOD(Entry!$B332,100),2),"نامعتبر"),IF(LEN(Entry!$B332)=10,Entry!$B332,"نامعتبر")))</f>
        <v/>
      </c>
      <c r="F329">
        <f>IF(Entry!$B332="","",IF(Entry!$C332="","0000",IF(AND(ISNUMBER(Entry!$C332),Entry!$C332&gt;=0,Entry!$C332&lt;1),RIGHT("00"&amp;HOUR(Entry!$C332),2)&amp;RIGHT("00"&amp;MINUTE(Entry!$C332),2),IFERROR(RIGHT("00"&amp;VALUE(LEFT(Entry!$C332,FIND(":",Entry!$C332)-1)),2)&amp;RIGHT("00"&amp;VALUE(MID(Entry!$C332,FIND(":",Entry!$C332)+1,2)),2),"0000"))))</f>
        <v/>
      </c>
      <c r="G329">
        <f>IF($A329="","",Entry!$G332)</f>
        <v/>
      </c>
      <c r="H329">
        <f>IF($A329="","",IF(Entry!$H332="",0,Entry!$H332))</f>
        <v/>
      </c>
      <c r="I329">
        <f>IF($A329="","",IF(Entry!$I332="",0,Entry!$I332))</f>
        <v/>
      </c>
      <c r="J329">
        <f>IF($A329="","",ROUND($H329*$I329,0))</f>
        <v/>
      </c>
      <c r="K329">
        <f>IF($A329="","",Entry!$D332)</f>
        <v/>
      </c>
      <c r="L329">
        <f>IF($A329="","",Entry!$L332)</f>
        <v/>
      </c>
      <c r="N329">
        <f>IF(OR(Sync!$M329="",$Q329="",$Q329="نامعتبر"),"",Sync!$M329)</f>
        <v/>
      </c>
      <c r="O329">
        <f>IF($N329="","",$Q329)</f>
        <v/>
      </c>
      <c r="P329">
        <f>IF($N329="","",LEFT($Q329,4)&amp;MID($Q329,6,2)&amp;RIGHT($Q329,2)&amp;IF(Sync!$K329="","0000",IF(AND(ISNUMBER(Sync!$K329),Sync!$K329&gt;=0,Sync!$K329&lt;1),RIGHT("00"&amp;HOUR(Sync!$K329),2)&amp;RIGHT("00"&amp;MINUTE(Sync!$K329),2),IFERROR(RIGHT("00"&amp;VALUE(LEFT(Sync!$K329,FIND(":",Sync!$K329)-1)),2)&amp;RIGHT("00"&amp;VALUE(MID(Sync!$K329,FIND(":",Sync!$K329)+1,2)),2),"0000")))&amp;"|"&amp;"2"&amp;RIGHT("00000"&amp;324,5))</f>
        <v/>
      </c>
      <c r="Q329">
        <f>IF(Sync!$J329="","",IF(ISNUMBER(Sync!$J329),IF(AND(Sync!$J329&gt;=10000101,Sync!$J329&lt;=99991231),INT(Sync!$J329/10000)&amp;"/"&amp;RIGHT("00"&amp;INT(MOD(Sync!$J329,10000)/100),2)&amp;"/"&amp;RIGHT("00"&amp;MOD(Sync!$J329,100),2),"نامعتبر"),IF(LEN(Sync!$J329)=10,Sync!$J329,"نامعتبر")))</f>
        <v/>
      </c>
      <c r="R329">
        <f>IF($P329="","",COUNTIFS($N$6:$N$2005,$N329,$P$6:$P$2005,"&lt;"&amp;$P329)+COUNTIFS($A$6:$A$1005,$N329,$B$6:$B$1005,"&lt;"&amp;$P329)+1)</f>
        <v/>
      </c>
      <c r="S329">
        <f>IF($N329="","",$N329&amp;"|"&amp;RIGHT("000000"&amp;$R329,6))</f>
        <v/>
      </c>
      <c r="T329">
        <f>IF($N329="","",IF(Sync!$N329="",0,Sync!$N329))</f>
        <v/>
      </c>
      <c r="U329">
        <f>IF($N329="","",IF(Sync!$O329="",0,Sync!$O329))</f>
        <v/>
      </c>
      <c r="V329">
        <f>IF($N329="","",Sync!$L329)</f>
        <v/>
      </c>
      <c r="W329">
        <f>IF($N329="","",Sync!$P329)</f>
        <v/>
      </c>
      <c r="AA329">
        <f>IF($A329="","",IF(COUNTIF($A$6:$A329,$A329)=1,1,0))</f>
        <v/>
      </c>
      <c r="AB329">
        <f>SUM($AA$6:$AA329)</f>
        <v/>
      </c>
      <c r="AC329">
        <f>IFERROR(INDEX($A$6:$A$1005,MATCH(ROW()-5,$AB$6:$AB$1005,0)),"")</f>
        <v/>
      </c>
    </row>
    <row r="330">
      <c r="A330">
        <f>IF(OR(Entry!$B333="",Entry!$E333="",$E330="نامعتبر"),"",Entry!$E333)</f>
        <v/>
      </c>
      <c r="B330">
        <f>IF($A330="","",LEFT($E330,4)&amp;MID($E330,6,2)&amp;RIGHT($E330,2)&amp;$F330&amp;"|"&amp;"1"&amp;RIGHT("00000"&amp;325,5))</f>
        <v/>
      </c>
      <c r="C330">
        <f>IF($B330="","",COUNTIFS($A$6:$A$1005,$A330,$B$6:$B$1005,"&lt;"&amp;$B330)+COUNTIFS($N$6:$N$2005,$A330,$P$6:$P$2005,"&lt;"&amp;$B330)+1)</f>
        <v/>
      </c>
      <c r="D330">
        <f>IF($C330="","",$A330&amp;"|"&amp;RIGHT("000000"&amp;$C330,6))</f>
        <v/>
      </c>
      <c r="E330">
        <f>IF(Entry!$B333="","",IF(ISNUMBER(Entry!$B333),IF(AND(Entry!$B333&gt;=10000101,Entry!$B333&lt;=99991231),INT(Entry!$B333/10000)&amp;"/"&amp;RIGHT("00"&amp;INT(MOD(Entry!$B333,10000)/100),2)&amp;"/"&amp;RIGHT("00"&amp;MOD(Entry!$B333,100),2),"نامعتبر"),IF(LEN(Entry!$B333)=10,Entry!$B333,"نامعتبر")))</f>
        <v/>
      </c>
      <c r="F330">
        <f>IF(Entry!$B333="","",IF(Entry!$C333="","0000",IF(AND(ISNUMBER(Entry!$C333),Entry!$C333&gt;=0,Entry!$C333&lt;1),RIGHT("00"&amp;HOUR(Entry!$C333),2)&amp;RIGHT("00"&amp;MINUTE(Entry!$C333),2),IFERROR(RIGHT("00"&amp;VALUE(LEFT(Entry!$C333,FIND(":",Entry!$C333)-1)),2)&amp;RIGHT("00"&amp;VALUE(MID(Entry!$C333,FIND(":",Entry!$C333)+1,2)),2),"0000"))))</f>
        <v/>
      </c>
      <c r="G330">
        <f>IF($A330="","",Entry!$G333)</f>
        <v/>
      </c>
      <c r="H330">
        <f>IF($A330="","",IF(Entry!$H333="",0,Entry!$H333))</f>
        <v/>
      </c>
      <c r="I330">
        <f>IF($A330="","",IF(Entry!$I333="",0,Entry!$I333))</f>
        <v/>
      </c>
      <c r="J330">
        <f>IF($A330="","",ROUND($H330*$I330,0))</f>
        <v/>
      </c>
      <c r="K330">
        <f>IF($A330="","",Entry!$D333)</f>
        <v/>
      </c>
      <c r="L330">
        <f>IF($A330="","",Entry!$L333)</f>
        <v/>
      </c>
      <c r="N330">
        <f>IF(OR(Sync!$M330="",$Q330="",$Q330="نامعتبر"),"",Sync!$M330)</f>
        <v/>
      </c>
      <c r="O330">
        <f>IF($N330="","",$Q330)</f>
        <v/>
      </c>
      <c r="P330">
        <f>IF($N330="","",LEFT($Q330,4)&amp;MID($Q330,6,2)&amp;RIGHT($Q330,2)&amp;IF(Sync!$K330="","0000",IF(AND(ISNUMBER(Sync!$K330),Sync!$K330&gt;=0,Sync!$K330&lt;1),RIGHT("00"&amp;HOUR(Sync!$K330),2)&amp;RIGHT("00"&amp;MINUTE(Sync!$K330),2),IFERROR(RIGHT("00"&amp;VALUE(LEFT(Sync!$K330,FIND(":",Sync!$K330)-1)),2)&amp;RIGHT("00"&amp;VALUE(MID(Sync!$K330,FIND(":",Sync!$K330)+1,2)),2),"0000")))&amp;"|"&amp;"2"&amp;RIGHT("00000"&amp;325,5))</f>
        <v/>
      </c>
      <c r="Q330">
        <f>IF(Sync!$J330="","",IF(ISNUMBER(Sync!$J330),IF(AND(Sync!$J330&gt;=10000101,Sync!$J330&lt;=99991231),INT(Sync!$J330/10000)&amp;"/"&amp;RIGHT("00"&amp;INT(MOD(Sync!$J330,10000)/100),2)&amp;"/"&amp;RIGHT("00"&amp;MOD(Sync!$J330,100),2),"نامعتبر"),IF(LEN(Sync!$J330)=10,Sync!$J330,"نامعتبر")))</f>
        <v/>
      </c>
      <c r="R330">
        <f>IF($P330="","",COUNTIFS($N$6:$N$2005,$N330,$P$6:$P$2005,"&lt;"&amp;$P330)+COUNTIFS($A$6:$A$1005,$N330,$B$6:$B$1005,"&lt;"&amp;$P330)+1)</f>
        <v/>
      </c>
      <c r="S330">
        <f>IF($N330="","",$N330&amp;"|"&amp;RIGHT("000000"&amp;$R330,6))</f>
        <v/>
      </c>
      <c r="T330">
        <f>IF($N330="","",IF(Sync!$N330="",0,Sync!$N330))</f>
        <v/>
      </c>
      <c r="U330">
        <f>IF($N330="","",IF(Sync!$O330="",0,Sync!$O330))</f>
        <v/>
      </c>
      <c r="V330">
        <f>IF($N330="","",Sync!$L330)</f>
        <v/>
      </c>
      <c r="W330">
        <f>IF($N330="","",Sync!$P330)</f>
        <v/>
      </c>
      <c r="AA330">
        <f>IF($A330="","",IF(COUNTIF($A$6:$A330,$A330)=1,1,0))</f>
        <v/>
      </c>
      <c r="AB330">
        <f>SUM($AA$6:$AA330)</f>
        <v/>
      </c>
      <c r="AC330">
        <f>IFERROR(INDEX($A$6:$A$1005,MATCH(ROW()-5,$AB$6:$AB$1005,0)),"")</f>
        <v/>
      </c>
    </row>
    <row r="331">
      <c r="A331">
        <f>IF(OR(Entry!$B334="",Entry!$E334="",$E331="نامعتبر"),"",Entry!$E334)</f>
        <v/>
      </c>
      <c r="B331">
        <f>IF($A331="","",LEFT($E331,4)&amp;MID($E331,6,2)&amp;RIGHT($E331,2)&amp;$F331&amp;"|"&amp;"1"&amp;RIGHT("00000"&amp;326,5))</f>
        <v/>
      </c>
      <c r="C331">
        <f>IF($B331="","",COUNTIFS($A$6:$A$1005,$A331,$B$6:$B$1005,"&lt;"&amp;$B331)+COUNTIFS($N$6:$N$2005,$A331,$P$6:$P$2005,"&lt;"&amp;$B331)+1)</f>
        <v/>
      </c>
      <c r="D331">
        <f>IF($C331="","",$A331&amp;"|"&amp;RIGHT("000000"&amp;$C331,6))</f>
        <v/>
      </c>
      <c r="E331">
        <f>IF(Entry!$B334="","",IF(ISNUMBER(Entry!$B334),IF(AND(Entry!$B334&gt;=10000101,Entry!$B334&lt;=99991231),INT(Entry!$B334/10000)&amp;"/"&amp;RIGHT("00"&amp;INT(MOD(Entry!$B334,10000)/100),2)&amp;"/"&amp;RIGHT("00"&amp;MOD(Entry!$B334,100),2),"نامعتبر"),IF(LEN(Entry!$B334)=10,Entry!$B334,"نامعتبر")))</f>
        <v/>
      </c>
      <c r="F331">
        <f>IF(Entry!$B334="","",IF(Entry!$C334="","0000",IF(AND(ISNUMBER(Entry!$C334),Entry!$C334&gt;=0,Entry!$C334&lt;1),RIGHT("00"&amp;HOUR(Entry!$C334),2)&amp;RIGHT("00"&amp;MINUTE(Entry!$C334),2),IFERROR(RIGHT("00"&amp;VALUE(LEFT(Entry!$C334,FIND(":",Entry!$C334)-1)),2)&amp;RIGHT("00"&amp;VALUE(MID(Entry!$C334,FIND(":",Entry!$C334)+1,2)),2),"0000"))))</f>
        <v/>
      </c>
      <c r="G331">
        <f>IF($A331="","",Entry!$G334)</f>
        <v/>
      </c>
      <c r="H331">
        <f>IF($A331="","",IF(Entry!$H334="",0,Entry!$H334))</f>
        <v/>
      </c>
      <c r="I331">
        <f>IF($A331="","",IF(Entry!$I334="",0,Entry!$I334))</f>
        <v/>
      </c>
      <c r="J331">
        <f>IF($A331="","",ROUND($H331*$I331,0))</f>
        <v/>
      </c>
      <c r="K331">
        <f>IF($A331="","",Entry!$D334)</f>
        <v/>
      </c>
      <c r="L331">
        <f>IF($A331="","",Entry!$L334)</f>
        <v/>
      </c>
      <c r="N331">
        <f>IF(OR(Sync!$M331="",$Q331="",$Q331="نامعتبر"),"",Sync!$M331)</f>
        <v/>
      </c>
      <c r="O331">
        <f>IF($N331="","",$Q331)</f>
        <v/>
      </c>
      <c r="P331">
        <f>IF($N331="","",LEFT($Q331,4)&amp;MID($Q331,6,2)&amp;RIGHT($Q331,2)&amp;IF(Sync!$K331="","0000",IF(AND(ISNUMBER(Sync!$K331),Sync!$K331&gt;=0,Sync!$K331&lt;1),RIGHT("00"&amp;HOUR(Sync!$K331),2)&amp;RIGHT("00"&amp;MINUTE(Sync!$K331),2),IFERROR(RIGHT("00"&amp;VALUE(LEFT(Sync!$K331,FIND(":",Sync!$K331)-1)),2)&amp;RIGHT("00"&amp;VALUE(MID(Sync!$K331,FIND(":",Sync!$K331)+1,2)),2),"0000")))&amp;"|"&amp;"2"&amp;RIGHT("00000"&amp;326,5))</f>
        <v/>
      </c>
      <c r="Q331">
        <f>IF(Sync!$J331="","",IF(ISNUMBER(Sync!$J331),IF(AND(Sync!$J331&gt;=10000101,Sync!$J331&lt;=99991231),INT(Sync!$J331/10000)&amp;"/"&amp;RIGHT("00"&amp;INT(MOD(Sync!$J331,10000)/100),2)&amp;"/"&amp;RIGHT("00"&amp;MOD(Sync!$J331,100),2),"نامعتبر"),IF(LEN(Sync!$J331)=10,Sync!$J331,"نامعتبر")))</f>
        <v/>
      </c>
      <c r="R331">
        <f>IF($P331="","",COUNTIFS($N$6:$N$2005,$N331,$P$6:$P$2005,"&lt;"&amp;$P331)+COUNTIFS($A$6:$A$1005,$N331,$B$6:$B$1005,"&lt;"&amp;$P331)+1)</f>
        <v/>
      </c>
      <c r="S331">
        <f>IF($N331="","",$N331&amp;"|"&amp;RIGHT("000000"&amp;$R331,6))</f>
        <v/>
      </c>
      <c r="T331">
        <f>IF($N331="","",IF(Sync!$N331="",0,Sync!$N331))</f>
        <v/>
      </c>
      <c r="U331">
        <f>IF($N331="","",IF(Sync!$O331="",0,Sync!$O331))</f>
        <v/>
      </c>
      <c r="V331">
        <f>IF($N331="","",Sync!$L331)</f>
        <v/>
      </c>
      <c r="W331">
        <f>IF($N331="","",Sync!$P331)</f>
        <v/>
      </c>
      <c r="AA331">
        <f>IF($A331="","",IF(COUNTIF($A$6:$A331,$A331)=1,1,0))</f>
        <v/>
      </c>
      <c r="AB331">
        <f>SUM($AA$6:$AA331)</f>
        <v/>
      </c>
      <c r="AC331">
        <f>IFERROR(INDEX($A$6:$A$1005,MATCH(ROW()-5,$AB$6:$AB$1005,0)),"")</f>
        <v/>
      </c>
    </row>
    <row r="332">
      <c r="A332">
        <f>IF(OR(Entry!$B335="",Entry!$E335="",$E332="نامعتبر"),"",Entry!$E335)</f>
        <v/>
      </c>
      <c r="B332">
        <f>IF($A332="","",LEFT($E332,4)&amp;MID($E332,6,2)&amp;RIGHT($E332,2)&amp;$F332&amp;"|"&amp;"1"&amp;RIGHT("00000"&amp;327,5))</f>
        <v/>
      </c>
      <c r="C332">
        <f>IF($B332="","",COUNTIFS($A$6:$A$1005,$A332,$B$6:$B$1005,"&lt;"&amp;$B332)+COUNTIFS($N$6:$N$2005,$A332,$P$6:$P$2005,"&lt;"&amp;$B332)+1)</f>
        <v/>
      </c>
      <c r="D332">
        <f>IF($C332="","",$A332&amp;"|"&amp;RIGHT("000000"&amp;$C332,6))</f>
        <v/>
      </c>
      <c r="E332">
        <f>IF(Entry!$B335="","",IF(ISNUMBER(Entry!$B335),IF(AND(Entry!$B335&gt;=10000101,Entry!$B335&lt;=99991231),INT(Entry!$B335/10000)&amp;"/"&amp;RIGHT("00"&amp;INT(MOD(Entry!$B335,10000)/100),2)&amp;"/"&amp;RIGHT("00"&amp;MOD(Entry!$B335,100),2),"نامعتبر"),IF(LEN(Entry!$B335)=10,Entry!$B335,"نامعتبر")))</f>
        <v/>
      </c>
      <c r="F332">
        <f>IF(Entry!$B335="","",IF(Entry!$C335="","0000",IF(AND(ISNUMBER(Entry!$C335),Entry!$C335&gt;=0,Entry!$C335&lt;1),RIGHT("00"&amp;HOUR(Entry!$C335),2)&amp;RIGHT("00"&amp;MINUTE(Entry!$C335),2),IFERROR(RIGHT("00"&amp;VALUE(LEFT(Entry!$C335,FIND(":",Entry!$C335)-1)),2)&amp;RIGHT("00"&amp;VALUE(MID(Entry!$C335,FIND(":",Entry!$C335)+1,2)),2),"0000"))))</f>
        <v/>
      </c>
      <c r="G332">
        <f>IF($A332="","",Entry!$G335)</f>
        <v/>
      </c>
      <c r="H332">
        <f>IF($A332="","",IF(Entry!$H335="",0,Entry!$H335))</f>
        <v/>
      </c>
      <c r="I332">
        <f>IF($A332="","",IF(Entry!$I335="",0,Entry!$I335))</f>
        <v/>
      </c>
      <c r="J332">
        <f>IF($A332="","",ROUND($H332*$I332,0))</f>
        <v/>
      </c>
      <c r="K332">
        <f>IF($A332="","",Entry!$D335)</f>
        <v/>
      </c>
      <c r="L332">
        <f>IF($A332="","",Entry!$L335)</f>
        <v/>
      </c>
      <c r="N332">
        <f>IF(OR(Sync!$M332="",$Q332="",$Q332="نامعتبر"),"",Sync!$M332)</f>
        <v/>
      </c>
      <c r="O332">
        <f>IF($N332="","",$Q332)</f>
        <v/>
      </c>
      <c r="P332">
        <f>IF($N332="","",LEFT($Q332,4)&amp;MID($Q332,6,2)&amp;RIGHT($Q332,2)&amp;IF(Sync!$K332="","0000",IF(AND(ISNUMBER(Sync!$K332),Sync!$K332&gt;=0,Sync!$K332&lt;1),RIGHT("00"&amp;HOUR(Sync!$K332),2)&amp;RIGHT("00"&amp;MINUTE(Sync!$K332),2),IFERROR(RIGHT("00"&amp;VALUE(LEFT(Sync!$K332,FIND(":",Sync!$K332)-1)),2)&amp;RIGHT("00"&amp;VALUE(MID(Sync!$K332,FIND(":",Sync!$K332)+1,2)),2),"0000")))&amp;"|"&amp;"2"&amp;RIGHT("00000"&amp;327,5))</f>
        <v/>
      </c>
      <c r="Q332">
        <f>IF(Sync!$J332="","",IF(ISNUMBER(Sync!$J332),IF(AND(Sync!$J332&gt;=10000101,Sync!$J332&lt;=99991231),INT(Sync!$J332/10000)&amp;"/"&amp;RIGHT("00"&amp;INT(MOD(Sync!$J332,10000)/100),2)&amp;"/"&amp;RIGHT("00"&amp;MOD(Sync!$J332,100),2),"نامعتبر"),IF(LEN(Sync!$J332)=10,Sync!$J332,"نامعتبر")))</f>
        <v/>
      </c>
      <c r="R332">
        <f>IF($P332="","",COUNTIFS($N$6:$N$2005,$N332,$P$6:$P$2005,"&lt;"&amp;$P332)+COUNTIFS($A$6:$A$1005,$N332,$B$6:$B$1005,"&lt;"&amp;$P332)+1)</f>
        <v/>
      </c>
      <c r="S332">
        <f>IF($N332="","",$N332&amp;"|"&amp;RIGHT("000000"&amp;$R332,6))</f>
        <v/>
      </c>
      <c r="T332">
        <f>IF($N332="","",IF(Sync!$N332="",0,Sync!$N332))</f>
        <v/>
      </c>
      <c r="U332">
        <f>IF($N332="","",IF(Sync!$O332="",0,Sync!$O332))</f>
        <v/>
      </c>
      <c r="V332">
        <f>IF($N332="","",Sync!$L332)</f>
        <v/>
      </c>
      <c r="W332">
        <f>IF($N332="","",Sync!$P332)</f>
        <v/>
      </c>
      <c r="AA332">
        <f>IF($A332="","",IF(COUNTIF($A$6:$A332,$A332)=1,1,0))</f>
        <v/>
      </c>
      <c r="AB332">
        <f>SUM($AA$6:$AA332)</f>
        <v/>
      </c>
      <c r="AC332">
        <f>IFERROR(INDEX($A$6:$A$1005,MATCH(ROW()-5,$AB$6:$AB$1005,0)),"")</f>
        <v/>
      </c>
    </row>
    <row r="333">
      <c r="A333">
        <f>IF(OR(Entry!$B336="",Entry!$E336="",$E333="نامعتبر"),"",Entry!$E336)</f>
        <v/>
      </c>
      <c r="B333">
        <f>IF($A333="","",LEFT($E333,4)&amp;MID($E333,6,2)&amp;RIGHT($E333,2)&amp;$F333&amp;"|"&amp;"1"&amp;RIGHT("00000"&amp;328,5))</f>
        <v/>
      </c>
      <c r="C333">
        <f>IF($B333="","",COUNTIFS($A$6:$A$1005,$A333,$B$6:$B$1005,"&lt;"&amp;$B333)+COUNTIFS($N$6:$N$2005,$A333,$P$6:$P$2005,"&lt;"&amp;$B333)+1)</f>
        <v/>
      </c>
      <c r="D333">
        <f>IF($C333="","",$A333&amp;"|"&amp;RIGHT("000000"&amp;$C333,6))</f>
        <v/>
      </c>
      <c r="E333">
        <f>IF(Entry!$B336="","",IF(ISNUMBER(Entry!$B336),IF(AND(Entry!$B336&gt;=10000101,Entry!$B336&lt;=99991231),INT(Entry!$B336/10000)&amp;"/"&amp;RIGHT("00"&amp;INT(MOD(Entry!$B336,10000)/100),2)&amp;"/"&amp;RIGHT("00"&amp;MOD(Entry!$B336,100),2),"نامعتبر"),IF(LEN(Entry!$B336)=10,Entry!$B336,"نامعتبر")))</f>
        <v/>
      </c>
      <c r="F333">
        <f>IF(Entry!$B336="","",IF(Entry!$C336="","0000",IF(AND(ISNUMBER(Entry!$C336),Entry!$C336&gt;=0,Entry!$C336&lt;1),RIGHT("00"&amp;HOUR(Entry!$C336),2)&amp;RIGHT("00"&amp;MINUTE(Entry!$C336),2),IFERROR(RIGHT("00"&amp;VALUE(LEFT(Entry!$C336,FIND(":",Entry!$C336)-1)),2)&amp;RIGHT("00"&amp;VALUE(MID(Entry!$C336,FIND(":",Entry!$C336)+1,2)),2),"0000"))))</f>
        <v/>
      </c>
      <c r="G333">
        <f>IF($A333="","",Entry!$G336)</f>
        <v/>
      </c>
      <c r="H333">
        <f>IF($A333="","",IF(Entry!$H336="",0,Entry!$H336))</f>
        <v/>
      </c>
      <c r="I333">
        <f>IF($A333="","",IF(Entry!$I336="",0,Entry!$I336))</f>
        <v/>
      </c>
      <c r="J333">
        <f>IF($A333="","",ROUND($H333*$I333,0))</f>
        <v/>
      </c>
      <c r="K333">
        <f>IF($A333="","",Entry!$D336)</f>
        <v/>
      </c>
      <c r="L333">
        <f>IF($A333="","",Entry!$L336)</f>
        <v/>
      </c>
      <c r="N333">
        <f>IF(OR(Sync!$M333="",$Q333="",$Q333="نامعتبر"),"",Sync!$M333)</f>
        <v/>
      </c>
      <c r="O333">
        <f>IF($N333="","",$Q333)</f>
        <v/>
      </c>
      <c r="P333">
        <f>IF($N333="","",LEFT($Q333,4)&amp;MID($Q333,6,2)&amp;RIGHT($Q333,2)&amp;IF(Sync!$K333="","0000",IF(AND(ISNUMBER(Sync!$K333),Sync!$K333&gt;=0,Sync!$K333&lt;1),RIGHT("00"&amp;HOUR(Sync!$K333),2)&amp;RIGHT("00"&amp;MINUTE(Sync!$K333),2),IFERROR(RIGHT("00"&amp;VALUE(LEFT(Sync!$K333,FIND(":",Sync!$K333)-1)),2)&amp;RIGHT("00"&amp;VALUE(MID(Sync!$K333,FIND(":",Sync!$K333)+1,2)),2),"0000")))&amp;"|"&amp;"2"&amp;RIGHT("00000"&amp;328,5))</f>
        <v/>
      </c>
      <c r="Q333">
        <f>IF(Sync!$J333="","",IF(ISNUMBER(Sync!$J333),IF(AND(Sync!$J333&gt;=10000101,Sync!$J333&lt;=99991231),INT(Sync!$J333/10000)&amp;"/"&amp;RIGHT("00"&amp;INT(MOD(Sync!$J333,10000)/100),2)&amp;"/"&amp;RIGHT("00"&amp;MOD(Sync!$J333,100),2),"نامعتبر"),IF(LEN(Sync!$J333)=10,Sync!$J333,"نامعتبر")))</f>
        <v/>
      </c>
      <c r="R333">
        <f>IF($P333="","",COUNTIFS($N$6:$N$2005,$N333,$P$6:$P$2005,"&lt;"&amp;$P333)+COUNTIFS($A$6:$A$1005,$N333,$B$6:$B$1005,"&lt;"&amp;$P333)+1)</f>
        <v/>
      </c>
      <c r="S333">
        <f>IF($N333="","",$N333&amp;"|"&amp;RIGHT("000000"&amp;$R333,6))</f>
        <v/>
      </c>
      <c r="T333">
        <f>IF($N333="","",IF(Sync!$N333="",0,Sync!$N333))</f>
        <v/>
      </c>
      <c r="U333">
        <f>IF($N333="","",IF(Sync!$O333="",0,Sync!$O333))</f>
        <v/>
      </c>
      <c r="V333">
        <f>IF($N333="","",Sync!$L333)</f>
        <v/>
      </c>
      <c r="W333">
        <f>IF($N333="","",Sync!$P333)</f>
        <v/>
      </c>
      <c r="AA333">
        <f>IF($A333="","",IF(COUNTIF($A$6:$A333,$A333)=1,1,0))</f>
        <v/>
      </c>
      <c r="AB333">
        <f>SUM($AA$6:$AA333)</f>
        <v/>
      </c>
      <c r="AC333">
        <f>IFERROR(INDEX($A$6:$A$1005,MATCH(ROW()-5,$AB$6:$AB$1005,0)),"")</f>
        <v/>
      </c>
    </row>
    <row r="334">
      <c r="A334">
        <f>IF(OR(Entry!$B337="",Entry!$E337="",$E334="نامعتبر"),"",Entry!$E337)</f>
        <v/>
      </c>
      <c r="B334">
        <f>IF($A334="","",LEFT($E334,4)&amp;MID($E334,6,2)&amp;RIGHT($E334,2)&amp;$F334&amp;"|"&amp;"1"&amp;RIGHT("00000"&amp;329,5))</f>
        <v/>
      </c>
      <c r="C334">
        <f>IF($B334="","",COUNTIFS($A$6:$A$1005,$A334,$B$6:$B$1005,"&lt;"&amp;$B334)+COUNTIFS($N$6:$N$2005,$A334,$P$6:$P$2005,"&lt;"&amp;$B334)+1)</f>
        <v/>
      </c>
      <c r="D334">
        <f>IF($C334="","",$A334&amp;"|"&amp;RIGHT("000000"&amp;$C334,6))</f>
        <v/>
      </c>
      <c r="E334">
        <f>IF(Entry!$B337="","",IF(ISNUMBER(Entry!$B337),IF(AND(Entry!$B337&gt;=10000101,Entry!$B337&lt;=99991231),INT(Entry!$B337/10000)&amp;"/"&amp;RIGHT("00"&amp;INT(MOD(Entry!$B337,10000)/100),2)&amp;"/"&amp;RIGHT("00"&amp;MOD(Entry!$B337,100),2),"نامعتبر"),IF(LEN(Entry!$B337)=10,Entry!$B337,"نامعتبر")))</f>
        <v/>
      </c>
      <c r="F334">
        <f>IF(Entry!$B337="","",IF(Entry!$C337="","0000",IF(AND(ISNUMBER(Entry!$C337),Entry!$C337&gt;=0,Entry!$C337&lt;1),RIGHT("00"&amp;HOUR(Entry!$C337),2)&amp;RIGHT("00"&amp;MINUTE(Entry!$C337),2),IFERROR(RIGHT("00"&amp;VALUE(LEFT(Entry!$C337,FIND(":",Entry!$C337)-1)),2)&amp;RIGHT("00"&amp;VALUE(MID(Entry!$C337,FIND(":",Entry!$C337)+1,2)),2),"0000"))))</f>
        <v/>
      </c>
      <c r="G334">
        <f>IF($A334="","",Entry!$G337)</f>
        <v/>
      </c>
      <c r="H334">
        <f>IF($A334="","",IF(Entry!$H337="",0,Entry!$H337))</f>
        <v/>
      </c>
      <c r="I334">
        <f>IF($A334="","",IF(Entry!$I337="",0,Entry!$I337))</f>
        <v/>
      </c>
      <c r="J334">
        <f>IF($A334="","",ROUND($H334*$I334,0))</f>
        <v/>
      </c>
      <c r="K334">
        <f>IF($A334="","",Entry!$D337)</f>
        <v/>
      </c>
      <c r="L334">
        <f>IF($A334="","",Entry!$L337)</f>
        <v/>
      </c>
      <c r="N334">
        <f>IF(OR(Sync!$M334="",$Q334="",$Q334="نامعتبر"),"",Sync!$M334)</f>
        <v/>
      </c>
      <c r="O334">
        <f>IF($N334="","",$Q334)</f>
        <v/>
      </c>
      <c r="P334">
        <f>IF($N334="","",LEFT($Q334,4)&amp;MID($Q334,6,2)&amp;RIGHT($Q334,2)&amp;IF(Sync!$K334="","0000",IF(AND(ISNUMBER(Sync!$K334),Sync!$K334&gt;=0,Sync!$K334&lt;1),RIGHT("00"&amp;HOUR(Sync!$K334),2)&amp;RIGHT("00"&amp;MINUTE(Sync!$K334),2),IFERROR(RIGHT("00"&amp;VALUE(LEFT(Sync!$K334,FIND(":",Sync!$K334)-1)),2)&amp;RIGHT("00"&amp;VALUE(MID(Sync!$K334,FIND(":",Sync!$K334)+1,2)),2),"0000")))&amp;"|"&amp;"2"&amp;RIGHT("00000"&amp;329,5))</f>
        <v/>
      </c>
      <c r="Q334">
        <f>IF(Sync!$J334="","",IF(ISNUMBER(Sync!$J334),IF(AND(Sync!$J334&gt;=10000101,Sync!$J334&lt;=99991231),INT(Sync!$J334/10000)&amp;"/"&amp;RIGHT("00"&amp;INT(MOD(Sync!$J334,10000)/100),2)&amp;"/"&amp;RIGHT("00"&amp;MOD(Sync!$J334,100),2),"نامعتبر"),IF(LEN(Sync!$J334)=10,Sync!$J334,"نامعتبر")))</f>
        <v/>
      </c>
      <c r="R334">
        <f>IF($P334="","",COUNTIFS($N$6:$N$2005,$N334,$P$6:$P$2005,"&lt;"&amp;$P334)+COUNTIFS($A$6:$A$1005,$N334,$B$6:$B$1005,"&lt;"&amp;$P334)+1)</f>
        <v/>
      </c>
      <c r="S334">
        <f>IF($N334="","",$N334&amp;"|"&amp;RIGHT("000000"&amp;$R334,6))</f>
        <v/>
      </c>
      <c r="T334">
        <f>IF($N334="","",IF(Sync!$N334="",0,Sync!$N334))</f>
        <v/>
      </c>
      <c r="U334">
        <f>IF($N334="","",IF(Sync!$O334="",0,Sync!$O334))</f>
        <v/>
      </c>
      <c r="V334">
        <f>IF($N334="","",Sync!$L334)</f>
        <v/>
      </c>
      <c r="W334">
        <f>IF($N334="","",Sync!$P334)</f>
        <v/>
      </c>
      <c r="AA334">
        <f>IF($A334="","",IF(COUNTIF($A$6:$A334,$A334)=1,1,0))</f>
        <v/>
      </c>
      <c r="AB334">
        <f>SUM($AA$6:$AA334)</f>
        <v/>
      </c>
      <c r="AC334">
        <f>IFERROR(INDEX($A$6:$A$1005,MATCH(ROW()-5,$AB$6:$AB$1005,0)),"")</f>
        <v/>
      </c>
    </row>
    <row r="335">
      <c r="A335">
        <f>IF(OR(Entry!$B338="",Entry!$E338="",$E335="نامعتبر"),"",Entry!$E338)</f>
        <v/>
      </c>
      <c r="B335">
        <f>IF($A335="","",LEFT($E335,4)&amp;MID($E335,6,2)&amp;RIGHT($E335,2)&amp;$F335&amp;"|"&amp;"1"&amp;RIGHT("00000"&amp;330,5))</f>
        <v/>
      </c>
      <c r="C335">
        <f>IF($B335="","",COUNTIFS($A$6:$A$1005,$A335,$B$6:$B$1005,"&lt;"&amp;$B335)+COUNTIFS($N$6:$N$2005,$A335,$P$6:$P$2005,"&lt;"&amp;$B335)+1)</f>
        <v/>
      </c>
      <c r="D335">
        <f>IF($C335="","",$A335&amp;"|"&amp;RIGHT("000000"&amp;$C335,6))</f>
        <v/>
      </c>
      <c r="E335">
        <f>IF(Entry!$B338="","",IF(ISNUMBER(Entry!$B338),IF(AND(Entry!$B338&gt;=10000101,Entry!$B338&lt;=99991231),INT(Entry!$B338/10000)&amp;"/"&amp;RIGHT("00"&amp;INT(MOD(Entry!$B338,10000)/100),2)&amp;"/"&amp;RIGHT("00"&amp;MOD(Entry!$B338,100),2),"نامعتبر"),IF(LEN(Entry!$B338)=10,Entry!$B338,"نامعتبر")))</f>
        <v/>
      </c>
      <c r="F335">
        <f>IF(Entry!$B338="","",IF(Entry!$C338="","0000",IF(AND(ISNUMBER(Entry!$C338),Entry!$C338&gt;=0,Entry!$C338&lt;1),RIGHT("00"&amp;HOUR(Entry!$C338),2)&amp;RIGHT("00"&amp;MINUTE(Entry!$C338),2),IFERROR(RIGHT("00"&amp;VALUE(LEFT(Entry!$C338,FIND(":",Entry!$C338)-1)),2)&amp;RIGHT("00"&amp;VALUE(MID(Entry!$C338,FIND(":",Entry!$C338)+1,2)),2),"0000"))))</f>
        <v/>
      </c>
      <c r="G335">
        <f>IF($A335="","",Entry!$G338)</f>
        <v/>
      </c>
      <c r="H335">
        <f>IF($A335="","",IF(Entry!$H338="",0,Entry!$H338))</f>
        <v/>
      </c>
      <c r="I335">
        <f>IF($A335="","",IF(Entry!$I338="",0,Entry!$I338))</f>
        <v/>
      </c>
      <c r="J335">
        <f>IF($A335="","",ROUND($H335*$I335,0))</f>
        <v/>
      </c>
      <c r="K335">
        <f>IF($A335="","",Entry!$D338)</f>
        <v/>
      </c>
      <c r="L335">
        <f>IF($A335="","",Entry!$L338)</f>
        <v/>
      </c>
      <c r="N335">
        <f>IF(OR(Sync!$M335="",$Q335="",$Q335="نامعتبر"),"",Sync!$M335)</f>
        <v/>
      </c>
      <c r="O335">
        <f>IF($N335="","",$Q335)</f>
        <v/>
      </c>
      <c r="P335">
        <f>IF($N335="","",LEFT($Q335,4)&amp;MID($Q335,6,2)&amp;RIGHT($Q335,2)&amp;IF(Sync!$K335="","0000",IF(AND(ISNUMBER(Sync!$K335),Sync!$K335&gt;=0,Sync!$K335&lt;1),RIGHT("00"&amp;HOUR(Sync!$K335),2)&amp;RIGHT("00"&amp;MINUTE(Sync!$K335),2),IFERROR(RIGHT("00"&amp;VALUE(LEFT(Sync!$K335,FIND(":",Sync!$K335)-1)),2)&amp;RIGHT("00"&amp;VALUE(MID(Sync!$K335,FIND(":",Sync!$K335)+1,2)),2),"0000")))&amp;"|"&amp;"2"&amp;RIGHT("00000"&amp;330,5))</f>
        <v/>
      </c>
      <c r="Q335">
        <f>IF(Sync!$J335="","",IF(ISNUMBER(Sync!$J335),IF(AND(Sync!$J335&gt;=10000101,Sync!$J335&lt;=99991231),INT(Sync!$J335/10000)&amp;"/"&amp;RIGHT("00"&amp;INT(MOD(Sync!$J335,10000)/100),2)&amp;"/"&amp;RIGHT("00"&amp;MOD(Sync!$J335,100),2),"نامعتبر"),IF(LEN(Sync!$J335)=10,Sync!$J335,"نامعتبر")))</f>
        <v/>
      </c>
      <c r="R335">
        <f>IF($P335="","",COUNTIFS($N$6:$N$2005,$N335,$P$6:$P$2005,"&lt;"&amp;$P335)+COUNTIFS($A$6:$A$1005,$N335,$B$6:$B$1005,"&lt;"&amp;$P335)+1)</f>
        <v/>
      </c>
      <c r="S335">
        <f>IF($N335="","",$N335&amp;"|"&amp;RIGHT("000000"&amp;$R335,6))</f>
        <v/>
      </c>
      <c r="T335">
        <f>IF($N335="","",IF(Sync!$N335="",0,Sync!$N335))</f>
        <v/>
      </c>
      <c r="U335">
        <f>IF($N335="","",IF(Sync!$O335="",0,Sync!$O335))</f>
        <v/>
      </c>
      <c r="V335">
        <f>IF($N335="","",Sync!$L335)</f>
        <v/>
      </c>
      <c r="W335">
        <f>IF($N335="","",Sync!$P335)</f>
        <v/>
      </c>
      <c r="AA335">
        <f>IF($A335="","",IF(COUNTIF($A$6:$A335,$A335)=1,1,0))</f>
        <v/>
      </c>
      <c r="AB335">
        <f>SUM($AA$6:$AA335)</f>
        <v/>
      </c>
      <c r="AC335">
        <f>IFERROR(INDEX($A$6:$A$1005,MATCH(ROW()-5,$AB$6:$AB$1005,0)),"")</f>
        <v/>
      </c>
    </row>
    <row r="336">
      <c r="A336">
        <f>IF(OR(Entry!$B339="",Entry!$E339="",$E336="نامعتبر"),"",Entry!$E339)</f>
        <v/>
      </c>
      <c r="B336">
        <f>IF($A336="","",LEFT($E336,4)&amp;MID($E336,6,2)&amp;RIGHT($E336,2)&amp;$F336&amp;"|"&amp;"1"&amp;RIGHT("00000"&amp;331,5))</f>
        <v/>
      </c>
      <c r="C336">
        <f>IF($B336="","",COUNTIFS($A$6:$A$1005,$A336,$B$6:$B$1005,"&lt;"&amp;$B336)+COUNTIFS($N$6:$N$2005,$A336,$P$6:$P$2005,"&lt;"&amp;$B336)+1)</f>
        <v/>
      </c>
      <c r="D336">
        <f>IF($C336="","",$A336&amp;"|"&amp;RIGHT("000000"&amp;$C336,6))</f>
        <v/>
      </c>
      <c r="E336">
        <f>IF(Entry!$B339="","",IF(ISNUMBER(Entry!$B339),IF(AND(Entry!$B339&gt;=10000101,Entry!$B339&lt;=99991231),INT(Entry!$B339/10000)&amp;"/"&amp;RIGHT("00"&amp;INT(MOD(Entry!$B339,10000)/100),2)&amp;"/"&amp;RIGHT("00"&amp;MOD(Entry!$B339,100),2),"نامعتبر"),IF(LEN(Entry!$B339)=10,Entry!$B339,"نامعتبر")))</f>
        <v/>
      </c>
      <c r="F336">
        <f>IF(Entry!$B339="","",IF(Entry!$C339="","0000",IF(AND(ISNUMBER(Entry!$C339),Entry!$C339&gt;=0,Entry!$C339&lt;1),RIGHT("00"&amp;HOUR(Entry!$C339),2)&amp;RIGHT("00"&amp;MINUTE(Entry!$C339),2),IFERROR(RIGHT("00"&amp;VALUE(LEFT(Entry!$C339,FIND(":",Entry!$C339)-1)),2)&amp;RIGHT("00"&amp;VALUE(MID(Entry!$C339,FIND(":",Entry!$C339)+1,2)),2),"0000"))))</f>
        <v/>
      </c>
      <c r="G336">
        <f>IF($A336="","",Entry!$G339)</f>
        <v/>
      </c>
      <c r="H336">
        <f>IF($A336="","",IF(Entry!$H339="",0,Entry!$H339))</f>
        <v/>
      </c>
      <c r="I336">
        <f>IF($A336="","",IF(Entry!$I339="",0,Entry!$I339))</f>
        <v/>
      </c>
      <c r="J336">
        <f>IF($A336="","",ROUND($H336*$I336,0))</f>
        <v/>
      </c>
      <c r="K336">
        <f>IF($A336="","",Entry!$D339)</f>
        <v/>
      </c>
      <c r="L336">
        <f>IF($A336="","",Entry!$L339)</f>
        <v/>
      </c>
      <c r="N336">
        <f>IF(OR(Sync!$M336="",$Q336="",$Q336="نامعتبر"),"",Sync!$M336)</f>
        <v/>
      </c>
      <c r="O336">
        <f>IF($N336="","",$Q336)</f>
        <v/>
      </c>
      <c r="P336">
        <f>IF($N336="","",LEFT($Q336,4)&amp;MID($Q336,6,2)&amp;RIGHT($Q336,2)&amp;IF(Sync!$K336="","0000",IF(AND(ISNUMBER(Sync!$K336),Sync!$K336&gt;=0,Sync!$K336&lt;1),RIGHT("00"&amp;HOUR(Sync!$K336),2)&amp;RIGHT("00"&amp;MINUTE(Sync!$K336),2),IFERROR(RIGHT("00"&amp;VALUE(LEFT(Sync!$K336,FIND(":",Sync!$K336)-1)),2)&amp;RIGHT("00"&amp;VALUE(MID(Sync!$K336,FIND(":",Sync!$K336)+1,2)),2),"0000")))&amp;"|"&amp;"2"&amp;RIGHT("00000"&amp;331,5))</f>
        <v/>
      </c>
      <c r="Q336">
        <f>IF(Sync!$J336="","",IF(ISNUMBER(Sync!$J336),IF(AND(Sync!$J336&gt;=10000101,Sync!$J336&lt;=99991231),INT(Sync!$J336/10000)&amp;"/"&amp;RIGHT("00"&amp;INT(MOD(Sync!$J336,10000)/100),2)&amp;"/"&amp;RIGHT("00"&amp;MOD(Sync!$J336,100),2),"نامعتبر"),IF(LEN(Sync!$J336)=10,Sync!$J336,"نامعتبر")))</f>
        <v/>
      </c>
      <c r="R336">
        <f>IF($P336="","",COUNTIFS($N$6:$N$2005,$N336,$P$6:$P$2005,"&lt;"&amp;$P336)+COUNTIFS($A$6:$A$1005,$N336,$B$6:$B$1005,"&lt;"&amp;$P336)+1)</f>
        <v/>
      </c>
      <c r="S336">
        <f>IF($N336="","",$N336&amp;"|"&amp;RIGHT("000000"&amp;$R336,6))</f>
        <v/>
      </c>
      <c r="T336">
        <f>IF($N336="","",IF(Sync!$N336="",0,Sync!$N336))</f>
        <v/>
      </c>
      <c r="U336">
        <f>IF($N336="","",IF(Sync!$O336="",0,Sync!$O336))</f>
        <v/>
      </c>
      <c r="V336">
        <f>IF($N336="","",Sync!$L336)</f>
        <v/>
      </c>
      <c r="W336">
        <f>IF($N336="","",Sync!$P336)</f>
        <v/>
      </c>
      <c r="AA336">
        <f>IF($A336="","",IF(COUNTIF($A$6:$A336,$A336)=1,1,0))</f>
        <v/>
      </c>
      <c r="AB336">
        <f>SUM($AA$6:$AA336)</f>
        <v/>
      </c>
      <c r="AC336">
        <f>IFERROR(INDEX($A$6:$A$1005,MATCH(ROW()-5,$AB$6:$AB$1005,0)),"")</f>
        <v/>
      </c>
    </row>
    <row r="337">
      <c r="A337">
        <f>IF(OR(Entry!$B340="",Entry!$E340="",$E337="نامعتبر"),"",Entry!$E340)</f>
        <v/>
      </c>
      <c r="B337">
        <f>IF($A337="","",LEFT($E337,4)&amp;MID($E337,6,2)&amp;RIGHT($E337,2)&amp;$F337&amp;"|"&amp;"1"&amp;RIGHT("00000"&amp;332,5))</f>
        <v/>
      </c>
      <c r="C337">
        <f>IF($B337="","",COUNTIFS($A$6:$A$1005,$A337,$B$6:$B$1005,"&lt;"&amp;$B337)+COUNTIFS($N$6:$N$2005,$A337,$P$6:$P$2005,"&lt;"&amp;$B337)+1)</f>
        <v/>
      </c>
      <c r="D337">
        <f>IF($C337="","",$A337&amp;"|"&amp;RIGHT("000000"&amp;$C337,6))</f>
        <v/>
      </c>
      <c r="E337">
        <f>IF(Entry!$B340="","",IF(ISNUMBER(Entry!$B340),IF(AND(Entry!$B340&gt;=10000101,Entry!$B340&lt;=99991231),INT(Entry!$B340/10000)&amp;"/"&amp;RIGHT("00"&amp;INT(MOD(Entry!$B340,10000)/100),2)&amp;"/"&amp;RIGHT("00"&amp;MOD(Entry!$B340,100),2),"نامعتبر"),IF(LEN(Entry!$B340)=10,Entry!$B340,"نامعتبر")))</f>
        <v/>
      </c>
      <c r="F337">
        <f>IF(Entry!$B340="","",IF(Entry!$C340="","0000",IF(AND(ISNUMBER(Entry!$C340),Entry!$C340&gt;=0,Entry!$C340&lt;1),RIGHT("00"&amp;HOUR(Entry!$C340),2)&amp;RIGHT("00"&amp;MINUTE(Entry!$C340),2),IFERROR(RIGHT("00"&amp;VALUE(LEFT(Entry!$C340,FIND(":",Entry!$C340)-1)),2)&amp;RIGHT("00"&amp;VALUE(MID(Entry!$C340,FIND(":",Entry!$C340)+1,2)),2),"0000"))))</f>
        <v/>
      </c>
      <c r="G337">
        <f>IF($A337="","",Entry!$G340)</f>
        <v/>
      </c>
      <c r="H337">
        <f>IF($A337="","",IF(Entry!$H340="",0,Entry!$H340))</f>
        <v/>
      </c>
      <c r="I337">
        <f>IF($A337="","",IF(Entry!$I340="",0,Entry!$I340))</f>
        <v/>
      </c>
      <c r="J337">
        <f>IF($A337="","",ROUND($H337*$I337,0))</f>
        <v/>
      </c>
      <c r="K337">
        <f>IF($A337="","",Entry!$D340)</f>
        <v/>
      </c>
      <c r="L337">
        <f>IF($A337="","",Entry!$L340)</f>
        <v/>
      </c>
      <c r="N337">
        <f>IF(OR(Sync!$M337="",$Q337="",$Q337="نامعتبر"),"",Sync!$M337)</f>
        <v/>
      </c>
      <c r="O337">
        <f>IF($N337="","",$Q337)</f>
        <v/>
      </c>
      <c r="P337">
        <f>IF($N337="","",LEFT($Q337,4)&amp;MID($Q337,6,2)&amp;RIGHT($Q337,2)&amp;IF(Sync!$K337="","0000",IF(AND(ISNUMBER(Sync!$K337),Sync!$K337&gt;=0,Sync!$K337&lt;1),RIGHT("00"&amp;HOUR(Sync!$K337),2)&amp;RIGHT("00"&amp;MINUTE(Sync!$K337),2),IFERROR(RIGHT("00"&amp;VALUE(LEFT(Sync!$K337,FIND(":",Sync!$K337)-1)),2)&amp;RIGHT("00"&amp;VALUE(MID(Sync!$K337,FIND(":",Sync!$K337)+1,2)),2),"0000")))&amp;"|"&amp;"2"&amp;RIGHT("00000"&amp;332,5))</f>
        <v/>
      </c>
      <c r="Q337">
        <f>IF(Sync!$J337="","",IF(ISNUMBER(Sync!$J337),IF(AND(Sync!$J337&gt;=10000101,Sync!$J337&lt;=99991231),INT(Sync!$J337/10000)&amp;"/"&amp;RIGHT("00"&amp;INT(MOD(Sync!$J337,10000)/100),2)&amp;"/"&amp;RIGHT("00"&amp;MOD(Sync!$J337,100),2),"نامعتبر"),IF(LEN(Sync!$J337)=10,Sync!$J337,"نامعتبر")))</f>
        <v/>
      </c>
      <c r="R337">
        <f>IF($P337="","",COUNTIFS($N$6:$N$2005,$N337,$P$6:$P$2005,"&lt;"&amp;$P337)+COUNTIFS($A$6:$A$1005,$N337,$B$6:$B$1005,"&lt;"&amp;$P337)+1)</f>
        <v/>
      </c>
      <c r="S337">
        <f>IF($N337="","",$N337&amp;"|"&amp;RIGHT("000000"&amp;$R337,6))</f>
        <v/>
      </c>
      <c r="T337">
        <f>IF($N337="","",IF(Sync!$N337="",0,Sync!$N337))</f>
        <v/>
      </c>
      <c r="U337">
        <f>IF($N337="","",IF(Sync!$O337="",0,Sync!$O337))</f>
        <v/>
      </c>
      <c r="V337">
        <f>IF($N337="","",Sync!$L337)</f>
        <v/>
      </c>
      <c r="W337">
        <f>IF($N337="","",Sync!$P337)</f>
        <v/>
      </c>
      <c r="AA337">
        <f>IF($A337="","",IF(COUNTIF($A$6:$A337,$A337)=1,1,0))</f>
        <v/>
      </c>
      <c r="AB337">
        <f>SUM($AA$6:$AA337)</f>
        <v/>
      </c>
      <c r="AC337">
        <f>IFERROR(INDEX($A$6:$A$1005,MATCH(ROW()-5,$AB$6:$AB$1005,0)),"")</f>
        <v/>
      </c>
    </row>
    <row r="338">
      <c r="A338">
        <f>IF(OR(Entry!$B341="",Entry!$E341="",$E338="نامعتبر"),"",Entry!$E341)</f>
        <v/>
      </c>
      <c r="B338">
        <f>IF($A338="","",LEFT($E338,4)&amp;MID($E338,6,2)&amp;RIGHT($E338,2)&amp;$F338&amp;"|"&amp;"1"&amp;RIGHT("00000"&amp;333,5))</f>
        <v/>
      </c>
      <c r="C338">
        <f>IF($B338="","",COUNTIFS($A$6:$A$1005,$A338,$B$6:$B$1005,"&lt;"&amp;$B338)+COUNTIFS($N$6:$N$2005,$A338,$P$6:$P$2005,"&lt;"&amp;$B338)+1)</f>
        <v/>
      </c>
      <c r="D338">
        <f>IF($C338="","",$A338&amp;"|"&amp;RIGHT("000000"&amp;$C338,6))</f>
        <v/>
      </c>
      <c r="E338">
        <f>IF(Entry!$B341="","",IF(ISNUMBER(Entry!$B341),IF(AND(Entry!$B341&gt;=10000101,Entry!$B341&lt;=99991231),INT(Entry!$B341/10000)&amp;"/"&amp;RIGHT("00"&amp;INT(MOD(Entry!$B341,10000)/100),2)&amp;"/"&amp;RIGHT("00"&amp;MOD(Entry!$B341,100),2),"نامعتبر"),IF(LEN(Entry!$B341)=10,Entry!$B341,"نامعتبر")))</f>
        <v/>
      </c>
      <c r="F338">
        <f>IF(Entry!$B341="","",IF(Entry!$C341="","0000",IF(AND(ISNUMBER(Entry!$C341),Entry!$C341&gt;=0,Entry!$C341&lt;1),RIGHT("00"&amp;HOUR(Entry!$C341),2)&amp;RIGHT("00"&amp;MINUTE(Entry!$C341),2),IFERROR(RIGHT("00"&amp;VALUE(LEFT(Entry!$C341,FIND(":",Entry!$C341)-1)),2)&amp;RIGHT("00"&amp;VALUE(MID(Entry!$C341,FIND(":",Entry!$C341)+1,2)),2),"0000"))))</f>
        <v/>
      </c>
      <c r="G338">
        <f>IF($A338="","",Entry!$G341)</f>
        <v/>
      </c>
      <c r="H338">
        <f>IF($A338="","",IF(Entry!$H341="",0,Entry!$H341))</f>
        <v/>
      </c>
      <c r="I338">
        <f>IF($A338="","",IF(Entry!$I341="",0,Entry!$I341))</f>
        <v/>
      </c>
      <c r="J338">
        <f>IF($A338="","",ROUND($H338*$I338,0))</f>
        <v/>
      </c>
      <c r="K338">
        <f>IF($A338="","",Entry!$D341)</f>
        <v/>
      </c>
      <c r="L338">
        <f>IF($A338="","",Entry!$L341)</f>
        <v/>
      </c>
      <c r="N338">
        <f>IF(OR(Sync!$M338="",$Q338="",$Q338="نامعتبر"),"",Sync!$M338)</f>
        <v/>
      </c>
      <c r="O338">
        <f>IF($N338="","",$Q338)</f>
        <v/>
      </c>
      <c r="P338">
        <f>IF($N338="","",LEFT($Q338,4)&amp;MID($Q338,6,2)&amp;RIGHT($Q338,2)&amp;IF(Sync!$K338="","0000",IF(AND(ISNUMBER(Sync!$K338),Sync!$K338&gt;=0,Sync!$K338&lt;1),RIGHT("00"&amp;HOUR(Sync!$K338),2)&amp;RIGHT("00"&amp;MINUTE(Sync!$K338),2),IFERROR(RIGHT("00"&amp;VALUE(LEFT(Sync!$K338,FIND(":",Sync!$K338)-1)),2)&amp;RIGHT("00"&amp;VALUE(MID(Sync!$K338,FIND(":",Sync!$K338)+1,2)),2),"0000")))&amp;"|"&amp;"2"&amp;RIGHT("00000"&amp;333,5))</f>
        <v/>
      </c>
      <c r="Q338">
        <f>IF(Sync!$J338="","",IF(ISNUMBER(Sync!$J338),IF(AND(Sync!$J338&gt;=10000101,Sync!$J338&lt;=99991231),INT(Sync!$J338/10000)&amp;"/"&amp;RIGHT("00"&amp;INT(MOD(Sync!$J338,10000)/100),2)&amp;"/"&amp;RIGHT("00"&amp;MOD(Sync!$J338,100),2),"نامعتبر"),IF(LEN(Sync!$J338)=10,Sync!$J338,"نامعتبر")))</f>
        <v/>
      </c>
      <c r="R338">
        <f>IF($P338="","",COUNTIFS($N$6:$N$2005,$N338,$P$6:$P$2005,"&lt;"&amp;$P338)+COUNTIFS($A$6:$A$1005,$N338,$B$6:$B$1005,"&lt;"&amp;$P338)+1)</f>
        <v/>
      </c>
      <c r="S338">
        <f>IF($N338="","",$N338&amp;"|"&amp;RIGHT("000000"&amp;$R338,6))</f>
        <v/>
      </c>
      <c r="T338">
        <f>IF($N338="","",IF(Sync!$N338="",0,Sync!$N338))</f>
        <v/>
      </c>
      <c r="U338">
        <f>IF($N338="","",IF(Sync!$O338="",0,Sync!$O338))</f>
        <v/>
      </c>
      <c r="V338">
        <f>IF($N338="","",Sync!$L338)</f>
        <v/>
      </c>
      <c r="W338">
        <f>IF($N338="","",Sync!$P338)</f>
        <v/>
      </c>
      <c r="AA338">
        <f>IF($A338="","",IF(COUNTIF($A$6:$A338,$A338)=1,1,0))</f>
        <v/>
      </c>
      <c r="AB338">
        <f>SUM($AA$6:$AA338)</f>
        <v/>
      </c>
      <c r="AC338">
        <f>IFERROR(INDEX($A$6:$A$1005,MATCH(ROW()-5,$AB$6:$AB$1005,0)),"")</f>
        <v/>
      </c>
    </row>
    <row r="339">
      <c r="A339">
        <f>IF(OR(Entry!$B342="",Entry!$E342="",$E339="نامعتبر"),"",Entry!$E342)</f>
        <v/>
      </c>
      <c r="B339">
        <f>IF($A339="","",LEFT($E339,4)&amp;MID($E339,6,2)&amp;RIGHT($E339,2)&amp;$F339&amp;"|"&amp;"1"&amp;RIGHT("00000"&amp;334,5))</f>
        <v/>
      </c>
      <c r="C339">
        <f>IF($B339="","",COUNTIFS($A$6:$A$1005,$A339,$B$6:$B$1005,"&lt;"&amp;$B339)+COUNTIFS($N$6:$N$2005,$A339,$P$6:$P$2005,"&lt;"&amp;$B339)+1)</f>
        <v/>
      </c>
      <c r="D339">
        <f>IF($C339="","",$A339&amp;"|"&amp;RIGHT("000000"&amp;$C339,6))</f>
        <v/>
      </c>
      <c r="E339">
        <f>IF(Entry!$B342="","",IF(ISNUMBER(Entry!$B342),IF(AND(Entry!$B342&gt;=10000101,Entry!$B342&lt;=99991231),INT(Entry!$B342/10000)&amp;"/"&amp;RIGHT("00"&amp;INT(MOD(Entry!$B342,10000)/100),2)&amp;"/"&amp;RIGHT("00"&amp;MOD(Entry!$B342,100),2),"نامعتبر"),IF(LEN(Entry!$B342)=10,Entry!$B342,"نامعتبر")))</f>
        <v/>
      </c>
      <c r="F339">
        <f>IF(Entry!$B342="","",IF(Entry!$C342="","0000",IF(AND(ISNUMBER(Entry!$C342),Entry!$C342&gt;=0,Entry!$C342&lt;1),RIGHT("00"&amp;HOUR(Entry!$C342),2)&amp;RIGHT("00"&amp;MINUTE(Entry!$C342),2),IFERROR(RIGHT("00"&amp;VALUE(LEFT(Entry!$C342,FIND(":",Entry!$C342)-1)),2)&amp;RIGHT("00"&amp;VALUE(MID(Entry!$C342,FIND(":",Entry!$C342)+1,2)),2),"0000"))))</f>
        <v/>
      </c>
      <c r="G339">
        <f>IF($A339="","",Entry!$G342)</f>
        <v/>
      </c>
      <c r="H339">
        <f>IF($A339="","",IF(Entry!$H342="",0,Entry!$H342))</f>
        <v/>
      </c>
      <c r="I339">
        <f>IF($A339="","",IF(Entry!$I342="",0,Entry!$I342))</f>
        <v/>
      </c>
      <c r="J339">
        <f>IF($A339="","",ROUND($H339*$I339,0))</f>
        <v/>
      </c>
      <c r="K339">
        <f>IF($A339="","",Entry!$D342)</f>
        <v/>
      </c>
      <c r="L339">
        <f>IF($A339="","",Entry!$L342)</f>
        <v/>
      </c>
      <c r="N339">
        <f>IF(OR(Sync!$M339="",$Q339="",$Q339="نامعتبر"),"",Sync!$M339)</f>
        <v/>
      </c>
      <c r="O339">
        <f>IF($N339="","",$Q339)</f>
        <v/>
      </c>
      <c r="P339">
        <f>IF($N339="","",LEFT($Q339,4)&amp;MID($Q339,6,2)&amp;RIGHT($Q339,2)&amp;IF(Sync!$K339="","0000",IF(AND(ISNUMBER(Sync!$K339),Sync!$K339&gt;=0,Sync!$K339&lt;1),RIGHT("00"&amp;HOUR(Sync!$K339),2)&amp;RIGHT("00"&amp;MINUTE(Sync!$K339),2),IFERROR(RIGHT("00"&amp;VALUE(LEFT(Sync!$K339,FIND(":",Sync!$K339)-1)),2)&amp;RIGHT("00"&amp;VALUE(MID(Sync!$K339,FIND(":",Sync!$K339)+1,2)),2),"0000")))&amp;"|"&amp;"2"&amp;RIGHT("00000"&amp;334,5))</f>
        <v/>
      </c>
      <c r="Q339">
        <f>IF(Sync!$J339="","",IF(ISNUMBER(Sync!$J339),IF(AND(Sync!$J339&gt;=10000101,Sync!$J339&lt;=99991231),INT(Sync!$J339/10000)&amp;"/"&amp;RIGHT("00"&amp;INT(MOD(Sync!$J339,10000)/100),2)&amp;"/"&amp;RIGHT("00"&amp;MOD(Sync!$J339,100),2),"نامعتبر"),IF(LEN(Sync!$J339)=10,Sync!$J339,"نامعتبر")))</f>
        <v/>
      </c>
      <c r="R339">
        <f>IF($P339="","",COUNTIFS($N$6:$N$2005,$N339,$P$6:$P$2005,"&lt;"&amp;$P339)+COUNTIFS($A$6:$A$1005,$N339,$B$6:$B$1005,"&lt;"&amp;$P339)+1)</f>
        <v/>
      </c>
      <c r="S339">
        <f>IF($N339="","",$N339&amp;"|"&amp;RIGHT("000000"&amp;$R339,6))</f>
        <v/>
      </c>
      <c r="T339">
        <f>IF($N339="","",IF(Sync!$N339="",0,Sync!$N339))</f>
        <v/>
      </c>
      <c r="U339">
        <f>IF($N339="","",IF(Sync!$O339="",0,Sync!$O339))</f>
        <v/>
      </c>
      <c r="V339">
        <f>IF($N339="","",Sync!$L339)</f>
        <v/>
      </c>
      <c r="W339">
        <f>IF($N339="","",Sync!$P339)</f>
        <v/>
      </c>
      <c r="AA339">
        <f>IF($A339="","",IF(COUNTIF($A$6:$A339,$A339)=1,1,0))</f>
        <v/>
      </c>
      <c r="AB339">
        <f>SUM($AA$6:$AA339)</f>
        <v/>
      </c>
      <c r="AC339">
        <f>IFERROR(INDEX($A$6:$A$1005,MATCH(ROW()-5,$AB$6:$AB$1005,0)),"")</f>
        <v/>
      </c>
    </row>
    <row r="340">
      <c r="A340">
        <f>IF(OR(Entry!$B343="",Entry!$E343="",$E340="نامعتبر"),"",Entry!$E343)</f>
        <v/>
      </c>
      <c r="B340">
        <f>IF($A340="","",LEFT($E340,4)&amp;MID($E340,6,2)&amp;RIGHT($E340,2)&amp;$F340&amp;"|"&amp;"1"&amp;RIGHT("00000"&amp;335,5))</f>
        <v/>
      </c>
      <c r="C340">
        <f>IF($B340="","",COUNTIFS($A$6:$A$1005,$A340,$B$6:$B$1005,"&lt;"&amp;$B340)+COUNTIFS($N$6:$N$2005,$A340,$P$6:$P$2005,"&lt;"&amp;$B340)+1)</f>
        <v/>
      </c>
      <c r="D340">
        <f>IF($C340="","",$A340&amp;"|"&amp;RIGHT("000000"&amp;$C340,6))</f>
        <v/>
      </c>
      <c r="E340">
        <f>IF(Entry!$B343="","",IF(ISNUMBER(Entry!$B343),IF(AND(Entry!$B343&gt;=10000101,Entry!$B343&lt;=99991231),INT(Entry!$B343/10000)&amp;"/"&amp;RIGHT("00"&amp;INT(MOD(Entry!$B343,10000)/100),2)&amp;"/"&amp;RIGHT("00"&amp;MOD(Entry!$B343,100),2),"نامعتبر"),IF(LEN(Entry!$B343)=10,Entry!$B343,"نامعتبر")))</f>
        <v/>
      </c>
      <c r="F340">
        <f>IF(Entry!$B343="","",IF(Entry!$C343="","0000",IF(AND(ISNUMBER(Entry!$C343),Entry!$C343&gt;=0,Entry!$C343&lt;1),RIGHT("00"&amp;HOUR(Entry!$C343),2)&amp;RIGHT("00"&amp;MINUTE(Entry!$C343),2),IFERROR(RIGHT("00"&amp;VALUE(LEFT(Entry!$C343,FIND(":",Entry!$C343)-1)),2)&amp;RIGHT("00"&amp;VALUE(MID(Entry!$C343,FIND(":",Entry!$C343)+1,2)),2),"0000"))))</f>
        <v/>
      </c>
      <c r="G340">
        <f>IF($A340="","",Entry!$G343)</f>
        <v/>
      </c>
      <c r="H340">
        <f>IF($A340="","",IF(Entry!$H343="",0,Entry!$H343))</f>
        <v/>
      </c>
      <c r="I340">
        <f>IF($A340="","",IF(Entry!$I343="",0,Entry!$I343))</f>
        <v/>
      </c>
      <c r="J340">
        <f>IF($A340="","",ROUND($H340*$I340,0))</f>
        <v/>
      </c>
      <c r="K340">
        <f>IF($A340="","",Entry!$D343)</f>
        <v/>
      </c>
      <c r="L340">
        <f>IF($A340="","",Entry!$L343)</f>
        <v/>
      </c>
      <c r="N340">
        <f>IF(OR(Sync!$M340="",$Q340="",$Q340="نامعتبر"),"",Sync!$M340)</f>
        <v/>
      </c>
      <c r="O340">
        <f>IF($N340="","",$Q340)</f>
        <v/>
      </c>
      <c r="P340">
        <f>IF($N340="","",LEFT($Q340,4)&amp;MID($Q340,6,2)&amp;RIGHT($Q340,2)&amp;IF(Sync!$K340="","0000",IF(AND(ISNUMBER(Sync!$K340),Sync!$K340&gt;=0,Sync!$K340&lt;1),RIGHT("00"&amp;HOUR(Sync!$K340),2)&amp;RIGHT("00"&amp;MINUTE(Sync!$K340),2),IFERROR(RIGHT("00"&amp;VALUE(LEFT(Sync!$K340,FIND(":",Sync!$K340)-1)),2)&amp;RIGHT("00"&amp;VALUE(MID(Sync!$K340,FIND(":",Sync!$K340)+1,2)),2),"0000")))&amp;"|"&amp;"2"&amp;RIGHT("00000"&amp;335,5))</f>
        <v/>
      </c>
      <c r="Q340">
        <f>IF(Sync!$J340="","",IF(ISNUMBER(Sync!$J340),IF(AND(Sync!$J340&gt;=10000101,Sync!$J340&lt;=99991231),INT(Sync!$J340/10000)&amp;"/"&amp;RIGHT("00"&amp;INT(MOD(Sync!$J340,10000)/100),2)&amp;"/"&amp;RIGHT("00"&amp;MOD(Sync!$J340,100),2),"نامعتبر"),IF(LEN(Sync!$J340)=10,Sync!$J340,"نامعتبر")))</f>
        <v/>
      </c>
      <c r="R340">
        <f>IF($P340="","",COUNTIFS($N$6:$N$2005,$N340,$P$6:$P$2005,"&lt;"&amp;$P340)+COUNTIFS($A$6:$A$1005,$N340,$B$6:$B$1005,"&lt;"&amp;$P340)+1)</f>
        <v/>
      </c>
      <c r="S340">
        <f>IF($N340="","",$N340&amp;"|"&amp;RIGHT("000000"&amp;$R340,6))</f>
        <v/>
      </c>
      <c r="T340">
        <f>IF($N340="","",IF(Sync!$N340="",0,Sync!$N340))</f>
        <v/>
      </c>
      <c r="U340">
        <f>IF($N340="","",IF(Sync!$O340="",0,Sync!$O340))</f>
        <v/>
      </c>
      <c r="V340">
        <f>IF($N340="","",Sync!$L340)</f>
        <v/>
      </c>
      <c r="W340">
        <f>IF($N340="","",Sync!$P340)</f>
        <v/>
      </c>
      <c r="AA340">
        <f>IF($A340="","",IF(COUNTIF($A$6:$A340,$A340)=1,1,0))</f>
        <v/>
      </c>
      <c r="AB340">
        <f>SUM($AA$6:$AA340)</f>
        <v/>
      </c>
      <c r="AC340">
        <f>IFERROR(INDEX($A$6:$A$1005,MATCH(ROW()-5,$AB$6:$AB$1005,0)),"")</f>
        <v/>
      </c>
    </row>
    <row r="341">
      <c r="A341">
        <f>IF(OR(Entry!$B344="",Entry!$E344="",$E341="نامعتبر"),"",Entry!$E344)</f>
        <v/>
      </c>
      <c r="B341">
        <f>IF($A341="","",LEFT($E341,4)&amp;MID($E341,6,2)&amp;RIGHT($E341,2)&amp;$F341&amp;"|"&amp;"1"&amp;RIGHT("00000"&amp;336,5))</f>
        <v/>
      </c>
      <c r="C341">
        <f>IF($B341="","",COUNTIFS($A$6:$A$1005,$A341,$B$6:$B$1005,"&lt;"&amp;$B341)+COUNTIFS($N$6:$N$2005,$A341,$P$6:$P$2005,"&lt;"&amp;$B341)+1)</f>
        <v/>
      </c>
      <c r="D341">
        <f>IF($C341="","",$A341&amp;"|"&amp;RIGHT("000000"&amp;$C341,6))</f>
        <v/>
      </c>
      <c r="E341">
        <f>IF(Entry!$B344="","",IF(ISNUMBER(Entry!$B344),IF(AND(Entry!$B344&gt;=10000101,Entry!$B344&lt;=99991231),INT(Entry!$B344/10000)&amp;"/"&amp;RIGHT("00"&amp;INT(MOD(Entry!$B344,10000)/100),2)&amp;"/"&amp;RIGHT("00"&amp;MOD(Entry!$B344,100),2),"نامعتبر"),IF(LEN(Entry!$B344)=10,Entry!$B344,"نامعتبر")))</f>
        <v/>
      </c>
      <c r="F341">
        <f>IF(Entry!$B344="","",IF(Entry!$C344="","0000",IF(AND(ISNUMBER(Entry!$C344),Entry!$C344&gt;=0,Entry!$C344&lt;1),RIGHT("00"&amp;HOUR(Entry!$C344),2)&amp;RIGHT("00"&amp;MINUTE(Entry!$C344),2),IFERROR(RIGHT("00"&amp;VALUE(LEFT(Entry!$C344,FIND(":",Entry!$C344)-1)),2)&amp;RIGHT("00"&amp;VALUE(MID(Entry!$C344,FIND(":",Entry!$C344)+1,2)),2),"0000"))))</f>
        <v/>
      </c>
      <c r="G341">
        <f>IF($A341="","",Entry!$G344)</f>
        <v/>
      </c>
      <c r="H341">
        <f>IF($A341="","",IF(Entry!$H344="",0,Entry!$H344))</f>
        <v/>
      </c>
      <c r="I341">
        <f>IF($A341="","",IF(Entry!$I344="",0,Entry!$I344))</f>
        <v/>
      </c>
      <c r="J341">
        <f>IF($A341="","",ROUND($H341*$I341,0))</f>
        <v/>
      </c>
      <c r="K341">
        <f>IF($A341="","",Entry!$D344)</f>
        <v/>
      </c>
      <c r="L341">
        <f>IF($A341="","",Entry!$L344)</f>
        <v/>
      </c>
      <c r="N341">
        <f>IF(OR(Sync!$M341="",$Q341="",$Q341="نامعتبر"),"",Sync!$M341)</f>
        <v/>
      </c>
      <c r="O341">
        <f>IF($N341="","",$Q341)</f>
        <v/>
      </c>
      <c r="P341">
        <f>IF($N341="","",LEFT($Q341,4)&amp;MID($Q341,6,2)&amp;RIGHT($Q341,2)&amp;IF(Sync!$K341="","0000",IF(AND(ISNUMBER(Sync!$K341),Sync!$K341&gt;=0,Sync!$K341&lt;1),RIGHT("00"&amp;HOUR(Sync!$K341),2)&amp;RIGHT("00"&amp;MINUTE(Sync!$K341),2),IFERROR(RIGHT("00"&amp;VALUE(LEFT(Sync!$K341,FIND(":",Sync!$K341)-1)),2)&amp;RIGHT("00"&amp;VALUE(MID(Sync!$K341,FIND(":",Sync!$K341)+1,2)),2),"0000")))&amp;"|"&amp;"2"&amp;RIGHT("00000"&amp;336,5))</f>
        <v/>
      </c>
      <c r="Q341">
        <f>IF(Sync!$J341="","",IF(ISNUMBER(Sync!$J341),IF(AND(Sync!$J341&gt;=10000101,Sync!$J341&lt;=99991231),INT(Sync!$J341/10000)&amp;"/"&amp;RIGHT("00"&amp;INT(MOD(Sync!$J341,10000)/100),2)&amp;"/"&amp;RIGHT("00"&amp;MOD(Sync!$J341,100),2),"نامعتبر"),IF(LEN(Sync!$J341)=10,Sync!$J341,"نامعتبر")))</f>
        <v/>
      </c>
      <c r="R341">
        <f>IF($P341="","",COUNTIFS($N$6:$N$2005,$N341,$P$6:$P$2005,"&lt;"&amp;$P341)+COUNTIFS($A$6:$A$1005,$N341,$B$6:$B$1005,"&lt;"&amp;$P341)+1)</f>
        <v/>
      </c>
      <c r="S341">
        <f>IF($N341="","",$N341&amp;"|"&amp;RIGHT("000000"&amp;$R341,6))</f>
        <v/>
      </c>
      <c r="T341">
        <f>IF($N341="","",IF(Sync!$N341="",0,Sync!$N341))</f>
        <v/>
      </c>
      <c r="U341">
        <f>IF($N341="","",IF(Sync!$O341="",0,Sync!$O341))</f>
        <v/>
      </c>
      <c r="V341">
        <f>IF($N341="","",Sync!$L341)</f>
        <v/>
      </c>
      <c r="W341">
        <f>IF($N341="","",Sync!$P341)</f>
        <v/>
      </c>
      <c r="AA341">
        <f>IF($A341="","",IF(COUNTIF($A$6:$A341,$A341)=1,1,0))</f>
        <v/>
      </c>
      <c r="AB341">
        <f>SUM($AA$6:$AA341)</f>
        <v/>
      </c>
      <c r="AC341">
        <f>IFERROR(INDEX($A$6:$A$1005,MATCH(ROW()-5,$AB$6:$AB$1005,0)),"")</f>
        <v/>
      </c>
    </row>
    <row r="342">
      <c r="A342">
        <f>IF(OR(Entry!$B345="",Entry!$E345="",$E342="نامعتبر"),"",Entry!$E345)</f>
        <v/>
      </c>
      <c r="B342">
        <f>IF($A342="","",LEFT($E342,4)&amp;MID($E342,6,2)&amp;RIGHT($E342,2)&amp;$F342&amp;"|"&amp;"1"&amp;RIGHT("00000"&amp;337,5))</f>
        <v/>
      </c>
      <c r="C342">
        <f>IF($B342="","",COUNTIFS($A$6:$A$1005,$A342,$B$6:$B$1005,"&lt;"&amp;$B342)+COUNTIFS($N$6:$N$2005,$A342,$P$6:$P$2005,"&lt;"&amp;$B342)+1)</f>
        <v/>
      </c>
      <c r="D342">
        <f>IF($C342="","",$A342&amp;"|"&amp;RIGHT("000000"&amp;$C342,6))</f>
        <v/>
      </c>
      <c r="E342">
        <f>IF(Entry!$B345="","",IF(ISNUMBER(Entry!$B345),IF(AND(Entry!$B345&gt;=10000101,Entry!$B345&lt;=99991231),INT(Entry!$B345/10000)&amp;"/"&amp;RIGHT("00"&amp;INT(MOD(Entry!$B345,10000)/100),2)&amp;"/"&amp;RIGHT("00"&amp;MOD(Entry!$B345,100),2),"نامعتبر"),IF(LEN(Entry!$B345)=10,Entry!$B345,"نامعتبر")))</f>
        <v/>
      </c>
      <c r="F342">
        <f>IF(Entry!$B345="","",IF(Entry!$C345="","0000",IF(AND(ISNUMBER(Entry!$C345),Entry!$C345&gt;=0,Entry!$C345&lt;1),RIGHT("00"&amp;HOUR(Entry!$C345),2)&amp;RIGHT("00"&amp;MINUTE(Entry!$C345),2),IFERROR(RIGHT("00"&amp;VALUE(LEFT(Entry!$C345,FIND(":",Entry!$C345)-1)),2)&amp;RIGHT("00"&amp;VALUE(MID(Entry!$C345,FIND(":",Entry!$C345)+1,2)),2),"0000"))))</f>
        <v/>
      </c>
      <c r="G342">
        <f>IF($A342="","",Entry!$G345)</f>
        <v/>
      </c>
      <c r="H342">
        <f>IF($A342="","",IF(Entry!$H345="",0,Entry!$H345))</f>
        <v/>
      </c>
      <c r="I342">
        <f>IF($A342="","",IF(Entry!$I345="",0,Entry!$I345))</f>
        <v/>
      </c>
      <c r="J342">
        <f>IF($A342="","",ROUND($H342*$I342,0))</f>
        <v/>
      </c>
      <c r="K342">
        <f>IF($A342="","",Entry!$D345)</f>
        <v/>
      </c>
      <c r="L342">
        <f>IF($A342="","",Entry!$L345)</f>
        <v/>
      </c>
      <c r="N342">
        <f>IF(OR(Sync!$M342="",$Q342="",$Q342="نامعتبر"),"",Sync!$M342)</f>
        <v/>
      </c>
      <c r="O342">
        <f>IF($N342="","",$Q342)</f>
        <v/>
      </c>
      <c r="P342">
        <f>IF($N342="","",LEFT($Q342,4)&amp;MID($Q342,6,2)&amp;RIGHT($Q342,2)&amp;IF(Sync!$K342="","0000",IF(AND(ISNUMBER(Sync!$K342),Sync!$K342&gt;=0,Sync!$K342&lt;1),RIGHT("00"&amp;HOUR(Sync!$K342),2)&amp;RIGHT("00"&amp;MINUTE(Sync!$K342),2),IFERROR(RIGHT("00"&amp;VALUE(LEFT(Sync!$K342,FIND(":",Sync!$K342)-1)),2)&amp;RIGHT("00"&amp;VALUE(MID(Sync!$K342,FIND(":",Sync!$K342)+1,2)),2),"0000")))&amp;"|"&amp;"2"&amp;RIGHT("00000"&amp;337,5))</f>
        <v/>
      </c>
      <c r="Q342">
        <f>IF(Sync!$J342="","",IF(ISNUMBER(Sync!$J342),IF(AND(Sync!$J342&gt;=10000101,Sync!$J342&lt;=99991231),INT(Sync!$J342/10000)&amp;"/"&amp;RIGHT("00"&amp;INT(MOD(Sync!$J342,10000)/100),2)&amp;"/"&amp;RIGHT("00"&amp;MOD(Sync!$J342,100),2),"نامعتبر"),IF(LEN(Sync!$J342)=10,Sync!$J342,"نامعتبر")))</f>
        <v/>
      </c>
      <c r="R342">
        <f>IF($P342="","",COUNTIFS($N$6:$N$2005,$N342,$P$6:$P$2005,"&lt;"&amp;$P342)+COUNTIFS($A$6:$A$1005,$N342,$B$6:$B$1005,"&lt;"&amp;$P342)+1)</f>
        <v/>
      </c>
      <c r="S342">
        <f>IF($N342="","",$N342&amp;"|"&amp;RIGHT("000000"&amp;$R342,6))</f>
        <v/>
      </c>
      <c r="T342">
        <f>IF($N342="","",IF(Sync!$N342="",0,Sync!$N342))</f>
        <v/>
      </c>
      <c r="U342">
        <f>IF($N342="","",IF(Sync!$O342="",0,Sync!$O342))</f>
        <v/>
      </c>
      <c r="V342">
        <f>IF($N342="","",Sync!$L342)</f>
        <v/>
      </c>
      <c r="W342">
        <f>IF($N342="","",Sync!$P342)</f>
        <v/>
      </c>
      <c r="AA342">
        <f>IF($A342="","",IF(COUNTIF($A$6:$A342,$A342)=1,1,0))</f>
        <v/>
      </c>
      <c r="AB342">
        <f>SUM($AA$6:$AA342)</f>
        <v/>
      </c>
      <c r="AC342">
        <f>IFERROR(INDEX($A$6:$A$1005,MATCH(ROW()-5,$AB$6:$AB$1005,0)),"")</f>
        <v/>
      </c>
    </row>
    <row r="343">
      <c r="A343">
        <f>IF(OR(Entry!$B346="",Entry!$E346="",$E343="نامعتبر"),"",Entry!$E346)</f>
        <v/>
      </c>
      <c r="B343">
        <f>IF($A343="","",LEFT($E343,4)&amp;MID($E343,6,2)&amp;RIGHT($E343,2)&amp;$F343&amp;"|"&amp;"1"&amp;RIGHT("00000"&amp;338,5))</f>
        <v/>
      </c>
      <c r="C343">
        <f>IF($B343="","",COUNTIFS($A$6:$A$1005,$A343,$B$6:$B$1005,"&lt;"&amp;$B343)+COUNTIFS($N$6:$N$2005,$A343,$P$6:$P$2005,"&lt;"&amp;$B343)+1)</f>
        <v/>
      </c>
      <c r="D343">
        <f>IF($C343="","",$A343&amp;"|"&amp;RIGHT("000000"&amp;$C343,6))</f>
        <v/>
      </c>
      <c r="E343">
        <f>IF(Entry!$B346="","",IF(ISNUMBER(Entry!$B346),IF(AND(Entry!$B346&gt;=10000101,Entry!$B346&lt;=99991231),INT(Entry!$B346/10000)&amp;"/"&amp;RIGHT("00"&amp;INT(MOD(Entry!$B346,10000)/100),2)&amp;"/"&amp;RIGHT("00"&amp;MOD(Entry!$B346,100),2),"نامعتبر"),IF(LEN(Entry!$B346)=10,Entry!$B346,"نامعتبر")))</f>
        <v/>
      </c>
      <c r="F343">
        <f>IF(Entry!$B346="","",IF(Entry!$C346="","0000",IF(AND(ISNUMBER(Entry!$C346),Entry!$C346&gt;=0,Entry!$C346&lt;1),RIGHT("00"&amp;HOUR(Entry!$C346),2)&amp;RIGHT("00"&amp;MINUTE(Entry!$C346),2),IFERROR(RIGHT("00"&amp;VALUE(LEFT(Entry!$C346,FIND(":",Entry!$C346)-1)),2)&amp;RIGHT("00"&amp;VALUE(MID(Entry!$C346,FIND(":",Entry!$C346)+1,2)),2),"0000"))))</f>
        <v/>
      </c>
      <c r="G343">
        <f>IF($A343="","",Entry!$G346)</f>
        <v/>
      </c>
      <c r="H343">
        <f>IF($A343="","",IF(Entry!$H346="",0,Entry!$H346))</f>
        <v/>
      </c>
      <c r="I343">
        <f>IF($A343="","",IF(Entry!$I346="",0,Entry!$I346))</f>
        <v/>
      </c>
      <c r="J343">
        <f>IF($A343="","",ROUND($H343*$I343,0))</f>
        <v/>
      </c>
      <c r="K343">
        <f>IF($A343="","",Entry!$D346)</f>
        <v/>
      </c>
      <c r="L343">
        <f>IF($A343="","",Entry!$L346)</f>
        <v/>
      </c>
      <c r="N343">
        <f>IF(OR(Sync!$M343="",$Q343="",$Q343="نامعتبر"),"",Sync!$M343)</f>
        <v/>
      </c>
      <c r="O343">
        <f>IF($N343="","",$Q343)</f>
        <v/>
      </c>
      <c r="P343">
        <f>IF($N343="","",LEFT($Q343,4)&amp;MID($Q343,6,2)&amp;RIGHT($Q343,2)&amp;IF(Sync!$K343="","0000",IF(AND(ISNUMBER(Sync!$K343),Sync!$K343&gt;=0,Sync!$K343&lt;1),RIGHT("00"&amp;HOUR(Sync!$K343),2)&amp;RIGHT("00"&amp;MINUTE(Sync!$K343),2),IFERROR(RIGHT("00"&amp;VALUE(LEFT(Sync!$K343,FIND(":",Sync!$K343)-1)),2)&amp;RIGHT("00"&amp;VALUE(MID(Sync!$K343,FIND(":",Sync!$K343)+1,2)),2),"0000")))&amp;"|"&amp;"2"&amp;RIGHT("00000"&amp;338,5))</f>
        <v/>
      </c>
      <c r="Q343">
        <f>IF(Sync!$J343="","",IF(ISNUMBER(Sync!$J343),IF(AND(Sync!$J343&gt;=10000101,Sync!$J343&lt;=99991231),INT(Sync!$J343/10000)&amp;"/"&amp;RIGHT("00"&amp;INT(MOD(Sync!$J343,10000)/100),2)&amp;"/"&amp;RIGHT("00"&amp;MOD(Sync!$J343,100),2),"نامعتبر"),IF(LEN(Sync!$J343)=10,Sync!$J343,"نامعتبر")))</f>
        <v/>
      </c>
      <c r="R343">
        <f>IF($P343="","",COUNTIFS($N$6:$N$2005,$N343,$P$6:$P$2005,"&lt;"&amp;$P343)+COUNTIFS($A$6:$A$1005,$N343,$B$6:$B$1005,"&lt;"&amp;$P343)+1)</f>
        <v/>
      </c>
      <c r="S343">
        <f>IF($N343="","",$N343&amp;"|"&amp;RIGHT("000000"&amp;$R343,6))</f>
        <v/>
      </c>
      <c r="T343">
        <f>IF($N343="","",IF(Sync!$N343="",0,Sync!$N343))</f>
        <v/>
      </c>
      <c r="U343">
        <f>IF($N343="","",IF(Sync!$O343="",0,Sync!$O343))</f>
        <v/>
      </c>
      <c r="V343">
        <f>IF($N343="","",Sync!$L343)</f>
        <v/>
      </c>
      <c r="W343">
        <f>IF($N343="","",Sync!$P343)</f>
        <v/>
      </c>
      <c r="AA343">
        <f>IF($A343="","",IF(COUNTIF($A$6:$A343,$A343)=1,1,0))</f>
        <v/>
      </c>
      <c r="AB343">
        <f>SUM($AA$6:$AA343)</f>
        <v/>
      </c>
      <c r="AC343">
        <f>IFERROR(INDEX($A$6:$A$1005,MATCH(ROW()-5,$AB$6:$AB$1005,0)),"")</f>
        <v/>
      </c>
    </row>
    <row r="344">
      <c r="A344">
        <f>IF(OR(Entry!$B347="",Entry!$E347="",$E344="نامعتبر"),"",Entry!$E347)</f>
        <v/>
      </c>
      <c r="B344">
        <f>IF($A344="","",LEFT($E344,4)&amp;MID($E344,6,2)&amp;RIGHT($E344,2)&amp;$F344&amp;"|"&amp;"1"&amp;RIGHT("00000"&amp;339,5))</f>
        <v/>
      </c>
      <c r="C344">
        <f>IF($B344="","",COUNTIFS($A$6:$A$1005,$A344,$B$6:$B$1005,"&lt;"&amp;$B344)+COUNTIFS($N$6:$N$2005,$A344,$P$6:$P$2005,"&lt;"&amp;$B344)+1)</f>
        <v/>
      </c>
      <c r="D344">
        <f>IF($C344="","",$A344&amp;"|"&amp;RIGHT("000000"&amp;$C344,6))</f>
        <v/>
      </c>
      <c r="E344">
        <f>IF(Entry!$B347="","",IF(ISNUMBER(Entry!$B347),IF(AND(Entry!$B347&gt;=10000101,Entry!$B347&lt;=99991231),INT(Entry!$B347/10000)&amp;"/"&amp;RIGHT("00"&amp;INT(MOD(Entry!$B347,10000)/100),2)&amp;"/"&amp;RIGHT("00"&amp;MOD(Entry!$B347,100),2),"نامعتبر"),IF(LEN(Entry!$B347)=10,Entry!$B347,"نامعتبر")))</f>
        <v/>
      </c>
      <c r="F344">
        <f>IF(Entry!$B347="","",IF(Entry!$C347="","0000",IF(AND(ISNUMBER(Entry!$C347),Entry!$C347&gt;=0,Entry!$C347&lt;1),RIGHT("00"&amp;HOUR(Entry!$C347),2)&amp;RIGHT("00"&amp;MINUTE(Entry!$C347),2),IFERROR(RIGHT("00"&amp;VALUE(LEFT(Entry!$C347,FIND(":",Entry!$C347)-1)),2)&amp;RIGHT("00"&amp;VALUE(MID(Entry!$C347,FIND(":",Entry!$C347)+1,2)),2),"0000"))))</f>
        <v/>
      </c>
      <c r="G344">
        <f>IF($A344="","",Entry!$G347)</f>
        <v/>
      </c>
      <c r="H344">
        <f>IF($A344="","",IF(Entry!$H347="",0,Entry!$H347))</f>
        <v/>
      </c>
      <c r="I344">
        <f>IF($A344="","",IF(Entry!$I347="",0,Entry!$I347))</f>
        <v/>
      </c>
      <c r="J344">
        <f>IF($A344="","",ROUND($H344*$I344,0))</f>
        <v/>
      </c>
      <c r="K344">
        <f>IF($A344="","",Entry!$D347)</f>
        <v/>
      </c>
      <c r="L344">
        <f>IF($A344="","",Entry!$L347)</f>
        <v/>
      </c>
      <c r="N344">
        <f>IF(OR(Sync!$M344="",$Q344="",$Q344="نامعتبر"),"",Sync!$M344)</f>
        <v/>
      </c>
      <c r="O344">
        <f>IF($N344="","",$Q344)</f>
        <v/>
      </c>
      <c r="P344">
        <f>IF($N344="","",LEFT($Q344,4)&amp;MID($Q344,6,2)&amp;RIGHT($Q344,2)&amp;IF(Sync!$K344="","0000",IF(AND(ISNUMBER(Sync!$K344),Sync!$K344&gt;=0,Sync!$K344&lt;1),RIGHT("00"&amp;HOUR(Sync!$K344),2)&amp;RIGHT("00"&amp;MINUTE(Sync!$K344),2),IFERROR(RIGHT("00"&amp;VALUE(LEFT(Sync!$K344,FIND(":",Sync!$K344)-1)),2)&amp;RIGHT("00"&amp;VALUE(MID(Sync!$K344,FIND(":",Sync!$K344)+1,2)),2),"0000")))&amp;"|"&amp;"2"&amp;RIGHT("00000"&amp;339,5))</f>
        <v/>
      </c>
      <c r="Q344">
        <f>IF(Sync!$J344="","",IF(ISNUMBER(Sync!$J344),IF(AND(Sync!$J344&gt;=10000101,Sync!$J344&lt;=99991231),INT(Sync!$J344/10000)&amp;"/"&amp;RIGHT("00"&amp;INT(MOD(Sync!$J344,10000)/100),2)&amp;"/"&amp;RIGHT("00"&amp;MOD(Sync!$J344,100),2),"نامعتبر"),IF(LEN(Sync!$J344)=10,Sync!$J344,"نامعتبر")))</f>
        <v/>
      </c>
      <c r="R344">
        <f>IF($P344="","",COUNTIFS($N$6:$N$2005,$N344,$P$6:$P$2005,"&lt;"&amp;$P344)+COUNTIFS($A$6:$A$1005,$N344,$B$6:$B$1005,"&lt;"&amp;$P344)+1)</f>
        <v/>
      </c>
      <c r="S344">
        <f>IF($N344="","",$N344&amp;"|"&amp;RIGHT("000000"&amp;$R344,6))</f>
        <v/>
      </c>
      <c r="T344">
        <f>IF($N344="","",IF(Sync!$N344="",0,Sync!$N344))</f>
        <v/>
      </c>
      <c r="U344">
        <f>IF($N344="","",IF(Sync!$O344="",0,Sync!$O344))</f>
        <v/>
      </c>
      <c r="V344">
        <f>IF($N344="","",Sync!$L344)</f>
        <v/>
      </c>
      <c r="W344">
        <f>IF($N344="","",Sync!$P344)</f>
        <v/>
      </c>
      <c r="AA344">
        <f>IF($A344="","",IF(COUNTIF($A$6:$A344,$A344)=1,1,0))</f>
        <v/>
      </c>
      <c r="AB344">
        <f>SUM($AA$6:$AA344)</f>
        <v/>
      </c>
      <c r="AC344">
        <f>IFERROR(INDEX($A$6:$A$1005,MATCH(ROW()-5,$AB$6:$AB$1005,0)),"")</f>
        <v/>
      </c>
    </row>
    <row r="345">
      <c r="A345">
        <f>IF(OR(Entry!$B348="",Entry!$E348="",$E345="نامعتبر"),"",Entry!$E348)</f>
        <v/>
      </c>
      <c r="B345">
        <f>IF($A345="","",LEFT($E345,4)&amp;MID($E345,6,2)&amp;RIGHT($E345,2)&amp;$F345&amp;"|"&amp;"1"&amp;RIGHT("00000"&amp;340,5))</f>
        <v/>
      </c>
      <c r="C345">
        <f>IF($B345="","",COUNTIFS($A$6:$A$1005,$A345,$B$6:$B$1005,"&lt;"&amp;$B345)+COUNTIFS($N$6:$N$2005,$A345,$P$6:$P$2005,"&lt;"&amp;$B345)+1)</f>
        <v/>
      </c>
      <c r="D345">
        <f>IF($C345="","",$A345&amp;"|"&amp;RIGHT("000000"&amp;$C345,6))</f>
        <v/>
      </c>
      <c r="E345">
        <f>IF(Entry!$B348="","",IF(ISNUMBER(Entry!$B348),IF(AND(Entry!$B348&gt;=10000101,Entry!$B348&lt;=99991231),INT(Entry!$B348/10000)&amp;"/"&amp;RIGHT("00"&amp;INT(MOD(Entry!$B348,10000)/100),2)&amp;"/"&amp;RIGHT("00"&amp;MOD(Entry!$B348,100),2),"نامعتبر"),IF(LEN(Entry!$B348)=10,Entry!$B348,"نامعتبر")))</f>
        <v/>
      </c>
      <c r="F345">
        <f>IF(Entry!$B348="","",IF(Entry!$C348="","0000",IF(AND(ISNUMBER(Entry!$C348),Entry!$C348&gt;=0,Entry!$C348&lt;1),RIGHT("00"&amp;HOUR(Entry!$C348),2)&amp;RIGHT("00"&amp;MINUTE(Entry!$C348),2),IFERROR(RIGHT("00"&amp;VALUE(LEFT(Entry!$C348,FIND(":",Entry!$C348)-1)),2)&amp;RIGHT("00"&amp;VALUE(MID(Entry!$C348,FIND(":",Entry!$C348)+1,2)),2),"0000"))))</f>
        <v/>
      </c>
      <c r="G345">
        <f>IF($A345="","",Entry!$G348)</f>
        <v/>
      </c>
      <c r="H345">
        <f>IF($A345="","",IF(Entry!$H348="",0,Entry!$H348))</f>
        <v/>
      </c>
      <c r="I345">
        <f>IF($A345="","",IF(Entry!$I348="",0,Entry!$I348))</f>
        <v/>
      </c>
      <c r="J345">
        <f>IF($A345="","",ROUND($H345*$I345,0))</f>
        <v/>
      </c>
      <c r="K345">
        <f>IF($A345="","",Entry!$D348)</f>
        <v/>
      </c>
      <c r="L345">
        <f>IF($A345="","",Entry!$L348)</f>
        <v/>
      </c>
      <c r="N345">
        <f>IF(OR(Sync!$M345="",$Q345="",$Q345="نامعتبر"),"",Sync!$M345)</f>
        <v/>
      </c>
      <c r="O345">
        <f>IF($N345="","",$Q345)</f>
        <v/>
      </c>
      <c r="P345">
        <f>IF($N345="","",LEFT($Q345,4)&amp;MID($Q345,6,2)&amp;RIGHT($Q345,2)&amp;IF(Sync!$K345="","0000",IF(AND(ISNUMBER(Sync!$K345),Sync!$K345&gt;=0,Sync!$K345&lt;1),RIGHT("00"&amp;HOUR(Sync!$K345),2)&amp;RIGHT("00"&amp;MINUTE(Sync!$K345),2),IFERROR(RIGHT("00"&amp;VALUE(LEFT(Sync!$K345,FIND(":",Sync!$K345)-1)),2)&amp;RIGHT("00"&amp;VALUE(MID(Sync!$K345,FIND(":",Sync!$K345)+1,2)),2),"0000")))&amp;"|"&amp;"2"&amp;RIGHT("00000"&amp;340,5))</f>
        <v/>
      </c>
      <c r="Q345">
        <f>IF(Sync!$J345="","",IF(ISNUMBER(Sync!$J345),IF(AND(Sync!$J345&gt;=10000101,Sync!$J345&lt;=99991231),INT(Sync!$J345/10000)&amp;"/"&amp;RIGHT("00"&amp;INT(MOD(Sync!$J345,10000)/100),2)&amp;"/"&amp;RIGHT("00"&amp;MOD(Sync!$J345,100),2),"نامعتبر"),IF(LEN(Sync!$J345)=10,Sync!$J345,"نامعتبر")))</f>
        <v/>
      </c>
      <c r="R345">
        <f>IF($P345="","",COUNTIFS($N$6:$N$2005,$N345,$P$6:$P$2005,"&lt;"&amp;$P345)+COUNTIFS($A$6:$A$1005,$N345,$B$6:$B$1005,"&lt;"&amp;$P345)+1)</f>
        <v/>
      </c>
      <c r="S345">
        <f>IF($N345="","",$N345&amp;"|"&amp;RIGHT("000000"&amp;$R345,6))</f>
        <v/>
      </c>
      <c r="T345">
        <f>IF($N345="","",IF(Sync!$N345="",0,Sync!$N345))</f>
        <v/>
      </c>
      <c r="U345">
        <f>IF($N345="","",IF(Sync!$O345="",0,Sync!$O345))</f>
        <v/>
      </c>
      <c r="V345">
        <f>IF($N345="","",Sync!$L345)</f>
        <v/>
      </c>
      <c r="W345">
        <f>IF($N345="","",Sync!$P345)</f>
        <v/>
      </c>
      <c r="AA345">
        <f>IF($A345="","",IF(COUNTIF($A$6:$A345,$A345)=1,1,0))</f>
        <v/>
      </c>
      <c r="AB345">
        <f>SUM($AA$6:$AA345)</f>
        <v/>
      </c>
      <c r="AC345">
        <f>IFERROR(INDEX($A$6:$A$1005,MATCH(ROW()-5,$AB$6:$AB$1005,0)),"")</f>
        <v/>
      </c>
    </row>
    <row r="346">
      <c r="A346">
        <f>IF(OR(Entry!$B349="",Entry!$E349="",$E346="نامعتبر"),"",Entry!$E349)</f>
        <v/>
      </c>
      <c r="B346">
        <f>IF($A346="","",LEFT($E346,4)&amp;MID($E346,6,2)&amp;RIGHT($E346,2)&amp;$F346&amp;"|"&amp;"1"&amp;RIGHT("00000"&amp;341,5))</f>
        <v/>
      </c>
      <c r="C346">
        <f>IF($B346="","",COUNTIFS($A$6:$A$1005,$A346,$B$6:$B$1005,"&lt;"&amp;$B346)+COUNTIFS($N$6:$N$2005,$A346,$P$6:$P$2005,"&lt;"&amp;$B346)+1)</f>
        <v/>
      </c>
      <c r="D346">
        <f>IF($C346="","",$A346&amp;"|"&amp;RIGHT("000000"&amp;$C346,6))</f>
        <v/>
      </c>
      <c r="E346">
        <f>IF(Entry!$B349="","",IF(ISNUMBER(Entry!$B349),IF(AND(Entry!$B349&gt;=10000101,Entry!$B349&lt;=99991231),INT(Entry!$B349/10000)&amp;"/"&amp;RIGHT("00"&amp;INT(MOD(Entry!$B349,10000)/100),2)&amp;"/"&amp;RIGHT("00"&amp;MOD(Entry!$B349,100),2),"نامعتبر"),IF(LEN(Entry!$B349)=10,Entry!$B349,"نامعتبر")))</f>
        <v/>
      </c>
      <c r="F346">
        <f>IF(Entry!$B349="","",IF(Entry!$C349="","0000",IF(AND(ISNUMBER(Entry!$C349),Entry!$C349&gt;=0,Entry!$C349&lt;1),RIGHT("00"&amp;HOUR(Entry!$C349),2)&amp;RIGHT("00"&amp;MINUTE(Entry!$C349),2),IFERROR(RIGHT("00"&amp;VALUE(LEFT(Entry!$C349,FIND(":",Entry!$C349)-1)),2)&amp;RIGHT("00"&amp;VALUE(MID(Entry!$C349,FIND(":",Entry!$C349)+1,2)),2),"0000"))))</f>
        <v/>
      </c>
      <c r="G346">
        <f>IF($A346="","",Entry!$G349)</f>
        <v/>
      </c>
      <c r="H346">
        <f>IF($A346="","",IF(Entry!$H349="",0,Entry!$H349))</f>
        <v/>
      </c>
      <c r="I346">
        <f>IF($A346="","",IF(Entry!$I349="",0,Entry!$I349))</f>
        <v/>
      </c>
      <c r="J346">
        <f>IF($A346="","",ROUND($H346*$I346,0))</f>
        <v/>
      </c>
      <c r="K346">
        <f>IF($A346="","",Entry!$D349)</f>
        <v/>
      </c>
      <c r="L346">
        <f>IF($A346="","",Entry!$L349)</f>
        <v/>
      </c>
      <c r="N346">
        <f>IF(OR(Sync!$M346="",$Q346="",$Q346="نامعتبر"),"",Sync!$M346)</f>
        <v/>
      </c>
      <c r="O346">
        <f>IF($N346="","",$Q346)</f>
        <v/>
      </c>
      <c r="P346">
        <f>IF($N346="","",LEFT($Q346,4)&amp;MID($Q346,6,2)&amp;RIGHT($Q346,2)&amp;IF(Sync!$K346="","0000",IF(AND(ISNUMBER(Sync!$K346),Sync!$K346&gt;=0,Sync!$K346&lt;1),RIGHT("00"&amp;HOUR(Sync!$K346),2)&amp;RIGHT("00"&amp;MINUTE(Sync!$K346),2),IFERROR(RIGHT("00"&amp;VALUE(LEFT(Sync!$K346,FIND(":",Sync!$K346)-1)),2)&amp;RIGHT("00"&amp;VALUE(MID(Sync!$K346,FIND(":",Sync!$K346)+1,2)),2),"0000")))&amp;"|"&amp;"2"&amp;RIGHT("00000"&amp;341,5))</f>
        <v/>
      </c>
      <c r="Q346">
        <f>IF(Sync!$J346="","",IF(ISNUMBER(Sync!$J346),IF(AND(Sync!$J346&gt;=10000101,Sync!$J346&lt;=99991231),INT(Sync!$J346/10000)&amp;"/"&amp;RIGHT("00"&amp;INT(MOD(Sync!$J346,10000)/100),2)&amp;"/"&amp;RIGHT("00"&amp;MOD(Sync!$J346,100),2),"نامعتبر"),IF(LEN(Sync!$J346)=10,Sync!$J346,"نامعتبر")))</f>
        <v/>
      </c>
      <c r="R346">
        <f>IF($P346="","",COUNTIFS($N$6:$N$2005,$N346,$P$6:$P$2005,"&lt;"&amp;$P346)+COUNTIFS($A$6:$A$1005,$N346,$B$6:$B$1005,"&lt;"&amp;$P346)+1)</f>
        <v/>
      </c>
      <c r="S346">
        <f>IF($N346="","",$N346&amp;"|"&amp;RIGHT("000000"&amp;$R346,6))</f>
        <v/>
      </c>
      <c r="T346">
        <f>IF($N346="","",IF(Sync!$N346="",0,Sync!$N346))</f>
        <v/>
      </c>
      <c r="U346">
        <f>IF($N346="","",IF(Sync!$O346="",0,Sync!$O346))</f>
        <v/>
      </c>
      <c r="V346">
        <f>IF($N346="","",Sync!$L346)</f>
        <v/>
      </c>
      <c r="W346">
        <f>IF($N346="","",Sync!$P346)</f>
        <v/>
      </c>
      <c r="AA346">
        <f>IF($A346="","",IF(COUNTIF($A$6:$A346,$A346)=1,1,0))</f>
        <v/>
      </c>
      <c r="AB346">
        <f>SUM($AA$6:$AA346)</f>
        <v/>
      </c>
      <c r="AC346">
        <f>IFERROR(INDEX($A$6:$A$1005,MATCH(ROW()-5,$AB$6:$AB$1005,0)),"")</f>
        <v/>
      </c>
    </row>
    <row r="347">
      <c r="A347">
        <f>IF(OR(Entry!$B350="",Entry!$E350="",$E347="نامعتبر"),"",Entry!$E350)</f>
        <v/>
      </c>
      <c r="B347">
        <f>IF($A347="","",LEFT($E347,4)&amp;MID($E347,6,2)&amp;RIGHT($E347,2)&amp;$F347&amp;"|"&amp;"1"&amp;RIGHT("00000"&amp;342,5))</f>
        <v/>
      </c>
      <c r="C347">
        <f>IF($B347="","",COUNTIFS($A$6:$A$1005,$A347,$B$6:$B$1005,"&lt;"&amp;$B347)+COUNTIFS($N$6:$N$2005,$A347,$P$6:$P$2005,"&lt;"&amp;$B347)+1)</f>
        <v/>
      </c>
      <c r="D347">
        <f>IF($C347="","",$A347&amp;"|"&amp;RIGHT("000000"&amp;$C347,6))</f>
        <v/>
      </c>
      <c r="E347">
        <f>IF(Entry!$B350="","",IF(ISNUMBER(Entry!$B350),IF(AND(Entry!$B350&gt;=10000101,Entry!$B350&lt;=99991231),INT(Entry!$B350/10000)&amp;"/"&amp;RIGHT("00"&amp;INT(MOD(Entry!$B350,10000)/100),2)&amp;"/"&amp;RIGHT("00"&amp;MOD(Entry!$B350,100),2),"نامعتبر"),IF(LEN(Entry!$B350)=10,Entry!$B350,"نامعتبر")))</f>
        <v/>
      </c>
      <c r="F347">
        <f>IF(Entry!$B350="","",IF(Entry!$C350="","0000",IF(AND(ISNUMBER(Entry!$C350),Entry!$C350&gt;=0,Entry!$C350&lt;1),RIGHT("00"&amp;HOUR(Entry!$C350),2)&amp;RIGHT("00"&amp;MINUTE(Entry!$C350),2),IFERROR(RIGHT("00"&amp;VALUE(LEFT(Entry!$C350,FIND(":",Entry!$C350)-1)),2)&amp;RIGHT("00"&amp;VALUE(MID(Entry!$C350,FIND(":",Entry!$C350)+1,2)),2),"0000"))))</f>
        <v/>
      </c>
      <c r="G347">
        <f>IF($A347="","",Entry!$G350)</f>
        <v/>
      </c>
      <c r="H347">
        <f>IF($A347="","",IF(Entry!$H350="",0,Entry!$H350))</f>
        <v/>
      </c>
      <c r="I347">
        <f>IF($A347="","",IF(Entry!$I350="",0,Entry!$I350))</f>
        <v/>
      </c>
      <c r="J347">
        <f>IF($A347="","",ROUND($H347*$I347,0))</f>
        <v/>
      </c>
      <c r="K347">
        <f>IF($A347="","",Entry!$D350)</f>
        <v/>
      </c>
      <c r="L347">
        <f>IF($A347="","",Entry!$L350)</f>
        <v/>
      </c>
      <c r="N347">
        <f>IF(OR(Sync!$M347="",$Q347="",$Q347="نامعتبر"),"",Sync!$M347)</f>
        <v/>
      </c>
      <c r="O347">
        <f>IF($N347="","",$Q347)</f>
        <v/>
      </c>
      <c r="P347">
        <f>IF($N347="","",LEFT($Q347,4)&amp;MID($Q347,6,2)&amp;RIGHT($Q347,2)&amp;IF(Sync!$K347="","0000",IF(AND(ISNUMBER(Sync!$K347),Sync!$K347&gt;=0,Sync!$K347&lt;1),RIGHT("00"&amp;HOUR(Sync!$K347),2)&amp;RIGHT("00"&amp;MINUTE(Sync!$K347),2),IFERROR(RIGHT("00"&amp;VALUE(LEFT(Sync!$K347,FIND(":",Sync!$K347)-1)),2)&amp;RIGHT("00"&amp;VALUE(MID(Sync!$K347,FIND(":",Sync!$K347)+1,2)),2),"0000")))&amp;"|"&amp;"2"&amp;RIGHT("00000"&amp;342,5))</f>
        <v/>
      </c>
      <c r="Q347">
        <f>IF(Sync!$J347="","",IF(ISNUMBER(Sync!$J347),IF(AND(Sync!$J347&gt;=10000101,Sync!$J347&lt;=99991231),INT(Sync!$J347/10000)&amp;"/"&amp;RIGHT("00"&amp;INT(MOD(Sync!$J347,10000)/100),2)&amp;"/"&amp;RIGHT("00"&amp;MOD(Sync!$J347,100),2),"نامعتبر"),IF(LEN(Sync!$J347)=10,Sync!$J347,"نامعتبر")))</f>
        <v/>
      </c>
      <c r="R347">
        <f>IF($P347="","",COUNTIFS($N$6:$N$2005,$N347,$P$6:$P$2005,"&lt;"&amp;$P347)+COUNTIFS($A$6:$A$1005,$N347,$B$6:$B$1005,"&lt;"&amp;$P347)+1)</f>
        <v/>
      </c>
      <c r="S347">
        <f>IF($N347="","",$N347&amp;"|"&amp;RIGHT("000000"&amp;$R347,6))</f>
        <v/>
      </c>
      <c r="T347">
        <f>IF($N347="","",IF(Sync!$N347="",0,Sync!$N347))</f>
        <v/>
      </c>
      <c r="U347">
        <f>IF($N347="","",IF(Sync!$O347="",0,Sync!$O347))</f>
        <v/>
      </c>
      <c r="V347">
        <f>IF($N347="","",Sync!$L347)</f>
        <v/>
      </c>
      <c r="W347">
        <f>IF($N347="","",Sync!$P347)</f>
        <v/>
      </c>
      <c r="AA347">
        <f>IF($A347="","",IF(COUNTIF($A$6:$A347,$A347)=1,1,0))</f>
        <v/>
      </c>
      <c r="AB347">
        <f>SUM($AA$6:$AA347)</f>
        <v/>
      </c>
      <c r="AC347">
        <f>IFERROR(INDEX($A$6:$A$1005,MATCH(ROW()-5,$AB$6:$AB$1005,0)),"")</f>
        <v/>
      </c>
    </row>
    <row r="348">
      <c r="A348">
        <f>IF(OR(Entry!$B351="",Entry!$E351="",$E348="نامعتبر"),"",Entry!$E351)</f>
        <v/>
      </c>
      <c r="B348">
        <f>IF($A348="","",LEFT($E348,4)&amp;MID($E348,6,2)&amp;RIGHT($E348,2)&amp;$F348&amp;"|"&amp;"1"&amp;RIGHT("00000"&amp;343,5))</f>
        <v/>
      </c>
      <c r="C348">
        <f>IF($B348="","",COUNTIFS($A$6:$A$1005,$A348,$B$6:$B$1005,"&lt;"&amp;$B348)+COUNTIFS($N$6:$N$2005,$A348,$P$6:$P$2005,"&lt;"&amp;$B348)+1)</f>
        <v/>
      </c>
      <c r="D348">
        <f>IF($C348="","",$A348&amp;"|"&amp;RIGHT("000000"&amp;$C348,6))</f>
        <v/>
      </c>
      <c r="E348">
        <f>IF(Entry!$B351="","",IF(ISNUMBER(Entry!$B351),IF(AND(Entry!$B351&gt;=10000101,Entry!$B351&lt;=99991231),INT(Entry!$B351/10000)&amp;"/"&amp;RIGHT("00"&amp;INT(MOD(Entry!$B351,10000)/100),2)&amp;"/"&amp;RIGHT("00"&amp;MOD(Entry!$B351,100),2),"نامعتبر"),IF(LEN(Entry!$B351)=10,Entry!$B351,"نامعتبر")))</f>
        <v/>
      </c>
      <c r="F348">
        <f>IF(Entry!$B351="","",IF(Entry!$C351="","0000",IF(AND(ISNUMBER(Entry!$C351),Entry!$C351&gt;=0,Entry!$C351&lt;1),RIGHT("00"&amp;HOUR(Entry!$C351),2)&amp;RIGHT("00"&amp;MINUTE(Entry!$C351),2),IFERROR(RIGHT("00"&amp;VALUE(LEFT(Entry!$C351,FIND(":",Entry!$C351)-1)),2)&amp;RIGHT("00"&amp;VALUE(MID(Entry!$C351,FIND(":",Entry!$C351)+1,2)),2),"0000"))))</f>
        <v/>
      </c>
      <c r="G348">
        <f>IF($A348="","",Entry!$G351)</f>
        <v/>
      </c>
      <c r="H348">
        <f>IF($A348="","",IF(Entry!$H351="",0,Entry!$H351))</f>
        <v/>
      </c>
      <c r="I348">
        <f>IF($A348="","",IF(Entry!$I351="",0,Entry!$I351))</f>
        <v/>
      </c>
      <c r="J348">
        <f>IF($A348="","",ROUND($H348*$I348,0))</f>
        <v/>
      </c>
      <c r="K348">
        <f>IF($A348="","",Entry!$D351)</f>
        <v/>
      </c>
      <c r="L348">
        <f>IF($A348="","",Entry!$L351)</f>
        <v/>
      </c>
      <c r="N348">
        <f>IF(OR(Sync!$M348="",$Q348="",$Q348="نامعتبر"),"",Sync!$M348)</f>
        <v/>
      </c>
      <c r="O348">
        <f>IF($N348="","",$Q348)</f>
        <v/>
      </c>
      <c r="P348">
        <f>IF($N348="","",LEFT($Q348,4)&amp;MID($Q348,6,2)&amp;RIGHT($Q348,2)&amp;IF(Sync!$K348="","0000",IF(AND(ISNUMBER(Sync!$K348),Sync!$K348&gt;=0,Sync!$K348&lt;1),RIGHT("00"&amp;HOUR(Sync!$K348),2)&amp;RIGHT("00"&amp;MINUTE(Sync!$K348),2),IFERROR(RIGHT("00"&amp;VALUE(LEFT(Sync!$K348,FIND(":",Sync!$K348)-1)),2)&amp;RIGHT("00"&amp;VALUE(MID(Sync!$K348,FIND(":",Sync!$K348)+1,2)),2),"0000")))&amp;"|"&amp;"2"&amp;RIGHT("00000"&amp;343,5))</f>
        <v/>
      </c>
      <c r="Q348">
        <f>IF(Sync!$J348="","",IF(ISNUMBER(Sync!$J348),IF(AND(Sync!$J348&gt;=10000101,Sync!$J348&lt;=99991231),INT(Sync!$J348/10000)&amp;"/"&amp;RIGHT("00"&amp;INT(MOD(Sync!$J348,10000)/100),2)&amp;"/"&amp;RIGHT("00"&amp;MOD(Sync!$J348,100),2),"نامعتبر"),IF(LEN(Sync!$J348)=10,Sync!$J348,"نامعتبر")))</f>
        <v/>
      </c>
      <c r="R348">
        <f>IF($P348="","",COUNTIFS($N$6:$N$2005,$N348,$P$6:$P$2005,"&lt;"&amp;$P348)+COUNTIFS($A$6:$A$1005,$N348,$B$6:$B$1005,"&lt;"&amp;$P348)+1)</f>
        <v/>
      </c>
      <c r="S348">
        <f>IF($N348="","",$N348&amp;"|"&amp;RIGHT("000000"&amp;$R348,6))</f>
        <v/>
      </c>
      <c r="T348">
        <f>IF($N348="","",IF(Sync!$N348="",0,Sync!$N348))</f>
        <v/>
      </c>
      <c r="U348">
        <f>IF($N348="","",IF(Sync!$O348="",0,Sync!$O348))</f>
        <v/>
      </c>
      <c r="V348">
        <f>IF($N348="","",Sync!$L348)</f>
        <v/>
      </c>
      <c r="W348">
        <f>IF($N348="","",Sync!$P348)</f>
        <v/>
      </c>
      <c r="AA348">
        <f>IF($A348="","",IF(COUNTIF($A$6:$A348,$A348)=1,1,0))</f>
        <v/>
      </c>
      <c r="AB348">
        <f>SUM($AA$6:$AA348)</f>
        <v/>
      </c>
      <c r="AC348">
        <f>IFERROR(INDEX($A$6:$A$1005,MATCH(ROW()-5,$AB$6:$AB$1005,0)),"")</f>
        <v/>
      </c>
    </row>
    <row r="349">
      <c r="A349">
        <f>IF(OR(Entry!$B352="",Entry!$E352="",$E349="نامعتبر"),"",Entry!$E352)</f>
        <v/>
      </c>
      <c r="B349">
        <f>IF($A349="","",LEFT($E349,4)&amp;MID($E349,6,2)&amp;RIGHT($E349,2)&amp;$F349&amp;"|"&amp;"1"&amp;RIGHT("00000"&amp;344,5))</f>
        <v/>
      </c>
      <c r="C349">
        <f>IF($B349="","",COUNTIFS($A$6:$A$1005,$A349,$B$6:$B$1005,"&lt;"&amp;$B349)+COUNTIFS($N$6:$N$2005,$A349,$P$6:$P$2005,"&lt;"&amp;$B349)+1)</f>
        <v/>
      </c>
      <c r="D349">
        <f>IF($C349="","",$A349&amp;"|"&amp;RIGHT("000000"&amp;$C349,6))</f>
        <v/>
      </c>
      <c r="E349">
        <f>IF(Entry!$B352="","",IF(ISNUMBER(Entry!$B352),IF(AND(Entry!$B352&gt;=10000101,Entry!$B352&lt;=99991231),INT(Entry!$B352/10000)&amp;"/"&amp;RIGHT("00"&amp;INT(MOD(Entry!$B352,10000)/100),2)&amp;"/"&amp;RIGHT("00"&amp;MOD(Entry!$B352,100),2),"نامعتبر"),IF(LEN(Entry!$B352)=10,Entry!$B352,"نامعتبر")))</f>
        <v/>
      </c>
      <c r="F349">
        <f>IF(Entry!$B352="","",IF(Entry!$C352="","0000",IF(AND(ISNUMBER(Entry!$C352),Entry!$C352&gt;=0,Entry!$C352&lt;1),RIGHT("00"&amp;HOUR(Entry!$C352),2)&amp;RIGHT("00"&amp;MINUTE(Entry!$C352),2),IFERROR(RIGHT("00"&amp;VALUE(LEFT(Entry!$C352,FIND(":",Entry!$C352)-1)),2)&amp;RIGHT("00"&amp;VALUE(MID(Entry!$C352,FIND(":",Entry!$C352)+1,2)),2),"0000"))))</f>
        <v/>
      </c>
      <c r="G349">
        <f>IF($A349="","",Entry!$G352)</f>
        <v/>
      </c>
      <c r="H349">
        <f>IF($A349="","",IF(Entry!$H352="",0,Entry!$H352))</f>
        <v/>
      </c>
      <c r="I349">
        <f>IF($A349="","",IF(Entry!$I352="",0,Entry!$I352))</f>
        <v/>
      </c>
      <c r="J349">
        <f>IF($A349="","",ROUND($H349*$I349,0))</f>
        <v/>
      </c>
      <c r="K349">
        <f>IF($A349="","",Entry!$D352)</f>
        <v/>
      </c>
      <c r="L349">
        <f>IF($A349="","",Entry!$L352)</f>
        <v/>
      </c>
      <c r="N349">
        <f>IF(OR(Sync!$M349="",$Q349="",$Q349="نامعتبر"),"",Sync!$M349)</f>
        <v/>
      </c>
      <c r="O349">
        <f>IF($N349="","",$Q349)</f>
        <v/>
      </c>
      <c r="P349">
        <f>IF($N349="","",LEFT($Q349,4)&amp;MID($Q349,6,2)&amp;RIGHT($Q349,2)&amp;IF(Sync!$K349="","0000",IF(AND(ISNUMBER(Sync!$K349),Sync!$K349&gt;=0,Sync!$K349&lt;1),RIGHT("00"&amp;HOUR(Sync!$K349),2)&amp;RIGHT("00"&amp;MINUTE(Sync!$K349),2),IFERROR(RIGHT("00"&amp;VALUE(LEFT(Sync!$K349,FIND(":",Sync!$K349)-1)),2)&amp;RIGHT("00"&amp;VALUE(MID(Sync!$K349,FIND(":",Sync!$K349)+1,2)),2),"0000")))&amp;"|"&amp;"2"&amp;RIGHT("00000"&amp;344,5))</f>
        <v/>
      </c>
      <c r="Q349">
        <f>IF(Sync!$J349="","",IF(ISNUMBER(Sync!$J349),IF(AND(Sync!$J349&gt;=10000101,Sync!$J349&lt;=99991231),INT(Sync!$J349/10000)&amp;"/"&amp;RIGHT("00"&amp;INT(MOD(Sync!$J349,10000)/100),2)&amp;"/"&amp;RIGHT("00"&amp;MOD(Sync!$J349,100),2),"نامعتبر"),IF(LEN(Sync!$J349)=10,Sync!$J349,"نامعتبر")))</f>
        <v/>
      </c>
      <c r="R349">
        <f>IF($P349="","",COUNTIFS($N$6:$N$2005,$N349,$P$6:$P$2005,"&lt;"&amp;$P349)+COUNTIFS($A$6:$A$1005,$N349,$B$6:$B$1005,"&lt;"&amp;$P349)+1)</f>
        <v/>
      </c>
      <c r="S349">
        <f>IF($N349="","",$N349&amp;"|"&amp;RIGHT("000000"&amp;$R349,6))</f>
        <v/>
      </c>
      <c r="T349">
        <f>IF($N349="","",IF(Sync!$N349="",0,Sync!$N349))</f>
        <v/>
      </c>
      <c r="U349">
        <f>IF($N349="","",IF(Sync!$O349="",0,Sync!$O349))</f>
        <v/>
      </c>
      <c r="V349">
        <f>IF($N349="","",Sync!$L349)</f>
        <v/>
      </c>
      <c r="W349">
        <f>IF($N349="","",Sync!$P349)</f>
        <v/>
      </c>
      <c r="AA349">
        <f>IF($A349="","",IF(COUNTIF($A$6:$A349,$A349)=1,1,0))</f>
        <v/>
      </c>
      <c r="AB349">
        <f>SUM($AA$6:$AA349)</f>
        <v/>
      </c>
      <c r="AC349">
        <f>IFERROR(INDEX($A$6:$A$1005,MATCH(ROW()-5,$AB$6:$AB$1005,0)),"")</f>
        <v/>
      </c>
    </row>
    <row r="350">
      <c r="A350">
        <f>IF(OR(Entry!$B353="",Entry!$E353="",$E350="نامعتبر"),"",Entry!$E353)</f>
        <v/>
      </c>
      <c r="B350">
        <f>IF($A350="","",LEFT($E350,4)&amp;MID($E350,6,2)&amp;RIGHT($E350,2)&amp;$F350&amp;"|"&amp;"1"&amp;RIGHT("00000"&amp;345,5))</f>
        <v/>
      </c>
      <c r="C350">
        <f>IF($B350="","",COUNTIFS($A$6:$A$1005,$A350,$B$6:$B$1005,"&lt;"&amp;$B350)+COUNTIFS($N$6:$N$2005,$A350,$P$6:$P$2005,"&lt;"&amp;$B350)+1)</f>
        <v/>
      </c>
      <c r="D350">
        <f>IF($C350="","",$A350&amp;"|"&amp;RIGHT("000000"&amp;$C350,6))</f>
        <v/>
      </c>
      <c r="E350">
        <f>IF(Entry!$B353="","",IF(ISNUMBER(Entry!$B353),IF(AND(Entry!$B353&gt;=10000101,Entry!$B353&lt;=99991231),INT(Entry!$B353/10000)&amp;"/"&amp;RIGHT("00"&amp;INT(MOD(Entry!$B353,10000)/100),2)&amp;"/"&amp;RIGHT("00"&amp;MOD(Entry!$B353,100),2),"نامعتبر"),IF(LEN(Entry!$B353)=10,Entry!$B353,"نامعتبر")))</f>
        <v/>
      </c>
      <c r="F350">
        <f>IF(Entry!$B353="","",IF(Entry!$C353="","0000",IF(AND(ISNUMBER(Entry!$C353),Entry!$C353&gt;=0,Entry!$C353&lt;1),RIGHT("00"&amp;HOUR(Entry!$C353),2)&amp;RIGHT("00"&amp;MINUTE(Entry!$C353),2),IFERROR(RIGHT("00"&amp;VALUE(LEFT(Entry!$C353,FIND(":",Entry!$C353)-1)),2)&amp;RIGHT("00"&amp;VALUE(MID(Entry!$C353,FIND(":",Entry!$C353)+1,2)),2),"0000"))))</f>
        <v/>
      </c>
      <c r="G350">
        <f>IF($A350="","",Entry!$G353)</f>
        <v/>
      </c>
      <c r="H350">
        <f>IF($A350="","",IF(Entry!$H353="",0,Entry!$H353))</f>
        <v/>
      </c>
      <c r="I350">
        <f>IF($A350="","",IF(Entry!$I353="",0,Entry!$I353))</f>
        <v/>
      </c>
      <c r="J350">
        <f>IF($A350="","",ROUND($H350*$I350,0))</f>
        <v/>
      </c>
      <c r="K350">
        <f>IF($A350="","",Entry!$D353)</f>
        <v/>
      </c>
      <c r="L350">
        <f>IF($A350="","",Entry!$L353)</f>
        <v/>
      </c>
      <c r="N350">
        <f>IF(OR(Sync!$M350="",$Q350="",$Q350="نامعتبر"),"",Sync!$M350)</f>
        <v/>
      </c>
      <c r="O350">
        <f>IF($N350="","",$Q350)</f>
        <v/>
      </c>
      <c r="P350">
        <f>IF($N350="","",LEFT($Q350,4)&amp;MID($Q350,6,2)&amp;RIGHT($Q350,2)&amp;IF(Sync!$K350="","0000",IF(AND(ISNUMBER(Sync!$K350),Sync!$K350&gt;=0,Sync!$K350&lt;1),RIGHT("00"&amp;HOUR(Sync!$K350),2)&amp;RIGHT("00"&amp;MINUTE(Sync!$K350),2),IFERROR(RIGHT("00"&amp;VALUE(LEFT(Sync!$K350,FIND(":",Sync!$K350)-1)),2)&amp;RIGHT("00"&amp;VALUE(MID(Sync!$K350,FIND(":",Sync!$K350)+1,2)),2),"0000")))&amp;"|"&amp;"2"&amp;RIGHT("00000"&amp;345,5))</f>
        <v/>
      </c>
      <c r="Q350">
        <f>IF(Sync!$J350="","",IF(ISNUMBER(Sync!$J350),IF(AND(Sync!$J350&gt;=10000101,Sync!$J350&lt;=99991231),INT(Sync!$J350/10000)&amp;"/"&amp;RIGHT("00"&amp;INT(MOD(Sync!$J350,10000)/100),2)&amp;"/"&amp;RIGHT("00"&amp;MOD(Sync!$J350,100),2),"نامعتبر"),IF(LEN(Sync!$J350)=10,Sync!$J350,"نامعتبر")))</f>
        <v/>
      </c>
      <c r="R350">
        <f>IF($P350="","",COUNTIFS($N$6:$N$2005,$N350,$P$6:$P$2005,"&lt;"&amp;$P350)+COUNTIFS($A$6:$A$1005,$N350,$B$6:$B$1005,"&lt;"&amp;$P350)+1)</f>
        <v/>
      </c>
      <c r="S350">
        <f>IF($N350="","",$N350&amp;"|"&amp;RIGHT("000000"&amp;$R350,6))</f>
        <v/>
      </c>
      <c r="T350">
        <f>IF($N350="","",IF(Sync!$N350="",0,Sync!$N350))</f>
        <v/>
      </c>
      <c r="U350">
        <f>IF($N350="","",IF(Sync!$O350="",0,Sync!$O350))</f>
        <v/>
      </c>
      <c r="V350">
        <f>IF($N350="","",Sync!$L350)</f>
        <v/>
      </c>
      <c r="W350">
        <f>IF($N350="","",Sync!$P350)</f>
        <v/>
      </c>
      <c r="AA350">
        <f>IF($A350="","",IF(COUNTIF($A$6:$A350,$A350)=1,1,0))</f>
        <v/>
      </c>
      <c r="AB350">
        <f>SUM($AA$6:$AA350)</f>
        <v/>
      </c>
      <c r="AC350">
        <f>IFERROR(INDEX($A$6:$A$1005,MATCH(ROW()-5,$AB$6:$AB$1005,0)),"")</f>
        <v/>
      </c>
    </row>
    <row r="351">
      <c r="A351">
        <f>IF(OR(Entry!$B354="",Entry!$E354="",$E351="نامعتبر"),"",Entry!$E354)</f>
        <v/>
      </c>
      <c r="B351">
        <f>IF($A351="","",LEFT($E351,4)&amp;MID($E351,6,2)&amp;RIGHT($E351,2)&amp;$F351&amp;"|"&amp;"1"&amp;RIGHT("00000"&amp;346,5))</f>
        <v/>
      </c>
      <c r="C351">
        <f>IF($B351="","",COUNTIFS($A$6:$A$1005,$A351,$B$6:$B$1005,"&lt;"&amp;$B351)+COUNTIFS($N$6:$N$2005,$A351,$P$6:$P$2005,"&lt;"&amp;$B351)+1)</f>
        <v/>
      </c>
      <c r="D351">
        <f>IF($C351="","",$A351&amp;"|"&amp;RIGHT("000000"&amp;$C351,6))</f>
        <v/>
      </c>
      <c r="E351">
        <f>IF(Entry!$B354="","",IF(ISNUMBER(Entry!$B354),IF(AND(Entry!$B354&gt;=10000101,Entry!$B354&lt;=99991231),INT(Entry!$B354/10000)&amp;"/"&amp;RIGHT("00"&amp;INT(MOD(Entry!$B354,10000)/100),2)&amp;"/"&amp;RIGHT("00"&amp;MOD(Entry!$B354,100),2),"نامعتبر"),IF(LEN(Entry!$B354)=10,Entry!$B354,"نامعتبر")))</f>
        <v/>
      </c>
      <c r="F351">
        <f>IF(Entry!$B354="","",IF(Entry!$C354="","0000",IF(AND(ISNUMBER(Entry!$C354),Entry!$C354&gt;=0,Entry!$C354&lt;1),RIGHT("00"&amp;HOUR(Entry!$C354),2)&amp;RIGHT("00"&amp;MINUTE(Entry!$C354),2),IFERROR(RIGHT("00"&amp;VALUE(LEFT(Entry!$C354,FIND(":",Entry!$C354)-1)),2)&amp;RIGHT("00"&amp;VALUE(MID(Entry!$C354,FIND(":",Entry!$C354)+1,2)),2),"0000"))))</f>
        <v/>
      </c>
      <c r="G351">
        <f>IF($A351="","",Entry!$G354)</f>
        <v/>
      </c>
      <c r="H351">
        <f>IF($A351="","",IF(Entry!$H354="",0,Entry!$H354))</f>
        <v/>
      </c>
      <c r="I351">
        <f>IF($A351="","",IF(Entry!$I354="",0,Entry!$I354))</f>
        <v/>
      </c>
      <c r="J351">
        <f>IF($A351="","",ROUND($H351*$I351,0))</f>
        <v/>
      </c>
      <c r="K351">
        <f>IF($A351="","",Entry!$D354)</f>
        <v/>
      </c>
      <c r="L351">
        <f>IF($A351="","",Entry!$L354)</f>
        <v/>
      </c>
      <c r="N351">
        <f>IF(OR(Sync!$M351="",$Q351="",$Q351="نامعتبر"),"",Sync!$M351)</f>
        <v/>
      </c>
      <c r="O351">
        <f>IF($N351="","",$Q351)</f>
        <v/>
      </c>
      <c r="P351">
        <f>IF($N351="","",LEFT($Q351,4)&amp;MID($Q351,6,2)&amp;RIGHT($Q351,2)&amp;IF(Sync!$K351="","0000",IF(AND(ISNUMBER(Sync!$K351),Sync!$K351&gt;=0,Sync!$K351&lt;1),RIGHT("00"&amp;HOUR(Sync!$K351),2)&amp;RIGHT("00"&amp;MINUTE(Sync!$K351),2),IFERROR(RIGHT("00"&amp;VALUE(LEFT(Sync!$K351,FIND(":",Sync!$K351)-1)),2)&amp;RIGHT("00"&amp;VALUE(MID(Sync!$K351,FIND(":",Sync!$K351)+1,2)),2),"0000")))&amp;"|"&amp;"2"&amp;RIGHT("00000"&amp;346,5))</f>
        <v/>
      </c>
      <c r="Q351">
        <f>IF(Sync!$J351="","",IF(ISNUMBER(Sync!$J351),IF(AND(Sync!$J351&gt;=10000101,Sync!$J351&lt;=99991231),INT(Sync!$J351/10000)&amp;"/"&amp;RIGHT("00"&amp;INT(MOD(Sync!$J351,10000)/100),2)&amp;"/"&amp;RIGHT("00"&amp;MOD(Sync!$J351,100),2),"نامعتبر"),IF(LEN(Sync!$J351)=10,Sync!$J351,"نامعتبر")))</f>
        <v/>
      </c>
      <c r="R351">
        <f>IF($P351="","",COUNTIFS($N$6:$N$2005,$N351,$P$6:$P$2005,"&lt;"&amp;$P351)+COUNTIFS($A$6:$A$1005,$N351,$B$6:$B$1005,"&lt;"&amp;$P351)+1)</f>
        <v/>
      </c>
      <c r="S351">
        <f>IF($N351="","",$N351&amp;"|"&amp;RIGHT("000000"&amp;$R351,6))</f>
        <v/>
      </c>
      <c r="T351">
        <f>IF($N351="","",IF(Sync!$N351="",0,Sync!$N351))</f>
        <v/>
      </c>
      <c r="U351">
        <f>IF($N351="","",IF(Sync!$O351="",0,Sync!$O351))</f>
        <v/>
      </c>
      <c r="V351">
        <f>IF($N351="","",Sync!$L351)</f>
        <v/>
      </c>
      <c r="W351">
        <f>IF($N351="","",Sync!$P351)</f>
        <v/>
      </c>
      <c r="AA351">
        <f>IF($A351="","",IF(COUNTIF($A$6:$A351,$A351)=1,1,0))</f>
        <v/>
      </c>
      <c r="AB351">
        <f>SUM($AA$6:$AA351)</f>
        <v/>
      </c>
      <c r="AC351">
        <f>IFERROR(INDEX($A$6:$A$1005,MATCH(ROW()-5,$AB$6:$AB$1005,0)),"")</f>
        <v/>
      </c>
    </row>
    <row r="352">
      <c r="A352">
        <f>IF(OR(Entry!$B355="",Entry!$E355="",$E352="نامعتبر"),"",Entry!$E355)</f>
        <v/>
      </c>
      <c r="B352">
        <f>IF($A352="","",LEFT($E352,4)&amp;MID($E352,6,2)&amp;RIGHT($E352,2)&amp;$F352&amp;"|"&amp;"1"&amp;RIGHT("00000"&amp;347,5))</f>
        <v/>
      </c>
      <c r="C352">
        <f>IF($B352="","",COUNTIFS($A$6:$A$1005,$A352,$B$6:$B$1005,"&lt;"&amp;$B352)+COUNTIFS($N$6:$N$2005,$A352,$P$6:$P$2005,"&lt;"&amp;$B352)+1)</f>
        <v/>
      </c>
      <c r="D352">
        <f>IF($C352="","",$A352&amp;"|"&amp;RIGHT("000000"&amp;$C352,6))</f>
        <v/>
      </c>
      <c r="E352">
        <f>IF(Entry!$B355="","",IF(ISNUMBER(Entry!$B355),IF(AND(Entry!$B355&gt;=10000101,Entry!$B355&lt;=99991231),INT(Entry!$B355/10000)&amp;"/"&amp;RIGHT("00"&amp;INT(MOD(Entry!$B355,10000)/100),2)&amp;"/"&amp;RIGHT("00"&amp;MOD(Entry!$B355,100),2),"نامعتبر"),IF(LEN(Entry!$B355)=10,Entry!$B355,"نامعتبر")))</f>
        <v/>
      </c>
      <c r="F352">
        <f>IF(Entry!$B355="","",IF(Entry!$C355="","0000",IF(AND(ISNUMBER(Entry!$C355),Entry!$C355&gt;=0,Entry!$C355&lt;1),RIGHT("00"&amp;HOUR(Entry!$C355),2)&amp;RIGHT("00"&amp;MINUTE(Entry!$C355),2),IFERROR(RIGHT("00"&amp;VALUE(LEFT(Entry!$C355,FIND(":",Entry!$C355)-1)),2)&amp;RIGHT("00"&amp;VALUE(MID(Entry!$C355,FIND(":",Entry!$C355)+1,2)),2),"0000"))))</f>
        <v/>
      </c>
      <c r="G352">
        <f>IF($A352="","",Entry!$G355)</f>
        <v/>
      </c>
      <c r="H352">
        <f>IF($A352="","",IF(Entry!$H355="",0,Entry!$H355))</f>
        <v/>
      </c>
      <c r="I352">
        <f>IF($A352="","",IF(Entry!$I355="",0,Entry!$I355))</f>
        <v/>
      </c>
      <c r="J352">
        <f>IF($A352="","",ROUND($H352*$I352,0))</f>
        <v/>
      </c>
      <c r="K352">
        <f>IF($A352="","",Entry!$D355)</f>
        <v/>
      </c>
      <c r="L352">
        <f>IF($A352="","",Entry!$L355)</f>
        <v/>
      </c>
      <c r="N352">
        <f>IF(OR(Sync!$M352="",$Q352="",$Q352="نامعتبر"),"",Sync!$M352)</f>
        <v/>
      </c>
      <c r="O352">
        <f>IF($N352="","",$Q352)</f>
        <v/>
      </c>
      <c r="P352">
        <f>IF($N352="","",LEFT($Q352,4)&amp;MID($Q352,6,2)&amp;RIGHT($Q352,2)&amp;IF(Sync!$K352="","0000",IF(AND(ISNUMBER(Sync!$K352),Sync!$K352&gt;=0,Sync!$K352&lt;1),RIGHT("00"&amp;HOUR(Sync!$K352),2)&amp;RIGHT("00"&amp;MINUTE(Sync!$K352),2),IFERROR(RIGHT("00"&amp;VALUE(LEFT(Sync!$K352,FIND(":",Sync!$K352)-1)),2)&amp;RIGHT("00"&amp;VALUE(MID(Sync!$K352,FIND(":",Sync!$K352)+1,2)),2),"0000")))&amp;"|"&amp;"2"&amp;RIGHT("00000"&amp;347,5))</f>
        <v/>
      </c>
      <c r="Q352">
        <f>IF(Sync!$J352="","",IF(ISNUMBER(Sync!$J352),IF(AND(Sync!$J352&gt;=10000101,Sync!$J352&lt;=99991231),INT(Sync!$J352/10000)&amp;"/"&amp;RIGHT("00"&amp;INT(MOD(Sync!$J352,10000)/100),2)&amp;"/"&amp;RIGHT("00"&amp;MOD(Sync!$J352,100),2),"نامعتبر"),IF(LEN(Sync!$J352)=10,Sync!$J352,"نامعتبر")))</f>
        <v/>
      </c>
      <c r="R352">
        <f>IF($P352="","",COUNTIFS($N$6:$N$2005,$N352,$P$6:$P$2005,"&lt;"&amp;$P352)+COUNTIFS($A$6:$A$1005,$N352,$B$6:$B$1005,"&lt;"&amp;$P352)+1)</f>
        <v/>
      </c>
      <c r="S352">
        <f>IF($N352="","",$N352&amp;"|"&amp;RIGHT("000000"&amp;$R352,6))</f>
        <v/>
      </c>
      <c r="T352">
        <f>IF($N352="","",IF(Sync!$N352="",0,Sync!$N352))</f>
        <v/>
      </c>
      <c r="U352">
        <f>IF($N352="","",IF(Sync!$O352="",0,Sync!$O352))</f>
        <v/>
      </c>
      <c r="V352">
        <f>IF($N352="","",Sync!$L352)</f>
        <v/>
      </c>
      <c r="W352">
        <f>IF($N352="","",Sync!$P352)</f>
        <v/>
      </c>
      <c r="AA352">
        <f>IF($A352="","",IF(COUNTIF($A$6:$A352,$A352)=1,1,0))</f>
        <v/>
      </c>
      <c r="AB352">
        <f>SUM($AA$6:$AA352)</f>
        <v/>
      </c>
      <c r="AC352">
        <f>IFERROR(INDEX($A$6:$A$1005,MATCH(ROW()-5,$AB$6:$AB$1005,0)),"")</f>
        <v/>
      </c>
    </row>
    <row r="353">
      <c r="A353">
        <f>IF(OR(Entry!$B356="",Entry!$E356="",$E353="نامعتبر"),"",Entry!$E356)</f>
        <v/>
      </c>
      <c r="B353">
        <f>IF($A353="","",LEFT($E353,4)&amp;MID($E353,6,2)&amp;RIGHT($E353,2)&amp;$F353&amp;"|"&amp;"1"&amp;RIGHT("00000"&amp;348,5))</f>
        <v/>
      </c>
      <c r="C353">
        <f>IF($B353="","",COUNTIFS($A$6:$A$1005,$A353,$B$6:$B$1005,"&lt;"&amp;$B353)+COUNTIFS($N$6:$N$2005,$A353,$P$6:$P$2005,"&lt;"&amp;$B353)+1)</f>
        <v/>
      </c>
      <c r="D353">
        <f>IF($C353="","",$A353&amp;"|"&amp;RIGHT("000000"&amp;$C353,6))</f>
        <v/>
      </c>
      <c r="E353">
        <f>IF(Entry!$B356="","",IF(ISNUMBER(Entry!$B356),IF(AND(Entry!$B356&gt;=10000101,Entry!$B356&lt;=99991231),INT(Entry!$B356/10000)&amp;"/"&amp;RIGHT("00"&amp;INT(MOD(Entry!$B356,10000)/100),2)&amp;"/"&amp;RIGHT("00"&amp;MOD(Entry!$B356,100),2),"نامعتبر"),IF(LEN(Entry!$B356)=10,Entry!$B356,"نامعتبر")))</f>
        <v/>
      </c>
      <c r="F353">
        <f>IF(Entry!$B356="","",IF(Entry!$C356="","0000",IF(AND(ISNUMBER(Entry!$C356),Entry!$C356&gt;=0,Entry!$C356&lt;1),RIGHT("00"&amp;HOUR(Entry!$C356),2)&amp;RIGHT("00"&amp;MINUTE(Entry!$C356),2),IFERROR(RIGHT("00"&amp;VALUE(LEFT(Entry!$C356,FIND(":",Entry!$C356)-1)),2)&amp;RIGHT("00"&amp;VALUE(MID(Entry!$C356,FIND(":",Entry!$C356)+1,2)),2),"0000"))))</f>
        <v/>
      </c>
      <c r="G353">
        <f>IF($A353="","",Entry!$G356)</f>
        <v/>
      </c>
      <c r="H353">
        <f>IF($A353="","",IF(Entry!$H356="",0,Entry!$H356))</f>
        <v/>
      </c>
      <c r="I353">
        <f>IF($A353="","",IF(Entry!$I356="",0,Entry!$I356))</f>
        <v/>
      </c>
      <c r="J353">
        <f>IF($A353="","",ROUND($H353*$I353,0))</f>
        <v/>
      </c>
      <c r="K353">
        <f>IF($A353="","",Entry!$D356)</f>
        <v/>
      </c>
      <c r="L353">
        <f>IF($A353="","",Entry!$L356)</f>
        <v/>
      </c>
      <c r="N353">
        <f>IF(OR(Sync!$M353="",$Q353="",$Q353="نامعتبر"),"",Sync!$M353)</f>
        <v/>
      </c>
      <c r="O353">
        <f>IF($N353="","",$Q353)</f>
        <v/>
      </c>
      <c r="P353">
        <f>IF($N353="","",LEFT($Q353,4)&amp;MID($Q353,6,2)&amp;RIGHT($Q353,2)&amp;IF(Sync!$K353="","0000",IF(AND(ISNUMBER(Sync!$K353),Sync!$K353&gt;=0,Sync!$K353&lt;1),RIGHT("00"&amp;HOUR(Sync!$K353),2)&amp;RIGHT("00"&amp;MINUTE(Sync!$K353),2),IFERROR(RIGHT("00"&amp;VALUE(LEFT(Sync!$K353,FIND(":",Sync!$K353)-1)),2)&amp;RIGHT("00"&amp;VALUE(MID(Sync!$K353,FIND(":",Sync!$K353)+1,2)),2),"0000")))&amp;"|"&amp;"2"&amp;RIGHT("00000"&amp;348,5))</f>
        <v/>
      </c>
      <c r="Q353">
        <f>IF(Sync!$J353="","",IF(ISNUMBER(Sync!$J353),IF(AND(Sync!$J353&gt;=10000101,Sync!$J353&lt;=99991231),INT(Sync!$J353/10000)&amp;"/"&amp;RIGHT("00"&amp;INT(MOD(Sync!$J353,10000)/100),2)&amp;"/"&amp;RIGHT("00"&amp;MOD(Sync!$J353,100),2),"نامعتبر"),IF(LEN(Sync!$J353)=10,Sync!$J353,"نامعتبر")))</f>
        <v/>
      </c>
      <c r="R353">
        <f>IF($P353="","",COUNTIFS($N$6:$N$2005,$N353,$P$6:$P$2005,"&lt;"&amp;$P353)+COUNTIFS($A$6:$A$1005,$N353,$B$6:$B$1005,"&lt;"&amp;$P353)+1)</f>
        <v/>
      </c>
      <c r="S353">
        <f>IF($N353="","",$N353&amp;"|"&amp;RIGHT("000000"&amp;$R353,6))</f>
        <v/>
      </c>
      <c r="T353">
        <f>IF($N353="","",IF(Sync!$N353="",0,Sync!$N353))</f>
        <v/>
      </c>
      <c r="U353">
        <f>IF($N353="","",IF(Sync!$O353="",0,Sync!$O353))</f>
        <v/>
      </c>
      <c r="V353">
        <f>IF($N353="","",Sync!$L353)</f>
        <v/>
      </c>
      <c r="W353">
        <f>IF($N353="","",Sync!$P353)</f>
        <v/>
      </c>
      <c r="AA353">
        <f>IF($A353="","",IF(COUNTIF($A$6:$A353,$A353)=1,1,0))</f>
        <v/>
      </c>
      <c r="AB353">
        <f>SUM($AA$6:$AA353)</f>
        <v/>
      </c>
      <c r="AC353">
        <f>IFERROR(INDEX($A$6:$A$1005,MATCH(ROW()-5,$AB$6:$AB$1005,0)),"")</f>
        <v/>
      </c>
    </row>
    <row r="354">
      <c r="A354">
        <f>IF(OR(Entry!$B357="",Entry!$E357="",$E354="نامعتبر"),"",Entry!$E357)</f>
        <v/>
      </c>
      <c r="B354">
        <f>IF($A354="","",LEFT($E354,4)&amp;MID($E354,6,2)&amp;RIGHT($E354,2)&amp;$F354&amp;"|"&amp;"1"&amp;RIGHT("00000"&amp;349,5))</f>
        <v/>
      </c>
      <c r="C354">
        <f>IF($B354="","",COUNTIFS($A$6:$A$1005,$A354,$B$6:$B$1005,"&lt;"&amp;$B354)+COUNTIFS($N$6:$N$2005,$A354,$P$6:$P$2005,"&lt;"&amp;$B354)+1)</f>
        <v/>
      </c>
      <c r="D354">
        <f>IF($C354="","",$A354&amp;"|"&amp;RIGHT("000000"&amp;$C354,6))</f>
        <v/>
      </c>
      <c r="E354">
        <f>IF(Entry!$B357="","",IF(ISNUMBER(Entry!$B357),IF(AND(Entry!$B357&gt;=10000101,Entry!$B357&lt;=99991231),INT(Entry!$B357/10000)&amp;"/"&amp;RIGHT("00"&amp;INT(MOD(Entry!$B357,10000)/100),2)&amp;"/"&amp;RIGHT("00"&amp;MOD(Entry!$B357,100),2),"نامعتبر"),IF(LEN(Entry!$B357)=10,Entry!$B357,"نامعتبر")))</f>
        <v/>
      </c>
      <c r="F354">
        <f>IF(Entry!$B357="","",IF(Entry!$C357="","0000",IF(AND(ISNUMBER(Entry!$C357),Entry!$C357&gt;=0,Entry!$C357&lt;1),RIGHT("00"&amp;HOUR(Entry!$C357),2)&amp;RIGHT("00"&amp;MINUTE(Entry!$C357),2),IFERROR(RIGHT("00"&amp;VALUE(LEFT(Entry!$C357,FIND(":",Entry!$C357)-1)),2)&amp;RIGHT("00"&amp;VALUE(MID(Entry!$C357,FIND(":",Entry!$C357)+1,2)),2),"0000"))))</f>
        <v/>
      </c>
      <c r="G354">
        <f>IF($A354="","",Entry!$G357)</f>
        <v/>
      </c>
      <c r="H354">
        <f>IF($A354="","",IF(Entry!$H357="",0,Entry!$H357))</f>
        <v/>
      </c>
      <c r="I354">
        <f>IF($A354="","",IF(Entry!$I357="",0,Entry!$I357))</f>
        <v/>
      </c>
      <c r="J354">
        <f>IF($A354="","",ROUND($H354*$I354,0))</f>
        <v/>
      </c>
      <c r="K354">
        <f>IF($A354="","",Entry!$D357)</f>
        <v/>
      </c>
      <c r="L354">
        <f>IF($A354="","",Entry!$L357)</f>
        <v/>
      </c>
      <c r="N354">
        <f>IF(OR(Sync!$M354="",$Q354="",$Q354="نامعتبر"),"",Sync!$M354)</f>
        <v/>
      </c>
      <c r="O354">
        <f>IF($N354="","",$Q354)</f>
        <v/>
      </c>
      <c r="P354">
        <f>IF($N354="","",LEFT($Q354,4)&amp;MID($Q354,6,2)&amp;RIGHT($Q354,2)&amp;IF(Sync!$K354="","0000",IF(AND(ISNUMBER(Sync!$K354),Sync!$K354&gt;=0,Sync!$K354&lt;1),RIGHT("00"&amp;HOUR(Sync!$K354),2)&amp;RIGHT("00"&amp;MINUTE(Sync!$K354),2),IFERROR(RIGHT("00"&amp;VALUE(LEFT(Sync!$K354,FIND(":",Sync!$K354)-1)),2)&amp;RIGHT("00"&amp;VALUE(MID(Sync!$K354,FIND(":",Sync!$K354)+1,2)),2),"0000")))&amp;"|"&amp;"2"&amp;RIGHT("00000"&amp;349,5))</f>
        <v/>
      </c>
      <c r="Q354">
        <f>IF(Sync!$J354="","",IF(ISNUMBER(Sync!$J354),IF(AND(Sync!$J354&gt;=10000101,Sync!$J354&lt;=99991231),INT(Sync!$J354/10000)&amp;"/"&amp;RIGHT("00"&amp;INT(MOD(Sync!$J354,10000)/100),2)&amp;"/"&amp;RIGHT("00"&amp;MOD(Sync!$J354,100),2),"نامعتبر"),IF(LEN(Sync!$J354)=10,Sync!$J354,"نامعتبر")))</f>
        <v/>
      </c>
      <c r="R354">
        <f>IF($P354="","",COUNTIFS($N$6:$N$2005,$N354,$P$6:$P$2005,"&lt;"&amp;$P354)+COUNTIFS($A$6:$A$1005,$N354,$B$6:$B$1005,"&lt;"&amp;$P354)+1)</f>
        <v/>
      </c>
      <c r="S354">
        <f>IF($N354="","",$N354&amp;"|"&amp;RIGHT("000000"&amp;$R354,6))</f>
        <v/>
      </c>
      <c r="T354">
        <f>IF($N354="","",IF(Sync!$N354="",0,Sync!$N354))</f>
        <v/>
      </c>
      <c r="U354">
        <f>IF($N354="","",IF(Sync!$O354="",0,Sync!$O354))</f>
        <v/>
      </c>
      <c r="V354">
        <f>IF($N354="","",Sync!$L354)</f>
        <v/>
      </c>
      <c r="W354">
        <f>IF($N354="","",Sync!$P354)</f>
        <v/>
      </c>
      <c r="AA354">
        <f>IF($A354="","",IF(COUNTIF($A$6:$A354,$A354)=1,1,0))</f>
        <v/>
      </c>
      <c r="AB354">
        <f>SUM($AA$6:$AA354)</f>
        <v/>
      </c>
      <c r="AC354">
        <f>IFERROR(INDEX($A$6:$A$1005,MATCH(ROW()-5,$AB$6:$AB$1005,0)),"")</f>
        <v/>
      </c>
    </row>
    <row r="355">
      <c r="A355">
        <f>IF(OR(Entry!$B358="",Entry!$E358="",$E355="نامعتبر"),"",Entry!$E358)</f>
        <v/>
      </c>
      <c r="B355">
        <f>IF($A355="","",LEFT($E355,4)&amp;MID($E355,6,2)&amp;RIGHT($E355,2)&amp;$F355&amp;"|"&amp;"1"&amp;RIGHT("00000"&amp;350,5))</f>
        <v/>
      </c>
      <c r="C355">
        <f>IF($B355="","",COUNTIFS($A$6:$A$1005,$A355,$B$6:$B$1005,"&lt;"&amp;$B355)+COUNTIFS($N$6:$N$2005,$A355,$P$6:$P$2005,"&lt;"&amp;$B355)+1)</f>
        <v/>
      </c>
      <c r="D355">
        <f>IF($C355="","",$A355&amp;"|"&amp;RIGHT("000000"&amp;$C355,6))</f>
        <v/>
      </c>
      <c r="E355">
        <f>IF(Entry!$B358="","",IF(ISNUMBER(Entry!$B358),IF(AND(Entry!$B358&gt;=10000101,Entry!$B358&lt;=99991231),INT(Entry!$B358/10000)&amp;"/"&amp;RIGHT("00"&amp;INT(MOD(Entry!$B358,10000)/100),2)&amp;"/"&amp;RIGHT("00"&amp;MOD(Entry!$B358,100),2),"نامعتبر"),IF(LEN(Entry!$B358)=10,Entry!$B358,"نامعتبر")))</f>
        <v/>
      </c>
      <c r="F355">
        <f>IF(Entry!$B358="","",IF(Entry!$C358="","0000",IF(AND(ISNUMBER(Entry!$C358),Entry!$C358&gt;=0,Entry!$C358&lt;1),RIGHT("00"&amp;HOUR(Entry!$C358),2)&amp;RIGHT("00"&amp;MINUTE(Entry!$C358),2),IFERROR(RIGHT("00"&amp;VALUE(LEFT(Entry!$C358,FIND(":",Entry!$C358)-1)),2)&amp;RIGHT("00"&amp;VALUE(MID(Entry!$C358,FIND(":",Entry!$C358)+1,2)),2),"0000"))))</f>
        <v/>
      </c>
      <c r="G355">
        <f>IF($A355="","",Entry!$G358)</f>
        <v/>
      </c>
      <c r="H355">
        <f>IF($A355="","",IF(Entry!$H358="",0,Entry!$H358))</f>
        <v/>
      </c>
      <c r="I355">
        <f>IF($A355="","",IF(Entry!$I358="",0,Entry!$I358))</f>
        <v/>
      </c>
      <c r="J355">
        <f>IF($A355="","",ROUND($H355*$I355,0))</f>
        <v/>
      </c>
      <c r="K355">
        <f>IF($A355="","",Entry!$D358)</f>
        <v/>
      </c>
      <c r="L355">
        <f>IF($A355="","",Entry!$L358)</f>
        <v/>
      </c>
      <c r="N355">
        <f>IF(OR(Sync!$M355="",$Q355="",$Q355="نامعتبر"),"",Sync!$M355)</f>
        <v/>
      </c>
      <c r="O355">
        <f>IF($N355="","",$Q355)</f>
        <v/>
      </c>
      <c r="P355">
        <f>IF($N355="","",LEFT($Q355,4)&amp;MID($Q355,6,2)&amp;RIGHT($Q355,2)&amp;IF(Sync!$K355="","0000",IF(AND(ISNUMBER(Sync!$K355),Sync!$K355&gt;=0,Sync!$K355&lt;1),RIGHT("00"&amp;HOUR(Sync!$K355),2)&amp;RIGHT("00"&amp;MINUTE(Sync!$K355),2),IFERROR(RIGHT("00"&amp;VALUE(LEFT(Sync!$K355,FIND(":",Sync!$K355)-1)),2)&amp;RIGHT("00"&amp;VALUE(MID(Sync!$K355,FIND(":",Sync!$K355)+1,2)),2),"0000")))&amp;"|"&amp;"2"&amp;RIGHT("00000"&amp;350,5))</f>
        <v/>
      </c>
      <c r="Q355">
        <f>IF(Sync!$J355="","",IF(ISNUMBER(Sync!$J355),IF(AND(Sync!$J355&gt;=10000101,Sync!$J355&lt;=99991231),INT(Sync!$J355/10000)&amp;"/"&amp;RIGHT("00"&amp;INT(MOD(Sync!$J355,10000)/100),2)&amp;"/"&amp;RIGHT("00"&amp;MOD(Sync!$J355,100),2),"نامعتبر"),IF(LEN(Sync!$J355)=10,Sync!$J355,"نامعتبر")))</f>
        <v/>
      </c>
      <c r="R355">
        <f>IF($P355="","",COUNTIFS($N$6:$N$2005,$N355,$P$6:$P$2005,"&lt;"&amp;$P355)+COUNTIFS($A$6:$A$1005,$N355,$B$6:$B$1005,"&lt;"&amp;$P355)+1)</f>
        <v/>
      </c>
      <c r="S355">
        <f>IF($N355="","",$N355&amp;"|"&amp;RIGHT("000000"&amp;$R355,6))</f>
        <v/>
      </c>
      <c r="T355">
        <f>IF($N355="","",IF(Sync!$N355="",0,Sync!$N355))</f>
        <v/>
      </c>
      <c r="U355">
        <f>IF($N355="","",IF(Sync!$O355="",0,Sync!$O355))</f>
        <v/>
      </c>
      <c r="V355">
        <f>IF($N355="","",Sync!$L355)</f>
        <v/>
      </c>
      <c r="W355">
        <f>IF($N355="","",Sync!$P355)</f>
        <v/>
      </c>
      <c r="AA355">
        <f>IF($A355="","",IF(COUNTIF($A$6:$A355,$A355)=1,1,0))</f>
        <v/>
      </c>
      <c r="AB355">
        <f>SUM($AA$6:$AA355)</f>
        <v/>
      </c>
      <c r="AC355">
        <f>IFERROR(INDEX($A$6:$A$1005,MATCH(ROW()-5,$AB$6:$AB$1005,0)),"")</f>
        <v/>
      </c>
    </row>
    <row r="356">
      <c r="A356">
        <f>IF(OR(Entry!$B359="",Entry!$E359="",$E356="نامعتبر"),"",Entry!$E359)</f>
        <v/>
      </c>
      <c r="B356">
        <f>IF($A356="","",LEFT($E356,4)&amp;MID($E356,6,2)&amp;RIGHT($E356,2)&amp;$F356&amp;"|"&amp;"1"&amp;RIGHT("00000"&amp;351,5))</f>
        <v/>
      </c>
      <c r="C356">
        <f>IF($B356="","",COUNTIFS($A$6:$A$1005,$A356,$B$6:$B$1005,"&lt;"&amp;$B356)+COUNTIFS($N$6:$N$2005,$A356,$P$6:$P$2005,"&lt;"&amp;$B356)+1)</f>
        <v/>
      </c>
      <c r="D356">
        <f>IF($C356="","",$A356&amp;"|"&amp;RIGHT("000000"&amp;$C356,6))</f>
        <v/>
      </c>
      <c r="E356">
        <f>IF(Entry!$B359="","",IF(ISNUMBER(Entry!$B359),IF(AND(Entry!$B359&gt;=10000101,Entry!$B359&lt;=99991231),INT(Entry!$B359/10000)&amp;"/"&amp;RIGHT("00"&amp;INT(MOD(Entry!$B359,10000)/100),2)&amp;"/"&amp;RIGHT("00"&amp;MOD(Entry!$B359,100),2),"نامعتبر"),IF(LEN(Entry!$B359)=10,Entry!$B359,"نامعتبر")))</f>
        <v/>
      </c>
      <c r="F356">
        <f>IF(Entry!$B359="","",IF(Entry!$C359="","0000",IF(AND(ISNUMBER(Entry!$C359),Entry!$C359&gt;=0,Entry!$C359&lt;1),RIGHT("00"&amp;HOUR(Entry!$C359),2)&amp;RIGHT("00"&amp;MINUTE(Entry!$C359),2),IFERROR(RIGHT("00"&amp;VALUE(LEFT(Entry!$C359,FIND(":",Entry!$C359)-1)),2)&amp;RIGHT("00"&amp;VALUE(MID(Entry!$C359,FIND(":",Entry!$C359)+1,2)),2),"0000"))))</f>
        <v/>
      </c>
      <c r="G356">
        <f>IF($A356="","",Entry!$G359)</f>
        <v/>
      </c>
      <c r="H356">
        <f>IF($A356="","",IF(Entry!$H359="",0,Entry!$H359))</f>
        <v/>
      </c>
      <c r="I356">
        <f>IF($A356="","",IF(Entry!$I359="",0,Entry!$I359))</f>
        <v/>
      </c>
      <c r="J356">
        <f>IF($A356="","",ROUND($H356*$I356,0))</f>
        <v/>
      </c>
      <c r="K356">
        <f>IF($A356="","",Entry!$D359)</f>
        <v/>
      </c>
      <c r="L356">
        <f>IF($A356="","",Entry!$L359)</f>
        <v/>
      </c>
      <c r="N356">
        <f>IF(OR(Sync!$M356="",$Q356="",$Q356="نامعتبر"),"",Sync!$M356)</f>
        <v/>
      </c>
      <c r="O356">
        <f>IF($N356="","",$Q356)</f>
        <v/>
      </c>
      <c r="P356">
        <f>IF($N356="","",LEFT($Q356,4)&amp;MID($Q356,6,2)&amp;RIGHT($Q356,2)&amp;IF(Sync!$K356="","0000",IF(AND(ISNUMBER(Sync!$K356),Sync!$K356&gt;=0,Sync!$K356&lt;1),RIGHT("00"&amp;HOUR(Sync!$K356),2)&amp;RIGHT("00"&amp;MINUTE(Sync!$K356),2),IFERROR(RIGHT("00"&amp;VALUE(LEFT(Sync!$K356,FIND(":",Sync!$K356)-1)),2)&amp;RIGHT("00"&amp;VALUE(MID(Sync!$K356,FIND(":",Sync!$K356)+1,2)),2),"0000")))&amp;"|"&amp;"2"&amp;RIGHT("00000"&amp;351,5))</f>
        <v/>
      </c>
      <c r="Q356">
        <f>IF(Sync!$J356="","",IF(ISNUMBER(Sync!$J356),IF(AND(Sync!$J356&gt;=10000101,Sync!$J356&lt;=99991231),INT(Sync!$J356/10000)&amp;"/"&amp;RIGHT("00"&amp;INT(MOD(Sync!$J356,10000)/100),2)&amp;"/"&amp;RIGHT("00"&amp;MOD(Sync!$J356,100),2),"نامعتبر"),IF(LEN(Sync!$J356)=10,Sync!$J356,"نامعتبر")))</f>
        <v/>
      </c>
      <c r="R356">
        <f>IF($P356="","",COUNTIFS($N$6:$N$2005,$N356,$P$6:$P$2005,"&lt;"&amp;$P356)+COUNTIFS($A$6:$A$1005,$N356,$B$6:$B$1005,"&lt;"&amp;$P356)+1)</f>
        <v/>
      </c>
      <c r="S356">
        <f>IF($N356="","",$N356&amp;"|"&amp;RIGHT("000000"&amp;$R356,6))</f>
        <v/>
      </c>
      <c r="T356">
        <f>IF($N356="","",IF(Sync!$N356="",0,Sync!$N356))</f>
        <v/>
      </c>
      <c r="U356">
        <f>IF($N356="","",IF(Sync!$O356="",0,Sync!$O356))</f>
        <v/>
      </c>
      <c r="V356">
        <f>IF($N356="","",Sync!$L356)</f>
        <v/>
      </c>
      <c r="W356">
        <f>IF($N356="","",Sync!$P356)</f>
        <v/>
      </c>
      <c r="AA356">
        <f>IF($A356="","",IF(COUNTIF($A$6:$A356,$A356)=1,1,0))</f>
        <v/>
      </c>
      <c r="AB356">
        <f>SUM($AA$6:$AA356)</f>
        <v/>
      </c>
      <c r="AC356">
        <f>IFERROR(INDEX($A$6:$A$1005,MATCH(ROW()-5,$AB$6:$AB$1005,0)),"")</f>
        <v/>
      </c>
    </row>
    <row r="357">
      <c r="A357">
        <f>IF(OR(Entry!$B360="",Entry!$E360="",$E357="نامعتبر"),"",Entry!$E360)</f>
        <v/>
      </c>
      <c r="B357">
        <f>IF($A357="","",LEFT($E357,4)&amp;MID($E357,6,2)&amp;RIGHT($E357,2)&amp;$F357&amp;"|"&amp;"1"&amp;RIGHT("00000"&amp;352,5))</f>
        <v/>
      </c>
      <c r="C357">
        <f>IF($B357="","",COUNTIFS($A$6:$A$1005,$A357,$B$6:$B$1005,"&lt;"&amp;$B357)+COUNTIFS($N$6:$N$2005,$A357,$P$6:$P$2005,"&lt;"&amp;$B357)+1)</f>
        <v/>
      </c>
      <c r="D357">
        <f>IF($C357="","",$A357&amp;"|"&amp;RIGHT("000000"&amp;$C357,6))</f>
        <v/>
      </c>
      <c r="E357">
        <f>IF(Entry!$B360="","",IF(ISNUMBER(Entry!$B360),IF(AND(Entry!$B360&gt;=10000101,Entry!$B360&lt;=99991231),INT(Entry!$B360/10000)&amp;"/"&amp;RIGHT("00"&amp;INT(MOD(Entry!$B360,10000)/100),2)&amp;"/"&amp;RIGHT("00"&amp;MOD(Entry!$B360,100),2),"نامعتبر"),IF(LEN(Entry!$B360)=10,Entry!$B360,"نامعتبر")))</f>
        <v/>
      </c>
      <c r="F357">
        <f>IF(Entry!$B360="","",IF(Entry!$C360="","0000",IF(AND(ISNUMBER(Entry!$C360),Entry!$C360&gt;=0,Entry!$C360&lt;1),RIGHT("00"&amp;HOUR(Entry!$C360),2)&amp;RIGHT("00"&amp;MINUTE(Entry!$C360),2),IFERROR(RIGHT("00"&amp;VALUE(LEFT(Entry!$C360,FIND(":",Entry!$C360)-1)),2)&amp;RIGHT("00"&amp;VALUE(MID(Entry!$C360,FIND(":",Entry!$C360)+1,2)),2),"0000"))))</f>
        <v/>
      </c>
      <c r="G357">
        <f>IF($A357="","",Entry!$G360)</f>
        <v/>
      </c>
      <c r="H357">
        <f>IF($A357="","",IF(Entry!$H360="",0,Entry!$H360))</f>
        <v/>
      </c>
      <c r="I357">
        <f>IF($A357="","",IF(Entry!$I360="",0,Entry!$I360))</f>
        <v/>
      </c>
      <c r="J357">
        <f>IF($A357="","",ROUND($H357*$I357,0))</f>
        <v/>
      </c>
      <c r="K357">
        <f>IF($A357="","",Entry!$D360)</f>
        <v/>
      </c>
      <c r="L357">
        <f>IF($A357="","",Entry!$L360)</f>
        <v/>
      </c>
      <c r="N357">
        <f>IF(OR(Sync!$M357="",$Q357="",$Q357="نامعتبر"),"",Sync!$M357)</f>
        <v/>
      </c>
      <c r="O357">
        <f>IF($N357="","",$Q357)</f>
        <v/>
      </c>
      <c r="P357">
        <f>IF($N357="","",LEFT($Q357,4)&amp;MID($Q357,6,2)&amp;RIGHT($Q357,2)&amp;IF(Sync!$K357="","0000",IF(AND(ISNUMBER(Sync!$K357),Sync!$K357&gt;=0,Sync!$K357&lt;1),RIGHT("00"&amp;HOUR(Sync!$K357),2)&amp;RIGHT("00"&amp;MINUTE(Sync!$K357),2),IFERROR(RIGHT("00"&amp;VALUE(LEFT(Sync!$K357,FIND(":",Sync!$K357)-1)),2)&amp;RIGHT("00"&amp;VALUE(MID(Sync!$K357,FIND(":",Sync!$K357)+1,2)),2),"0000")))&amp;"|"&amp;"2"&amp;RIGHT("00000"&amp;352,5))</f>
        <v/>
      </c>
      <c r="Q357">
        <f>IF(Sync!$J357="","",IF(ISNUMBER(Sync!$J357),IF(AND(Sync!$J357&gt;=10000101,Sync!$J357&lt;=99991231),INT(Sync!$J357/10000)&amp;"/"&amp;RIGHT("00"&amp;INT(MOD(Sync!$J357,10000)/100),2)&amp;"/"&amp;RIGHT("00"&amp;MOD(Sync!$J357,100),2),"نامعتبر"),IF(LEN(Sync!$J357)=10,Sync!$J357,"نامعتبر")))</f>
        <v/>
      </c>
      <c r="R357">
        <f>IF($P357="","",COUNTIFS($N$6:$N$2005,$N357,$P$6:$P$2005,"&lt;"&amp;$P357)+COUNTIFS($A$6:$A$1005,$N357,$B$6:$B$1005,"&lt;"&amp;$P357)+1)</f>
        <v/>
      </c>
      <c r="S357">
        <f>IF($N357="","",$N357&amp;"|"&amp;RIGHT("000000"&amp;$R357,6))</f>
        <v/>
      </c>
      <c r="T357">
        <f>IF($N357="","",IF(Sync!$N357="",0,Sync!$N357))</f>
        <v/>
      </c>
      <c r="U357">
        <f>IF($N357="","",IF(Sync!$O357="",0,Sync!$O357))</f>
        <v/>
      </c>
      <c r="V357">
        <f>IF($N357="","",Sync!$L357)</f>
        <v/>
      </c>
      <c r="W357">
        <f>IF($N357="","",Sync!$P357)</f>
        <v/>
      </c>
      <c r="AA357">
        <f>IF($A357="","",IF(COUNTIF($A$6:$A357,$A357)=1,1,0))</f>
        <v/>
      </c>
      <c r="AB357">
        <f>SUM($AA$6:$AA357)</f>
        <v/>
      </c>
      <c r="AC357">
        <f>IFERROR(INDEX($A$6:$A$1005,MATCH(ROW()-5,$AB$6:$AB$1005,0)),"")</f>
        <v/>
      </c>
    </row>
    <row r="358">
      <c r="A358">
        <f>IF(OR(Entry!$B361="",Entry!$E361="",$E358="نامعتبر"),"",Entry!$E361)</f>
        <v/>
      </c>
      <c r="B358">
        <f>IF($A358="","",LEFT($E358,4)&amp;MID($E358,6,2)&amp;RIGHT($E358,2)&amp;$F358&amp;"|"&amp;"1"&amp;RIGHT("00000"&amp;353,5))</f>
        <v/>
      </c>
      <c r="C358">
        <f>IF($B358="","",COUNTIFS($A$6:$A$1005,$A358,$B$6:$B$1005,"&lt;"&amp;$B358)+COUNTIFS($N$6:$N$2005,$A358,$P$6:$P$2005,"&lt;"&amp;$B358)+1)</f>
        <v/>
      </c>
      <c r="D358">
        <f>IF($C358="","",$A358&amp;"|"&amp;RIGHT("000000"&amp;$C358,6))</f>
        <v/>
      </c>
      <c r="E358">
        <f>IF(Entry!$B361="","",IF(ISNUMBER(Entry!$B361),IF(AND(Entry!$B361&gt;=10000101,Entry!$B361&lt;=99991231),INT(Entry!$B361/10000)&amp;"/"&amp;RIGHT("00"&amp;INT(MOD(Entry!$B361,10000)/100),2)&amp;"/"&amp;RIGHT("00"&amp;MOD(Entry!$B361,100),2),"نامعتبر"),IF(LEN(Entry!$B361)=10,Entry!$B361,"نامعتبر")))</f>
        <v/>
      </c>
      <c r="F358">
        <f>IF(Entry!$B361="","",IF(Entry!$C361="","0000",IF(AND(ISNUMBER(Entry!$C361),Entry!$C361&gt;=0,Entry!$C361&lt;1),RIGHT("00"&amp;HOUR(Entry!$C361),2)&amp;RIGHT("00"&amp;MINUTE(Entry!$C361),2),IFERROR(RIGHT("00"&amp;VALUE(LEFT(Entry!$C361,FIND(":",Entry!$C361)-1)),2)&amp;RIGHT("00"&amp;VALUE(MID(Entry!$C361,FIND(":",Entry!$C361)+1,2)),2),"0000"))))</f>
        <v/>
      </c>
      <c r="G358">
        <f>IF($A358="","",Entry!$G361)</f>
        <v/>
      </c>
      <c r="H358">
        <f>IF($A358="","",IF(Entry!$H361="",0,Entry!$H361))</f>
        <v/>
      </c>
      <c r="I358">
        <f>IF($A358="","",IF(Entry!$I361="",0,Entry!$I361))</f>
        <v/>
      </c>
      <c r="J358">
        <f>IF($A358="","",ROUND($H358*$I358,0))</f>
        <v/>
      </c>
      <c r="K358">
        <f>IF($A358="","",Entry!$D361)</f>
        <v/>
      </c>
      <c r="L358">
        <f>IF($A358="","",Entry!$L361)</f>
        <v/>
      </c>
      <c r="N358">
        <f>IF(OR(Sync!$M358="",$Q358="",$Q358="نامعتبر"),"",Sync!$M358)</f>
        <v/>
      </c>
      <c r="O358">
        <f>IF($N358="","",$Q358)</f>
        <v/>
      </c>
      <c r="P358">
        <f>IF($N358="","",LEFT($Q358,4)&amp;MID($Q358,6,2)&amp;RIGHT($Q358,2)&amp;IF(Sync!$K358="","0000",IF(AND(ISNUMBER(Sync!$K358),Sync!$K358&gt;=0,Sync!$K358&lt;1),RIGHT("00"&amp;HOUR(Sync!$K358),2)&amp;RIGHT("00"&amp;MINUTE(Sync!$K358),2),IFERROR(RIGHT("00"&amp;VALUE(LEFT(Sync!$K358,FIND(":",Sync!$K358)-1)),2)&amp;RIGHT("00"&amp;VALUE(MID(Sync!$K358,FIND(":",Sync!$K358)+1,2)),2),"0000")))&amp;"|"&amp;"2"&amp;RIGHT("00000"&amp;353,5))</f>
        <v/>
      </c>
      <c r="Q358">
        <f>IF(Sync!$J358="","",IF(ISNUMBER(Sync!$J358),IF(AND(Sync!$J358&gt;=10000101,Sync!$J358&lt;=99991231),INT(Sync!$J358/10000)&amp;"/"&amp;RIGHT("00"&amp;INT(MOD(Sync!$J358,10000)/100),2)&amp;"/"&amp;RIGHT("00"&amp;MOD(Sync!$J358,100),2),"نامعتبر"),IF(LEN(Sync!$J358)=10,Sync!$J358,"نامعتبر")))</f>
        <v/>
      </c>
      <c r="R358">
        <f>IF($P358="","",COUNTIFS($N$6:$N$2005,$N358,$P$6:$P$2005,"&lt;"&amp;$P358)+COUNTIFS($A$6:$A$1005,$N358,$B$6:$B$1005,"&lt;"&amp;$P358)+1)</f>
        <v/>
      </c>
      <c r="S358">
        <f>IF($N358="","",$N358&amp;"|"&amp;RIGHT("000000"&amp;$R358,6))</f>
        <v/>
      </c>
      <c r="T358">
        <f>IF($N358="","",IF(Sync!$N358="",0,Sync!$N358))</f>
        <v/>
      </c>
      <c r="U358">
        <f>IF($N358="","",IF(Sync!$O358="",0,Sync!$O358))</f>
        <v/>
      </c>
      <c r="V358">
        <f>IF($N358="","",Sync!$L358)</f>
        <v/>
      </c>
      <c r="W358">
        <f>IF($N358="","",Sync!$P358)</f>
        <v/>
      </c>
      <c r="AA358">
        <f>IF($A358="","",IF(COUNTIF($A$6:$A358,$A358)=1,1,0))</f>
        <v/>
      </c>
      <c r="AB358">
        <f>SUM($AA$6:$AA358)</f>
        <v/>
      </c>
      <c r="AC358">
        <f>IFERROR(INDEX($A$6:$A$1005,MATCH(ROW()-5,$AB$6:$AB$1005,0)),"")</f>
        <v/>
      </c>
    </row>
    <row r="359">
      <c r="A359">
        <f>IF(OR(Entry!$B362="",Entry!$E362="",$E359="نامعتبر"),"",Entry!$E362)</f>
        <v/>
      </c>
      <c r="B359">
        <f>IF($A359="","",LEFT($E359,4)&amp;MID($E359,6,2)&amp;RIGHT($E359,2)&amp;$F359&amp;"|"&amp;"1"&amp;RIGHT("00000"&amp;354,5))</f>
        <v/>
      </c>
      <c r="C359">
        <f>IF($B359="","",COUNTIFS($A$6:$A$1005,$A359,$B$6:$B$1005,"&lt;"&amp;$B359)+COUNTIFS($N$6:$N$2005,$A359,$P$6:$P$2005,"&lt;"&amp;$B359)+1)</f>
        <v/>
      </c>
      <c r="D359">
        <f>IF($C359="","",$A359&amp;"|"&amp;RIGHT("000000"&amp;$C359,6))</f>
        <v/>
      </c>
      <c r="E359">
        <f>IF(Entry!$B362="","",IF(ISNUMBER(Entry!$B362),IF(AND(Entry!$B362&gt;=10000101,Entry!$B362&lt;=99991231),INT(Entry!$B362/10000)&amp;"/"&amp;RIGHT("00"&amp;INT(MOD(Entry!$B362,10000)/100),2)&amp;"/"&amp;RIGHT("00"&amp;MOD(Entry!$B362,100),2),"نامعتبر"),IF(LEN(Entry!$B362)=10,Entry!$B362,"نامعتبر")))</f>
        <v/>
      </c>
      <c r="F359">
        <f>IF(Entry!$B362="","",IF(Entry!$C362="","0000",IF(AND(ISNUMBER(Entry!$C362),Entry!$C362&gt;=0,Entry!$C362&lt;1),RIGHT("00"&amp;HOUR(Entry!$C362),2)&amp;RIGHT("00"&amp;MINUTE(Entry!$C362),2),IFERROR(RIGHT("00"&amp;VALUE(LEFT(Entry!$C362,FIND(":",Entry!$C362)-1)),2)&amp;RIGHT("00"&amp;VALUE(MID(Entry!$C362,FIND(":",Entry!$C362)+1,2)),2),"0000"))))</f>
        <v/>
      </c>
      <c r="G359">
        <f>IF($A359="","",Entry!$G362)</f>
        <v/>
      </c>
      <c r="H359">
        <f>IF($A359="","",IF(Entry!$H362="",0,Entry!$H362))</f>
        <v/>
      </c>
      <c r="I359">
        <f>IF($A359="","",IF(Entry!$I362="",0,Entry!$I362))</f>
        <v/>
      </c>
      <c r="J359">
        <f>IF($A359="","",ROUND($H359*$I359,0))</f>
        <v/>
      </c>
      <c r="K359">
        <f>IF($A359="","",Entry!$D362)</f>
        <v/>
      </c>
      <c r="L359">
        <f>IF($A359="","",Entry!$L362)</f>
        <v/>
      </c>
      <c r="N359">
        <f>IF(OR(Sync!$M359="",$Q359="",$Q359="نامعتبر"),"",Sync!$M359)</f>
        <v/>
      </c>
      <c r="O359">
        <f>IF($N359="","",$Q359)</f>
        <v/>
      </c>
      <c r="P359">
        <f>IF($N359="","",LEFT($Q359,4)&amp;MID($Q359,6,2)&amp;RIGHT($Q359,2)&amp;IF(Sync!$K359="","0000",IF(AND(ISNUMBER(Sync!$K359),Sync!$K359&gt;=0,Sync!$K359&lt;1),RIGHT("00"&amp;HOUR(Sync!$K359),2)&amp;RIGHT("00"&amp;MINUTE(Sync!$K359),2),IFERROR(RIGHT("00"&amp;VALUE(LEFT(Sync!$K359,FIND(":",Sync!$K359)-1)),2)&amp;RIGHT("00"&amp;VALUE(MID(Sync!$K359,FIND(":",Sync!$K359)+1,2)),2),"0000")))&amp;"|"&amp;"2"&amp;RIGHT("00000"&amp;354,5))</f>
        <v/>
      </c>
      <c r="Q359">
        <f>IF(Sync!$J359="","",IF(ISNUMBER(Sync!$J359),IF(AND(Sync!$J359&gt;=10000101,Sync!$J359&lt;=99991231),INT(Sync!$J359/10000)&amp;"/"&amp;RIGHT("00"&amp;INT(MOD(Sync!$J359,10000)/100),2)&amp;"/"&amp;RIGHT("00"&amp;MOD(Sync!$J359,100),2),"نامعتبر"),IF(LEN(Sync!$J359)=10,Sync!$J359,"نامعتبر")))</f>
        <v/>
      </c>
      <c r="R359">
        <f>IF($P359="","",COUNTIFS($N$6:$N$2005,$N359,$P$6:$P$2005,"&lt;"&amp;$P359)+COUNTIFS($A$6:$A$1005,$N359,$B$6:$B$1005,"&lt;"&amp;$P359)+1)</f>
        <v/>
      </c>
      <c r="S359">
        <f>IF($N359="","",$N359&amp;"|"&amp;RIGHT("000000"&amp;$R359,6))</f>
        <v/>
      </c>
      <c r="T359">
        <f>IF($N359="","",IF(Sync!$N359="",0,Sync!$N359))</f>
        <v/>
      </c>
      <c r="U359">
        <f>IF($N359="","",IF(Sync!$O359="",0,Sync!$O359))</f>
        <v/>
      </c>
      <c r="V359">
        <f>IF($N359="","",Sync!$L359)</f>
        <v/>
      </c>
      <c r="W359">
        <f>IF($N359="","",Sync!$P359)</f>
        <v/>
      </c>
      <c r="AA359">
        <f>IF($A359="","",IF(COUNTIF($A$6:$A359,$A359)=1,1,0))</f>
        <v/>
      </c>
      <c r="AB359">
        <f>SUM($AA$6:$AA359)</f>
        <v/>
      </c>
      <c r="AC359">
        <f>IFERROR(INDEX($A$6:$A$1005,MATCH(ROW()-5,$AB$6:$AB$1005,0)),"")</f>
        <v/>
      </c>
    </row>
    <row r="360">
      <c r="A360">
        <f>IF(OR(Entry!$B363="",Entry!$E363="",$E360="نامعتبر"),"",Entry!$E363)</f>
        <v/>
      </c>
      <c r="B360">
        <f>IF($A360="","",LEFT($E360,4)&amp;MID($E360,6,2)&amp;RIGHT($E360,2)&amp;$F360&amp;"|"&amp;"1"&amp;RIGHT("00000"&amp;355,5))</f>
        <v/>
      </c>
      <c r="C360">
        <f>IF($B360="","",COUNTIFS($A$6:$A$1005,$A360,$B$6:$B$1005,"&lt;"&amp;$B360)+COUNTIFS($N$6:$N$2005,$A360,$P$6:$P$2005,"&lt;"&amp;$B360)+1)</f>
        <v/>
      </c>
      <c r="D360">
        <f>IF($C360="","",$A360&amp;"|"&amp;RIGHT("000000"&amp;$C360,6))</f>
        <v/>
      </c>
      <c r="E360">
        <f>IF(Entry!$B363="","",IF(ISNUMBER(Entry!$B363),IF(AND(Entry!$B363&gt;=10000101,Entry!$B363&lt;=99991231),INT(Entry!$B363/10000)&amp;"/"&amp;RIGHT("00"&amp;INT(MOD(Entry!$B363,10000)/100),2)&amp;"/"&amp;RIGHT("00"&amp;MOD(Entry!$B363,100),2),"نامعتبر"),IF(LEN(Entry!$B363)=10,Entry!$B363,"نامعتبر")))</f>
        <v/>
      </c>
      <c r="F360">
        <f>IF(Entry!$B363="","",IF(Entry!$C363="","0000",IF(AND(ISNUMBER(Entry!$C363),Entry!$C363&gt;=0,Entry!$C363&lt;1),RIGHT("00"&amp;HOUR(Entry!$C363),2)&amp;RIGHT("00"&amp;MINUTE(Entry!$C363),2),IFERROR(RIGHT("00"&amp;VALUE(LEFT(Entry!$C363,FIND(":",Entry!$C363)-1)),2)&amp;RIGHT("00"&amp;VALUE(MID(Entry!$C363,FIND(":",Entry!$C363)+1,2)),2),"0000"))))</f>
        <v/>
      </c>
      <c r="G360">
        <f>IF($A360="","",Entry!$G363)</f>
        <v/>
      </c>
      <c r="H360">
        <f>IF($A360="","",IF(Entry!$H363="",0,Entry!$H363))</f>
        <v/>
      </c>
      <c r="I360">
        <f>IF($A360="","",IF(Entry!$I363="",0,Entry!$I363))</f>
        <v/>
      </c>
      <c r="J360">
        <f>IF($A360="","",ROUND($H360*$I360,0))</f>
        <v/>
      </c>
      <c r="K360">
        <f>IF($A360="","",Entry!$D363)</f>
        <v/>
      </c>
      <c r="L360">
        <f>IF($A360="","",Entry!$L363)</f>
        <v/>
      </c>
      <c r="N360">
        <f>IF(OR(Sync!$M360="",$Q360="",$Q360="نامعتبر"),"",Sync!$M360)</f>
        <v/>
      </c>
      <c r="O360">
        <f>IF($N360="","",$Q360)</f>
        <v/>
      </c>
      <c r="P360">
        <f>IF($N360="","",LEFT($Q360,4)&amp;MID($Q360,6,2)&amp;RIGHT($Q360,2)&amp;IF(Sync!$K360="","0000",IF(AND(ISNUMBER(Sync!$K360),Sync!$K360&gt;=0,Sync!$K360&lt;1),RIGHT("00"&amp;HOUR(Sync!$K360),2)&amp;RIGHT("00"&amp;MINUTE(Sync!$K360),2),IFERROR(RIGHT("00"&amp;VALUE(LEFT(Sync!$K360,FIND(":",Sync!$K360)-1)),2)&amp;RIGHT("00"&amp;VALUE(MID(Sync!$K360,FIND(":",Sync!$K360)+1,2)),2),"0000")))&amp;"|"&amp;"2"&amp;RIGHT("00000"&amp;355,5))</f>
        <v/>
      </c>
      <c r="Q360">
        <f>IF(Sync!$J360="","",IF(ISNUMBER(Sync!$J360),IF(AND(Sync!$J360&gt;=10000101,Sync!$J360&lt;=99991231),INT(Sync!$J360/10000)&amp;"/"&amp;RIGHT("00"&amp;INT(MOD(Sync!$J360,10000)/100),2)&amp;"/"&amp;RIGHT("00"&amp;MOD(Sync!$J360,100),2),"نامعتبر"),IF(LEN(Sync!$J360)=10,Sync!$J360,"نامعتبر")))</f>
        <v/>
      </c>
      <c r="R360">
        <f>IF($P360="","",COUNTIFS($N$6:$N$2005,$N360,$P$6:$P$2005,"&lt;"&amp;$P360)+COUNTIFS($A$6:$A$1005,$N360,$B$6:$B$1005,"&lt;"&amp;$P360)+1)</f>
        <v/>
      </c>
      <c r="S360">
        <f>IF($N360="","",$N360&amp;"|"&amp;RIGHT("000000"&amp;$R360,6))</f>
        <v/>
      </c>
      <c r="T360">
        <f>IF($N360="","",IF(Sync!$N360="",0,Sync!$N360))</f>
        <v/>
      </c>
      <c r="U360">
        <f>IF($N360="","",IF(Sync!$O360="",0,Sync!$O360))</f>
        <v/>
      </c>
      <c r="V360">
        <f>IF($N360="","",Sync!$L360)</f>
        <v/>
      </c>
      <c r="W360">
        <f>IF($N360="","",Sync!$P360)</f>
        <v/>
      </c>
      <c r="AA360">
        <f>IF($A360="","",IF(COUNTIF($A$6:$A360,$A360)=1,1,0))</f>
        <v/>
      </c>
      <c r="AB360">
        <f>SUM($AA$6:$AA360)</f>
        <v/>
      </c>
      <c r="AC360">
        <f>IFERROR(INDEX($A$6:$A$1005,MATCH(ROW()-5,$AB$6:$AB$1005,0)),"")</f>
        <v/>
      </c>
    </row>
    <row r="361">
      <c r="A361">
        <f>IF(OR(Entry!$B364="",Entry!$E364="",$E361="نامعتبر"),"",Entry!$E364)</f>
        <v/>
      </c>
      <c r="B361">
        <f>IF($A361="","",LEFT($E361,4)&amp;MID($E361,6,2)&amp;RIGHT($E361,2)&amp;$F361&amp;"|"&amp;"1"&amp;RIGHT("00000"&amp;356,5))</f>
        <v/>
      </c>
      <c r="C361">
        <f>IF($B361="","",COUNTIFS($A$6:$A$1005,$A361,$B$6:$B$1005,"&lt;"&amp;$B361)+COUNTIFS($N$6:$N$2005,$A361,$P$6:$P$2005,"&lt;"&amp;$B361)+1)</f>
        <v/>
      </c>
      <c r="D361">
        <f>IF($C361="","",$A361&amp;"|"&amp;RIGHT("000000"&amp;$C361,6))</f>
        <v/>
      </c>
      <c r="E361">
        <f>IF(Entry!$B364="","",IF(ISNUMBER(Entry!$B364),IF(AND(Entry!$B364&gt;=10000101,Entry!$B364&lt;=99991231),INT(Entry!$B364/10000)&amp;"/"&amp;RIGHT("00"&amp;INT(MOD(Entry!$B364,10000)/100),2)&amp;"/"&amp;RIGHT("00"&amp;MOD(Entry!$B364,100),2),"نامعتبر"),IF(LEN(Entry!$B364)=10,Entry!$B364,"نامعتبر")))</f>
        <v/>
      </c>
      <c r="F361">
        <f>IF(Entry!$B364="","",IF(Entry!$C364="","0000",IF(AND(ISNUMBER(Entry!$C364),Entry!$C364&gt;=0,Entry!$C364&lt;1),RIGHT("00"&amp;HOUR(Entry!$C364),2)&amp;RIGHT("00"&amp;MINUTE(Entry!$C364),2),IFERROR(RIGHT("00"&amp;VALUE(LEFT(Entry!$C364,FIND(":",Entry!$C364)-1)),2)&amp;RIGHT("00"&amp;VALUE(MID(Entry!$C364,FIND(":",Entry!$C364)+1,2)),2),"0000"))))</f>
        <v/>
      </c>
      <c r="G361">
        <f>IF($A361="","",Entry!$G364)</f>
        <v/>
      </c>
      <c r="H361">
        <f>IF($A361="","",IF(Entry!$H364="",0,Entry!$H364))</f>
        <v/>
      </c>
      <c r="I361">
        <f>IF($A361="","",IF(Entry!$I364="",0,Entry!$I364))</f>
        <v/>
      </c>
      <c r="J361">
        <f>IF($A361="","",ROUND($H361*$I361,0))</f>
        <v/>
      </c>
      <c r="K361">
        <f>IF($A361="","",Entry!$D364)</f>
        <v/>
      </c>
      <c r="L361">
        <f>IF($A361="","",Entry!$L364)</f>
        <v/>
      </c>
      <c r="N361">
        <f>IF(OR(Sync!$M361="",$Q361="",$Q361="نامعتبر"),"",Sync!$M361)</f>
        <v/>
      </c>
      <c r="O361">
        <f>IF($N361="","",$Q361)</f>
        <v/>
      </c>
      <c r="P361">
        <f>IF($N361="","",LEFT($Q361,4)&amp;MID($Q361,6,2)&amp;RIGHT($Q361,2)&amp;IF(Sync!$K361="","0000",IF(AND(ISNUMBER(Sync!$K361),Sync!$K361&gt;=0,Sync!$K361&lt;1),RIGHT("00"&amp;HOUR(Sync!$K361),2)&amp;RIGHT("00"&amp;MINUTE(Sync!$K361),2),IFERROR(RIGHT("00"&amp;VALUE(LEFT(Sync!$K361,FIND(":",Sync!$K361)-1)),2)&amp;RIGHT("00"&amp;VALUE(MID(Sync!$K361,FIND(":",Sync!$K361)+1,2)),2),"0000")))&amp;"|"&amp;"2"&amp;RIGHT("00000"&amp;356,5))</f>
        <v/>
      </c>
      <c r="Q361">
        <f>IF(Sync!$J361="","",IF(ISNUMBER(Sync!$J361),IF(AND(Sync!$J361&gt;=10000101,Sync!$J361&lt;=99991231),INT(Sync!$J361/10000)&amp;"/"&amp;RIGHT("00"&amp;INT(MOD(Sync!$J361,10000)/100),2)&amp;"/"&amp;RIGHT("00"&amp;MOD(Sync!$J361,100),2),"نامعتبر"),IF(LEN(Sync!$J361)=10,Sync!$J361,"نامعتبر")))</f>
        <v/>
      </c>
      <c r="R361">
        <f>IF($P361="","",COUNTIFS($N$6:$N$2005,$N361,$P$6:$P$2005,"&lt;"&amp;$P361)+COUNTIFS($A$6:$A$1005,$N361,$B$6:$B$1005,"&lt;"&amp;$P361)+1)</f>
        <v/>
      </c>
      <c r="S361">
        <f>IF($N361="","",$N361&amp;"|"&amp;RIGHT("000000"&amp;$R361,6))</f>
        <v/>
      </c>
      <c r="T361">
        <f>IF($N361="","",IF(Sync!$N361="",0,Sync!$N361))</f>
        <v/>
      </c>
      <c r="U361">
        <f>IF($N361="","",IF(Sync!$O361="",0,Sync!$O361))</f>
        <v/>
      </c>
      <c r="V361">
        <f>IF($N361="","",Sync!$L361)</f>
        <v/>
      </c>
      <c r="W361">
        <f>IF($N361="","",Sync!$P361)</f>
        <v/>
      </c>
      <c r="AA361">
        <f>IF($A361="","",IF(COUNTIF($A$6:$A361,$A361)=1,1,0))</f>
        <v/>
      </c>
      <c r="AB361">
        <f>SUM($AA$6:$AA361)</f>
        <v/>
      </c>
      <c r="AC361">
        <f>IFERROR(INDEX($A$6:$A$1005,MATCH(ROW()-5,$AB$6:$AB$1005,0)),"")</f>
        <v/>
      </c>
    </row>
    <row r="362">
      <c r="A362">
        <f>IF(OR(Entry!$B365="",Entry!$E365="",$E362="نامعتبر"),"",Entry!$E365)</f>
        <v/>
      </c>
      <c r="B362">
        <f>IF($A362="","",LEFT($E362,4)&amp;MID($E362,6,2)&amp;RIGHT($E362,2)&amp;$F362&amp;"|"&amp;"1"&amp;RIGHT("00000"&amp;357,5))</f>
        <v/>
      </c>
      <c r="C362">
        <f>IF($B362="","",COUNTIFS($A$6:$A$1005,$A362,$B$6:$B$1005,"&lt;"&amp;$B362)+COUNTIFS($N$6:$N$2005,$A362,$P$6:$P$2005,"&lt;"&amp;$B362)+1)</f>
        <v/>
      </c>
      <c r="D362">
        <f>IF($C362="","",$A362&amp;"|"&amp;RIGHT("000000"&amp;$C362,6))</f>
        <v/>
      </c>
      <c r="E362">
        <f>IF(Entry!$B365="","",IF(ISNUMBER(Entry!$B365),IF(AND(Entry!$B365&gt;=10000101,Entry!$B365&lt;=99991231),INT(Entry!$B365/10000)&amp;"/"&amp;RIGHT("00"&amp;INT(MOD(Entry!$B365,10000)/100),2)&amp;"/"&amp;RIGHT("00"&amp;MOD(Entry!$B365,100),2),"نامعتبر"),IF(LEN(Entry!$B365)=10,Entry!$B365,"نامعتبر")))</f>
        <v/>
      </c>
      <c r="F362">
        <f>IF(Entry!$B365="","",IF(Entry!$C365="","0000",IF(AND(ISNUMBER(Entry!$C365),Entry!$C365&gt;=0,Entry!$C365&lt;1),RIGHT("00"&amp;HOUR(Entry!$C365),2)&amp;RIGHT("00"&amp;MINUTE(Entry!$C365),2),IFERROR(RIGHT("00"&amp;VALUE(LEFT(Entry!$C365,FIND(":",Entry!$C365)-1)),2)&amp;RIGHT("00"&amp;VALUE(MID(Entry!$C365,FIND(":",Entry!$C365)+1,2)),2),"0000"))))</f>
        <v/>
      </c>
      <c r="G362">
        <f>IF($A362="","",Entry!$G365)</f>
        <v/>
      </c>
      <c r="H362">
        <f>IF($A362="","",IF(Entry!$H365="",0,Entry!$H365))</f>
        <v/>
      </c>
      <c r="I362">
        <f>IF($A362="","",IF(Entry!$I365="",0,Entry!$I365))</f>
        <v/>
      </c>
      <c r="J362">
        <f>IF($A362="","",ROUND($H362*$I362,0))</f>
        <v/>
      </c>
      <c r="K362">
        <f>IF($A362="","",Entry!$D365)</f>
        <v/>
      </c>
      <c r="L362">
        <f>IF($A362="","",Entry!$L365)</f>
        <v/>
      </c>
      <c r="N362">
        <f>IF(OR(Sync!$M362="",$Q362="",$Q362="نامعتبر"),"",Sync!$M362)</f>
        <v/>
      </c>
      <c r="O362">
        <f>IF($N362="","",$Q362)</f>
        <v/>
      </c>
      <c r="P362">
        <f>IF($N362="","",LEFT($Q362,4)&amp;MID($Q362,6,2)&amp;RIGHT($Q362,2)&amp;IF(Sync!$K362="","0000",IF(AND(ISNUMBER(Sync!$K362),Sync!$K362&gt;=0,Sync!$K362&lt;1),RIGHT("00"&amp;HOUR(Sync!$K362),2)&amp;RIGHT("00"&amp;MINUTE(Sync!$K362),2),IFERROR(RIGHT("00"&amp;VALUE(LEFT(Sync!$K362,FIND(":",Sync!$K362)-1)),2)&amp;RIGHT("00"&amp;VALUE(MID(Sync!$K362,FIND(":",Sync!$K362)+1,2)),2),"0000")))&amp;"|"&amp;"2"&amp;RIGHT("00000"&amp;357,5))</f>
        <v/>
      </c>
      <c r="Q362">
        <f>IF(Sync!$J362="","",IF(ISNUMBER(Sync!$J362),IF(AND(Sync!$J362&gt;=10000101,Sync!$J362&lt;=99991231),INT(Sync!$J362/10000)&amp;"/"&amp;RIGHT("00"&amp;INT(MOD(Sync!$J362,10000)/100),2)&amp;"/"&amp;RIGHT("00"&amp;MOD(Sync!$J362,100),2),"نامعتبر"),IF(LEN(Sync!$J362)=10,Sync!$J362,"نامعتبر")))</f>
        <v/>
      </c>
      <c r="R362">
        <f>IF($P362="","",COUNTIFS($N$6:$N$2005,$N362,$P$6:$P$2005,"&lt;"&amp;$P362)+COUNTIFS($A$6:$A$1005,$N362,$B$6:$B$1005,"&lt;"&amp;$P362)+1)</f>
        <v/>
      </c>
      <c r="S362">
        <f>IF($N362="","",$N362&amp;"|"&amp;RIGHT("000000"&amp;$R362,6))</f>
        <v/>
      </c>
      <c r="T362">
        <f>IF($N362="","",IF(Sync!$N362="",0,Sync!$N362))</f>
        <v/>
      </c>
      <c r="U362">
        <f>IF($N362="","",IF(Sync!$O362="",0,Sync!$O362))</f>
        <v/>
      </c>
      <c r="V362">
        <f>IF($N362="","",Sync!$L362)</f>
        <v/>
      </c>
      <c r="W362">
        <f>IF($N362="","",Sync!$P362)</f>
        <v/>
      </c>
      <c r="AA362">
        <f>IF($A362="","",IF(COUNTIF($A$6:$A362,$A362)=1,1,0))</f>
        <v/>
      </c>
      <c r="AB362">
        <f>SUM($AA$6:$AA362)</f>
        <v/>
      </c>
      <c r="AC362">
        <f>IFERROR(INDEX($A$6:$A$1005,MATCH(ROW()-5,$AB$6:$AB$1005,0)),"")</f>
        <v/>
      </c>
    </row>
    <row r="363">
      <c r="A363">
        <f>IF(OR(Entry!$B366="",Entry!$E366="",$E363="نامعتبر"),"",Entry!$E366)</f>
        <v/>
      </c>
      <c r="B363">
        <f>IF($A363="","",LEFT($E363,4)&amp;MID($E363,6,2)&amp;RIGHT($E363,2)&amp;$F363&amp;"|"&amp;"1"&amp;RIGHT("00000"&amp;358,5))</f>
        <v/>
      </c>
      <c r="C363">
        <f>IF($B363="","",COUNTIFS($A$6:$A$1005,$A363,$B$6:$B$1005,"&lt;"&amp;$B363)+COUNTIFS($N$6:$N$2005,$A363,$P$6:$P$2005,"&lt;"&amp;$B363)+1)</f>
        <v/>
      </c>
      <c r="D363">
        <f>IF($C363="","",$A363&amp;"|"&amp;RIGHT("000000"&amp;$C363,6))</f>
        <v/>
      </c>
      <c r="E363">
        <f>IF(Entry!$B366="","",IF(ISNUMBER(Entry!$B366),IF(AND(Entry!$B366&gt;=10000101,Entry!$B366&lt;=99991231),INT(Entry!$B366/10000)&amp;"/"&amp;RIGHT("00"&amp;INT(MOD(Entry!$B366,10000)/100),2)&amp;"/"&amp;RIGHT("00"&amp;MOD(Entry!$B366,100),2),"نامعتبر"),IF(LEN(Entry!$B366)=10,Entry!$B366,"نامعتبر")))</f>
        <v/>
      </c>
      <c r="F363">
        <f>IF(Entry!$B366="","",IF(Entry!$C366="","0000",IF(AND(ISNUMBER(Entry!$C366),Entry!$C366&gt;=0,Entry!$C366&lt;1),RIGHT("00"&amp;HOUR(Entry!$C366),2)&amp;RIGHT("00"&amp;MINUTE(Entry!$C366),2),IFERROR(RIGHT("00"&amp;VALUE(LEFT(Entry!$C366,FIND(":",Entry!$C366)-1)),2)&amp;RIGHT("00"&amp;VALUE(MID(Entry!$C366,FIND(":",Entry!$C366)+1,2)),2),"0000"))))</f>
        <v/>
      </c>
      <c r="G363">
        <f>IF($A363="","",Entry!$G366)</f>
        <v/>
      </c>
      <c r="H363">
        <f>IF($A363="","",IF(Entry!$H366="",0,Entry!$H366))</f>
        <v/>
      </c>
      <c r="I363">
        <f>IF($A363="","",IF(Entry!$I366="",0,Entry!$I366))</f>
        <v/>
      </c>
      <c r="J363">
        <f>IF($A363="","",ROUND($H363*$I363,0))</f>
        <v/>
      </c>
      <c r="K363">
        <f>IF($A363="","",Entry!$D366)</f>
        <v/>
      </c>
      <c r="L363">
        <f>IF($A363="","",Entry!$L366)</f>
        <v/>
      </c>
      <c r="N363">
        <f>IF(OR(Sync!$M363="",$Q363="",$Q363="نامعتبر"),"",Sync!$M363)</f>
        <v/>
      </c>
      <c r="O363">
        <f>IF($N363="","",$Q363)</f>
        <v/>
      </c>
      <c r="P363">
        <f>IF($N363="","",LEFT($Q363,4)&amp;MID($Q363,6,2)&amp;RIGHT($Q363,2)&amp;IF(Sync!$K363="","0000",IF(AND(ISNUMBER(Sync!$K363),Sync!$K363&gt;=0,Sync!$K363&lt;1),RIGHT("00"&amp;HOUR(Sync!$K363),2)&amp;RIGHT("00"&amp;MINUTE(Sync!$K363),2),IFERROR(RIGHT("00"&amp;VALUE(LEFT(Sync!$K363,FIND(":",Sync!$K363)-1)),2)&amp;RIGHT("00"&amp;VALUE(MID(Sync!$K363,FIND(":",Sync!$K363)+1,2)),2),"0000")))&amp;"|"&amp;"2"&amp;RIGHT("00000"&amp;358,5))</f>
        <v/>
      </c>
      <c r="Q363">
        <f>IF(Sync!$J363="","",IF(ISNUMBER(Sync!$J363),IF(AND(Sync!$J363&gt;=10000101,Sync!$J363&lt;=99991231),INT(Sync!$J363/10000)&amp;"/"&amp;RIGHT("00"&amp;INT(MOD(Sync!$J363,10000)/100),2)&amp;"/"&amp;RIGHT("00"&amp;MOD(Sync!$J363,100),2),"نامعتبر"),IF(LEN(Sync!$J363)=10,Sync!$J363,"نامعتبر")))</f>
        <v/>
      </c>
      <c r="R363">
        <f>IF($P363="","",COUNTIFS($N$6:$N$2005,$N363,$P$6:$P$2005,"&lt;"&amp;$P363)+COUNTIFS($A$6:$A$1005,$N363,$B$6:$B$1005,"&lt;"&amp;$P363)+1)</f>
        <v/>
      </c>
      <c r="S363">
        <f>IF($N363="","",$N363&amp;"|"&amp;RIGHT("000000"&amp;$R363,6))</f>
        <v/>
      </c>
      <c r="T363">
        <f>IF($N363="","",IF(Sync!$N363="",0,Sync!$N363))</f>
        <v/>
      </c>
      <c r="U363">
        <f>IF($N363="","",IF(Sync!$O363="",0,Sync!$O363))</f>
        <v/>
      </c>
      <c r="V363">
        <f>IF($N363="","",Sync!$L363)</f>
        <v/>
      </c>
      <c r="W363">
        <f>IF($N363="","",Sync!$P363)</f>
        <v/>
      </c>
      <c r="AA363">
        <f>IF($A363="","",IF(COUNTIF($A$6:$A363,$A363)=1,1,0))</f>
        <v/>
      </c>
      <c r="AB363">
        <f>SUM($AA$6:$AA363)</f>
        <v/>
      </c>
      <c r="AC363">
        <f>IFERROR(INDEX($A$6:$A$1005,MATCH(ROW()-5,$AB$6:$AB$1005,0)),"")</f>
        <v/>
      </c>
    </row>
    <row r="364">
      <c r="A364">
        <f>IF(OR(Entry!$B367="",Entry!$E367="",$E364="نامعتبر"),"",Entry!$E367)</f>
        <v/>
      </c>
      <c r="B364">
        <f>IF($A364="","",LEFT($E364,4)&amp;MID($E364,6,2)&amp;RIGHT($E364,2)&amp;$F364&amp;"|"&amp;"1"&amp;RIGHT("00000"&amp;359,5))</f>
        <v/>
      </c>
      <c r="C364">
        <f>IF($B364="","",COUNTIFS($A$6:$A$1005,$A364,$B$6:$B$1005,"&lt;"&amp;$B364)+COUNTIFS($N$6:$N$2005,$A364,$P$6:$P$2005,"&lt;"&amp;$B364)+1)</f>
        <v/>
      </c>
      <c r="D364">
        <f>IF($C364="","",$A364&amp;"|"&amp;RIGHT("000000"&amp;$C364,6))</f>
        <v/>
      </c>
      <c r="E364">
        <f>IF(Entry!$B367="","",IF(ISNUMBER(Entry!$B367),IF(AND(Entry!$B367&gt;=10000101,Entry!$B367&lt;=99991231),INT(Entry!$B367/10000)&amp;"/"&amp;RIGHT("00"&amp;INT(MOD(Entry!$B367,10000)/100),2)&amp;"/"&amp;RIGHT("00"&amp;MOD(Entry!$B367,100),2),"نامعتبر"),IF(LEN(Entry!$B367)=10,Entry!$B367,"نامعتبر")))</f>
        <v/>
      </c>
      <c r="F364">
        <f>IF(Entry!$B367="","",IF(Entry!$C367="","0000",IF(AND(ISNUMBER(Entry!$C367),Entry!$C367&gt;=0,Entry!$C367&lt;1),RIGHT("00"&amp;HOUR(Entry!$C367),2)&amp;RIGHT("00"&amp;MINUTE(Entry!$C367),2),IFERROR(RIGHT("00"&amp;VALUE(LEFT(Entry!$C367,FIND(":",Entry!$C367)-1)),2)&amp;RIGHT("00"&amp;VALUE(MID(Entry!$C367,FIND(":",Entry!$C367)+1,2)),2),"0000"))))</f>
        <v/>
      </c>
      <c r="G364">
        <f>IF($A364="","",Entry!$G367)</f>
        <v/>
      </c>
      <c r="H364">
        <f>IF($A364="","",IF(Entry!$H367="",0,Entry!$H367))</f>
        <v/>
      </c>
      <c r="I364">
        <f>IF($A364="","",IF(Entry!$I367="",0,Entry!$I367))</f>
        <v/>
      </c>
      <c r="J364">
        <f>IF($A364="","",ROUND($H364*$I364,0))</f>
        <v/>
      </c>
      <c r="K364">
        <f>IF($A364="","",Entry!$D367)</f>
        <v/>
      </c>
      <c r="L364">
        <f>IF($A364="","",Entry!$L367)</f>
        <v/>
      </c>
      <c r="N364">
        <f>IF(OR(Sync!$M364="",$Q364="",$Q364="نامعتبر"),"",Sync!$M364)</f>
        <v/>
      </c>
      <c r="O364">
        <f>IF($N364="","",$Q364)</f>
        <v/>
      </c>
      <c r="P364">
        <f>IF($N364="","",LEFT($Q364,4)&amp;MID($Q364,6,2)&amp;RIGHT($Q364,2)&amp;IF(Sync!$K364="","0000",IF(AND(ISNUMBER(Sync!$K364),Sync!$K364&gt;=0,Sync!$K364&lt;1),RIGHT("00"&amp;HOUR(Sync!$K364),2)&amp;RIGHT("00"&amp;MINUTE(Sync!$K364),2),IFERROR(RIGHT("00"&amp;VALUE(LEFT(Sync!$K364,FIND(":",Sync!$K364)-1)),2)&amp;RIGHT("00"&amp;VALUE(MID(Sync!$K364,FIND(":",Sync!$K364)+1,2)),2),"0000")))&amp;"|"&amp;"2"&amp;RIGHT("00000"&amp;359,5))</f>
        <v/>
      </c>
      <c r="Q364">
        <f>IF(Sync!$J364="","",IF(ISNUMBER(Sync!$J364),IF(AND(Sync!$J364&gt;=10000101,Sync!$J364&lt;=99991231),INT(Sync!$J364/10000)&amp;"/"&amp;RIGHT("00"&amp;INT(MOD(Sync!$J364,10000)/100),2)&amp;"/"&amp;RIGHT("00"&amp;MOD(Sync!$J364,100),2),"نامعتبر"),IF(LEN(Sync!$J364)=10,Sync!$J364,"نامعتبر")))</f>
        <v/>
      </c>
      <c r="R364">
        <f>IF($P364="","",COUNTIFS($N$6:$N$2005,$N364,$P$6:$P$2005,"&lt;"&amp;$P364)+COUNTIFS($A$6:$A$1005,$N364,$B$6:$B$1005,"&lt;"&amp;$P364)+1)</f>
        <v/>
      </c>
      <c r="S364">
        <f>IF($N364="","",$N364&amp;"|"&amp;RIGHT("000000"&amp;$R364,6))</f>
        <v/>
      </c>
      <c r="T364">
        <f>IF($N364="","",IF(Sync!$N364="",0,Sync!$N364))</f>
        <v/>
      </c>
      <c r="U364">
        <f>IF($N364="","",IF(Sync!$O364="",0,Sync!$O364))</f>
        <v/>
      </c>
      <c r="V364">
        <f>IF($N364="","",Sync!$L364)</f>
        <v/>
      </c>
      <c r="W364">
        <f>IF($N364="","",Sync!$P364)</f>
        <v/>
      </c>
      <c r="AA364">
        <f>IF($A364="","",IF(COUNTIF($A$6:$A364,$A364)=1,1,0))</f>
        <v/>
      </c>
      <c r="AB364">
        <f>SUM($AA$6:$AA364)</f>
        <v/>
      </c>
      <c r="AC364">
        <f>IFERROR(INDEX($A$6:$A$1005,MATCH(ROW()-5,$AB$6:$AB$1005,0)),"")</f>
        <v/>
      </c>
    </row>
    <row r="365">
      <c r="A365">
        <f>IF(OR(Entry!$B368="",Entry!$E368="",$E365="نامعتبر"),"",Entry!$E368)</f>
        <v/>
      </c>
      <c r="B365">
        <f>IF($A365="","",LEFT($E365,4)&amp;MID($E365,6,2)&amp;RIGHT($E365,2)&amp;$F365&amp;"|"&amp;"1"&amp;RIGHT("00000"&amp;360,5))</f>
        <v/>
      </c>
      <c r="C365">
        <f>IF($B365="","",COUNTIFS($A$6:$A$1005,$A365,$B$6:$B$1005,"&lt;"&amp;$B365)+COUNTIFS($N$6:$N$2005,$A365,$P$6:$P$2005,"&lt;"&amp;$B365)+1)</f>
        <v/>
      </c>
      <c r="D365">
        <f>IF($C365="","",$A365&amp;"|"&amp;RIGHT("000000"&amp;$C365,6))</f>
        <v/>
      </c>
      <c r="E365">
        <f>IF(Entry!$B368="","",IF(ISNUMBER(Entry!$B368),IF(AND(Entry!$B368&gt;=10000101,Entry!$B368&lt;=99991231),INT(Entry!$B368/10000)&amp;"/"&amp;RIGHT("00"&amp;INT(MOD(Entry!$B368,10000)/100),2)&amp;"/"&amp;RIGHT("00"&amp;MOD(Entry!$B368,100),2),"نامعتبر"),IF(LEN(Entry!$B368)=10,Entry!$B368,"نامعتبر")))</f>
        <v/>
      </c>
      <c r="F365">
        <f>IF(Entry!$B368="","",IF(Entry!$C368="","0000",IF(AND(ISNUMBER(Entry!$C368),Entry!$C368&gt;=0,Entry!$C368&lt;1),RIGHT("00"&amp;HOUR(Entry!$C368),2)&amp;RIGHT("00"&amp;MINUTE(Entry!$C368),2),IFERROR(RIGHT("00"&amp;VALUE(LEFT(Entry!$C368,FIND(":",Entry!$C368)-1)),2)&amp;RIGHT("00"&amp;VALUE(MID(Entry!$C368,FIND(":",Entry!$C368)+1,2)),2),"0000"))))</f>
        <v/>
      </c>
      <c r="G365">
        <f>IF($A365="","",Entry!$G368)</f>
        <v/>
      </c>
      <c r="H365">
        <f>IF($A365="","",IF(Entry!$H368="",0,Entry!$H368))</f>
        <v/>
      </c>
      <c r="I365">
        <f>IF($A365="","",IF(Entry!$I368="",0,Entry!$I368))</f>
        <v/>
      </c>
      <c r="J365">
        <f>IF($A365="","",ROUND($H365*$I365,0))</f>
        <v/>
      </c>
      <c r="K365">
        <f>IF($A365="","",Entry!$D368)</f>
        <v/>
      </c>
      <c r="L365">
        <f>IF($A365="","",Entry!$L368)</f>
        <v/>
      </c>
      <c r="N365">
        <f>IF(OR(Sync!$M365="",$Q365="",$Q365="نامعتبر"),"",Sync!$M365)</f>
        <v/>
      </c>
      <c r="O365">
        <f>IF($N365="","",$Q365)</f>
        <v/>
      </c>
      <c r="P365">
        <f>IF($N365="","",LEFT($Q365,4)&amp;MID($Q365,6,2)&amp;RIGHT($Q365,2)&amp;IF(Sync!$K365="","0000",IF(AND(ISNUMBER(Sync!$K365),Sync!$K365&gt;=0,Sync!$K365&lt;1),RIGHT("00"&amp;HOUR(Sync!$K365),2)&amp;RIGHT("00"&amp;MINUTE(Sync!$K365),2),IFERROR(RIGHT("00"&amp;VALUE(LEFT(Sync!$K365,FIND(":",Sync!$K365)-1)),2)&amp;RIGHT("00"&amp;VALUE(MID(Sync!$K365,FIND(":",Sync!$K365)+1,2)),2),"0000")))&amp;"|"&amp;"2"&amp;RIGHT("00000"&amp;360,5))</f>
        <v/>
      </c>
      <c r="Q365">
        <f>IF(Sync!$J365="","",IF(ISNUMBER(Sync!$J365),IF(AND(Sync!$J365&gt;=10000101,Sync!$J365&lt;=99991231),INT(Sync!$J365/10000)&amp;"/"&amp;RIGHT("00"&amp;INT(MOD(Sync!$J365,10000)/100),2)&amp;"/"&amp;RIGHT("00"&amp;MOD(Sync!$J365,100),2),"نامعتبر"),IF(LEN(Sync!$J365)=10,Sync!$J365,"نامعتبر")))</f>
        <v/>
      </c>
      <c r="R365">
        <f>IF($P365="","",COUNTIFS($N$6:$N$2005,$N365,$P$6:$P$2005,"&lt;"&amp;$P365)+COUNTIFS($A$6:$A$1005,$N365,$B$6:$B$1005,"&lt;"&amp;$P365)+1)</f>
        <v/>
      </c>
      <c r="S365">
        <f>IF($N365="","",$N365&amp;"|"&amp;RIGHT("000000"&amp;$R365,6))</f>
        <v/>
      </c>
      <c r="T365">
        <f>IF($N365="","",IF(Sync!$N365="",0,Sync!$N365))</f>
        <v/>
      </c>
      <c r="U365">
        <f>IF($N365="","",IF(Sync!$O365="",0,Sync!$O365))</f>
        <v/>
      </c>
      <c r="V365">
        <f>IF($N365="","",Sync!$L365)</f>
        <v/>
      </c>
      <c r="W365">
        <f>IF($N365="","",Sync!$P365)</f>
        <v/>
      </c>
      <c r="AA365">
        <f>IF($A365="","",IF(COUNTIF($A$6:$A365,$A365)=1,1,0))</f>
        <v/>
      </c>
      <c r="AB365">
        <f>SUM($AA$6:$AA365)</f>
        <v/>
      </c>
      <c r="AC365">
        <f>IFERROR(INDEX($A$6:$A$1005,MATCH(ROW()-5,$AB$6:$AB$1005,0)),"")</f>
        <v/>
      </c>
    </row>
    <row r="366">
      <c r="A366">
        <f>IF(OR(Entry!$B369="",Entry!$E369="",$E366="نامعتبر"),"",Entry!$E369)</f>
        <v/>
      </c>
      <c r="B366">
        <f>IF($A366="","",LEFT($E366,4)&amp;MID($E366,6,2)&amp;RIGHT($E366,2)&amp;$F366&amp;"|"&amp;"1"&amp;RIGHT("00000"&amp;361,5))</f>
        <v/>
      </c>
      <c r="C366">
        <f>IF($B366="","",COUNTIFS($A$6:$A$1005,$A366,$B$6:$B$1005,"&lt;"&amp;$B366)+COUNTIFS($N$6:$N$2005,$A366,$P$6:$P$2005,"&lt;"&amp;$B366)+1)</f>
        <v/>
      </c>
      <c r="D366">
        <f>IF($C366="","",$A366&amp;"|"&amp;RIGHT("000000"&amp;$C366,6))</f>
        <v/>
      </c>
      <c r="E366">
        <f>IF(Entry!$B369="","",IF(ISNUMBER(Entry!$B369),IF(AND(Entry!$B369&gt;=10000101,Entry!$B369&lt;=99991231),INT(Entry!$B369/10000)&amp;"/"&amp;RIGHT("00"&amp;INT(MOD(Entry!$B369,10000)/100),2)&amp;"/"&amp;RIGHT("00"&amp;MOD(Entry!$B369,100),2),"نامعتبر"),IF(LEN(Entry!$B369)=10,Entry!$B369,"نامعتبر")))</f>
        <v/>
      </c>
      <c r="F366">
        <f>IF(Entry!$B369="","",IF(Entry!$C369="","0000",IF(AND(ISNUMBER(Entry!$C369),Entry!$C369&gt;=0,Entry!$C369&lt;1),RIGHT("00"&amp;HOUR(Entry!$C369),2)&amp;RIGHT("00"&amp;MINUTE(Entry!$C369),2),IFERROR(RIGHT("00"&amp;VALUE(LEFT(Entry!$C369,FIND(":",Entry!$C369)-1)),2)&amp;RIGHT("00"&amp;VALUE(MID(Entry!$C369,FIND(":",Entry!$C369)+1,2)),2),"0000"))))</f>
        <v/>
      </c>
      <c r="G366">
        <f>IF($A366="","",Entry!$G369)</f>
        <v/>
      </c>
      <c r="H366">
        <f>IF($A366="","",IF(Entry!$H369="",0,Entry!$H369))</f>
        <v/>
      </c>
      <c r="I366">
        <f>IF($A366="","",IF(Entry!$I369="",0,Entry!$I369))</f>
        <v/>
      </c>
      <c r="J366">
        <f>IF($A366="","",ROUND($H366*$I366,0))</f>
        <v/>
      </c>
      <c r="K366">
        <f>IF($A366="","",Entry!$D369)</f>
        <v/>
      </c>
      <c r="L366">
        <f>IF($A366="","",Entry!$L369)</f>
        <v/>
      </c>
      <c r="N366">
        <f>IF(OR(Sync!$M366="",$Q366="",$Q366="نامعتبر"),"",Sync!$M366)</f>
        <v/>
      </c>
      <c r="O366">
        <f>IF($N366="","",$Q366)</f>
        <v/>
      </c>
      <c r="P366">
        <f>IF($N366="","",LEFT($Q366,4)&amp;MID($Q366,6,2)&amp;RIGHT($Q366,2)&amp;IF(Sync!$K366="","0000",IF(AND(ISNUMBER(Sync!$K366),Sync!$K366&gt;=0,Sync!$K366&lt;1),RIGHT("00"&amp;HOUR(Sync!$K366),2)&amp;RIGHT("00"&amp;MINUTE(Sync!$K366),2),IFERROR(RIGHT("00"&amp;VALUE(LEFT(Sync!$K366,FIND(":",Sync!$K366)-1)),2)&amp;RIGHT("00"&amp;VALUE(MID(Sync!$K366,FIND(":",Sync!$K366)+1,2)),2),"0000")))&amp;"|"&amp;"2"&amp;RIGHT("00000"&amp;361,5))</f>
        <v/>
      </c>
      <c r="Q366">
        <f>IF(Sync!$J366="","",IF(ISNUMBER(Sync!$J366),IF(AND(Sync!$J366&gt;=10000101,Sync!$J366&lt;=99991231),INT(Sync!$J366/10000)&amp;"/"&amp;RIGHT("00"&amp;INT(MOD(Sync!$J366,10000)/100),2)&amp;"/"&amp;RIGHT("00"&amp;MOD(Sync!$J366,100),2),"نامعتبر"),IF(LEN(Sync!$J366)=10,Sync!$J366,"نامعتبر")))</f>
        <v/>
      </c>
      <c r="R366">
        <f>IF($P366="","",COUNTIFS($N$6:$N$2005,$N366,$P$6:$P$2005,"&lt;"&amp;$P366)+COUNTIFS($A$6:$A$1005,$N366,$B$6:$B$1005,"&lt;"&amp;$P366)+1)</f>
        <v/>
      </c>
      <c r="S366">
        <f>IF($N366="","",$N366&amp;"|"&amp;RIGHT("000000"&amp;$R366,6))</f>
        <v/>
      </c>
      <c r="T366">
        <f>IF($N366="","",IF(Sync!$N366="",0,Sync!$N366))</f>
        <v/>
      </c>
      <c r="U366">
        <f>IF($N366="","",IF(Sync!$O366="",0,Sync!$O366))</f>
        <v/>
      </c>
      <c r="V366">
        <f>IF($N366="","",Sync!$L366)</f>
        <v/>
      </c>
      <c r="W366">
        <f>IF($N366="","",Sync!$P366)</f>
        <v/>
      </c>
      <c r="AA366">
        <f>IF($A366="","",IF(COUNTIF($A$6:$A366,$A366)=1,1,0))</f>
        <v/>
      </c>
      <c r="AB366">
        <f>SUM($AA$6:$AA366)</f>
        <v/>
      </c>
      <c r="AC366">
        <f>IFERROR(INDEX($A$6:$A$1005,MATCH(ROW()-5,$AB$6:$AB$1005,0)),"")</f>
        <v/>
      </c>
    </row>
    <row r="367">
      <c r="A367">
        <f>IF(OR(Entry!$B370="",Entry!$E370="",$E367="نامعتبر"),"",Entry!$E370)</f>
        <v/>
      </c>
      <c r="B367">
        <f>IF($A367="","",LEFT($E367,4)&amp;MID($E367,6,2)&amp;RIGHT($E367,2)&amp;$F367&amp;"|"&amp;"1"&amp;RIGHT("00000"&amp;362,5))</f>
        <v/>
      </c>
      <c r="C367">
        <f>IF($B367="","",COUNTIFS($A$6:$A$1005,$A367,$B$6:$B$1005,"&lt;"&amp;$B367)+COUNTIFS($N$6:$N$2005,$A367,$P$6:$P$2005,"&lt;"&amp;$B367)+1)</f>
        <v/>
      </c>
      <c r="D367">
        <f>IF($C367="","",$A367&amp;"|"&amp;RIGHT("000000"&amp;$C367,6))</f>
        <v/>
      </c>
      <c r="E367">
        <f>IF(Entry!$B370="","",IF(ISNUMBER(Entry!$B370),IF(AND(Entry!$B370&gt;=10000101,Entry!$B370&lt;=99991231),INT(Entry!$B370/10000)&amp;"/"&amp;RIGHT("00"&amp;INT(MOD(Entry!$B370,10000)/100),2)&amp;"/"&amp;RIGHT("00"&amp;MOD(Entry!$B370,100),2),"نامعتبر"),IF(LEN(Entry!$B370)=10,Entry!$B370,"نامعتبر")))</f>
        <v/>
      </c>
      <c r="F367">
        <f>IF(Entry!$B370="","",IF(Entry!$C370="","0000",IF(AND(ISNUMBER(Entry!$C370),Entry!$C370&gt;=0,Entry!$C370&lt;1),RIGHT("00"&amp;HOUR(Entry!$C370),2)&amp;RIGHT("00"&amp;MINUTE(Entry!$C370),2),IFERROR(RIGHT("00"&amp;VALUE(LEFT(Entry!$C370,FIND(":",Entry!$C370)-1)),2)&amp;RIGHT("00"&amp;VALUE(MID(Entry!$C370,FIND(":",Entry!$C370)+1,2)),2),"0000"))))</f>
        <v/>
      </c>
      <c r="G367">
        <f>IF($A367="","",Entry!$G370)</f>
        <v/>
      </c>
      <c r="H367">
        <f>IF($A367="","",IF(Entry!$H370="",0,Entry!$H370))</f>
        <v/>
      </c>
      <c r="I367">
        <f>IF($A367="","",IF(Entry!$I370="",0,Entry!$I370))</f>
        <v/>
      </c>
      <c r="J367">
        <f>IF($A367="","",ROUND($H367*$I367,0))</f>
        <v/>
      </c>
      <c r="K367">
        <f>IF($A367="","",Entry!$D370)</f>
        <v/>
      </c>
      <c r="L367">
        <f>IF($A367="","",Entry!$L370)</f>
        <v/>
      </c>
      <c r="N367">
        <f>IF(OR(Sync!$M367="",$Q367="",$Q367="نامعتبر"),"",Sync!$M367)</f>
        <v/>
      </c>
      <c r="O367">
        <f>IF($N367="","",$Q367)</f>
        <v/>
      </c>
      <c r="P367">
        <f>IF($N367="","",LEFT($Q367,4)&amp;MID($Q367,6,2)&amp;RIGHT($Q367,2)&amp;IF(Sync!$K367="","0000",IF(AND(ISNUMBER(Sync!$K367),Sync!$K367&gt;=0,Sync!$K367&lt;1),RIGHT("00"&amp;HOUR(Sync!$K367),2)&amp;RIGHT("00"&amp;MINUTE(Sync!$K367),2),IFERROR(RIGHT("00"&amp;VALUE(LEFT(Sync!$K367,FIND(":",Sync!$K367)-1)),2)&amp;RIGHT("00"&amp;VALUE(MID(Sync!$K367,FIND(":",Sync!$K367)+1,2)),2),"0000")))&amp;"|"&amp;"2"&amp;RIGHT("00000"&amp;362,5))</f>
        <v/>
      </c>
      <c r="Q367">
        <f>IF(Sync!$J367="","",IF(ISNUMBER(Sync!$J367),IF(AND(Sync!$J367&gt;=10000101,Sync!$J367&lt;=99991231),INT(Sync!$J367/10000)&amp;"/"&amp;RIGHT("00"&amp;INT(MOD(Sync!$J367,10000)/100),2)&amp;"/"&amp;RIGHT("00"&amp;MOD(Sync!$J367,100),2),"نامعتبر"),IF(LEN(Sync!$J367)=10,Sync!$J367,"نامعتبر")))</f>
        <v/>
      </c>
      <c r="R367">
        <f>IF($P367="","",COUNTIFS($N$6:$N$2005,$N367,$P$6:$P$2005,"&lt;"&amp;$P367)+COUNTIFS($A$6:$A$1005,$N367,$B$6:$B$1005,"&lt;"&amp;$P367)+1)</f>
        <v/>
      </c>
      <c r="S367">
        <f>IF($N367="","",$N367&amp;"|"&amp;RIGHT("000000"&amp;$R367,6))</f>
        <v/>
      </c>
      <c r="T367">
        <f>IF($N367="","",IF(Sync!$N367="",0,Sync!$N367))</f>
        <v/>
      </c>
      <c r="U367">
        <f>IF($N367="","",IF(Sync!$O367="",0,Sync!$O367))</f>
        <v/>
      </c>
      <c r="V367">
        <f>IF($N367="","",Sync!$L367)</f>
        <v/>
      </c>
      <c r="W367">
        <f>IF($N367="","",Sync!$P367)</f>
        <v/>
      </c>
      <c r="AA367">
        <f>IF($A367="","",IF(COUNTIF($A$6:$A367,$A367)=1,1,0))</f>
        <v/>
      </c>
      <c r="AB367">
        <f>SUM($AA$6:$AA367)</f>
        <v/>
      </c>
      <c r="AC367">
        <f>IFERROR(INDEX($A$6:$A$1005,MATCH(ROW()-5,$AB$6:$AB$1005,0)),"")</f>
        <v/>
      </c>
    </row>
    <row r="368">
      <c r="A368">
        <f>IF(OR(Entry!$B371="",Entry!$E371="",$E368="نامعتبر"),"",Entry!$E371)</f>
        <v/>
      </c>
      <c r="B368">
        <f>IF($A368="","",LEFT($E368,4)&amp;MID($E368,6,2)&amp;RIGHT($E368,2)&amp;$F368&amp;"|"&amp;"1"&amp;RIGHT("00000"&amp;363,5))</f>
        <v/>
      </c>
      <c r="C368">
        <f>IF($B368="","",COUNTIFS($A$6:$A$1005,$A368,$B$6:$B$1005,"&lt;"&amp;$B368)+COUNTIFS($N$6:$N$2005,$A368,$P$6:$P$2005,"&lt;"&amp;$B368)+1)</f>
        <v/>
      </c>
      <c r="D368">
        <f>IF($C368="","",$A368&amp;"|"&amp;RIGHT("000000"&amp;$C368,6))</f>
        <v/>
      </c>
      <c r="E368">
        <f>IF(Entry!$B371="","",IF(ISNUMBER(Entry!$B371),IF(AND(Entry!$B371&gt;=10000101,Entry!$B371&lt;=99991231),INT(Entry!$B371/10000)&amp;"/"&amp;RIGHT("00"&amp;INT(MOD(Entry!$B371,10000)/100),2)&amp;"/"&amp;RIGHT("00"&amp;MOD(Entry!$B371,100),2),"نامعتبر"),IF(LEN(Entry!$B371)=10,Entry!$B371,"نامعتبر")))</f>
        <v/>
      </c>
      <c r="F368">
        <f>IF(Entry!$B371="","",IF(Entry!$C371="","0000",IF(AND(ISNUMBER(Entry!$C371),Entry!$C371&gt;=0,Entry!$C371&lt;1),RIGHT("00"&amp;HOUR(Entry!$C371),2)&amp;RIGHT("00"&amp;MINUTE(Entry!$C371),2),IFERROR(RIGHT("00"&amp;VALUE(LEFT(Entry!$C371,FIND(":",Entry!$C371)-1)),2)&amp;RIGHT("00"&amp;VALUE(MID(Entry!$C371,FIND(":",Entry!$C371)+1,2)),2),"0000"))))</f>
        <v/>
      </c>
      <c r="G368">
        <f>IF($A368="","",Entry!$G371)</f>
        <v/>
      </c>
      <c r="H368">
        <f>IF($A368="","",IF(Entry!$H371="",0,Entry!$H371))</f>
        <v/>
      </c>
      <c r="I368">
        <f>IF($A368="","",IF(Entry!$I371="",0,Entry!$I371))</f>
        <v/>
      </c>
      <c r="J368">
        <f>IF($A368="","",ROUND($H368*$I368,0))</f>
        <v/>
      </c>
      <c r="K368">
        <f>IF($A368="","",Entry!$D371)</f>
        <v/>
      </c>
      <c r="L368">
        <f>IF($A368="","",Entry!$L371)</f>
        <v/>
      </c>
      <c r="N368">
        <f>IF(OR(Sync!$M368="",$Q368="",$Q368="نامعتبر"),"",Sync!$M368)</f>
        <v/>
      </c>
      <c r="O368">
        <f>IF($N368="","",$Q368)</f>
        <v/>
      </c>
      <c r="P368">
        <f>IF($N368="","",LEFT($Q368,4)&amp;MID($Q368,6,2)&amp;RIGHT($Q368,2)&amp;IF(Sync!$K368="","0000",IF(AND(ISNUMBER(Sync!$K368),Sync!$K368&gt;=0,Sync!$K368&lt;1),RIGHT("00"&amp;HOUR(Sync!$K368),2)&amp;RIGHT("00"&amp;MINUTE(Sync!$K368),2),IFERROR(RIGHT("00"&amp;VALUE(LEFT(Sync!$K368,FIND(":",Sync!$K368)-1)),2)&amp;RIGHT("00"&amp;VALUE(MID(Sync!$K368,FIND(":",Sync!$K368)+1,2)),2),"0000")))&amp;"|"&amp;"2"&amp;RIGHT("00000"&amp;363,5))</f>
        <v/>
      </c>
      <c r="Q368">
        <f>IF(Sync!$J368="","",IF(ISNUMBER(Sync!$J368),IF(AND(Sync!$J368&gt;=10000101,Sync!$J368&lt;=99991231),INT(Sync!$J368/10000)&amp;"/"&amp;RIGHT("00"&amp;INT(MOD(Sync!$J368,10000)/100),2)&amp;"/"&amp;RIGHT("00"&amp;MOD(Sync!$J368,100),2),"نامعتبر"),IF(LEN(Sync!$J368)=10,Sync!$J368,"نامعتبر")))</f>
        <v/>
      </c>
      <c r="R368">
        <f>IF($P368="","",COUNTIFS($N$6:$N$2005,$N368,$P$6:$P$2005,"&lt;"&amp;$P368)+COUNTIFS($A$6:$A$1005,$N368,$B$6:$B$1005,"&lt;"&amp;$P368)+1)</f>
        <v/>
      </c>
      <c r="S368">
        <f>IF($N368="","",$N368&amp;"|"&amp;RIGHT("000000"&amp;$R368,6))</f>
        <v/>
      </c>
      <c r="T368">
        <f>IF($N368="","",IF(Sync!$N368="",0,Sync!$N368))</f>
        <v/>
      </c>
      <c r="U368">
        <f>IF($N368="","",IF(Sync!$O368="",0,Sync!$O368))</f>
        <v/>
      </c>
      <c r="V368">
        <f>IF($N368="","",Sync!$L368)</f>
        <v/>
      </c>
      <c r="W368">
        <f>IF($N368="","",Sync!$P368)</f>
        <v/>
      </c>
      <c r="AA368">
        <f>IF($A368="","",IF(COUNTIF($A$6:$A368,$A368)=1,1,0))</f>
        <v/>
      </c>
      <c r="AB368">
        <f>SUM($AA$6:$AA368)</f>
        <v/>
      </c>
      <c r="AC368">
        <f>IFERROR(INDEX($A$6:$A$1005,MATCH(ROW()-5,$AB$6:$AB$1005,0)),"")</f>
        <v/>
      </c>
    </row>
    <row r="369">
      <c r="A369">
        <f>IF(OR(Entry!$B372="",Entry!$E372="",$E369="نامعتبر"),"",Entry!$E372)</f>
        <v/>
      </c>
      <c r="B369">
        <f>IF($A369="","",LEFT($E369,4)&amp;MID($E369,6,2)&amp;RIGHT($E369,2)&amp;$F369&amp;"|"&amp;"1"&amp;RIGHT("00000"&amp;364,5))</f>
        <v/>
      </c>
      <c r="C369">
        <f>IF($B369="","",COUNTIFS($A$6:$A$1005,$A369,$B$6:$B$1005,"&lt;"&amp;$B369)+COUNTIFS($N$6:$N$2005,$A369,$P$6:$P$2005,"&lt;"&amp;$B369)+1)</f>
        <v/>
      </c>
      <c r="D369">
        <f>IF($C369="","",$A369&amp;"|"&amp;RIGHT("000000"&amp;$C369,6))</f>
        <v/>
      </c>
      <c r="E369">
        <f>IF(Entry!$B372="","",IF(ISNUMBER(Entry!$B372),IF(AND(Entry!$B372&gt;=10000101,Entry!$B372&lt;=99991231),INT(Entry!$B372/10000)&amp;"/"&amp;RIGHT("00"&amp;INT(MOD(Entry!$B372,10000)/100),2)&amp;"/"&amp;RIGHT("00"&amp;MOD(Entry!$B372,100),2),"نامعتبر"),IF(LEN(Entry!$B372)=10,Entry!$B372,"نامعتبر")))</f>
        <v/>
      </c>
      <c r="F369">
        <f>IF(Entry!$B372="","",IF(Entry!$C372="","0000",IF(AND(ISNUMBER(Entry!$C372),Entry!$C372&gt;=0,Entry!$C372&lt;1),RIGHT("00"&amp;HOUR(Entry!$C372),2)&amp;RIGHT("00"&amp;MINUTE(Entry!$C372),2),IFERROR(RIGHT("00"&amp;VALUE(LEFT(Entry!$C372,FIND(":",Entry!$C372)-1)),2)&amp;RIGHT("00"&amp;VALUE(MID(Entry!$C372,FIND(":",Entry!$C372)+1,2)),2),"0000"))))</f>
        <v/>
      </c>
      <c r="G369">
        <f>IF($A369="","",Entry!$G372)</f>
        <v/>
      </c>
      <c r="H369">
        <f>IF($A369="","",IF(Entry!$H372="",0,Entry!$H372))</f>
        <v/>
      </c>
      <c r="I369">
        <f>IF($A369="","",IF(Entry!$I372="",0,Entry!$I372))</f>
        <v/>
      </c>
      <c r="J369">
        <f>IF($A369="","",ROUND($H369*$I369,0))</f>
        <v/>
      </c>
      <c r="K369">
        <f>IF($A369="","",Entry!$D372)</f>
        <v/>
      </c>
      <c r="L369">
        <f>IF($A369="","",Entry!$L372)</f>
        <v/>
      </c>
      <c r="N369">
        <f>IF(OR(Sync!$M369="",$Q369="",$Q369="نامعتبر"),"",Sync!$M369)</f>
        <v/>
      </c>
      <c r="O369">
        <f>IF($N369="","",$Q369)</f>
        <v/>
      </c>
      <c r="P369">
        <f>IF($N369="","",LEFT($Q369,4)&amp;MID($Q369,6,2)&amp;RIGHT($Q369,2)&amp;IF(Sync!$K369="","0000",IF(AND(ISNUMBER(Sync!$K369),Sync!$K369&gt;=0,Sync!$K369&lt;1),RIGHT("00"&amp;HOUR(Sync!$K369),2)&amp;RIGHT("00"&amp;MINUTE(Sync!$K369),2),IFERROR(RIGHT("00"&amp;VALUE(LEFT(Sync!$K369,FIND(":",Sync!$K369)-1)),2)&amp;RIGHT("00"&amp;VALUE(MID(Sync!$K369,FIND(":",Sync!$K369)+1,2)),2),"0000")))&amp;"|"&amp;"2"&amp;RIGHT("00000"&amp;364,5))</f>
        <v/>
      </c>
      <c r="Q369">
        <f>IF(Sync!$J369="","",IF(ISNUMBER(Sync!$J369),IF(AND(Sync!$J369&gt;=10000101,Sync!$J369&lt;=99991231),INT(Sync!$J369/10000)&amp;"/"&amp;RIGHT("00"&amp;INT(MOD(Sync!$J369,10000)/100),2)&amp;"/"&amp;RIGHT("00"&amp;MOD(Sync!$J369,100),2),"نامعتبر"),IF(LEN(Sync!$J369)=10,Sync!$J369,"نامعتبر")))</f>
        <v/>
      </c>
      <c r="R369">
        <f>IF($P369="","",COUNTIFS($N$6:$N$2005,$N369,$P$6:$P$2005,"&lt;"&amp;$P369)+COUNTIFS($A$6:$A$1005,$N369,$B$6:$B$1005,"&lt;"&amp;$P369)+1)</f>
        <v/>
      </c>
      <c r="S369">
        <f>IF($N369="","",$N369&amp;"|"&amp;RIGHT("000000"&amp;$R369,6))</f>
        <v/>
      </c>
      <c r="T369">
        <f>IF($N369="","",IF(Sync!$N369="",0,Sync!$N369))</f>
        <v/>
      </c>
      <c r="U369">
        <f>IF($N369="","",IF(Sync!$O369="",0,Sync!$O369))</f>
        <v/>
      </c>
      <c r="V369">
        <f>IF($N369="","",Sync!$L369)</f>
        <v/>
      </c>
      <c r="W369">
        <f>IF($N369="","",Sync!$P369)</f>
        <v/>
      </c>
      <c r="AA369">
        <f>IF($A369="","",IF(COUNTIF($A$6:$A369,$A369)=1,1,0))</f>
        <v/>
      </c>
      <c r="AB369">
        <f>SUM($AA$6:$AA369)</f>
        <v/>
      </c>
      <c r="AC369">
        <f>IFERROR(INDEX($A$6:$A$1005,MATCH(ROW()-5,$AB$6:$AB$1005,0)),"")</f>
        <v/>
      </c>
    </row>
    <row r="370">
      <c r="A370">
        <f>IF(OR(Entry!$B373="",Entry!$E373="",$E370="نامعتبر"),"",Entry!$E373)</f>
        <v/>
      </c>
      <c r="B370">
        <f>IF($A370="","",LEFT($E370,4)&amp;MID($E370,6,2)&amp;RIGHT($E370,2)&amp;$F370&amp;"|"&amp;"1"&amp;RIGHT("00000"&amp;365,5))</f>
        <v/>
      </c>
      <c r="C370">
        <f>IF($B370="","",COUNTIFS($A$6:$A$1005,$A370,$B$6:$B$1005,"&lt;"&amp;$B370)+COUNTIFS($N$6:$N$2005,$A370,$P$6:$P$2005,"&lt;"&amp;$B370)+1)</f>
        <v/>
      </c>
      <c r="D370">
        <f>IF($C370="","",$A370&amp;"|"&amp;RIGHT("000000"&amp;$C370,6))</f>
        <v/>
      </c>
      <c r="E370">
        <f>IF(Entry!$B373="","",IF(ISNUMBER(Entry!$B373),IF(AND(Entry!$B373&gt;=10000101,Entry!$B373&lt;=99991231),INT(Entry!$B373/10000)&amp;"/"&amp;RIGHT("00"&amp;INT(MOD(Entry!$B373,10000)/100),2)&amp;"/"&amp;RIGHT("00"&amp;MOD(Entry!$B373,100),2),"نامعتبر"),IF(LEN(Entry!$B373)=10,Entry!$B373,"نامعتبر")))</f>
        <v/>
      </c>
      <c r="F370">
        <f>IF(Entry!$B373="","",IF(Entry!$C373="","0000",IF(AND(ISNUMBER(Entry!$C373),Entry!$C373&gt;=0,Entry!$C373&lt;1),RIGHT("00"&amp;HOUR(Entry!$C373),2)&amp;RIGHT("00"&amp;MINUTE(Entry!$C373),2),IFERROR(RIGHT("00"&amp;VALUE(LEFT(Entry!$C373,FIND(":",Entry!$C373)-1)),2)&amp;RIGHT("00"&amp;VALUE(MID(Entry!$C373,FIND(":",Entry!$C373)+1,2)),2),"0000"))))</f>
        <v/>
      </c>
      <c r="G370">
        <f>IF($A370="","",Entry!$G373)</f>
        <v/>
      </c>
      <c r="H370">
        <f>IF($A370="","",IF(Entry!$H373="",0,Entry!$H373))</f>
        <v/>
      </c>
      <c r="I370">
        <f>IF($A370="","",IF(Entry!$I373="",0,Entry!$I373))</f>
        <v/>
      </c>
      <c r="J370">
        <f>IF($A370="","",ROUND($H370*$I370,0))</f>
        <v/>
      </c>
      <c r="K370">
        <f>IF($A370="","",Entry!$D373)</f>
        <v/>
      </c>
      <c r="L370">
        <f>IF($A370="","",Entry!$L373)</f>
        <v/>
      </c>
      <c r="N370">
        <f>IF(OR(Sync!$M370="",$Q370="",$Q370="نامعتبر"),"",Sync!$M370)</f>
        <v/>
      </c>
      <c r="O370">
        <f>IF($N370="","",$Q370)</f>
        <v/>
      </c>
      <c r="P370">
        <f>IF($N370="","",LEFT($Q370,4)&amp;MID($Q370,6,2)&amp;RIGHT($Q370,2)&amp;IF(Sync!$K370="","0000",IF(AND(ISNUMBER(Sync!$K370),Sync!$K370&gt;=0,Sync!$K370&lt;1),RIGHT("00"&amp;HOUR(Sync!$K370),2)&amp;RIGHT("00"&amp;MINUTE(Sync!$K370),2),IFERROR(RIGHT("00"&amp;VALUE(LEFT(Sync!$K370,FIND(":",Sync!$K370)-1)),2)&amp;RIGHT("00"&amp;VALUE(MID(Sync!$K370,FIND(":",Sync!$K370)+1,2)),2),"0000")))&amp;"|"&amp;"2"&amp;RIGHT("00000"&amp;365,5))</f>
        <v/>
      </c>
      <c r="Q370">
        <f>IF(Sync!$J370="","",IF(ISNUMBER(Sync!$J370),IF(AND(Sync!$J370&gt;=10000101,Sync!$J370&lt;=99991231),INT(Sync!$J370/10000)&amp;"/"&amp;RIGHT("00"&amp;INT(MOD(Sync!$J370,10000)/100),2)&amp;"/"&amp;RIGHT("00"&amp;MOD(Sync!$J370,100),2),"نامعتبر"),IF(LEN(Sync!$J370)=10,Sync!$J370,"نامعتبر")))</f>
        <v/>
      </c>
      <c r="R370">
        <f>IF($P370="","",COUNTIFS($N$6:$N$2005,$N370,$P$6:$P$2005,"&lt;"&amp;$P370)+COUNTIFS($A$6:$A$1005,$N370,$B$6:$B$1005,"&lt;"&amp;$P370)+1)</f>
        <v/>
      </c>
      <c r="S370">
        <f>IF($N370="","",$N370&amp;"|"&amp;RIGHT("000000"&amp;$R370,6))</f>
        <v/>
      </c>
      <c r="T370">
        <f>IF($N370="","",IF(Sync!$N370="",0,Sync!$N370))</f>
        <v/>
      </c>
      <c r="U370">
        <f>IF($N370="","",IF(Sync!$O370="",0,Sync!$O370))</f>
        <v/>
      </c>
      <c r="V370">
        <f>IF($N370="","",Sync!$L370)</f>
        <v/>
      </c>
      <c r="W370">
        <f>IF($N370="","",Sync!$P370)</f>
        <v/>
      </c>
      <c r="AA370">
        <f>IF($A370="","",IF(COUNTIF($A$6:$A370,$A370)=1,1,0))</f>
        <v/>
      </c>
      <c r="AB370">
        <f>SUM($AA$6:$AA370)</f>
        <v/>
      </c>
      <c r="AC370">
        <f>IFERROR(INDEX($A$6:$A$1005,MATCH(ROW()-5,$AB$6:$AB$1005,0)),"")</f>
        <v/>
      </c>
    </row>
    <row r="371">
      <c r="A371">
        <f>IF(OR(Entry!$B374="",Entry!$E374="",$E371="نامعتبر"),"",Entry!$E374)</f>
        <v/>
      </c>
      <c r="B371">
        <f>IF($A371="","",LEFT($E371,4)&amp;MID($E371,6,2)&amp;RIGHT($E371,2)&amp;$F371&amp;"|"&amp;"1"&amp;RIGHT("00000"&amp;366,5))</f>
        <v/>
      </c>
      <c r="C371">
        <f>IF($B371="","",COUNTIFS($A$6:$A$1005,$A371,$B$6:$B$1005,"&lt;"&amp;$B371)+COUNTIFS($N$6:$N$2005,$A371,$P$6:$P$2005,"&lt;"&amp;$B371)+1)</f>
        <v/>
      </c>
      <c r="D371">
        <f>IF($C371="","",$A371&amp;"|"&amp;RIGHT("000000"&amp;$C371,6))</f>
        <v/>
      </c>
      <c r="E371">
        <f>IF(Entry!$B374="","",IF(ISNUMBER(Entry!$B374),IF(AND(Entry!$B374&gt;=10000101,Entry!$B374&lt;=99991231),INT(Entry!$B374/10000)&amp;"/"&amp;RIGHT("00"&amp;INT(MOD(Entry!$B374,10000)/100),2)&amp;"/"&amp;RIGHT("00"&amp;MOD(Entry!$B374,100),2),"نامعتبر"),IF(LEN(Entry!$B374)=10,Entry!$B374,"نامعتبر")))</f>
        <v/>
      </c>
      <c r="F371">
        <f>IF(Entry!$B374="","",IF(Entry!$C374="","0000",IF(AND(ISNUMBER(Entry!$C374),Entry!$C374&gt;=0,Entry!$C374&lt;1),RIGHT("00"&amp;HOUR(Entry!$C374),2)&amp;RIGHT("00"&amp;MINUTE(Entry!$C374),2),IFERROR(RIGHT("00"&amp;VALUE(LEFT(Entry!$C374,FIND(":",Entry!$C374)-1)),2)&amp;RIGHT("00"&amp;VALUE(MID(Entry!$C374,FIND(":",Entry!$C374)+1,2)),2),"0000"))))</f>
        <v/>
      </c>
      <c r="G371">
        <f>IF($A371="","",Entry!$G374)</f>
        <v/>
      </c>
      <c r="H371">
        <f>IF($A371="","",IF(Entry!$H374="",0,Entry!$H374))</f>
        <v/>
      </c>
      <c r="I371">
        <f>IF($A371="","",IF(Entry!$I374="",0,Entry!$I374))</f>
        <v/>
      </c>
      <c r="J371">
        <f>IF($A371="","",ROUND($H371*$I371,0))</f>
        <v/>
      </c>
      <c r="K371">
        <f>IF($A371="","",Entry!$D374)</f>
        <v/>
      </c>
      <c r="L371">
        <f>IF($A371="","",Entry!$L374)</f>
        <v/>
      </c>
      <c r="N371">
        <f>IF(OR(Sync!$M371="",$Q371="",$Q371="نامعتبر"),"",Sync!$M371)</f>
        <v/>
      </c>
      <c r="O371">
        <f>IF($N371="","",$Q371)</f>
        <v/>
      </c>
      <c r="P371">
        <f>IF($N371="","",LEFT($Q371,4)&amp;MID($Q371,6,2)&amp;RIGHT($Q371,2)&amp;IF(Sync!$K371="","0000",IF(AND(ISNUMBER(Sync!$K371),Sync!$K371&gt;=0,Sync!$K371&lt;1),RIGHT("00"&amp;HOUR(Sync!$K371),2)&amp;RIGHT("00"&amp;MINUTE(Sync!$K371),2),IFERROR(RIGHT("00"&amp;VALUE(LEFT(Sync!$K371,FIND(":",Sync!$K371)-1)),2)&amp;RIGHT("00"&amp;VALUE(MID(Sync!$K371,FIND(":",Sync!$K371)+1,2)),2),"0000")))&amp;"|"&amp;"2"&amp;RIGHT("00000"&amp;366,5))</f>
        <v/>
      </c>
      <c r="Q371">
        <f>IF(Sync!$J371="","",IF(ISNUMBER(Sync!$J371),IF(AND(Sync!$J371&gt;=10000101,Sync!$J371&lt;=99991231),INT(Sync!$J371/10000)&amp;"/"&amp;RIGHT("00"&amp;INT(MOD(Sync!$J371,10000)/100),2)&amp;"/"&amp;RIGHT("00"&amp;MOD(Sync!$J371,100),2),"نامعتبر"),IF(LEN(Sync!$J371)=10,Sync!$J371,"نامعتبر")))</f>
        <v/>
      </c>
      <c r="R371">
        <f>IF($P371="","",COUNTIFS($N$6:$N$2005,$N371,$P$6:$P$2005,"&lt;"&amp;$P371)+COUNTIFS($A$6:$A$1005,$N371,$B$6:$B$1005,"&lt;"&amp;$P371)+1)</f>
        <v/>
      </c>
      <c r="S371">
        <f>IF($N371="","",$N371&amp;"|"&amp;RIGHT("000000"&amp;$R371,6))</f>
        <v/>
      </c>
      <c r="T371">
        <f>IF($N371="","",IF(Sync!$N371="",0,Sync!$N371))</f>
        <v/>
      </c>
      <c r="U371">
        <f>IF($N371="","",IF(Sync!$O371="",0,Sync!$O371))</f>
        <v/>
      </c>
      <c r="V371">
        <f>IF($N371="","",Sync!$L371)</f>
        <v/>
      </c>
      <c r="W371">
        <f>IF($N371="","",Sync!$P371)</f>
        <v/>
      </c>
      <c r="AA371">
        <f>IF($A371="","",IF(COUNTIF($A$6:$A371,$A371)=1,1,0))</f>
        <v/>
      </c>
      <c r="AB371">
        <f>SUM($AA$6:$AA371)</f>
        <v/>
      </c>
      <c r="AC371">
        <f>IFERROR(INDEX($A$6:$A$1005,MATCH(ROW()-5,$AB$6:$AB$1005,0)),"")</f>
        <v/>
      </c>
    </row>
    <row r="372">
      <c r="A372">
        <f>IF(OR(Entry!$B375="",Entry!$E375="",$E372="نامعتبر"),"",Entry!$E375)</f>
        <v/>
      </c>
      <c r="B372">
        <f>IF($A372="","",LEFT($E372,4)&amp;MID($E372,6,2)&amp;RIGHT($E372,2)&amp;$F372&amp;"|"&amp;"1"&amp;RIGHT("00000"&amp;367,5))</f>
        <v/>
      </c>
      <c r="C372">
        <f>IF($B372="","",COUNTIFS($A$6:$A$1005,$A372,$B$6:$B$1005,"&lt;"&amp;$B372)+COUNTIFS($N$6:$N$2005,$A372,$P$6:$P$2005,"&lt;"&amp;$B372)+1)</f>
        <v/>
      </c>
      <c r="D372">
        <f>IF($C372="","",$A372&amp;"|"&amp;RIGHT("000000"&amp;$C372,6))</f>
        <v/>
      </c>
      <c r="E372">
        <f>IF(Entry!$B375="","",IF(ISNUMBER(Entry!$B375),IF(AND(Entry!$B375&gt;=10000101,Entry!$B375&lt;=99991231),INT(Entry!$B375/10000)&amp;"/"&amp;RIGHT("00"&amp;INT(MOD(Entry!$B375,10000)/100),2)&amp;"/"&amp;RIGHT("00"&amp;MOD(Entry!$B375,100),2),"نامعتبر"),IF(LEN(Entry!$B375)=10,Entry!$B375,"نامعتبر")))</f>
        <v/>
      </c>
      <c r="F372">
        <f>IF(Entry!$B375="","",IF(Entry!$C375="","0000",IF(AND(ISNUMBER(Entry!$C375),Entry!$C375&gt;=0,Entry!$C375&lt;1),RIGHT("00"&amp;HOUR(Entry!$C375),2)&amp;RIGHT("00"&amp;MINUTE(Entry!$C375),2),IFERROR(RIGHT("00"&amp;VALUE(LEFT(Entry!$C375,FIND(":",Entry!$C375)-1)),2)&amp;RIGHT("00"&amp;VALUE(MID(Entry!$C375,FIND(":",Entry!$C375)+1,2)),2),"0000"))))</f>
        <v/>
      </c>
      <c r="G372">
        <f>IF($A372="","",Entry!$G375)</f>
        <v/>
      </c>
      <c r="H372">
        <f>IF($A372="","",IF(Entry!$H375="",0,Entry!$H375))</f>
        <v/>
      </c>
      <c r="I372">
        <f>IF($A372="","",IF(Entry!$I375="",0,Entry!$I375))</f>
        <v/>
      </c>
      <c r="J372">
        <f>IF($A372="","",ROUND($H372*$I372,0))</f>
        <v/>
      </c>
      <c r="K372">
        <f>IF($A372="","",Entry!$D375)</f>
        <v/>
      </c>
      <c r="L372">
        <f>IF($A372="","",Entry!$L375)</f>
        <v/>
      </c>
      <c r="N372">
        <f>IF(OR(Sync!$M372="",$Q372="",$Q372="نامعتبر"),"",Sync!$M372)</f>
        <v/>
      </c>
      <c r="O372">
        <f>IF($N372="","",$Q372)</f>
        <v/>
      </c>
      <c r="P372">
        <f>IF($N372="","",LEFT($Q372,4)&amp;MID($Q372,6,2)&amp;RIGHT($Q372,2)&amp;IF(Sync!$K372="","0000",IF(AND(ISNUMBER(Sync!$K372),Sync!$K372&gt;=0,Sync!$K372&lt;1),RIGHT("00"&amp;HOUR(Sync!$K372),2)&amp;RIGHT("00"&amp;MINUTE(Sync!$K372),2),IFERROR(RIGHT("00"&amp;VALUE(LEFT(Sync!$K372,FIND(":",Sync!$K372)-1)),2)&amp;RIGHT("00"&amp;VALUE(MID(Sync!$K372,FIND(":",Sync!$K372)+1,2)),2),"0000")))&amp;"|"&amp;"2"&amp;RIGHT("00000"&amp;367,5))</f>
        <v/>
      </c>
      <c r="Q372">
        <f>IF(Sync!$J372="","",IF(ISNUMBER(Sync!$J372),IF(AND(Sync!$J372&gt;=10000101,Sync!$J372&lt;=99991231),INT(Sync!$J372/10000)&amp;"/"&amp;RIGHT("00"&amp;INT(MOD(Sync!$J372,10000)/100),2)&amp;"/"&amp;RIGHT("00"&amp;MOD(Sync!$J372,100),2),"نامعتبر"),IF(LEN(Sync!$J372)=10,Sync!$J372,"نامعتبر")))</f>
        <v/>
      </c>
      <c r="R372">
        <f>IF($P372="","",COUNTIFS($N$6:$N$2005,$N372,$P$6:$P$2005,"&lt;"&amp;$P372)+COUNTIFS($A$6:$A$1005,$N372,$B$6:$B$1005,"&lt;"&amp;$P372)+1)</f>
        <v/>
      </c>
      <c r="S372">
        <f>IF($N372="","",$N372&amp;"|"&amp;RIGHT("000000"&amp;$R372,6))</f>
        <v/>
      </c>
      <c r="T372">
        <f>IF($N372="","",IF(Sync!$N372="",0,Sync!$N372))</f>
        <v/>
      </c>
      <c r="U372">
        <f>IF($N372="","",IF(Sync!$O372="",0,Sync!$O372))</f>
        <v/>
      </c>
      <c r="V372">
        <f>IF($N372="","",Sync!$L372)</f>
        <v/>
      </c>
      <c r="W372">
        <f>IF($N372="","",Sync!$P372)</f>
        <v/>
      </c>
      <c r="AA372">
        <f>IF($A372="","",IF(COUNTIF($A$6:$A372,$A372)=1,1,0))</f>
        <v/>
      </c>
      <c r="AB372">
        <f>SUM($AA$6:$AA372)</f>
        <v/>
      </c>
      <c r="AC372">
        <f>IFERROR(INDEX($A$6:$A$1005,MATCH(ROW()-5,$AB$6:$AB$1005,0)),"")</f>
        <v/>
      </c>
    </row>
    <row r="373">
      <c r="A373">
        <f>IF(OR(Entry!$B376="",Entry!$E376="",$E373="نامعتبر"),"",Entry!$E376)</f>
        <v/>
      </c>
      <c r="B373">
        <f>IF($A373="","",LEFT($E373,4)&amp;MID($E373,6,2)&amp;RIGHT($E373,2)&amp;$F373&amp;"|"&amp;"1"&amp;RIGHT("00000"&amp;368,5))</f>
        <v/>
      </c>
      <c r="C373">
        <f>IF($B373="","",COUNTIFS($A$6:$A$1005,$A373,$B$6:$B$1005,"&lt;"&amp;$B373)+COUNTIFS($N$6:$N$2005,$A373,$P$6:$P$2005,"&lt;"&amp;$B373)+1)</f>
        <v/>
      </c>
      <c r="D373">
        <f>IF($C373="","",$A373&amp;"|"&amp;RIGHT("000000"&amp;$C373,6))</f>
        <v/>
      </c>
      <c r="E373">
        <f>IF(Entry!$B376="","",IF(ISNUMBER(Entry!$B376),IF(AND(Entry!$B376&gt;=10000101,Entry!$B376&lt;=99991231),INT(Entry!$B376/10000)&amp;"/"&amp;RIGHT("00"&amp;INT(MOD(Entry!$B376,10000)/100),2)&amp;"/"&amp;RIGHT("00"&amp;MOD(Entry!$B376,100),2),"نامعتبر"),IF(LEN(Entry!$B376)=10,Entry!$B376,"نامعتبر")))</f>
        <v/>
      </c>
      <c r="F373">
        <f>IF(Entry!$B376="","",IF(Entry!$C376="","0000",IF(AND(ISNUMBER(Entry!$C376),Entry!$C376&gt;=0,Entry!$C376&lt;1),RIGHT("00"&amp;HOUR(Entry!$C376),2)&amp;RIGHT("00"&amp;MINUTE(Entry!$C376),2),IFERROR(RIGHT("00"&amp;VALUE(LEFT(Entry!$C376,FIND(":",Entry!$C376)-1)),2)&amp;RIGHT("00"&amp;VALUE(MID(Entry!$C376,FIND(":",Entry!$C376)+1,2)),2),"0000"))))</f>
        <v/>
      </c>
      <c r="G373">
        <f>IF($A373="","",Entry!$G376)</f>
        <v/>
      </c>
      <c r="H373">
        <f>IF($A373="","",IF(Entry!$H376="",0,Entry!$H376))</f>
        <v/>
      </c>
      <c r="I373">
        <f>IF($A373="","",IF(Entry!$I376="",0,Entry!$I376))</f>
        <v/>
      </c>
      <c r="J373">
        <f>IF($A373="","",ROUND($H373*$I373,0))</f>
        <v/>
      </c>
      <c r="K373">
        <f>IF($A373="","",Entry!$D376)</f>
        <v/>
      </c>
      <c r="L373">
        <f>IF($A373="","",Entry!$L376)</f>
        <v/>
      </c>
      <c r="N373">
        <f>IF(OR(Sync!$M373="",$Q373="",$Q373="نامعتبر"),"",Sync!$M373)</f>
        <v/>
      </c>
      <c r="O373">
        <f>IF($N373="","",$Q373)</f>
        <v/>
      </c>
      <c r="P373">
        <f>IF($N373="","",LEFT($Q373,4)&amp;MID($Q373,6,2)&amp;RIGHT($Q373,2)&amp;IF(Sync!$K373="","0000",IF(AND(ISNUMBER(Sync!$K373),Sync!$K373&gt;=0,Sync!$K373&lt;1),RIGHT("00"&amp;HOUR(Sync!$K373),2)&amp;RIGHT("00"&amp;MINUTE(Sync!$K373),2),IFERROR(RIGHT("00"&amp;VALUE(LEFT(Sync!$K373,FIND(":",Sync!$K373)-1)),2)&amp;RIGHT("00"&amp;VALUE(MID(Sync!$K373,FIND(":",Sync!$K373)+1,2)),2),"0000")))&amp;"|"&amp;"2"&amp;RIGHT("00000"&amp;368,5))</f>
        <v/>
      </c>
      <c r="Q373">
        <f>IF(Sync!$J373="","",IF(ISNUMBER(Sync!$J373),IF(AND(Sync!$J373&gt;=10000101,Sync!$J373&lt;=99991231),INT(Sync!$J373/10000)&amp;"/"&amp;RIGHT("00"&amp;INT(MOD(Sync!$J373,10000)/100),2)&amp;"/"&amp;RIGHT("00"&amp;MOD(Sync!$J373,100),2),"نامعتبر"),IF(LEN(Sync!$J373)=10,Sync!$J373,"نامعتبر")))</f>
        <v/>
      </c>
      <c r="R373">
        <f>IF($P373="","",COUNTIFS($N$6:$N$2005,$N373,$P$6:$P$2005,"&lt;"&amp;$P373)+COUNTIFS($A$6:$A$1005,$N373,$B$6:$B$1005,"&lt;"&amp;$P373)+1)</f>
        <v/>
      </c>
      <c r="S373">
        <f>IF($N373="","",$N373&amp;"|"&amp;RIGHT("000000"&amp;$R373,6))</f>
        <v/>
      </c>
      <c r="T373">
        <f>IF($N373="","",IF(Sync!$N373="",0,Sync!$N373))</f>
        <v/>
      </c>
      <c r="U373">
        <f>IF($N373="","",IF(Sync!$O373="",0,Sync!$O373))</f>
        <v/>
      </c>
      <c r="V373">
        <f>IF($N373="","",Sync!$L373)</f>
        <v/>
      </c>
      <c r="W373">
        <f>IF($N373="","",Sync!$P373)</f>
        <v/>
      </c>
      <c r="AA373">
        <f>IF($A373="","",IF(COUNTIF($A$6:$A373,$A373)=1,1,0))</f>
        <v/>
      </c>
      <c r="AB373">
        <f>SUM($AA$6:$AA373)</f>
        <v/>
      </c>
      <c r="AC373">
        <f>IFERROR(INDEX($A$6:$A$1005,MATCH(ROW()-5,$AB$6:$AB$1005,0)),"")</f>
        <v/>
      </c>
    </row>
    <row r="374">
      <c r="A374">
        <f>IF(OR(Entry!$B377="",Entry!$E377="",$E374="نامعتبر"),"",Entry!$E377)</f>
        <v/>
      </c>
      <c r="B374">
        <f>IF($A374="","",LEFT($E374,4)&amp;MID($E374,6,2)&amp;RIGHT($E374,2)&amp;$F374&amp;"|"&amp;"1"&amp;RIGHT("00000"&amp;369,5))</f>
        <v/>
      </c>
      <c r="C374">
        <f>IF($B374="","",COUNTIFS($A$6:$A$1005,$A374,$B$6:$B$1005,"&lt;"&amp;$B374)+COUNTIFS($N$6:$N$2005,$A374,$P$6:$P$2005,"&lt;"&amp;$B374)+1)</f>
        <v/>
      </c>
      <c r="D374">
        <f>IF($C374="","",$A374&amp;"|"&amp;RIGHT("000000"&amp;$C374,6))</f>
        <v/>
      </c>
      <c r="E374">
        <f>IF(Entry!$B377="","",IF(ISNUMBER(Entry!$B377),IF(AND(Entry!$B377&gt;=10000101,Entry!$B377&lt;=99991231),INT(Entry!$B377/10000)&amp;"/"&amp;RIGHT("00"&amp;INT(MOD(Entry!$B377,10000)/100),2)&amp;"/"&amp;RIGHT("00"&amp;MOD(Entry!$B377,100),2),"نامعتبر"),IF(LEN(Entry!$B377)=10,Entry!$B377,"نامعتبر")))</f>
        <v/>
      </c>
      <c r="F374">
        <f>IF(Entry!$B377="","",IF(Entry!$C377="","0000",IF(AND(ISNUMBER(Entry!$C377),Entry!$C377&gt;=0,Entry!$C377&lt;1),RIGHT("00"&amp;HOUR(Entry!$C377),2)&amp;RIGHT("00"&amp;MINUTE(Entry!$C377),2),IFERROR(RIGHT("00"&amp;VALUE(LEFT(Entry!$C377,FIND(":",Entry!$C377)-1)),2)&amp;RIGHT("00"&amp;VALUE(MID(Entry!$C377,FIND(":",Entry!$C377)+1,2)),2),"0000"))))</f>
        <v/>
      </c>
      <c r="G374">
        <f>IF($A374="","",Entry!$G377)</f>
        <v/>
      </c>
      <c r="H374">
        <f>IF($A374="","",IF(Entry!$H377="",0,Entry!$H377))</f>
        <v/>
      </c>
      <c r="I374">
        <f>IF($A374="","",IF(Entry!$I377="",0,Entry!$I377))</f>
        <v/>
      </c>
      <c r="J374">
        <f>IF($A374="","",ROUND($H374*$I374,0))</f>
        <v/>
      </c>
      <c r="K374">
        <f>IF($A374="","",Entry!$D377)</f>
        <v/>
      </c>
      <c r="L374">
        <f>IF($A374="","",Entry!$L377)</f>
        <v/>
      </c>
      <c r="N374">
        <f>IF(OR(Sync!$M374="",$Q374="",$Q374="نامعتبر"),"",Sync!$M374)</f>
        <v/>
      </c>
      <c r="O374">
        <f>IF($N374="","",$Q374)</f>
        <v/>
      </c>
      <c r="P374">
        <f>IF($N374="","",LEFT($Q374,4)&amp;MID($Q374,6,2)&amp;RIGHT($Q374,2)&amp;IF(Sync!$K374="","0000",IF(AND(ISNUMBER(Sync!$K374),Sync!$K374&gt;=0,Sync!$K374&lt;1),RIGHT("00"&amp;HOUR(Sync!$K374),2)&amp;RIGHT("00"&amp;MINUTE(Sync!$K374),2),IFERROR(RIGHT("00"&amp;VALUE(LEFT(Sync!$K374,FIND(":",Sync!$K374)-1)),2)&amp;RIGHT("00"&amp;VALUE(MID(Sync!$K374,FIND(":",Sync!$K374)+1,2)),2),"0000")))&amp;"|"&amp;"2"&amp;RIGHT("00000"&amp;369,5))</f>
        <v/>
      </c>
      <c r="Q374">
        <f>IF(Sync!$J374="","",IF(ISNUMBER(Sync!$J374),IF(AND(Sync!$J374&gt;=10000101,Sync!$J374&lt;=99991231),INT(Sync!$J374/10000)&amp;"/"&amp;RIGHT("00"&amp;INT(MOD(Sync!$J374,10000)/100),2)&amp;"/"&amp;RIGHT("00"&amp;MOD(Sync!$J374,100),2),"نامعتبر"),IF(LEN(Sync!$J374)=10,Sync!$J374,"نامعتبر")))</f>
        <v/>
      </c>
      <c r="R374">
        <f>IF($P374="","",COUNTIFS($N$6:$N$2005,$N374,$P$6:$P$2005,"&lt;"&amp;$P374)+COUNTIFS($A$6:$A$1005,$N374,$B$6:$B$1005,"&lt;"&amp;$P374)+1)</f>
        <v/>
      </c>
      <c r="S374">
        <f>IF($N374="","",$N374&amp;"|"&amp;RIGHT("000000"&amp;$R374,6))</f>
        <v/>
      </c>
      <c r="T374">
        <f>IF($N374="","",IF(Sync!$N374="",0,Sync!$N374))</f>
        <v/>
      </c>
      <c r="U374">
        <f>IF($N374="","",IF(Sync!$O374="",0,Sync!$O374))</f>
        <v/>
      </c>
      <c r="V374">
        <f>IF($N374="","",Sync!$L374)</f>
        <v/>
      </c>
      <c r="W374">
        <f>IF($N374="","",Sync!$P374)</f>
        <v/>
      </c>
      <c r="AA374">
        <f>IF($A374="","",IF(COUNTIF($A$6:$A374,$A374)=1,1,0))</f>
        <v/>
      </c>
      <c r="AB374">
        <f>SUM($AA$6:$AA374)</f>
        <v/>
      </c>
      <c r="AC374">
        <f>IFERROR(INDEX($A$6:$A$1005,MATCH(ROW()-5,$AB$6:$AB$1005,0)),"")</f>
        <v/>
      </c>
    </row>
    <row r="375">
      <c r="A375">
        <f>IF(OR(Entry!$B378="",Entry!$E378="",$E375="نامعتبر"),"",Entry!$E378)</f>
        <v/>
      </c>
      <c r="B375">
        <f>IF($A375="","",LEFT($E375,4)&amp;MID($E375,6,2)&amp;RIGHT($E375,2)&amp;$F375&amp;"|"&amp;"1"&amp;RIGHT("00000"&amp;370,5))</f>
        <v/>
      </c>
      <c r="C375">
        <f>IF($B375="","",COUNTIFS($A$6:$A$1005,$A375,$B$6:$B$1005,"&lt;"&amp;$B375)+COUNTIFS($N$6:$N$2005,$A375,$P$6:$P$2005,"&lt;"&amp;$B375)+1)</f>
        <v/>
      </c>
      <c r="D375">
        <f>IF($C375="","",$A375&amp;"|"&amp;RIGHT("000000"&amp;$C375,6))</f>
        <v/>
      </c>
      <c r="E375">
        <f>IF(Entry!$B378="","",IF(ISNUMBER(Entry!$B378),IF(AND(Entry!$B378&gt;=10000101,Entry!$B378&lt;=99991231),INT(Entry!$B378/10000)&amp;"/"&amp;RIGHT("00"&amp;INT(MOD(Entry!$B378,10000)/100),2)&amp;"/"&amp;RIGHT("00"&amp;MOD(Entry!$B378,100),2),"نامعتبر"),IF(LEN(Entry!$B378)=10,Entry!$B378,"نامعتبر")))</f>
        <v/>
      </c>
      <c r="F375">
        <f>IF(Entry!$B378="","",IF(Entry!$C378="","0000",IF(AND(ISNUMBER(Entry!$C378),Entry!$C378&gt;=0,Entry!$C378&lt;1),RIGHT("00"&amp;HOUR(Entry!$C378),2)&amp;RIGHT("00"&amp;MINUTE(Entry!$C378),2),IFERROR(RIGHT("00"&amp;VALUE(LEFT(Entry!$C378,FIND(":",Entry!$C378)-1)),2)&amp;RIGHT("00"&amp;VALUE(MID(Entry!$C378,FIND(":",Entry!$C378)+1,2)),2),"0000"))))</f>
        <v/>
      </c>
      <c r="G375">
        <f>IF($A375="","",Entry!$G378)</f>
        <v/>
      </c>
      <c r="H375">
        <f>IF($A375="","",IF(Entry!$H378="",0,Entry!$H378))</f>
        <v/>
      </c>
      <c r="I375">
        <f>IF($A375="","",IF(Entry!$I378="",0,Entry!$I378))</f>
        <v/>
      </c>
      <c r="J375">
        <f>IF($A375="","",ROUND($H375*$I375,0))</f>
        <v/>
      </c>
      <c r="K375">
        <f>IF($A375="","",Entry!$D378)</f>
        <v/>
      </c>
      <c r="L375">
        <f>IF($A375="","",Entry!$L378)</f>
        <v/>
      </c>
      <c r="N375">
        <f>IF(OR(Sync!$M375="",$Q375="",$Q375="نامعتبر"),"",Sync!$M375)</f>
        <v/>
      </c>
      <c r="O375">
        <f>IF($N375="","",$Q375)</f>
        <v/>
      </c>
      <c r="P375">
        <f>IF($N375="","",LEFT($Q375,4)&amp;MID($Q375,6,2)&amp;RIGHT($Q375,2)&amp;IF(Sync!$K375="","0000",IF(AND(ISNUMBER(Sync!$K375),Sync!$K375&gt;=0,Sync!$K375&lt;1),RIGHT("00"&amp;HOUR(Sync!$K375),2)&amp;RIGHT("00"&amp;MINUTE(Sync!$K375),2),IFERROR(RIGHT("00"&amp;VALUE(LEFT(Sync!$K375,FIND(":",Sync!$K375)-1)),2)&amp;RIGHT("00"&amp;VALUE(MID(Sync!$K375,FIND(":",Sync!$K375)+1,2)),2),"0000")))&amp;"|"&amp;"2"&amp;RIGHT("00000"&amp;370,5))</f>
        <v/>
      </c>
      <c r="Q375">
        <f>IF(Sync!$J375="","",IF(ISNUMBER(Sync!$J375),IF(AND(Sync!$J375&gt;=10000101,Sync!$J375&lt;=99991231),INT(Sync!$J375/10000)&amp;"/"&amp;RIGHT("00"&amp;INT(MOD(Sync!$J375,10000)/100),2)&amp;"/"&amp;RIGHT("00"&amp;MOD(Sync!$J375,100),2),"نامعتبر"),IF(LEN(Sync!$J375)=10,Sync!$J375,"نامعتبر")))</f>
        <v/>
      </c>
      <c r="R375">
        <f>IF($P375="","",COUNTIFS($N$6:$N$2005,$N375,$P$6:$P$2005,"&lt;"&amp;$P375)+COUNTIFS($A$6:$A$1005,$N375,$B$6:$B$1005,"&lt;"&amp;$P375)+1)</f>
        <v/>
      </c>
      <c r="S375">
        <f>IF($N375="","",$N375&amp;"|"&amp;RIGHT("000000"&amp;$R375,6))</f>
        <v/>
      </c>
      <c r="T375">
        <f>IF($N375="","",IF(Sync!$N375="",0,Sync!$N375))</f>
        <v/>
      </c>
      <c r="U375">
        <f>IF($N375="","",IF(Sync!$O375="",0,Sync!$O375))</f>
        <v/>
      </c>
      <c r="V375">
        <f>IF($N375="","",Sync!$L375)</f>
        <v/>
      </c>
      <c r="W375">
        <f>IF($N375="","",Sync!$P375)</f>
        <v/>
      </c>
      <c r="AA375">
        <f>IF($A375="","",IF(COUNTIF($A$6:$A375,$A375)=1,1,0))</f>
        <v/>
      </c>
      <c r="AB375">
        <f>SUM($AA$6:$AA375)</f>
        <v/>
      </c>
      <c r="AC375">
        <f>IFERROR(INDEX($A$6:$A$1005,MATCH(ROW()-5,$AB$6:$AB$1005,0)),"")</f>
        <v/>
      </c>
    </row>
    <row r="376">
      <c r="A376">
        <f>IF(OR(Entry!$B379="",Entry!$E379="",$E376="نامعتبر"),"",Entry!$E379)</f>
        <v/>
      </c>
      <c r="B376">
        <f>IF($A376="","",LEFT($E376,4)&amp;MID($E376,6,2)&amp;RIGHT($E376,2)&amp;$F376&amp;"|"&amp;"1"&amp;RIGHT("00000"&amp;371,5))</f>
        <v/>
      </c>
      <c r="C376">
        <f>IF($B376="","",COUNTIFS($A$6:$A$1005,$A376,$B$6:$B$1005,"&lt;"&amp;$B376)+COUNTIFS($N$6:$N$2005,$A376,$P$6:$P$2005,"&lt;"&amp;$B376)+1)</f>
        <v/>
      </c>
      <c r="D376">
        <f>IF($C376="","",$A376&amp;"|"&amp;RIGHT("000000"&amp;$C376,6))</f>
        <v/>
      </c>
      <c r="E376">
        <f>IF(Entry!$B379="","",IF(ISNUMBER(Entry!$B379),IF(AND(Entry!$B379&gt;=10000101,Entry!$B379&lt;=99991231),INT(Entry!$B379/10000)&amp;"/"&amp;RIGHT("00"&amp;INT(MOD(Entry!$B379,10000)/100),2)&amp;"/"&amp;RIGHT("00"&amp;MOD(Entry!$B379,100),2),"نامعتبر"),IF(LEN(Entry!$B379)=10,Entry!$B379,"نامعتبر")))</f>
        <v/>
      </c>
      <c r="F376">
        <f>IF(Entry!$B379="","",IF(Entry!$C379="","0000",IF(AND(ISNUMBER(Entry!$C379),Entry!$C379&gt;=0,Entry!$C379&lt;1),RIGHT("00"&amp;HOUR(Entry!$C379),2)&amp;RIGHT("00"&amp;MINUTE(Entry!$C379),2),IFERROR(RIGHT("00"&amp;VALUE(LEFT(Entry!$C379,FIND(":",Entry!$C379)-1)),2)&amp;RIGHT("00"&amp;VALUE(MID(Entry!$C379,FIND(":",Entry!$C379)+1,2)),2),"0000"))))</f>
        <v/>
      </c>
      <c r="G376">
        <f>IF($A376="","",Entry!$G379)</f>
        <v/>
      </c>
      <c r="H376">
        <f>IF($A376="","",IF(Entry!$H379="",0,Entry!$H379))</f>
        <v/>
      </c>
      <c r="I376">
        <f>IF($A376="","",IF(Entry!$I379="",0,Entry!$I379))</f>
        <v/>
      </c>
      <c r="J376">
        <f>IF($A376="","",ROUND($H376*$I376,0))</f>
        <v/>
      </c>
      <c r="K376">
        <f>IF($A376="","",Entry!$D379)</f>
        <v/>
      </c>
      <c r="L376">
        <f>IF($A376="","",Entry!$L379)</f>
        <v/>
      </c>
      <c r="N376">
        <f>IF(OR(Sync!$M376="",$Q376="",$Q376="نامعتبر"),"",Sync!$M376)</f>
        <v/>
      </c>
      <c r="O376">
        <f>IF($N376="","",$Q376)</f>
        <v/>
      </c>
      <c r="P376">
        <f>IF($N376="","",LEFT($Q376,4)&amp;MID($Q376,6,2)&amp;RIGHT($Q376,2)&amp;IF(Sync!$K376="","0000",IF(AND(ISNUMBER(Sync!$K376),Sync!$K376&gt;=0,Sync!$K376&lt;1),RIGHT("00"&amp;HOUR(Sync!$K376),2)&amp;RIGHT("00"&amp;MINUTE(Sync!$K376),2),IFERROR(RIGHT("00"&amp;VALUE(LEFT(Sync!$K376,FIND(":",Sync!$K376)-1)),2)&amp;RIGHT("00"&amp;VALUE(MID(Sync!$K376,FIND(":",Sync!$K376)+1,2)),2),"0000")))&amp;"|"&amp;"2"&amp;RIGHT("00000"&amp;371,5))</f>
        <v/>
      </c>
      <c r="Q376">
        <f>IF(Sync!$J376="","",IF(ISNUMBER(Sync!$J376),IF(AND(Sync!$J376&gt;=10000101,Sync!$J376&lt;=99991231),INT(Sync!$J376/10000)&amp;"/"&amp;RIGHT("00"&amp;INT(MOD(Sync!$J376,10000)/100),2)&amp;"/"&amp;RIGHT("00"&amp;MOD(Sync!$J376,100),2),"نامعتبر"),IF(LEN(Sync!$J376)=10,Sync!$J376,"نامعتبر")))</f>
        <v/>
      </c>
      <c r="R376">
        <f>IF($P376="","",COUNTIFS($N$6:$N$2005,$N376,$P$6:$P$2005,"&lt;"&amp;$P376)+COUNTIFS($A$6:$A$1005,$N376,$B$6:$B$1005,"&lt;"&amp;$P376)+1)</f>
        <v/>
      </c>
      <c r="S376">
        <f>IF($N376="","",$N376&amp;"|"&amp;RIGHT("000000"&amp;$R376,6))</f>
        <v/>
      </c>
      <c r="T376">
        <f>IF($N376="","",IF(Sync!$N376="",0,Sync!$N376))</f>
        <v/>
      </c>
      <c r="U376">
        <f>IF($N376="","",IF(Sync!$O376="",0,Sync!$O376))</f>
        <v/>
      </c>
      <c r="V376">
        <f>IF($N376="","",Sync!$L376)</f>
        <v/>
      </c>
      <c r="W376">
        <f>IF($N376="","",Sync!$P376)</f>
        <v/>
      </c>
      <c r="AA376">
        <f>IF($A376="","",IF(COUNTIF($A$6:$A376,$A376)=1,1,0))</f>
        <v/>
      </c>
      <c r="AB376">
        <f>SUM($AA$6:$AA376)</f>
        <v/>
      </c>
      <c r="AC376">
        <f>IFERROR(INDEX($A$6:$A$1005,MATCH(ROW()-5,$AB$6:$AB$1005,0)),"")</f>
        <v/>
      </c>
    </row>
    <row r="377">
      <c r="A377">
        <f>IF(OR(Entry!$B380="",Entry!$E380="",$E377="نامعتبر"),"",Entry!$E380)</f>
        <v/>
      </c>
      <c r="B377">
        <f>IF($A377="","",LEFT($E377,4)&amp;MID($E377,6,2)&amp;RIGHT($E377,2)&amp;$F377&amp;"|"&amp;"1"&amp;RIGHT("00000"&amp;372,5))</f>
        <v/>
      </c>
      <c r="C377">
        <f>IF($B377="","",COUNTIFS($A$6:$A$1005,$A377,$B$6:$B$1005,"&lt;"&amp;$B377)+COUNTIFS($N$6:$N$2005,$A377,$P$6:$P$2005,"&lt;"&amp;$B377)+1)</f>
        <v/>
      </c>
      <c r="D377">
        <f>IF($C377="","",$A377&amp;"|"&amp;RIGHT("000000"&amp;$C377,6))</f>
        <v/>
      </c>
      <c r="E377">
        <f>IF(Entry!$B380="","",IF(ISNUMBER(Entry!$B380),IF(AND(Entry!$B380&gt;=10000101,Entry!$B380&lt;=99991231),INT(Entry!$B380/10000)&amp;"/"&amp;RIGHT("00"&amp;INT(MOD(Entry!$B380,10000)/100),2)&amp;"/"&amp;RIGHT("00"&amp;MOD(Entry!$B380,100),2),"نامعتبر"),IF(LEN(Entry!$B380)=10,Entry!$B380,"نامعتبر")))</f>
        <v/>
      </c>
      <c r="F377">
        <f>IF(Entry!$B380="","",IF(Entry!$C380="","0000",IF(AND(ISNUMBER(Entry!$C380),Entry!$C380&gt;=0,Entry!$C380&lt;1),RIGHT("00"&amp;HOUR(Entry!$C380),2)&amp;RIGHT("00"&amp;MINUTE(Entry!$C380),2),IFERROR(RIGHT("00"&amp;VALUE(LEFT(Entry!$C380,FIND(":",Entry!$C380)-1)),2)&amp;RIGHT("00"&amp;VALUE(MID(Entry!$C380,FIND(":",Entry!$C380)+1,2)),2),"0000"))))</f>
        <v/>
      </c>
      <c r="G377">
        <f>IF($A377="","",Entry!$G380)</f>
        <v/>
      </c>
      <c r="H377">
        <f>IF($A377="","",IF(Entry!$H380="",0,Entry!$H380))</f>
        <v/>
      </c>
      <c r="I377">
        <f>IF($A377="","",IF(Entry!$I380="",0,Entry!$I380))</f>
        <v/>
      </c>
      <c r="J377">
        <f>IF($A377="","",ROUND($H377*$I377,0))</f>
        <v/>
      </c>
      <c r="K377">
        <f>IF($A377="","",Entry!$D380)</f>
        <v/>
      </c>
      <c r="L377">
        <f>IF($A377="","",Entry!$L380)</f>
        <v/>
      </c>
      <c r="N377">
        <f>IF(OR(Sync!$M377="",$Q377="",$Q377="نامعتبر"),"",Sync!$M377)</f>
        <v/>
      </c>
      <c r="O377">
        <f>IF($N377="","",$Q377)</f>
        <v/>
      </c>
      <c r="P377">
        <f>IF($N377="","",LEFT($Q377,4)&amp;MID($Q377,6,2)&amp;RIGHT($Q377,2)&amp;IF(Sync!$K377="","0000",IF(AND(ISNUMBER(Sync!$K377),Sync!$K377&gt;=0,Sync!$K377&lt;1),RIGHT("00"&amp;HOUR(Sync!$K377),2)&amp;RIGHT("00"&amp;MINUTE(Sync!$K377),2),IFERROR(RIGHT("00"&amp;VALUE(LEFT(Sync!$K377,FIND(":",Sync!$K377)-1)),2)&amp;RIGHT("00"&amp;VALUE(MID(Sync!$K377,FIND(":",Sync!$K377)+1,2)),2),"0000")))&amp;"|"&amp;"2"&amp;RIGHT("00000"&amp;372,5))</f>
        <v/>
      </c>
      <c r="Q377">
        <f>IF(Sync!$J377="","",IF(ISNUMBER(Sync!$J377),IF(AND(Sync!$J377&gt;=10000101,Sync!$J377&lt;=99991231),INT(Sync!$J377/10000)&amp;"/"&amp;RIGHT("00"&amp;INT(MOD(Sync!$J377,10000)/100),2)&amp;"/"&amp;RIGHT("00"&amp;MOD(Sync!$J377,100),2),"نامعتبر"),IF(LEN(Sync!$J377)=10,Sync!$J377,"نامعتبر")))</f>
        <v/>
      </c>
      <c r="R377">
        <f>IF($P377="","",COUNTIFS($N$6:$N$2005,$N377,$P$6:$P$2005,"&lt;"&amp;$P377)+COUNTIFS($A$6:$A$1005,$N377,$B$6:$B$1005,"&lt;"&amp;$P377)+1)</f>
        <v/>
      </c>
      <c r="S377">
        <f>IF($N377="","",$N377&amp;"|"&amp;RIGHT("000000"&amp;$R377,6))</f>
        <v/>
      </c>
      <c r="T377">
        <f>IF($N377="","",IF(Sync!$N377="",0,Sync!$N377))</f>
        <v/>
      </c>
      <c r="U377">
        <f>IF($N377="","",IF(Sync!$O377="",0,Sync!$O377))</f>
        <v/>
      </c>
      <c r="V377">
        <f>IF($N377="","",Sync!$L377)</f>
        <v/>
      </c>
      <c r="W377">
        <f>IF($N377="","",Sync!$P377)</f>
        <v/>
      </c>
      <c r="AA377">
        <f>IF($A377="","",IF(COUNTIF($A$6:$A377,$A377)=1,1,0))</f>
        <v/>
      </c>
      <c r="AB377">
        <f>SUM($AA$6:$AA377)</f>
        <v/>
      </c>
      <c r="AC377">
        <f>IFERROR(INDEX($A$6:$A$1005,MATCH(ROW()-5,$AB$6:$AB$1005,0)),"")</f>
        <v/>
      </c>
    </row>
    <row r="378">
      <c r="A378">
        <f>IF(OR(Entry!$B381="",Entry!$E381="",$E378="نامعتبر"),"",Entry!$E381)</f>
        <v/>
      </c>
      <c r="B378">
        <f>IF($A378="","",LEFT($E378,4)&amp;MID($E378,6,2)&amp;RIGHT($E378,2)&amp;$F378&amp;"|"&amp;"1"&amp;RIGHT("00000"&amp;373,5))</f>
        <v/>
      </c>
      <c r="C378">
        <f>IF($B378="","",COUNTIFS($A$6:$A$1005,$A378,$B$6:$B$1005,"&lt;"&amp;$B378)+COUNTIFS($N$6:$N$2005,$A378,$P$6:$P$2005,"&lt;"&amp;$B378)+1)</f>
        <v/>
      </c>
      <c r="D378">
        <f>IF($C378="","",$A378&amp;"|"&amp;RIGHT("000000"&amp;$C378,6))</f>
        <v/>
      </c>
      <c r="E378">
        <f>IF(Entry!$B381="","",IF(ISNUMBER(Entry!$B381),IF(AND(Entry!$B381&gt;=10000101,Entry!$B381&lt;=99991231),INT(Entry!$B381/10000)&amp;"/"&amp;RIGHT("00"&amp;INT(MOD(Entry!$B381,10000)/100),2)&amp;"/"&amp;RIGHT("00"&amp;MOD(Entry!$B381,100),2),"نامعتبر"),IF(LEN(Entry!$B381)=10,Entry!$B381,"نامعتبر")))</f>
        <v/>
      </c>
      <c r="F378">
        <f>IF(Entry!$B381="","",IF(Entry!$C381="","0000",IF(AND(ISNUMBER(Entry!$C381),Entry!$C381&gt;=0,Entry!$C381&lt;1),RIGHT("00"&amp;HOUR(Entry!$C381),2)&amp;RIGHT("00"&amp;MINUTE(Entry!$C381),2),IFERROR(RIGHT("00"&amp;VALUE(LEFT(Entry!$C381,FIND(":",Entry!$C381)-1)),2)&amp;RIGHT("00"&amp;VALUE(MID(Entry!$C381,FIND(":",Entry!$C381)+1,2)),2),"0000"))))</f>
        <v/>
      </c>
      <c r="G378">
        <f>IF($A378="","",Entry!$G381)</f>
        <v/>
      </c>
      <c r="H378">
        <f>IF($A378="","",IF(Entry!$H381="",0,Entry!$H381))</f>
        <v/>
      </c>
      <c r="I378">
        <f>IF($A378="","",IF(Entry!$I381="",0,Entry!$I381))</f>
        <v/>
      </c>
      <c r="J378">
        <f>IF($A378="","",ROUND($H378*$I378,0))</f>
        <v/>
      </c>
      <c r="K378">
        <f>IF($A378="","",Entry!$D381)</f>
        <v/>
      </c>
      <c r="L378">
        <f>IF($A378="","",Entry!$L381)</f>
        <v/>
      </c>
      <c r="N378">
        <f>IF(OR(Sync!$M378="",$Q378="",$Q378="نامعتبر"),"",Sync!$M378)</f>
        <v/>
      </c>
      <c r="O378">
        <f>IF($N378="","",$Q378)</f>
        <v/>
      </c>
      <c r="P378">
        <f>IF($N378="","",LEFT($Q378,4)&amp;MID($Q378,6,2)&amp;RIGHT($Q378,2)&amp;IF(Sync!$K378="","0000",IF(AND(ISNUMBER(Sync!$K378),Sync!$K378&gt;=0,Sync!$K378&lt;1),RIGHT("00"&amp;HOUR(Sync!$K378),2)&amp;RIGHT("00"&amp;MINUTE(Sync!$K378),2),IFERROR(RIGHT("00"&amp;VALUE(LEFT(Sync!$K378,FIND(":",Sync!$K378)-1)),2)&amp;RIGHT("00"&amp;VALUE(MID(Sync!$K378,FIND(":",Sync!$K378)+1,2)),2),"0000")))&amp;"|"&amp;"2"&amp;RIGHT("00000"&amp;373,5))</f>
        <v/>
      </c>
      <c r="Q378">
        <f>IF(Sync!$J378="","",IF(ISNUMBER(Sync!$J378),IF(AND(Sync!$J378&gt;=10000101,Sync!$J378&lt;=99991231),INT(Sync!$J378/10000)&amp;"/"&amp;RIGHT("00"&amp;INT(MOD(Sync!$J378,10000)/100),2)&amp;"/"&amp;RIGHT("00"&amp;MOD(Sync!$J378,100),2),"نامعتبر"),IF(LEN(Sync!$J378)=10,Sync!$J378,"نامعتبر")))</f>
        <v/>
      </c>
      <c r="R378">
        <f>IF($P378="","",COUNTIFS($N$6:$N$2005,$N378,$P$6:$P$2005,"&lt;"&amp;$P378)+COUNTIFS($A$6:$A$1005,$N378,$B$6:$B$1005,"&lt;"&amp;$P378)+1)</f>
        <v/>
      </c>
      <c r="S378">
        <f>IF($N378="","",$N378&amp;"|"&amp;RIGHT("000000"&amp;$R378,6))</f>
        <v/>
      </c>
      <c r="T378">
        <f>IF($N378="","",IF(Sync!$N378="",0,Sync!$N378))</f>
        <v/>
      </c>
      <c r="U378">
        <f>IF($N378="","",IF(Sync!$O378="",0,Sync!$O378))</f>
        <v/>
      </c>
      <c r="V378">
        <f>IF($N378="","",Sync!$L378)</f>
        <v/>
      </c>
      <c r="W378">
        <f>IF($N378="","",Sync!$P378)</f>
        <v/>
      </c>
      <c r="AA378">
        <f>IF($A378="","",IF(COUNTIF($A$6:$A378,$A378)=1,1,0))</f>
        <v/>
      </c>
      <c r="AB378">
        <f>SUM($AA$6:$AA378)</f>
        <v/>
      </c>
      <c r="AC378">
        <f>IFERROR(INDEX($A$6:$A$1005,MATCH(ROW()-5,$AB$6:$AB$1005,0)),"")</f>
        <v/>
      </c>
    </row>
    <row r="379">
      <c r="A379">
        <f>IF(OR(Entry!$B382="",Entry!$E382="",$E379="نامعتبر"),"",Entry!$E382)</f>
        <v/>
      </c>
      <c r="B379">
        <f>IF($A379="","",LEFT($E379,4)&amp;MID($E379,6,2)&amp;RIGHT($E379,2)&amp;$F379&amp;"|"&amp;"1"&amp;RIGHT("00000"&amp;374,5))</f>
        <v/>
      </c>
      <c r="C379">
        <f>IF($B379="","",COUNTIFS($A$6:$A$1005,$A379,$B$6:$B$1005,"&lt;"&amp;$B379)+COUNTIFS($N$6:$N$2005,$A379,$P$6:$P$2005,"&lt;"&amp;$B379)+1)</f>
        <v/>
      </c>
      <c r="D379">
        <f>IF($C379="","",$A379&amp;"|"&amp;RIGHT("000000"&amp;$C379,6))</f>
        <v/>
      </c>
      <c r="E379">
        <f>IF(Entry!$B382="","",IF(ISNUMBER(Entry!$B382),IF(AND(Entry!$B382&gt;=10000101,Entry!$B382&lt;=99991231),INT(Entry!$B382/10000)&amp;"/"&amp;RIGHT("00"&amp;INT(MOD(Entry!$B382,10000)/100),2)&amp;"/"&amp;RIGHT("00"&amp;MOD(Entry!$B382,100),2),"نامعتبر"),IF(LEN(Entry!$B382)=10,Entry!$B382,"نامعتبر")))</f>
        <v/>
      </c>
      <c r="F379">
        <f>IF(Entry!$B382="","",IF(Entry!$C382="","0000",IF(AND(ISNUMBER(Entry!$C382),Entry!$C382&gt;=0,Entry!$C382&lt;1),RIGHT("00"&amp;HOUR(Entry!$C382),2)&amp;RIGHT("00"&amp;MINUTE(Entry!$C382),2),IFERROR(RIGHT("00"&amp;VALUE(LEFT(Entry!$C382,FIND(":",Entry!$C382)-1)),2)&amp;RIGHT("00"&amp;VALUE(MID(Entry!$C382,FIND(":",Entry!$C382)+1,2)),2),"0000"))))</f>
        <v/>
      </c>
      <c r="G379">
        <f>IF($A379="","",Entry!$G382)</f>
        <v/>
      </c>
      <c r="H379">
        <f>IF($A379="","",IF(Entry!$H382="",0,Entry!$H382))</f>
        <v/>
      </c>
      <c r="I379">
        <f>IF($A379="","",IF(Entry!$I382="",0,Entry!$I382))</f>
        <v/>
      </c>
      <c r="J379">
        <f>IF($A379="","",ROUND($H379*$I379,0))</f>
        <v/>
      </c>
      <c r="K379">
        <f>IF($A379="","",Entry!$D382)</f>
        <v/>
      </c>
      <c r="L379">
        <f>IF($A379="","",Entry!$L382)</f>
        <v/>
      </c>
      <c r="N379">
        <f>IF(OR(Sync!$M379="",$Q379="",$Q379="نامعتبر"),"",Sync!$M379)</f>
        <v/>
      </c>
      <c r="O379">
        <f>IF($N379="","",$Q379)</f>
        <v/>
      </c>
      <c r="P379">
        <f>IF($N379="","",LEFT($Q379,4)&amp;MID($Q379,6,2)&amp;RIGHT($Q379,2)&amp;IF(Sync!$K379="","0000",IF(AND(ISNUMBER(Sync!$K379),Sync!$K379&gt;=0,Sync!$K379&lt;1),RIGHT("00"&amp;HOUR(Sync!$K379),2)&amp;RIGHT("00"&amp;MINUTE(Sync!$K379),2),IFERROR(RIGHT("00"&amp;VALUE(LEFT(Sync!$K379,FIND(":",Sync!$K379)-1)),2)&amp;RIGHT("00"&amp;VALUE(MID(Sync!$K379,FIND(":",Sync!$K379)+1,2)),2),"0000")))&amp;"|"&amp;"2"&amp;RIGHT("00000"&amp;374,5))</f>
        <v/>
      </c>
      <c r="Q379">
        <f>IF(Sync!$J379="","",IF(ISNUMBER(Sync!$J379),IF(AND(Sync!$J379&gt;=10000101,Sync!$J379&lt;=99991231),INT(Sync!$J379/10000)&amp;"/"&amp;RIGHT("00"&amp;INT(MOD(Sync!$J379,10000)/100),2)&amp;"/"&amp;RIGHT("00"&amp;MOD(Sync!$J379,100),2),"نامعتبر"),IF(LEN(Sync!$J379)=10,Sync!$J379,"نامعتبر")))</f>
        <v/>
      </c>
      <c r="R379">
        <f>IF($P379="","",COUNTIFS($N$6:$N$2005,$N379,$P$6:$P$2005,"&lt;"&amp;$P379)+COUNTIFS($A$6:$A$1005,$N379,$B$6:$B$1005,"&lt;"&amp;$P379)+1)</f>
        <v/>
      </c>
      <c r="S379">
        <f>IF($N379="","",$N379&amp;"|"&amp;RIGHT("000000"&amp;$R379,6))</f>
        <v/>
      </c>
      <c r="T379">
        <f>IF($N379="","",IF(Sync!$N379="",0,Sync!$N379))</f>
        <v/>
      </c>
      <c r="U379">
        <f>IF($N379="","",IF(Sync!$O379="",0,Sync!$O379))</f>
        <v/>
      </c>
      <c r="V379">
        <f>IF($N379="","",Sync!$L379)</f>
        <v/>
      </c>
      <c r="W379">
        <f>IF($N379="","",Sync!$P379)</f>
        <v/>
      </c>
      <c r="AA379">
        <f>IF($A379="","",IF(COUNTIF($A$6:$A379,$A379)=1,1,0))</f>
        <v/>
      </c>
      <c r="AB379">
        <f>SUM($AA$6:$AA379)</f>
        <v/>
      </c>
      <c r="AC379">
        <f>IFERROR(INDEX($A$6:$A$1005,MATCH(ROW()-5,$AB$6:$AB$1005,0)),"")</f>
        <v/>
      </c>
    </row>
    <row r="380">
      <c r="A380">
        <f>IF(OR(Entry!$B383="",Entry!$E383="",$E380="نامعتبر"),"",Entry!$E383)</f>
        <v/>
      </c>
      <c r="B380">
        <f>IF($A380="","",LEFT($E380,4)&amp;MID($E380,6,2)&amp;RIGHT($E380,2)&amp;$F380&amp;"|"&amp;"1"&amp;RIGHT("00000"&amp;375,5))</f>
        <v/>
      </c>
      <c r="C380">
        <f>IF($B380="","",COUNTIFS($A$6:$A$1005,$A380,$B$6:$B$1005,"&lt;"&amp;$B380)+COUNTIFS($N$6:$N$2005,$A380,$P$6:$P$2005,"&lt;"&amp;$B380)+1)</f>
        <v/>
      </c>
      <c r="D380">
        <f>IF($C380="","",$A380&amp;"|"&amp;RIGHT("000000"&amp;$C380,6))</f>
        <v/>
      </c>
      <c r="E380">
        <f>IF(Entry!$B383="","",IF(ISNUMBER(Entry!$B383),IF(AND(Entry!$B383&gt;=10000101,Entry!$B383&lt;=99991231),INT(Entry!$B383/10000)&amp;"/"&amp;RIGHT("00"&amp;INT(MOD(Entry!$B383,10000)/100),2)&amp;"/"&amp;RIGHT("00"&amp;MOD(Entry!$B383,100),2),"نامعتبر"),IF(LEN(Entry!$B383)=10,Entry!$B383,"نامعتبر")))</f>
        <v/>
      </c>
      <c r="F380">
        <f>IF(Entry!$B383="","",IF(Entry!$C383="","0000",IF(AND(ISNUMBER(Entry!$C383),Entry!$C383&gt;=0,Entry!$C383&lt;1),RIGHT("00"&amp;HOUR(Entry!$C383),2)&amp;RIGHT("00"&amp;MINUTE(Entry!$C383),2),IFERROR(RIGHT("00"&amp;VALUE(LEFT(Entry!$C383,FIND(":",Entry!$C383)-1)),2)&amp;RIGHT("00"&amp;VALUE(MID(Entry!$C383,FIND(":",Entry!$C383)+1,2)),2),"0000"))))</f>
        <v/>
      </c>
      <c r="G380">
        <f>IF($A380="","",Entry!$G383)</f>
        <v/>
      </c>
      <c r="H380">
        <f>IF($A380="","",IF(Entry!$H383="",0,Entry!$H383))</f>
        <v/>
      </c>
      <c r="I380">
        <f>IF($A380="","",IF(Entry!$I383="",0,Entry!$I383))</f>
        <v/>
      </c>
      <c r="J380">
        <f>IF($A380="","",ROUND($H380*$I380,0))</f>
        <v/>
      </c>
      <c r="K380">
        <f>IF($A380="","",Entry!$D383)</f>
        <v/>
      </c>
      <c r="L380">
        <f>IF($A380="","",Entry!$L383)</f>
        <v/>
      </c>
      <c r="N380">
        <f>IF(OR(Sync!$M380="",$Q380="",$Q380="نامعتبر"),"",Sync!$M380)</f>
        <v/>
      </c>
      <c r="O380">
        <f>IF($N380="","",$Q380)</f>
        <v/>
      </c>
      <c r="P380">
        <f>IF($N380="","",LEFT($Q380,4)&amp;MID($Q380,6,2)&amp;RIGHT($Q380,2)&amp;IF(Sync!$K380="","0000",IF(AND(ISNUMBER(Sync!$K380),Sync!$K380&gt;=0,Sync!$K380&lt;1),RIGHT("00"&amp;HOUR(Sync!$K380),2)&amp;RIGHT("00"&amp;MINUTE(Sync!$K380),2),IFERROR(RIGHT("00"&amp;VALUE(LEFT(Sync!$K380,FIND(":",Sync!$K380)-1)),2)&amp;RIGHT("00"&amp;VALUE(MID(Sync!$K380,FIND(":",Sync!$K380)+1,2)),2),"0000")))&amp;"|"&amp;"2"&amp;RIGHT("00000"&amp;375,5))</f>
        <v/>
      </c>
      <c r="Q380">
        <f>IF(Sync!$J380="","",IF(ISNUMBER(Sync!$J380),IF(AND(Sync!$J380&gt;=10000101,Sync!$J380&lt;=99991231),INT(Sync!$J380/10000)&amp;"/"&amp;RIGHT("00"&amp;INT(MOD(Sync!$J380,10000)/100),2)&amp;"/"&amp;RIGHT("00"&amp;MOD(Sync!$J380,100),2),"نامعتبر"),IF(LEN(Sync!$J380)=10,Sync!$J380,"نامعتبر")))</f>
        <v/>
      </c>
      <c r="R380">
        <f>IF($P380="","",COUNTIFS($N$6:$N$2005,$N380,$P$6:$P$2005,"&lt;"&amp;$P380)+COUNTIFS($A$6:$A$1005,$N380,$B$6:$B$1005,"&lt;"&amp;$P380)+1)</f>
        <v/>
      </c>
      <c r="S380">
        <f>IF($N380="","",$N380&amp;"|"&amp;RIGHT("000000"&amp;$R380,6))</f>
        <v/>
      </c>
      <c r="T380">
        <f>IF($N380="","",IF(Sync!$N380="",0,Sync!$N380))</f>
        <v/>
      </c>
      <c r="U380">
        <f>IF($N380="","",IF(Sync!$O380="",0,Sync!$O380))</f>
        <v/>
      </c>
      <c r="V380">
        <f>IF($N380="","",Sync!$L380)</f>
        <v/>
      </c>
      <c r="W380">
        <f>IF($N380="","",Sync!$P380)</f>
        <v/>
      </c>
      <c r="AA380">
        <f>IF($A380="","",IF(COUNTIF($A$6:$A380,$A380)=1,1,0))</f>
        <v/>
      </c>
      <c r="AB380">
        <f>SUM($AA$6:$AA380)</f>
        <v/>
      </c>
      <c r="AC380">
        <f>IFERROR(INDEX($A$6:$A$1005,MATCH(ROW()-5,$AB$6:$AB$1005,0)),"")</f>
        <v/>
      </c>
    </row>
    <row r="381">
      <c r="A381">
        <f>IF(OR(Entry!$B384="",Entry!$E384="",$E381="نامعتبر"),"",Entry!$E384)</f>
        <v/>
      </c>
      <c r="B381">
        <f>IF($A381="","",LEFT($E381,4)&amp;MID($E381,6,2)&amp;RIGHT($E381,2)&amp;$F381&amp;"|"&amp;"1"&amp;RIGHT("00000"&amp;376,5))</f>
        <v/>
      </c>
      <c r="C381">
        <f>IF($B381="","",COUNTIFS($A$6:$A$1005,$A381,$B$6:$B$1005,"&lt;"&amp;$B381)+COUNTIFS($N$6:$N$2005,$A381,$P$6:$P$2005,"&lt;"&amp;$B381)+1)</f>
        <v/>
      </c>
      <c r="D381">
        <f>IF($C381="","",$A381&amp;"|"&amp;RIGHT("000000"&amp;$C381,6))</f>
        <v/>
      </c>
      <c r="E381">
        <f>IF(Entry!$B384="","",IF(ISNUMBER(Entry!$B384),IF(AND(Entry!$B384&gt;=10000101,Entry!$B384&lt;=99991231),INT(Entry!$B384/10000)&amp;"/"&amp;RIGHT("00"&amp;INT(MOD(Entry!$B384,10000)/100),2)&amp;"/"&amp;RIGHT("00"&amp;MOD(Entry!$B384,100),2),"نامعتبر"),IF(LEN(Entry!$B384)=10,Entry!$B384,"نامعتبر")))</f>
        <v/>
      </c>
      <c r="F381">
        <f>IF(Entry!$B384="","",IF(Entry!$C384="","0000",IF(AND(ISNUMBER(Entry!$C384),Entry!$C384&gt;=0,Entry!$C384&lt;1),RIGHT("00"&amp;HOUR(Entry!$C384),2)&amp;RIGHT("00"&amp;MINUTE(Entry!$C384),2),IFERROR(RIGHT("00"&amp;VALUE(LEFT(Entry!$C384,FIND(":",Entry!$C384)-1)),2)&amp;RIGHT("00"&amp;VALUE(MID(Entry!$C384,FIND(":",Entry!$C384)+1,2)),2),"0000"))))</f>
        <v/>
      </c>
      <c r="G381">
        <f>IF($A381="","",Entry!$G384)</f>
        <v/>
      </c>
      <c r="H381">
        <f>IF($A381="","",IF(Entry!$H384="",0,Entry!$H384))</f>
        <v/>
      </c>
      <c r="I381">
        <f>IF($A381="","",IF(Entry!$I384="",0,Entry!$I384))</f>
        <v/>
      </c>
      <c r="J381">
        <f>IF($A381="","",ROUND($H381*$I381,0))</f>
        <v/>
      </c>
      <c r="K381">
        <f>IF($A381="","",Entry!$D384)</f>
        <v/>
      </c>
      <c r="L381">
        <f>IF($A381="","",Entry!$L384)</f>
        <v/>
      </c>
      <c r="N381">
        <f>IF(OR(Sync!$M381="",$Q381="",$Q381="نامعتبر"),"",Sync!$M381)</f>
        <v/>
      </c>
      <c r="O381">
        <f>IF($N381="","",$Q381)</f>
        <v/>
      </c>
      <c r="P381">
        <f>IF($N381="","",LEFT($Q381,4)&amp;MID($Q381,6,2)&amp;RIGHT($Q381,2)&amp;IF(Sync!$K381="","0000",IF(AND(ISNUMBER(Sync!$K381),Sync!$K381&gt;=0,Sync!$K381&lt;1),RIGHT("00"&amp;HOUR(Sync!$K381),2)&amp;RIGHT("00"&amp;MINUTE(Sync!$K381),2),IFERROR(RIGHT("00"&amp;VALUE(LEFT(Sync!$K381,FIND(":",Sync!$K381)-1)),2)&amp;RIGHT("00"&amp;VALUE(MID(Sync!$K381,FIND(":",Sync!$K381)+1,2)),2),"0000")))&amp;"|"&amp;"2"&amp;RIGHT("00000"&amp;376,5))</f>
        <v/>
      </c>
      <c r="Q381">
        <f>IF(Sync!$J381="","",IF(ISNUMBER(Sync!$J381),IF(AND(Sync!$J381&gt;=10000101,Sync!$J381&lt;=99991231),INT(Sync!$J381/10000)&amp;"/"&amp;RIGHT("00"&amp;INT(MOD(Sync!$J381,10000)/100),2)&amp;"/"&amp;RIGHT("00"&amp;MOD(Sync!$J381,100),2),"نامعتبر"),IF(LEN(Sync!$J381)=10,Sync!$J381,"نامعتبر")))</f>
        <v/>
      </c>
      <c r="R381">
        <f>IF($P381="","",COUNTIFS($N$6:$N$2005,$N381,$P$6:$P$2005,"&lt;"&amp;$P381)+COUNTIFS($A$6:$A$1005,$N381,$B$6:$B$1005,"&lt;"&amp;$P381)+1)</f>
        <v/>
      </c>
      <c r="S381">
        <f>IF($N381="","",$N381&amp;"|"&amp;RIGHT("000000"&amp;$R381,6))</f>
        <v/>
      </c>
      <c r="T381">
        <f>IF($N381="","",IF(Sync!$N381="",0,Sync!$N381))</f>
        <v/>
      </c>
      <c r="U381">
        <f>IF($N381="","",IF(Sync!$O381="",0,Sync!$O381))</f>
        <v/>
      </c>
      <c r="V381">
        <f>IF($N381="","",Sync!$L381)</f>
        <v/>
      </c>
      <c r="W381">
        <f>IF($N381="","",Sync!$P381)</f>
        <v/>
      </c>
      <c r="AA381">
        <f>IF($A381="","",IF(COUNTIF($A$6:$A381,$A381)=1,1,0))</f>
        <v/>
      </c>
      <c r="AB381">
        <f>SUM($AA$6:$AA381)</f>
        <v/>
      </c>
      <c r="AC381">
        <f>IFERROR(INDEX($A$6:$A$1005,MATCH(ROW()-5,$AB$6:$AB$1005,0)),"")</f>
        <v/>
      </c>
    </row>
    <row r="382">
      <c r="A382">
        <f>IF(OR(Entry!$B385="",Entry!$E385="",$E382="نامعتبر"),"",Entry!$E385)</f>
        <v/>
      </c>
      <c r="B382">
        <f>IF($A382="","",LEFT($E382,4)&amp;MID($E382,6,2)&amp;RIGHT($E382,2)&amp;$F382&amp;"|"&amp;"1"&amp;RIGHT("00000"&amp;377,5))</f>
        <v/>
      </c>
      <c r="C382">
        <f>IF($B382="","",COUNTIFS($A$6:$A$1005,$A382,$B$6:$B$1005,"&lt;"&amp;$B382)+COUNTIFS($N$6:$N$2005,$A382,$P$6:$P$2005,"&lt;"&amp;$B382)+1)</f>
        <v/>
      </c>
      <c r="D382">
        <f>IF($C382="","",$A382&amp;"|"&amp;RIGHT("000000"&amp;$C382,6))</f>
        <v/>
      </c>
      <c r="E382">
        <f>IF(Entry!$B385="","",IF(ISNUMBER(Entry!$B385),IF(AND(Entry!$B385&gt;=10000101,Entry!$B385&lt;=99991231),INT(Entry!$B385/10000)&amp;"/"&amp;RIGHT("00"&amp;INT(MOD(Entry!$B385,10000)/100),2)&amp;"/"&amp;RIGHT("00"&amp;MOD(Entry!$B385,100),2),"نامعتبر"),IF(LEN(Entry!$B385)=10,Entry!$B385,"نامعتبر")))</f>
        <v/>
      </c>
      <c r="F382">
        <f>IF(Entry!$B385="","",IF(Entry!$C385="","0000",IF(AND(ISNUMBER(Entry!$C385),Entry!$C385&gt;=0,Entry!$C385&lt;1),RIGHT("00"&amp;HOUR(Entry!$C385),2)&amp;RIGHT("00"&amp;MINUTE(Entry!$C385),2),IFERROR(RIGHT("00"&amp;VALUE(LEFT(Entry!$C385,FIND(":",Entry!$C385)-1)),2)&amp;RIGHT("00"&amp;VALUE(MID(Entry!$C385,FIND(":",Entry!$C385)+1,2)),2),"0000"))))</f>
        <v/>
      </c>
      <c r="G382">
        <f>IF($A382="","",Entry!$G385)</f>
        <v/>
      </c>
      <c r="H382">
        <f>IF($A382="","",IF(Entry!$H385="",0,Entry!$H385))</f>
        <v/>
      </c>
      <c r="I382">
        <f>IF($A382="","",IF(Entry!$I385="",0,Entry!$I385))</f>
        <v/>
      </c>
      <c r="J382">
        <f>IF($A382="","",ROUND($H382*$I382,0))</f>
        <v/>
      </c>
      <c r="K382">
        <f>IF($A382="","",Entry!$D385)</f>
        <v/>
      </c>
      <c r="L382">
        <f>IF($A382="","",Entry!$L385)</f>
        <v/>
      </c>
      <c r="N382">
        <f>IF(OR(Sync!$M382="",$Q382="",$Q382="نامعتبر"),"",Sync!$M382)</f>
        <v/>
      </c>
      <c r="O382">
        <f>IF($N382="","",$Q382)</f>
        <v/>
      </c>
      <c r="P382">
        <f>IF($N382="","",LEFT($Q382,4)&amp;MID($Q382,6,2)&amp;RIGHT($Q382,2)&amp;IF(Sync!$K382="","0000",IF(AND(ISNUMBER(Sync!$K382),Sync!$K382&gt;=0,Sync!$K382&lt;1),RIGHT("00"&amp;HOUR(Sync!$K382),2)&amp;RIGHT("00"&amp;MINUTE(Sync!$K382),2),IFERROR(RIGHT("00"&amp;VALUE(LEFT(Sync!$K382,FIND(":",Sync!$K382)-1)),2)&amp;RIGHT("00"&amp;VALUE(MID(Sync!$K382,FIND(":",Sync!$K382)+1,2)),2),"0000")))&amp;"|"&amp;"2"&amp;RIGHT("00000"&amp;377,5))</f>
        <v/>
      </c>
      <c r="Q382">
        <f>IF(Sync!$J382="","",IF(ISNUMBER(Sync!$J382),IF(AND(Sync!$J382&gt;=10000101,Sync!$J382&lt;=99991231),INT(Sync!$J382/10000)&amp;"/"&amp;RIGHT("00"&amp;INT(MOD(Sync!$J382,10000)/100),2)&amp;"/"&amp;RIGHT("00"&amp;MOD(Sync!$J382,100),2),"نامعتبر"),IF(LEN(Sync!$J382)=10,Sync!$J382,"نامعتبر")))</f>
        <v/>
      </c>
      <c r="R382">
        <f>IF($P382="","",COUNTIFS($N$6:$N$2005,$N382,$P$6:$P$2005,"&lt;"&amp;$P382)+COUNTIFS($A$6:$A$1005,$N382,$B$6:$B$1005,"&lt;"&amp;$P382)+1)</f>
        <v/>
      </c>
      <c r="S382">
        <f>IF($N382="","",$N382&amp;"|"&amp;RIGHT("000000"&amp;$R382,6))</f>
        <v/>
      </c>
      <c r="T382">
        <f>IF($N382="","",IF(Sync!$N382="",0,Sync!$N382))</f>
        <v/>
      </c>
      <c r="U382">
        <f>IF($N382="","",IF(Sync!$O382="",0,Sync!$O382))</f>
        <v/>
      </c>
      <c r="V382">
        <f>IF($N382="","",Sync!$L382)</f>
        <v/>
      </c>
      <c r="W382">
        <f>IF($N382="","",Sync!$P382)</f>
        <v/>
      </c>
      <c r="AA382">
        <f>IF($A382="","",IF(COUNTIF($A$6:$A382,$A382)=1,1,0))</f>
        <v/>
      </c>
      <c r="AB382">
        <f>SUM($AA$6:$AA382)</f>
        <v/>
      </c>
      <c r="AC382">
        <f>IFERROR(INDEX($A$6:$A$1005,MATCH(ROW()-5,$AB$6:$AB$1005,0)),"")</f>
        <v/>
      </c>
    </row>
    <row r="383">
      <c r="A383">
        <f>IF(OR(Entry!$B386="",Entry!$E386="",$E383="نامعتبر"),"",Entry!$E386)</f>
        <v/>
      </c>
      <c r="B383">
        <f>IF($A383="","",LEFT($E383,4)&amp;MID($E383,6,2)&amp;RIGHT($E383,2)&amp;$F383&amp;"|"&amp;"1"&amp;RIGHT("00000"&amp;378,5))</f>
        <v/>
      </c>
      <c r="C383">
        <f>IF($B383="","",COUNTIFS($A$6:$A$1005,$A383,$B$6:$B$1005,"&lt;"&amp;$B383)+COUNTIFS($N$6:$N$2005,$A383,$P$6:$P$2005,"&lt;"&amp;$B383)+1)</f>
        <v/>
      </c>
      <c r="D383">
        <f>IF($C383="","",$A383&amp;"|"&amp;RIGHT("000000"&amp;$C383,6))</f>
        <v/>
      </c>
      <c r="E383">
        <f>IF(Entry!$B386="","",IF(ISNUMBER(Entry!$B386),IF(AND(Entry!$B386&gt;=10000101,Entry!$B386&lt;=99991231),INT(Entry!$B386/10000)&amp;"/"&amp;RIGHT("00"&amp;INT(MOD(Entry!$B386,10000)/100),2)&amp;"/"&amp;RIGHT("00"&amp;MOD(Entry!$B386,100),2),"نامعتبر"),IF(LEN(Entry!$B386)=10,Entry!$B386,"نامعتبر")))</f>
        <v/>
      </c>
      <c r="F383">
        <f>IF(Entry!$B386="","",IF(Entry!$C386="","0000",IF(AND(ISNUMBER(Entry!$C386),Entry!$C386&gt;=0,Entry!$C386&lt;1),RIGHT("00"&amp;HOUR(Entry!$C386),2)&amp;RIGHT("00"&amp;MINUTE(Entry!$C386),2),IFERROR(RIGHT("00"&amp;VALUE(LEFT(Entry!$C386,FIND(":",Entry!$C386)-1)),2)&amp;RIGHT("00"&amp;VALUE(MID(Entry!$C386,FIND(":",Entry!$C386)+1,2)),2),"0000"))))</f>
        <v/>
      </c>
      <c r="G383">
        <f>IF($A383="","",Entry!$G386)</f>
        <v/>
      </c>
      <c r="H383">
        <f>IF($A383="","",IF(Entry!$H386="",0,Entry!$H386))</f>
        <v/>
      </c>
      <c r="I383">
        <f>IF($A383="","",IF(Entry!$I386="",0,Entry!$I386))</f>
        <v/>
      </c>
      <c r="J383">
        <f>IF($A383="","",ROUND($H383*$I383,0))</f>
        <v/>
      </c>
      <c r="K383">
        <f>IF($A383="","",Entry!$D386)</f>
        <v/>
      </c>
      <c r="L383">
        <f>IF($A383="","",Entry!$L386)</f>
        <v/>
      </c>
      <c r="N383">
        <f>IF(OR(Sync!$M383="",$Q383="",$Q383="نامعتبر"),"",Sync!$M383)</f>
        <v/>
      </c>
      <c r="O383">
        <f>IF($N383="","",$Q383)</f>
        <v/>
      </c>
      <c r="P383">
        <f>IF($N383="","",LEFT($Q383,4)&amp;MID($Q383,6,2)&amp;RIGHT($Q383,2)&amp;IF(Sync!$K383="","0000",IF(AND(ISNUMBER(Sync!$K383),Sync!$K383&gt;=0,Sync!$K383&lt;1),RIGHT("00"&amp;HOUR(Sync!$K383),2)&amp;RIGHT("00"&amp;MINUTE(Sync!$K383),2),IFERROR(RIGHT("00"&amp;VALUE(LEFT(Sync!$K383,FIND(":",Sync!$K383)-1)),2)&amp;RIGHT("00"&amp;VALUE(MID(Sync!$K383,FIND(":",Sync!$K383)+1,2)),2),"0000")))&amp;"|"&amp;"2"&amp;RIGHT("00000"&amp;378,5))</f>
        <v/>
      </c>
      <c r="Q383">
        <f>IF(Sync!$J383="","",IF(ISNUMBER(Sync!$J383),IF(AND(Sync!$J383&gt;=10000101,Sync!$J383&lt;=99991231),INT(Sync!$J383/10000)&amp;"/"&amp;RIGHT("00"&amp;INT(MOD(Sync!$J383,10000)/100),2)&amp;"/"&amp;RIGHT("00"&amp;MOD(Sync!$J383,100),2),"نامعتبر"),IF(LEN(Sync!$J383)=10,Sync!$J383,"نامعتبر")))</f>
        <v/>
      </c>
      <c r="R383">
        <f>IF($P383="","",COUNTIFS($N$6:$N$2005,$N383,$P$6:$P$2005,"&lt;"&amp;$P383)+COUNTIFS($A$6:$A$1005,$N383,$B$6:$B$1005,"&lt;"&amp;$P383)+1)</f>
        <v/>
      </c>
      <c r="S383">
        <f>IF($N383="","",$N383&amp;"|"&amp;RIGHT("000000"&amp;$R383,6))</f>
        <v/>
      </c>
      <c r="T383">
        <f>IF($N383="","",IF(Sync!$N383="",0,Sync!$N383))</f>
        <v/>
      </c>
      <c r="U383">
        <f>IF($N383="","",IF(Sync!$O383="",0,Sync!$O383))</f>
        <v/>
      </c>
      <c r="V383">
        <f>IF($N383="","",Sync!$L383)</f>
        <v/>
      </c>
      <c r="W383">
        <f>IF($N383="","",Sync!$P383)</f>
        <v/>
      </c>
      <c r="AA383">
        <f>IF($A383="","",IF(COUNTIF($A$6:$A383,$A383)=1,1,0))</f>
        <v/>
      </c>
      <c r="AB383">
        <f>SUM($AA$6:$AA383)</f>
        <v/>
      </c>
      <c r="AC383">
        <f>IFERROR(INDEX($A$6:$A$1005,MATCH(ROW()-5,$AB$6:$AB$1005,0)),"")</f>
        <v/>
      </c>
    </row>
    <row r="384">
      <c r="A384">
        <f>IF(OR(Entry!$B387="",Entry!$E387="",$E384="نامعتبر"),"",Entry!$E387)</f>
        <v/>
      </c>
      <c r="B384">
        <f>IF($A384="","",LEFT($E384,4)&amp;MID($E384,6,2)&amp;RIGHT($E384,2)&amp;$F384&amp;"|"&amp;"1"&amp;RIGHT("00000"&amp;379,5))</f>
        <v/>
      </c>
      <c r="C384">
        <f>IF($B384="","",COUNTIFS($A$6:$A$1005,$A384,$B$6:$B$1005,"&lt;"&amp;$B384)+COUNTIFS($N$6:$N$2005,$A384,$P$6:$P$2005,"&lt;"&amp;$B384)+1)</f>
        <v/>
      </c>
      <c r="D384">
        <f>IF($C384="","",$A384&amp;"|"&amp;RIGHT("000000"&amp;$C384,6))</f>
        <v/>
      </c>
      <c r="E384">
        <f>IF(Entry!$B387="","",IF(ISNUMBER(Entry!$B387),IF(AND(Entry!$B387&gt;=10000101,Entry!$B387&lt;=99991231),INT(Entry!$B387/10000)&amp;"/"&amp;RIGHT("00"&amp;INT(MOD(Entry!$B387,10000)/100),2)&amp;"/"&amp;RIGHT("00"&amp;MOD(Entry!$B387,100),2),"نامعتبر"),IF(LEN(Entry!$B387)=10,Entry!$B387,"نامعتبر")))</f>
        <v/>
      </c>
      <c r="F384">
        <f>IF(Entry!$B387="","",IF(Entry!$C387="","0000",IF(AND(ISNUMBER(Entry!$C387),Entry!$C387&gt;=0,Entry!$C387&lt;1),RIGHT("00"&amp;HOUR(Entry!$C387),2)&amp;RIGHT("00"&amp;MINUTE(Entry!$C387),2),IFERROR(RIGHT("00"&amp;VALUE(LEFT(Entry!$C387,FIND(":",Entry!$C387)-1)),2)&amp;RIGHT("00"&amp;VALUE(MID(Entry!$C387,FIND(":",Entry!$C387)+1,2)),2),"0000"))))</f>
        <v/>
      </c>
      <c r="G384">
        <f>IF($A384="","",Entry!$G387)</f>
        <v/>
      </c>
      <c r="H384">
        <f>IF($A384="","",IF(Entry!$H387="",0,Entry!$H387))</f>
        <v/>
      </c>
      <c r="I384">
        <f>IF($A384="","",IF(Entry!$I387="",0,Entry!$I387))</f>
        <v/>
      </c>
      <c r="J384">
        <f>IF($A384="","",ROUND($H384*$I384,0))</f>
        <v/>
      </c>
      <c r="K384">
        <f>IF($A384="","",Entry!$D387)</f>
        <v/>
      </c>
      <c r="L384">
        <f>IF($A384="","",Entry!$L387)</f>
        <v/>
      </c>
      <c r="N384">
        <f>IF(OR(Sync!$M384="",$Q384="",$Q384="نامعتبر"),"",Sync!$M384)</f>
        <v/>
      </c>
      <c r="O384">
        <f>IF($N384="","",$Q384)</f>
        <v/>
      </c>
      <c r="P384">
        <f>IF($N384="","",LEFT($Q384,4)&amp;MID($Q384,6,2)&amp;RIGHT($Q384,2)&amp;IF(Sync!$K384="","0000",IF(AND(ISNUMBER(Sync!$K384),Sync!$K384&gt;=0,Sync!$K384&lt;1),RIGHT("00"&amp;HOUR(Sync!$K384),2)&amp;RIGHT("00"&amp;MINUTE(Sync!$K384),2),IFERROR(RIGHT("00"&amp;VALUE(LEFT(Sync!$K384,FIND(":",Sync!$K384)-1)),2)&amp;RIGHT("00"&amp;VALUE(MID(Sync!$K384,FIND(":",Sync!$K384)+1,2)),2),"0000")))&amp;"|"&amp;"2"&amp;RIGHT("00000"&amp;379,5))</f>
        <v/>
      </c>
      <c r="Q384">
        <f>IF(Sync!$J384="","",IF(ISNUMBER(Sync!$J384),IF(AND(Sync!$J384&gt;=10000101,Sync!$J384&lt;=99991231),INT(Sync!$J384/10000)&amp;"/"&amp;RIGHT("00"&amp;INT(MOD(Sync!$J384,10000)/100),2)&amp;"/"&amp;RIGHT("00"&amp;MOD(Sync!$J384,100),2),"نامعتبر"),IF(LEN(Sync!$J384)=10,Sync!$J384,"نامعتبر")))</f>
        <v/>
      </c>
      <c r="R384">
        <f>IF($P384="","",COUNTIFS($N$6:$N$2005,$N384,$P$6:$P$2005,"&lt;"&amp;$P384)+COUNTIFS($A$6:$A$1005,$N384,$B$6:$B$1005,"&lt;"&amp;$P384)+1)</f>
        <v/>
      </c>
      <c r="S384">
        <f>IF($N384="","",$N384&amp;"|"&amp;RIGHT("000000"&amp;$R384,6))</f>
        <v/>
      </c>
      <c r="T384">
        <f>IF($N384="","",IF(Sync!$N384="",0,Sync!$N384))</f>
        <v/>
      </c>
      <c r="U384">
        <f>IF($N384="","",IF(Sync!$O384="",0,Sync!$O384))</f>
        <v/>
      </c>
      <c r="V384">
        <f>IF($N384="","",Sync!$L384)</f>
        <v/>
      </c>
      <c r="W384">
        <f>IF($N384="","",Sync!$P384)</f>
        <v/>
      </c>
      <c r="AA384">
        <f>IF($A384="","",IF(COUNTIF($A$6:$A384,$A384)=1,1,0))</f>
        <v/>
      </c>
      <c r="AB384">
        <f>SUM($AA$6:$AA384)</f>
        <v/>
      </c>
      <c r="AC384">
        <f>IFERROR(INDEX($A$6:$A$1005,MATCH(ROW()-5,$AB$6:$AB$1005,0)),"")</f>
        <v/>
      </c>
    </row>
    <row r="385">
      <c r="A385">
        <f>IF(OR(Entry!$B388="",Entry!$E388="",$E385="نامعتبر"),"",Entry!$E388)</f>
        <v/>
      </c>
      <c r="B385">
        <f>IF($A385="","",LEFT($E385,4)&amp;MID($E385,6,2)&amp;RIGHT($E385,2)&amp;$F385&amp;"|"&amp;"1"&amp;RIGHT("00000"&amp;380,5))</f>
        <v/>
      </c>
      <c r="C385">
        <f>IF($B385="","",COUNTIFS($A$6:$A$1005,$A385,$B$6:$B$1005,"&lt;"&amp;$B385)+COUNTIFS($N$6:$N$2005,$A385,$P$6:$P$2005,"&lt;"&amp;$B385)+1)</f>
        <v/>
      </c>
      <c r="D385">
        <f>IF($C385="","",$A385&amp;"|"&amp;RIGHT("000000"&amp;$C385,6))</f>
        <v/>
      </c>
      <c r="E385">
        <f>IF(Entry!$B388="","",IF(ISNUMBER(Entry!$B388),IF(AND(Entry!$B388&gt;=10000101,Entry!$B388&lt;=99991231),INT(Entry!$B388/10000)&amp;"/"&amp;RIGHT("00"&amp;INT(MOD(Entry!$B388,10000)/100),2)&amp;"/"&amp;RIGHT("00"&amp;MOD(Entry!$B388,100),2),"نامعتبر"),IF(LEN(Entry!$B388)=10,Entry!$B388,"نامعتبر")))</f>
        <v/>
      </c>
      <c r="F385">
        <f>IF(Entry!$B388="","",IF(Entry!$C388="","0000",IF(AND(ISNUMBER(Entry!$C388),Entry!$C388&gt;=0,Entry!$C388&lt;1),RIGHT("00"&amp;HOUR(Entry!$C388),2)&amp;RIGHT("00"&amp;MINUTE(Entry!$C388),2),IFERROR(RIGHT("00"&amp;VALUE(LEFT(Entry!$C388,FIND(":",Entry!$C388)-1)),2)&amp;RIGHT("00"&amp;VALUE(MID(Entry!$C388,FIND(":",Entry!$C388)+1,2)),2),"0000"))))</f>
        <v/>
      </c>
      <c r="G385">
        <f>IF($A385="","",Entry!$G388)</f>
        <v/>
      </c>
      <c r="H385">
        <f>IF($A385="","",IF(Entry!$H388="",0,Entry!$H388))</f>
        <v/>
      </c>
      <c r="I385">
        <f>IF($A385="","",IF(Entry!$I388="",0,Entry!$I388))</f>
        <v/>
      </c>
      <c r="J385">
        <f>IF($A385="","",ROUND($H385*$I385,0))</f>
        <v/>
      </c>
      <c r="K385">
        <f>IF($A385="","",Entry!$D388)</f>
        <v/>
      </c>
      <c r="L385">
        <f>IF($A385="","",Entry!$L388)</f>
        <v/>
      </c>
      <c r="N385">
        <f>IF(OR(Sync!$M385="",$Q385="",$Q385="نامعتبر"),"",Sync!$M385)</f>
        <v/>
      </c>
      <c r="O385">
        <f>IF($N385="","",$Q385)</f>
        <v/>
      </c>
      <c r="P385">
        <f>IF($N385="","",LEFT($Q385,4)&amp;MID($Q385,6,2)&amp;RIGHT($Q385,2)&amp;IF(Sync!$K385="","0000",IF(AND(ISNUMBER(Sync!$K385),Sync!$K385&gt;=0,Sync!$K385&lt;1),RIGHT("00"&amp;HOUR(Sync!$K385),2)&amp;RIGHT("00"&amp;MINUTE(Sync!$K385),2),IFERROR(RIGHT("00"&amp;VALUE(LEFT(Sync!$K385,FIND(":",Sync!$K385)-1)),2)&amp;RIGHT("00"&amp;VALUE(MID(Sync!$K385,FIND(":",Sync!$K385)+1,2)),2),"0000")))&amp;"|"&amp;"2"&amp;RIGHT("00000"&amp;380,5))</f>
        <v/>
      </c>
      <c r="Q385">
        <f>IF(Sync!$J385="","",IF(ISNUMBER(Sync!$J385),IF(AND(Sync!$J385&gt;=10000101,Sync!$J385&lt;=99991231),INT(Sync!$J385/10000)&amp;"/"&amp;RIGHT("00"&amp;INT(MOD(Sync!$J385,10000)/100),2)&amp;"/"&amp;RIGHT("00"&amp;MOD(Sync!$J385,100),2),"نامعتبر"),IF(LEN(Sync!$J385)=10,Sync!$J385,"نامعتبر")))</f>
        <v/>
      </c>
      <c r="R385">
        <f>IF($P385="","",COUNTIFS($N$6:$N$2005,$N385,$P$6:$P$2005,"&lt;"&amp;$P385)+COUNTIFS($A$6:$A$1005,$N385,$B$6:$B$1005,"&lt;"&amp;$P385)+1)</f>
        <v/>
      </c>
      <c r="S385">
        <f>IF($N385="","",$N385&amp;"|"&amp;RIGHT("000000"&amp;$R385,6))</f>
        <v/>
      </c>
      <c r="T385">
        <f>IF($N385="","",IF(Sync!$N385="",0,Sync!$N385))</f>
        <v/>
      </c>
      <c r="U385">
        <f>IF($N385="","",IF(Sync!$O385="",0,Sync!$O385))</f>
        <v/>
      </c>
      <c r="V385">
        <f>IF($N385="","",Sync!$L385)</f>
        <v/>
      </c>
      <c r="W385">
        <f>IF($N385="","",Sync!$P385)</f>
        <v/>
      </c>
      <c r="AA385">
        <f>IF($A385="","",IF(COUNTIF($A$6:$A385,$A385)=1,1,0))</f>
        <v/>
      </c>
      <c r="AB385">
        <f>SUM($AA$6:$AA385)</f>
        <v/>
      </c>
      <c r="AC385">
        <f>IFERROR(INDEX($A$6:$A$1005,MATCH(ROW()-5,$AB$6:$AB$1005,0)),"")</f>
        <v/>
      </c>
    </row>
    <row r="386">
      <c r="A386">
        <f>IF(OR(Entry!$B389="",Entry!$E389="",$E386="نامعتبر"),"",Entry!$E389)</f>
        <v/>
      </c>
      <c r="B386">
        <f>IF($A386="","",LEFT($E386,4)&amp;MID($E386,6,2)&amp;RIGHT($E386,2)&amp;$F386&amp;"|"&amp;"1"&amp;RIGHT("00000"&amp;381,5))</f>
        <v/>
      </c>
      <c r="C386">
        <f>IF($B386="","",COUNTIFS($A$6:$A$1005,$A386,$B$6:$B$1005,"&lt;"&amp;$B386)+COUNTIFS($N$6:$N$2005,$A386,$P$6:$P$2005,"&lt;"&amp;$B386)+1)</f>
        <v/>
      </c>
      <c r="D386">
        <f>IF($C386="","",$A386&amp;"|"&amp;RIGHT("000000"&amp;$C386,6))</f>
        <v/>
      </c>
      <c r="E386">
        <f>IF(Entry!$B389="","",IF(ISNUMBER(Entry!$B389),IF(AND(Entry!$B389&gt;=10000101,Entry!$B389&lt;=99991231),INT(Entry!$B389/10000)&amp;"/"&amp;RIGHT("00"&amp;INT(MOD(Entry!$B389,10000)/100),2)&amp;"/"&amp;RIGHT("00"&amp;MOD(Entry!$B389,100),2),"نامعتبر"),IF(LEN(Entry!$B389)=10,Entry!$B389,"نامعتبر")))</f>
        <v/>
      </c>
      <c r="F386">
        <f>IF(Entry!$B389="","",IF(Entry!$C389="","0000",IF(AND(ISNUMBER(Entry!$C389),Entry!$C389&gt;=0,Entry!$C389&lt;1),RIGHT("00"&amp;HOUR(Entry!$C389),2)&amp;RIGHT("00"&amp;MINUTE(Entry!$C389),2),IFERROR(RIGHT("00"&amp;VALUE(LEFT(Entry!$C389,FIND(":",Entry!$C389)-1)),2)&amp;RIGHT("00"&amp;VALUE(MID(Entry!$C389,FIND(":",Entry!$C389)+1,2)),2),"0000"))))</f>
        <v/>
      </c>
      <c r="G386">
        <f>IF($A386="","",Entry!$G389)</f>
        <v/>
      </c>
      <c r="H386">
        <f>IF($A386="","",IF(Entry!$H389="",0,Entry!$H389))</f>
        <v/>
      </c>
      <c r="I386">
        <f>IF($A386="","",IF(Entry!$I389="",0,Entry!$I389))</f>
        <v/>
      </c>
      <c r="J386">
        <f>IF($A386="","",ROUND($H386*$I386,0))</f>
        <v/>
      </c>
      <c r="K386">
        <f>IF($A386="","",Entry!$D389)</f>
        <v/>
      </c>
      <c r="L386">
        <f>IF($A386="","",Entry!$L389)</f>
        <v/>
      </c>
      <c r="N386">
        <f>IF(OR(Sync!$M386="",$Q386="",$Q386="نامعتبر"),"",Sync!$M386)</f>
        <v/>
      </c>
      <c r="O386">
        <f>IF($N386="","",$Q386)</f>
        <v/>
      </c>
      <c r="P386">
        <f>IF($N386="","",LEFT($Q386,4)&amp;MID($Q386,6,2)&amp;RIGHT($Q386,2)&amp;IF(Sync!$K386="","0000",IF(AND(ISNUMBER(Sync!$K386),Sync!$K386&gt;=0,Sync!$K386&lt;1),RIGHT("00"&amp;HOUR(Sync!$K386),2)&amp;RIGHT("00"&amp;MINUTE(Sync!$K386),2),IFERROR(RIGHT("00"&amp;VALUE(LEFT(Sync!$K386,FIND(":",Sync!$K386)-1)),2)&amp;RIGHT("00"&amp;VALUE(MID(Sync!$K386,FIND(":",Sync!$K386)+1,2)),2),"0000")))&amp;"|"&amp;"2"&amp;RIGHT("00000"&amp;381,5))</f>
        <v/>
      </c>
      <c r="Q386">
        <f>IF(Sync!$J386="","",IF(ISNUMBER(Sync!$J386),IF(AND(Sync!$J386&gt;=10000101,Sync!$J386&lt;=99991231),INT(Sync!$J386/10000)&amp;"/"&amp;RIGHT("00"&amp;INT(MOD(Sync!$J386,10000)/100),2)&amp;"/"&amp;RIGHT("00"&amp;MOD(Sync!$J386,100),2),"نامعتبر"),IF(LEN(Sync!$J386)=10,Sync!$J386,"نامعتبر")))</f>
        <v/>
      </c>
      <c r="R386">
        <f>IF($P386="","",COUNTIFS($N$6:$N$2005,$N386,$P$6:$P$2005,"&lt;"&amp;$P386)+COUNTIFS($A$6:$A$1005,$N386,$B$6:$B$1005,"&lt;"&amp;$P386)+1)</f>
        <v/>
      </c>
      <c r="S386">
        <f>IF($N386="","",$N386&amp;"|"&amp;RIGHT("000000"&amp;$R386,6))</f>
        <v/>
      </c>
      <c r="T386">
        <f>IF($N386="","",IF(Sync!$N386="",0,Sync!$N386))</f>
        <v/>
      </c>
      <c r="U386">
        <f>IF($N386="","",IF(Sync!$O386="",0,Sync!$O386))</f>
        <v/>
      </c>
      <c r="V386">
        <f>IF($N386="","",Sync!$L386)</f>
        <v/>
      </c>
      <c r="W386">
        <f>IF($N386="","",Sync!$P386)</f>
        <v/>
      </c>
      <c r="AA386">
        <f>IF($A386="","",IF(COUNTIF($A$6:$A386,$A386)=1,1,0))</f>
        <v/>
      </c>
      <c r="AB386">
        <f>SUM($AA$6:$AA386)</f>
        <v/>
      </c>
      <c r="AC386">
        <f>IFERROR(INDEX($A$6:$A$1005,MATCH(ROW()-5,$AB$6:$AB$1005,0)),"")</f>
        <v/>
      </c>
    </row>
    <row r="387">
      <c r="A387">
        <f>IF(OR(Entry!$B390="",Entry!$E390="",$E387="نامعتبر"),"",Entry!$E390)</f>
        <v/>
      </c>
      <c r="B387">
        <f>IF($A387="","",LEFT($E387,4)&amp;MID($E387,6,2)&amp;RIGHT($E387,2)&amp;$F387&amp;"|"&amp;"1"&amp;RIGHT("00000"&amp;382,5))</f>
        <v/>
      </c>
      <c r="C387">
        <f>IF($B387="","",COUNTIFS($A$6:$A$1005,$A387,$B$6:$B$1005,"&lt;"&amp;$B387)+COUNTIFS($N$6:$N$2005,$A387,$P$6:$P$2005,"&lt;"&amp;$B387)+1)</f>
        <v/>
      </c>
      <c r="D387">
        <f>IF($C387="","",$A387&amp;"|"&amp;RIGHT("000000"&amp;$C387,6))</f>
        <v/>
      </c>
      <c r="E387">
        <f>IF(Entry!$B390="","",IF(ISNUMBER(Entry!$B390),IF(AND(Entry!$B390&gt;=10000101,Entry!$B390&lt;=99991231),INT(Entry!$B390/10000)&amp;"/"&amp;RIGHT("00"&amp;INT(MOD(Entry!$B390,10000)/100),2)&amp;"/"&amp;RIGHT("00"&amp;MOD(Entry!$B390,100),2),"نامعتبر"),IF(LEN(Entry!$B390)=10,Entry!$B390,"نامعتبر")))</f>
        <v/>
      </c>
      <c r="F387">
        <f>IF(Entry!$B390="","",IF(Entry!$C390="","0000",IF(AND(ISNUMBER(Entry!$C390),Entry!$C390&gt;=0,Entry!$C390&lt;1),RIGHT("00"&amp;HOUR(Entry!$C390),2)&amp;RIGHT("00"&amp;MINUTE(Entry!$C390),2),IFERROR(RIGHT("00"&amp;VALUE(LEFT(Entry!$C390,FIND(":",Entry!$C390)-1)),2)&amp;RIGHT("00"&amp;VALUE(MID(Entry!$C390,FIND(":",Entry!$C390)+1,2)),2),"0000"))))</f>
        <v/>
      </c>
      <c r="G387">
        <f>IF($A387="","",Entry!$G390)</f>
        <v/>
      </c>
      <c r="H387">
        <f>IF($A387="","",IF(Entry!$H390="",0,Entry!$H390))</f>
        <v/>
      </c>
      <c r="I387">
        <f>IF($A387="","",IF(Entry!$I390="",0,Entry!$I390))</f>
        <v/>
      </c>
      <c r="J387">
        <f>IF($A387="","",ROUND($H387*$I387,0))</f>
        <v/>
      </c>
      <c r="K387">
        <f>IF($A387="","",Entry!$D390)</f>
        <v/>
      </c>
      <c r="L387">
        <f>IF($A387="","",Entry!$L390)</f>
        <v/>
      </c>
      <c r="N387">
        <f>IF(OR(Sync!$M387="",$Q387="",$Q387="نامعتبر"),"",Sync!$M387)</f>
        <v/>
      </c>
      <c r="O387">
        <f>IF($N387="","",$Q387)</f>
        <v/>
      </c>
      <c r="P387">
        <f>IF($N387="","",LEFT($Q387,4)&amp;MID($Q387,6,2)&amp;RIGHT($Q387,2)&amp;IF(Sync!$K387="","0000",IF(AND(ISNUMBER(Sync!$K387),Sync!$K387&gt;=0,Sync!$K387&lt;1),RIGHT("00"&amp;HOUR(Sync!$K387),2)&amp;RIGHT("00"&amp;MINUTE(Sync!$K387),2),IFERROR(RIGHT("00"&amp;VALUE(LEFT(Sync!$K387,FIND(":",Sync!$K387)-1)),2)&amp;RIGHT("00"&amp;VALUE(MID(Sync!$K387,FIND(":",Sync!$K387)+1,2)),2),"0000")))&amp;"|"&amp;"2"&amp;RIGHT("00000"&amp;382,5))</f>
        <v/>
      </c>
      <c r="Q387">
        <f>IF(Sync!$J387="","",IF(ISNUMBER(Sync!$J387),IF(AND(Sync!$J387&gt;=10000101,Sync!$J387&lt;=99991231),INT(Sync!$J387/10000)&amp;"/"&amp;RIGHT("00"&amp;INT(MOD(Sync!$J387,10000)/100),2)&amp;"/"&amp;RIGHT("00"&amp;MOD(Sync!$J387,100),2),"نامعتبر"),IF(LEN(Sync!$J387)=10,Sync!$J387,"نامعتبر")))</f>
        <v/>
      </c>
      <c r="R387">
        <f>IF($P387="","",COUNTIFS($N$6:$N$2005,$N387,$P$6:$P$2005,"&lt;"&amp;$P387)+COUNTIFS($A$6:$A$1005,$N387,$B$6:$B$1005,"&lt;"&amp;$P387)+1)</f>
        <v/>
      </c>
      <c r="S387">
        <f>IF($N387="","",$N387&amp;"|"&amp;RIGHT("000000"&amp;$R387,6))</f>
        <v/>
      </c>
      <c r="T387">
        <f>IF($N387="","",IF(Sync!$N387="",0,Sync!$N387))</f>
        <v/>
      </c>
      <c r="U387">
        <f>IF($N387="","",IF(Sync!$O387="",0,Sync!$O387))</f>
        <v/>
      </c>
      <c r="V387">
        <f>IF($N387="","",Sync!$L387)</f>
        <v/>
      </c>
      <c r="W387">
        <f>IF($N387="","",Sync!$P387)</f>
        <v/>
      </c>
      <c r="AA387">
        <f>IF($A387="","",IF(COUNTIF($A$6:$A387,$A387)=1,1,0))</f>
        <v/>
      </c>
      <c r="AB387">
        <f>SUM($AA$6:$AA387)</f>
        <v/>
      </c>
      <c r="AC387">
        <f>IFERROR(INDEX($A$6:$A$1005,MATCH(ROW()-5,$AB$6:$AB$1005,0)),"")</f>
        <v/>
      </c>
    </row>
    <row r="388">
      <c r="A388">
        <f>IF(OR(Entry!$B391="",Entry!$E391="",$E388="نامعتبر"),"",Entry!$E391)</f>
        <v/>
      </c>
      <c r="B388">
        <f>IF($A388="","",LEFT($E388,4)&amp;MID($E388,6,2)&amp;RIGHT($E388,2)&amp;$F388&amp;"|"&amp;"1"&amp;RIGHT("00000"&amp;383,5))</f>
        <v/>
      </c>
      <c r="C388">
        <f>IF($B388="","",COUNTIFS($A$6:$A$1005,$A388,$B$6:$B$1005,"&lt;"&amp;$B388)+COUNTIFS($N$6:$N$2005,$A388,$P$6:$P$2005,"&lt;"&amp;$B388)+1)</f>
        <v/>
      </c>
      <c r="D388">
        <f>IF($C388="","",$A388&amp;"|"&amp;RIGHT("000000"&amp;$C388,6))</f>
        <v/>
      </c>
      <c r="E388">
        <f>IF(Entry!$B391="","",IF(ISNUMBER(Entry!$B391),IF(AND(Entry!$B391&gt;=10000101,Entry!$B391&lt;=99991231),INT(Entry!$B391/10000)&amp;"/"&amp;RIGHT("00"&amp;INT(MOD(Entry!$B391,10000)/100),2)&amp;"/"&amp;RIGHT("00"&amp;MOD(Entry!$B391,100),2),"نامعتبر"),IF(LEN(Entry!$B391)=10,Entry!$B391,"نامعتبر")))</f>
        <v/>
      </c>
      <c r="F388">
        <f>IF(Entry!$B391="","",IF(Entry!$C391="","0000",IF(AND(ISNUMBER(Entry!$C391),Entry!$C391&gt;=0,Entry!$C391&lt;1),RIGHT("00"&amp;HOUR(Entry!$C391),2)&amp;RIGHT("00"&amp;MINUTE(Entry!$C391),2),IFERROR(RIGHT("00"&amp;VALUE(LEFT(Entry!$C391,FIND(":",Entry!$C391)-1)),2)&amp;RIGHT("00"&amp;VALUE(MID(Entry!$C391,FIND(":",Entry!$C391)+1,2)),2),"0000"))))</f>
        <v/>
      </c>
      <c r="G388">
        <f>IF($A388="","",Entry!$G391)</f>
        <v/>
      </c>
      <c r="H388">
        <f>IF($A388="","",IF(Entry!$H391="",0,Entry!$H391))</f>
        <v/>
      </c>
      <c r="I388">
        <f>IF($A388="","",IF(Entry!$I391="",0,Entry!$I391))</f>
        <v/>
      </c>
      <c r="J388">
        <f>IF($A388="","",ROUND($H388*$I388,0))</f>
        <v/>
      </c>
      <c r="K388">
        <f>IF($A388="","",Entry!$D391)</f>
        <v/>
      </c>
      <c r="L388">
        <f>IF($A388="","",Entry!$L391)</f>
        <v/>
      </c>
      <c r="N388">
        <f>IF(OR(Sync!$M388="",$Q388="",$Q388="نامعتبر"),"",Sync!$M388)</f>
        <v/>
      </c>
      <c r="O388">
        <f>IF($N388="","",$Q388)</f>
        <v/>
      </c>
      <c r="P388">
        <f>IF($N388="","",LEFT($Q388,4)&amp;MID($Q388,6,2)&amp;RIGHT($Q388,2)&amp;IF(Sync!$K388="","0000",IF(AND(ISNUMBER(Sync!$K388),Sync!$K388&gt;=0,Sync!$K388&lt;1),RIGHT("00"&amp;HOUR(Sync!$K388),2)&amp;RIGHT("00"&amp;MINUTE(Sync!$K388),2),IFERROR(RIGHT("00"&amp;VALUE(LEFT(Sync!$K388,FIND(":",Sync!$K388)-1)),2)&amp;RIGHT("00"&amp;VALUE(MID(Sync!$K388,FIND(":",Sync!$K388)+1,2)),2),"0000")))&amp;"|"&amp;"2"&amp;RIGHT("00000"&amp;383,5))</f>
        <v/>
      </c>
      <c r="Q388">
        <f>IF(Sync!$J388="","",IF(ISNUMBER(Sync!$J388),IF(AND(Sync!$J388&gt;=10000101,Sync!$J388&lt;=99991231),INT(Sync!$J388/10000)&amp;"/"&amp;RIGHT("00"&amp;INT(MOD(Sync!$J388,10000)/100),2)&amp;"/"&amp;RIGHT("00"&amp;MOD(Sync!$J388,100),2),"نامعتبر"),IF(LEN(Sync!$J388)=10,Sync!$J388,"نامعتبر")))</f>
        <v/>
      </c>
      <c r="R388">
        <f>IF($P388="","",COUNTIFS($N$6:$N$2005,$N388,$P$6:$P$2005,"&lt;"&amp;$P388)+COUNTIFS($A$6:$A$1005,$N388,$B$6:$B$1005,"&lt;"&amp;$P388)+1)</f>
        <v/>
      </c>
      <c r="S388">
        <f>IF($N388="","",$N388&amp;"|"&amp;RIGHT("000000"&amp;$R388,6))</f>
        <v/>
      </c>
      <c r="T388">
        <f>IF($N388="","",IF(Sync!$N388="",0,Sync!$N388))</f>
        <v/>
      </c>
      <c r="U388">
        <f>IF($N388="","",IF(Sync!$O388="",0,Sync!$O388))</f>
        <v/>
      </c>
      <c r="V388">
        <f>IF($N388="","",Sync!$L388)</f>
        <v/>
      </c>
      <c r="W388">
        <f>IF($N388="","",Sync!$P388)</f>
        <v/>
      </c>
      <c r="AA388">
        <f>IF($A388="","",IF(COUNTIF($A$6:$A388,$A388)=1,1,0))</f>
        <v/>
      </c>
      <c r="AB388">
        <f>SUM($AA$6:$AA388)</f>
        <v/>
      </c>
      <c r="AC388">
        <f>IFERROR(INDEX($A$6:$A$1005,MATCH(ROW()-5,$AB$6:$AB$1005,0)),"")</f>
        <v/>
      </c>
    </row>
    <row r="389">
      <c r="A389">
        <f>IF(OR(Entry!$B392="",Entry!$E392="",$E389="نامعتبر"),"",Entry!$E392)</f>
        <v/>
      </c>
      <c r="B389">
        <f>IF($A389="","",LEFT($E389,4)&amp;MID($E389,6,2)&amp;RIGHT($E389,2)&amp;$F389&amp;"|"&amp;"1"&amp;RIGHT("00000"&amp;384,5))</f>
        <v/>
      </c>
      <c r="C389">
        <f>IF($B389="","",COUNTIFS($A$6:$A$1005,$A389,$B$6:$B$1005,"&lt;"&amp;$B389)+COUNTIFS($N$6:$N$2005,$A389,$P$6:$P$2005,"&lt;"&amp;$B389)+1)</f>
        <v/>
      </c>
      <c r="D389">
        <f>IF($C389="","",$A389&amp;"|"&amp;RIGHT("000000"&amp;$C389,6))</f>
        <v/>
      </c>
      <c r="E389">
        <f>IF(Entry!$B392="","",IF(ISNUMBER(Entry!$B392),IF(AND(Entry!$B392&gt;=10000101,Entry!$B392&lt;=99991231),INT(Entry!$B392/10000)&amp;"/"&amp;RIGHT("00"&amp;INT(MOD(Entry!$B392,10000)/100),2)&amp;"/"&amp;RIGHT("00"&amp;MOD(Entry!$B392,100),2),"نامعتبر"),IF(LEN(Entry!$B392)=10,Entry!$B392,"نامعتبر")))</f>
        <v/>
      </c>
      <c r="F389">
        <f>IF(Entry!$B392="","",IF(Entry!$C392="","0000",IF(AND(ISNUMBER(Entry!$C392),Entry!$C392&gt;=0,Entry!$C392&lt;1),RIGHT("00"&amp;HOUR(Entry!$C392),2)&amp;RIGHT("00"&amp;MINUTE(Entry!$C392),2),IFERROR(RIGHT("00"&amp;VALUE(LEFT(Entry!$C392,FIND(":",Entry!$C392)-1)),2)&amp;RIGHT("00"&amp;VALUE(MID(Entry!$C392,FIND(":",Entry!$C392)+1,2)),2),"0000"))))</f>
        <v/>
      </c>
      <c r="G389">
        <f>IF($A389="","",Entry!$G392)</f>
        <v/>
      </c>
      <c r="H389">
        <f>IF($A389="","",IF(Entry!$H392="",0,Entry!$H392))</f>
        <v/>
      </c>
      <c r="I389">
        <f>IF($A389="","",IF(Entry!$I392="",0,Entry!$I392))</f>
        <v/>
      </c>
      <c r="J389">
        <f>IF($A389="","",ROUND($H389*$I389,0))</f>
        <v/>
      </c>
      <c r="K389">
        <f>IF($A389="","",Entry!$D392)</f>
        <v/>
      </c>
      <c r="L389">
        <f>IF($A389="","",Entry!$L392)</f>
        <v/>
      </c>
      <c r="N389">
        <f>IF(OR(Sync!$M389="",$Q389="",$Q389="نامعتبر"),"",Sync!$M389)</f>
        <v/>
      </c>
      <c r="O389">
        <f>IF($N389="","",$Q389)</f>
        <v/>
      </c>
      <c r="P389">
        <f>IF($N389="","",LEFT($Q389,4)&amp;MID($Q389,6,2)&amp;RIGHT($Q389,2)&amp;IF(Sync!$K389="","0000",IF(AND(ISNUMBER(Sync!$K389),Sync!$K389&gt;=0,Sync!$K389&lt;1),RIGHT("00"&amp;HOUR(Sync!$K389),2)&amp;RIGHT("00"&amp;MINUTE(Sync!$K389),2),IFERROR(RIGHT("00"&amp;VALUE(LEFT(Sync!$K389,FIND(":",Sync!$K389)-1)),2)&amp;RIGHT("00"&amp;VALUE(MID(Sync!$K389,FIND(":",Sync!$K389)+1,2)),2),"0000")))&amp;"|"&amp;"2"&amp;RIGHT("00000"&amp;384,5))</f>
        <v/>
      </c>
      <c r="Q389">
        <f>IF(Sync!$J389="","",IF(ISNUMBER(Sync!$J389),IF(AND(Sync!$J389&gt;=10000101,Sync!$J389&lt;=99991231),INT(Sync!$J389/10000)&amp;"/"&amp;RIGHT("00"&amp;INT(MOD(Sync!$J389,10000)/100),2)&amp;"/"&amp;RIGHT("00"&amp;MOD(Sync!$J389,100),2),"نامعتبر"),IF(LEN(Sync!$J389)=10,Sync!$J389,"نامعتبر")))</f>
        <v/>
      </c>
      <c r="R389">
        <f>IF($P389="","",COUNTIFS($N$6:$N$2005,$N389,$P$6:$P$2005,"&lt;"&amp;$P389)+COUNTIFS($A$6:$A$1005,$N389,$B$6:$B$1005,"&lt;"&amp;$P389)+1)</f>
        <v/>
      </c>
      <c r="S389">
        <f>IF($N389="","",$N389&amp;"|"&amp;RIGHT("000000"&amp;$R389,6))</f>
        <v/>
      </c>
      <c r="T389">
        <f>IF($N389="","",IF(Sync!$N389="",0,Sync!$N389))</f>
        <v/>
      </c>
      <c r="U389">
        <f>IF($N389="","",IF(Sync!$O389="",0,Sync!$O389))</f>
        <v/>
      </c>
      <c r="V389">
        <f>IF($N389="","",Sync!$L389)</f>
        <v/>
      </c>
      <c r="W389">
        <f>IF($N389="","",Sync!$P389)</f>
        <v/>
      </c>
      <c r="AA389">
        <f>IF($A389="","",IF(COUNTIF($A$6:$A389,$A389)=1,1,0))</f>
        <v/>
      </c>
      <c r="AB389">
        <f>SUM($AA$6:$AA389)</f>
        <v/>
      </c>
      <c r="AC389">
        <f>IFERROR(INDEX($A$6:$A$1005,MATCH(ROW()-5,$AB$6:$AB$1005,0)),"")</f>
        <v/>
      </c>
    </row>
    <row r="390">
      <c r="A390">
        <f>IF(OR(Entry!$B393="",Entry!$E393="",$E390="نامعتبر"),"",Entry!$E393)</f>
        <v/>
      </c>
      <c r="B390">
        <f>IF($A390="","",LEFT($E390,4)&amp;MID($E390,6,2)&amp;RIGHT($E390,2)&amp;$F390&amp;"|"&amp;"1"&amp;RIGHT("00000"&amp;385,5))</f>
        <v/>
      </c>
      <c r="C390">
        <f>IF($B390="","",COUNTIFS($A$6:$A$1005,$A390,$B$6:$B$1005,"&lt;"&amp;$B390)+COUNTIFS($N$6:$N$2005,$A390,$P$6:$P$2005,"&lt;"&amp;$B390)+1)</f>
        <v/>
      </c>
      <c r="D390">
        <f>IF($C390="","",$A390&amp;"|"&amp;RIGHT("000000"&amp;$C390,6))</f>
        <v/>
      </c>
      <c r="E390">
        <f>IF(Entry!$B393="","",IF(ISNUMBER(Entry!$B393),IF(AND(Entry!$B393&gt;=10000101,Entry!$B393&lt;=99991231),INT(Entry!$B393/10000)&amp;"/"&amp;RIGHT("00"&amp;INT(MOD(Entry!$B393,10000)/100),2)&amp;"/"&amp;RIGHT("00"&amp;MOD(Entry!$B393,100),2),"نامعتبر"),IF(LEN(Entry!$B393)=10,Entry!$B393,"نامعتبر")))</f>
        <v/>
      </c>
      <c r="F390">
        <f>IF(Entry!$B393="","",IF(Entry!$C393="","0000",IF(AND(ISNUMBER(Entry!$C393),Entry!$C393&gt;=0,Entry!$C393&lt;1),RIGHT("00"&amp;HOUR(Entry!$C393),2)&amp;RIGHT("00"&amp;MINUTE(Entry!$C393),2),IFERROR(RIGHT("00"&amp;VALUE(LEFT(Entry!$C393,FIND(":",Entry!$C393)-1)),2)&amp;RIGHT("00"&amp;VALUE(MID(Entry!$C393,FIND(":",Entry!$C393)+1,2)),2),"0000"))))</f>
        <v/>
      </c>
      <c r="G390">
        <f>IF($A390="","",Entry!$G393)</f>
        <v/>
      </c>
      <c r="H390">
        <f>IF($A390="","",IF(Entry!$H393="",0,Entry!$H393))</f>
        <v/>
      </c>
      <c r="I390">
        <f>IF($A390="","",IF(Entry!$I393="",0,Entry!$I393))</f>
        <v/>
      </c>
      <c r="J390">
        <f>IF($A390="","",ROUND($H390*$I390,0))</f>
        <v/>
      </c>
      <c r="K390">
        <f>IF($A390="","",Entry!$D393)</f>
        <v/>
      </c>
      <c r="L390">
        <f>IF($A390="","",Entry!$L393)</f>
        <v/>
      </c>
      <c r="N390">
        <f>IF(OR(Sync!$M390="",$Q390="",$Q390="نامعتبر"),"",Sync!$M390)</f>
        <v/>
      </c>
      <c r="O390">
        <f>IF($N390="","",$Q390)</f>
        <v/>
      </c>
      <c r="P390">
        <f>IF($N390="","",LEFT($Q390,4)&amp;MID($Q390,6,2)&amp;RIGHT($Q390,2)&amp;IF(Sync!$K390="","0000",IF(AND(ISNUMBER(Sync!$K390),Sync!$K390&gt;=0,Sync!$K390&lt;1),RIGHT("00"&amp;HOUR(Sync!$K390),2)&amp;RIGHT("00"&amp;MINUTE(Sync!$K390),2),IFERROR(RIGHT("00"&amp;VALUE(LEFT(Sync!$K390,FIND(":",Sync!$K390)-1)),2)&amp;RIGHT("00"&amp;VALUE(MID(Sync!$K390,FIND(":",Sync!$K390)+1,2)),2),"0000")))&amp;"|"&amp;"2"&amp;RIGHT("00000"&amp;385,5))</f>
        <v/>
      </c>
      <c r="Q390">
        <f>IF(Sync!$J390="","",IF(ISNUMBER(Sync!$J390),IF(AND(Sync!$J390&gt;=10000101,Sync!$J390&lt;=99991231),INT(Sync!$J390/10000)&amp;"/"&amp;RIGHT("00"&amp;INT(MOD(Sync!$J390,10000)/100),2)&amp;"/"&amp;RIGHT("00"&amp;MOD(Sync!$J390,100),2),"نامعتبر"),IF(LEN(Sync!$J390)=10,Sync!$J390,"نامعتبر")))</f>
        <v/>
      </c>
      <c r="R390">
        <f>IF($P390="","",COUNTIFS($N$6:$N$2005,$N390,$P$6:$P$2005,"&lt;"&amp;$P390)+COUNTIFS($A$6:$A$1005,$N390,$B$6:$B$1005,"&lt;"&amp;$P390)+1)</f>
        <v/>
      </c>
      <c r="S390">
        <f>IF($N390="","",$N390&amp;"|"&amp;RIGHT("000000"&amp;$R390,6))</f>
        <v/>
      </c>
      <c r="T390">
        <f>IF($N390="","",IF(Sync!$N390="",0,Sync!$N390))</f>
        <v/>
      </c>
      <c r="U390">
        <f>IF($N390="","",IF(Sync!$O390="",0,Sync!$O390))</f>
        <v/>
      </c>
      <c r="V390">
        <f>IF($N390="","",Sync!$L390)</f>
        <v/>
      </c>
      <c r="W390">
        <f>IF($N390="","",Sync!$P390)</f>
        <v/>
      </c>
      <c r="AA390">
        <f>IF($A390="","",IF(COUNTIF($A$6:$A390,$A390)=1,1,0))</f>
        <v/>
      </c>
      <c r="AB390">
        <f>SUM($AA$6:$AA390)</f>
        <v/>
      </c>
      <c r="AC390">
        <f>IFERROR(INDEX($A$6:$A$1005,MATCH(ROW()-5,$AB$6:$AB$1005,0)),"")</f>
        <v/>
      </c>
    </row>
    <row r="391">
      <c r="A391">
        <f>IF(OR(Entry!$B394="",Entry!$E394="",$E391="نامعتبر"),"",Entry!$E394)</f>
        <v/>
      </c>
      <c r="B391">
        <f>IF($A391="","",LEFT($E391,4)&amp;MID($E391,6,2)&amp;RIGHT($E391,2)&amp;$F391&amp;"|"&amp;"1"&amp;RIGHT("00000"&amp;386,5))</f>
        <v/>
      </c>
      <c r="C391">
        <f>IF($B391="","",COUNTIFS($A$6:$A$1005,$A391,$B$6:$B$1005,"&lt;"&amp;$B391)+COUNTIFS($N$6:$N$2005,$A391,$P$6:$P$2005,"&lt;"&amp;$B391)+1)</f>
        <v/>
      </c>
      <c r="D391">
        <f>IF($C391="","",$A391&amp;"|"&amp;RIGHT("000000"&amp;$C391,6))</f>
        <v/>
      </c>
      <c r="E391">
        <f>IF(Entry!$B394="","",IF(ISNUMBER(Entry!$B394),IF(AND(Entry!$B394&gt;=10000101,Entry!$B394&lt;=99991231),INT(Entry!$B394/10000)&amp;"/"&amp;RIGHT("00"&amp;INT(MOD(Entry!$B394,10000)/100),2)&amp;"/"&amp;RIGHT("00"&amp;MOD(Entry!$B394,100),2),"نامعتبر"),IF(LEN(Entry!$B394)=10,Entry!$B394,"نامعتبر")))</f>
        <v/>
      </c>
      <c r="F391">
        <f>IF(Entry!$B394="","",IF(Entry!$C394="","0000",IF(AND(ISNUMBER(Entry!$C394),Entry!$C394&gt;=0,Entry!$C394&lt;1),RIGHT("00"&amp;HOUR(Entry!$C394),2)&amp;RIGHT("00"&amp;MINUTE(Entry!$C394),2),IFERROR(RIGHT("00"&amp;VALUE(LEFT(Entry!$C394,FIND(":",Entry!$C394)-1)),2)&amp;RIGHT("00"&amp;VALUE(MID(Entry!$C394,FIND(":",Entry!$C394)+1,2)),2),"0000"))))</f>
        <v/>
      </c>
      <c r="G391">
        <f>IF($A391="","",Entry!$G394)</f>
        <v/>
      </c>
      <c r="H391">
        <f>IF($A391="","",IF(Entry!$H394="",0,Entry!$H394))</f>
        <v/>
      </c>
      <c r="I391">
        <f>IF($A391="","",IF(Entry!$I394="",0,Entry!$I394))</f>
        <v/>
      </c>
      <c r="J391">
        <f>IF($A391="","",ROUND($H391*$I391,0))</f>
        <v/>
      </c>
      <c r="K391">
        <f>IF($A391="","",Entry!$D394)</f>
        <v/>
      </c>
      <c r="L391">
        <f>IF($A391="","",Entry!$L394)</f>
        <v/>
      </c>
      <c r="N391">
        <f>IF(OR(Sync!$M391="",$Q391="",$Q391="نامعتبر"),"",Sync!$M391)</f>
        <v/>
      </c>
      <c r="O391">
        <f>IF($N391="","",$Q391)</f>
        <v/>
      </c>
      <c r="P391">
        <f>IF($N391="","",LEFT($Q391,4)&amp;MID($Q391,6,2)&amp;RIGHT($Q391,2)&amp;IF(Sync!$K391="","0000",IF(AND(ISNUMBER(Sync!$K391),Sync!$K391&gt;=0,Sync!$K391&lt;1),RIGHT("00"&amp;HOUR(Sync!$K391),2)&amp;RIGHT("00"&amp;MINUTE(Sync!$K391),2),IFERROR(RIGHT("00"&amp;VALUE(LEFT(Sync!$K391,FIND(":",Sync!$K391)-1)),2)&amp;RIGHT("00"&amp;VALUE(MID(Sync!$K391,FIND(":",Sync!$K391)+1,2)),2),"0000")))&amp;"|"&amp;"2"&amp;RIGHT("00000"&amp;386,5))</f>
        <v/>
      </c>
      <c r="Q391">
        <f>IF(Sync!$J391="","",IF(ISNUMBER(Sync!$J391),IF(AND(Sync!$J391&gt;=10000101,Sync!$J391&lt;=99991231),INT(Sync!$J391/10000)&amp;"/"&amp;RIGHT("00"&amp;INT(MOD(Sync!$J391,10000)/100),2)&amp;"/"&amp;RIGHT("00"&amp;MOD(Sync!$J391,100),2),"نامعتبر"),IF(LEN(Sync!$J391)=10,Sync!$J391,"نامعتبر")))</f>
        <v/>
      </c>
      <c r="R391">
        <f>IF($P391="","",COUNTIFS($N$6:$N$2005,$N391,$P$6:$P$2005,"&lt;"&amp;$P391)+COUNTIFS($A$6:$A$1005,$N391,$B$6:$B$1005,"&lt;"&amp;$P391)+1)</f>
        <v/>
      </c>
      <c r="S391">
        <f>IF($N391="","",$N391&amp;"|"&amp;RIGHT("000000"&amp;$R391,6))</f>
        <v/>
      </c>
      <c r="T391">
        <f>IF($N391="","",IF(Sync!$N391="",0,Sync!$N391))</f>
        <v/>
      </c>
      <c r="U391">
        <f>IF($N391="","",IF(Sync!$O391="",0,Sync!$O391))</f>
        <v/>
      </c>
      <c r="V391">
        <f>IF($N391="","",Sync!$L391)</f>
        <v/>
      </c>
      <c r="W391">
        <f>IF($N391="","",Sync!$P391)</f>
        <v/>
      </c>
      <c r="AA391">
        <f>IF($A391="","",IF(COUNTIF($A$6:$A391,$A391)=1,1,0))</f>
        <v/>
      </c>
      <c r="AB391">
        <f>SUM($AA$6:$AA391)</f>
        <v/>
      </c>
      <c r="AC391">
        <f>IFERROR(INDEX($A$6:$A$1005,MATCH(ROW()-5,$AB$6:$AB$1005,0)),"")</f>
        <v/>
      </c>
    </row>
    <row r="392">
      <c r="A392">
        <f>IF(OR(Entry!$B395="",Entry!$E395="",$E392="نامعتبر"),"",Entry!$E395)</f>
        <v/>
      </c>
      <c r="B392">
        <f>IF($A392="","",LEFT($E392,4)&amp;MID($E392,6,2)&amp;RIGHT($E392,2)&amp;$F392&amp;"|"&amp;"1"&amp;RIGHT("00000"&amp;387,5))</f>
        <v/>
      </c>
      <c r="C392">
        <f>IF($B392="","",COUNTIFS($A$6:$A$1005,$A392,$B$6:$B$1005,"&lt;"&amp;$B392)+COUNTIFS($N$6:$N$2005,$A392,$P$6:$P$2005,"&lt;"&amp;$B392)+1)</f>
        <v/>
      </c>
      <c r="D392">
        <f>IF($C392="","",$A392&amp;"|"&amp;RIGHT("000000"&amp;$C392,6))</f>
        <v/>
      </c>
      <c r="E392">
        <f>IF(Entry!$B395="","",IF(ISNUMBER(Entry!$B395),IF(AND(Entry!$B395&gt;=10000101,Entry!$B395&lt;=99991231),INT(Entry!$B395/10000)&amp;"/"&amp;RIGHT("00"&amp;INT(MOD(Entry!$B395,10000)/100),2)&amp;"/"&amp;RIGHT("00"&amp;MOD(Entry!$B395,100),2),"نامعتبر"),IF(LEN(Entry!$B395)=10,Entry!$B395,"نامعتبر")))</f>
        <v/>
      </c>
      <c r="F392">
        <f>IF(Entry!$B395="","",IF(Entry!$C395="","0000",IF(AND(ISNUMBER(Entry!$C395),Entry!$C395&gt;=0,Entry!$C395&lt;1),RIGHT("00"&amp;HOUR(Entry!$C395),2)&amp;RIGHT("00"&amp;MINUTE(Entry!$C395),2),IFERROR(RIGHT("00"&amp;VALUE(LEFT(Entry!$C395,FIND(":",Entry!$C395)-1)),2)&amp;RIGHT("00"&amp;VALUE(MID(Entry!$C395,FIND(":",Entry!$C395)+1,2)),2),"0000"))))</f>
        <v/>
      </c>
      <c r="G392">
        <f>IF($A392="","",Entry!$G395)</f>
        <v/>
      </c>
      <c r="H392">
        <f>IF($A392="","",IF(Entry!$H395="",0,Entry!$H395))</f>
        <v/>
      </c>
      <c r="I392">
        <f>IF($A392="","",IF(Entry!$I395="",0,Entry!$I395))</f>
        <v/>
      </c>
      <c r="J392">
        <f>IF($A392="","",ROUND($H392*$I392,0))</f>
        <v/>
      </c>
      <c r="K392">
        <f>IF($A392="","",Entry!$D395)</f>
        <v/>
      </c>
      <c r="L392">
        <f>IF($A392="","",Entry!$L395)</f>
        <v/>
      </c>
      <c r="N392">
        <f>IF(OR(Sync!$M392="",$Q392="",$Q392="نامعتبر"),"",Sync!$M392)</f>
        <v/>
      </c>
      <c r="O392">
        <f>IF($N392="","",$Q392)</f>
        <v/>
      </c>
      <c r="P392">
        <f>IF($N392="","",LEFT($Q392,4)&amp;MID($Q392,6,2)&amp;RIGHT($Q392,2)&amp;IF(Sync!$K392="","0000",IF(AND(ISNUMBER(Sync!$K392),Sync!$K392&gt;=0,Sync!$K392&lt;1),RIGHT("00"&amp;HOUR(Sync!$K392),2)&amp;RIGHT("00"&amp;MINUTE(Sync!$K392),2),IFERROR(RIGHT("00"&amp;VALUE(LEFT(Sync!$K392,FIND(":",Sync!$K392)-1)),2)&amp;RIGHT("00"&amp;VALUE(MID(Sync!$K392,FIND(":",Sync!$K392)+1,2)),2),"0000")))&amp;"|"&amp;"2"&amp;RIGHT("00000"&amp;387,5))</f>
        <v/>
      </c>
      <c r="Q392">
        <f>IF(Sync!$J392="","",IF(ISNUMBER(Sync!$J392),IF(AND(Sync!$J392&gt;=10000101,Sync!$J392&lt;=99991231),INT(Sync!$J392/10000)&amp;"/"&amp;RIGHT("00"&amp;INT(MOD(Sync!$J392,10000)/100),2)&amp;"/"&amp;RIGHT("00"&amp;MOD(Sync!$J392,100),2),"نامعتبر"),IF(LEN(Sync!$J392)=10,Sync!$J392,"نامعتبر")))</f>
        <v/>
      </c>
      <c r="R392">
        <f>IF($P392="","",COUNTIFS($N$6:$N$2005,$N392,$P$6:$P$2005,"&lt;"&amp;$P392)+COUNTIFS($A$6:$A$1005,$N392,$B$6:$B$1005,"&lt;"&amp;$P392)+1)</f>
        <v/>
      </c>
      <c r="S392">
        <f>IF($N392="","",$N392&amp;"|"&amp;RIGHT("000000"&amp;$R392,6))</f>
        <v/>
      </c>
      <c r="T392">
        <f>IF($N392="","",IF(Sync!$N392="",0,Sync!$N392))</f>
        <v/>
      </c>
      <c r="U392">
        <f>IF($N392="","",IF(Sync!$O392="",0,Sync!$O392))</f>
        <v/>
      </c>
      <c r="V392">
        <f>IF($N392="","",Sync!$L392)</f>
        <v/>
      </c>
      <c r="W392">
        <f>IF($N392="","",Sync!$P392)</f>
        <v/>
      </c>
      <c r="AA392">
        <f>IF($A392="","",IF(COUNTIF($A$6:$A392,$A392)=1,1,0))</f>
        <v/>
      </c>
      <c r="AB392">
        <f>SUM($AA$6:$AA392)</f>
        <v/>
      </c>
      <c r="AC392">
        <f>IFERROR(INDEX($A$6:$A$1005,MATCH(ROW()-5,$AB$6:$AB$1005,0)),"")</f>
        <v/>
      </c>
    </row>
    <row r="393">
      <c r="A393">
        <f>IF(OR(Entry!$B396="",Entry!$E396="",$E393="نامعتبر"),"",Entry!$E396)</f>
        <v/>
      </c>
      <c r="B393">
        <f>IF($A393="","",LEFT($E393,4)&amp;MID($E393,6,2)&amp;RIGHT($E393,2)&amp;$F393&amp;"|"&amp;"1"&amp;RIGHT("00000"&amp;388,5))</f>
        <v/>
      </c>
      <c r="C393">
        <f>IF($B393="","",COUNTIFS($A$6:$A$1005,$A393,$B$6:$B$1005,"&lt;"&amp;$B393)+COUNTIFS($N$6:$N$2005,$A393,$P$6:$P$2005,"&lt;"&amp;$B393)+1)</f>
        <v/>
      </c>
      <c r="D393">
        <f>IF($C393="","",$A393&amp;"|"&amp;RIGHT("000000"&amp;$C393,6))</f>
        <v/>
      </c>
      <c r="E393">
        <f>IF(Entry!$B396="","",IF(ISNUMBER(Entry!$B396),IF(AND(Entry!$B396&gt;=10000101,Entry!$B396&lt;=99991231),INT(Entry!$B396/10000)&amp;"/"&amp;RIGHT("00"&amp;INT(MOD(Entry!$B396,10000)/100),2)&amp;"/"&amp;RIGHT("00"&amp;MOD(Entry!$B396,100),2),"نامعتبر"),IF(LEN(Entry!$B396)=10,Entry!$B396,"نامعتبر")))</f>
        <v/>
      </c>
      <c r="F393">
        <f>IF(Entry!$B396="","",IF(Entry!$C396="","0000",IF(AND(ISNUMBER(Entry!$C396),Entry!$C396&gt;=0,Entry!$C396&lt;1),RIGHT("00"&amp;HOUR(Entry!$C396),2)&amp;RIGHT("00"&amp;MINUTE(Entry!$C396),2),IFERROR(RIGHT("00"&amp;VALUE(LEFT(Entry!$C396,FIND(":",Entry!$C396)-1)),2)&amp;RIGHT("00"&amp;VALUE(MID(Entry!$C396,FIND(":",Entry!$C396)+1,2)),2),"0000"))))</f>
        <v/>
      </c>
      <c r="G393">
        <f>IF($A393="","",Entry!$G396)</f>
        <v/>
      </c>
      <c r="H393">
        <f>IF($A393="","",IF(Entry!$H396="",0,Entry!$H396))</f>
        <v/>
      </c>
      <c r="I393">
        <f>IF($A393="","",IF(Entry!$I396="",0,Entry!$I396))</f>
        <v/>
      </c>
      <c r="J393">
        <f>IF($A393="","",ROUND($H393*$I393,0))</f>
        <v/>
      </c>
      <c r="K393">
        <f>IF($A393="","",Entry!$D396)</f>
        <v/>
      </c>
      <c r="L393">
        <f>IF($A393="","",Entry!$L396)</f>
        <v/>
      </c>
      <c r="N393">
        <f>IF(OR(Sync!$M393="",$Q393="",$Q393="نامعتبر"),"",Sync!$M393)</f>
        <v/>
      </c>
      <c r="O393">
        <f>IF($N393="","",$Q393)</f>
        <v/>
      </c>
      <c r="P393">
        <f>IF($N393="","",LEFT($Q393,4)&amp;MID($Q393,6,2)&amp;RIGHT($Q393,2)&amp;IF(Sync!$K393="","0000",IF(AND(ISNUMBER(Sync!$K393),Sync!$K393&gt;=0,Sync!$K393&lt;1),RIGHT("00"&amp;HOUR(Sync!$K393),2)&amp;RIGHT("00"&amp;MINUTE(Sync!$K393),2),IFERROR(RIGHT("00"&amp;VALUE(LEFT(Sync!$K393,FIND(":",Sync!$K393)-1)),2)&amp;RIGHT("00"&amp;VALUE(MID(Sync!$K393,FIND(":",Sync!$K393)+1,2)),2),"0000")))&amp;"|"&amp;"2"&amp;RIGHT("00000"&amp;388,5))</f>
        <v/>
      </c>
      <c r="Q393">
        <f>IF(Sync!$J393="","",IF(ISNUMBER(Sync!$J393),IF(AND(Sync!$J393&gt;=10000101,Sync!$J393&lt;=99991231),INT(Sync!$J393/10000)&amp;"/"&amp;RIGHT("00"&amp;INT(MOD(Sync!$J393,10000)/100),2)&amp;"/"&amp;RIGHT("00"&amp;MOD(Sync!$J393,100),2),"نامعتبر"),IF(LEN(Sync!$J393)=10,Sync!$J393,"نامعتبر")))</f>
        <v/>
      </c>
      <c r="R393">
        <f>IF($P393="","",COUNTIFS($N$6:$N$2005,$N393,$P$6:$P$2005,"&lt;"&amp;$P393)+COUNTIFS($A$6:$A$1005,$N393,$B$6:$B$1005,"&lt;"&amp;$P393)+1)</f>
        <v/>
      </c>
      <c r="S393">
        <f>IF($N393="","",$N393&amp;"|"&amp;RIGHT("000000"&amp;$R393,6))</f>
        <v/>
      </c>
      <c r="T393">
        <f>IF($N393="","",IF(Sync!$N393="",0,Sync!$N393))</f>
        <v/>
      </c>
      <c r="U393">
        <f>IF($N393="","",IF(Sync!$O393="",0,Sync!$O393))</f>
        <v/>
      </c>
      <c r="V393">
        <f>IF($N393="","",Sync!$L393)</f>
        <v/>
      </c>
      <c r="W393">
        <f>IF($N393="","",Sync!$P393)</f>
        <v/>
      </c>
      <c r="AA393">
        <f>IF($A393="","",IF(COUNTIF($A$6:$A393,$A393)=1,1,0))</f>
        <v/>
      </c>
      <c r="AB393">
        <f>SUM($AA$6:$AA393)</f>
        <v/>
      </c>
      <c r="AC393">
        <f>IFERROR(INDEX($A$6:$A$1005,MATCH(ROW()-5,$AB$6:$AB$1005,0)),"")</f>
        <v/>
      </c>
    </row>
    <row r="394">
      <c r="A394">
        <f>IF(OR(Entry!$B397="",Entry!$E397="",$E394="نامعتبر"),"",Entry!$E397)</f>
        <v/>
      </c>
      <c r="B394">
        <f>IF($A394="","",LEFT($E394,4)&amp;MID($E394,6,2)&amp;RIGHT($E394,2)&amp;$F394&amp;"|"&amp;"1"&amp;RIGHT("00000"&amp;389,5))</f>
        <v/>
      </c>
      <c r="C394">
        <f>IF($B394="","",COUNTIFS($A$6:$A$1005,$A394,$B$6:$B$1005,"&lt;"&amp;$B394)+COUNTIFS($N$6:$N$2005,$A394,$P$6:$P$2005,"&lt;"&amp;$B394)+1)</f>
        <v/>
      </c>
      <c r="D394">
        <f>IF($C394="","",$A394&amp;"|"&amp;RIGHT("000000"&amp;$C394,6))</f>
        <v/>
      </c>
      <c r="E394">
        <f>IF(Entry!$B397="","",IF(ISNUMBER(Entry!$B397),IF(AND(Entry!$B397&gt;=10000101,Entry!$B397&lt;=99991231),INT(Entry!$B397/10000)&amp;"/"&amp;RIGHT("00"&amp;INT(MOD(Entry!$B397,10000)/100),2)&amp;"/"&amp;RIGHT("00"&amp;MOD(Entry!$B397,100),2),"نامعتبر"),IF(LEN(Entry!$B397)=10,Entry!$B397,"نامعتبر")))</f>
        <v/>
      </c>
      <c r="F394">
        <f>IF(Entry!$B397="","",IF(Entry!$C397="","0000",IF(AND(ISNUMBER(Entry!$C397),Entry!$C397&gt;=0,Entry!$C397&lt;1),RIGHT("00"&amp;HOUR(Entry!$C397),2)&amp;RIGHT("00"&amp;MINUTE(Entry!$C397),2),IFERROR(RIGHT("00"&amp;VALUE(LEFT(Entry!$C397,FIND(":",Entry!$C397)-1)),2)&amp;RIGHT("00"&amp;VALUE(MID(Entry!$C397,FIND(":",Entry!$C397)+1,2)),2),"0000"))))</f>
        <v/>
      </c>
      <c r="G394">
        <f>IF($A394="","",Entry!$G397)</f>
        <v/>
      </c>
      <c r="H394">
        <f>IF($A394="","",IF(Entry!$H397="",0,Entry!$H397))</f>
        <v/>
      </c>
      <c r="I394">
        <f>IF($A394="","",IF(Entry!$I397="",0,Entry!$I397))</f>
        <v/>
      </c>
      <c r="J394">
        <f>IF($A394="","",ROUND($H394*$I394,0))</f>
        <v/>
      </c>
      <c r="K394">
        <f>IF($A394="","",Entry!$D397)</f>
        <v/>
      </c>
      <c r="L394">
        <f>IF($A394="","",Entry!$L397)</f>
        <v/>
      </c>
      <c r="N394">
        <f>IF(OR(Sync!$M394="",$Q394="",$Q394="نامعتبر"),"",Sync!$M394)</f>
        <v/>
      </c>
      <c r="O394">
        <f>IF($N394="","",$Q394)</f>
        <v/>
      </c>
      <c r="P394">
        <f>IF($N394="","",LEFT($Q394,4)&amp;MID($Q394,6,2)&amp;RIGHT($Q394,2)&amp;IF(Sync!$K394="","0000",IF(AND(ISNUMBER(Sync!$K394),Sync!$K394&gt;=0,Sync!$K394&lt;1),RIGHT("00"&amp;HOUR(Sync!$K394),2)&amp;RIGHT("00"&amp;MINUTE(Sync!$K394),2),IFERROR(RIGHT("00"&amp;VALUE(LEFT(Sync!$K394,FIND(":",Sync!$K394)-1)),2)&amp;RIGHT("00"&amp;VALUE(MID(Sync!$K394,FIND(":",Sync!$K394)+1,2)),2),"0000")))&amp;"|"&amp;"2"&amp;RIGHT("00000"&amp;389,5))</f>
        <v/>
      </c>
      <c r="Q394">
        <f>IF(Sync!$J394="","",IF(ISNUMBER(Sync!$J394),IF(AND(Sync!$J394&gt;=10000101,Sync!$J394&lt;=99991231),INT(Sync!$J394/10000)&amp;"/"&amp;RIGHT("00"&amp;INT(MOD(Sync!$J394,10000)/100),2)&amp;"/"&amp;RIGHT("00"&amp;MOD(Sync!$J394,100),2),"نامعتبر"),IF(LEN(Sync!$J394)=10,Sync!$J394,"نامعتبر")))</f>
        <v/>
      </c>
      <c r="R394">
        <f>IF($P394="","",COUNTIFS($N$6:$N$2005,$N394,$P$6:$P$2005,"&lt;"&amp;$P394)+COUNTIFS($A$6:$A$1005,$N394,$B$6:$B$1005,"&lt;"&amp;$P394)+1)</f>
        <v/>
      </c>
      <c r="S394">
        <f>IF($N394="","",$N394&amp;"|"&amp;RIGHT("000000"&amp;$R394,6))</f>
        <v/>
      </c>
      <c r="T394">
        <f>IF($N394="","",IF(Sync!$N394="",0,Sync!$N394))</f>
        <v/>
      </c>
      <c r="U394">
        <f>IF($N394="","",IF(Sync!$O394="",0,Sync!$O394))</f>
        <v/>
      </c>
      <c r="V394">
        <f>IF($N394="","",Sync!$L394)</f>
        <v/>
      </c>
      <c r="W394">
        <f>IF($N394="","",Sync!$P394)</f>
        <v/>
      </c>
      <c r="AA394">
        <f>IF($A394="","",IF(COUNTIF($A$6:$A394,$A394)=1,1,0))</f>
        <v/>
      </c>
      <c r="AB394">
        <f>SUM($AA$6:$AA394)</f>
        <v/>
      </c>
      <c r="AC394">
        <f>IFERROR(INDEX($A$6:$A$1005,MATCH(ROW()-5,$AB$6:$AB$1005,0)),"")</f>
        <v/>
      </c>
    </row>
    <row r="395">
      <c r="A395">
        <f>IF(OR(Entry!$B398="",Entry!$E398="",$E395="نامعتبر"),"",Entry!$E398)</f>
        <v/>
      </c>
      <c r="B395">
        <f>IF($A395="","",LEFT($E395,4)&amp;MID($E395,6,2)&amp;RIGHT($E395,2)&amp;$F395&amp;"|"&amp;"1"&amp;RIGHT("00000"&amp;390,5))</f>
        <v/>
      </c>
      <c r="C395">
        <f>IF($B395="","",COUNTIFS($A$6:$A$1005,$A395,$B$6:$B$1005,"&lt;"&amp;$B395)+COUNTIFS($N$6:$N$2005,$A395,$P$6:$P$2005,"&lt;"&amp;$B395)+1)</f>
        <v/>
      </c>
      <c r="D395">
        <f>IF($C395="","",$A395&amp;"|"&amp;RIGHT("000000"&amp;$C395,6))</f>
        <v/>
      </c>
      <c r="E395">
        <f>IF(Entry!$B398="","",IF(ISNUMBER(Entry!$B398),IF(AND(Entry!$B398&gt;=10000101,Entry!$B398&lt;=99991231),INT(Entry!$B398/10000)&amp;"/"&amp;RIGHT("00"&amp;INT(MOD(Entry!$B398,10000)/100),2)&amp;"/"&amp;RIGHT("00"&amp;MOD(Entry!$B398,100),2),"نامعتبر"),IF(LEN(Entry!$B398)=10,Entry!$B398,"نامعتبر")))</f>
        <v/>
      </c>
      <c r="F395">
        <f>IF(Entry!$B398="","",IF(Entry!$C398="","0000",IF(AND(ISNUMBER(Entry!$C398),Entry!$C398&gt;=0,Entry!$C398&lt;1),RIGHT("00"&amp;HOUR(Entry!$C398),2)&amp;RIGHT("00"&amp;MINUTE(Entry!$C398),2),IFERROR(RIGHT("00"&amp;VALUE(LEFT(Entry!$C398,FIND(":",Entry!$C398)-1)),2)&amp;RIGHT("00"&amp;VALUE(MID(Entry!$C398,FIND(":",Entry!$C398)+1,2)),2),"0000"))))</f>
        <v/>
      </c>
      <c r="G395">
        <f>IF($A395="","",Entry!$G398)</f>
        <v/>
      </c>
      <c r="H395">
        <f>IF($A395="","",IF(Entry!$H398="",0,Entry!$H398))</f>
        <v/>
      </c>
      <c r="I395">
        <f>IF($A395="","",IF(Entry!$I398="",0,Entry!$I398))</f>
        <v/>
      </c>
      <c r="J395">
        <f>IF($A395="","",ROUND($H395*$I395,0))</f>
        <v/>
      </c>
      <c r="K395">
        <f>IF($A395="","",Entry!$D398)</f>
        <v/>
      </c>
      <c r="L395">
        <f>IF($A395="","",Entry!$L398)</f>
        <v/>
      </c>
      <c r="N395">
        <f>IF(OR(Sync!$M395="",$Q395="",$Q395="نامعتبر"),"",Sync!$M395)</f>
        <v/>
      </c>
      <c r="O395">
        <f>IF($N395="","",$Q395)</f>
        <v/>
      </c>
      <c r="P395">
        <f>IF($N395="","",LEFT($Q395,4)&amp;MID($Q395,6,2)&amp;RIGHT($Q395,2)&amp;IF(Sync!$K395="","0000",IF(AND(ISNUMBER(Sync!$K395),Sync!$K395&gt;=0,Sync!$K395&lt;1),RIGHT("00"&amp;HOUR(Sync!$K395),2)&amp;RIGHT("00"&amp;MINUTE(Sync!$K395),2),IFERROR(RIGHT("00"&amp;VALUE(LEFT(Sync!$K395,FIND(":",Sync!$K395)-1)),2)&amp;RIGHT("00"&amp;VALUE(MID(Sync!$K395,FIND(":",Sync!$K395)+1,2)),2),"0000")))&amp;"|"&amp;"2"&amp;RIGHT("00000"&amp;390,5))</f>
        <v/>
      </c>
      <c r="Q395">
        <f>IF(Sync!$J395="","",IF(ISNUMBER(Sync!$J395),IF(AND(Sync!$J395&gt;=10000101,Sync!$J395&lt;=99991231),INT(Sync!$J395/10000)&amp;"/"&amp;RIGHT("00"&amp;INT(MOD(Sync!$J395,10000)/100),2)&amp;"/"&amp;RIGHT("00"&amp;MOD(Sync!$J395,100),2),"نامعتبر"),IF(LEN(Sync!$J395)=10,Sync!$J395,"نامعتبر")))</f>
        <v/>
      </c>
      <c r="R395">
        <f>IF($P395="","",COUNTIFS($N$6:$N$2005,$N395,$P$6:$P$2005,"&lt;"&amp;$P395)+COUNTIFS($A$6:$A$1005,$N395,$B$6:$B$1005,"&lt;"&amp;$P395)+1)</f>
        <v/>
      </c>
      <c r="S395">
        <f>IF($N395="","",$N395&amp;"|"&amp;RIGHT("000000"&amp;$R395,6))</f>
        <v/>
      </c>
      <c r="T395">
        <f>IF($N395="","",IF(Sync!$N395="",0,Sync!$N395))</f>
        <v/>
      </c>
      <c r="U395">
        <f>IF($N395="","",IF(Sync!$O395="",0,Sync!$O395))</f>
        <v/>
      </c>
      <c r="V395">
        <f>IF($N395="","",Sync!$L395)</f>
        <v/>
      </c>
      <c r="W395">
        <f>IF($N395="","",Sync!$P395)</f>
        <v/>
      </c>
      <c r="AA395">
        <f>IF($A395="","",IF(COUNTIF($A$6:$A395,$A395)=1,1,0))</f>
        <v/>
      </c>
      <c r="AB395">
        <f>SUM($AA$6:$AA395)</f>
        <v/>
      </c>
      <c r="AC395">
        <f>IFERROR(INDEX($A$6:$A$1005,MATCH(ROW()-5,$AB$6:$AB$1005,0)),"")</f>
        <v/>
      </c>
    </row>
    <row r="396">
      <c r="A396">
        <f>IF(OR(Entry!$B399="",Entry!$E399="",$E396="نامعتبر"),"",Entry!$E399)</f>
        <v/>
      </c>
      <c r="B396">
        <f>IF($A396="","",LEFT($E396,4)&amp;MID($E396,6,2)&amp;RIGHT($E396,2)&amp;$F396&amp;"|"&amp;"1"&amp;RIGHT("00000"&amp;391,5))</f>
        <v/>
      </c>
      <c r="C396">
        <f>IF($B396="","",COUNTIFS($A$6:$A$1005,$A396,$B$6:$B$1005,"&lt;"&amp;$B396)+COUNTIFS($N$6:$N$2005,$A396,$P$6:$P$2005,"&lt;"&amp;$B396)+1)</f>
        <v/>
      </c>
      <c r="D396">
        <f>IF($C396="","",$A396&amp;"|"&amp;RIGHT("000000"&amp;$C396,6))</f>
        <v/>
      </c>
      <c r="E396">
        <f>IF(Entry!$B399="","",IF(ISNUMBER(Entry!$B399),IF(AND(Entry!$B399&gt;=10000101,Entry!$B399&lt;=99991231),INT(Entry!$B399/10000)&amp;"/"&amp;RIGHT("00"&amp;INT(MOD(Entry!$B399,10000)/100),2)&amp;"/"&amp;RIGHT("00"&amp;MOD(Entry!$B399,100),2),"نامعتبر"),IF(LEN(Entry!$B399)=10,Entry!$B399,"نامعتبر")))</f>
        <v/>
      </c>
      <c r="F396">
        <f>IF(Entry!$B399="","",IF(Entry!$C399="","0000",IF(AND(ISNUMBER(Entry!$C399),Entry!$C399&gt;=0,Entry!$C399&lt;1),RIGHT("00"&amp;HOUR(Entry!$C399),2)&amp;RIGHT("00"&amp;MINUTE(Entry!$C399),2),IFERROR(RIGHT("00"&amp;VALUE(LEFT(Entry!$C399,FIND(":",Entry!$C399)-1)),2)&amp;RIGHT("00"&amp;VALUE(MID(Entry!$C399,FIND(":",Entry!$C399)+1,2)),2),"0000"))))</f>
        <v/>
      </c>
      <c r="G396">
        <f>IF($A396="","",Entry!$G399)</f>
        <v/>
      </c>
      <c r="H396">
        <f>IF($A396="","",IF(Entry!$H399="",0,Entry!$H399))</f>
        <v/>
      </c>
      <c r="I396">
        <f>IF($A396="","",IF(Entry!$I399="",0,Entry!$I399))</f>
        <v/>
      </c>
      <c r="J396">
        <f>IF($A396="","",ROUND($H396*$I396,0))</f>
        <v/>
      </c>
      <c r="K396">
        <f>IF($A396="","",Entry!$D399)</f>
        <v/>
      </c>
      <c r="L396">
        <f>IF($A396="","",Entry!$L399)</f>
        <v/>
      </c>
      <c r="N396">
        <f>IF(OR(Sync!$M396="",$Q396="",$Q396="نامعتبر"),"",Sync!$M396)</f>
        <v/>
      </c>
      <c r="O396">
        <f>IF($N396="","",$Q396)</f>
        <v/>
      </c>
      <c r="P396">
        <f>IF($N396="","",LEFT($Q396,4)&amp;MID($Q396,6,2)&amp;RIGHT($Q396,2)&amp;IF(Sync!$K396="","0000",IF(AND(ISNUMBER(Sync!$K396),Sync!$K396&gt;=0,Sync!$K396&lt;1),RIGHT("00"&amp;HOUR(Sync!$K396),2)&amp;RIGHT("00"&amp;MINUTE(Sync!$K396),2),IFERROR(RIGHT("00"&amp;VALUE(LEFT(Sync!$K396,FIND(":",Sync!$K396)-1)),2)&amp;RIGHT("00"&amp;VALUE(MID(Sync!$K396,FIND(":",Sync!$K396)+1,2)),2),"0000")))&amp;"|"&amp;"2"&amp;RIGHT("00000"&amp;391,5))</f>
        <v/>
      </c>
      <c r="Q396">
        <f>IF(Sync!$J396="","",IF(ISNUMBER(Sync!$J396),IF(AND(Sync!$J396&gt;=10000101,Sync!$J396&lt;=99991231),INT(Sync!$J396/10000)&amp;"/"&amp;RIGHT("00"&amp;INT(MOD(Sync!$J396,10000)/100),2)&amp;"/"&amp;RIGHT("00"&amp;MOD(Sync!$J396,100),2),"نامعتبر"),IF(LEN(Sync!$J396)=10,Sync!$J396,"نامعتبر")))</f>
        <v/>
      </c>
      <c r="R396">
        <f>IF($P396="","",COUNTIFS($N$6:$N$2005,$N396,$P$6:$P$2005,"&lt;"&amp;$P396)+COUNTIFS($A$6:$A$1005,$N396,$B$6:$B$1005,"&lt;"&amp;$P396)+1)</f>
        <v/>
      </c>
      <c r="S396">
        <f>IF($N396="","",$N396&amp;"|"&amp;RIGHT("000000"&amp;$R396,6))</f>
        <v/>
      </c>
      <c r="T396">
        <f>IF($N396="","",IF(Sync!$N396="",0,Sync!$N396))</f>
        <v/>
      </c>
      <c r="U396">
        <f>IF($N396="","",IF(Sync!$O396="",0,Sync!$O396))</f>
        <v/>
      </c>
      <c r="V396">
        <f>IF($N396="","",Sync!$L396)</f>
        <v/>
      </c>
      <c r="W396">
        <f>IF($N396="","",Sync!$P396)</f>
        <v/>
      </c>
      <c r="AA396">
        <f>IF($A396="","",IF(COUNTIF($A$6:$A396,$A396)=1,1,0))</f>
        <v/>
      </c>
      <c r="AB396">
        <f>SUM($AA$6:$AA396)</f>
        <v/>
      </c>
      <c r="AC396">
        <f>IFERROR(INDEX($A$6:$A$1005,MATCH(ROW()-5,$AB$6:$AB$1005,0)),"")</f>
        <v/>
      </c>
    </row>
    <row r="397">
      <c r="A397">
        <f>IF(OR(Entry!$B400="",Entry!$E400="",$E397="نامعتبر"),"",Entry!$E400)</f>
        <v/>
      </c>
      <c r="B397">
        <f>IF($A397="","",LEFT($E397,4)&amp;MID($E397,6,2)&amp;RIGHT($E397,2)&amp;$F397&amp;"|"&amp;"1"&amp;RIGHT("00000"&amp;392,5))</f>
        <v/>
      </c>
      <c r="C397">
        <f>IF($B397="","",COUNTIFS($A$6:$A$1005,$A397,$B$6:$B$1005,"&lt;"&amp;$B397)+COUNTIFS($N$6:$N$2005,$A397,$P$6:$P$2005,"&lt;"&amp;$B397)+1)</f>
        <v/>
      </c>
      <c r="D397">
        <f>IF($C397="","",$A397&amp;"|"&amp;RIGHT("000000"&amp;$C397,6))</f>
        <v/>
      </c>
      <c r="E397">
        <f>IF(Entry!$B400="","",IF(ISNUMBER(Entry!$B400),IF(AND(Entry!$B400&gt;=10000101,Entry!$B400&lt;=99991231),INT(Entry!$B400/10000)&amp;"/"&amp;RIGHT("00"&amp;INT(MOD(Entry!$B400,10000)/100),2)&amp;"/"&amp;RIGHT("00"&amp;MOD(Entry!$B400,100),2),"نامعتبر"),IF(LEN(Entry!$B400)=10,Entry!$B400,"نامعتبر")))</f>
        <v/>
      </c>
      <c r="F397">
        <f>IF(Entry!$B400="","",IF(Entry!$C400="","0000",IF(AND(ISNUMBER(Entry!$C400),Entry!$C400&gt;=0,Entry!$C400&lt;1),RIGHT("00"&amp;HOUR(Entry!$C400),2)&amp;RIGHT("00"&amp;MINUTE(Entry!$C400),2),IFERROR(RIGHT("00"&amp;VALUE(LEFT(Entry!$C400,FIND(":",Entry!$C400)-1)),2)&amp;RIGHT("00"&amp;VALUE(MID(Entry!$C400,FIND(":",Entry!$C400)+1,2)),2),"0000"))))</f>
        <v/>
      </c>
      <c r="G397">
        <f>IF($A397="","",Entry!$G400)</f>
        <v/>
      </c>
      <c r="H397">
        <f>IF($A397="","",IF(Entry!$H400="",0,Entry!$H400))</f>
        <v/>
      </c>
      <c r="I397">
        <f>IF($A397="","",IF(Entry!$I400="",0,Entry!$I400))</f>
        <v/>
      </c>
      <c r="J397">
        <f>IF($A397="","",ROUND($H397*$I397,0))</f>
        <v/>
      </c>
      <c r="K397">
        <f>IF($A397="","",Entry!$D400)</f>
        <v/>
      </c>
      <c r="L397">
        <f>IF($A397="","",Entry!$L400)</f>
        <v/>
      </c>
      <c r="N397">
        <f>IF(OR(Sync!$M397="",$Q397="",$Q397="نامعتبر"),"",Sync!$M397)</f>
        <v/>
      </c>
      <c r="O397">
        <f>IF($N397="","",$Q397)</f>
        <v/>
      </c>
      <c r="P397">
        <f>IF($N397="","",LEFT($Q397,4)&amp;MID($Q397,6,2)&amp;RIGHT($Q397,2)&amp;IF(Sync!$K397="","0000",IF(AND(ISNUMBER(Sync!$K397),Sync!$K397&gt;=0,Sync!$K397&lt;1),RIGHT("00"&amp;HOUR(Sync!$K397),2)&amp;RIGHT("00"&amp;MINUTE(Sync!$K397),2),IFERROR(RIGHT("00"&amp;VALUE(LEFT(Sync!$K397,FIND(":",Sync!$K397)-1)),2)&amp;RIGHT("00"&amp;VALUE(MID(Sync!$K397,FIND(":",Sync!$K397)+1,2)),2),"0000")))&amp;"|"&amp;"2"&amp;RIGHT("00000"&amp;392,5))</f>
        <v/>
      </c>
      <c r="Q397">
        <f>IF(Sync!$J397="","",IF(ISNUMBER(Sync!$J397),IF(AND(Sync!$J397&gt;=10000101,Sync!$J397&lt;=99991231),INT(Sync!$J397/10000)&amp;"/"&amp;RIGHT("00"&amp;INT(MOD(Sync!$J397,10000)/100),2)&amp;"/"&amp;RIGHT("00"&amp;MOD(Sync!$J397,100),2),"نامعتبر"),IF(LEN(Sync!$J397)=10,Sync!$J397,"نامعتبر")))</f>
        <v/>
      </c>
      <c r="R397">
        <f>IF($P397="","",COUNTIFS($N$6:$N$2005,$N397,$P$6:$P$2005,"&lt;"&amp;$P397)+COUNTIFS($A$6:$A$1005,$N397,$B$6:$B$1005,"&lt;"&amp;$P397)+1)</f>
        <v/>
      </c>
      <c r="S397">
        <f>IF($N397="","",$N397&amp;"|"&amp;RIGHT("000000"&amp;$R397,6))</f>
        <v/>
      </c>
      <c r="T397">
        <f>IF($N397="","",IF(Sync!$N397="",0,Sync!$N397))</f>
        <v/>
      </c>
      <c r="U397">
        <f>IF($N397="","",IF(Sync!$O397="",0,Sync!$O397))</f>
        <v/>
      </c>
      <c r="V397">
        <f>IF($N397="","",Sync!$L397)</f>
        <v/>
      </c>
      <c r="W397">
        <f>IF($N397="","",Sync!$P397)</f>
        <v/>
      </c>
      <c r="AA397">
        <f>IF($A397="","",IF(COUNTIF($A$6:$A397,$A397)=1,1,0))</f>
        <v/>
      </c>
      <c r="AB397">
        <f>SUM($AA$6:$AA397)</f>
        <v/>
      </c>
      <c r="AC397">
        <f>IFERROR(INDEX($A$6:$A$1005,MATCH(ROW()-5,$AB$6:$AB$1005,0)),"")</f>
        <v/>
      </c>
    </row>
    <row r="398">
      <c r="A398">
        <f>IF(OR(Entry!$B401="",Entry!$E401="",$E398="نامعتبر"),"",Entry!$E401)</f>
        <v/>
      </c>
      <c r="B398">
        <f>IF($A398="","",LEFT($E398,4)&amp;MID($E398,6,2)&amp;RIGHT($E398,2)&amp;$F398&amp;"|"&amp;"1"&amp;RIGHT("00000"&amp;393,5))</f>
        <v/>
      </c>
      <c r="C398">
        <f>IF($B398="","",COUNTIFS($A$6:$A$1005,$A398,$B$6:$B$1005,"&lt;"&amp;$B398)+COUNTIFS($N$6:$N$2005,$A398,$P$6:$P$2005,"&lt;"&amp;$B398)+1)</f>
        <v/>
      </c>
      <c r="D398">
        <f>IF($C398="","",$A398&amp;"|"&amp;RIGHT("000000"&amp;$C398,6))</f>
        <v/>
      </c>
      <c r="E398">
        <f>IF(Entry!$B401="","",IF(ISNUMBER(Entry!$B401),IF(AND(Entry!$B401&gt;=10000101,Entry!$B401&lt;=99991231),INT(Entry!$B401/10000)&amp;"/"&amp;RIGHT("00"&amp;INT(MOD(Entry!$B401,10000)/100),2)&amp;"/"&amp;RIGHT("00"&amp;MOD(Entry!$B401,100),2),"نامعتبر"),IF(LEN(Entry!$B401)=10,Entry!$B401,"نامعتبر")))</f>
        <v/>
      </c>
      <c r="F398">
        <f>IF(Entry!$B401="","",IF(Entry!$C401="","0000",IF(AND(ISNUMBER(Entry!$C401),Entry!$C401&gt;=0,Entry!$C401&lt;1),RIGHT("00"&amp;HOUR(Entry!$C401),2)&amp;RIGHT("00"&amp;MINUTE(Entry!$C401),2),IFERROR(RIGHT("00"&amp;VALUE(LEFT(Entry!$C401,FIND(":",Entry!$C401)-1)),2)&amp;RIGHT("00"&amp;VALUE(MID(Entry!$C401,FIND(":",Entry!$C401)+1,2)),2),"0000"))))</f>
        <v/>
      </c>
      <c r="G398">
        <f>IF($A398="","",Entry!$G401)</f>
        <v/>
      </c>
      <c r="H398">
        <f>IF($A398="","",IF(Entry!$H401="",0,Entry!$H401))</f>
        <v/>
      </c>
      <c r="I398">
        <f>IF($A398="","",IF(Entry!$I401="",0,Entry!$I401))</f>
        <v/>
      </c>
      <c r="J398">
        <f>IF($A398="","",ROUND($H398*$I398,0))</f>
        <v/>
      </c>
      <c r="K398">
        <f>IF($A398="","",Entry!$D401)</f>
        <v/>
      </c>
      <c r="L398">
        <f>IF($A398="","",Entry!$L401)</f>
        <v/>
      </c>
      <c r="N398">
        <f>IF(OR(Sync!$M398="",$Q398="",$Q398="نامعتبر"),"",Sync!$M398)</f>
        <v/>
      </c>
      <c r="O398">
        <f>IF($N398="","",$Q398)</f>
        <v/>
      </c>
      <c r="P398">
        <f>IF($N398="","",LEFT($Q398,4)&amp;MID($Q398,6,2)&amp;RIGHT($Q398,2)&amp;IF(Sync!$K398="","0000",IF(AND(ISNUMBER(Sync!$K398),Sync!$K398&gt;=0,Sync!$K398&lt;1),RIGHT("00"&amp;HOUR(Sync!$K398),2)&amp;RIGHT("00"&amp;MINUTE(Sync!$K398),2),IFERROR(RIGHT("00"&amp;VALUE(LEFT(Sync!$K398,FIND(":",Sync!$K398)-1)),2)&amp;RIGHT("00"&amp;VALUE(MID(Sync!$K398,FIND(":",Sync!$K398)+1,2)),2),"0000")))&amp;"|"&amp;"2"&amp;RIGHT("00000"&amp;393,5))</f>
        <v/>
      </c>
      <c r="Q398">
        <f>IF(Sync!$J398="","",IF(ISNUMBER(Sync!$J398),IF(AND(Sync!$J398&gt;=10000101,Sync!$J398&lt;=99991231),INT(Sync!$J398/10000)&amp;"/"&amp;RIGHT("00"&amp;INT(MOD(Sync!$J398,10000)/100),2)&amp;"/"&amp;RIGHT("00"&amp;MOD(Sync!$J398,100),2),"نامعتبر"),IF(LEN(Sync!$J398)=10,Sync!$J398,"نامعتبر")))</f>
        <v/>
      </c>
      <c r="R398">
        <f>IF($P398="","",COUNTIFS($N$6:$N$2005,$N398,$P$6:$P$2005,"&lt;"&amp;$P398)+COUNTIFS($A$6:$A$1005,$N398,$B$6:$B$1005,"&lt;"&amp;$P398)+1)</f>
        <v/>
      </c>
      <c r="S398">
        <f>IF($N398="","",$N398&amp;"|"&amp;RIGHT("000000"&amp;$R398,6))</f>
        <v/>
      </c>
      <c r="T398">
        <f>IF($N398="","",IF(Sync!$N398="",0,Sync!$N398))</f>
        <v/>
      </c>
      <c r="U398">
        <f>IF($N398="","",IF(Sync!$O398="",0,Sync!$O398))</f>
        <v/>
      </c>
      <c r="V398">
        <f>IF($N398="","",Sync!$L398)</f>
        <v/>
      </c>
      <c r="W398">
        <f>IF($N398="","",Sync!$P398)</f>
        <v/>
      </c>
      <c r="AA398">
        <f>IF($A398="","",IF(COUNTIF($A$6:$A398,$A398)=1,1,0))</f>
        <v/>
      </c>
      <c r="AB398">
        <f>SUM($AA$6:$AA398)</f>
        <v/>
      </c>
      <c r="AC398">
        <f>IFERROR(INDEX($A$6:$A$1005,MATCH(ROW()-5,$AB$6:$AB$1005,0)),"")</f>
        <v/>
      </c>
    </row>
    <row r="399">
      <c r="A399">
        <f>IF(OR(Entry!$B402="",Entry!$E402="",$E399="نامعتبر"),"",Entry!$E402)</f>
        <v/>
      </c>
      <c r="B399">
        <f>IF($A399="","",LEFT($E399,4)&amp;MID($E399,6,2)&amp;RIGHT($E399,2)&amp;$F399&amp;"|"&amp;"1"&amp;RIGHT("00000"&amp;394,5))</f>
        <v/>
      </c>
      <c r="C399">
        <f>IF($B399="","",COUNTIFS($A$6:$A$1005,$A399,$B$6:$B$1005,"&lt;"&amp;$B399)+COUNTIFS($N$6:$N$2005,$A399,$P$6:$P$2005,"&lt;"&amp;$B399)+1)</f>
        <v/>
      </c>
      <c r="D399">
        <f>IF($C399="","",$A399&amp;"|"&amp;RIGHT("000000"&amp;$C399,6))</f>
        <v/>
      </c>
      <c r="E399">
        <f>IF(Entry!$B402="","",IF(ISNUMBER(Entry!$B402),IF(AND(Entry!$B402&gt;=10000101,Entry!$B402&lt;=99991231),INT(Entry!$B402/10000)&amp;"/"&amp;RIGHT("00"&amp;INT(MOD(Entry!$B402,10000)/100),2)&amp;"/"&amp;RIGHT("00"&amp;MOD(Entry!$B402,100),2),"نامعتبر"),IF(LEN(Entry!$B402)=10,Entry!$B402,"نامعتبر")))</f>
        <v/>
      </c>
      <c r="F399">
        <f>IF(Entry!$B402="","",IF(Entry!$C402="","0000",IF(AND(ISNUMBER(Entry!$C402),Entry!$C402&gt;=0,Entry!$C402&lt;1),RIGHT("00"&amp;HOUR(Entry!$C402),2)&amp;RIGHT("00"&amp;MINUTE(Entry!$C402),2),IFERROR(RIGHT("00"&amp;VALUE(LEFT(Entry!$C402,FIND(":",Entry!$C402)-1)),2)&amp;RIGHT("00"&amp;VALUE(MID(Entry!$C402,FIND(":",Entry!$C402)+1,2)),2),"0000"))))</f>
        <v/>
      </c>
      <c r="G399">
        <f>IF($A399="","",Entry!$G402)</f>
        <v/>
      </c>
      <c r="H399">
        <f>IF($A399="","",IF(Entry!$H402="",0,Entry!$H402))</f>
        <v/>
      </c>
      <c r="I399">
        <f>IF($A399="","",IF(Entry!$I402="",0,Entry!$I402))</f>
        <v/>
      </c>
      <c r="J399">
        <f>IF($A399="","",ROUND($H399*$I399,0))</f>
        <v/>
      </c>
      <c r="K399">
        <f>IF($A399="","",Entry!$D402)</f>
        <v/>
      </c>
      <c r="L399">
        <f>IF($A399="","",Entry!$L402)</f>
        <v/>
      </c>
      <c r="N399">
        <f>IF(OR(Sync!$M399="",$Q399="",$Q399="نامعتبر"),"",Sync!$M399)</f>
        <v/>
      </c>
      <c r="O399">
        <f>IF($N399="","",$Q399)</f>
        <v/>
      </c>
      <c r="P399">
        <f>IF($N399="","",LEFT($Q399,4)&amp;MID($Q399,6,2)&amp;RIGHT($Q399,2)&amp;IF(Sync!$K399="","0000",IF(AND(ISNUMBER(Sync!$K399),Sync!$K399&gt;=0,Sync!$K399&lt;1),RIGHT("00"&amp;HOUR(Sync!$K399),2)&amp;RIGHT("00"&amp;MINUTE(Sync!$K399),2),IFERROR(RIGHT("00"&amp;VALUE(LEFT(Sync!$K399,FIND(":",Sync!$K399)-1)),2)&amp;RIGHT("00"&amp;VALUE(MID(Sync!$K399,FIND(":",Sync!$K399)+1,2)),2),"0000")))&amp;"|"&amp;"2"&amp;RIGHT("00000"&amp;394,5))</f>
        <v/>
      </c>
      <c r="Q399">
        <f>IF(Sync!$J399="","",IF(ISNUMBER(Sync!$J399),IF(AND(Sync!$J399&gt;=10000101,Sync!$J399&lt;=99991231),INT(Sync!$J399/10000)&amp;"/"&amp;RIGHT("00"&amp;INT(MOD(Sync!$J399,10000)/100),2)&amp;"/"&amp;RIGHT("00"&amp;MOD(Sync!$J399,100),2),"نامعتبر"),IF(LEN(Sync!$J399)=10,Sync!$J399,"نامعتبر")))</f>
        <v/>
      </c>
      <c r="R399">
        <f>IF($P399="","",COUNTIFS($N$6:$N$2005,$N399,$P$6:$P$2005,"&lt;"&amp;$P399)+COUNTIFS($A$6:$A$1005,$N399,$B$6:$B$1005,"&lt;"&amp;$P399)+1)</f>
        <v/>
      </c>
      <c r="S399">
        <f>IF($N399="","",$N399&amp;"|"&amp;RIGHT("000000"&amp;$R399,6))</f>
        <v/>
      </c>
      <c r="T399">
        <f>IF($N399="","",IF(Sync!$N399="",0,Sync!$N399))</f>
        <v/>
      </c>
      <c r="U399">
        <f>IF($N399="","",IF(Sync!$O399="",0,Sync!$O399))</f>
        <v/>
      </c>
      <c r="V399">
        <f>IF($N399="","",Sync!$L399)</f>
        <v/>
      </c>
      <c r="W399">
        <f>IF($N399="","",Sync!$P399)</f>
        <v/>
      </c>
      <c r="AA399">
        <f>IF($A399="","",IF(COUNTIF($A$6:$A399,$A399)=1,1,0))</f>
        <v/>
      </c>
      <c r="AB399">
        <f>SUM($AA$6:$AA399)</f>
        <v/>
      </c>
      <c r="AC399">
        <f>IFERROR(INDEX($A$6:$A$1005,MATCH(ROW()-5,$AB$6:$AB$1005,0)),"")</f>
        <v/>
      </c>
    </row>
    <row r="400">
      <c r="A400">
        <f>IF(OR(Entry!$B403="",Entry!$E403="",$E400="نامعتبر"),"",Entry!$E403)</f>
        <v/>
      </c>
      <c r="B400">
        <f>IF($A400="","",LEFT($E400,4)&amp;MID($E400,6,2)&amp;RIGHT($E400,2)&amp;$F400&amp;"|"&amp;"1"&amp;RIGHT("00000"&amp;395,5))</f>
        <v/>
      </c>
      <c r="C400">
        <f>IF($B400="","",COUNTIFS($A$6:$A$1005,$A400,$B$6:$B$1005,"&lt;"&amp;$B400)+COUNTIFS($N$6:$N$2005,$A400,$P$6:$P$2005,"&lt;"&amp;$B400)+1)</f>
        <v/>
      </c>
      <c r="D400">
        <f>IF($C400="","",$A400&amp;"|"&amp;RIGHT("000000"&amp;$C400,6))</f>
        <v/>
      </c>
      <c r="E400">
        <f>IF(Entry!$B403="","",IF(ISNUMBER(Entry!$B403),IF(AND(Entry!$B403&gt;=10000101,Entry!$B403&lt;=99991231),INT(Entry!$B403/10000)&amp;"/"&amp;RIGHT("00"&amp;INT(MOD(Entry!$B403,10000)/100),2)&amp;"/"&amp;RIGHT("00"&amp;MOD(Entry!$B403,100),2),"نامعتبر"),IF(LEN(Entry!$B403)=10,Entry!$B403,"نامعتبر")))</f>
        <v/>
      </c>
      <c r="F400">
        <f>IF(Entry!$B403="","",IF(Entry!$C403="","0000",IF(AND(ISNUMBER(Entry!$C403),Entry!$C403&gt;=0,Entry!$C403&lt;1),RIGHT("00"&amp;HOUR(Entry!$C403),2)&amp;RIGHT("00"&amp;MINUTE(Entry!$C403),2),IFERROR(RIGHT("00"&amp;VALUE(LEFT(Entry!$C403,FIND(":",Entry!$C403)-1)),2)&amp;RIGHT("00"&amp;VALUE(MID(Entry!$C403,FIND(":",Entry!$C403)+1,2)),2),"0000"))))</f>
        <v/>
      </c>
      <c r="G400">
        <f>IF($A400="","",Entry!$G403)</f>
        <v/>
      </c>
      <c r="H400">
        <f>IF($A400="","",IF(Entry!$H403="",0,Entry!$H403))</f>
        <v/>
      </c>
      <c r="I400">
        <f>IF($A400="","",IF(Entry!$I403="",0,Entry!$I403))</f>
        <v/>
      </c>
      <c r="J400">
        <f>IF($A400="","",ROUND($H400*$I400,0))</f>
        <v/>
      </c>
      <c r="K400">
        <f>IF($A400="","",Entry!$D403)</f>
        <v/>
      </c>
      <c r="L400">
        <f>IF($A400="","",Entry!$L403)</f>
        <v/>
      </c>
      <c r="N400">
        <f>IF(OR(Sync!$M400="",$Q400="",$Q400="نامعتبر"),"",Sync!$M400)</f>
        <v/>
      </c>
      <c r="O400">
        <f>IF($N400="","",$Q400)</f>
        <v/>
      </c>
      <c r="P400">
        <f>IF($N400="","",LEFT($Q400,4)&amp;MID($Q400,6,2)&amp;RIGHT($Q400,2)&amp;IF(Sync!$K400="","0000",IF(AND(ISNUMBER(Sync!$K400),Sync!$K400&gt;=0,Sync!$K400&lt;1),RIGHT("00"&amp;HOUR(Sync!$K400),2)&amp;RIGHT("00"&amp;MINUTE(Sync!$K400),2),IFERROR(RIGHT("00"&amp;VALUE(LEFT(Sync!$K400,FIND(":",Sync!$K400)-1)),2)&amp;RIGHT("00"&amp;VALUE(MID(Sync!$K400,FIND(":",Sync!$K400)+1,2)),2),"0000")))&amp;"|"&amp;"2"&amp;RIGHT("00000"&amp;395,5))</f>
        <v/>
      </c>
      <c r="Q400">
        <f>IF(Sync!$J400="","",IF(ISNUMBER(Sync!$J400),IF(AND(Sync!$J400&gt;=10000101,Sync!$J400&lt;=99991231),INT(Sync!$J400/10000)&amp;"/"&amp;RIGHT("00"&amp;INT(MOD(Sync!$J400,10000)/100),2)&amp;"/"&amp;RIGHT("00"&amp;MOD(Sync!$J400,100),2),"نامعتبر"),IF(LEN(Sync!$J400)=10,Sync!$J400,"نامعتبر")))</f>
        <v/>
      </c>
      <c r="R400">
        <f>IF($P400="","",COUNTIFS($N$6:$N$2005,$N400,$P$6:$P$2005,"&lt;"&amp;$P400)+COUNTIFS($A$6:$A$1005,$N400,$B$6:$B$1005,"&lt;"&amp;$P400)+1)</f>
        <v/>
      </c>
      <c r="S400">
        <f>IF($N400="","",$N400&amp;"|"&amp;RIGHT("000000"&amp;$R400,6))</f>
        <v/>
      </c>
      <c r="T400">
        <f>IF($N400="","",IF(Sync!$N400="",0,Sync!$N400))</f>
        <v/>
      </c>
      <c r="U400">
        <f>IF($N400="","",IF(Sync!$O400="",0,Sync!$O400))</f>
        <v/>
      </c>
      <c r="V400">
        <f>IF($N400="","",Sync!$L400)</f>
        <v/>
      </c>
      <c r="W400">
        <f>IF($N400="","",Sync!$P400)</f>
        <v/>
      </c>
      <c r="AA400">
        <f>IF($A400="","",IF(COUNTIF($A$6:$A400,$A400)=1,1,0))</f>
        <v/>
      </c>
      <c r="AB400">
        <f>SUM($AA$6:$AA400)</f>
        <v/>
      </c>
      <c r="AC400">
        <f>IFERROR(INDEX($A$6:$A$1005,MATCH(ROW()-5,$AB$6:$AB$1005,0)),"")</f>
        <v/>
      </c>
    </row>
    <row r="401">
      <c r="A401">
        <f>IF(OR(Entry!$B404="",Entry!$E404="",$E401="نامعتبر"),"",Entry!$E404)</f>
        <v/>
      </c>
      <c r="B401">
        <f>IF($A401="","",LEFT($E401,4)&amp;MID($E401,6,2)&amp;RIGHT($E401,2)&amp;$F401&amp;"|"&amp;"1"&amp;RIGHT("00000"&amp;396,5))</f>
        <v/>
      </c>
      <c r="C401">
        <f>IF($B401="","",COUNTIFS($A$6:$A$1005,$A401,$B$6:$B$1005,"&lt;"&amp;$B401)+COUNTIFS($N$6:$N$2005,$A401,$P$6:$P$2005,"&lt;"&amp;$B401)+1)</f>
        <v/>
      </c>
      <c r="D401">
        <f>IF($C401="","",$A401&amp;"|"&amp;RIGHT("000000"&amp;$C401,6))</f>
        <v/>
      </c>
      <c r="E401">
        <f>IF(Entry!$B404="","",IF(ISNUMBER(Entry!$B404),IF(AND(Entry!$B404&gt;=10000101,Entry!$B404&lt;=99991231),INT(Entry!$B404/10000)&amp;"/"&amp;RIGHT("00"&amp;INT(MOD(Entry!$B404,10000)/100),2)&amp;"/"&amp;RIGHT("00"&amp;MOD(Entry!$B404,100),2),"نامعتبر"),IF(LEN(Entry!$B404)=10,Entry!$B404,"نامعتبر")))</f>
        <v/>
      </c>
      <c r="F401">
        <f>IF(Entry!$B404="","",IF(Entry!$C404="","0000",IF(AND(ISNUMBER(Entry!$C404),Entry!$C404&gt;=0,Entry!$C404&lt;1),RIGHT("00"&amp;HOUR(Entry!$C404),2)&amp;RIGHT("00"&amp;MINUTE(Entry!$C404),2),IFERROR(RIGHT("00"&amp;VALUE(LEFT(Entry!$C404,FIND(":",Entry!$C404)-1)),2)&amp;RIGHT("00"&amp;VALUE(MID(Entry!$C404,FIND(":",Entry!$C404)+1,2)),2),"0000"))))</f>
        <v/>
      </c>
      <c r="G401">
        <f>IF($A401="","",Entry!$G404)</f>
        <v/>
      </c>
      <c r="H401">
        <f>IF($A401="","",IF(Entry!$H404="",0,Entry!$H404))</f>
        <v/>
      </c>
      <c r="I401">
        <f>IF($A401="","",IF(Entry!$I404="",0,Entry!$I404))</f>
        <v/>
      </c>
      <c r="J401">
        <f>IF($A401="","",ROUND($H401*$I401,0))</f>
        <v/>
      </c>
      <c r="K401">
        <f>IF($A401="","",Entry!$D404)</f>
        <v/>
      </c>
      <c r="L401">
        <f>IF($A401="","",Entry!$L404)</f>
        <v/>
      </c>
      <c r="N401">
        <f>IF(OR(Sync!$M401="",$Q401="",$Q401="نامعتبر"),"",Sync!$M401)</f>
        <v/>
      </c>
      <c r="O401">
        <f>IF($N401="","",$Q401)</f>
        <v/>
      </c>
      <c r="P401">
        <f>IF($N401="","",LEFT($Q401,4)&amp;MID($Q401,6,2)&amp;RIGHT($Q401,2)&amp;IF(Sync!$K401="","0000",IF(AND(ISNUMBER(Sync!$K401),Sync!$K401&gt;=0,Sync!$K401&lt;1),RIGHT("00"&amp;HOUR(Sync!$K401),2)&amp;RIGHT("00"&amp;MINUTE(Sync!$K401),2),IFERROR(RIGHT("00"&amp;VALUE(LEFT(Sync!$K401,FIND(":",Sync!$K401)-1)),2)&amp;RIGHT("00"&amp;VALUE(MID(Sync!$K401,FIND(":",Sync!$K401)+1,2)),2),"0000")))&amp;"|"&amp;"2"&amp;RIGHT("00000"&amp;396,5))</f>
        <v/>
      </c>
      <c r="Q401">
        <f>IF(Sync!$J401="","",IF(ISNUMBER(Sync!$J401),IF(AND(Sync!$J401&gt;=10000101,Sync!$J401&lt;=99991231),INT(Sync!$J401/10000)&amp;"/"&amp;RIGHT("00"&amp;INT(MOD(Sync!$J401,10000)/100),2)&amp;"/"&amp;RIGHT("00"&amp;MOD(Sync!$J401,100),2),"نامعتبر"),IF(LEN(Sync!$J401)=10,Sync!$J401,"نامعتبر")))</f>
        <v/>
      </c>
      <c r="R401">
        <f>IF($P401="","",COUNTIFS($N$6:$N$2005,$N401,$P$6:$P$2005,"&lt;"&amp;$P401)+COUNTIFS($A$6:$A$1005,$N401,$B$6:$B$1005,"&lt;"&amp;$P401)+1)</f>
        <v/>
      </c>
      <c r="S401">
        <f>IF($N401="","",$N401&amp;"|"&amp;RIGHT("000000"&amp;$R401,6))</f>
        <v/>
      </c>
      <c r="T401">
        <f>IF($N401="","",IF(Sync!$N401="",0,Sync!$N401))</f>
        <v/>
      </c>
      <c r="U401">
        <f>IF($N401="","",IF(Sync!$O401="",0,Sync!$O401))</f>
        <v/>
      </c>
      <c r="V401">
        <f>IF($N401="","",Sync!$L401)</f>
        <v/>
      </c>
      <c r="W401">
        <f>IF($N401="","",Sync!$P401)</f>
        <v/>
      </c>
      <c r="AA401">
        <f>IF($A401="","",IF(COUNTIF($A$6:$A401,$A401)=1,1,0))</f>
        <v/>
      </c>
      <c r="AB401">
        <f>SUM($AA$6:$AA401)</f>
        <v/>
      </c>
      <c r="AC401">
        <f>IFERROR(INDEX($A$6:$A$1005,MATCH(ROW()-5,$AB$6:$AB$1005,0)),"")</f>
        <v/>
      </c>
    </row>
    <row r="402">
      <c r="A402">
        <f>IF(OR(Entry!$B405="",Entry!$E405="",$E402="نامعتبر"),"",Entry!$E405)</f>
        <v/>
      </c>
      <c r="B402">
        <f>IF($A402="","",LEFT($E402,4)&amp;MID($E402,6,2)&amp;RIGHT($E402,2)&amp;$F402&amp;"|"&amp;"1"&amp;RIGHT("00000"&amp;397,5))</f>
        <v/>
      </c>
      <c r="C402">
        <f>IF($B402="","",COUNTIFS($A$6:$A$1005,$A402,$B$6:$B$1005,"&lt;"&amp;$B402)+COUNTIFS($N$6:$N$2005,$A402,$P$6:$P$2005,"&lt;"&amp;$B402)+1)</f>
        <v/>
      </c>
      <c r="D402">
        <f>IF($C402="","",$A402&amp;"|"&amp;RIGHT("000000"&amp;$C402,6))</f>
        <v/>
      </c>
      <c r="E402">
        <f>IF(Entry!$B405="","",IF(ISNUMBER(Entry!$B405),IF(AND(Entry!$B405&gt;=10000101,Entry!$B405&lt;=99991231),INT(Entry!$B405/10000)&amp;"/"&amp;RIGHT("00"&amp;INT(MOD(Entry!$B405,10000)/100),2)&amp;"/"&amp;RIGHT("00"&amp;MOD(Entry!$B405,100),2),"نامعتبر"),IF(LEN(Entry!$B405)=10,Entry!$B405,"نامعتبر")))</f>
        <v/>
      </c>
      <c r="F402">
        <f>IF(Entry!$B405="","",IF(Entry!$C405="","0000",IF(AND(ISNUMBER(Entry!$C405),Entry!$C405&gt;=0,Entry!$C405&lt;1),RIGHT("00"&amp;HOUR(Entry!$C405),2)&amp;RIGHT("00"&amp;MINUTE(Entry!$C405),2),IFERROR(RIGHT("00"&amp;VALUE(LEFT(Entry!$C405,FIND(":",Entry!$C405)-1)),2)&amp;RIGHT("00"&amp;VALUE(MID(Entry!$C405,FIND(":",Entry!$C405)+1,2)),2),"0000"))))</f>
        <v/>
      </c>
      <c r="G402">
        <f>IF($A402="","",Entry!$G405)</f>
        <v/>
      </c>
      <c r="H402">
        <f>IF($A402="","",IF(Entry!$H405="",0,Entry!$H405))</f>
        <v/>
      </c>
      <c r="I402">
        <f>IF($A402="","",IF(Entry!$I405="",0,Entry!$I405))</f>
        <v/>
      </c>
      <c r="J402">
        <f>IF($A402="","",ROUND($H402*$I402,0))</f>
        <v/>
      </c>
      <c r="K402">
        <f>IF($A402="","",Entry!$D405)</f>
        <v/>
      </c>
      <c r="L402">
        <f>IF($A402="","",Entry!$L405)</f>
        <v/>
      </c>
      <c r="N402">
        <f>IF(OR(Sync!$M402="",$Q402="",$Q402="نامعتبر"),"",Sync!$M402)</f>
        <v/>
      </c>
      <c r="O402">
        <f>IF($N402="","",$Q402)</f>
        <v/>
      </c>
      <c r="P402">
        <f>IF($N402="","",LEFT($Q402,4)&amp;MID($Q402,6,2)&amp;RIGHT($Q402,2)&amp;IF(Sync!$K402="","0000",IF(AND(ISNUMBER(Sync!$K402),Sync!$K402&gt;=0,Sync!$K402&lt;1),RIGHT("00"&amp;HOUR(Sync!$K402),2)&amp;RIGHT("00"&amp;MINUTE(Sync!$K402),2),IFERROR(RIGHT("00"&amp;VALUE(LEFT(Sync!$K402,FIND(":",Sync!$K402)-1)),2)&amp;RIGHT("00"&amp;VALUE(MID(Sync!$K402,FIND(":",Sync!$K402)+1,2)),2),"0000")))&amp;"|"&amp;"2"&amp;RIGHT("00000"&amp;397,5))</f>
        <v/>
      </c>
      <c r="Q402">
        <f>IF(Sync!$J402="","",IF(ISNUMBER(Sync!$J402),IF(AND(Sync!$J402&gt;=10000101,Sync!$J402&lt;=99991231),INT(Sync!$J402/10000)&amp;"/"&amp;RIGHT("00"&amp;INT(MOD(Sync!$J402,10000)/100),2)&amp;"/"&amp;RIGHT("00"&amp;MOD(Sync!$J402,100),2),"نامعتبر"),IF(LEN(Sync!$J402)=10,Sync!$J402,"نامعتبر")))</f>
        <v/>
      </c>
      <c r="R402">
        <f>IF($P402="","",COUNTIFS($N$6:$N$2005,$N402,$P$6:$P$2005,"&lt;"&amp;$P402)+COUNTIFS($A$6:$A$1005,$N402,$B$6:$B$1005,"&lt;"&amp;$P402)+1)</f>
        <v/>
      </c>
      <c r="S402">
        <f>IF($N402="","",$N402&amp;"|"&amp;RIGHT("000000"&amp;$R402,6))</f>
        <v/>
      </c>
      <c r="T402">
        <f>IF($N402="","",IF(Sync!$N402="",0,Sync!$N402))</f>
        <v/>
      </c>
      <c r="U402">
        <f>IF($N402="","",IF(Sync!$O402="",0,Sync!$O402))</f>
        <v/>
      </c>
      <c r="V402">
        <f>IF($N402="","",Sync!$L402)</f>
        <v/>
      </c>
      <c r="W402">
        <f>IF($N402="","",Sync!$P402)</f>
        <v/>
      </c>
      <c r="AA402">
        <f>IF($A402="","",IF(COUNTIF($A$6:$A402,$A402)=1,1,0))</f>
        <v/>
      </c>
      <c r="AB402">
        <f>SUM($AA$6:$AA402)</f>
        <v/>
      </c>
      <c r="AC402">
        <f>IFERROR(INDEX($A$6:$A$1005,MATCH(ROW()-5,$AB$6:$AB$1005,0)),"")</f>
        <v/>
      </c>
    </row>
    <row r="403">
      <c r="A403">
        <f>IF(OR(Entry!$B406="",Entry!$E406="",$E403="نامعتبر"),"",Entry!$E406)</f>
        <v/>
      </c>
      <c r="B403">
        <f>IF($A403="","",LEFT($E403,4)&amp;MID($E403,6,2)&amp;RIGHT($E403,2)&amp;$F403&amp;"|"&amp;"1"&amp;RIGHT("00000"&amp;398,5))</f>
        <v/>
      </c>
      <c r="C403">
        <f>IF($B403="","",COUNTIFS($A$6:$A$1005,$A403,$B$6:$B$1005,"&lt;"&amp;$B403)+COUNTIFS($N$6:$N$2005,$A403,$P$6:$P$2005,"&lt;"&amp;$B403)+1)</f>
        <v/>
      </c>
      <c r="D403">
        <f>IF($C403="","",$A403&amp;"|"&amp;RIGHT("000000"&amp;$C403,6))</f>
        <v/>
      </c>
      <c r="E403">
        <f>IF(Entry!$B406="","",IF(ISNUMBER(Entry!$B406),IF(AND(Entry!$B406&gt;=10000101,Entry!$B406&lt;=99991231),INT(Entry!$B406/10000)&amp;"/"&amp;RIGHT("00"&amp;INT(MOD(Entry!$B406,10000)/100),2)&amp;"/"&amp;RIGHT("00"&amp;MOD(Entry!$B406,100),2),"نامعتبر"),IF(LEN(Entry!$B406)=10,Entry!$B406,"نامعتبر")))</f>
        <v/>
      </c>
      <c r="F403">
        <f>IF(Entry!$B406="","",IF(Entry!$C406="","0000",IF(AND(ISNUMBER(Entry!$C406),Entry!$C406&gt;=0,Entry!$C406&lt;1),RIGHT("00"&amp;HOUR(Entry!$C406),2)&amp;RIGHT("00"&amp;MINUTE(Entry!$C406),2),IFERROR(RIGHT("00"&amp;VALUE(LEFT(Entry!$C406,FIND(":",Entry!$C406)-1)),2)&amp;RIGHT("00"&amp;VALUE(MID(Entry!$C406,FIND(":",Entry!$C406)+1,2)),2),"0000"))))</f>
        <v/>
      </c>
      <c r="G403">
        <f>IF($A403="","",Entry!$G406)</f>
        <v/>
      </c>
      <c r="H403">
        <f>IF($A403="","",IF(Entry!$H406="",0,Entry!$H406))</f>
        <v/>
      </c>
      <c r="I403">
        <f>IF($A403="","",IF(Entry!$I406="",0,Entry!$I406))</f>
        <v/>
      </c>
      <c r="J403">
        <f>IF($A403="","",ROUND($H403*$I403,0))</f>
        <v/>
      </c>
      <c r="K403">
        <f>IF($A403="","",Entry!$D406)</f>
        <v/>
      </c>
      <c r="L403">
        <f>IF($A403="","",Entry!$L406)</f>
        <v/>
      </c>
      <c r="N403">
        <f>IF(OR(Sync!$M403="",$Q403="",$Q403="نامعتبر"),"",Sync!$M403)</f>
        <v/>
      </c>
      <c r="O403">
        <f>IF($N403="","",$Q403)</f>
        <v/>
      </c>
      <c r="P403">
        <f>IF($N403="","",LEFT($Q403,4)&amp;MID($Q403,6,2)&amp;RIGHT($Q403,2)&amp;IF(Sync!$K403="","0000",IF(AND(ISNUMBER(Sync!$K403),Sync!$K403&gt;=0,Sync!$K403&lt;1),RIGHT("00"&amp;HOUR(Sync!$K403),2)&amp;RIGHT("00"&amp;MINUTE(Sync!$K403),2),IFERROR(RIGHT("00"&amp;VALUE(LEFT(Sync!$K403,FIND(":",Sync!$K403)-1)),2)&amp;RIGHT("00"&amp;VALUE(MID(Sync!$K403,FIND(":",Sync!$K403)+1,2)),2),"0000")))&amp;"|"&amp;"2"&amp;RIGHT("00000"&amp;398,5))</f>
        <v/>
      </c>
      <c r="Q403">
        <f>IF(Sync!$J403="","",IF(ISNUMBER(Sync!$J403),IF(AND(Sync!$J403&gt;=10000101,Sync!$J403&lt;=99991231),INT(Sync!$J403/10000)&amp;"/"&amp;RIGHT("00"&amp;INT(MOD(Sync!$J403,10000)/100),2)&amp;"/"&amp;RIGHT("00"&amp;MOD(Sync!$J403,100),2),"نامعتبر"),IF(LEN(Sync!$J403)=10,Sync!$J403,"نامعتبر")))</f>
        <v/>
      </c>
      <c r="R403">
        <f>IF($P403="","",COUNTIFS($N$6:$N$2005,$N403,$P$6:$P$2005,"&lt;"&amp;$P403)+COUNTIFS($A$6:$A$1005,$N403,$B$6:$B$1005,"&lt;"&amp;$P403)+1)</f>
        <v/>
      </c>
      <c r="S403">
        <f>IF($N403="","",$N403&amp;"|"&amp;RIGHT("000000"&amp;$R403,6))</f>
        <v/>
      </c>
      <c r="T403">
        <f>IF($N403="","",IF(Sync!$N403="",0,Sync!$N403))</f>
        <v/>
      </c>
      <c r="U403">
        <f>IF($N403="","",IF(Sync!$O403="",0,Sync!$O403))</f>
        <v/>
      </c>
      <c r="V403">
        <f>IF($N403="","",Sync!$L403)</f>
        <v/>
      </c>
      <c r="W403">
        <f>IF($N403="","",Sync!$P403)</f>
        <v/>
      </c>
      <c r="AA403">
        <f>IF($A403="","",IF(COUNTIF($A$6:$A403,$A403)=1,1,0))</f>
        <v/>
      </c>
      <c r="AB403">
        <f>SUM($AA$6:$AA403)</f>
        <v/>
      </c>
      <c r="AC403">
        <f>IFERROR(INDEX($A$6:$A$1005,MATCH(ROW()-5,$AB$6:$AB$1005,0)),"")</f>
        <v/>
      </c>
    </row>
    <row r="404">
      <c r="A404">
        <f>IF(OR(Entry!$B407="",Entry!$E407="",$E404="نامعتبر"),"",Entry!$E407)</f>
        <v/>
      </c>
      <c r="B404">
        <f>IF($A404="","",LEFT($E404,4)&amp;MID($E404,6,2)&amp;RIGHT($E404,2)&amp;$F404&amp;"|"&amp;"1"&amp;RIGHT("00000"&amp;399,5))</f>
        <v/>
      </c>
      <c r="C404">
        <f>IF($B404="","",COUNTIFS($A$6:$A$1005,$A404,$B$6:$B$1005,"&lt;"&amp;$B404)+COUNTIFS($N$6:$N$2005,$A404,$P$6:$P$2005,"&lt;"&amp;$B404)+1)</f>
        <v/>
      </c>
      <c r="D404">
        <f>IF($C404="","",$A404&amp;"|"&amp;RIGHT("000000"&amp;$C404,6))</f>
        <v/>
      </c>
      <c r="E404">
        <f>IF(Entry!$B407="","",IF(ISNUMBER(Entry!$B407),IF(AND(Entry!$B407&gt;=10000101,Entry!$B407&lt;=99991231),INT(Entry!$B407/10000)&amp;"/"&amp;RIGHT("00"&amp;INT(MOD(Entry!$B407,10000)/100),2)&amp;"/"&amp;RIGHT("00"&amp;MOD(Entry!$B407,100),2),"نامعتبر"),IF(LEN(Entry!$B407)=10,Entry!$B407,"نامعتبر")))</f>
        <v/>
      </c>
      <c r="F404">
        <f>IF(Entry!$B407="","",IF(Entry!$C407="","0000",IF(AND(ISNUMBER(Entry!$C407),Entry!$C407&gt;=0,Entry!$C407&lt;1),RIGHT("00"&amp;HOUR(Entry!$C407),2)&amp;RIGHT("00"&amp;MINUTE(Entry!$C407),2),IFERROR(RIGHT("00"&amp;VALUE(LEFT(Entry!$C407,FIND(":",Entry!$C407)-1)),2)&amp;RIGHT("00"&amp;VALUE(MID(Entry!$C407,FIND(":",Entry!$C407)+1,2)),2),"0000"))))</f>
        <v/>
      </c>
      <c r="G404">
        <f>IF($A404="","",Entry!$G407)</f>
        <v/>
      </c>
      <c r="H404">
        <f>IF($A404="","",IF(Entry!$H407="",0,Entry!$H407))</f>
        <v/>
      </c>
      <c r="I404">
        <f>IF($A404="","",IF(Entry!$I407="",0,Entry!$I407))</f>
        <v/>
      </c>
      <c r="J404">
        <f>IF($A404="","",ROUND($H404*$I404,0))</f>
        <v/>
      </c>
      <c r="K404">
        <f>IF($A404="","",Entry!$D407)</f>
        <v/>
      </c>
      <c r="L404">
        <f>IF($A404="","",Entry!$L407)</f>
        <v/>
      </c>
      <c r="N404">
        <f>IF(OR(Sync!$M404="",$Q404="",$Q404="نامعتبر"),"",Sync!$M404)</f>
        <v/>
      </c>
      <c r="O404">
        <f>IF($N404="","",$Q404)</f>
        <v/>
      </c>
      <c r="P404">
        <f>IF($N404="","",LEFT($Q404,4)&amp;MID($Q404,6,2)&amp;RIGHT($Q404,2)&amp;IF(Sync!$K404="","0000",IF(AND(ISNUMBER(Sync!$K404),Sync!$K404&gt;=0,Sync!$K404&lt;1),RIGHT("00"&amp;HOUR(Sync!$K404),2)&amp;RIGHT("00"&amp;MINUTE(Sync!$K404),2),IFERROR(RIGHT("00"&amp;VALUE(LEFT(Sync!$K404,FIND(":",Sync!$K404)-1)),2)&amp;RIGHT("00"&amp;VALUE(MID(Sync!$K404,FIND(":",Sync!$K404)+1,2)),2),"0000")))&amp;"|"&amp;"2"&amp;RIGHT("00000"&amp;399,5))</f>
        <v/>
      </c>
      <c r="Q404">
        <f>IF(Sync!$J404="","",IF(ISNUMBER(Sync!$J404),IF(AND(Sync!$J404&gt;=10000101,Sync!$J404&lt;=99991231),INT(Sync!$J404/10000)&amp;"/"&amp;RIGHT("00"&amp;INT(MOD(Sync!$J404,10000)/100),2)&amp;"/"&amp;RIGHT("00"&amp;MOD(Sync!$J404,100),2),"نامعتبر"),IF(LEN(Sync!$J404)=10,Sync!$J404,"نامعتبر")))</f>
        <v/>
      </c>
      <c r="R404">
        <f>IF($P404="","",COUNTIFS($N$6:$N$2005,$N404,$P$6:$P$2005,"&lt;"&amp;$P404)+COUNTIFS($A$6:$A$1005,$N404,$B$6:$B$1005,"&lt;"&amp;$P404)+1)</f>
        <v/>
      </c>
      <c r="S404">
        <f>IF($N404="","",$N404&amp;"|"&amp;RIGHT("000000"&amp;$R404,6))</f>
        <v/>
      </c>
      <c r="T404">
        <f>IF($N404="","",IF(Sync!$N404="",0,Sync!$N404))</f>
        <v/>
      </c>
      <c r="U404">
        <f>IF($N404="","",IF(Sync!$O404="",0,Sync!$O404))</f>
        <v/>
      </c>
      <c r="V404">
        <f>IF($N404="","",Sync!$L404)</f>
        <v/>
      </c>
      <c r="W404">
        <f>IF($N404="","",Sync!$P404)</f>
        <v/>
      </c>
      <c r="AA404">
        <f>IF($A404="","",IF(COUNTIF($A$6:$A404,$A404)=1,1,0))</f>
        <v/>
      </c>
      <c r="AB404">
        <f>SUM($AA$6:$AA404)</f>
        <v/>
      </c>
      <c r="AC404">
        <f>IFERROR(INDEX($A$6:$A$1005,MATCH(ROW()-5,$AB$6:$AB$1005,0)),"")</f>
        <v/>
      </c>
    </row>
    <row r="405">
      <c r="A405">
        <f>IF(OR(Entry!$B408="",Entry!$E408="",$E405="نامعتبر"),"",Entry!$E408)</f>
        <v/>
      </c>
      <c r="B405">
        <f>IF($A405="","",LEFT($E405,4)&amp;MID($E405,6,2)&amp;RIGHT($E405,2)&amp;$F405&amp;"|"&amp;"1"&amp;RIGHT("00000"&amp;400,5))</f>
        <v/>
      </c>
      <c r="C405">
        <f>IF($B405="","",COUNTIFS($A$6:$A$1005,$A405,$B$6:$B$1005,"&lt;"&amp;$B405)+COUNTIFS($N$6:$N$2005,$A405,$P$6:$P$2005,"&lt;"&amp;$B405)+1)</f>
        <v/>
      </c>
      <c r="D405">
        <f>IF($C405="","",$A405&amp;"|"&amp;RIGHT("000000"&amp;$C405,6))</f>
        <v/>
      </c>
      <c r="E405">
        <f>IF(Entry!$B408="","",IF(ISNUMBER(Entry!$B408),IF(AND(Entry!$B408&gt;=10000101,Entry!$B408&lt;=99991231),INT(Entry!$B408/10000)&amp;"/"&amp;RIGHT("00"&amp;INT(MOD(Entry!$B408,10000)/100),2)&amp;"/"&amp;RIGHT("00"&amp;MOD(Entry!$B408,100),2),"نامعتبر"),IF(LEN(Entry!$B408)=10,Entry!$B408,"نامعتبر")))</f>
        <v/>
      </c>
      <c r="F405">
        <f>IF(Entry!$B408="","",IF(Entry!$C408="","0000",IF(AND(ISNUMBER(Entry!$C408),Entry!$C408&gt;=0,Entry!$C408&lt;1),RIGHT("00"&amp;HOUR(Entry!$C408),2)&amp;RIGHT("00"&amp;MINUTE(Entry!$C408),2),IFERROR(RIGHT("00"&amp;VALUE(LEFT(Entry!$C408,FIND(":",Entry!$C408)-1)),2)&amp;RIGHT("00"&amp;VALUE(MID(Entry!$C408,FIND(":",Entry!$C408)+1,2)),2),"0000"))))</f>
        <v/>
      </c>
      <c r="G405">
        <f>IF($A405="","",Entry!$G408)</f>
        <v/>
      </c>
      <c r="H405">
        <f>IF($A405="","",IF(Entry!$H408="",0,Entry!$H408))</f>
        <v/>
      </c>
      <c r="I405">
        <f>IF($A405="","",IF(Entry!$I408="",0,Entry!$I408))</f>
        <v/>
      </c>
      <c r="J405">
        <f>IF($A405="","",ROUND($H405*$I405,0))</f>
        <v/>
      </c>
      <c r="K405">
        <f>IF($A405="","",Entry!$D408)</f>
        <v/>
      </c>
      <c r="L405">
        <f>IF($A405="","",Entry!$L408)</f>
        <v/>
      </c>
      <c r="N405">
        <f>IF(OR(Sync!$M405="",$Q405="",$Q405="نامعتبر"),"",Sync!$M405)</f>
        <v/>
      </c>
      <c r="O405">
        <f>IF($N405="","",$Q405)</f>
        <v/>
      </c>
      <c r="P405">
        <f>IF($N405="","",LEFT($Q405,4)&amp;MID($Q405,6,2)&amp;RIGHT($Q405,2)&amp;IF(Sync!$K405="","0000",IF(AND(ISNUMBER(Sync!$K405),Sync!$K405&gt;=0,Sync!$K405&lt;1),RIGHT("00"&amp;HOUR(Sync!$K405),2)&amp;RIGHT("00"&amp;MINUTE(Sync!$K405),2),IFERROR(RIGHT("00"&amp;VALUE(LEFT(Sync!$K405,FIND(":",Sync!$K405)-1)),2)&amp;RIGHT("00"&amp;VALUE(MID(Sync!$K405,FIND(":",Sync!$K405)+1,2)),2),"0000")))&amp;"|"&amp;"2"&amp;RIGHT("00000"&amp;400,5))</f>
        <v/>
      </c>
      <c r="Q405">
        <f>IF(Sync!$J405="","",IF(ISNUMBER(Sync!$J405),IF(AND(Sync!$J405&gt;=10000101,Sync!$J405&lt;=99991231),INT(Sync!$J405/10000)&amp;"/"&amp;RIGHT("00"&amp;INT(MOD(Sync!$J405,10000)/100),2)&amp;"/"&amp;RIGHT("00"&amp;MOD(Sync!$J405,100),2),"نامعتبر"),IF(LEN(Sync!$J405)=10,Sync!$J405,"نامعتبر")))</f>
        <v/>
      </c>
      <c r="R405">
        <f>IF($P405="","",COUNTIFS($N$6:$N$2005,$N405,$P$6:$P$2005,"&lt;"&amp;$P405)+COUNTIFS($A$6:$A$1005,$N405,$B$6:$B$1005,"&lt;"&amp;$P405)+1)</f>
        <v/>
      </c>
      <c r="S405">
        <f>IF($N405="","",$N405&amp;"|"&amp;RIGHT("000000"&amp;$R405,6))</f>
        <v/>
      </c>
      <c r="T405">
        <f>IF($N405="","",IF(Sync!$N405="",0,Sync!$N405))</f>
        <v/>
      </c>
      <c r="U405">
        <f>IF($N405="","",IF(Sync!$O405="",0,Sync!$O405))</f>
        <v/>
      </c>
      <c r="V405">
        <f>IF($N405="","",Sync!$L405)</f>
        <v/>
      </c>
      <c r="W405">
        <f>IF($N405="","",Sync!$P405)</f>
        <v/>
      </c>
      <c r="AA405">
        <f>IF($A405="","",IF(COUNTIF($A$6:$A405,$A405)=1,1,0))</f>
        <v/>
      </c>
      <c r="AB405">
        <f>SUM($AA$6:$AA405)</f>
        <v/>
      </c>
      <c r="AC405">
        <f>IFERROR(INDEX($A$6:$A$1005,MATCH(ROW()-5,$AB$6:$AB$1005,0)),"")</f>
        <v/>
      </c>
    </row>
    <row r="406">
      <c r="A406">
        <f>IF(OR(Entry!$B409="",Entry!$E409="",$E406="نامعتبر"),"",Entry!$E409)</f>
        <v/>
      </c>
      <c r="B406">
        <f>IF($A406="","",LEFT($E406,4)&amp;MID($E406,6,2)&amp;RIGHT($E406,2)&amp;$F406&amp;"|"&amp;"1"&amp;RIGHT("00000"&amp;401,5))</f>
        <v/>
      </c>
      <c r="C406">
        <f>IF($B406="","",COUNTIFS($A$6:$A$1005,$A406,$B$6:$B$1005,"&lt;"&amp;$B406)+COUNTIFS($N$6:$N$2005,$A406,$P$6:$P$2005,"&lt;"&amp;$B406)+1)</f>
        <v/>
      </c>
      <c r="D406">
        <f>IF($C406="","",$A406&amp;"|"&amp;RIGHT("000000"&amp;$C406,6))</f>
        <v/>
      </c>
      <c r="E406">
        <f>IF(Entry!$B409="","",IF(ISNUMBER(Entry!$B409),IF(AND(Entry!$B409&gt;=10000101,Entry!$B409&lt;=99991231),INT(Entry!$B409/10000)&amp;"/"&amp;RIGHT("00"&amp;INT(MOD(Entry!$B409,10000)/100),2)&amp;"/"&amp;RIGHT("00"&amp;MOD(Entry!$B409,100),2),"نامعتبر"),IF(LEN(Entry!$B409)=10,Entry!$B409,"نامعتبر")))</f>
        <v/>
      </c>
      <c r="F406">
        <f>IF(Entry!$B409="","",IF(Entry!$C409="","0000",IF(AND(ISNUMBER(Entry!$C409),Entry!$C409&gt;=0,Entry!$C409&lt;1),RIGHT("00"&amp;HOUR(Entry!$C409),2)&amp;RIGHT("00"&amp;MINUTE(Entry!$C409),2),IFERROR(RIGHT("00"&amp;VALUE(LEFT(Entry!$C409,FIND(":",Entry!$C409)-1)),2)&amp;RIGHT("00"&amp;VALUE(MID(Entry!$C409,FIND(":",Entry!$C409)+1,2)),2),"0000"))))</f>
        <v/>
      </c>
      <c r="G406">
        <f>IF($A406="","",Entry!$G409)</f>
        <v/>
      </c>
      <c r="H406">
        <f>IF($A406="","",IF(Entry!$H409="",0,Entry!$H409))</f>
        <v/>
      </c>
      <c r="I406">
        <f>IF($A406="","",IF(Entry!$I409="",0,Entry!$I409))</f>
        <v/>
      </c>
      <c r="J406">
        <f>IF($A406="","",ROUND($H406*$I406,0))</f>
        <v/>
      </c>
      <c r="K406">
        <f>IF($A406="","",Entry!$D409)</f>
        <v/>
      </c>
      <c r="L406">
        <f>IF($A406="","",Entry!$L409)</f>
        <v/>
      </c>
      <c r="N406">
        <f>IF(OR(Sync!$M406="",$Q406="",$Q406="نامعتبر"),"",Sync!$M406)</f>
        <v/>
      </c>
      <c r="O406">
        <f>IF($N406="","",$Q406)</f>
        <v/>
      </c>
      <c r="P406">
        <f>IF($N406="","",LEFT($Q406,4)&amp;MID($Q406,6,2)&amp;RIGHT($Q406,2)&amp;IF(Sync!$K406="","0000",IF(AND(ISNUMBER(Sync!$K406),Sync!$K406&gt;=0,Sync!$K406&lt;1),RIGHT("00"&amp;HOUR(Sync!$K406),2)&amp;RIGHT("00"&amp;MINUTE(Sync!$K406),2),IFERROR(RIGHT("00"&amp;VALUE(LEFT(Sync!$K406,FIND(":",Sync!$K406)-1)),2)&amp;RIGHT("00"&amp;VALUE(MID(Sync!$K406,FIND(":",Sync!$K406)+1,2)),2),"0000")))&amp;"|"&amp;"2"&amp;RIGHT("00000"&amp;401,5))</f>
        <v/>
      </c>
      <c r="Q406">
        <f>IF(Sync!$J406="","",IF(ISNUMBER(Sync!$J406),IF(AND(Sync!$J406&gt;=10000101,Sync!$J406&lt;=99991231),INT(Sync!$J406/10000)&amp;"/"&amp;RIGHT("00"&amp;INT(MOD(Sync!$J406,10000)/100),2)&amp;"/"&amp;RIGHT("00"&amp;MOD(Sync!$J406,100),2),"نامعتبر"),IF(LEN(Sync!$J406)=10,Sync!$J406,"نامعتبر")))</f>
        <v/>
      </c>
      <c r="R406">
        <f>IF($P406="","",COUNTIFS($N$6:$N$2005,$N406,$P$6:$P$2005,"&lt;"&amp;$P406)+COUNTIFS($A$6:$A$1005,$N406,$B$6:$B$1005,"&lt;"&amp;$P406)+1)</f>
        <v/>
      </c>
      <c r="S406">
        <f>IF($N406="","",$N406&amp;"|"&amp;RIGHT("000000"&amp;$R406,6))</f>
        <v/>
      </c>
      <c r="T406">
        <f>IF($N406="","",IF(Sync!$N406="",0,Sync!$N406))</f>
        <v/>
      </c>
      <c r="U406">
        <f>IF($N406="","",IF(Sync!$O406="",0,Sync!$O406))</f>
        <v/>
      </c>
      <c r="V406">
        <f>IF($N406="","",Sync!$L406)</f>
        <v/>
      </c>
      <c r="W406">
        <f>IF($N406="","",Sync!$P406)</f>
        <v/>
      </c>
      <c r="AA406">
        <f>IF($A406="","",IF(COUNTIF($A$6:$A406,$A406)=1,1,0))</f>
        <v/>
      </c>
      <c r="AB406">
        <f>SUM($AA$6:$AA406)</f>
        <v/>
      </c>
      <c r="AC406">
        <f>IFERROR(INDEX($A$6:$A$1005,MATCH(ROW()-5,$AB$6:$AB$1005,0)),"")</f>
        <v/>
      </c>
    </row>
    <row r="407">
      <c r="A407">
        <f>IF(OR(Entry!$B410="",Entry!$E410="",$E407="نامعتبر"),"",Entry!$E410)</f>
        <v/>
      </c>
      <c r="B407">
        <f>IF($A407="","",LEFT($E407,4)&amp;MID($E407,6,2)&amp;RIGHT($E407,2)&amp;$F407&amp;"|"&amp;"1"&amp;RIGHT("00000"&amp;402,5))</f>
        <v/>
      </c>
      <c r="C407">
        <f>IF($B407="","",COUNTIFS($A$6:$A$1005,$A407,$B$6:$B$1005,"&lt;"&amp;$B407)+COUNTIFS($N$6:$N$2005,$A407,$P$6:$P$2005,"&lt;"&amp;$B407)+1)</f>
        <v/>
      </c>
      <c r="D407">
        <f>IF($C407="","",$A407&amp;"|"&amp;RIGHT("000000"&amp;$C407,6))</f>
        <v/>
      </c>
      <c r="E407">
        <f>IF(Entry!$B410="","",IF(ISNUMBER(Entry!$B410),IF(AND(Entry!$B410&gt;=10000101,Entry!$B410&lt;=99991231),INT(Entry!$B410/10000)&amp;"/"&amp;RIGHT("00"&amp;INT(MOD(Entry!$B410,10000)/100),2)&amp;"/"&amp;RIGHT("00"&amp;MOD(Entry!$B410,100),2),"نامعتبر"),IF(LEN(Entry!$B410)=10,Entry!$B410,"نامعتبر")))</f>
        <v/>
      </c>
      <c r="F407">
        <f>IF(Entry!$B410="","",IF(Entry!$C410="","0000",IF(AND(ISNUMBER(Entry!$C410),Entry!$C410&gt;=0,Entry!$C410&lt;1),RIGHT("00"&amp;HOUR(Entry!$C410),2)&amp;RIGHT("00"&amp;MINUTE(Entry!$C410),2),IFERROR(RIGHT("00"&amp;VALUE(LEFT(Entry!$C410,FIND(":",Entry!$C410)-1)),2)&amp;RIGHT("00"&amp;VALUE(MID(Entry!$C410,FIND(":",Entry!$C410)+1,2)),2),"0000"))))</f>
        <v/>
      </c>
      <c r="G407">
        <f>IF($A407="","",Entry!$G410)</f>
        <v/>
      </c>
      <c r="H407">
        <f>IF($A407="","",IF(Entry!$H410="",0,Entry!$H410))</f>
        <v/>
      </c>
      <c r="I407">
        <f>IF($A407="","",IF(Entry!$I410="",0,Entry!$I410))</f>
        <v/>
      </c>
      <c r="J407">
        <f>IF($A407="","",ROUND($H407*$I407,0))</f>
        <v/>
      </c>
      <c r="K407">
        <f>IF($A407="","",Entry!$D410)</f>
        <v/>
      </c>
      <c r="L407">
        <f>IF($A407="","",Entry!$L410)</f>
        <v/>
      </c>
      <c r="N407">
        <f>IF(OR(Sync!$M407="",$Q407="",$Q407="نامعتبر"),"",Sync!$M407)</f>
        <v/>
      </c>
      <c r="O407">
        <f>IF($N407="","",$Q407)</f>
        <v/>
      </c>
      <c r="P407">
        <f>IF($N407="","",LEFT($Q407,4)&amp;MID($Q407,6,2)&amp;RIGHT($Q407,2)&amp;IF(Sync!$K407="","0000",IF(AND(ISNUMBER(Sync!$K407),Sync!$K407&gt;=0,Sync!$K407&lt;1),RIGHT("00"&amp;HOUR(Sync!$K407),2)&amp;RIGHT("00"&amp;MINUTE(Sync!$K407),2),IFERROR(RIGHT("00"&amp;VALUE(LEFT(Sync!$K407,FIND(":",Sync!$K407)-1)),2)&amp;RIGHT("00"&amp;VALUE(MID(Sync!$K407,FIND(":",Sync!$K407)+1,2)),2),"0000")))&amp;"|"&amp;"2"&amp;RIGHT("00000"&amp;402,5))</f>
        <v/>
      </c>
      <c r="Q407">
        <f>IF(Sync!$J407="","",IF(ISNUMBER(Sync!$J407),IF(AND(Sync!$J407&gt;=10000101,Sync!$J407&lt;=99991231),INT(Sync!$J407/10000)&amp;"/"&amp;RIGHT("00"&amp;INT(MOD(Sync!$J407,10000)/100),2)&amp;"/"&amp;RIGHT("00"&amp;MOD(Sync!$J407,100),2),"نامعتبر"),IF(LEN(Sync!$J407)=10,Sync!$J407,"نامعتبر")))</f>
        <v/>
      </c>
      <c r="R407">
        <f>IF($P407="","",COUNTIFS($N$6:$N$2005,$N407,$P$6:$P$2005,"&lt;"&amp;$P407)+COUNTIFS($A$6:$A$1005,$N407,$B$6:$B$1005,"&lt;"&amp;$P407)+1)</f>
        <v/>
      </c>
      <c r="S407">
        <f>IF($N407="","",$N407&amp;"|"&amp;RIGHT("000000"&amp;$R407,6))</f>
        <v/>
      </c>
      <c r="T407">
        <f>IF($N407="","",IF(Sync!$N407="",0,Sync!$N407))</f>
        <v/>
      </c>
      <c r="U407">
        <f>IF($N407="","",IF(Sync!$O407="",0,Sync!$O407))</f>
        <v/>
      </c>
      <c r="V407">
        <f>IF($N407="","",Sync!$L407)</f>
        <v/>
      </c>
      <c r="W407">
        <f>IF($N407="","",Sync!$P407)</f>
        <v/>
      </c>
      <c r="AA407">
        <f>IF($A407="","",IF(COUNTIF($A$6:$A407,$A407)=1,1,0))</f>
        <v/>
      </c>
      <c r="AB407">
        <f>SUM($AA$6:$AA407)</f>
        <v/>
      </c>
      <c r="AC407">
        <f>IFERROR(INDEX($A$6:$A$1005,MATCH(ROW()-5,$AB$6:$AB$1005,0)),"")</f>
        <v/>
      </c>
    </row>
    <row r="408">
      <c r="A408">
        <f>IF(OR(Entry!$B411="",Entry!$E411="",$E408="نامعتبر"),"",Entry!$E411)</f>
        <v/>
      </c>
      <c r="B408">
        <f>IF($A408="","",LEFT($E408,4)&amp;MID($E408,6,2)&amp;RIGHT($E408,2)&amp;$F408&amp;"|"&amp;"1"&amp;RIGHT("00000"&amp;403,5))</f>
        <v/>
      </c>
      <c r="C408">
        <f>IF($B408="","",COUNTIFS($A$6:$A$1005,$A408,$B$6:$B$1005,"&lt;"&amp;$B408)+COUNTIFS($N$6:$N$2005,$A408,$P$6:$P$2005,"&lt;"&amp;$B408)+1)</f>
        <v/>
      </c>
      <c r="D408">
        <f>IF($C408="","",$A408&amp;"|"&amp;RIGHT("000000"&amp;$C408,6))</f>
        <v/>
      </c>
      <c r="E408">
        <f>IF(Entry!$B411="","",IF(ISNUMBER(Entry!$B411),IF(AND(Entry!$B411&gt;=10000101,Entry!$B411&lt;=99991231),INT(Entry!$B411/10000)&amp;"/"&amp;RIGHT("00"&amp;INT(MOD(Entry!$B411,10000)/100),2)&amp;"/"&amp;RIGHT("00"&amp;MOD(Entry!$B411,100),2),"نامعتبر"),IF(LEN(Entry!$B411)=10,Entry!$B411,"نامعتبر")))</f>
        <v/>
      </c>
      <c r="F408">
        <f>IF(Entry!$B411="","",IF(Entry!$C411="","0000",IF(AND(ISNUMBER(Entry!$C411),Entry!$C411&gt;=0,Entry!$C411&lt;1),RIGHT("00"&amp;HOUR(Entry!$C411),2)&amp;RIGHT("00"&amp;MINUTE(Entry!$C411),2),IFERROR(RIGHT("00"&amp;VALUE(LEFT(Entry!$C411,FIND(":",Entry!$C411)-1)),2)&amp;RIGHT("00"&amp;VALUE(MID(Entry!$C411,FIND(":",Entry!$C411)+1,2)),2),"0000"))))</f>
        <v/>
      </c>
      <c r="G408">
        <f>IF($A408="","",Entry!$G411)</f>
        <v/>
      </c>
      <c r="H408">
        <f>IF($A408="","",IF(Entry!$H411="",0,Entry!$H411))</f>
        <v/>
      </c>
      <c r="I408">
        <f>IF($A408="","",IF(Entry!$I411="",0,Entry!$I411))</f>
        <v/>
      </c>
      <c r="J408">
        <f>IF($A408="","",ROUND($H408*$I408,0))</f>
        <v/>
      </c>
      <c r="K408">
        <f>IF($A408="","",Entry!$D411)</f>
        <v/>
      </c>
      <c r="L408">
        <f>IF($A408="","",Entry!$L411)</f>
        <v/>
      </c>
      <c r="N408">
        <f>IF(OR(Sync!$M408="",$Q408="",$Q408="نامعتبر"),"",Sync!$M408)</f>
        <v/>
      </c>
      <c r="O408">
        <f>IF($N408="","",$Q408)</f>
        <v/>
      </c>
      <c r="P408">
        <f>IF($N408="","",LEFT($Q408,4)&amp;MID($Q408,6,2)&amp;RIGHT($Q408,2)&amp;IF(Sync!$K408="","0000",IF(AND(ISNUMBER(Sync!$K408),Sync!$K408&gt;=0,Sync!$K408&lt;1),RIGHT("00"&amp;HOUR(Sync!$K408),2)&amp;RIGHT("00"&amp;MINUTE(Sync!$K408),2),IFERROR(RIGHT("00"&amp;VALUE(LEFT(Sync!$K408,FIND(":",Sync!$K408)-1)),2)&amp;RIGHT("00"&amp;VALUE(MID(Sync!$K408,FIND(":",Sync!$K408)+1,2)),2),"0000")))&amp;"|"&amp;"2"&amp;RIGHT("00000"&amp;403,5))</f>
        <v/>
      </c>
      <c r="Q408">
        <f>IF(Sync!$J408="","",IF(ISNUMBER(Sync!$J408),IF(AND(Sync!$J408&gt;=10000101,Sync!$J408&lt;=99991231),INT(Sync!$J408/10000)&amp;"/"&amp;RIGHT("00"&amp;INT(MOD(Sync!$J408,10000)/100),2)&amp;"/"&amp;RIGHT("00"&amp;MOD(Sync!$J408,100),2),"نامعتبر"),IF(LEN(Sync!$J408)=10,Sync!$J408,"نامعتبر")))</f>
        <v/>
      </c>
      <c r="R408">
        <f>IF($P408="","",COUNTIFS($N$6:$N$2005,$N408,$P$6:$P$2005,"&lt;"&amp;$P408)+COUNTIFS($A$6:$A$1005,$N408,$B$6:$B$1005,"&lt;"&amp;$P408)+1)</f>
        <v/>
      </c>
      <c r="S408">
        <f>IF($N408="","",$N408&amp;"|"&amp;RIGHT("000000"&amp;$R408,6))</f>
        <v/>
      </c>
      <c r="T408">
        <f>IF($N408="","",IF(Sync!$N408="",0,Sync!$N408))</f>
        <v/>
      </c>
      <c r="U408">
        <f>IF($N408="","",IF(Sync!$O408="",0,Sync!$O408))</f>
        <v/>
      </c>
      <c r="V408">
        <f>IF($N408="","",Sync!$L408)</f>
        <v/>
      </c>
      <c r="W408">
        <f>IF($N408="","",Sync!$P408)</f>
        <v/>
      </c>
      <c r="AA408">
        <f>IF($A408="","",IF(COUNTIF($A$6:$A408,$A408)=1,1,0))</f>
        <v/>
      </c>
      <c r="AB408">
        <f>SUM($AA$6:$AA408)</f>
        <v/>
      </c>
      <c r="AC408">
        <f>IFERROR(INDEX($A$6:$A$1005,MATCH(ROW()-5,$AB$6:$AB$1005,0)),"")</f>
        <v/>
      </c>
    </row>
    <row r="409">
      <c r="A409">
        <f>IF(OR(Entry!$B412="",Entry!$E412="",$E409="نامعتبر"),"",Entry!$E412)</f>
        <v/>
      </c>
      <c r="B409">
        <f>IF($A409="","",LEFT($E409,4)&amp;MID($E409,6,2)&amp;RIGHT($E409,2)&amp;$F409&amp;"|"&amp;"1"&amp;RIGHT("00000"&amp;404,5))</f>
        <v/>
      </c>
      <c r="C409">
        <f>IF($B409="","",COUNTIFS($A$6:$A$1005,$A409,$B$6:$B$1005,"&lt;"&amp;$B409)+COUNTIFS($N$6:$N$2005,$A409,$P$6:$P$2005,"&lt;"&amp;$B409)+1)</f>
        <v/>
      </c>
      <c r="D409">
        <f>IF($C409="","",$A409&amp;"|"&amp;RIGHT("000000"&amp;$C409,6))</f>
        <v/>
      </c>
      <c r="E409">
        <f>IF(Entry!$B412="","",IF(ISNUMBER(Entry!$B412),IF(AND(Entry!$B412&gt;=10000101,Entry!$B412&lt;=99991231),INT(Entry!$B412/10000)&amp;"/"&amp;RIGHT("00"&amp;INT(MOD(Entry!$B412,10000)/100),2)&amp;"/"&amp;RIGHT("00"&amp;MOD(Entry!$B412,100),2),"نامعتبر"),IF(LEN(Entry!$B412)=10,Entry!$B412,"نامعتبر")))</f>
        <v/>
      </c>
      <c r="F409">
        <f>IF(Entry!$B412="","",IF(Entry!$C412="","0000",IF(AND(ISNUMBER(Entry!$C412),Entry!$C412&gt;=0,Entry!$C412&lt;1),RIGHT("00"&amp;HOUR(Entry!$C412),2)&amp;RIGHT("00"&amp;MINUTE(Entry!$C412),2),IFERROR(RIGHT("00"&amp;VALUE(LEFT(Entry!$C412,FIND(":",Entry!$C412)-1)),2)&amp;RIGHT("00"&amp;VALUE(MID(Entry!$C412,FIND(":",Entry!$C412)+1,2)),2),"0000"))))</f>
        <v/>
      </c>
      <c r="G409">
        <f>IF($A409="","",Entry!$G412)</f>
        <v/>
      </c>
      <c r="H409">
        <f>IF($A409="","",IF(Entry!$H412="",0,Entry!$H412))</f>
        <v/>
      </c>
      <c r="I409">
        <f>IF($A409="","",IF(Entry!$I412="",0,Entry!$I412))</f>
        <v/>
      </c>
      <c r="J409">
        <f>IF($A409="","",ROUND($H409*$I409,0))</f>
        <v/>
      </c>
      <c r="K409">
        <f>IF($A409="","",Entry!$D412)</f>
        <v/>
      </c>
      <c r="L409">
        <f>IF($A409="","",Entry!$L412)</f>
        <v/>
      </c>
      <c r="N409">
        <f>IF(OR(Sync!$M409="",$Q409="",$Q409="نامعتبر"),"",Sync!$M409)</f>
        <v/>
      </c>
      <c r="O409">
        <f>IF($N409="","",$Q409)</f>
        <v/>
      </c>
      <c r="P409">
        <f>IF($N409="","",LEFT($Q409,4)&amp;MID($Q409,6,2)&amp;RIGHT($Q409,2)&amp;IF(Sync!$K409="","0000",IF(AND(ISNUMBER(Sync!$K409),Sync!$K409&gt;=0,Sync!$K409&lt;1),RIGHT("00"&amp;HOUR(Sync!$K409),2)&amp;RIGHT("00"&amp;MINUTE(Sync!$K409),2),IFERROR(RIGHT("00"&amp;VALUE(LEFT(Sync!$K409,FIND(":",Sync!$K409)-1)),2)&amp;RIGHT("00"&amp;VALUE(MID(Sync!$K409,FIND(":",Sync!$K409)+1,2)),2),"0000")))&amp;"|"&amp;"2"&amp;RIGHT("00000"&amp;404,5))</f>
        <v/>
      </c>
      <c r="Q409">
        <f>IF(Sync!$J409="","",IF(ISNUMBER(Sync!$J409),IF(AND(Sync!$J409&gt;=10000101,Sync!$J409&lt;=99991231),INT(Sync!$J409/10000)&amp;"/"&amp;RIGHT("00"&amp;INT(MOD(Sync!$J409,10000)/100),2)&amp;"/"&amp;RIGHT("00"&amp;MOD(Sync!$J409,100),2),"نامعتبر"),IF(LEN(Sync!$J409)=10,Sync!$J409,"نامعتبر")))</f>
        <v/>
      </c>
      <c r="R409">
        <f>IF($P409="","",COUNTIFS($N$6:$N$2005,$N409,$P$6:$P$2005,"&lt;"&amp;$P409)+COUNTIFS($A$6:$A$1005,$N409,$B$6:$B$1005,"&lt;"&amp;$P409)+1)</f>
        <v/>
      </c>
      <c r="S409">
        <f>IF($N409="","",$N409&amp;"|"&amp;RIGHT("000000"&amp;$R409,6))</f>
        <v/>
      </c>
      <c r="T409">
        <f>IF($N409="","",IF(Sync!$N409="",0,Sync!$N409))</f>
        <v/>
      </c>
      <c r="U409">
        <f>IF($N409="","",IF(Sync!$O409="",0,Sync!$O409))</f>
        <v/>
      </c>
      <c r="V409">
        <f>IF($N409="","",Sync!$L409)</f>
        <v/>
      </c>
      <c r="W409">
        <f>IF($N409="","",Sync!$P409)</f>
        <v/>
      </c>
      <c r="AA409">
        <f>IF($A409="","",IF(COUNTIF($A$6:$A409,$A409)=1,1,0))</f>
        <v/>
      </c>
      <c r="AB409">
        <f>SUM($AA$6:$AA409)</f>
        <v/>
      </c>
      <c r="AC409">
        <f>IFERROR(INDEX($A$6:$A$1005,MATCH(ROW()-5,$AB$6:$AB$1005,0)),"")</f>
        <v/>
      </c>
    </row>
    <row r="410">
      <c r="A410">
        <f>IF(OR(Entry!$B413="",Entry!$E413="",$E410="نامعتبر"),"",Entry!$E413)</f>
        <v/>
      </c>
      <c r="B410">
        <f>IF($A410="","",LEFT($E410,4)&amp;MID($E410,6,2)&amp;RIGHT($E410,2)&amp;$F410&amp;"|"&amp;"1"&amp;RIGHT("00000"&amp;405,5))</f>
        <v/>
      </c>
      <c r="C410">
        <f>IF($B410="","",COUNTIFS($A$6:$A$1005,$A410,$B$6:$B$1005,"&lt;"&amp;$B410)+COUNTIFS($N$6:$N$2005,$A410,$P$6:$P$2005,"&lt;"&amp;$B410)+1)</f>
        <v/>
      </c>
      <c r="D410">
        <f>IF($C410="","",$A410&amp;"|"&amp;RIGHT("000000"&amp;$C410,6))</f>
        <v/>
      </c>
      <c r="E410">
        <f>IF(Entry!$B413="","",IF(ISNUMBER(Entry!$B413),IF(AND(Entry!$B413&gt;=10000101,Entry!$B413&lt;=99991231),INT(Entry!$B413/10000)&amp;"/"&amp;RIGHT("00"&amp;INT(MOD(Entry!$B413,10000)/100),2)&amp;"/"&amp;RIGHT("00"&amp;MOD(Entry!$B413,100),2),"نامعتبر"),IF(LEN(Entry!$B413)=10,Entry!$B413,"نامعتبر")))</f>
        <v/>
      </c>
      <c r="F410">
        <f>IF(Entry!$B413="","",IF(Entry!$C413="","0000",IF(AND(ISNUMBER(Entry!$C413),Entry!$C413&gt;=0,Entry!$C413&lt;1),RIGHT("00"&amp;HOUR(Entry!$C413),2)&amp;RIGHT("00"&amp;MINUTE(Entry!$C413),2),IFERROR(RIGHT("00"&amp;VALUE(LEFT(Entry!$C413,FIND(":",Entry!$C413)-1)),2)&amp;RIGHT("00"&amp;VALUE(MID(Entry!$C413,FIND(":",Entry!$C413)+1,2)),2),"0000"))))</f>
        <v/>
      </c>
      <c r="G410">
        <f>IF($A410="","",Entry!$G413)</f>
        <v/>
      </c>
      <c r="H410">
        <f>IF($A410="","",IF(Entry!$H413="",0,Entry!$H413))</f>
        <v/>
      </c>
      <c r="I410">
        <f>IF($A410="","",IF(Entry!$I413="",0,Entry!$I413))</f>
        <v/>
      </c>
      <c r="J410">
        <f>IF($A410="","",ROUND($H410*$I410,0))</f>
        <v/>
      </c>
      <c r="K410">
        <f>IF($A410="","",Entry!$D413)</f>
        <v/>
      </c>
      <c r="L410">
        <f>IF($A410="","",Entry!$L413)</f>
        <v/>
      </c>
      <c r="N410">
        <f>IF(OR(Sync!$M410="",$Q410="",$Q410="نامعتبر"),"",Sync!$M410)</f>
        <v/>
      </c>
      <c r="O410">
        <f>IF($N410="","",$Q410)</f>
        <v/>
      </c>
      <c r="P410">
        <f>IF($N410="","",LEFT($Q410,4)&amp;MID($Q410,6,2)&amp;RIGHT($Q410,2)&amp;IF(Sync!$K410="","0000",IF(AND(ISNUMBER(Sync!$K410),Sync!$K410&gt;=0,Sync!$K410&lt;1),RIGHT("00"&amp;HOUR(Sync!$K410),2)&amp;RIGHT("00"&amp;MINUTE(Sync!$K410),2),IFERROR(RIGHT("00"&amp;VALUE(LEFT(Sync!$K410,FIND(":",Sync!$K410)-1)),2)&amp;RIGHT("00"&amp;VALUE(MID(Sync!$K410,FIND(":",Sync!$K410)+1,2)),2),"0000")))&amp;"|"&amp;"2"&amp;RIGHT("00000"&amp;405,5))</f>
        <v/>
      </c>
      <c r="Q410">
        <f>IF(Sync!$J410="","",IF(ISNUMBER(Sync!$J410),IF(AND(Sync!$J410&gt;=10000101,Sync!$J410&lt;=99991231),INT(Sync!$J410/10000)&amp;"/"&amp;RIGHT("00"&amp;INT(MOD(Sync!$J410,10000)/100),2)&amp;"/"&amp;RIGHT("00"&amp;MOD(Sync!$J410,100),2),"نامعتبر"),IF(LEN(Sync!$J410)=10,Sync!$J410,"نامعتبر")))</f>
        <v/>
      </c>
      <c r="R410">
        <f>IF($P410="","",COUNTIFS($N$6:$N$2005,$N410,$P$6:$P$2005,"&lt;"&amp;$P410)+COUNTIFS($A$6:$A$1005,$N410,$B$6:$B$1005,"&lt;"&amp;$P410)+1)</f>
        <v/>
      </c>
      <c r="S410">
        <f>IF($N410="","",$N410&amp;"|"&amp;RIGHT("000000"&amp;$R410,6))</f>
        <v/>
      </c>
      <c r="T410">
        <f>IF($N410="","",IF(Sync!$N410="",0,Sync!$N410))</f>
        <v/>
      </c>
      <c r="U410">
        <f>IF($N410="","",IF(Sync!$O410="",0,Sync!$O410))</f>
        <v/>
      </c>
      <c r="V410">
        <f>IF($N410="","",Sync!$L410)</f>
        <v/>
      </c>
      <c r="W410">
        <f>IF($N410="","",Sync!$P410)</f>
        <v/>
      </c>
      <c r="AA410">
        <f>IF($A410="","",IF(COUNTIF($A$6:$A410,$A410)=1,1,0))</f>
        <v/>
      </c>
      <c r="AB410">
        <f>SUM($AA$6:$AA410)</f>
        <v/>
      </c>
      <c r="AC410">
        <f>IFERROR(INDEX($A$6:$A$1005,MATCH(ROW()-5,$AB$6:$AB$1005,0)),"")</f>
        <v/>
      </c>
    </row>
    <row r="411">
      <c r="A411">
        <f>IF(OR(Entry!$B414="",Entry!$E414="",$E411="نامعتبر"),"",Entry!$E414)</f>
        <v/>
      </c>
      <c r="B411">
        <f>IF($A411="","",LEFT($E411,4)&amp;MID($E411,6,2)&amp;RIGHT($E411,2)&amp;$F411&amp;"|"&amp;"1"&amp;RIGHT("00000"&amp;406,5))</f>
        <v/>
      </c>
      <c r="C411">
        <f>IF($B411="","",COUNTIFS($A$6:$A$1005,$A411,$B$6:$B$1005,"&lt;"&amp;$B411)+COUNTIFS($N$6:$N$2005,$A411,$P$6:$P$2005,"&lt;"&amp;$B411)+1)</f>
        <v/>
      </c>
      <c r="D411">
        <f>IF($C411="","",$A411&amp;"|"&amp;RIGHT("000000"&amp;$C411,6))</f>
        <v/>
      </c>
      <c r="E411">
        <f>IF(Entry!$B414="","",IF(ISNUMBER(Entry!$B414),IF(AND(Entry!$B414&gt;=10000101,Entry!$B414&lt;=99991231),INT(Entry!$B414/10000)&amp;"/"&amp;RIGHT("00"&amp;INT(MOD(Entry!$B414,10000)/100),2)&amp;"/"&amp;RIGHT("00"&amp;MOD(Entry!$B414,100),2),"نامعتبر"),IF(LEN(Entry!$B414)=10,Entry!$B414,"نامعتبر")))</f>
        <v/>
      </c>
      <c r="F411">
        <f>IF(Entry!$B414="","",IF(Entry!$C414="","0000",IF(AND(ISNUMBER(Entry!$C414),Entry!$C414&gt;=0,Entry!$C414&lt;1),RIGHT("00"&amp;HOUR(Entry!$C414),2)&amp;RIGHT("00"&amp;MINUTE(Entry!$C414),2),IFERROR(RIGHT("00"&amp;VALUE(LEFT(Entry!$C414,FIND(":",Entry!$C414)-1)),2)&amp;RIGHT("00"&amp;VALUE(MID(Entry!$C414,FIND(":",Entry!$C414)+1,2)),2),"0000"))))</f>
        <v/>
      </c>
      <c r="G411">
        <f>IF($A411="","",Entry!$G414)</f>
        <v/>
      </c>
      <c r="H411">
        <f>IF($A411="","",IF(Entry!$H414="",0,Entry!$H414))</f>
        <v/>
      </c>
      <c r="I411">
        <f>IF($A411="","",IF(Entry!$I414="",0,Entry!$I414))</f>
        <v/>
      </c>
      <c r="J411">
        <f>IF($A411="","",ROUND($H411*$I411,0))</f>
        <v/>
      </c>
      <c r="K411">
        <f>IF($A411="","",Entry!$D414)</f>
        <v/>
      </c>
      <c r="L411">
        <f>IF($A411="","",Entry!$L414)</f>
        <v/>
      </c>
      <c r="N411">
        <f>IF(OR(Sync!$M411="",$Q411="",$Q411="نامعتبر"),"",Sync!$M411)</f>
        <v/>
      </c>
      <c r="O411">
        <f>IF($N411="","",$Q411)</f>
        <v/>
      </c>
      <c r="P411">
        <f>IF($N411="","",LEFT($Q411,4)&amp;MID($Q411,6,2)&amp;RIGHT($Q411,2)&amp;IF(Sync!$K411="","0000",IF(AND(ISNUMBER(Sync!$K411),Sync!$K411&gt;=0,Sync!$K411&lt;1),RIGHT("00"&amp;HOUR(Sync!$K411),2)&amp;RIGHT("00"&amp;MINUTE(Sync!$K411),2),IFERROR(RIGHT("00"&amp;VALUE(LEFT(Sync!$K411,FIND(":",Sync!$K411)-1)),2)&amp;RIGHT("00"&amp;VALUE(MID(Sync!$K411,FIND(":",Sync!$K411)+1,2)),2),"0000")))&amp;"|"&amp;"2"&amp;RIGHT("00000"&amp;406,5))</f>
        <v/>
      </c>
      <c r="Q411">
        <f>IF(Sync!$J411="","",IF(ISNUMBER(Sync!$J411),IF(AND(Sync!$J411&gt;=10000101,Sync!$J411&lt;=99991231),INT(Sync!$J411/10000)&amp;"/"&amp;RIGHT("00"&amp;INT(MOD(Sync!$J411,10000)/100),2)&amp;"/"&amp;RIGHT("00"&amp;MOD(Sync!$J411,100),2),"نامعتبر"),IF(LEN(Sync!$J411)=10,Sync!$J411,"نامعتبر")))</f>
        <v/>
      </c>
      <c r="R411">
        <f>IF($P411="","",COUNTIFS($N$6:$N$2005,$N411,$P$6:$P$2005,"&lt;"&amp;$P411)+COUNTIFS($A$6:$A$1005,$N411,$B$6:$B$1005,"&lt;"&amp;$P411)+1)</f>
        <v/>
      </c>
      <c r="S411">
        <f>IF($N411="","",$N411&amp;"|"&amp;RIGHT("000000"&amp;$R411,6))</f>
        <v/>
      </c>
      <c r="T411">
        <f>IF($N411="","",IF(Sync!$N411="",0,Sync!$N411))</f>
        <v/>
      </c>
      <c r="U411">
        <f>IF($N411="","",IF(Sync!$O411="",0,Sync!$O411))</f>
        <v/>
      </c>
      <c r="V411">
        <f>IF($N411="","",Sync!$L411)</f>
        <v/>
      </c>
      <c r="W411">
        <f>IF($N411="","",Sync!$P411)</f>
        <v/>
      </c>
      <c r="AA411">
        <f>IF($A411="","",IF(COUNTIF($A$6:$A411,$A411)=1,1,0))</f>
        <v/>
      </c>
      <c r="AB411">
        <f>SUM($AA$6:$AA411)</f>
        <v/>
      </c>
      <c r="AC411">
        <f>IFERROR(INDEX($A$6:$A$1005,MATCH(ROW()-5,$AB$6:$AB$1005,0)),"")</f>
        <v/>
      </c>
    </row>
    <row r="412">
      <c r="A412">
        <f>IF(OR(Entry!$B415="",Entry!$E415="",$E412="نامعتبر"),"",Entry!$E415)</f>
        <v/>
      </c>
      <c r="B412">
        <f>IF($A412="","",LEFT($E412,4)&amp;MID($E412,6,2)&amp;RIGHT($E412,2)&amp;$F412&amp;"|"&amp;"1"&amp;RIGHT("00000"&amp;407,5))</f>
        <v/>
      </c>
      <c r="C412">
        <f>IF($B412="","",COUNTIFS($A$6:$A$1005,$A412,$B$6:$B$1005,"&lt;"&amp;$B412)+COUNTIFS($N$6:$N$2005,$A412,$P$6:$P$2005,"&lt;"&amp;$B412)+1)</f>
        <v/>
      </c>
      <c r="D412">
        <f>IF($C412="","",$A412&amp;"|"&amp;RIGHT("000000"&amp;$C412,6))</f>
        <v/>
      </c>
      <c r="E412">
        <f>IF(Entry!$B415="","",IF(ISNUMBER(Entry!$B415),IF(AND(Entry!$B415&gt;=10000101,Entry!$B415&lt;=99991231),INT(Entry!$B415/10000)&amp;"/"&amp;RIGHT("00"&amp;INT(MOD(Entry!$B415,10000)/100),2)&amp;"/"&amp;RIGHT("00"&amp;MOD(Entry!$B415,100),2),"نامعتبر"),IF(LEN(Entry!$B415)=10,Entry!$B415,"نامعتبر")))</f>
        <v/>
      </c>
      <c r="F412">
        <f>IF(Entry!$B415="","",IF(Entry!$C415="","0000",IF(AND(ISNUMBER(Entry!$C415),Entry!$C415&gt;=0,Entry!$C415&lt;1),RIGHT("00"&amp;HOUR(Entry!$C415),2)&amp;RIGHT("00"&amp;MINUTE(Entry!$C415),2),IFERROR(RIGHT("00"&amp;VALUE(LEFT(Entry!$C415,FIND(":",Entry!$C415)-1)),2)&amp;RIGHT("00"&amp;VALUE(MID(Entry!$C415,FIND(":",Entry!$C415)+1,2)),2),"0000"))))</f>
        <v/>
      </c>
      <c r="G412">
        <f>IF($A412="","",Entry!$G415)</f>
        <v/>
      </c>
      <c r="H412">
        <f>IF($A412="","",IF(Entry!$H415="",0,Entry!$H415))</f>
        <v/>
      </c>
      <c r="I412">
        <f>IF($A412="","",IF(Entry!$I415="",0,Entry!$I415))</f>
        <v/>
      </c>
      <c r="J412">
        <f>IF($A412="","",ROUND($H412*$I412,0))</f>
        <v/>
      </c>
      <c r="K412">
        <f>IF($A412="","",Entry!$D415)</f>
        <v/>
      </c>
      <c r="L412">
        <f>IF($A412="","",Entry!$L415)</f>
        <v/>
      </c>
      <c r="N412">
        <f>IF(OR(Sync!$M412="",$Q412="",$Q412="نامعتبر"),"",Sync!$M412)</f>
        <v/>
      </c>
      <c r="O412">
        <f>IF($N412="","",$Q412)</f>
        <v/>
      </c>
      <c r="P412">
        <f>IF($N412="","",LEFT($Q412,4)&amp;MID($Q412,6,2)&amp;RIGHT($Q412,2)&amp;IF(Sync!$K412="","0000",IF(AND(ISNUMBER(Sync!$K412),Sync!$K412&gt;=0,Sync!$K412&lt;1),RIGHT("00"&amp;HOUR(Sync!$K412),2)&amp;RIGHT("00"&amp;MINUTE(Sync!$K412),2),IFERROR(RIGHT("00"&amp;VALUE(LEFT(Sync!$K412,FIND(":",Sync!$K412)-1)),2)&amp;RIGHT("00"&amp;VALUE(MID(Sync!$K412,FIND(":",Sync!$K412)+1,2)),2),"0000")))&amp;"|"&amp;"2"&amp;RIGHT("00000"&amp;407,5))</f>
        <v/>
      </c>
      <c r="Q412">
        <f>IF(Sync!$J412="","",IF(ISNUMBER(Sync!$J412),IF(AND(Sync!$J412&gt;=10000101,Sync!$J412&lt;=99991231),INT(Sync!$J412/10000)&amp;"/"&amp;RIGHT("00"&amp;INT(MOD(Sync!$J412,10000)/100),2)&amp;"/"&amp;RIGHT("00"&amp;MOD(Sync!$J412,100),2),"نامعتبر"),IF(LEN(Sync!$J412)=10,Sync!$J412,"نامعتبر")))</f>
        <v/>
      </c>
      <c r="R412">
        <f>IF($P412="","",COUNTIFS($N$6:$N$2005,$N412,$P$6:$P$2005,"&lt;"&amp;$P412)+COUNTIFS($A$6:$A$1005,$N412,$B$6:$B$1005,"&lt;"&amp;$P412)+1)</f>
        <v/>
      </c>
      <c r="S412">
        <f>IF($N412="","",$N412&amp;"|"&amp;RIGHT("000000"&amp;$R412,6))</f>
        <v/>
      </c>
      <c r="T412">
        <f>IF($N412="","",IF(Sync!$N412="",0,Sync!$N412))</f>
        <v/>
      </c>
      <c r="U412">
        <f>IF($N412="","",IF(Sync!$O412="",0,Sync!$O412))</f>
        <v/>
      </c>
      <c r="V412">
        <f>IF($N412="","",Sync!$L412)</f>
        <v/>
      </c>
      <c r="W412">
        <f>IF($N412="","",Sync!$P412)</f>
        <v/>
      </c>
      <c r="AA412">
        <f>IF($A412="","",IF(COUNTIF($A$6:$A412,$A412)=1,1,0))</f>
        <v/>
      </c>
      <c r="AB412">
        <f>SUM($AA$6:$AA412)</f>
        <v/>
      </c>
      <c r="AC412">
        <f>IFERROR(INDEX($A$6:$A$1005,MATCH(ROW()-5,$AB$6:$AB$1005,0)),"")</f>
        <v/>
      </c>
    </row>
    <row r="413">
      <c r="A413">
        <f>IF(OR(Entry!$B416="",Entry!$E416="",$E413="نامعتبر"),"",Entry!$E416)</f>
        <v/>
      </c>
      <c r="B413">
        <f>IF($A413="","",LEFT($E413,4)&amp;MID($E413,6,2)&amp;RIGHT($E413,2)&amp;$F413&amp;"|"&amp;"1"&amp;RIGHT("00000"&amp;408,5))</f>
        <v/>
      </c>
      <c r="C413">
        <f>IF($B413="","",COUNTIFS($A$6:$A$1005,$A413,$B$6:$B$1005,"&lt;"&amp;$B413)+COUNTIFS($N$6:$N$2005,$A413,$P$6:$P$2005,"&lt;"&amp;$B413)+1)</f>
        <v/>
      </c>
      <c r="D413">
        <f>IF($C413="","",$A413&amp;"|"&amp;RIGHT("000000"&amp;$C413,6))</f>
        <v/>
      </c>
      <c r="E413">
        <f>IF(Entry!$B416="","",IF(ISNUMBER(Entry!$B416),IF(AND(Entry!$B416&gt;=10000101,Entry!$B416&lt;=99991231),INT(Entry!$B416/10000)&amp;"/"&amp;RIGHT("00"&amp;INT(MOD(Entry!$B416,10000)/100),2)&amp;"/"&amp;RIGHT("00"&amp;MOD(Entry!$B416,100),2),"نامعتبر"),IF(LEN(Entry!$B416)=10,Entry!$B416,"نامعتبر")))</f>
        <v/>
      </c>
      <c r="F413">
        <f>IF(Entry!$B416="","",IF(Entry!$C416="","0000",IF(AND(ISNUMBER(Entry!$C416),Entry!$C416&gt;=0,Entry!$C416&lt;1),RIGHT("00"&amp;HOUR(Entry!$C416),2)&amp;RIGHT("00"&amp;MINUTE(Entry!$C416),2),IFERROR(RIGHT("00"&amp;VALUE(LEFT(Entry!$C416,FIND(":",Entry!$C416)-1)),2)&amp;RIGHT("00"&amp;VALUE(MID(Entry!$C416,FIND(":",Entry!$C416)+1,2)),2),"0000"))))</f>
        <v/>
      </c>
      <c r="G413">
        <f>IF($A413="","",Entry!$G416)</f>
        <v/>
      </c>
      <c r="H413">
        <f>IF($A413="","",IF(Entry!$H416="",0,Entry!$H416))</f>
        <v/>
      </c>
      <c r="I413">
        <f>IF($A413="","",IF(Entry!$I416="",0,Entry!$I416))</f>
        <v/>
      </c>
      <c r="J413">
        <f>IF($A413="","",ROUND($H413*$I413,0))</f>
        <v/>
      </c>
      <c r="K413">
        <f>IF($A413="","",Entry!$D416)</f>
        <v/>
      </c>
      <c r="L413">
        <f>IF($A413="","",Entry!$L416)</f>
        <v/>
      </c>
      <c r="N413">
        <f>IF(OR(Sync!$M413="",$Q413="",$Q413="نامعتبر"),"",Sync!$M413)</f>
        <v/>
      </c>
      <c r="O413">
        <f>IF($N413="","",$Q413)</f>
        <v/>
      </c>
      <c r="P413">
        <f>IF($N413="","",LEFT($Q413,4)&amp;MID($Q413,6,2)&amp;RIGHT($Q413,2)&amp;IF(Sync!$K413="","0000",IF(AND(ISNUMBER(Sync!$K413),Sync!$K413&gt;=0,Sync!$K413&lt;1),RIGHT("00"&amp;HOUR(Sync!$K413),2)&amp;RIGHT("00"&amp;MINUTE(Sync!$K413),2),IFERROR(RIGHT("00"&amp;VALUE(LEFT(Sync!$K413,FIND(":",Sync!$K413)-1)),2)&amp;RIGHT("00"&amp;VALUE(MID(Sync!$K413,FIND(":",Sync!$K413)+1,2)),2),"0000")))&amp;"|"&amp;"2"&amp;RIGHT("00000"&amp;408,5))</f>
        <v/>
      </c>
      <c r="Q413">
        <f>IF(Sync!$J413="","",IF(ISNUMBER(Sync!$J413),IF(AND(Sync!$J413&gt;=10000101,Sync!$J413&lt;=99991231),INT(Sync!$J413/10000)&amp;"/"&amp;RIGHT("00"&amp;INT(MOD(Sync!$J413,10000)/100),2)&amp;"/"&amp;RIGHT("00"&amp;MOD(Sync!$J413,100),2),"نامعتبر"),IF(LEN(Sync!$J413)=10,Sync!$J413,"نامعتبر")))</f>
        <v/>
      </c>
      <c r="R413">
        <f>IF($P413="","",COUNTIFS($N$6:$N$2005,$N413,$P$6:$P$2005,"&lt;"&amp;$P413)+COUNTIFS($A$6:$A$1005,$N413,$B$6:$B$1005,"&lt;"&amp;$P413)+1)</f>
        <v/>
      </c>
      <c r="S413">
        <f>IF($N413="","",$N413&amp;"|"&amp;RIGHT("000000"&amp;$R413,6))</f>
        <v/>
      </c>
      <c r="T413">
        <f>IF($N413="","",IF(Sync!$N413="",0,Sync!$N413))</f>
        <v/>
      </c>
      <c r="U413">
        <f>IF($N413="","",IF(Sync!$O413="",0,Sync!$O413))</f>
        <v/>
      </c>
      <c r="V413">
        <f>IF($N413="","",Sync!$L413)</f>
        <v/>
      </c>
      <c r="W413">
        <f>IF($N413="","",Sync!$P413)</f>
        <v/>
      </c>
      <c r="AA413">
        <f>IF($A413="","",IF(COUNTIF($A$6:$A413,$A413)=1,1,0))</f>
        <v/>
      </c>
      <c r="AB413">
        <f>SUM($AA$6:$AA413)</f>
        <v/>
      </c>
      <c r="AC413">
        <f>IFERROR(INDEX($A$6:$A$1005,MATCH(ROW()-5,$AB$6:$AB$1005,0)),"")</f>
        <v/>
      </c>
    </row>
    <row r="414">
      <c r="A414">
        <f>IF(OR(Entry!$B417="",Entry!$E417="",$E414="نامعتبر"),"",Entry!$E417)</f>
        <v/>
      </c>
      <c r="B414">
        <f>IF($A414="","",LEFT($E414,4)&amp;MID($E414,6,2)&amp;RIGHT($E414,2)&amp;$F414&amp;"|"&amp;"1"&amp;RIGHT("00000"&amp;409,5))</f>
        <v/>
      </c>
      <c r="C414">
        <f>IF($B414="","",COUNTIFS($A$6:$A$1005,$A414,$B$6:$B$1005,"&lt;"&amp;$B414)+COUNTIFS($N$6:$N$2005,$A414,$P$6:$P$2005,"&lt;"&amp;$B414)+1)</f>
        <v/>
      </c>
      <c r="D414">
        <f>IF($C414="","",$A414&amp;"|"&amp;RIGHT("000000"&amp;$C414,6))</f>
        <v/>
      </c>
      <c r="E414">
        <f>IF(Entry!$B417="","",IF(ISNUMBER(Entry!$B417),IF(AND(Entry!$B417&gt;=10000101,Entry!$B417&lt;=99991231),INT(Entry!$B417/10000)&amp;"/"&amp;RIGHT("00"&amp;INT(MOD(Entry!$B417,10000)/100),2)&amp;"/"&amp;RIGHT("00"&amp;MOD(Entry!$B417,100),2),"نامعتبر"),IF(LEN(Entry!$B417)=10,Entry!$B417,"نامعتبر")))</f>
        <v/>
      </c>
      <c r="F414">
        <f>IF(Entry!$B417="","",IF(Entry!$C417="","0000",IF(AND(ISNUMBER(Entry!$C417),Entry!$C417&gt;=0,Entry!$C417&lt;1),RIGHT("00"&amp;HOUR(Entry!$C417),2)&amp;RIGHT("00"&amp;MINUTE(Entry!$C417),2),IFERROR(RIGHT("00"&amp;VALUE(LEFT(Entry!$C417,FIND(":",Entry!$C417)-1)),2)&amp;RIGHT("00"&amp;VALUE(MID(Entry!$C417,FIND(":",Entry!$C417)+1,2)),2),"0000"))))</f>
        <v/>
      </c>
      <c r="G414">
        <f>IF($A414="","",Entry!$G417)</f>
        <v/>
      </c>
      <c r="H414">
        <f>IF($A414="","",IF(Entry!$H417="",0,Entry!$H417))</f>
        <v/>
      </c>
      <c r="I414">
        <f>IF($A414="","",IF(Entry!$I417="",0,Entry!$I417))</f>
        <v/>
      </c>
      <c r="J414">
        <f>IF($A414="","",ROUND($H414*$I414,0))</f>
        <v/>
      </c>
      <c r="K414">
        <f>IF($A414="","",Entry!$D417)</f>
        <v/>
      </c>
      <c r="L414">
        <f>IF($A414="","",Entry!$L417)</f>
        <v/>
      </c>
      <c r="N414">
        <f>IF(OR(Sync!$M414="",$Q414="",$Q414="نامعتبر"),"",Sync!$M414)</f>
        <v/>
      </c>
      <c r="O414">
        <f>IF($N414="","",$Q414)</f>
        <v/>
      </c>
      <c r="P414">
        <f>IF($N414="","",LEFT($Q414,4)&amp;MID($Q414,6,2)&amp;RIGHT($Q414,2)&amp;IF(Sync!$K414="","0000",IF(AND(ISNUMBER(Sync!$K414),Sync!$K414&gt;=0,Sync!$K414&lt;1),RIGHT("00"&amp;HOUR(Sync!$K414),2)&amp;RIGHT("00"&amp;MINUTE(Sync!$K414),2),IFERROR(RIGHT("00"&amp;VALUE(LEFT(Sync!$K414,FIND(":",Sync!$K414)-1)),2)&amp;RIGHT("00"&amp;VALUE(MID(Sync!$K414,FIND(":",Sync!$K414)+1,2)),2),"0000")))&amp;"|"&amp;"2"&amp;RIGHT("00000"&amp;409,5))</f>
        <v/>
      </c>
      <c r="Q414">
        <f>IF(Sync!$J414="","",IF(ISNUMBER(Sync!$J414),IF(AND(Sync!$J414&gt;=10000101,Sync!$J414&lt;=99991231),INT(Sync!$J414/10000)&amp;"/"&amp;RIGHT("00"&amp;INT(MOD(Sync!$J414,10000)/100),2)&amp;"/"&amp;RIGHT("00"&amp;MOD(Sync!$J414,100),2),"نامعتبر"),IF(LEN(Sync!$J414)=10,Sync!$J414,"نامعتبر")))</f>
        <v/>
      </c>
      <c r="R414">
        <f>IF($P414="","",COUNTIFS($N$6:$N$2005,$N414,$P$6:$P$2005,"&lt;"&amp;$P414)+COUNTIFS($A$6:$A$1005,$N414,$B$6:$B$1005,"&lt;"&amp;$P414)+1)</f>
        <v/>
      </c>
      <c r="S414">
        <f>IF($N414="","",$N414&amp;"|"&amp;RIGHT("000000"&amp;$R414,6))</f>
        <v/>
      </c>
      <c r="T414">
        <f>IF($N414="","",IF(Sync!$N414="",0,Sync!$N414))</f>
        <v/>
      </c>
      <c r="U414">
        <f>IF($N414="","",IF(Sync!$O414="",0,Sync!$O414))</f>
        <v/>
      </c>
      <c r="V414">
        <f>IF($N414="","",Sync!$L414)</f>
        <v/>
      </c>
      <c r="W414">
        <f>IF($N414="","",Sync!$P414)</f>
        <v/>
      </c>
      <c r="AA414">
        <f>IF($A414="","",IF(COUNTIF($A$6:$A414,$A414)=1,1,0))</f>
        <v/>
      </c>
      <c r="AB414">
        <f>SUM($AA$6:$AA414)</f>
        <v/>
      </c>
      <c r="AC414">
        <f>IFERROR(INDEX($A$6:$A$1005,MATCH(ROW()-5,$AB$6:$AB$1005,0)),"")</f>
        <v/>
      </c>
    </row>
    <row r="415">
      <c r="A415">
        <f>IF(OR(Entry!$B418="",Entry!$E418="",$E415="نامعتبر"),"",Entry!$E418)</f>
        <v/>
      </c>
      <c r="B415">
        <f>IF($A415="","",LEFT($E415,4)&amp;MID($E415,6,2)&amp;RIGHT($E415,2)&amp;$F415&amp;"|"&amp;"1"&amp;RIGHT("00000"&amp;410,5))</f>
        <v/>
      </c>
      <c r="C415">
        <f>IF($B415="","",COUNTIFS($A$6:$A$1005,$A415,$B$6:$B$1005,"&lt;"&amp;$B415)+COUNTIFS($N$6:$N$2005,$A415,$P$6:$P$2005,"&lt;"&amp;$B415)+1)</f>
        <v/>
      </c>
      <c r="D415">
        <f>IF($C415="","",$A415&amp;"|"&amp;RIGHT("000000"&amp;$C415,6))</f>
        <v/>
      </c>
      <c r="E415">
        <f>IF(Entry!$B418="","",IF(ISNUMBER(Entry!$B418),IF(AND(Entry!$B418&gt;=10000101,Entry!$B418&lt;=99991231),INT(Entry!$B418/10000)&amp;"/"&amp;RIGHT("00"&amp;INT(MOD(Entry!$B418,10000)/100),2)&amp;"/"&amp;RIGHT("00"&amp;MOD(Entry!$B418,100),2),"نامعتبر"),IF(LEN(Entry!$B418)=10,Entry!$B418,"نامعتبر")))</f>
        <v/>
      </c>
      <c r="F415">
        <f>IF(Entry!$B418="","",IF(Entry!$C418="","0000",IF(AND(ISNUMBER(Entry!$C418),Entry!$C418&gt;=0,Entry!$C418&lt;1),RIGHT("00"&amp;HOUR(Entry!$C418),2)&amp;RIGHT("00"&amp;MINUTE(Entry!$C418),2),IFERROR(RIGHT("00"&amp;VALUE(LEFT(Entry!$C418,FIND(":",Entry!$C418)-1)),2)&amp;RIGHT("00"&amp;VALUE(MID(Entry!$C418,FIND(":",Entry!$C418)+1,2)),2),"0000"))))</f>
        <v/>
      </c>
      <c r="G415">
        <f>IF($A415="","",Entry!$G418)</f>
        <v/>
      </c>
      <c r="H415">
        <f>IF($A415="","",IF(Entry!$H418="",0,Entry!$H418))</f>
        <v/>
      </c>
      <c r="I415">
        <f>IF($A415="","",IF(Entry!$I418="",0,Entry!$I418))</f>
        <v/>
      </c>
      <c r="J415">
        <f>IF($A415="","",ROUND($H415*$I415,0))</f>
        <v/>
      </c>
      <c r="K415">
        <f>IF($A415="","",Entry!$D418)</f>
        <v/>
      </c>
      <c r="L415">
        <f>IF($A415="","",Entry!$L418)</f>
        <v/>
      </c>
      <c r="N415">
        <f>IF(OR(Sync!$M415="",$Q415="",$Q415="نامعتبر"),"",Sync!$M415)</f>
        <v/>
      </c>
      <c r="O415">
        <f>IF($N415="","",$Q415)</f>
        <v/>
      </c>
      <c r="P415">
        <f>IF($N415="","",LEFT($Q415,4)&amp;MID($Q415,6,2)&amp;RIGHT($Q415,2)&amp;IF(Sync!$K415="","0000",IF(AND(ISNUMBER(Sync!$K415),Sync!$K415&gt;=0,Sync!$K415&lt;1),RIGHT("00"&amp;HOUR(Sync!$K415),2)&amp;RIGHT("00"&amp;MINUTE(Sync!$K415),2),IFERROR(RIGHT("00"&amp;VALUE(LEFT(Sync!$K415,FIND(":",Sync!$K415)-1)),2)&amp;RIGHT("00"&amp;VALUE(MID(Sync!$K415,FIND(":",Sync!$K415)+1,2)),2),"0000")))&amp;"|"&amp;"2"&amp;RIGHT("00000"&amp;410,5))</f>
        <v/>
      </c>
      <c r="Q415">
        <f>IF(Sync!$J415="","",IF(ISNUMBER(Sync!$J415),IF(AND(Sync!$J415&gt;=10000101,Sync!$J415&lt;=99991231),INT(Sync!$J415/10000)&amp;"/"&amp;RIGHT("00"&amp;INT(MOD(Sync!$J415,10000)/100),2)&amp;"/"&amp;RIGHT("00"&amp;MOD(Sync!$J415,100),2),"نامعتبر"),IF(LEN(Sync!$J415)=10,Sync!$J415,"نامعتبر")))</f>
        <v/>
      </c>
      <c r="R415">
        <f>IF($P415="","",COUNTIFS($N$6:$N$2005,$N415,$P$6:$P$2005,"&lt;"&amp;$P415)+COUNTIFS($A$6:$A$1005,$N415,$B$6:$B$1005,"&lt;"&amp;$P415)+1)</f>
        <v/>
      </c>
      <c r="S415">
        <f>IF($N415="","",$N415&amp;"|"&amp;RIGHT("000000"&amp;$R415,6))</f>
        <v/>
      </c>
      <c r="T415">
        <f>IF($N415="","",IF(Sync!$N415="",0,Sync!$N415))</f>
        <v/>
      </c>
      <c r="U415">
        <f>IF($N415="","",IF(Sync!$O415="",0,Sync!$O415))</f>
        <v/>
      </c>
      <c r="V415">
        <f>IF($N415="","",Sync!$L415)</f>
        <v/>
      </c>
      <c r="W415">
        <f>IF($N415="","",Sync!$P415)</f>
        <v/>
      </c>
      <c r="AA415">
        <f>IF($A415="","",IF(COUNTIF($A$6:$A415,$A415)=1,1,0))</f>
        <v/>
      </c>
      <c r="AB415">
        <f>SUM($AA$6:$AA415)</f>
        <v/>
      </c>
      <c r="AC415">
        <f>IFERROR(INDEX($A$6:$A$1005,MATCH(ROW()-5,$AB$6:$AB$1005,0)),"")</f>
        <v/>
      </c>
    </row>
    <row r="416">
      <c r="A416">
        <f>IF(OR(Entry!$B419="",Entry!$E419="",$E416="نامعتبر"),"",Entry!$E419)</f>
        <v/>
      </c>
      <c r="B416">
        <f>IF($A416="","",LEFT($E416,4)&amp;MID($E416,6,2)&amp;RIGHT($E416,2)&amp;$F416&amp;"|"&amp;"1"&amp;RIGHT("00000"&amp;411,5))</f>
        <v/>
      </c>
      <c r="C416">
        <f>IF($B416="","",COUNTIFS($A$6:$A$1005,$A416,$B$6:$B$1005,"&lt;"&amp;$B416)+COUNTIFS($N$6:$N$2005,$A416,$P$6:$P$2005,"&lt;"&amp;$B416)+1)</f>
        <v/>
      </c>
      <c r="D416">
        <f>IF($C416="","",$A416&amp;"|"&amp;RIGHT("000000"&amp;$C416,6))</f>
        <v/>
      </c>
      <c r="E416">
        <f>IF(Entry!$B419="","",IF(ISNUMBER(Entry!$B419),IF(AND(Entry!$B419&gt;=10000101,Entry!$B419&lt;=99991231),INT(Entry!$B419/10000)&amp;"/"&amp;RIGHT("00"&amp;INT(MOD(Entry!$B419,10000)/100),2)&amp;"/"&amp;RIGHT("00"&amp;MOD(Entry!$B419,100),2),"نامعتبر"),IF(LEN(Entry!$B419)=10,Entry!$B419,"نامعتبر")))</f>
        <v/>
      </c>
      <c r="F416">
        <f>IF(Entry!$B419="","",IF(Entry!$C419="","0000",IF(AND(ISNUMBER(Entry!$C419),Entry!$C419&gt;=0,Entry!$C419&lt;1),RIGHT("00"&amp;HOUR(Entry!$C419),2)&amp;RIGHT("00"&amp;MINUTE(Entry!$C419),2),IFERROR(RIGHT("00"&amp;VALUE(LEFT(Entry!$C419,FIND(":",Entry!$C419)-1)),2)&amp;RIGHT("00"&amp;VALUE(MID(Entry!$C419,FIND(":",Entry!$C419)+1,2)),2),"0000"))))</f>
        <v/>
      </c>
      <c r="G416">
        <f>IF($A416="","",Entry!$G419)</f>
        <v/>
      </c>
      <c r="H416">
        <f>IF($A416="","",IF(Entry!$H419="",0,Entry!$H419))</f>
        <v/>
      </c>
      <c r="I416">
        <f>IF($A416="","",IF(Entry!$I419="",0,Entry!$I419))</f>
        <v/>
      </c>
      <c r="J416">
        <f>IF($A416="","",ROUND($H416*$I416,0))</f>
        <v/>
      </c>
      <c r="K416">
        <f>IF($A416="","",Entry!$D419)</f>
        <v/>
      </c>
      <c r="L416">
        <f>IF($A416="","",Entry!$L419)</f>
        <v/>
      </c>
      <c r="N416">
        <f>IF(OR(Sync!$M416="",$Q416="",$Q416="نامعتبر"),"",Sync!$M416)</f>
        <v/>
      </c>
      <c r="O416">
        <f>IF($N416="","",$Q416)</f>
        <v/>
      </c>
      <c r="P416">
        <f>IF($N416="","",LEFT($Q416,4)&amp;MID($Q416,6,2)&amp;RIGHT($Q416,2)&amp;IF(Sync!$K416="","0000",IF(AND(ISNUMBER(Sync!$K416),Sync!$K416&gt;=0,Sync!$K416&lt;1),RIGHT("00"&amp;HOUR(Sync!$K416),2)&amp;RIGHT("00"&amp;MINUTE(Sync!$K416),2),IFERROR(RIGHT("00"&amp;VALUE(LEFT(Sync!$K416,FIND(":",Sync!$K416)-1)),2)&amp;RIGHT("00"&amp;VALUE(MID(Sync!$K416,FIND(":",Sync!$K416)+1,2)),2),"0000")))&amp;"|"&amp;"2"&amp;RIGHT("00000"&amp;411,5))</f>
        <v/>
      </c>
      <c r="Q416">
        <f>IF(Sync!$J416="","",IF(ISNUMBER(Sync!$J416),IF(AND(Sync!$J416&gt;=10000101,Sync!$J416&lt;=99991231),INT(Sync!$J416/10000)&amp;"/"&amp;RIGHT("00"&amp;INT(MOD(Sync!$J416,10000)/100),2)&amp;"/"&amp;RIGHT("00"&amp;MOD(Sync!$J416,100),2),"نامعتبر"),IF(LEN(Sync!$J416)=10,Sync!$J416,"نامعتبر")))</f>
        <v/>
      </c>
      <c r="R416">
        <f>IF($P416="","",COUNTIFS($N$6:$N$2005,$N416,$P$6:$P$2005,"&lt;"&amp;$P416)+COUNTIFS($A$6:$A$1005,$N416,$B$6:$B$1005,"&lt;"&amp;$P416)+1)</f>
        <v/>
      </c>
      <c r="S416">
        <f>IF($N416="","",$N416&amp;"|"&amp;RIGHT("000000"&amp;$R416,6))</f>
        <v/>
      </c>
      <c r="T416">
        <f>IF($N416="","",IF(Sync!$N416="",0,Sync!$N416))</f>
        <v/>
      </c>
      <c r="U416">
        <f>IF($N416="","",IF(Sync!$O416="",0,Sync!$O416))</f>
        <v/>
      </c>
      <c r="V416">
        <f>IF($N416="","",Sync!$L416)</f>
        <v/>
      </c>
      <c r="W416">
        <f>IF($N416="","",Sync!$P416)</f>
        <v/>
      </c>
      <c r="AA416">
        <f>IF($A416="","",IF(COUNTIF($A$6:$A416,$A416)=1,1,0))</f>
        <v/>
      </c>
      <c r="AB416">
        <f>SUM($AA$6:$AA416)</f>
        <v/>
      </c>
      <c r="AC416">
        <f>IFERROR(INDEX($A$6:$A$1005,MATCH(ROW()-5,$AB$6:$AB$1005,0)),"")</f>
        <v/>
      </c>
    </row>
    <row r="417">
      <c r="A417">
        <f>IF(OR(Entry!$B420="",Entry!$E420="",$E417="نامعتبر"),"",Entry!$E420)</f>
        <v/>
      </c>
      <c r="B417">
        <f>IF($A417="","",LEFT($E417,4)&amp;MID($E417,6,2)&amp;RIGHT($E417,2)&amp;$F417&amp;"|"&amp;"1"&amp;RIGHT("00000"&amp;412,5))</f>
        <v/>
      </c>
      <c r="C417">
        <f>IF($B417="","",COUNTIFS($A$6:$A$1005,$A417,$B$6:$B$1005,"&lt;"&amp;$B417)+COUNTIFS($N$6:$N$2005,$A417,$P$6:$P$2005,"&lt;"&amp;$B417)+1)</f>
        <v/>
      </c>
      <c r="D417">
        <f>IF($C417="","",$A417&amp;"|"&amp;RIGHT("000000"&amp;$C417,6))</f>
        <v/>
      </c>
      <c r="E417">
        <f>IF(Entry!$B420="","",IF(ISNUMBER(Entry!$B420),IF(AND(Entry!$B420&gt;=10000101,Entry!$B420&lt;=99991231),INT(Entry!$B420/10000)&amp;"/"&amp;RIGHT("00"&amp;INT(MOD(Entry!$B420,10000)/100),2)&amp;"/"&amp;RIGHT("00"&amp;MOD(Entry!$B420,100),2),"نامعتبر"),IF(LEN(Entry!$B420)=10,Entry!$B420,"نامعتبر")))</f>
        <v/>
      </c>
      <c r="F417">
        <f>IF(Entry!$B420="","",IF(Entry!$C420="","0000",IF(AND(ISNUMBER(Entry!$C420),Entry!$C420&gt;=0,Entry!$C420&lt;1),RIGHT("00"&amp;HOUR(Entry!$C420),2)&amp;RIGHT("00"&amp;MINUTE(Entry!$C420),2),IFERROR(RIGHT("00"&amp;VALUE(LEFT(Entry!$C420,FIND(":",Entry!$C420)-1)),2)&amp;RIGHT("00"&amp;VALUE(MID(Entry!$C420,FIND(":",Entry!$C420)+1,2)),2),"0000"))))</f>
        <v/>
      </c>
      <c r="G417">
        <f>IF($A417="","",Entry!$G420)</f>
        <v/>
      </c>
      <c r="H417">
        <f>IF($A417="","",IF(Entry!$H420="",0,Entry!$H420))</f>
        <v/>
      </c>
      <c r="I417">
        <f>IF($A417="","",IF(Entry!$I420="",0,Entry!$I420))</f>
        <v/>
      </c>
      <c r="J417">
        <f>IF($A417="","",ROUND($H417*$I417,0))</f>
        <v/>
      </c>
      <c r="K417">
        <f>IF($A417="","",Entry!$D420)</f>
        <v/>
      </c>
      <c r="L417">
        <f>IF($A417="","",Entry!$L420)</f>
        <v/>
      </c>
      <c r="N417">
        <f>IF(OR(Sync!$M417="",$Q417="",$Q417="نامعتبر"),"",Sync!$M417)</f>
        <v/>
      </c>
      <c r="O417">
        <f>IF($N417="","",$Q417)</f>
        <v/>
      </c>
      <c r="P417">
        <f>IF($N417="","",LEFT($Q417,4)&amp;MID($Q417,6,2)&amp;RIGHT($Q417,2)&amp;IF(Sync!$K417="","0000",IF(AND(ISNUMBER(Sync!$K417),Sync!$K417&gt;=0,Sync!$K417&lt;1),RIGHT("00"&amp;HOUR(Sync!$K417),2)&amp;RIGHT("00"&amp;MINUTE(Sync!$K417),2),IFERROR(RIGHT("00"&amp;VALUE(LEFT(Sync!$K417,FIND(":",Sync!$K417)-1)),2)&amp;RIGHT("00"&amp;VALUE(MID(Sync!$K417,FIND(":",Sync!$K417)+1,2)),2),"0000")))&amp;"|"&amp;"2"&amp;RIGHT("00000"&amp;412,5))</f>
        <v/>
      </c>
      <c r="Q417">
        <f>IF(Sync!$J417="","",IF(ISNUMBER(Sync!$J417),IF(AND(Sync!$J417&gt;=10000101,Sync!$J417&lt;=99991231),INT(Sync!$J417/10000)&amp;"/"&amp;RIGHT("00"&amp;INT(MOD(Sync!$J417,10000)/100),2)&amp;"/"&amp;RIGHT("00"&amp;MOD(Sync!$J417,100),2),"نامعتبر"),IF(LEN(Sync!$J417)=10,Sync!$J417,"نامعتبر")))</f>
        <v/>
      </c>
      <c r="R417">
        <f>IF($P417="","",COUNTIFS($N$6:$N$2005,$N417,$P$6:$P$2005,"&lt;"&amp;$P417)+COUNTIFS($A$6:$A$1005,$N417,$B$6:$B$1005,"&lt;"&amp;$P417)+1)</f>
        <v/>
      </c>
      <c r="S417">
        <f>IF($N417="","",$N417&amp;"|"&amp;RIGHT("000000"&amp;$R417,6))</f>
        <v/>
      </c>
      <c r="T417">
        <f>IF($N417="","",IF(Sync!$N417="",0,Sync!$N417))</f>
        <v/>
      </c>
      <c r="U417">
        <f>IF($N417="","",IF(Sync!$O417="",0,Sync!$O417))</f>
        <v/>
      </c>
      <c r="V417">
        <f>IF($N417="","",Sync!$L417)</f>
        <v/>
      </c>
      <c r="W417">
        <f>IF($N417="","",Sync!$P417)</f>
        <v/>
      </c>
      <c r="AA417">
        <f>IF($A417="","",IF(COUNTIF($A$6:$A417,$A417)=1,1,0))</f>
        <v/>
      </c>
      <c r="AB417">
        <f>SUM($AA$6:$AA417)</f>
        <v/>
      </c>
      <c r="AC417">
        <f>IFERROR(INDEX($A$6:$A$1005,MATCH(ROW()-5,$AB$6:$AB$1005,0)),"")</f>
        <v/>
      </c>
    </row>
    <row r="418">
      <c r="A418">
        <f>IF(OR(Entry!$B421="",Entry!$E421="",$E418="نامعتبر"),"",Entry!$E421)</f>
        <v/>
      </c>
      <c r="B418">
        <f>IF($A418="","",LEFT($E418,4)&amp;MID($E418,6,2)&amp;RIGHT($E418,2)&amp;$F418&amp;"|"&amp;"1"&amp;RIGHT("00000"&amp;413,5))</f>
        <v/>
      </c>
      <c r="C418">
        <f>IF($B418="","",COUNTIFS($A$6:$A$1005,$A418,$B$6:$B$1005,"&lt;"&amp;$B418)+COUNTIFS($N$6:$N$2005,$A418,$P$6:$P$2005,"&lt;"&amp;$B418)+1)</f>
        <v/>
      </c>
      <c r="D418">
        <f>IF($C418="","",$A418&amp;"|"&amp;RIGHT("000000"&amp;$C418,6))</f>
        <v/>
      </c>
      <c r="E418">
        <f>IF(Entry!$B421="","",IF(ISNUMBER(Entry!$B421),IF(AND(Entry!$B421&gt;=10000101,Entry!$B421&lt;=99991231),INT(Entry!$B421/10000)&amp;"/"&amp;RIGHT("00"&amp;INT(MOD(Entry!$B421,10000)/100),2)&amp;"/"&amp;RIGHT("00"&amp;MOD(Entry!$B421,100),2),"نامعتبر"),IF(LEN(Entry!$B421)=10,Entry!$B421,"نامعتبر")))</f>
        <v/>
      </c>
      <c r="F418">
        <f>IF(Entry!$B421="","",IF(Entry!$C421="","0000",IF(AND(ISNUMBER(Entry!$C421),Entry!$C421&gt;=0,Entry!$C421&lt;1),RIGHT("00"&amp;HOUR(Entry!$C421),2)&amp;RIGHT("00"&amp;MINUTE(Entry!$C421),2),IFERROR(RIGHT("00"&amp;VALUE(LEFT(Entry!$C421,FIND(":",Entry!$C421)-1)),2)&amp;RIGHT("00"&amp;VALUE(MID(Entry!$C421,FIND(":",Entry!$C421)+1,2)),2),"0000"))))</f>
        <v/>
      </c>
      <c r="G418">
        <f>IF($A418="","",Entry!$G421)</f>
        <v/>
      </c>
      <c r="H418">
        <f>IF($A418="","",IF(Entry!$H421="",0,Entry!$H421))</f>
        <v/>
      </c>
      <c r="I418">
        <f>IF($A418="","",IF(Entry!$I421="",0,Entry!$I421))</f>
        <v/>
      </c>
      <c r="J418">
        <f>IF($A418="","",ROUND($H418*$I418,0))</f>
        <v/>
      </c>
      <c r="K418">
        <f>IF($A418="","",Entry!$D421)</f>
        <v/>
      </c>
      <c r="L418">
        <f>IF($A418="","",Entry!$L421)</f>
        <v/>
      </c>
      <c r="N418">
        <f>IF(OR(Sync!$M418="",$Q418="",$Q418="نامعتبر"),"",Sync!$M418)</f>
        <v/>
      </c>
      <c r="O418">
        <f>IF($N418="","",$Q418)</f>
        <v/>
      </c>
      <c r="P418">
        <f>IF($N418="","",LEFT($Q418,4)&amp;MID($Q418,6,2)&amp;RIGHT($Q418,2)&amp;IF(Sync!$K418="","0000",IF(AND(ISNUMBER(Sync!$K418),Sync!$K418&gt;=0,Sync!$K418&lt;1),RIGHT("00"&amp;HOUR(Sync!$K418),2)&amp;RIGHT("00"&amp;MINUTE(Sync!$K418),2),IFERROR(RIGHT("00"&amp;VALUE(LEFT(Sync!$K418,FIND(":",Sync!$K418)-1)),2)&amp;RIGHT("00"&amp;VALUE(MID(Sync!$K418,FIND(":",Sync!$K418)+1,2)),2),"0000")))&amp;"|"&amp;"2"&amp;RIGHT("00000"&amp;413,5))</f>
        <v/>
      </c>
      <c r="Q418">
        <f>IF(Sync!$J418="","",IF(ISNUMBER(Sync!$J418),IF(AND(Sync!$J418&gt;=10000101,Sync!$J418&lt;=99991231),INT(Sync!$J418/10000)&amp;"/"&amp;RIGHT("00"&amp;INT(MOD(Sync!$J418,10000)/100),2)&amp;"/"&amp;RIGHT("00"&amp;MOD(Sync!$J418,100),2),"نامعتبر"),IF(LEN(Sync!$J418)=10,Sync!$J418,"نامعتبر")))</f>
        <v/>
      </c>
      <c r="R418">
        <f>IF($P418="","",COUNTIFS($N$6:$N$2005,$N418,$P$6:$P$2005,"&lt;"&amp;$P418)+COUNTIFS($A$6:$A$1005,$N418,$B$6:$B$1005,"&lt;"&amp;$P418)+1)</f>
        <v/>
      </c>
      <c r="S418">
        <f>IF($N418="","",$N418&amp;"|"&amp;RIGHT("000000"&amp;$R418,6))</f>
        <v/>
      </c>
      <c r="T418">
        <f>IF($N418="","",IF(Sync!$N418="",0,Sync!$N418))</f>
        <v/>
      </c>
      <c r="U418">
        <f>IF($N418="","",IF(Sync!$O418="",0,Sync!$O418))</f>
        <v/>
      </c>
      <c r="V418">
        <f>IF($N418="","",Sync!$L418)</f>
        <v/>
      </c>
      <c r="W418">
        <f>IF($N418="","",Sync!$P418)</f>
        <v/>
      </c>
      <c r="AA418">
        <f>IF($A418="","",IF(COUNTIF($A$6:$A418,$A418)=1,1,0))</f>
        <v/>
      </c>
      <c r="AB418">
        <f>SUM($AA$6:$AA418)</f>
        <v/>
      </c>
      <c r="AC418">
        <f>IFERROR(INDEX($A$6:$A$1005,MATCH(ROW()-5,$AB$6:$AB$1005,0)),"")</f>
        <v/>
      </c>
    </row>
    <row r="419">
      <c r="A419">
        <f>IF(OR(Entry!$B422="",Entry!$E422="",$E419="نامعتبر"),"",Entry!$E422)</f>
        <v/>
      </c>
      <c r="B419">
        <f>IF($A419="","",LEFT($E419,4)&amp;MID($E419,6,2)&amp;RIGHT($E419,2)&amp;$F419&amp;"|"&amp;"1"&amp;RIGHT("00000"&amp;414,5))</f>
        <v/>
      </c>
      <c r="C419">
        <f>IF($B419="","",COUNTIFS($A$6:$A$1005,$A419,$B$6:$B$1005,"&lt;"&amp;$B419)+COUNTIFS($N$6:$N$2005,$A419,$P$6:$P$2005,"&lt;"&amp;$B419)+1)</f>
        <v/>
      </c>
      <c r="D419">
        <f>IF($C419="","",$A419&amp;"|"&amp;RIGHT("000000"&amp;$C419,6))</f>
        <v/>
      </c>
      <c r="E419">
        <f>IF(Entry!$B422="","",IF(ISNUMBER(Entry!$B422),IF(AND(Entry!$B422&gt;=10000101,Entry!$B422&lt;=99991231),INT(Entry!$B422/10000)&amp;"/"&amp;RIGHT("00"&amp;INT(MOD(Entry!$B422,10000)/100),2)&amp;"/"&amp;RIGHT("00"&amp;MOD(Entry!$B422,100),2),"نامعتبر"),IF(LEN(Entry!$B422)=10,Entry!$B422,"نامعتبر")))</f>
        <v/>
      </c>
      <c r="F419">
        <f>IF(Entry!$B422="","",IF(Entry!$C422="","0000",IF(AND(ISNUMBER(Entry!$C422),Entry!$C422&gt;=0,Entry!$C422&lt;1),RIGHT("00"&amp;HOUR(Entry!$C422),2)&amp;RIGHT("00"&amp;MINUTE(Entry!$C422),2),IFERROR(RIGHT("00"&amp;VALUE(LEFT(Entry!$C422,FIND(":",Entry!$C422)-1)),2)&amp;RIGHT("00"&amp;VALUE(MID(Entry!$C422,FIND(":",Entry!$C422)+1,2)),2),"0000"))))</f>
        <v/>
      </c>
      <c r="G419">
        <f>IF($A419="","",Entry!$G422)</f>
        <v/>
      </c>
      <c r="H419">
        <f>IF($A419="","",IF(Entry!$H422="",0,Entry!$H422))</f>
        <v/>
      </c>
      <c r="I419">
        <f>IF($A419="","",IF(Entry!$I422="",0,Entry!$I422))</f>
        <v/>
      </c>
      <c r="J419">
        <f>IF($A419="","",ROUND($H419*$I419,0))</f>
        <v/>
      </c>
      <c r="K419">
        <f>IF($A419="","",Entry!$D422)</f>
        <v/>
      </c>
      <c r="L419">
        <f>IF($A419="","",Entry!$L422)</f>
        <v/>
      </c>
      <c r="N419">
        <f>IF(OR(Sync!$M419="",$Q419="",$Q419="نامعتبر"),"",Sync!$M419)</f>
        <v/>
      </c>
      <c r="O419">
        <f>IF($N419="","",$Q419)</f>
        <v/>
      </c>
      <c r="P419">
        <f>IF($N419="","",LEFT($Q419,4)&amp;MID($Q419,6,2)&amp;RIGHT($Q419,2)&amp;IF(Sync!$K419="","0000",IF(AND(ISNUMBER(Sync!$K419),Sync!$K419&gt;=0,Sync!$K419&lt;1),RIGHT("00"&amp;HOUR(Sync!$K419),2)&amp;RIGHT("00"&amp;MINUTE(Sync!$K419),2),IFERROR(RIGHT("00"&amp;VALUE(LEFT(Sync!$K419,FIND(":",Sync!$K419)-1)),2)&amp;RIGHT("00"&amp;VALUE(MID(Sync!$K419,FIND(":",Sync!$K419)+1,2)),2),"0000")))&amp;"|"&amp;"2"&amp;RIGHT("00000"&amp;414,5))</f>
        <v/>
      </c>
      <c r="Q419">
        <f>IF(Sync!$J419="","",IF(ISNUMBER(Sync!$J419),IF(AND(Sync!$J419&gt;=10000101,Sync!$J419&lt;=99991231),INT(Sync!$J419/10000)&amp;"/"&amp;RIGHT("00"&amp;INT(MOD(Sync!$J419,10000)/100),2)&amp;"/"&amp;RIGHT("00"&amp;MOD(Sync!$J419,100),2),"نامعتبر"),IF(LEN(Sync!$J419)=10,Sync!$J419,"نامعتبر")))</f>
        <v/>
      </c>
      <c r="R419">
        <f>IF($P419="","",COUNTIFS($N$6:$N$2005,$N419,$P$6:$P$2005,"&lt;"&amp;$P419)+COUNTIFS($A$6:$A$1005,$N419,$B$6:$B$1005,"&lt;"&amp;$P419)+1)</f>
        <v/>
      </c>
      <c r="S419">
        <f>IF($N419="","",$N419&amp;"|"&amp;RIGHT("000000"&amp;$R419,6))</f>
        <v/>
      </c>
      <c r="T419">
        <f>IF($N419="","",IF(Sync!$N419="",0,Sync!$N419))</f>
        <v/>
      </c>
      <c r="U419">
        <f>IF($N419="","",IF(Sync!$O419="",0,Sync!$O419))</f>
        <v/>
      </c>
      <c r="V419">
        <f>IF($N419="","",Sync!$L419)</f>
        <v/>
      </c>
      <c r="W419">
        <f>IF($N419="","",Sync!$P419)</f>
        <v/>
      </c>
      <c r="AA419">
        <f>IF($A419="","",IF(COUNTIF($A$6:$A419,$A419)=1,1,0))</f>
        <v/>
      </c>
      <c r="AB419">
        <f>SUM($AA$6:$AA419)</f>
        <v/>
      </c>
      <c r="AC419">
        <f>IFERROR(INDEX($A$6:$A$1005,MATCH(ROW()-5,$AB$6:$AB$1005,0)),"")</f>
        <v/>
      </c>
    </row>
    <row r="420">
      <c r="A420">
        <f>IF(OR(Entry!$B423="",Entry!$E423="",$E420="نامعتبر"),"",Entry!$E423)</f>
        <v/>
      </c>
      <c r="B420">
        <f>IF($A420="","",LEFT($E420,4)&amp;MID($E420,6,2)&amp;RIGHT($E420,2)&amp;$F420&amp;"|"&amp;"1"&amp;RIGHT("00000"&amp;415,5))</f>
        <v/>
      </c>
      <c r="C420">
        <f>IF($B420="","",COUNTIFS($A$6:$A$1005,$A420,$B$6:$B$1005,"&lt;"&amp;$B420)+COUNTIFS($N$6:$N$2005,$A420,$P$6:$P$2005,"&lt;"&amp;$B420)+1)</f>
        <v/>
      </c>
      <c r="D420">
        <f>IF($C420="","",$A420&amp;"|"&amp;RIGHT("000000"&amp;$C420,6))</f>
        <v/>
      </c>
      <c r="E420">
        <f>IF(Entry!$B423="","",IF(ISNUMBER(Entry!$B423),IF(AND(Entry!$B423&gt;=10000101,Entry!$B423&lt;=99991231),INT(Entry!$B423/10000)&amp;"/"&amp;RIGHT("00"&amp;INT(MOD(Entry!$B423,10000)/100),2)&amp;"/"&amp;RIGHT("00"&amp;MOD(Entry!$B423,100),2),"نامعتبر"),IF(LEN(Entry!$B423)=10,Entry!$B423,"نامعتبر")))</f>
        <v/>
      </c>
      <c r="F420">
        <f>IF(Entry!$B423="","",IF(Entry!$C423="","0000",IF(AND(ISNUMBER(Entry!$C423),Entry!$C423&gt;=0,Entry!$C423&lt;1),RIGHT("00"&amp;HOUR(Entry!$C423),2)&amp;RIGHT("00"&amp;MINUTE(Entry!$C423),2),IFERROR(RIGHT("00"&amp;VALUE(LEFT(Entry!$C423,FIND(":",Entry!$C423)-1)),2)&amp;RIGHT("00"&amp;VALUE(MID(Entry!$C423,FIND(":",Entry!$C423)+1,2)),2),"0000"))))</f>
        <v/>
      </c>
      <c r="G420">
        <f>IF($A420="","",Entry!$G423)</f>
        <v/>
      </c>
      <c r="H420">
        <f>IF($A420="","",IF(Entry!$H423="",0,Entry!$H423))</f>
        <v/>
      </c>
      <c r="I420">
        <f>IF($A420="","",IF(Entry!$I423="",0,Entry!$I423))</f>
        <v/>
      </c>
      <c r="J420">
        <f>IF($A420="","",ROUND($H420*$I420,0))</f>
        <v/>
      </c>
      <c r="K420">
        <f>IF($A420="","",Entry!$D423)</f>
        <v/>
      </c>
      <c r="L420">
        <f>IF($A420="","",Entry!$L423)</f>
        <v/>
      </c>
      <c r="N420">
        <f>IF(OR(Sync!$M420="",$Q420="",$Q420="نامعتبر"),"",Sync!$M420)</f>
        <v/>
      </c>
      <c r="O420">
        <f>IF($N420="","",$Q420)</f>
        <v/>
      </c>
      <c r="P420">
        <f>IF($N420="","",LEFT($Q420,4)&amp;MID($Q420,6,2)&amp;RIGHT($Q420,2)&amp;IF(Sync!$K420="","0000",IF(AND(ISNUMBER(Sync!$K420),Sync!$K420&gt;=0,Sync!$K420&lt;1),RIGHT("00"&amp;HOUR(Sync!$K420),2)&amp;RIGHT("00"&amp;MINUTE(Sync!$K420),2),IFERROR(RIGHT("00"&amp;VALUE(LEFT(Sync!$K420,FIND(":",Sync!$K420)-1)),2)&amp;RIGHT("00"&amp;VALUE(MID(Sync!$K420,FIND(":",Sync!$K420)+1,2)),2),"0000")))&amp;"|"&amp;"2"&amp;RIGHT("00000"&amp;415,5))</f>
        <v/>
      </c>
      <c r="Q420">
        <f>IF(Sync!$J420="","",IF(ISNUMBER(Sync!$J420),IF(AND(Sync!$J420&gt;=10000101,Sync!$J420&lt;=99991231),INT(Sync!$J420/10000)&amp;"/"&amp;RIGHT("00"&amp;INT(MOD(Sync!$J420,10000)/100),2)&amp;"/"&amp;RIGHT("00"&amp;MOD(Sync!$J420,100),2),"نامعتبر"),IF(LEN(Sync!$J420)=10,Sync!$J420,"نامعتبر")))</f>
        <v/>
      </c>
      <c r="R420">
        <f>IF($P420="","",COUNTIFS($N$6:$N$2005,$N420,$P$6:$P$2005,"&lt;"&amp;$P420)+COUNTIFS($A$6:$A$1005,$N420,$B$6:$B$1005,"&lt;"&amp;$P420)+1)</f>
        <v/>
      </c>
      <c r="S420">
        <f>IF($N420="","",$N420&amp;"|"&amp;RIGHT("000000"&amp;$R420,6))</f>
        <v/>
      </c>
      <c r="T420">
        <f>IF($N420="","",IF(Sync!$N420="",0,Sync!$N420))</f>
        <v/>
      </c>
      <c r="U420">
        <f>IF($N420="","",IF(Sync!$O420="",0,Sync!$O420))</f>
        <v/>
      </c>
      <c r="V420">
        <f>IF($N420="","",Sync!$L420)</f>
        <v/>
      </c>
      <c r="W420">
        <f>IF($N420="","",Sync!$P420)</f>
        <v/>
      </c>
      <c r="AA420">
        <f>IF($A420="","",IF(COUNTIF($A$6:$A420,$A420)=1,1,0))</f>
        <v/>
      </c>
      <c r="AB420">
        <f>SUM($AA$6:$AA420)</f>
        <v/>
      </c>
      <c r="AC420">
        <f>IFERROR(INDEX($A$6:$A$1005,MATCH(ROW()-5,$AB$6:$AB$1005,0)),"")</f>
        <v/>
      </c>
    </row>
    <row r="421">
      <c r="A421">
        <f>IF(OR(Entry!$B424="",Entry!$E424="",$E421="نامعتبر"),"",Entry!$E424)</f>
        <v/>
      </c>
      <c r="B421">
        <f>IF($A421="","",LEFT($E421,4)&amp;MID($E421,6,2)&amp;RIGHT($E421,2)&amp;$F421&amp;"|"&amp;"1"&amp;RIGHT("00000"&amp;416,5))</f>
        <v/>
      </c>
      <c r="C421">
        <f>IF($B421="","",COUNTIFS($A$6:$A$1005,$A421,$B$6:$B$1005,"&lt;"&amp;$B421)+COUNTIFS($N$6:$N$2005,$A421,$P$6:$P$2005,"&lt;"&amp;$B421)+1)</f>
        <v/>
      </c>
      <c r="D421">
        <f>IF($C421="","",$A421&amp;"|"&amp;RIGHT("000000"&amp;$C421,6))</f>
        <v/>
      </c>
      <c r="E421">
        <f>IF(Entry!$B424="","",IF(ISNUMBER(Entry!$B424),IF(AND(Entry!$B424&gt;=10000101,Entry!$B424&lt;=99991231),INT(Entry!$B424/10000)&amp;"/"&amp;RIGHT("00"&amp;INT(MOD(Entry!$B424,10000)/100),2)&amp;"/"&amp;RIGHT("00"&amp;MOD(Entry!$B424,100),2),"نامعتبر"),IF(LEN(Entry!$B424)=10,Entry!$B424,"نامعتبر")))</f>
        <v/>
      </c>
      <c r="F421">
        <f>IF(Entry!$B424="","",IF(Entry!$C424="","0000",IF(AND(ISNUMBER(Entry!$C424),Entry!$C424&gt;=0,Entry!$C424&lt;1),RIGHT("00"&amp;HOUR(Entry!$C424),2)&amp;RIGHT("00"&amp;MINUTE(Entry!$C424),2),IFERROR(RIGHT("00"&amp;VALUE(LEFT(Entry!$C424,FIND(":",Entry!$C424)-1)),2)&amp;RIGHT("00"&amp;VALUE(MID(Entry!$C424,FIND(":",Entry!$C424)+1,2)),2),"0000"))))</f>
        <v/>
      </c>
      <c r="G421">
        <f>IF($A421="","",Entry!$G424)</f>
        <v/>
      </c>
      <c r="H421">
        <f>IF($A421="","",IF(Entry!$H424="",0,Entry!$H424))</f>
        <v/>
      </c>
      <c r="I421">
        <f>IF($A421="","",IF(Entry!$I424="",0,Entry!$I424))</f>
        <v/>
      </c>
      <c r="J421">
        <f>IF($A421="","",ROUND($H421*$I421,0))</f>
        <v/>
      </c>
      <c r="K421">
        <f>IF($A421="","",Entry!$D424)</f>
        <v/>
      </c>
      <c r="L421">
        <f>IF($A421="","",Entry!$L424)</f>
        <v/>
      </c>
      <c r="N421">
        <f>IF(OR(Sync!$M421="",$Q421="",$Q421="نامعتبر"),"",Sync!$M421)</f>
        <v/>
      </c>
      <c r="O421">
        <f>IF($N421="","",$Q421)</f>
        <v/>
      </c>
      <c r="P421">
        <f>IF($N421="","",LEFT($Q421,4)&amp;MID($Q421,6,2)&amp;RIGHT($Q421,2)&amp;IF(Sync!$K421="","0000",IF(AND(ISNUMBER(Sync!$K421),Sync!$K421&gt;=0,Sync!$K421&lt;1),RIGHT("00"&amp;HOUR(Sync!$K421),2)&amp;RIGHT("00"&amp;MINUTE(Sync!$K421),2),IFERROR(RIGHT("00"&amp;VALUE(LEFT(Sync!$K421,FIND(":",Sync!$K421)-1)),2)&amp;RIGHT("00"&amp;VALUE(MID(Sync!$K421,FIND(":",Sync!$K421)+1,2)),2),"0000")))&amp;"|"&amp;"2"&amp;RIGHT("00000"&amp;416,5))</f>
        <v/>
      </c>
      <c r="Q421">
        <f>IF(Sync!$J421="","",IF(ISNUMBER(Sync!$J421),IF(AND(Sync!$J421&gt;=10000101,Sync!$J421&lt;=99991231),INT(Sync!$J421/10000)&amp;"/"&amp;RIGHT("00"&amp;INT(MOD(Sync!$J421,10000)/100),2)&amp;"/"&amp;RIGHT("00"&amp;MOD(Sync!$J421,100),2),"نامعتبر"),IF(LEN(Sync!$J421)=10,Sync!$J421,"نامعتبر")))</f>
        <v/>
      </c>
      <c r="R421">
        <f>IF($P421="","",COUNTIFS($N$6:$N$2005,$N421,$P$6:$P$2005,"&lt;"&amp;$P421)+COUNTIFS($A$6:$A$1005,$N421,$B$6:$B$1005,"&lt;"&amp;$P421)+1)</f>
        <v/>
      </c>
      <c r="S421">
        <f>IF($N421="","",$N421&amp;"|"&amp;RIGHT("000000"&amp;$R421,6))</f>
        <v/>
      </c>
      <c r="T421">
        <f>IF($N421="","",IF(Sync!$N421="",0,Sync!$N421))</f>
        <v/>
      </c>
      <c r="U421">
        <f>IF($N421="","",IF(Sync!$O421="",0,Sync!$O421))</f>
        <v/>
      </c>
      <c r="V421">
        <f>IF($N421="","",Sync!$L421)</f>
        <v/>
      </c>
      <c r="W421">
        <f>IF($N421="","",Sync!$P421)</f>
        <v/>
      </c>
      <c r="AA421">
        <f>IF($A421="","",IF(COUNTIF($A$6:$A421,$A421)=1,1,0))</f>
        <v/>
      </c>
      <c r="AB421">
        <f>SUM($AA$6:$AA421)</f>
        <v/>
      </c>
      <c r="AC421">
        <f>IFERROR(INDEX($A$6:$A$1005,MATCH(ROW()-5,$AB$6:$AB$1005,0)),"")</f>
        <v/>
      </c>
    </row>
    <row r="422">
      <c r="A422">
        <f>IF(OR(Entry!$B425="",Entry!$E425="",$E422="نامعتبر"),"",Entry!$E425)</f>
        <v/>
      </c>
      <c r="B422">
        <f>IF($A422="","",LEFT($E422,4)&amp;MID($E422,6,2)&amp;RIGHT($E422,2)&amp;$F422&amp;"|"&amp;"1"&amp;RIGHT("00000"&amp;417,5))</f>
        <v/>
      </c>
      <c r="C422">
        <f>IF($B422="","",COUNTIFS($A$6:$A$1005,$A422,$B$6:$B$1005,"&lt;"&amp;$B422)+COUNTIFS($N$6:$N$2005,$A422,$P$6:$P$2005,"&lt;"&amp;$B422)+1)</f>
        <v/>
      </c>
      <c r="D422">
        <f>IF($C422="","",$A422&amp;"|"&amp;RIGHT("000000"&amp;$C422,6))</f>
        <v/>
      </c>
      <c r="E422">
        <f>IF(Entry!$B425="","",IF(ISNUMBER(Entry!$B425),IF(AND(Entry!$B425&gt;=10000101,Entry!$B425&lt;=99991231),INT(Entry!$B425/10000)&amp;"/"&amp;RIGHT("00"&amp;INT(MOD(Entry!$B425,10000)/100),2)&amp;"/"&amp;RIGHT("00"&amp;MOD(Entry!$B425,100),2),"نامعتبر"),IF(LEN(Entry!$B425)=10,Entry!$B425,"نامعتبر")))</f>
        <v/>
      </c>
      <c r="F422">
        <f>IF(Entry!$B425="","",IF(Entry!$C425="","0000",IF(AND(ISNUMBER(Entry!$C425),Entry!$C425&gt;=0,Entry!$C425&lt;1),RIGHT("00"&amp;HOUR(Entry!$C425),2)&amp;RIGHT("00"&amp;MINUTE(Entry!$C425),2),IFERROR(RIGHT("00"&amp;VALUE(LEFT(Entry!$C425,FIND(":",Entry!$C425)-1)),2)&amp;RIGHT("00"&amp;VALUE(MID(Entry!$C425,FIND(":",Entry!$C425)+1,2)),2),"0000"))))</f>
        <v/>
      </c>
      <c r="G422">
        <f>IF($A422="","",Entry!$G425)</f>
        <v/>
      </c>
      <c r="H422">
        <f>IF($A422="","",IF(Entry!$H425="",0,Entry!$H425))</f>
        <v/>
      </c>
      <c r="I422">
        <f>IF($A422="","",IF(Entry!$I425="",0,Entry!$I425))</f>
        <v/>
      </c>
      <c r="J422">
        <f>IF($A422="","",ROUND($H422*$I422,0))</f>
        <v/>
      </c>
      <c r="K422">
        <f>IF($A422="","",Entry!$D425)</f>
        <v/>
      </c>
      <c r="L422">
        <f>IF($A422="","",Entry!$L425)</f>
        <v/>
      </c>
      <c r="N422">
        <f>IF(OR(Sync!$M422="",$Q422="",$Q422="نامعتبر"),"",Sync!$M422)</f>
        <v/>
      </c>
      <c r="O422">
        <f>IF($N422="","",$Q422)</f>
        <v/>
      </c>
      <c r="P422">
        <f>IF($N422="","",LEFT($Q422,4)&amp;MID($Q422,6,2)&amp;RIGHT($Q422,2)&amp;IF(Sync!$K422="","0000",IF(AND(ISNUMBER(Sync!$K422),Sync!$K422&gt;=0,Sync!$K422&lt;1),RIGHT("00"&amp;HOUR(Sync!$K422),2)&amp;RIGHT("00"&amp;MINUTE(Sync!$K422),2),IFERROR(RIGHT("00"&amp;VALUE(LEFT(Sync!$K422,FIND(":",Sync!$K422)-1)),2)&amp;RIGHT("00"&amp;VALUE(MID(Sync!$K422,FIND(":",Sync!$K422)+1,2)),2),"0000")))&amp;"|"&amp;"2"&amp;RIGHT("00000"&amp;417,5))</f>
        <v/>
      </c>
      <c r="Q422">
        <f>IF(Sync!$J422="","",IF(ISNUMBER(Sync!$J422),IF(AND(Sync!$J422&gt;=10000101,Sync!$J422&lt;=99991231),INT(Sync!$J422/10000)&amp;"/"&amp;RIGHT("00"&amp;INT(MOD(Sync!$J422,10000)/100),2)&amp;"/"&amp;RIGHT("00"&amp;MOD(Sync!$J422,100),2),"نامعتبر"),IF(LEN(Sync!$J422)=10,Sync!$J422,"نامعتبر")))</f>
        <v/>
      </c>
      <c r="R422">
        <f>IF($P422="","",COUNTIFS($N$6:$N$2005,$N422,$P$6:$P$2005,"&lt;"&amp;$P422)+COUNTIFS($A$6:$A$1005,$N422,$B$6:$B$1005,"&lt;"&amp;$P422)+1)</f>
        <v/>
      </c>
      <c r="S422">
        <f>IF($N422="","",$N422&amp;"|"&amp;RIGHT("000000"&amp;$R422,6))</f>
        <v/>
      </c>
      <c r="T422">
        <f>IF($N422="","",IF(Sync!$N422="",0,Sync!$N422))</f>
        <v/>
      </c>
      <c r="U422">
        <f>IF($N422="","",IF(Sync!$O422="",0,Sync!$O422))</f>
        <v/>
      </c>
      <c r="V422">
        <f>IF($N422="","",Sync!$L422)</f>
        <v/>
      </c>
      <c r="W422">
        <f>IF($N422="","",Sync!$P422)</f>
        <v/>
      </c>
      <c r="AA422">
        <f>IF($A422="","",IF(COUNTIF($A$6:$A422,$A422)=1,1,0))</f>
        <v/>
      </c>
      <c r="AB422">
        <f>SUM($AA$6:$AA422)</f>
        <v/>
      </c>
      <c r="AC422">
        <f>IFERROR(INDEX($A$6:$A$1005,MATCH(ROW()-5,$AB$6:$AB$1005,0)),"")</f>
        <v/>
      </c>
    </row>
    <row r="423">
      <c r="A423">
        <f>IF(OR(Entry!$B426="",Entry!$E426="",$E423="نامعتبر"),"",Entry!$E426)</f>
        <v/>
      </c>
      <c r="B423">
        <f>IF($A423="","",LEFT($E423,4)&amp;MID($E423,6,2)&amp;RIGHT($E423,2)&amp;$F423&amp;"|"&amp;"1"&amp;RIGHT("00000"&amp;418,5))</f>
        <v/>
      </c>
      <c r="C423">
        <f>IF($B423="","",COUNTIFS($A$6:$A$1005,$A423,$B$6:$B$1005,"&lt;"&amp;$B423)+COUNTIFS($N$6:$N$2005,$A423,$P$6:$P$2005,"&lt;"&amp;$B423)+1)</f>
        <v/>
      </c>
      <c r="D423">
        <f>IF($C423="","",$A423&amp;"|"&amp;RIGHT("000000"&amp;$C423,6))</f>
        <v/>
      </c>
      <c r="E423">
        <f>IF(Entry!$B426="","",IF(ISNUMBER(Entry!$B426),IF(AND(Entry!$B426&gt;=10000101,Entry!$B426&lt;=99991231),INT(Entry!$B426/10000)&amp;"/"&amp;RIGHT("00"&amp;INT(MOD(Entry!$B426,10000)/100),2)&amp;"/"&amp;RIGHT("00"&amp;MOD(Entry!$B426,100),2),"نامعتبر"),IF(LEN(Entry!$B426)=10,Entry!$B426,"نامعتبر")))</f>
        <v/>
      </c>
      <c r="F423">
        <f>IF(Entry!$B426="","",IF(Entry!$C426="","0000",IF(AND(ISNUMBER(Entry!$C426),Entry!$C426&gt;=0,Entry!$C426&lt;1),RIGHT("00"&amp;HOUR(Entry!$C426),2)&amp;RIGHT("00"&amp;MINUTE(Entry!$C426),2),IFERROR(RIGHT("00"&amp;VALUE(LEFT(Entry!$C426,FIND(":",Entry!$C426)-1)),2)&amp;RIGHT("00"&amp;VALUE(MID(Entry!$C426,FIND(":",Entry!$C426)+1,2)),2),"0000"))))</f>
        <v/>
      </c>
      <c r="G423">
        <f>IF($A423="","",Entry!$G426)</f>
        <v/>
      </c>
      <c r="H423">
        <f>IF($A423="","",IF(Entry!$H426="",0,Entry!$H426))</f>
        <v/>
      </c>
      <c r="I423">
        <f>IF($A423="","",IF(Entry!$I426="",0,Entry!$I426))</f>
        <v/>
      </c>
      <c r="J423">
        <f>IF($A423="","",ROUND($H423*$I423,0))</f>
        <v/>
      </c>
      <c r="K423">
        <f>IF($A423="","",Entry!$D426)</f>
        <v/>
      </c>
      <c r="L423">
        <f>IF($A423="","",Entry!$L426)</f>
        <v/>
      </c>
      <c r="N423">
        <f>IF(OR(Sync!$M423="",$Q423="",$Q423="نامعتبر"),"",Sync!$M423)</f>
        <v/>
      </c>
      <c r="O423">
        <f>IF($N423="","",$Q423)</f>
        <v/>
      </c>
      <c r="P423">
        <f>IF($N423="","",LEFT($Q423,4)&amp;MID($Q423,6,2)&amp;RIGHT($Q423,2)&amp;IF(Sync!$K423="","0000",IF(AND(ISNUMBER(Sync!$K423),Sync!$K423&gt;=0,Sync!$K423&lt;1),RIGHT("00"&amp;HOUR(Sync!$K423),2)&amp;RIGHT("00"&amp;MINUTE(Sync!$K423),2),IFERROR(RIGHT("00"&amp;VALUE(LEFT(Sync!$K423,FIND(":",Sync!$K423)-1)),2)&amp;RIGHT("00"&amp;VALUE(MID(Sync!$K423,FIND(":",Sync!$K423)+1,2)),2),"0000")))&amp;"|"&amp;"2"&amp;RIGHT("00000"&amp;418,5))</f>
        <v/>
      </c>
      <c r="Q423">
        <f>IF(Sync!$J423="","",IF(ISNUMBER(Sync!$J423),IF(AND(Sync!$J423&gt;=10000101,Sync!$J423&lt;=99991231),INT(Sync!$J423/10000)&amp;"/"&amp;RIGHT("00"&amp;INT(MOD(Sync!$J423,10000)/100),2)&amp;"/"&amp;RIGHT("00"&amp;MOD(Sync!$J423,100),2),"نامعتبر"),IF(LEN(Sync!$J423)=10,Sync!$J423,"نامعتبر")))</f>
        <v/>
      </c>
      <c r="R423">
        <f>IF($P423="","",COUNTIFS($N$6:$N$2005,$N423,$P$6:$P$2005,"&lt;"&amp;$P423)+COUNTIFS($A$6:$A$1005,$N423,$B$6:$B$1005,"&lt;"&amp;$P423)+1)</f>
        <v/>
      </c>
      <c r="S423">
        <f>IF($N423="","",$N423&amp;"|"&amp;RIGHT("000000"&amp;$R423,6))</f>
        <v/>
      </c>
      <c r="T423">
        <f>IF($N423="","",IF(Sync!$N423="",0,Sync!$N423))</f>
        <v/>
      </c>
      <c r="U423">
        <f>IF($N423="","",IF(Sync!$O423="",0,Sync!$O423))</f>
        <v/>
      </c>
      <c r="V423">
        <f>IF($N423="","",Sync!$L423)</f>
        <v/>
      </c>
      <c r="W423">
        <f>IF($N423="","",Sync!$P423)</f>
        <v/>
      </c>
      <c r="AA423">
        <f>IF($A423="","",IF(COUNTIF($A$6:$A423,$A423)=1,1,0))</f>
        <v/>
      </c>
      <c r="AB423">
        <f>SUM($AA$6:$AA423)</f>
        <v/>
      </c>
      <c r="AC423">
        <f>IFERROR(INDEX($A$6:$A$1005,MATCH(ROW()-5,$AB$6:$AB$1005,0)),"")</f>
        <v/>
      </c>
    </row>
    <row r="424">
      <c r="A424">
        <f>IF(OR(Entry!$B427="",Entry!$E427="",$E424="نامعتبر"),"",Entry!$E427)</f>
        <v/>
      </c>
      <c r="B424">
        <f>IF($A424="","",LEFT($E424,4)&amp;MID($E424,6,2)&amp;RIGHT($E424,2)&amp;$F424&amp;"|"&amp;"1"&amp;RIGHT("00000"&amp;419,5))</f>
        <v/>
      </c>
      <c r="C424">
        <f>IF($B424="","",COUNTIFS($A$6:$A$1005,$A424,$B$6:$B$1005,"&lt;"&amp;$B424)+COUNTIFS($N$6:$N$2005,$A424,$P$6:$P$2005,"&lt;"&amp;$B424)+1)</f>
        <v/>
      </c>
      <c r="D424">
        <f>IF($C424="","",$A424&amp;"|"&amp;RIGHT("000000"&amp;$C424,6))</f>
        <v/>
      </c>
      <c r="E424">
        <f>IF(Entry!$B427="","",IF(ISNUMBER(Entry!$B427),IF(AND(Entry!$B427&gt;=10000101,Entry!$B427&lt;=99991231),INT(Entry!$B427/10000)&amp;"/"&amp;RIGHT("00"&amp;INT(MOD(Entry!$B427,10000)/100),2)&amp;"/"&amp;RIGHT("00"&amp;MOD(Entry!$B427,100),2),"نامعتبر"),IF(LEN(Entry!$B427)=10,Entry!$B427,"نامعتبر")))</f>
        <v/>
      </c>
      <c r="F424">
        <f>IF(Entry!$B427="","",IF(Entry!$C427="","0000",IF(AND(ISNUMBER(Entry!$C427),Entry!$C427&gt;=0,Entry!$C427&lt;1),RIGHT("00"&amp;HOUR(Entry!$C427),2)&amp;RIGHT("00"&amp;MINUTE(Entry!$C427),2),IFERROR(RIGHT("00"&amp;VALUE(LEFT(Entry!$C427,FIND(":",Entry!$C427)-1)),2)&amp;RIGHT("00"&amp;VALUE(MID(Entry!$C427,FIND(":",Entry!$C427)+1,2)),2),"0000"))))</f>
        <v/>
      </c>
      <c r="G424">
        <f>IF($A424="","",Entry!$G427)</f>
        <v/>
      </c>
      <c r="H424">
        <f>IF($A424="","",IF(Entry!$H427="",0,Entry!$H427))</f>
        <v/>
      </c>
      <c r="I424">
        <f>IF($A424="","",IF(Entry!$I427="",0,Entry!$I427))</f>
        <v/>
      </c>
      <c r="J424">
        <f>IF($A424="","",ROUND($H424*$I424,0))</f>
        <v/>
      </c>
      <c r="K424">
        <f>IF($A424="","",Entry!$D427)</f>
        <v/>
      </c>
      <c r="L424">
        <f>IF($A424="","",Entry!$L427)</f>
        <v/>
      </c>
      <c r="N424">
        <f>IF(OR(Sync!$M424="",$Q424="",$Q424="نامعتبر"),"",Sync!$M424)</f>
        <v/>
      </c>
      <c r="O424">
        <f>IF($N424="","",$Q424)</f>
        <v/>
      </c>
      <c r="P424">
        <f>IF($N424="","",LEFT($Q424,4)&amp;MID($Q424,6,2)&amp;RIGHT($Q424,2)&amp;IF(Sync!$K424="","0000",IF(AND(ISNUMBER(Sync!$K424),Sync!$K424&gt;=0,Sync!$K424&lt;1),RIGHT("00"&amp;HOUR(Sync!$K424),2)&amp;RIGHT("00"&amp;MINUTE(Sync!$K424),2),IFERROR(RIGHT("00"&amp;VALUE(LEFT(Sync!$K424,FIND(":",Sync!$K424)-1)),2)&amp;RIGHT("00"&amp;VALUE(MID(Sync!$K424,FIND(":",Sync!$K424)+1,2)),2),"0000")))&amp;"|"&amp;"2"&amp;RIGHT("00000"&amp;419,5))</f>
        <v/>
      </c>
      <c r="Q424">
        <f>IF(Sync!$J424="","",IF(ISNUMBER(Sync!$J424),IF(AND(Sync!$J424&gt;=10000101,Sync!$J424&lt;=99991231),INT(Sync!$J424/10000)&amp;"/"&amp;RIGHT("00"&amp;INT(MOD(Sync!$J424,10000)/100),2)&amp;"/"&amp;RIGHT("00"&amp;MOD(Sync!$J424,100),2),"نامعتبر"),IF(LEN(Sync!$J424)=10,Sync!$J424,"نامعتبر")))</f>
        <v/>
      </c>
      <c r="R424">
        <f>IF($P424="","",COUNTIFS($N$6:$N$2005,$N424,$P$6:$P$2005,"&lt;"&amp;$P424)+COUNTIFS($A$6:$A$1005,$N424,$B$6:$B$1005,"&lt;"&amp;$P424)+1)</f>
        <v/>
      </c>
      <c r="S424">
        <f>IF($N424="","",$N424&amp;"|"&amp;RIGHT("000000"&amp;$R424,6))</f>
        <v/>
      </c>
      <c r="T424">
        <f>IF($N424="","",IF(Sync!$N424="",0,Sync!$N424))</f>
        <v/>
      </c>
      <c r="U424">
        <f>IF($N424="","",IF(Sync!$O424="",0,Sync!$O424))</f>
        <v/>
      </c>
      <c r="V424">
        <f>IF($N424="","",Sync!$L424)</f>
        <v/>
      </c>
      <c r="W424">
        <f>IF($N424="","",Sync!$P424)</f>
        <v/>
      </c>
      <c r="AA424">
        <f>IF($A424="","",IF(COUNTIF($A$6:$A424,$A424)=1,1,0))</f>
        <v/>
      </c>
      <c r="AB424">
        <f>SUM($AA$6:$AA424)</f>
        <v/>
      </c>
      <c r="AC424">
        <f>IFERROR(INDEX($A$6:$A$1005,MATCH(ROW()-5,$AB$6:$AB$1005,0)),"")</f>
        <v/>
      </c>
    </row>
    <row r="425">
      <c r="A425">
        <f>IF(OR(Entry!$B428="",Entry!$E428="",$E425="نامعتبر"),"",Entry!$E428)</f>
        <v/>
      </c>
      <c r="B425">
        <f>IF($A425="","",LEFT($E425,4)&amp;MID($E425,6,2)&amp;RIGHT($E425,2)&amp;$F425&amp;"|"&amp;"1"&amp;RIGHT("00000"&amp;420,5))</f>
        <v/>
      </c>
      <c r="C425">
        <f>IF($B425="","",COUNTIFS($A$6:$A$1005,$A425,$B$6:$B$1005,"&lt;"&amp;$B425)+COUNTIFS($N$6:$N$2005,$A425,$P$6:$P$2005,"&lt;"&amp;$B425)+1)</f>
        <v/>
      </c>
      <c r="D425">
        <f>IF($C425="","",$A425&amp;"|"&amp;RIGHT("000000"&amp;$C425,6))</f>
        <v/>
      </c>
      <c r="E425">
        <f>IF(Entry!$B428="","",IF(ISNUMBER(Entry!$B428),IF(AND(Entry!$B428&gt;=10000101,Entry!$B428&lt;=99991231),INT(Entry!$B428/10000)&amp;"/"&amp;RIGHT("00"&amp;INT(MOD(Entry!$B428,10000)/100),2)&amp;"/"&amp;RIGHT("00"&amp;MOD(Entry!$B428,100),2),"نامعتبر"),IF(LEN(Entry!$B428)=10,Entry!$B428,"نامعتبر")))</f>
        <v/>
      </c>
      <c r="F425">
        <f>IF(Entry!$B428="","",IF(Entry!$C428="","0000",IF(AND(ISNUMBER(Entry!$C428),Entry!$C428&gt;=0,Entry!$C428&lt;1),RIGHT("00"&amp;HOUR(Entry!$C428),2)&amp;RIGHT("00"&amp;MINUTE(Entry!$C428),2),IFERROR(RIGHT("00"&amp;VALUE(LEFT(Entry!$C428,FIND(":",Entry!$C428)-1)),2)&amp;RIGHT("00"&amp;VALUE(MID(Entry!$C428,FIND(":",Entry!$C428)+1,2)),2),"0000"))))</f>
        <v/>
      </c>
      <c r="G425">
        <f>IF($A425="","",Entry!$G428)</f>
        <v/>
      </c>
      <c r="H425">
        <f>IF($A425="","",IF(Entry!$H428="",0,Entry!$H428))</f>
        <v/>
      </c>
      <c r="I425">
        <f>IF($A425="","",IF(Entry!$I428="",0,Entry!$I428))</f>
        <v/>
      </c>
      <c r="J425">
        <f>IF($A425="","",ROUND($H425*$I425,0))</f>
        <v/>
      </c>
      <c r="K425">
        <f>IF($A425="","",Entry!$D428)</f>
        <v/>
      </c>
      <c r="L425">
        <f>IF($A425="","",Entry!$L428)</f>
        <v/>
      </c>
      <c r="N425">
        <f>IF(OR(Sync!$M425="",$Q425="",$Q425="نامعتبر"),"",Sync!$M425)</f>
        <v/>
      </c>
      <c r="O425">
        <f>IF($N425="","",$Q425)</f>
        <v/>
      </c>
      <c r="P425">
        <f>IF($N425="","",LEFT($Q425,4)&amp;MID($Q425,6,2)&amp;RIGHT($Q425,2)&amp;IF(Sync!$K425="","0000",IF(AND(ISNUMBER(Sync!$K425),Sync!$K425&gt;=0,Sync!$K425&lt;1),RIGHT("00"&amp;HOUR(Sync!$K425),2)&amp;RIGHT("00"&amp;MINUTE(Sync!$K425),2),IFERROR(RIGHT("00"&amp;VALUE(LEFT(Sync!$K425,FIND(":",Sync!$K425)-1)),2)&amp;RIGHT("00"&amp;VALUE(MID(Sync!$K425,FIND(":",Sync!$K425)+1,2)),2),"0000")))&amp;"|"&amp;"2"&amp;RIGHT("00000"&amp;420,5))</f>
        <v/>
      </c>
      <c r="Q425">
        <f>IF(Sync!$J425="","",IF(ISNUMBER(Sync!$J425),IF(AND(Sync!$J425&gt;=10000101,Sync!$J425&lt;=99991231),INT(Sync!$J425/10000)&amp;"/"&amp;RIGHT("00"&amp;INT(MOD(Sync!$J425,10000)/100),2)&amp;"/"&amp;RIGHT("00"&amp;MOD(Sync!$J425,100),2),"نامعتبر"),IF(LEN(Sync!$J425)=10,Sync!$J425,"نامعتبر")))</f>
        <v/>
      </c>
      <c r="R425">
        <f>IF($P425="","",COUNTIFS($N$6:$N$2005,$N425,$P$6:$P$2005,"&lt;"&amp;$P425)+COUNTIFS($A$6:$A$1005,$N425,$B$6:$B$1005,"&lt;"&amp;$P425)+1)</f>
        <v/>
      </c>
      <c r="S425">
        <f>IF($N425="","",$N425&amp;"|"&amp;RIGHT("000000"&amp;$R425,6))</f>
        <v/>
      </c>
      <c r="T425">
        <f>IF($N425="","",IF(Sync!$N425="",0,Sync!$N425))</f>
        <v/>
      </c>
      <c r="U425">
        <f>IF($N425="","",IF(Sync!$O425="",0,Sync!$O425))</f>
        <v/>
      </c>
      <c r="V425">
        <f>IF($N425="","",Sync!$L425)</f>
        <v/>
      </c>
      <c r="W425">
        <f>IF($N425="","",Sync!$P425)</f>
        <v/>
      </c>
      <c r="AA425">
        <f>IF($A425="","",IF(COUNTIF($A$6:$A425,$A425)=1,1,0))</f>
        <v/>
      </c>
      <c r="AB425">
        <f>SUM($AA$6:$AA425)</f>
        <v/>
      </c>
      <c r="AC425">
        <f>IFERROR(INDEX($A$6:$A$1005,MATCH(ROW()-5,$AB$6:$AB$1005,0)),"")</f>
        <v/>
      </c>
    </row>
    <row r="426">
      <c r="A426">
        <f>IF(OR(Entry!$B429="",Entry!$E429="",$E426="نامعتبر"),"",Entry!$E429)</f>
        <v/>
      </c>
      <c r="B426">
        <f>IF($A426="","",LEFT($E426,4)&amp;MID($E426,6,2)&amp;RIGHT($E426,2)&amp;$F426&amp;"|"&amp;"1"&amp;RIGHT("00000"&amp;421,5))</f>
        <v/>
      </c>
      <c r="C426">
        <f>IF($B426="","",COUNTIFS($A$6:$A$1005,$A426,$B$6:$B$1005,"&lt;"&amp;$B426)+COUNTIFS($N$6:$N$2005,$A426,$P$6:$P$2005,"&lt;"&amp;$B426)+1)</f>
        <v/>
      </c>
      <c r="D426">
        <f>IF($C426="","",$A426&amp;"|"&amp;RIGHT("000000"&amp;$C426,6))</f>
        <v/>
      </c>
      <c r="E426">
        <f>IF(Entry!$B429="","",IF(ISNUMBER(Entry!$B429),IF(AND(Entry!$B429&gt;=10000101,Entry!$B429&lt;=99991231),INT(Entry!$B429/10000)&amp;"/"&amp;RIGHT("00"&amp;INT(MOD(Entry!$B429,10000)/100),2)&amp;"/"&amp;RIGHT("00"&amp;MOD(Entry!$B429,100),2),"نامعتبر"),IF(LEN(Entry!$B429)=10,Entry!$B429,"نامعتبر")))</f>
        <v/>
      </c>
      <c r="F426">
        <f>IF(Entry!$B429="","",IF(Entry!$C429="","0000",IF(AND(ISNUMBER(Entry!$C429),Entry!$C429&gt;=0,Entry!$C429&lt;1),RIGHT("00"&amp;HOUR(Entry!$C429),2)&amp;RIGHT("00"&amp;MINUTE(Entry!$C429),2),IFERROR(RIGHT("00"&amp;VALUE(LEFT(Entry!$C429,FIND(":",Entry!$C429)-1)),2)&amp;RIGHT("00"&amp;VALUE(MID(Entry!$C429,FIND(":",Entry!$C429)+1,2)),2),"0000"))))</f>
        <v/>
      </c>
      <c r="G426">
        <f>IF($A426="","",Entry!$G429)</f>
        <v/>
      </c>
      <c r="H426">
        <f>IF($A426="","",IF(Entry!$H429="",0,Entry!$H429))</f>
        <v/>
      </c>
      <c r="I426">
        <f>IF($A426="","",IF(Entry!$I429="",0,Entry!$I429))</f>
        <v/>
      </c>
      <c r="J426">
        <f>IF($A426="","",ROUND($H426*$I426,0))</f>
        <v/>
      </c>
      <c r="K426">
        <f>IF($A426="","",Entry!$D429)</f>
        <v/>
      </c>
      <c r="L426">
        <f>IF($A426="","",Entry!$L429)</f>
        <v/>
      </c>
      <c r="N426">
        <f>IF(OR(Sync!$M426="",$Q426="",$Q426="نامعتبر"),"",Sync!$M426)</f>
        <v/>
      </c>
      <c r="O426">
        <f>IF($N426="","",$Q426)</f>
        <v/>
      </c>
      <c r="P426">
        <f>IF($N426="","",LEFT($Q426,4)&amp;MID($Q426,6,2)&amp;RIGHT($Q426,2)&amp;IF(Sync!$K426="","0000",IF(AND(ISNUMBER(Sync!$K426),Sync!$K426&gt;=0,Sync!$K426&lt;1),RIGHT("00"&amp;HOUR(Sync!$K426),2)&amp;RIGHT("00"&amp;MINUTE(Sync!$K426),2),IFERROR(RIGHT("00"&amp;VALUE(LEFT(Sync!$K426,FIND(":",Sync!$K426)-1)),2)&amp;RIGHT("00"&amp;VALUE(MID(Sync!$K426,FIND(":",Sync!$K426)+1,2)),2),"0000")))&amp;"|"&amp;"2"&amp;RIGHT("00000"&amp;421,5))</f>
        <v/>
      </c>
      <c r="Q426">
        <f>IF(Sync!$J426="","",IF(ISNUMBER(Sync!$J426),IF(AND(Sync!$J426&gt;=10000101,Sync!$J426&lt;=99991231),INT(Sync!$J426/10000)&amp;"/"&amp;RIGHT("00"&amp;INT(MOD(Sync!$J426,10000)/100),2)&amp;"/"&amp;RIGHT("00"&amp;MOD(Sync!$J426,100),2),"نامعتبر"),IF(LEN(Sync!$J426)=10,Sync!$J426,"نامعتبر")))</f>
        <v/>
      </c>
      <c r="R426">
        <f>IF($P426="","",COUNTIFS($N$6:$N$2005,$N426,$P$6:$P$2005,"&lt;"&amp;$P426)+COUNTIFS($A$6:$A$1005,$N426,$B$6:$B$1005,"&lt;"&amp;$P426)+1)</f>
        <v/>
      </c>
      <c r="S426">
        <f>IF($N426="","",$N426&amp;"|"&amp;RIGHT("000000"&amp;$R426,6))</f>
        <v/>
      </c>
      <c r="T426">
        <f>IF($N426="","",IF(Sync!$N426="",0,Sync!$N426))</f>
        <v/>
      </c>
      <c r="U426">
        <f>IF($N426="","",IF(Sync!$O426="",0,Sync!$O426))</f>
        <v/>
      </c>
      <c r="V426">
        <f>IF($N426="","",Sync!$L426)</f>
        <v/>
      </c>
      <c r="W426">
        <f>IF($N426="","",Sync!$P426)</f>
        <v/>
      </c>
      <c r="AA426">
        <f>IF($A426="","",IF(COUNTIF($A$6:$A426,$A426)=1,1,0))</f>
        <v/>
      </c>
      <c r="AB426">
        <f>SUM($AA$6:$AA426)</f>
        <v/>
      </c>
      <c r="AC426">
        <f>IFERROR(INDEX($A$6:$A$1005,MATCH(ROW()-5,$AB$6:$AB$1005,0)),"")</f>
        <v/>
      </c>
    </row>
    <row r="427">
      <c r="A427">
        <f>IF(OR(Entry!$B430="",Entry!$E430="",$E427="نامعتبر"),"",Entry!$E430)</f>
        <v/>
      </c>
      <c r="B427">
        <f>IF($A427="","",LEFT($E427,4)&amp;MID($E427,6,2)&amp;RIGHT($E427,2)&amp;$F427&amp;"|"&amp;"1"&amp;RIGHT("00000"&amp;422,5))</f>
        <v/>
      </c>
      <c r="C427">
        <f>IF($B427="","",COUNTIFS($A$6:$A$1005,$A427,$B$6:$B$1005,"&lt;"&amp;$B427)+COUNTIFS($N$6:$N$2005,$A427,$P$6:$P$2005,"&lt;"&amp;$B427)+1)</f>
        <v/>
      </c>
      <c r="D427">
        <f>IF($C427="","",$A427&amp;"|"&amp;RIGHT("000000"&amp;$C427,6))</f>
        <v/>
      </c>
      <c r="E427">
        <f>IF(Entry!$B430="","",IF(ISNUMBER(Entry!$B430),IF(AND(Entry!$B430&gt;=10000101,Entry!$B430&lt;=99991231),INT(Entry!$B430/10000)&amp;"/"&amp;RIGHT("00"&amp;INT(MOD(Entry!$B430,10000)/100),2)&amp;"/"&amp;RIGHT("00"&amp;MOD(Entry!$B430,100),2),"نامعتبر"),IF(LEN(Entry!$B430)=10,Entry!$B430,"نامعتبر")))</f>
        <v/>
      </c>
      <c r="F427">
        <f>IF(Entry!$B430="","",IF(Entry!$C430="","0000",IF(AND(ISNUMBER(Entry!$C430),Entry!$C430&gt;=0,Entry!$C430&lt;1),RIGHT("00"&amp;HOUR(Entry!$C430),2)&amp;RIGHT("00"&amp;MINUTE(Entry!$C430),2),IFERROR(RIGHT("00"&amp;VALUE(LEFT(Entry!$C430,FIND(":",Entry!$C430)-1)),2)&amp;RIGHT("00"&amp;VALUE(MID(Entry!$C430,FIND(":",Entry!$C430)+1,2)),2),"0000"))))</f>
        <v/>
      </c>
      <c r="G427">
        <f>IF($A427="","",Entry!$G430)</f>
        <v/>
      </c>
      <c r="H427">
        <f>IF($A427="","",IF(Entry!$H430="",0,Entry!$H430))</f>
        <v/>
      </c>
      <c r="I427">
        <f>IF($A427="","",IF(Entry!$I430="",0,Entry!$I430))</f>
        <v/>
      </c>
      <c r="J427">
        <f>IF($A427="","",ROUND($H427*$I427,0))</f>
        <v/>
      </c>
      <c r="K427">
        <f>IF($A427="","",Entry!$D430)</f>
        <v/>
      </c>
      <c r="L427">
        <f>IF($A427="","",Entry!$L430)</f>
        <v/>
      </c>
      <c r="N427">
        <f>IF(OR(Sync!$M427="",$Q427="",$Q427="نامعتبر"),"",Sync!$M427)</f>
        <v/>
      </c>
      <c r="O427">
        <f>IF($N427="","",$Q427)</f>
        <v/>
      </c>
      <c r="P427">
        <f>IF($N427="","",LEFT($Q427,4)&amp;MID($Q427,6,2)&amp;RIGHT($Q427,2)&amp;IF(Sync!$K427="","0000",IF(AND(ISNUMBER(Sync!$K427),Sync!$K427&gt;=0,Sync!$K427&lt;1),RIGHT("00"&amp;HOUR(Sync!$K427),2)&amp;RIGHT("00"&amp;MINUTE(Sync!$K427),2),IFERROR(RIGHT("00"&amp;VALUE(LEFT(Sync!$K427,FIND(":",Sync!$K427)-1)),2)&amp;RIGHT("00"&amp;VALUE(MID(Sync!$K427,FIND(":",Sync!$K427)+1,2)),2),"0000")))&amp;"|"&amp;"2"&amp;RIGHT("00000"&amp;422,5))</f>
        <v/>
      </c>
      <c r="Q427">
        <f>IF(Sync!$J427="","",IF(ISNUMBER(Sync!$J427),IF(AND(Sync!$J427&gt;=10000101,Sync!$J427&lt;=99991231),INT(Sync!$J427/10000)&amp;"/"&amp;RIGHT("00"&amp;INT(MOD(Sync!$J427,10000)/100),2)&amp;"/"&amp;RIGHT("00"&amp;MOD(Sync!$J427,100),2),"نامعتبر"),IF(LEN(Sync!$J427)=10,Sync!$J427,"نامعتبر")))</f>
        <v/>
      </c>
      <c r="R427">
        <f>IF($P427="","",COUNTIFS($N$6:$N$2005,$N427,$P$6:$P$2005,"&lt;"&amp;$P427)+COUNTIFS($A$6:$A$1005,$N427,$B$6:$B$1005,"&lt;"&amp;$P427)+1)</f>
        <v/>
      </c>
      <c r="S427">
        <f>IF($N427="","",$N427&amp;"|"&amp;RIGHT("000000"&amp;$R427,6))</f>
        <v/>
      </c>
      <c r="T427">
        <f>IF($N427="","",IF(Sync!$N427="",0,Sync!$N427))</f>
        <v/>
      </c>
      <c r="U427">
        <f>IF($N427="","",IF(Sync!$O427="",0,Sync!$O427))</f>
        <v/>
      </c>
      <c r="V427">
        <f>IF($N427="","",Sync!$L427)</f>
        <v/>
      </c>
      <c r="W427">
        <f>IF($N427="","",Sync!$P427)</f>
        <v/>
      </c>
      <c r="AA427">
        <f>IF($A427="","",IF(COUNTIF($A$6:$A427,$A427)=1,1,0))</f>
        <v/>
      </c>
      <c r="AB427">
        <f>SUM($AA$6:$AA427)</f>
        <v/>
      </c>
      <c r="AC427">
        <f>IFERROR(INDEX($A$6:$A$1005,MATCH(ROW()-5,$AB$6:$AB$1005,0)),"")</f>
        <v/>
      </c>
    </row>
    <row r="428">
      <c r="A428">
        <f>IF(OR(Entry!$B431="",Entry!$E431="",$E428="نامعتبر"),"",Entry!$E431)</f>
        <v/>
      </c>
      <c r="B428">
        <f>IF($A428="","",LEFT($E428,4)&amp;MID($E428,6,2)&amp;RIGHT($E428,2)&amp;$F428&amp;"|"&amp;"1"&amp;RIGHT("00000"&amp;423,5))</f>
        <v/>
      </c>
      <c r="C428">
        <f>IF($B428="","",COUNTIFS($A$6:$A$1005,$A428,$B$6:$B$1005,"&lt;"&amp;$B428)+COUNTIFS($N$6:$N$2005,$A428,$P$6:$P$2005,"&lt;"&amp;$B428)+1)</f>
        <v/>
      </c>
      <c r="D428">
        <f>IF($C428="","",$A428&amp;"|"&amp;RIGHT("000000"&amp;$C428,6))</f>
        <v/>
      </c>
      <c r="E428">
        <f>IF(Entry!$B431="","",IF(ISNUMBER(Entry!$B431),IF(AND(Entry!$B431&gt;=10000101,Entry!$B431&lt;=99991231),INT(Entry!$B431/10000)&amp;"/"&amp;RIGHT("00"&amp;INT(MOD(Entry!$B431,10000)/100),2)&amp;"/"&amp;RIGHT("00"&amp;MOD(Entry!$B431,100),2),"نامعتبر"),IF(LEN(Entry!$B431)=10,Entry!$B431,"نامعتبر")))</f>
        <v/>
      </c>
      <c r="F428">
        <f>IF(Entry!$B431="","",IF(Entry!$C431="","0000",IF(AND(ISNUMBER(Entry!$C431),Entry!$C431&gt;=0,Entry!$C431&lt;1),RIGHT("00"&amp;HOUR(Entry!$C431),2)&amp;RIGHT("00"&amp;MINUTE(Entry!$C431),2),IFERROR(RIGHT("00"&amp;VALUE(LEFT(Entry!$C431,FIND(":",Entry!$C431)-1)),2)&amp;RIGHT("00"&amp;VALUE(MID(Entry!$C431,FIND(":",Entry!$C431)+1,2)),2),"0000"))))</f>
        <v/>
      </c>
      <c r="G428">
        <f>IF($A428="","",Entry!$G431)</f>
        <v/>
      </c>
      <c r="H428">
        <f>IF($A428="","",IF(Entry!$H431="",0,Entry!$H431))</f>
        <v/>
      </c>
      <c r="I428">
        <f>IF($A428="","",IF(Entry!$I431="",0,Entry!$I431))</f>
        <v/>
      </c>
      <c r="J428">
        <f>IF($A428="","",ROUND($H428*$I428,0))</f>
        <v/>
      </c>
      <c r="K428">
        <f>IF($A428="","",Entry!$D431)</f>
        <v/>
      </c>
      <c r="L428">
        <f>IF($A428="","",Entry!$L431)</f>
        <v/>
      </c>
      <c r="N428">
        <f>IF(OR(Sync!$M428="",$Q428="",$Q428="نامعتبر"),"",Sync!$M428)</f>
        <v/>
      </c>
      <c r="O428">
        <f>IF($N428="","",$Q428)</f>
        <v/>
      </c>
      <c r="P428">
        <f>IF($N428="","",LEFT($Q428,4)&amp;MID($Q428,6,2)&amp;RIGHT($Q428,2)&amp;IF(Sync!$K428="","0000",IF(AND(ISNUMBER(Sync!$K428),Sync!$K428&gt;=0,Sync!$K428&lt;1),RIGHT("00"&amp;HOUR(Sync!$K428),2)&amp;RIGHT("00"&amp;MINUTE(Sync!$K428),2),IFERROR(RIGHT("00"&amp;VALUE(LEFT(Sync!$K428,FIND(":",Sync!$K428)-1)),2)&amp;RIGHT("00"&amp;VALUE(MID(Sync!$K428,FIND(":",Sync!$K428)+1,2)),2),"0000")))&amp;"|"&amp;"2"&amp;RIGHT("00000"&amp;423,5))</f>
        <v/>
      </c>
      <c r="Q428">
        <f>IF(Sync!$J428="","",IF(ISNUMBER(Sync!$J428),IF(AND(Sync!$J428&gt;=10000101,Sync!$J428&lt;=99991231),INT(Sync!$J428/10000)&amp;"/"&amp;RIGHT("00"&amp;INT(MOD(Sync!$J428,10000)/100),2)&amp;"/"&amp;RIGHT("00"&amp;MOD(Sync!$J428,100),2),"نامعتبر"),IF(LEN(Sync!$J428)=10,Sync!$J428,"نامعتبر")))</f>
        <v/>
      </c>
      <c r="R428">
        <f>IF($P428="","",COUNTIFS($N$6:$N$2005,$N428,$P$6:$P$2005,"&lt;"&amp;$P428)+COUNTIFS($A$6:$A$1005,$N428,$B$6:$B$1005,"&lt;"&amp;$P428)+1)</f>
        <v/>
      </c>
      <c r="S428">
        <f>IF($N428="","",$N428&amp;"|"&amp;RIGHT("000000"&amp;$R428,6))</f>
        <v/>
      </c>
      <c r="T428">
        <f>IF($N428="","",IF(Sync!$N428="",0,Sync!$N428))</f>
        <v/>
      </c>
      <c r="U428">
        <f>IF($N428="","",IF(Sync!$O428="",0,Sync!$O428))</f>
        <v/>
      </c>
      <c r="V428">
        <f>IF($N428="","",Sync!$L428)</f>
        <v/>
      </c>
      <c r="W428">
        <f>IF($N428="","",Sync!$P428)</f>
        <v/>
      </c>
      <c r="AA428">
        <f>IF($A428="","",IF(COUNTIF($A$6:$A428,$A428)=1,1,0))</f>
        <v/>
      </c>
      <c r="AB428">
        <f>SUM($AA$6:$AA428)</f>
        <v/>
      </c>
      <c r="AC428">
        <f>IFERROR(INDEX($A$6:$A$1005,MATCH(ROW()-5,$AB$6:$AB$1005,0)),"")</f>
        <v/>
      </c>
    </row>
    <row r="429">
      <c r="A429">
        <f>IF(OR(Entry!$B432="",Entry!$E432="",$E429="نامعتبر"),"",Entry!$E432)</f>
        <v/>
      </c>
      <c r="B429">
        <f>IF($A429="","",LEFT($E429,4)&amp;MID($E429,6,2)&amp;RIGHT($E429,2)&amp;$F429&amp;"|"&amp;"1"&amp;RIGHT("00000"&amp;424,5))</f>
        <v/>
      </c>
      <c r="C429">
        <f>IF($B429="","",COUNTIFS($A$6:$A$1005,$A429,$B$6:$B$1005,"&lt;"&amp;$B429)+COUNTIFS($N$6:$N$2005,$A429,$P$6:$P$2005,"&lt;"&amp;$B429)+1)</f>
        <v/>
      </c>
      <c r="D429">
        <f>IF($C429="","",$A429&amp;"|"&amp;RIGHT("000000"&amp;$C429,6))</f>
        <v/>
      </c>
      <c r="E429">
        <f>IF(Entry!$B432="","",IF(ISNUMBER(Entry!$B432),IF(AND(Entry!$B432&gt;=10000101,Entry!$B432&lt;=99991231),INT(Entry!$B432/10000)&amp;"/"&amp;RIGHT("00"&amp;INT(MOD(Entry!$B432,10000)/100),2)&amp;"/"&amp;RIGHT("00"&amp;MOD(Entry!$B432,100),2),"نامعتبر"),IF(LEN(Entry!$B432)=10,Entry!$B432,"نامعتبر")))</f>
        <v/>
      </c>
      <c r="F429">
        <f>IF(Entry!$B432="","",IF(Entry!$C432="","0000",IF(AND(ISNUMBER(Entry!$C432),Entry!$C432&gt;=0,Entry!$C432&lt;1),RIGHT("00"&amp;HOUR(Entry!$C432),2)&amp;RIGHT("00"&amp;MINUTE(Entry!$C432),2),IFERROR(RIGHT("00"&amp;VALUE(LEFT(Entry!$C432,FIND(":",Entry!$C432)-1)),2)&amp;RIGHT("00"&amp;VALUE(MID(Entry!$C432,FIND(":",Entry!$C432)+1,2)),2),"0000"))))</f>
        <v/>
      </c>
      <c r="G429">
        <f>IF($A429="","",Entry!$G432)</f>
        <v/>
      </c>
      <c r="H429">
        <f>IF($A429="","",IF(Entry!$H432="",0,Entry!$H432))</f>
        <v/>
      </c>
      <c r="I429">
        <f>IF($A429="","",IF(Entry!$I432="",0,Entry!$I432))</f>
        <v/>
      </c>
      <c r="J429">
        <f>IF($A429="","",ROUND($H429*$I429,0))</f>
        <v/>
      </c>
      <c r="K429">
        <f>IF($A429="","",Entry!$D432)</f>
        <v/>
      </c>
      <c r="L429">
        <f>IF($A429="","",Entry!$L432)</f>
        <v/>
      </c>
      <c r="N429">
        <f>IF(OR(Sync!$M429="",$Q429="",$Q429="نامعتبر"),"",Sync!$M429)</f>
        <v/>
      </c>
      <c r="O429">
        <f>IF($N429="","",$Q429)</f>
        <v/>
      </c>
      <c r="P429">
        <f>IF($N429="","",LEFT($Q429,4)&amp;MID($Q429,6,2)&amp;RIGHT($Q429,2)&amp;IF(Sync!$K429="","0000",IF(AND(ISNUMBER(Sync!$K429),Sync!$K429&gt;=0,Sync!$K429&lt;1),RIGHT("00"&amp;HOUR(Sync!$K429),2)&amp;RIGHT("00"&amp;MINUTE(Sync!$K429),2),IFERROR(RIGHT("00"&amp;VALUE(LEFT(Sync!$K429,FIND(":",Sync!$K429)-1)),2)&amp;RIGHT("00"&amp;VALUE(MID(Sync!$K429,FIND(":",Sync!$K429)+1,2)),2),"0000")))&amp;"|"&amp;"2"&amp;RIGHT("00000"&amp;424,5))</f>
        <v/>
      </c>
      <c r="Q429">
        <f>IF(Sync!$J429="","",IF(ISNUMBER(Sync!$J429),IF(AND(Sync!$J429&gt;=10000101,Sync!$J429&lt;=99991231),INT(Sync!$J429/10000)&amp;"/"&amp;RIGHT("00"&amp;INT(MOD(Sync!$J429,10000)/100),2)&amp;"/"&amp;RIGHT("00"&amp;MOD(Sync!$J429,100),2),"نامعتبر"),IF(LEN(Sync!$J429)=10,Sync!$J429,"نامعتبر")))</f>
        <v/>
      </c>
      <c r="R429">
        <f>IF($P429="","",COUNTIFS($N$6:$N$2005,$N429,$P$6:$P$2005,"&lt;"&amp;$P429)+COUNTIFS($A$6:$A$1005,$N429,$B$6:$B$1005,"&lt;"&amp;$P429)+1)</f>
        <v/>
      </c>
      <c r="S429">
        <f>IF($N429="","",$N429&amp;"|"&amp;RIGHT("000000"&amp;$R429,6))</f>
        <v/>
      </c>
      <c r="T429">
        <f>IF($N429="","",IF(Sync!$N429="",0,Sync!$N429))</f>
        <v/>
      </c>
      <c r="U429">
        <f>IF($N429="","",IF(Sync!$O429="",0,Sync!$O429))</f>
        <v/>
      </c>
      <c r="V429">
        <f>IF($N429="","",Sync!$L429)</f>
        <v/>
      </c>
      <c r="W429">
        <f>IF($N429="","",Sync!$P429)</f>
        <v/>
      </c>
      <c r="AA429">
        <f>IF($A429="","",IF(COUNTIF($A$6:$A429,$A429)=1,1,0))</f>
        <v/>
      </c>
      <c r="AB429">
        <f>SUM($AA$6:$AA429)</f>
        <v/>
      </c>
      <c r="AC429">
        <f>IFERROR(INDEX($A$6:$A$1005,MATCH(ROW()-5,$AB$6:$AB$1005,0)),"")</f>
        <v/>
      </c>
    </row>
    <row r="430">
      <c r="A430">
        <f>IF(OR(Entry!$B433="",Entry!$E433="",$E430="نامعتبر"),"",Entry!$E433)</f>
        <v/>
      </c>
      <c r="B430">
        <f>IF($A430="","",LEFT($E430,4)&amp;MID($E430,6,2)&amp;RIGHT($E430,2)&amp;$F430&amp;"|"&amp;"1"&amp;RIGHT("00000"&amp;425,5))</f>
        <v/>
      </c>
      <c r="C430">
        <f>IF($B430="","",COUNTIFS($A$6:$A$1005,$A430,$B$6:$B$1005,"&lt;"&amp;$B430)+COUNTIFS($N$6:$N$2005,$A430,$P$6:$P$2005,"&lt;"&amp;$B430)+1)</f>
        <v/>
      </c>
      <c r="D430">
        <f>IF($C430="","",$A430&amp;"|"&amp;RIGHT("000000"&amp;$C430,6))</f>
        <v/>
      </c>
      <c r="E430">
        <f>IF(Entry!$B433="","",IF(ISNUMBER(Entry!$B433),IF(AND(Entry!$B433&gt;=10000101,Entry!$B433&lt;=99991231),INT(Entry!$B433/10000)&amp;"/"&amp;RIGHT("00"&amp;INT(MOD(Entry!$B433,10000)/100),2)&amp;"/"&amp;RIGHT("00"&amp;MOD(Entry!$B433,100),2),"نامعتبر"),IF(LEN(Entry!$B433)=10,Entry!$B433,"نامعتبر")))</f>
        <v/>
      </c>
      <c r="F430">
        <f>IF(Entry!$B433="","",IF(Entry!$C433="","0000",IF(AND(ISNUMBER(Entry!$C433),Entry!$C433&gt;=0,Entry!$C433&lt;1),RIGHT("00"&amp;HOUR(Entry!$C433),2)&amp;RIGHT("00"&amp;MINUTE(Entry!$C433),2),IFERROR(RIGHT("00"&amp;VALUE(LEFT(Entry!$C433,FIND(":",Entry!$C433)-1)),2)&amp;RIGHT("00"&amp;VALUE(MID(Entry!$C433,FIND(":",Entry!$C433)+1,2)),2),"0000"))))</f>
        <v/>
      </c>
      <c r="G430">
        <f>IF($A430="","",Entry!$G433)</f>
        <v/>
      </c>
      <c r="H430">
        <f>IF($A430="","",IF(Entry!$H433="",0,Entry!$H433))</f>
        <v/>
      </c>
      <c r="I430">
        <f>IF($A430="","",IF(Entry!$I433="",0,Entry!$I433))</f>
        <v/>
      </c>
      <c r="J430">
        <f>IF($A430="","",ROUND($H430*$I430,0))</f>
        <v/>
      </c>
      <c r="K430">
        <f>IF($A430="","",Entry!$D433)</f>
        <v/>
      </c>
      <c r="L430">
        <f>IF($A430="","",Entry!$L433)</f>
        <v/>
      </c>
      <c r="N430">
        <f>IF(OR(Sync!$M430="",$Q430="",$Q430="نامعتبر"),"",Sync!$M430)</f>
        <v/>
      </c>
      <c r="O430">
        <f>IF($N430="","",$Q430)</f>
        <v/>
      </c>
      <c r="P430">
        <f>IF($N430="","",LEFT($Q430,4)&amp;MID($Q430,6,2)&amp;RIGHT($Q430,2)&amp;IF(Sync!$K430="","0000",IF(AND(ISNUMBER(Sync!$K430),Sync!$K430&gt;=0,Sync!$K430&lt;1),RIGHT("00"&amp;HOUR(Sync!$K430),2)&amp;RIGHT("00"&amp;MINUTE(Sync!$K430),2),IFERROR(RIGHT("00"&amp;VALUE(LEFT(Sync!$K430,FIND(":",Sync!$K430)-1)),2)&amp;RIGHT("00"&amp;VALUE(MID(Sync!$K430,FIND(":",Sync!$K430)+1,2)),2),"0000")))&amp;"|"&amp;"2"&amp;RIGHT("00000"&amp;425,5))</f>
        <v/>
      </c>
      <c r="Q430">
        <f>IF(Sync!$J430="","",IF(ISNUMBER(Sync!$J430),IF(AND(Sync!$J430&gt;=10000101,Sync!$J430&lt;=99991231),INT(Sync!$J430/10000)&amp;"/"&amp;RIGHT("00"&amp;INT(MOD(Sync!$J430,10000)/100),2)&amp;"/"&amp;RIGHT("00"&amp;MOD(Sync!$J430,100),2),"نامعتبر"),IF(LEN(Sync!$J430)=10,Sync!$J430,"نامعتبر")))</f>
        <v/>
      </c>
      <c r="R430">
        <f>IF($P430="","",COUNTIFS($N$6:$N$2005,$N430,$P$6:$P$2005,"&lt;"&amp;$P430)+COUNTIFS($A$6:$A$1005,$N430,$B$6:$B$1005,"&lt;"&amp;$P430)+1)</f>
        <v/>
      </c>
      <c r="S430">
        <f>IF($N430="","",$N430&amp;"|"&amp;RIGHT("000000"&amp;$R430,6))</f>
        <v/>
      </c>
      <c r="T430">
        <f>IF($N430="","",IF(Sync!$N430="",0,Sync!$N430))</f>
        <v/>
      </c>
      <c r="U430">
        <f>IF($N430="","",IF(Sync!$O430="",0,Sync!$O430))</f>
        <v/>
      </c>
      <c r="V430">
        <f>IF($N430="","",Sync!$L430)</f>
        <v/>
      </c>
      <c r="W430">
        <f>IF($N430="","",Sync!$P430)</f>
        <v/>
      </c>
      <c r="AA430">
        <f>IF($A430="","",IF(COUNTIF($A$6:$A430,$A430)=1,1,0))</f>
        <v/>
      </c>
      <c r="AB430">
        <f>SUM($AA$6:$AA430)</f>
        <v/>
      </c>
      <c r="AC430">
        <f>IFERROR(INDEX($A$6:$A$1005,MATCH(ROW()-5,$AB$6:$AB$1005,0)),"")</f>
        <v/>
      </c>
    </row>
    <row r="431">
      <c r="A431">
        <f>IF(OR(Entry!$B434="",Entry!$E434="",$E431="نامعتبر"),"",Entry!$E434)</f>
        <v/>
      </c>
      <c r="B431">
        <f>IF($A431="","",LEFT($E431,4)&amp;MID($E431,6,2)&amp;RIGHT($E431,2)&amp;$F431&amp;"|"&amp;"1"&amp;RIGHT("00000"&amp;426,5))</f>
        <v/>
      </c>
      <c r="C431">
        <f>IF($B431="","",COUNTIFS($A$6:$A$1005,$A431,$B$6:$B$1005,"&lt;"&amp;$B431)+COUNTIFS($N$6:$N$2005,$A431,$P$6:$P$2005,"&lt;"&amp;$B431)+1)</f>
        <v/>
      </c>
      <c r="D431">
        <f>IF($C431="","",$A431&amp;"|"&amp;RIGHT("000000"&amp;$C431,6))</f>
        <v/>
      </c>
      <c r="E431">
        <f>IF(Entry!$B434="","",IF(ISNUMBER(Entry!$B434),IF(AND(Entry!$B434&gt;=10000101,Entry!$B434&lt;=99991231),INT(Entry!$B434/10000)&amp;"/"&amp;RIGHT("00"&amp;INT(MOD(Entry!$B434,10000)/100),2)&amp;"/"&amp;RIGHT("00"&amp;MOD(Entry!$B434,100),2),"نامعتبر"),IF(LEN(Entry!$B434)=10,Entry!$B434,"نامعتبر")))</f>
        <v/>
      </c>
      <c r="F431">
        <f>IF(Entry!$B434="","",IF(Entry!$C434="","0000",IF(AND(ISNUMBER(Entry!$C434),Entry!$C434&gt;=0,Entry!$C434&lt;1),RIGHT("00"&amp;HOUR(Entry!$C434),2)&amp;RIGHT("00"&amp;MINUTE(Entry!$C434),2),IFERROR(RIGHT("00"&amp;VALUE(LEFT(Entry!$C434,FIND(":",Entry!$C434)-1)),2)&amp;RIGHT("00"&amp;VALUE(MID(Entry!$C434,FIND(":",Entry!$C434)+1,2)),2),"0000"))))</f>
        <v/>
      </c>
      <c r="G431">
        <f>IF($A431="","",Entry!$G434)</f>
        <v/>
      </c>
      <c r="H431">
        <f>IF($A431="","",IF(Entry!$H434="",0,Entry!$H434))</f>
        <v/>
      </c>
      <c r="I431">
        <f>IF($A431="","",IF(Entry!$I434="",0,Entry!$I434))</f>
        <v/>
      </c>
      <c r="J431">
        <f>IF($A431="","",ROUND($H431*$I431,0))</f>
        <v/>
      </c>
      <c r="K431">
        <f>IF($A431="","",Entry!$D434)</f>
        <v/>
      </c>
      <c r="L431">
        <f>IF($A431="","",Entry!$L434)</f>
        <v/>
      </c>
      <c r="N431">
        <f>IF(OR(Sync!$M431="",$Q431="",$Q431="نامعتبر"),"",Sync!$M431)</f>
        <v/>
      </c>
      <c r="O431">
        <f>IF($N431="","",$Q431)</f>
        <v/>
      </c>
      <c r="P431">
        <f>IF($N431="","",LEFT($Q431,4)&amp;MID($Q431,6,2)&amp;RIGHT($Q431,2)&amp;IF(Sync!$K431="","0000",IF(AND(ISNUMBER(Sync!$K431),Sync!$K431&gt;=0,Sync!$K431&lt;1),RIGHT("00"&amp;HOUR(Sync!$K431),2)&amp;RIGHT("00"&amp;MINUTE(Sync!$K431),2),IFERROR(RIGHT("00"&amp;VALUE(LEFT(Sync!$K431,FIND(":",Sync!$K431)-1)),2)&amp;RIGHT("00"&amp;VALUE(MID(Sync!$K431,FIND(":",Sync!$K431)+1,2)),2),"0000")))&amp;"|"&amp;"2"&amp;RIGHT("00000"&amp;426,5))</f>
        <v/>
      </c>
      <c r="Q431">
        <f>IF(Sync!$J431="","",IF(ISNUMBER(Sync!$J431),IF(AND(Sync!$J431&gt;=10000101,Sync!$J431&lt;=99991231),INT(Sync!$J431/10000)&amp;"/"&amp;RIGHT("00"&amp;INT(MOD(Sync!$J431,10000)/100),2)&amp;"/"&amp;RIGHT("00"&amp;MOD(Sync!$J431,100),2),"نامعتبر"),IF(LEN(Sync!$J431)=10,Sync!$J431,"نامعتبر")))</f>
        <v/>
      </c>
      <c r="R431">
        <f>IF($P431="","",COUNTIFS($N$6:$N$2005,$N431,$P$6:$P$2005,"&lt;"&amp;$P431)+COUNTIFS($A$6:$A$1005,$N431,$B$6:$B$1005,"&lt;"&amp;$P431)+1)</f>
        <v/>
      </c>
      <c r="S431">
        <f>IF($N431="","",$N431&amp;"|"&amp;RIGHT("000000"&amp;$R431,6))</f>
        <v/>
      </c>
      <c r="T431">
        <f>IF($N431="","",IF(Sync!$N431="",0,Sync!$N431))</f>
        <v/>
      </c>
      <c r="U431">
        <f>IF($N431="","",IF(Sync!$O431="",0,Sync!$O431))</f>
        <v/>
      </c>
      <c r="V431">
        <f>IF($N431="","",Sync!$L431)</f>
        <v/>
      </c>
      <c r="W431">
        <f>IF($N431="","",Sync!$P431)</f>
        <v/>
      </c>
      <c r="AA431">
        <f>IF($A431="","",IF(COUNTIF($A$6:$A431,$A431)=1,1,0))</f>
        <v/>
      </c>
      <c r="AB431">
        <f>SUM($AA$6:$AA431)</f>
        <v/>
      </c>
      <c r="AC431">
        <f>IFERROR(INDEX($A$6:$A$1005,MATCH(ROW()-5,$AB$6:$AB$1005,0)),"")</f>
        <v/>
      </c>
    </row>
    <row r="432">
      <c r="A432">
        <f>IF(OR(Entry!$B435="",Entry!$E435="",$E432="نامعتبر"),"",Entry!$E435)</f>
        <v/>
      </c>
      <c r="B432">
        <f>IF($A432="","",LEFT($E432,4)&amp;MID($E432,6,2)&amp;RIGHT($E432,2)&amp;$F432&amp;"|"&amp;"1"&amp;RIGHT("00000"&amp;427,5))</f>
        <v/>
      </c>
      <c r="C432">
        <f>IF($B432="","",COUNTIFS($A$6:$A$1005,$A432,$B$6:$B$1005,"&lt;"&amp;$B432)+COUNTIFS($N$6:$N$2005,$A432,$P$6:$P$2005,"&lt;"&amp;$B432)+1)</f>
        <v/>
      </c>
      <c r="D432">
        <f>IF($C432="","",$A432&amp;"|"&amp;RIGHT("000000"&amp;$C432,6))</f>
        <v/>
      </c>
      <c r="E432">
        <f>IF(Entry!$B435="","",IF(ISNUMBER(Entry!$B435),IF(AND(Entry!$B435&gt;=10000101,Entry!$B435&lt;=99991231),INT(Entry!$B435/10000)&amp;"/"&amp;RIGHT("00"&amp;INT(MOD(Entry!$B435,10000)/100),2)&amp;"/"&amp;RIGHT("00"&amp;MOD(Entry!$B435,100),2),"نامعتبر"),IF(LEN(Entry!$B435)=10,Entry!$B435,"نامعتبر")))</f>
        <v/>
      </c>
      <c r="F432">
        <f>IF(Entry!$B435="","",IF(Entry!$C435="","0000",IF(AND(ISNUMBER(Entry!$C435),Entry!$C435&gt;=0,Entry!$C435&lt;1),RIGHT("00"&amp;HOUR(Entry!$C435),2)&amp;RIGHT("00"&amp;MINUTE(Entry!$C435),2),IFERROR(RIGHT("00"&amp;VALUE(LEFT(Entry!$C435,FIND(":",Entry!$C435)-1)),2)&amp;RIGHT("00"&amp;VALUE(MID(Entry!$C435,FIND(":",Entry!$C435)+1,2)),2),"0000"))))</f>
        <v/>
      </c>
      <c r="G432">
        <f>IF($A432="","",Entry!$G435)</f>
        <v/>
      </c>
      <c r="H432">
        <f>IF($A432="","",IF(Entry!$H435="",0,Entry!$H435))</f>
        <v/>
      </c>
      <c r="I432">
        <f>IF($A432="","",IF(Entry!$I435="",0,Entry!$I435))</f>
        <v/>
      </c>
      <c r="J432">
        <f>IF($A432="","",ROUND($H432*$I432,0))</f>
        <v/>
      </c>
      <c r="K432">
        <f>IF($A432="","",Entry!$D435)</f>
        <v/>
      </c>
      <c r="L432">
        <f>IF($A432="","",Entry!$L435)</f>
        <v/>
      </c>
      <c r="N432">
        <f>IF(OR(Sync!$M432="",$Q432="",$Q432="نامعتبر"),"",Sync!$M432)</f>
        <v/>
      </c>
      <c r="O432">
        <f>IF($N432="","",$Q432)</f>
        <v/>
      </c>
      <c r="P432">
        <f>IF($N432="","",LEFT($Q432,4)&amp;MID($Q432,6,2)&amp;RIGHT($Q432,2)&amp;IF(Sync!$K432="","0000",IF(AND(ISNUMBER(Sync!$K432),Sync!$K432&gt;=0,Sync!$K432&lt;1),RIGHT("00"&amp;HOUR(Sync!$K432),2)&amp;RIGHT("00"&amp;MINUTE(Sync!$K432),2),IFERROR(RIGHT("00"&amp;VALUE(LEFT(Sync!$K432,FIND(":",Sync!$K432)-1)),2)&amp;RIGHT("00"&amp;VALUE(MID(Sync!$K432,FIND(":",Sync!$K432)+1,2)),2),"0000")))&amp;"|"&amp;"2"&amp;RIGHT("00000"&amp;427,5))</f>
        <v/>
      </c>
      <c r="Q432">
        <f>IF(Sync!$J432="","",IF(ISNUMBER(Sync!$J432),IF(AND(Sync!$J432&gt;=10000101,Sync!$J432&lt;=99991231),INT(Sync!$J432/10000)&amp;"/"&amp;RIGHT("00"&amp;INT(MOD(Sync!$J432,10000)/100),2)&amp;"/"&amp;RIGHT("00"&amp;MOD(Sync!$J432,100),2),"نامعتبر"),IF(LEN(Sync!$J432)=10,Sync!$J432,"نامعتبر")))</f>
        <v/>
      </c>
      <c r="R432">
        <f>IF($P432="","",COUNTIFS($N$6:$N$2005,$N432,$P$6:$P$2005,"&lt;"&amp;$P432)+COUNTIFS($A$6:$A$1005,$N432,$B$6:$B$1005,"&lt;"&amp;$P432)+1)</f>
        <v/>
      </c>
      <c r="S432">
        <f>IF($N432="","",$N432&amp;"|"&amp;RIGHT("000000"&amp;$R432,6))</f>
        <v/>
      </c>
      <c r="T432">
        <f>IF($N432="","",IF(Sync!$N432="",0,Sync!$N432))</f>
        <v/>
      </c>
      <c r="U432">
        <f>IF($N432="","",IF(Sync!$O432="",0,Sync!$O432))</f>
        <v/>
      </c>
      <c r="V432">
        <f>IF($N432="","",Sync!$L432)</f>
        <v/>
      </c>
      <c r="W432">
        <f>IF($N432="","",Sync!$P432)</f>
        <v/>
      </c>
      <c r="AA432">
        <f>IF($A432="","",IF(COUNTIF($A$6:$A432,$A432)=1,1,0))</f>
        <v/>
      </c>
      <c r="AB432">
        <f>SUM($AA$6:$AA432)</f>
        <v/>
      </c>
      <c r="AC432">
        <f>IFERROR(INDEX($A$6:$A$1005,MATCH(ROW()-5,$AB$6:$AB$1005,0)),"")</f>
        <v/>
      </c>
    </row>
    <row r="433">
      <c r="A433">
        <f>IF(OR(Entry!$B436="",Entry!$E436="",$E433="نامعتبر"),"",Entry!$E436)</f>
        <v/>
      </c>
      <c r="B433">
        <f>IF($A433="","",LEFT($E433,4)&amp;MID($E433,6,2)&amp;RIGHT($E433,2)&amp;$F433&amp;"|"&amp;"1"&amp;RIGHT("00000"&amp;428,5))</f>
        <v/>
      </c>
      <c r="C433">
        <f>IF($B433="","",COUNTIFS($A$6:$A$1005,$A433,$B$6:$B$1005,"&lt;"&amp;$B433)+COUNTIFS($N$6:$N$2005,$A433,$P$6:$P$2005,"&lt;"&amp;$B433)+1)</f>
        <v/>
      </c>
      <c r="D433">
        <f>IF($C433="","",$A433&amp;"|"&amp;RIGHT("000000"&amp;$C433,6))</f>
        <v/>
      </c>
      <c r="E433">
        <f>IF(Entry!$B436="","",IF(ISNUMBER(Entry!$B436),IF(AND(Entry!$B436&gt;=10000101,Entry!$B436&lt;=99991231),INT(Entry!$B436/10000)&amp;"/"&amp;RIGHT("00"&amp;INT(MOD(Entry!$B436,10000)/100),2)&amp;"/"&amp;RIGHT("00"&amp;MOD(Entry!$B436,100),2),"نامعتبر"),IF(LEN(Entry!$B436)=10,Entry!$B436,"نامعتبر")))</f>
        <v/>
      </c>
      <c r="F433">
        <f>IF(Entry!$B436="","",IF(Entry!$C436="","0000",IF(AND(ISNUMBER(Entry!$C436),Entry!$C436&gt;=0,Entry!$C436&lt;1),RIGHT("00"&amp;HOUR(Entry!$C436),2)&amp;RIGHT("00"&amp;MINUTE(Entry!$C436),2),IFERROR(RIGHT("00"&amp;VALUE(LEFT(Entry!$C436,FIND(":",Entry!$C436)-1)),2)&amp;RIGHT("00"&amp;VALUE(MID(Entry!$C436,FIND(":",Entry!$C436)+1,2)),2),"0000"))))</f>
        <v/>
      </c>
      <c r="G433">
        <f>IF($A433="","",Entry!$G436)</f>
        <v/>
      </c>
      <c r="H433">
        <f>IF($A433="","",IF(Entry!$H436="",0,Entry!$H436))</f>
        <v/>
      </c>
      <c r="I433">
        <f>IF($A433="","",IF(Entry!$I436="",0,Entry!$I436))</f>
        <v/>
      </c>
      <c r="J433">
        <f>IF($A433="","",ROUND($H433*$I433,0))</f>
        <v/>
      </c>
      <c r="K433">
        <f>IF($A433="","",Entry!$D436)</f>
        <v/>
      </c>
      <c r="L433">
        <f>IF($A433="","",Entry!$L436)</f>
        <v/>
      </c>
      <c r="N433">
        <f>IF(OR(Sync!$M433="",$Q433="",$Q433="نامعتبر"),"",Sync!$M433)</f>
        <v/>
      </c>
      <c r="O433">
        <f>IF($N433="","",$Q433)</f>
        <v/>
      </c>
      <c r="P433">
        <f>IF($N433="","",LEFT($Q433,4)&amp;MID($Q433,6,2)&amp;RIGHT($Q433,2)&amp;IF(Sync!$K433="","0000",IF(AND(ISNUMBER(Sync!$K433),Sync!$K433&gt;=0,Sync!$K433&lt;1),RIGHT("00"&amp;HOUR(Sync!$K433),2)&amp;RIGHT("00"&amp;MINUTE(Sync!$K433),2),IFERROR(RIGHT("00"&amp;VALUE(LEFT(Sync!$K433,FIND(":",Sync!$K433)-1)),2)&amp;RIGHT("00"&amp;VALUE(MID(Sync!$K433,FIND(":",Sync!$K433)+1,2)),2),"0000")))&amp;"|"&amp;"2"&amp;RIGHT("00000"&amp;428,5))</f>
        <v/>
      </c>
      <c r="Q433">
        <f>IF(Sync!$J433="","",IF(ISNUMBER(Sync!$J433),IF(AND(Sync!$J433&gt;=10000101,Sync!$J433&lt;=99991231),INT(Sync!$J433/10000)&amp;"/"&amp;RIGHT("00"&amp;INT(MOD(Sync!$J433,10000)/100),2)&amp;"/"&amp;RIGHT("00"&amp;MOD(Sync!$J433,100),2),"نامعتبر"),IF(LEN(Sync!$J433)=10,Sync!$J433,"نامعتبر")))</f>
        <v/>
      </c>
      <c r="R433">
        <f>IF($P433="","",COUNTIFS($N$6:$N$2005,$N433,$P$6:$P$2005,"&lt;"&amp;$P433)+COUNTIFS($A$6:$A$1005,$N433,$B$6:$B$1005,"&lt;"&amp;$P433)+1)</f>
        <v/>
      </c>
      <c r="S433">
        <f>IF($N433="","",$N433&amp;"|"&amp;RIGHT("000000"&amp;$R433,6))</f>
        <v/>
      </c>
      <c r="T433">
        <f>IF($N433="","",IF(Sync!$N433="",0,Sync!$N433))</f>
        <v/>
      </c>
      <c r="U433">
        <f>IF($N433="","",IF(Sync!$O433="",0,Sync!$O433))</f>
        <v/>
      </c>
      <c r="V433">
        <f>IF($N433="","",Sync!$L433)</f>
        <v/>
      </c>
      <c r="W433">
        <f>IF($N433="","",Sync!$P433)</f>
        <v/>
      </c>
      <c r="AA433">
        <f>IF($A433="","",IF(COUNTIF($A$6:$A433,$A433)=1,1,0))</f>
        <v/>
      </c>
      <c r="AB433">
        <f>SUM($AA$6:$AA433)</f>
        <v/>
      </c>
      <c r="AC433">
        <f>IFERROR(INDEX($A$6:$A$1005,MATCH(ROW()-5,$AB$6:$AB$1005,0)),"")</f>
        <v/>
      </c>
    </row>
    <row r="434">
      <c r="A434">
        <f>IF(OR(Entry!$B437="",Entry!$E437="",$E434="نامعتبر"),"",Entry!$E437)</f>
        <v/>
      </c>
      <c r="B434">
        <f>IF($A434="","",LEFT($E434,4)&amp;MID($E434,6,2)&amp;RIGHT($E434,2)&amp;$F434&amp;"|"&amp;"1"&amp;RIGHT("00000"&amp;429,5))</f>
        <v/>
      </c>
      <c r="C434">
        <f>IF($B434="","",COUNTIFS($A$6:$A$1005,$A434,$B$6:$B$1005,"&lt;"&amp;$B434)+COUNTIFS($N$6:$N$2005,$A434,$P$6:$P$2005,"&lt;"&amp;$B434)+1)</f>
        <v/>
      </c>
      <c r="D434">
        <f>IF($C434="","",$A434&amp;"|"&amp;RIGHT("000000"&amp;$C434,6))</f>
        <v/>
      </c>
      <c r="E434">
        <f>IF(Entry!$B437="","",IF(ISNUMBER(Entry!$B437),IF(AND(Entry!$B437&gt;=10000101,Entry!$B437&lt;=99991231),INT(Entry!$B437/10000)&amp;"/"&amp;RIGHT("00"&amp;INT(MOD(Entry!$B437,10000)/100),2)&amp;"/"&amp;RIGHT("00"&amp;MOD(Entry!$B437,100),2),"نامعتبر"),IF(LEN(Entry!$B437)=10,Entry!$B437,"نامعتبر")))</f>
        <v/>
      </c>
      <c r="F434">
        <f>IF(Entry!$B437="","",IF(Entry!$C437="","0000",IF(AND(ISNUMBER(Entry!$C437),Entry!$C437&gt;=0,Entry!$C437&lt;1),RIGHT("00"&amp;HOUR(Entry!$C437),2)&amp;RIGHT("00"&amp;MINUTE(Entry!$C437),2),IFERROR(RIGHT("00"&amp;VALUE(LEFT(Entry!$C437,FIND(":",Entry!$C437)-1)),2)&amp;RIGHT("00"&amp;VALUE(MID(Entry!$C437,FIND(":",Entry!$C437)+1,2)),2),"0000"))))</f>
        <v/>
      </c>
      <c r="G434">
        <f>IF($A434="","",Entry!$G437)</f>
        <v/>
      </c>
      <c r="H434">
        <f>IF($A434="","",IF(Entry!$H437="",0,Entry!$H437))</f>
        <v/>
      </c>
      <c r="I434">
        <f>IF($A434="","",IF(Entry!$I437="",0,Entry!$I437))</f>
        <v/>
      </c>
      <c r="J434">
        <f>IF($A434="","",ROUND($H434*$I434,0))</f>
        <v/>
      </c>
      <c r="K434">
        <f>IF($A434="","",Entry!$D437)</f>
        <v/>
      </c>
      <c r="L434">
        <f>IF($A434="","",Entry!$L437)</f>
        <v/>
      </c>
      <c r="N434">
        <f>IF(OR(Sync!$M434="",$Q434="",$Q434="نامعتبر"),"",Sync!$M434)</f>
        <v/>
      </c>
      <c r="O434">
        <f>IF($N434="","",$Q434)</f>
        <v/>
      </c>
      <c r="P434">
        <f>IF($N434="","",LEFT($Q434,4)&amp;MID($Q434,6,2)&amp;RIGHT($Q434,2)&amp;IF(Sync!$K434="","0000",IF(AND(ISNUMBER(Sync!$K434),Sync!$K434&gt;=0,Sync!$K434&lt;1),RIGHT("00"&amp;HOUR(Sync!$K434),2)&amp;RIGHT("00"&amp;MINUTE(Sync!$K434),2),IFERROR(RIGHT("00"&amp;VALUE(LEFT(Sync!$K434,FIND(":",Sync!$K434)-1)),2)&amp;RIGHT("00"&amp;VALUE(MID(Sync!$K434,FIND(":",Sync!$K434)+1,2)),2),"0000")))&amp;"|"&amp;"2"&amp;RIGHT("00000"&amp;429,5))</f>
        <v/>
      </c>
      <c r="Q434">
        <f>IF(Sync!$J434="","",IF(ISNUMBER(Sync!$J434),IF(AND(Sync!$J434&gt;=10000101,Sync!$J434&lt;=99991231),INT(Sync!$J434/10000)&amp;"/"&amp;RIGHT("00"&amp;INT(MOD(Sync!$J434,10000)/100),2)&amp;"/"&amp;RIGHT("00"&amp;MOD(Sync!$J434,100),2),"نامعتبر"),IF(LEN(Sync!$J434)=10,Sync!$J434,"نامعتبر")))</f>
        <v/>
      </c>
      <c r="R434">
        <f>IF($P434="","",COUNTIFS($N$6:$N$2005,$N434,$P$6:$P$2005,"&lt;"&amp;$P434)+COUNTIFS($A$6:$A$1005,$N434,$B$6:$B$1005,"&lt;"&amp;$P434)+1)</f>
        <v/>
      </c>
      <c r="S434">
        <f>IF($N434="","",$N434&amp;"|"&amp;RIGHT("000000"&amp;$R434,6))</f>
        <v/>
      </c>
      <c r="T434">
        <f>IF($N434="","",IF(Sync!$N434="",0,Sync!$N434))</f>
        <v/>
      </c>
      <c r="U434">
        <f>IF($N434="","",IF(Sync!$O434="",0,Sync!$O434))</f>
        <v/>
      </c>
      <c r="V434">
        <f>IF($N434="","",Sync!$L434)</f>
        <v/>
      </c>
      <c r="W434">
        <f>IF($N434="","",Sync!$P434)</f>
        <v/>
      </c>
      <c r="AA434">
        <f>IF($A434="","",IF(COUNTIF($A$6:$A434,$A434)=1,1,0))</f>
        <v/>
      </c>
      <c r="AB434">
        <f>SUM($AA$6:$AA434)</f>
        <v/>
      </c>
      <c r="AC434">
        <f>IFERROR(INDEX($A$6:$A$1005,MATCH(ROW()-5,$AB$6:$AB$1005,0)),"")</f>
        <v/>
      </c>
    </row>
    <row r="435">
      <c r="A435">
        <f>IF(OR(Entry!$B438="",Entry!$E438="",$E435="نامعتبر"),"",Entry!$E438)</f>
        <v/>
      </c>
      <c r="B435">
        <f>IF($A435="","",LEFT($E435,4)&amp;MID($E435,6,2)&amp;RIGHT($E435,2)&amp;$F435&amp;"|"&amp;"1"&amp;RIGHT("00000"&amp;430,5))</f>
        <v/>
      </c>
      <c r="C435">
        <f>IF($B435="","",COUNTIFS($A$6:$A$1005,$A435,$B$6:$B$1005,"&lt;"&amp;$B435)+COUNTIFS($N$6:$N$2005,$A435,$P$6:$P$2005,"&lt;"&amp;$B435)+1)</f>
        <v/>
      </c>
      <c r="D435">
        <f>IF($C435="","",$A435&amp;"|"&amp;RIGHT("000000"&amp;$C435,6))</f>
        <v/>
      </c>
      <c r="E435">
        <f>IF(Entry!$B438="","",IF(ISNUMBER(Entry!$B438),IF(AND(Entry!$B438&gt;=10000101,Entry!$B438&lt;=99991231),INT(Entry!$B438/10000)&amp;"/"&amp;RIGHT("00"&amp;INT(MOD(Entry!$B438,10000)/100),2)&amp;"/"&amp;RIGHT("00"&amp;MOD(Entry!$B438,100),2),"نامعتبر"),IF(LEN(Entry!$B438)=10,Entry!$B438,"نامعتبر")))</f>
        <v/>
      </c>
      <c r="F435">
        <f>IF(Entry!$B438="","",IF(Entry!$C438="","0000",IF(AND(ISNUMBER(Entry!$C438),Entry!$C438&gt;=0,Entry!$C438&lt;1),RIGHT("00"&amp;HOUR(Entry!$C438),2)&amp;RIGHT("00"&amp;MINUTE(Entry!$C438),2),IFERROR(RIGHT("00"&amp;VALUE(LEFT(Entry!$C438,FIND(":",Entry!$C438)-1)),2)&amp;RIGHT("00"&amp;VALUE(MID(Entry!$C438,FIND(":",Entry!$C438)+1,2)),2),"0000"))))</f>
        <v/>
      </c>
      <c r="G435">
        <f>IF($A435="","",Entry!$G438)</f>
        <v/>
      </c>
      <c r="H435">
        <f>IF($A435="","",IF(Entry!$H438="",0,Entry!$H438))</f>
        <v/>
      </c>
      <c r="I435">
        <f>IF($A435="","",IF(Entry!$I438="",0,Entry!$I438))</f>
        <v/>
      </c>
      <c r="J435">
        <f>IF($A435="","",ROUND($H435*$I435,0))</f>
        <v/>
      </c>
      <c r="K435">
        <f>IF($A435="","",Entry!$D438)</f>
        <v/>
      </c>
      <c r="L435">
        <f>IF($A435="","",Entry!$L438)</f>
        <v/>
      </c>
      <c r="N435">
        <f>IF(OR(Sync!$M435="",$Q435="",$Q435="نامعتبر"),"",Sync!$M435)</f>
        <v/>
      </c>
      <c r="O435">
        <f>IF($N435="","",$Q435)</f>
        <v/>
      </c>
      <c r="P435">
        <f>IF($N435="","",LEFT($Q435,4)&amp;MID($Q435,6,2)&amp;RIGHT($Q435,2)&amp;IF(Sync!$K435="","0000",IF(AND(ISNUMBER(Sync!$K435),Sync!$K435&gt;=0,Sync!$K435&lt;1),RIGHT("00"&amp;HOUR(Sync!$K435),2)&amp;RIGHT("00"&amp;MINUTE(Sync!$K435),2),IFERROR(RIGHT("00"&amp;VALUE(LEFT(Sync!$K435,FIND(":",Sync!$K435)-1)),2)&amp;RIGHT("00"&amp;VALUE(MID(Sync!$K435,FIND(":",Sync!$K435)+1,2)),2),"0000")))&amp;"|"&amp;"2"&amp;RIGHT("00000"&amp;430,5))</f>
        <v/>
      </c>
      <c r="Q435">
        <f>IF(Sync!$J435="","",IF(ISNUMBER(Sync!$J435),IF(AND(Sync!$J435&gt;=10000101,Sync!$J435&lt;=99991231),INT(Sync!$J435/10000)&amp;"/"&amp;RIGHT("00"&amp;INT(MOD(Sync!$J435,10000)/100),2)&amp;"/"&amp;RIGHT("00"&amp;MOD(Sync!$J435,100),2),"نامعتبر"),IF(LEN(Sync!$J435)=10,Sync!$J435,"نامعتبر")))</f>
        <v/>
      </c>
      <c r="R435">
        <f>IF($P435="","",COUNTIFS($N$6:$N$2005,$N435,$P$6:$P$2005,"&lt;"&amp;$P435)+COUNTIFS($A$6:$A$1005,$N435,$B$6:$B$1005,"&lt;"&amp;$P435)+1)</f>
        <v/>
      </c>
      <c r="S435">
        <f>IF($N435="","",$N435&amp;"|"&amp;RIGHT("000000"&amp;$R435,6))</f>
        <v/>
      </c>
      <c r="T435">
        <f>IF($N435="","",IF(Sync!$N435="",0,Sync!$N435))</f>
        <v/>
      </c>
      <c r="U435">
        <f>IF($N435="","",IF(Sync!$O435="",0,Sync!$O435))</f>
        <v/>
      </c>
      <c r="V435">
        <f>IF($N435="","",Sync!$L435)</f>
        <v/>
      </c>
      <c r="W435">
        <f>IF($N435="","",Sync!$P435)</f>
        <v/>
      </c>
      <c r="AA435">
        <f>IF($A435="","",IF(COUNTIF($A$6:$A435,$A435)=1,1,0))</f>
        <v/>
      </c>
      <c r="AB435">
        <f>SUM($AA$6:$AA435)</f>
        <v/>
      </c>
      <c r="AC435">
        <f>IFERROR(INDEX($A$6:$A$1005,MATCH(ROW()-5,$AB$6:$AB$1005,0)),"")</f>
        <v/>
      </c>
    </row>
    <row r="436">
      <c r="A436">
        <f>IF(OR(Entry!$B439="",Entry!$E439="",$E436="نامعتبر"),"",Entry!$E439)</f>
        <v/>
      </c>
      <c r="B436">
        <f>IF($A436="","",LEFT($E436,4)&amp;MID($E436,6,2)&amp;RIGHT($E436,2)&amp;$F436&amp;"|"&amp;"1"&amp;RIGHT("00000"&amp;431,5))</f>
        <v/>
      </c>
      <c r="C436">
        <f>IF($B436="","",COUNTIFS($A$6:$A$1005,$A436,$B$6:$B$1005,"&lt;"&amp;$B436)+COUNTIFS($N$6:$N$2005,$A436,$P$6:$P$2005,"&lt;"&amp;$B436)+1)</f>
        <v/>
      </c>
      <c r="D436">
        <f>IF($C436="","",$A436&amp;"|"&amp;RIGHT("000000"&amp;$C436,6))</f>
        <v/>
      </c>
      <c r="E436">
        <f>IF(Entry!$B439="","",IF(ISNUMBER(Entry!$B439),IF(AND(Entry!$B439&gt;=10000101,Entry!$B439&lt;=99991231),INT(Entry!$B439/10000)&amp;"/"&amp;RIGHT("00"&amp;INT(MOD(Entry!$B439,10000)/100),2)&amp;"/"&amp;RIGHT("00"&amp;MOD(Entry!$B439,100),2),"نامعتبر"),IF(LEN(Entry!$B439)=10,Entry!$B439,"نامعتبر")))</f>
        <v/>
      </c>
      <c r="F436">
        <f>IF(Entry!$B439="","",IF(Entry!$C439="","0000",IF(AND(ISNUMBER(Entry!$C439),Entry!$C439&gt;=0,Entry!$C439&lt;1),RIGHT("00"&amp;HOUR(Entry!$C439),2)&amp;RIGHT("00"&amp;MINUTE(Entry!$C439),2),IFERROR(RIGHT("00"&amp;VALUE(LEFT(Entry!$C439,FIND(":",Entry!$C439)-1)),2)&amp;RIGHT("00"&amp;VALUE(MID(Entry!$C439,FIND(":",Entry!$C439)+1,2)),2),"0000"))))</f>
        <v/>
      </c>
      <c r="G436">
        <f>IF($A436="","",Entry!$G439)</f>
        <v/>
      </c>
      <c r="H436">
        <f>IF($A436="","",IF(Entry!$H439="",0,Entry!$H439))</f>
        <v/>
      </c>
      <c r="I436">
        <f>IF($A436="","",IF(Entry!$I439="",0,Entry!$I439))</f>
        <v/>
      </c>
      <c r="J436">
        <f>IF($A436="","",ROUND($H436*$I436,0))</f>
        <v/>
      </c>
      <c r="K436">
        <f>IF($A436="","",Entry!$D439)</f>
        <v/>
      </c>
      <c r="L436">
        <f>IF($A436="","",Entry!$L439)</f>
        <v/>
      </c>
      <c r="N436">
        <f>IF(OR(Sync!$M436="",$Q436="",$Q436="نامعتبر"),"",Sync!$M436)</f>
        <v/>
      </c>
      <c r="O436">
        <f>IF($N436="","",$Q436)</f>
        <v/>
      </c>
      <c r="P436">
        <f>IF($N436="","",LEFT($Q436,4)&amp;MID($Q436,6,2)&amp;RIGHT($Q436,2)&amp;IF(Sync!$K436="","0000",IF(AND(ISNUMBER(Sync!$K436),Sync!$K436&gt;=0,Sync!$K436&lt;1),RIGHT("00"&amp;HOUR(Sync!$K436),2)&amp;RIGHT("00"&amp;MINUTE(Sync!$K436),2),IFERROR(RIGHT("00"&amp;VALUE(LEFT(Sync!$K436,FIND(":",Sync!$K436)-1)),2)&amp;RIGHT("00"&amp;VALUE(MID(Sync!$K436,FIND(":",Sync!$K436)+1,2)),2),"0000")))&amp;"|"&amp;"2"&amp;RIGHT("00000"&amp;431,5))</f>
        <v/>
      </c>
      <c r="Q436">
        <f>IF(Sync!$J436="","",IF(ISNUMBER(Sync!$J436),IF(AND(Sync!$J436&gt;=10000101,Sync!$J436&lt;=99991231),INT(Sync!$J436/10000)&amp;"/"&amp;RIGHT("00"&amp;INT(MOD(Sync!$J436,10000)/100),2)&amp;"/"&amp;RIGHT("00"&amp;MOD(Sync!$J436,100),2),"نامعتبر"),IF(LEN(Sync!$J436)=10,Sync!$J436,"نامعتبر")))</f>
        <v/>
      </c>
      <c r="R436">
        <f>IF($P436="","",COUNTIFS($N$6:$N$2005,$N436,$P$6:$P$2005,"&lt;"&amp;$P436)+COUNTIFS($A$6:$A$1005,$N436,$B$6:$B$1005,"&lt;"&amp;$P436)+1)</f>
        <v/>
      </c>
      <c r="S436">
        <f>IF($N436="","",$N436&amp;"|"&amp;RIGHT("000000"&amp;$R436,6))</f>
        <v/>
      </c>
      <c r="T436">
        <f>IF($N436="","",IF(Sync!$N436="",0,Sync!$N436))</f>
        <v/>
      </c>
      <c r="U436">
        <f>IF($N436="","",IF(Sync!$O436="",0,Sync!$O436))</f>
        <v/>
      </c>
      <c r="V436">
        <f>IF($N436="","",Sync!$L436)</f>
        <v/>
      </c>
      <c r="W436">
        <f>IF($N436="","",Sync!$P436)</f>
        <v/>
      </c>
      <c r="AA436">
        <f>IF($A436="","",IF(COUNTIF($A$6:$A436,$A436)=1,1,0))</f>
        <v/>
      </c>
      <c r="AB436">
        <f>SUM($AA$6:$AA436)</f>
        <v/>
      </c>
      <c r="AC436">
        <f>IFERROR(INDEX($A$6:$A$1005,MATCH(ROW()-5,$AB$6:$AB$1005,0)),"")</f>
        <v/>
      </c>
    </row>
    <row r="437">
      <c r="A437">
        <f>IF(OR(Entry!$B440="",Entry!$E440="",$E437="نامعتبر"),"",Entry!$E440)</f>
        <v/>
      </c>
      <c r="B437">
        <f>IF($A437="","",LEFT($E437,4)&amp;MID($E437,6,2)&amp;RIGHT($E437,2)&amp;$F437&amp;"|"&amp;"1"&amp;RIGHT("00000"&amp;432,5))</f>
        <v/>
      </c>
      <c r="C437">
        <f>IF($B437="","",COUNTIFS($A$6:$A$1005,$A437,$B$6:$B$1005,"&lt;"&amp;$B437)+COUNTIFS($N$6:$N$2005,$A437,$P$6:$P$2005,"&lt;"&amp;$B437)+1)</f>
        <v/>
      </c>
      <c r="D437">
        <f>IF($C437="","",$A437&amp;"|"&amp;RIGHT("000000"&amp;$C437,6))</f>
        <v/>
      </c>
      <c r="E437">
        <f>IF(Entry!$B440="","",IF(ISNUMBER(Entry!$B440),IF(AND(Entry!$B440&gt;=10000101,Entry!$B440&lt;=99991231),INT(Entry!$B440/10000)&amp;"/"&amp;RIGHT("00"&amp;INT(MOD(Entry!$B440,10000)/100),2)&amp;"/"&amp;RIGHT("00"&amp;MOD(Entry!$B440,100),2),"نامعتبر"),IF(LEN(Entry!$B440)=10,Entry!$B440,"نامعتبر")))</f>
        <v/>
      </c>
      <c r="F437">
        <f>IF(Entry!$B440="","",IF(Entry!$C440="","0000",IF(AND(ISNUMBER(Entry!$C440),Entry!$C440&gt;=0,Entry!$C440&lt;1),RIGHT("00"&amp;HOUR(Entry!$C440),2)&amp;RIGHT("00"&amp;MINUTE(Entry!$C440),2),IFERROR(RIGHT("00"&amp;VALUE(LEFT(Entry!$C440,FIND(":",Entry!$C440)-1)),2)&amp;RIGHT("00"&amp;VALUE(MID(Entry!$C440,FIND(":",Entry!$C440)+1,2)),2),"0000"))))</f>
        <v/>
      </c>
      <c r="G437">
        <f>IF($A437="","",Entry!$G440)</f>
        <v/>
      </c>
      <c r="H437">
        <f>IF($A437="","",IF(Entry!$H440="",0,Entry!$H440))</f>
        <v/>
      </c>
      <c r="I437">
        <f>IF($A437="","",IF(Entry!$I440="",0,Entry!$I440))</f>
        <v/>
      </c>
      <c r="J437">
        <f>IF($A437="","",ROUND($H437*$I437,0))</f>
        <v/>
      </c>
      <c r="K437">
        <f>IF($A437="","",Entry!$D440)</f>
        <v/>
      </c>
      <c r="L437">
        <f>IF($A437="","",Entry!$L440)</f>
        <v/>
      </c>
      <c r="N437">
        <f>IF(OR(Sync!$M437="",$Q437="",$Q437="نامعتبر"),"",Sync!$M437)</f>
        <v/>
      </c>
      <c r="O437">
        <f>IF($N437="","",$Q437)</f>
        <v/>
      </c>
      <c r="P437">
        <f>IF($N437="","",LEFT($Q437,4)&amp;MID($Q437,6,2)&amp;RIGHT($Q437,2)&amp;IF(Sync!$K437="","0000",IF(AND(ISNUMBER(Sync!$K437),Sync!$K437&gt;=0,Sync!$K437&lt;1),RIGHT("00"&amp;HOUR(Sync!$K437),2)&amp;RIGHT("00"&amp;MINUTE(Sync!$K437),2),IFERROR(RIGHT("00"&amp;VALUE(LEFT(Sync!$K437,FIND(":",Sync!$K437)-1)),2)&amp;RIGHT("00"&amp;VALUE(MID(Sync!$K437,FIND(":",Sync!$K437)+1,2)),2),"0000")))&amp;"|"&amp;"2"&amp;RIGHT("00000"&amp;432,5))</f>
        <v/>
      </c>
      <c r="Q437">
        <f>IF(Sync!$J437="","",IF(ISNUMBER(Sync!$J437),IF(AND(Sync!$J437&gt;=10000101,Sync!$J437&lt;=99991231),INT(Sync!$J437/10000)&amp;"/"&amp;RIGHT("00"&amp;INT(MOD(Sync!$J437,10000)/100),2)&amp;"/"&amp;RIGHT("00"&amp;MOD(Sync!$J437,100),2),"نامعتبر"),IF(LEN(Sync!$J437)=10,Sync!$J437,"نامعتبر")))</f>
        <v/>
      </c>
      <c r="R437">
        <f>IF($P437="","",COUNTIFS($N$6:$N$2005,$N437,$P$6:$P$2005,"&lt;"&amp;$P437)+COUNTIFS($A$6:$A$1005,$N437,$B$6:$B$1005,"&lt;"&amp;$P437)+1)</f>
        <v/>
      </c>
      <c r="S437">
        <f>IF($N437="","",$N437&amp;"|"&amp;RIGHT("000000"&amp;$R437,6))</f>
        <v/>
      </c>
      <c r="T437">
        <f>IF($N437="","",IF(Sync!$N437="",0,Sync!$N437))</f>
        <v/>
      </c>
      <c r="U437">
        <f>IF($N437="","",IF(Sync!$O437="",0,Sync!$O437))</f>
        <v/>
      </c>
      <c r="V437">
        <f>IF($N437="","",Sync!$L437)</f>
        <v/>
      </c>
      <c r="W437">
        <f>IF($N437="","",Sync!$P437)</f>
        <v/>
      </c>
      <c r="AA437">
        <f>IF($A437="","",IF(COUNTIF($A$6:$A437,$A437)=1,1,0))</f>
        <v/>
      </c>
      <c r="AB437">
        <f>SUM($AA$6:$AA437)</f>
        <v/>
      </c>
      <c r="AC437">
        <f>IFERROR(INDEX($A$6:$A$1005,MATCH(ROW()-5,$AB$6:$AB$1005,0)),"")</f>
        <v/>
      </c>
    </row>
    <row r="438">
      <c r="A438">
        <f>IF(OR(Entry!$B441="",Entry!$E441="",$E438="نامعتبر"),"",Entry!$E441)</f>
        <v/>
      </c>
      <c r="B438">
        <f>IF($A438="","",LEFT($E438,4)&amp;MID($E438,6,2)&amp;RIGHT($E438,2)&amp;$F438&amp;"|"&amp;"1"&amp;RIGHT("00000"&amp;433,5))</f>
        <v/>
      </c>
      <c r="C438">
        <f>IF($B438="","",COUNTIFS($A$6:$A$1005,$A438,$B$6:$B$1005,"&lt;"&amp;$B438)+COUNTIFS($N$6:$N$2005,$A438,$P$6:$P$2005,"&lt;"&amp;$B438)+1)</f>
        <v/>
      </c>
      <c r="D438">
        <f>IF($C438="","",$A438&amp;"|"&amp;RIGHT("000000"&amp;$C438,6))</f>
        <v/>
      </c>
      <c r="E438">
        <f>IF(Entry!$B441="","",IF(ISNUMBER(Entry!$B441),IF(AND(Entry!$B441&gt;=10000101,Entry!$B441&lt;=99991231),INT(Entry!$B441/10000)&amp;"/"&amp;RIGHT("00"&amp;INT(MOD(Entry!$B441,10000)/100),2)&amp;"/"&amp;RIGHT("00"&amp;MOD(Entry!$B441,100),2),"نامعتبر"),IF(LEN(Entry!$B441)=10,Entry!$B441,"نامعتبر")))</f>
        <v/>
      </c>
      <c r="F438">
        <f>IF(Entry!$B441="","",IF(Entry!$C441="","0000",IF(AND(ISNUMBER(Entry!$C441),Entry!$C441&gt;=0,Entry!$C441&lt;1),RIGHT("00"&amp;HOUR(Entry!$C441),2)&amp;RIGHT("00"&amp;MINUTE(Entry!$C441),2),IFERROR(RIGHT("00"&amp;VALUE(LEFT(Entry!$C441,FIND(":",Entry!$C441)-1)),2)&amp;RIGHT("00"&amp;VALUE(MID(Entry!$C441,FIND(":",Entry!$C441)+1,2)),2),"0000"))))</f>
        <v/>
      </c>
      <c r="G438">
        <f>IF($A438="","",Entry!$G441)</f>
        <v/>
      </c>
      <c r="H438">
        <f>IF($A438="","",IF(Entry!$H441="",0,Entry!$H441))</f>
        <v/>
      </c>
      <c r="I438">
        <f>IF($A438="","",IF(Entry!$I441="",0,Entry!$I441))</f>
        <v/>
      </c>
      <c r="J438">
        <f>IF($A438="","",ROUND($H438*$I438,0))</f>
        <v/>
      </c>
      <c r="K438">
        <f>IF($A438="","",Entry!$D441)</f>
        <v/>
      </c>
      <c r="L438">
        <f>IF($A438="","",Entry!$L441)</f>
        <v/>
      </c>
      <c r="N438">
        <f>IF(OR(Sync!$M438="",$Q438="",$Q438="نامعتبر"),"",Sync!$M438)</f>
        <v/>
      </c>
      <c r="O438">
        <f>IF($N438="","",$Q438)</f>
        <v/>
      </c>
      <c r="P438">
        <f>IF($N438="","",LEFT($Q438,4)&amp;MID($Q438,6,2)&amp;RIGHT($Q438,2)&amp;IF(Sync!$K438="","0000",IF(AND(ISNUMBER(Sync!$K438),Sync!$K438&gt;=0,Sync!$K438&lt;1),RIGHT("00"&amp;HOUR(Sync!$K438),2)&amp;RIGHT("00"&amp;MINUTE(Sync!$K438),2),IFERROR(RIGHT("00"&amp;VALUE(LEFT(Sync!$K438,FIND(":",Sync!$K438)-1)),2)&amp;RIGHT("00"&amp;VALUE(MID(Sync!$K438,FIND(":",Sync!$K438)+1,2)),2),"0000")))&amp;"|"&amp;"2"&amp;RIGHT("00000"&amp;433,5))</f>
        <v/>
      </c>
      <c r="Q438">
        <f>IF(Sync!$J438="","",IF(ISNUMBER(Sync!$J438),IF(AND(Sync!$J438&gt;=10000101,Sync!$J438&lt;=99991231),INT(Sync!$J438/10000)&amp;"/"&amp;RIGHT("00"&amp;INT(MOD(Sync!$J438,10000)/100),2)&amp;"/"&amp;RIGHT("00"&amp;MOD(Sync!$J438,100),2),"نامعتبر"),IF(LEN(Sync!$J438)=10,Sync!$J438,"نامعتبر")))</f>
        <v/>
      </c>
      <c r="R438">
        <f>IF($P438="","",COUNTIFS($N$6:$N$2005,$N438,$P$6:$P$2005,"&lt;"&amp;$P438)+COUNTIFS($A$6:$A$1005,$N438,$B$6:$B$1005,"&lt;"&amp;$P438)+1)</f>
        <v/>
      </c>
      <c r="S438">
        <f>IF($N438="","",$N438&amp;"|"&amp;RIGHT("000000"&amp;$R438,6))</f>
        <v/>
      </c>
      <c r="T438">
        <f>IF($N438="","",IF(Sync!$N438="",0,Sync!$N438))</f>
        <v/>
      </c>
      <c r="U438">
        <f>IF($N438="","",IF(Sync!$O438="",0,Sync!$O438))</f>
        <v/>
      </c>
      <c r="V438">
        <f>IF($N438="","",Sync!$L438)</f>
        <v/>
      </c>
      <c r="W438">
        <f>IF($N438="","",Sync!$P438)</f>
        <v/>
      </c>
      <c r="AA438">
        <f>IF($A438="","",IF(COUNTIF($A$6:$A438,$A438)=1,1,0))</f>
        <v/>
      </c>
      <c r="AB438">
        <f>SUM($AA$6:$AA438)</f>
        <v/>
      </c>
      <c r="AC438">
        <f>IFERROR(INDEX($A$6:$A$1005,MATCH(ROW()-5,$AB$6:$AB$1005,0)),"")</f>
        <v/>
      </c>
    </row>
    <row r="439">
      <c r="A439">
        <f>IF(OR(Entry!$B442="",Entry!$E442="",$E439="نامعتبر"),"",Entry!$E442)</f>
        <v/>
      </c>
      <c r="B439">
        <f>IF($A439="","",LEFT($E439,4)&amp;MID($E439,6,2)&amp;RIGHT($E439,2)&amp;$F439&amp;"|"&amp;"1"&amp;RIGHT("00000"&amp;434,5))</f>
        <v/>
      </c>
      <c r="C439">
        <f>IF($B439="","",COUNTIFS($A$6:$A$1005,$A439,$B$6:$B$1005,"&lt;"&amp;$B439)+COUNTIFS($N$6:$N$2005,$A439,$P$6:$P$2005,"&lt;"&amp;$B439)+1)</f>
        <v/>
      </c>
      <c r="D439">
        <f>IF($C439="","",$A439&amp;"|"&amp;RIGHT("000000"&amp;$C439,6))</f>
        <v/>
      </c>
      <c r="E439">
        <f>IF(Entry!$B442="","",IF(ISNUMBER(Entry!$B442),IF(AND(Entry!$B442&gt;=10000101,Entry!$B442&lt;=99991231),INT(Entry!$B442/10000)&amp;"/"&amp;RIGHT("00"&amp;INT(MOD(Entry!$B442,10000)/100),2)&amp;"/"&amp;RIGHT("00"&amp;MOD(Entry!$B442,100),2),"نامعتبر"),IF(LEN(Entry!$B442)=10,Entry!$B442,"نامعتبر")))</f>
        <v/>
      </c>
      <c r="F439">
        <f>IF(Entry!$B442="","",IF(Entry!$C442="","0000",IF(AND(ISNUMBER(Entry!$C442),Entry!$C442&gt;=0,Entry!$C442&lt;1),RIGHT("00"&amp;HOUR(Entry!$C442),2)&amp;RIGHT("00"&amp;MINUTE(Entry!$C442),2),IFERROR(RIGHT("00"&amp;VALUE(LEFT(Entry!$C442,FIND(":",Entry!$C442)-1)),2)&amp;RIGHT("00"&amp;VALUE(MID(Entry!$C442,FIND(":",Entry!$C442)+1,2)),2),"0000"))))</f>
        <v/>
      </c>
      <c r="G439">
        <f>IF($A439="","",Entry!$G442)</f>
        <v/>
      </c>
      <c r="H439">
        <f>IF($A439="","",IF(Entry!$H442="",0,Entry!$H442))</f>
        <v/>
      </c>
      <c r="I439">
        <f>IF($A439="","",IF(Entry!$I442="",0,Entry!$I442))</f>
        <v/>
      </c>
      <c r="J439">
        <f>IF($A439="","",ROUND($H439*$I439,0))</f>
        <v/>
      </c>
      <c r="K439">
        <f>IF($A439="","",Entry!$D442)</f>
        <v/>
      </c>
      <c r="L439">
        <f>IF($A439="","",Entry!$L442)</f>
        <v/>
      </c>
      <c r="N439">
        <f>IF(OR(Sync!$M439="",$Q439="",$Q439="نامعتبر"),"",Sync!$M439)</f>
        <v/>
      </c>
      <c r="O439">
        <f>IF($N439="","",$Q439)</f>
        <v/>
      </c>
      <c r="P439">
        <f>IF($N439="","",LEFT($Q439,4)&amp;MID($Q439,6,2)&amp;RIGHT($Q439,2)&amp;IF(Sync!$K439="","0000",IF(AND(ISNUMBER(Sync!$K439),Sync!$K439&gt;=0,Sync!$K439&lt;1),RIGHT("00"&amp;HOUR(Sync!$K439),2)&amp;RIGHT("00"&amp;MINUTE(Sync!$K439),2),IFERROR(RIGHT("00"&amp;VALUE(LEFT(Sync!$K439,FIND(":",Sync!$K439)-1)),2)&amp;RIGHT("00"&amp;VALUE(MID(Sync!$K439,FIND(":",Sync!$K439)+1,2)),2),"0000")))&amp;"|"&amp;"2"&amp;RIGHT("00000"&amp;434,5))</f>
        <v/>
      </c>
      <c r="Q439">
        <f>IF(Sync!$J439="","",IF(ISNUMBER(Sync!$J439),IF(AND(Sync!$J439&gt;=10000101,Sync!$J439&lt;=99991231),INT(Sync!$J439/10000)&amp;"/"&amp;RIGHT("00"&amp;INT(MOD(Sync!$J439,10000)/100),2)&amp;"/"&amp;RIGHT("00"&amp;MOD(Sync!$J439,100),2),"نامعتبر"),IF(LEN(Sync!$J439)=10,Sync!$J439,"نامعتبر")))</f>
        <v/>
      </c>
      <c r="R439">
        <f>IF($P439="","",COUNTIFS($N$6:$N$2005,$N439,$P$6:$P$2005,"&lt;"&amp;$P439)+COUNTIFS($A$6:$A$1005,$N439,$B$6:$B$1005,"&lt;"&amp;$P439)+1)</f>
        <v/>
      </c>
      <c r="S439">
        <f>IF($N439="","",$N439&amp;"|"&amp;RIGHT("000000"&amp;$R439,6))</f>
        <v/>
      </c>
      <c r="T439">
        <f>IF($N439="","",IF(Sync!$N439="",0,Sync!$N439))</f>
        <v/>
      </c>
      <c r="U439">
        <f>IF($N439="","",IF(Sync!$O439="",0,Sync!$O439))</f>
        <v/>
      </c>
      <c r="V439">
        <f>IF($N439="","",Sync!$L439)</f>
        <v/>
      </c>
      <c r="W439">
        <f>IF($N439="","",Sync!$P439)</f>
        <v/>
      </c>
      <c r="AA439">
        <f>IF($A439="","",IF(COUNTIF($A$6:$A439,$A439)=1,1,0))</f>
        <v/>
      </c>
      <c r="AB439">
        <f>SUM($AA$6:$AA439)</f>
        <v/>
      </c>
      <c r="AC439">
        <f>IFERROR(INDEX($A$6:$A$1005,MATCH(ROW()-5,$AB$6:$AB$1005,0)),"")</f>
        <v/>
      </c>
    </row>
    <row r="440">
      <c r="A440">
        <f>IF(OR(Entry!$B443="",Entry!$E443="",$E440="نامعتبر"),"",Entry!$E443)</f>
        <v/>
      </c>
      <c r="B440">
        <f>IF($A440="","",LEFT($E440,4)&amp;MID($E440,6,2)&amp;RIGHT($E440,2)&amp;$F440&amp;"|"&amp;"1"&amp;RIGHT("00000"&amp;435,5))</f>
        <v/>
      </c>
      <c r="C440">
        <f>IF($B440="","",COUNTIFS($A$6:$A$1005,$A440,$B$6:$B$1005,"&lt;"&amp;$B440)+COUNTIFS($N$6:$N$2005,$A440,$P$6:$P$2005,"&lt;"&amp;$B440)+1)</f>
        <v/>
      </c>
      <c r="D440">
        <f>IF($C440="","",$A440&amp;"|"&amp;RIGHT("000000"&amp;$C440,6))</f>
        <v/>
      </c>
      <c r="E440">
        <f>IF(Entry!$B443="","",IF(ISNUMBER(Entry!$B443),IF(AND(Entry!$B443&gt;=10000101,Entry!$B443&lt;=99991231),INT(Entry!$B443/10000)&amp;"/"&amp;RIGHT("00"&amp;INT(MOD(Entry!$B443,10000)/100),2)&amp;"/"&amp;RIGHT("00"&amp;MOD(Entry!$B443,100),2),"نامعتبر"),IF(LEN(Entry!$B443)=10,Entry!$B443,"نامعتبر")))</f>
        <v/>
      </c>
      <c r="F440">
        <f>IF(Entry!$B443="","",IF(Entry!$C443="","0000",IF(AND(ISNUMBER(Entry!$C443),Entry!$C443&gt;=0,Entry!$C443&lt;1),RIGHT("00"&amp;HOUR(Entry!$C443),2)&amp;RIGHT("00"&amp;MINUTE(Entry!$C443),2),IFERROR(RIGHT("00"&amp;VALUE(LEFT(Entry!$C443,FIND(":",Entry!$C443)-1)),2)&amp;RIGHT("00"&amp;VALUE(MID(Entry!$C443,FIND(":",Entry!$C443)+1,2)),2),"0000"))))</f>
        <v/>
      </c>
      <c r="G440">
        <f>IF($A440="","",Entry!$G443)</f>
        <v/>
      </c>
      <c r="H440">
        <f>IF($A440="","",IF(Entry!$H443="",0,Entry!$H443))</f>
        <v/>
      </c>
      <c r="I440">
        <f>IF($A440="","",IF(Entry!$I443="",0,Entry!$I443))</f>
        <v/>
      </c>
      <c r="J440">
        <f>IF($A440="","",ROUND($H440*$I440,0))</f>
        <v/>
      </c>
      <c r="K440">
        <f>IF($A440="","",Entry!$D443)</f>
        <v/>
      </c>
      <c r="L440">
        <f>IF($A440="","",Entry!$L443)</f>
        <v/>
      </c>
      <c r="N440">
        <f>IF(OR(Sync!$M440="",$Q440="",$Q440="نامعتبر"),"",Sync!$M440)</f>
        <v/>
      </c>
      <c r="O440">
        <f>IF($N440="","",$Q440)</f>
        <v/>
      </c>
      <c r="P440">
        <f>IF($N440="","",LEFT($Q440,4)&amp;MID($Q440,6,2)&amp;RIGHT($Q440,2)&amp;IF(Sync!$K440="","0000",IF(AND(ISNUMBER(Sync!$K440),Sync!$K440&gt;=0,Sync!$K440&lt;1),RIGHT("00"&amp;HOUR(Sync!$K440),2)&amp;RIGHT("00"&amp;MINUTE(Sync!$K440),2),IFERROR(RIGHT("00"&amp;VALUE(LEFT(Sync!$K440,FIND(":",Sync!$K440)-1)),2)&amp;RIGHT("00"&amp;VALUE(MID(Sync!$K440,FIND(":",Sync!$K440)+1,2)),2),"0000")))&amp;"|"&amp;"2"&amp;RIGHT("00000"&amp;435,5))</f>
        <v/>
      </c>
      <c r="Q440">
        <f>IF(Sync!$J440="","",IF(ISNUMBER(Sync!$J440),IF(AND(Sync!$J440&gt;=10000101,Sync!$J440&lt;=99991231),INT(Sync!$J440/10000)&amp;"/"&amp;RIGHT("00"&amp;INT(MOD(Sync!$J440,10000)/100),2)&amp;"/"&amp;RIGHT("00"&amp;MOD(Sync!$J440,100),2),"نامعتبر"),IF(LEN(Sync!$J440)=10,Sync!$J440,"نامعتبر")))</f>
        <v/>
      </c>
      <c r="R440">
        <f>IF($P440="","",COUNTIFS($N$6:$N$2005,$N440,$P$6:$P$2005,"&lt;"&amp;$P440)+COUNTIFS($A$6:$A$1005,$N440,$B$6:$B$1005,"&lt;"&amp;$P440)+1)</f>
        <v/>
      </c>
      <c r="S440">
        <f>IF($N440="","",$N440&amp;"|"&amp;RIGHT("000000"&amp;$R440,6))</f>
        <v/>
      </c>
      <c r="T440">
        <f>IF($N440="","",IF(Sync!$N440="",0,Sync!$N440))</f>
        <v/>
      </c>
      <c r="U440">
        <f>IF($N440="","",IF(Sync!$O440="",0,Sync!$O440))</f>
        <v/>
      </c>
      <c r="V440">
        <f>IF($N440="","",Sync!$L440)</f>
        <v/>
      </c>
      <c r="W440">
        <f>IF($N440="","",Sync!$P440)</f>
        <v/>
      </c>
      <c r="AA440">
        <f>IF($A440="","",IF(COUNTIF($A$6:$A440,$A440)=1,1,0))</f>
        <v/>
      </c>
      <c r="AB440">
        <f>SUM($AA$6:$AA440)</f>
        <v/>
      </c>
      <c r="AC440">
        <f>IFERROR(INDEX($A$6:$A$1005,MATCH(ROW()-5,$AB$6:$AB$1005,0)),"")</f>
        <v/>
      </c>
    </row>
    <row r="441">
      <c r="A441">
        <f>IF(OR(Entry!$B444="",Entry!$E444="",$E441="نامعتبر"),"",Entry!$E444)</f>
        <v/>
      </c>
      <c r="B441">
        <f>IF($A441="","",LEFT($E441,4)&amp;MID($E441,6,2)&amp;RIGHT($E441,2)&amp;$F441&amp;"|"&amp;"1"&amp;RIGHT("00000"&amp;436,5))</f>
        <v/>
      </c>
      <c r="C441">
        <f>IF($B441="","",COUNTIFS($A$6:$A$1005,$A441,$B$6:$B$1005,"&lt;"&amp;$B441)+COUNTIFS($N$6:$N$2005,$A441,$P$6:$P$2005,"&lt;"&amp;$B441)+1)</f>
        <v/>
      </c>
      <c r="D441">
        <f>IF($C441="","",$A441&amp;"|"&amp;RIGHT("000000"&amp;$C441,6))</f>
        <v/>
      </c>
      <c r="E441">
        <f>IF(Entry!$B444="","",IF(ISNUMBER(Entry!$B444),IF(AND(Entry!$B444&gt;=10000101,Entry!$B444&lt;=99991231),INT(Entry!$B444/10000)&amp;"/"&amp;RIGHT("00"&amp;INT(MOD(Entry!$B444,10000)/100),2)&amp;"/"&amp;RIGHT("00"&amp;MOD(Entry!$B444,100),2),"نامعتبر"),IF(LEN(Entry!$B444)=10,Entry!$B444,"نامعتبر")))</f>
        <v/>
      </c>
      <c r="F441">
        <f>IF(Entry!$B444="","",IF(Entry!$C444="","0000",IF(AND(ISNUMBER(Entry!$C444),Entry!$C444&gt;=0,Entry!$C444&lt;1),RIGHT("00"&amp;HOUR(Entry!$C444),2)&amp;RIGHT("00"&amp;MINUTE(Entry!$C444),2),IFERROR(RIGHT("00"&amp;VALUE(LEFT(Entry!$C444,FIND(":",Entry!$C444)-1)),2)&amp;RIGHT("00"&amp;VALUE(MID(Entry!$C444,FIND(":",Entry!$C444)+1,2)),2),"0000"))))</f>
        <v/>
      </c>
      <c r="G441">
        <f>IF($A441="","",Entry!$G444)</f>
        <v/>
      </c>
      <c r="H441">
        <f>IF($A441="","",IF(Entry!$H444="",0,Entry!$H444))</f>
        <v/>
      </c>
      <c r="I441">
        <f>IF($A441="","",IF(Entry!$I444="",0,Entry!$I444))</f>
        <v/>
      </c>
      <c r="J441">
        <f>IF($A441="","",ROUND($H441*$I441,0))</f>
        <v/>
      </c>
      <c r="K441">
        <f>IF($A441="","",Entry!$D444)</f>
        <v/>
      </c>
      <c r="L441">
        <f>IF($A441="","",Entry!$L444)</f>
        <v/>
      </c>
      <c r="N441">
        <f>IF(OR(Sync!$M441="",$Q441="",$Q441="نامعتبر"),"",Sync!$M441)</f>
        <v/>
      </c>
      <c r="O441">
        <f>IF($N441="","",$Q441)</f>
        <v/>
      </c>
      <c r="P441">
        <f>IF($N441="","",LEFT($Q441,4)&amp;MID($Q441,6,2)&amp;RIGHT($Q441,2)&amp;IF(Sync!$K441="","0000",IF(AND(ISNUMBER(Sync!$K441),Sync!$K441&gt;=0,Sync!$K441&lt;1),RIGHT("00"&amp;HOUR(Sync!$K441),2)&amp;RIGHT("00"&amp;MINUTE(Sync!$K441),2),IFERROR(RIGHT("00"&amp;VALUE(LEFT(Sync!$K441,FIND(":",Sync!$K441)-1)),2)&amp;RIGHT("00"&amp;VALUE(MID(Sync!$K441,FIND(":",Sync!$K441)+1,2)),2),"0000")))&amp;"|"&amp;"2"&amp;RIGHT("00000"&amp;436,5))</f>
        <v/>
      </c>
      <c r="Q441">
        <f>IF(Sync!$J441="","",IF(ISNUMBER(Sync!$J441),IF(AND(Sync!$J441&gt;=10000101,Sync!$J441&lt;=99991231),INT(Sync!$J441/10000)&amp;"/"&amp;RIGHT("00"&amp;INT(MOD(Sync!$J441,10000)/100),2)&amp;"/"&amp;RIGHT("00"&amp;MOD(Sync!$J441,100),2),"نامعتبر"),IF(LEN(Sync!$J441)=10,Sync!$J441,"نامعتبر")))</f>
        <v/>
      </c>
      <c r="R441">
        <f>IF($P441="","",COUNTIFS($N$6:$N$2005,$N441,$P$6:$P$2005,"&lt;"&amp;$P441)+COUNTIFS($A$6:$A$1005,$N441,$B$6:$B$1005,"&lt;"&amp;$P441)+1)</f>
        <v/>
      </c>
      <c r="S441">
        <f>IF($N441="","",$N441&amp;"|"&amp;RIGHT("000000"&amp;$R441,6))</f>
        <v/>
      </c>
      <c r="T441">
        <f>IF($N441="","",IF(Sync!$N441="",0,Sync!$N441))</f>
        <v/>
      </c>
      <c r="U441">
        <f>IF($N441="","",IF(Sync!$O441="",0,Sync!$O441))</f>
        <v/>
      </c>
      <c r="V441">
        <f>IF($N441="","",Sync!$L441)</f>
        <v/>
      </c>
      <c r="W441">
        <f>IF($N441="","",Sync!$P441)</f>
        <v/>
      </c>
      <c r="AA441">
        <f>IF($A441="","",IF(COUNTIF($A$6:$A441,$A441)=1,1,0))</f>
        <v/>
      </c>
      <c r="AB441">
        <f>SUM($AA$6:$AA441)</f>
        <v/>
      </c>
      <c r="AC441">
        <f>IFERROR(INDEX($A$6:$A$1005,MATCH(ROW()-5,$AB$6:$AB$1005,0)),"")</f>
        <v/>
      </c>
    </row>
    <row r="442">
      <c r="A442">
        <f>IF(OR(Entry!$B445="",Entry!$E445="",$E442="نامعتبر"),"",Entry!$E445)</f>
        <v/>
      </c>
      <c r="B442">
        <f>IF($A442="","",LEFT($E442,4)&amp;MID($E442,6,2)&amp;RIGHT($E442,2)&amp;$F442&amp;"|"&amp;"1"&amp;RIGHT("00000"&amp;437,5))</f>
        <v/>
      </c>
      <c r="C442">
        <f>IF($B442="","",COUNTIFS($A$6:$A$1005,$A442,$B$6:$B$1005,"&lt;"&amp;$B442)+COUNTIFS($N$6:$N$2005,$A442,$P$6:$P$2005,"&lt;"&amp;$B442)+1)</f>
        <v/>
      </c>
      <c r="D442">
        <f>IF($C442="","",$A442&amp;"|"&amp;RIGHT("000000"&amp;$C442,6))</f>
        <v/>
      </c>
      <c r="E442">
        <f>IF(Entry!$B445="","",IF(ISNUMBER(Entry!$B445),IF(AND(Entry!$B445&gt;=10000101,Entry!$B445&lt;=99991231),INT(Entry!$B445/10000)&amp;"/"&amp;RIGHT("00"&amp;INT(MOD(Entry!$B445,10000)/100),2)&amp;"/"&amp;RIGHT("00"&amp;MOD(Entry!$B445,100),2),"نامعتبر"),IF(LEN(Entry!$B445)=10,Entry!$B445,"نامعتبر")))</f>
        <v/>
      </c>
      <c r="F442">
        <f>IF(Entry!$B445="","",IF(Entry!$C445="","0000",IF(AND(ISNUMBER(Entry!$C445),Entry!$C445&gt;=0,Entry!$C445&lt;1),RIGHT("00"&amp;HOUR(Entry!$C445),2)&amp;RIGHT("00"&amp;MINUTE(Entry!$C445),2),IFERROR(RIGHT("00"&amp;VALUE(LEFT(Entry!$C445,FIND(":",Entry!$C445)-1)),2)&amp;RIGHT("00"&amp;VALUE(MID(Entry!$C445,FIND(":",Entry!$C445)+1,2)),2),"0000"))))</f>
        <v/>
      </c>
      <c r="G442">
        <f>IF($A442="","",Entry!$G445)</f>
        <v/>
      </c>
      <c r="H442">
        <f>IF($A442="","",IF(Entry!$H445="",0,Entry!$H445))</f>
        <v/>
      </c>
      <c r="I442">
        <f>IF($A442="","",IF(Entry!$I445="",0,Entry!$I445))</f>
        <v/>
      </c>
      <c r="J442">
        <f>IF($A442="","",ROUND($H442*$I442,0))</f>
        <v/>
      </c>
      <c r="K442">
        <f>IF($A442="","",Entry!$D445)</f>
        <v/>
      </c>
      <c r="L442">
        <f>IF($A442="","",Entry!$L445)</f>
        <v/>
      </c>
      <c r="N442">
        <f>IF(OR(Sync!$M442="",$Q442="",$Q442="نامعتبر"),"",Sync!$M442)</f>
        <v/>
      </c>
      <c r="O442">
        <f>IF($N442="","",$Q442)</f>
        <v/>
      </c>
      <c r="P442">
        <f>IF($N442="","",LEFT($Q442,4)&amp;MID($Q442,6,2)&amp;RIGHT($Q442,2)&amp;IF(Sync!$K442="","0000",IF(AND(ISNUMBER(Sync!$K442),Sync!$K442&gt;=0,Sync!$K442&lt;1),RIGHT("00"&amp;HOUR(Sync!$K442),2)&amp;RIGHT("00"&amp;MINUTE(Sync!$K442),2),IFERROR(RIGHT("00"&amp;VALUE(LEFT(Sync!$K442,FIND(":",Sync!$K442)-1)),2)&amp;RIGHT("00"&amp;VALUE(MID(Sync!$K442,FIND(":",Sync!$K442)+1,2)),2),"0000")))&amp;"|"&amp;"2"&amp;RIGHT("00000"&amp;437,5))</f>
        <v/>
      </c>
      <c r="Q442">
        <f>IF(Sync!$J442="","",IF(ISNUMBER(Sync!$J442),IF(AND(Sync!$J442&gt;=10000101,Sync!$J442&lt;=99991231),INT(Sync!$J442/10000)&amp;"/"&amp;RIGHT("00"&amp;INT(MOD(Sync!$J442,10000)/100),2)&amp;"/"&amp;RIGHT("00"&amp;MOD(Sync!$J442,100),2),"نامعتبر"),IF(LEN(Sync!$J442)=10,Sync!$J442,"نامعتبر")))</f>
        <v/>
      </c>
      <c r="R442">
        <f>IF($P442="","",COUNTIFS($N$6:$N$2005,$N442,$P$6:$P$2005,"&lt;"&amp;$P442)+COUNTIFS($A$6:$A$1005,$N442,$B$6:$B$1005,"&lt;"&amp;$P442)+1)</f>
        <v/>
      </c>
      <c r="S442">
        <f>IF($N442="","",$N442&amp;"|"&amp;RIGHT("000000"&amp;$R442,6))</f>
        <v/>
      </c>
      <c r="T442">
        <f>IF($N442="","",IF(Sync!$N442="",0,Sync!$N442))</f>
        <v/>
      </c>
      <c r="U442">
        <f>IF($N442="","",IF(Sync!$O442="",0,Sync!$O442))</f>
        <v/>
      </c>
      <c r="V442">
        <f>IF($N442="","",Sync!$L442)</f>
        <v/>
      </c>
      <c r="W442">
        <f>IF($N442="","",Sync!$P442)</f>
        <v/>
      </c>
      <c r="AA442">
        <f>IF($A442="","",IF(COUNTIF($A$6:$A442,$A442)=1,1,0))</f>
        <v/>
      </c>
      <c r="AB442">
        <f>SUM($AA$6:$AA442)</f>
        <v/>
      </c>
      <c r="AC442">
        <f>IFERROR(INDEX($A$6:$A$1005,MATCH(ROW()-5,$AB$6:$AB$1005,0)),"")</f>
        <v/>
      </c>
    </row>
    <row r="443">
      <c r="A443">
        <f>IF(OR(Entry!$B446="",Entry!$E446="",$E443="نامعتبر"),"",Entry!$E446)</f>
        <v/>
      </c>
      <c r="B443">
        <f>IF($A443="","",LEFT($E443,4)&amp;MID($E443,6,2)&amp;RIGHT($E443,2)&amp;$F443&amp;"|"&amp;"1"&amp;RIGHT("00000"&amp;438,5))</f>
        <v/>
      </c>
      <c r="C443">
        <f>IF($B443="","",COUNTIFS($A$6:$A$1005,$A443,$B$6:$B$1005,"&lt;"&amp;$B443)+COUNTIFS($N$6:$N$2005,$A443,$P$6:$P$2005,"&lt;"&amp;$B443)+1)</f>
        <v/>
      </c>
      <c r="D443">
        <f>IF($C443="","",$A443&amp;"|"&amp;RIGHT("000000"&amp;$C443,6))</f>
        <v/>
      </c>
      <c r="E443">
        <f>IF(Entry!$B446="","",IF(ISNUMBER(Entry!$B446),IF(AND(Entry!$B446&gt;=10000101,Entry!$B446&lt;=99991231),INT(Entry!$B446/10000)&amp;"/"&amp;RIGHT("00"&amp;INT(MOD(Entry!$B446,10000)/100),2)&amp;"/"&amp;RIGHT("00"&amp;MOD(Entry!$B446,100),2),"نامعتبر"),IF(LEN(Entry!$B446)=10,Entry!$B446,"نامعتبر")))</f>
        <v/>
      </c>
      <c r="F443">
        <f>IF(Entry!$B446="","",IF(Entry!$C446="","0000",IF(AND(ISNUMBER(Entry!$C446),Entry!$C446&gt;=0,Entry!$C446&lt;1),RIGHT("00"&amp;HOUR(Entry!$C446),2)&amp;RIGHT("00"&amp;MINUTE(Entry!$C446),2),IFERROR(RIGHT("00"&amp;VALUE(LEFT(Entry!$C446,FIND(":",Entry!$C446)-1)),2)&amp;RIGHT("00"&amp;VALUE(MID(Entry!$C446,FIND(":",Entry!$C446)+1,2)),2),"0000"))))</f>
        <v/>
      </c>
      <c r="G443">
        <f>IF($A443="","",Entry!$G446)</f>
        <v/>
      </c>
      <c r="H443">
        <f>IF($A443="","",IF(Entry!$H446="",0,Entry!$H446))</f>
        <v/>
      </c>
      <c r="I443">
        <f>IF($A443="","",IF(Entry!$I446="",0,Entry!$I446))</f>
        <v/>
      </c>
      <c r="J443">
        <f>IF($A443="","",ROUND($H443*$I443,0))</f>
        <v/>
      </c>
      <c r="K443">
        <f>IF($A443="","",Entry!$D446)</f>
        <v/>
      </c>
      <c r="L443">
        <f>IF($A443="","",Entry!$L446)</f>
        <v/>
      </c>
      <c r="N443">
        <f>IF(OR(Sync!$M443="",$Q443="",$Q443="نامعتبر"),"",Sync!$M443)</f>
        <v/>
      </c>
      <c r="O443">
        <f>IF($N443="","",$Q443)</f>
        <v/>
      </c>
      <c r="P443">
        <f>IF($N443="","",LEFT($Q443,4)&amp;MID($Q443,6,2)&amp;RIGHT($Q443,2)&amp;IF(Sync!$K443="","0000",IF(AND(ISNUMBER(Sync!$K443),Sync!$K443&gt;=0,Sync!$K443&lt;1),RIGHT("00"&amp;HOUR(Sync!$K443),2)&amp;RIGHT("00"&amp;MINUTE(Sync!$K443),2),IFERROR(RIGHT("00"&amp;VALUE(LEFT(Sync!$K443,FIND(":",Sync!$K443)-1)),2)&amp;RIGHT("00"&amp;VALUE(MID(Sync!$K443,FIND(":",Sync!$K443)+1,2)),2),"0000")))&amp;"|"&amp;"2"&amp;RIGHT("00000"&amp;438,5))</f>
        <v/>
      </c>
      <c r="Q443">
        <f>IF(Sync!$J443="","",IF(ISNUMBER(Sync!$J443),IF(AND(Sync!$J443&gt;=10000101,Sync!$J443&lt;=99991231),INT(Sync!$J443/10000)&amp;"/"&amp;RIGHT("00"&amp;INT(MOD(Sync!$J443,10000)/100),2)&amp;"/"&amp;RIGHT("00"&amp;MOD(Sync!$J443,100),2),"نامعتبر"),IF(LEN(Sync!$J443)=10,Sync!$J443,"نامعتبر")))</f>
        <v/>
      </c>
      <c r="R443">
        <f>IF($P443="","",COUNTIFS($N$6:$N$2005,$N443,$P$6:$P$2005,"&lt;"&amp;$P443)+COUNTIFS($A$6:$A$1005,$N443,$B$6:$B$1005,"&lt;"&amp;$P443)+1)</f>
        <v/>
      </c>
      <c r="S443">
        <f>IF($N443="","",$N443&amp;"|"&amp;RIGHT("000000"&amp;$R443,6))</f>
        <v/>
      </c>
      <c r="T443">
        <f>IF($N443="","",IF(Sync!$N443="",0,Sync!$N443))</f>
        <v/>
      </c>
      <c r="U443">
        <f>IF($N443="","",IF(Sync!$O443="",0,Sync!$O443))</f>
        <v/>
      </c>
      <c r="V443">
        <f>IF($N443="","",Sync!$L443)</f>
        <v/>
      </c>
      <c r="W443">
        <f>IF($N443="","",Sync!$P443)</f>
        <v/>
      </c>
      <c r="AA443">
        <f>IF($A443="","",IF(COUNTIF($A$6:$A443,$A443)=1,1,0))</f>
        <v/>
      </c>
      <c r="AB443">
        <f>SUM($AA$6:$AA443)</f>
        <v/>
      </c>
      <c r="AC443">
        <f>IFERROR(INDEX($A$6:$A$1005,MATCH(ROW()-5,$AB$6:$AB$1005,0)),"")</f>
        <v/>
      </c>
    </row>
    <row r="444">
      <c r="A444">
        <f>IF(OR(Entry!$B447="",Entry!$E447="",$E444="نامعتبر"),"",Entry!$E447)</f>
        <v/>
      </c>
      <c r="B444">
        <f>IF($A444="","",LEFT($E444,4)&amp;MID($E444,6,2)&amp;RIGHT($E444,2)&amp;$F444&amp;"|"&amp;"1"&amp;RIGHT("00000"&amp;439,5))</f>
        <v/>
      </c>
      <c r="C444">
        <f>IF($B444="","",COUNTIFS($A$6:$A$1005,$A444,$B$6:$B$1005,"&lt;"&amp;$B444)+COUNTIFS($N$6:$N$2005,$A444,$P$6:$P$2005,"&lt;"&amp;$B444)+1)</f>
        <v/>
      </c>
      <c r="D444">
        <f>IF($C444="","",$A444&amp;"|"&amp;RIGHT("000000"&amp;$C444,6))</f>
        <v/>
      </c>
      <c r="E444">
        <f>IF(Entry!$B447="","",IF(ISNUMBER(Entry!$B447),IF(AND(Entry!$B447&gt;=10000101,Entry!$B447&lt;=99991231),INT(Entry!$B447/10000)&amp;"/"&amp;RIGHT("00"&amp;INT(MOD(Entry!$B447,10000)/100),2)&amp;"/"&amp;RIGHT("00"&amp;MOD(Entry!$B447,100),2),"نامعتبر"),IF(LEN(Entry!$B447)=10,Entry!$B447,"نامعتبر")))</f>
        <v/>
      </c>
      <c r="F444">
        <f>IF(Entry!$B447="","",IF(Entry!$C447="","0000",IF(AND(ISNUMBER(Entry!$C447),Entry!$C447&gt;=0,Entry!$C447&lt;1),RIGHT("00"&amp;HOUR(Entry!$C447),2)&amp;RIGHT("00"&amp;MINUTE(Entry!$C447),2),IFERROR(RIGHT("00"&amp;VALUE(LEFT(Entry!$C447,FIND(":",Entry!$C447)-1)),2)&amp;RIGHT("00"&amp;VALUE(MID(Entry!$C447,FIND(":",Entry!$C447)+1,2)),2),"0000"))))</f>
        <v/>
      </c>
      <c r="G444">
        <f>IF($A444="","",Entry!$G447)</f>
        <v/>
      </c>
      <c r="H444">
        <f>IF($A444="","",IF(Entry!$H447="",0,Entry!$H447))</f>
        <v/>
      </c>
      <c r="I444">
        <f>IF($A444="","",IF(Entry!$I447="",0,Entry!$I447))</f>
        <v/>
      </c>
      <c r="J444">
        <f>IF($A444="","",ROUND($H444*$I444,0))</f>
        <v/>
      </c>
      <c r="K444">
        <f>IF($A444="","",Entry!$D447)</f>
        <v/>
      </c>
      <c r="L444">
        <f>IF($A444="","",Entry!$L447)</f>
        <v/>
      </c>
      <c r="N444">
        <f>IF(OR(Sync!$M444="",$Q444="",$Q444="نامعتبر"),"",Sync!$M444)</f>
        <v/>
      </c>
      <c r="O444">
        <f>IF($N444="","",$Q444)</f>
        <v/>
      </c>
      <c r="P444">
        <f>IF($N444="","",LEFT($Q444,4)&amp;MID($Q444,6,2)&amp;RIGHT($Q444,2)&amp;IF(Sync!$K444="","0000",IF(AND(ISNUMBER(Sync!$K444),Sync!$K444&gt;=0,Sync!$K444&lt;1),RIGHT("00"&amp;HOUR(Sync!$K444),2)&amp;RIGHT("00"&amp;MINUTE(Sync!$K444),2),IFERROR(RIGHT("00"&amp;VALUE(LEFT(Sync!$K444,FIND(":",Sync!$K444)-1)),2)&amp;RIGHT("00"&amp;VALUE(MID(Sync!$K444,FIND(":",Sync!$K444)+1,2)),2),"0000")))&amp;"|"&amp;"2"&amp;RIGHT("00000"&amp;439,5))</f>
        <v/>
      </c>
      <c r="Q444">
        <f>IF(Sync!$J444="","",IF(ISNUMBER(Sync!$J444),IF(AND(Sync!$J444&gt;=10000101,Sync!$J444&lt;=99991231),INT(Sync!$J444/10000)&amp;"/"&amp;RIGHT("00"&amp;INT(MOD(Sync!$J444,10000)/100),2)&amp;"/"&amp;RIGHT("00"&amp;MOD(Sync!$J444,100),2),"نامعتبر"),IF(LEN(Sync!$J444)=10,Sync!$J444,"نامعتبر")))</f>
        <v/>
      </c>
      <c r="R444">
        <f>IF($P444="","",COUNTIFS($N$6:$N$2005,$N444,$P$6:$P$2005,"&lt;"&amp;$P444)+COUNTIFS($A$6:$A$1005,$N444,$B$6:$B$1005,"&lt;"&amp;$P444)+1)</f>
        <v/>
      </c>
      <c r="S444">
        <f>IF($N444="","",$N444&amp;"|"&amp;RIGHT("000000"&amp;$R444,6))</f>
        <v/>
      </c>
      <c r="T444">
        <f>IF($N444="","",IF(Sync!$N444="",0,Sync!$N444))</f>
        <v/>
      </c>
      <c r="U444">
        <f>IF($N444="","",IF(Sync!$O444="",0,Sync!$O444))</f>
        <v/>
      </c>
      <c r="V444">
        <f>IF($N444="","",Sync!$L444)</f>
        <v/>
      </c>
      <c r="W444">
        <f>IF($N444="","",Sync!$P444)</f>
        <v/>
      </c>
      <c r="AA444">
        <f>IF($A444="","",IF(COUNTIF($A$6:$A444,$A444)=1,1,0))</f>
        <v/>
      </c>
      <c r="AB444">
        <f>SUM($AA$6:$AA444)</f>
        <v/>
      </c>
      <c r="AC444">
        <f>IFERROR(INDEX($A$6:$A$1005,MATCH(ROW()-5,$AB$6:$AB$1005,0)),"")</f>
        <v/>
      </c>
    </row>
    <row r="445">
      <c r="A445">
        <f>IF(OR(Entry!$B448="",Entry!$E448="",$E445="نامعتبر"),"",Entry!$E448)</f>
        <v/>
      </c>
      <c r="B445">
        <f>IF($A445="","",LEFT($E445,4)&amp;MID($E445,6,2)&amp;RIGHT($E445,2)&amp;$F445&amp;"|"&amp;"1"&amp;RIGHT("00000"&amp;440,5))</f>
        <v/>
      </c>
      <c r="C445">
        <f>IF($B445="","",COUNTIFS($A$6:$A$1005,$A445,$B$6:$B$1005,"&lt;"&amp;$B445)+COUNTIFS($N$6:$N$2005,$A445,$P$6:$P$2005,"&lt;"&amp;$B445)+1)</f>
        <v/>
      </c>
      <c r="D445">
        <f>IF($C445="","",$A445&amp;"|"&amp;RIGHT("000000"&amp;$C445,6))</f>
        <v/>
      </c>
      <c r="E445">
        <f>IF(Entry!$B448="","",IF(ISNUMBER(Entry!$B448),IF(AND(Entry!$B448&gt;=10000101,Entry!$B448&lt;=99991231),INT(Entry!$B448/10000)&amp;"/"&amp;RIGHT("00"&amp;INT(MOD(Entry!$B448,10000)/100),2)&amp;"/"&amp;RIGHT("00"&amp;MOD(Entry!$B448,100),2),"نامعتبر"),IF(LEN(Entry!$B448)=10,Entry!$B448,"نامعتبر")))</f>
        <v/>
      </c>
      <c r="F445">
        <f>IF(Entry!$B448="","",IF(Entry!$C448="","0000",IF(AND(ISNUMBER(Entry!$C448),Entry!$C448&gt;=0,Entry!$C448&lt;1),RIGHT("00"&amp;HOUR(Entry!$C448),2)&amp;RIGHT("00"&amp;MINUTE(Entry!$C448),2),IFERROR(RIGHT("00"&amp;VALUE(LEFT(Entry!$C448,FIND(":",Entry!$C448)-1)),2)&amp;RIGHT("00"&amp;VALUE(MID(Entry!$C448,FIND(":",Entry!$C448)+1,2)),2),"0000"))))</f>
        <v/>
      </c>
      <c r="G445">
        <f>IF($A445="","",Entry!$G448)</f>
        <v/>
      </c>
      <c r="H445">
        <f>IF($A445="","",IF(Entry!$H448="",0,Entry!$H448))</f>
        <v/>
      </c>
      <c r="I445">
        <f>IF($A445="","",IF(Entry!$I448="",0,Entry!$I448))</f>
        <v/>
      </c>
      <c r="J445">
        <f>IF($A445="","",ROUND($H445*$I445,0))</f>
        <v/>
      </c>
      <c r="K445">
        <f>IF($A445="","",Entry!$D448)</f>
        <v/>
      </c>
      <c r="L445">
        <f>IF($A445="","",Entry!$L448)</f>
        <v/>
      </c>
      <c r="N445">
        <f>IF(OR(Sync!$M445="",$Q445="",$Q445="نامعتبر"),"",Sync!$M445)</f>
        <v/>
      </c>
      <c r="O445">
        <f>IF($N445="","",$Q445)</f>
        <v/>
      </c>
      <c r="P445">
        <f>IF($N445="","",LEFT($Q445,4)&amp;MID($Q445,6,2)&amp;RIGHT($Q445,2)&amp;IF(Sync!$K445="","0000",IF(AND(ISNUMBER(Sync!$K445),Sync!$K445&gt;=0,Sync!$K445&lt;1),RIGHT("00"&amp;HOUR(Sync!$K445),2)&amp;RIGHT("00"&amp;MINUTE(Sync!$K445),2),IFERROR(RIGHT("00"&amp;VALUE(LEFT(Sync!$K445,FIND(":",Sync!$K445)-1)),2)&amp;RIGHT("00"&amp;VALUE(MID(Sync!$K445,FIND(":",Sync!$K445)+1,2)),2),"0000")))&amp;"|"&amp;"2"&amp;RIGHT("00000"&amp;440,5))</f>
        <v/>
      </c>
      <c r="Q445">
        <f>IF(Sync!$J445="","",IF(ISNUMBER(Sync!$J445),IF(AND(Sync!$J445&gt;=10000101,Sync!$J445&lt;=99991231),INT(Sync!$J445/10000)&amp;"/"&amp;RIGHT("00"&amp;INT(MOD(Sync!$J445,10000)/100),2)&amp;"/"&amp;RIGHT("00"&amp;MOD(Sync!$J445,100),2),"نامعتبر"),IF(LEN(Sync!$J445)=10,Sync!$J445,"نامعتبر")))</f>
        <v/>
      </c>
      <c r="R445">
        <f>IF($P445="","",COUNTIFS($N$6:$N$2005,$N445,$P$6:$P$2005,"&lt;"&amp;$P445)+COUNTIFS($A$6:$A$1005,$N445,$B$6:$B$1005,"&lt;"&amp;$P445)+1)</f>
        <v/>
      </c>
      <c r="S445">
        <f>IF($N445="","",$N445&amp;"|"&amp;RIGHT("000000"&amp;$R445,6))</f>
        <v/>
      </c>
      <c r="T445">
        <f>IF($N445="","",IF(Sync!$N445="",0,Sync!$N445))</f>
        <v/>
      </c>
      <c r="U445">
        <f>IF($N445="","",IF(Sync!$O445="",0,Sync!$O445))</f>
        <v/>
      </c>
      <c r="V445">
        <f>IF($N445="","",Sync!$L445)</f>
        <v/>
      </c>
      <c r="W445">
        <f>IF($N445="","",Sync!$P445)</f>
        <v/>
      </c>
      <c r="AA445">
        <f>IF($A445="","",IF(COUNTIF($A$6:$A445,$A445)=1,1,0))</f>
        <v/>
      </c>
      <c r="AB445">
        <f>SUM($AA$6:$AA445)</f>
        <v/>
      </c>
      <c r="AC445">
        <f>IFERROR(INDEX($A$6:$A$1005,MATCH(ROW()-5,$AB$6:$AB$1005,0)),"")</f>
        <v/>
      </c>
    </row>
    <row r="446">
      <c r="A446">
        <f>IF(OR(Entry!$B449="",Entry!$E449="",$E446="نامعتبر"),"",Entry!$E449)</f>
        <v/>
      </c>
      <c r="B446">
        <f>IF($A446="","",LEFT($E446,4)&amp;MID($E446,6,2)&amp;RIGHT($E446,2)&amp;$F446&amp;"|"&amp;"1"&amp;RIGHT("00000"&amp;441,5))</f>
        <v/>
      </c>
      <c r="C446">
        <f>IF($B446="","",COUNTIFS($A$6:$A$1005,$A446,$B$6:$B$1005,"&lt;"&amp;$B446)+COUNTIFS($N$6:$N$2005,$A446,$P$6:$P$2005,"&lt;"&amp;$B446)+1)</f>
        <v/>
      </c>
      <c r="D446">
        <f>IF($C446="","",$A446&amp;"|"&amp;RIGHT("000000"&amp;$C446,6))</f>
        <v/>
      </c>
      <c r="E446">
        <f>IF(Entry!$B449="","",IF(ISNUMBER(Entry!$B449),IF(AND(Entry!$B449&gt;=10000101,Entry!$B449&lt;=99991231),INT(Entry!$B449/10000)&amp;"/"&amp;RIGHT("00"&amp;INT(MOD(Entry!$B449,10000)/100),2)&amp;"/"&amp;RIGHT("00"&amp;MOD(Entry!$B449,100),2),"نامعتبر"),IF(LEN(Entry!$B449)=10,Entry!$B449,"نامعتبر")))</f>
        <v/>
      </c>
      <c r="F446">
        <f>IF(Entry!$B449="","",IF(Entry!$C449="","0000",IF(AND(ISNUMBER(Entry!$C449),Entry!$C449&gt;=0,Entry!$C449&lt;1),RIGHT("00"&amp;HOUR(Entry!$C449),2)&amp;RIGHT("00"&amp;MINUTE(Entry!$C449),2),IFERROR(RIGHT("00"&amp;VALUE(LEFT(Entry!$C449,FIND(":",Entry!$C449)-1)),2)&amp;RIGHT("00"&amp;VALUE(MID(Entry!$C449,FIND(":",Entry!$C449)+1,2)),2),"0000"))))</f>
        <v/>
      </c>
      <c r="G446">
        <f>IF($A446="","",Entry!$G449)</f>
        <v/>
      </c>
      <c r="H446">
        <f>IF($A446="","",IF(Entry!$H449="",0,Entry!$H449))</f>
        <v/>
      </c>
      <c r="I446">
        <f>IF($A446="","",IF(Entry!$I449="",0,Entry!$I449))</f>
        <v/>
      </c>
      <c r="J446">
        <f>IF($A446="","",ROUND($H446*$I446,0))</f>
        <v/>
      </c>
      <c r="K446">
        <f>IF($A446="","",Entry!$D449)</f>
        <v/>
      </c>
      <c r="L446">
        <f>IF($A446="","",Entry!$L449)</f>
        <v/>
      </c>
      <c r="N446">
        <f>IF(OR(Sync!$M446="",$Q446="",$Q446="نامعتبر"),"",Sync!$M446)</f>
        <v/>
      </c>
      <c r="O446">
        <f>IF($N446="","",$Q446)</f>
        <v/>
      </c>
      <c r="P446">
        <f>IF($N446="","",LEFT($Q446,4)&amp;MID($Q446,6,2)&amp;RIGHT($Q446,2)&amp;IF(Sync!$K446="","0000",IF(AND(ISNUMBER(Sync!$K446),Sync!$K446&gt;=0,Sync!$K446&lt;1),RIGHT("00"&amp;HOUR(Sync!$K446),2)&amp;RIGHT("00"&amp;MINUTE(Sync!$K446),2),IFERROR(RIGHT("00"&amp;VALUE(LEFT(Sync!$K446,FIND(":",Sync!$K446)-1)),2)&amp;RIGHT("00"&amp;VALUE(MID(Sync!$K446,FIND(":",Sync!$K446)+1,2)),2),"0000")))&amp;"|"&amp;"2"&amp;RIGHT("00000"&amp;441,5))</f>
        <v/>
      </c>
      <c r="Q446">
        <f>IF(Sync!$J446="","",IF(ISNUMBER(Sync!$J446),IF(AND(Sync!$J446&gt;=10000101,Sync!$J446&lt;=99991231),INT(Sync!$J446/10000)&amp;"/"&amp;RIGHT("00"&amp;INT(MOD(Sync!$J446,10000)/100),2)&amp;"/"&amp;RIGHT("00"&amp;MOD(Sync!$J446,100),2),"نامعتبر"),IF(LEN(Sync!$J446)=10,Sync!$J446,"نامعتبر")))</f>
        <v/>
      </c>
      <c r="R446">
        <f>IF($P446="","",COUNTIFS($N$6:$N$2005,$N446,$P$6:$P$2005,"&lt;"&amp;$P446)+COUNTIFS($A$6:$A$1005,$N446,$B$6:$B$1005,"&lt;"&amp;$P446)+1)</f>
        <v/>
      </c>
      <c r="S446">
        <f>IF($N446="","",$N446&amp;"|"&amp;RIGHT("000000"&amp;$R446,6))</f>
        <v/>
      </c>
      <c r="T446">
        <f>IF($N446="","",IF(Sync!$N446="",0,Sync!$N446))</f>
        <v/>
      </c>
      <c r="U446">
        <f>IF($N446="","",IF(Sync!$O446="",0,Sync!$O446))</f>
        <v/>
      </c>
      <c r="V446">
        <f>IF($N446="","",Sync!$L446)</f>
        <v/>
      </c>
      <c r="W446">
        <f>IF($N446="","",Sync!$P446)</f>
        <v/>
      </c>
      <c r="AA446">
        <f>IF($A446="","",IF(COUNTIF($A$6:$A446,$A446)=1,1,0))</f>
        <v/>
      </c>
      <c r="AB446">
        <f>SUM($AA$6:$AA446)</f>
        <v/>
      </c>
      <c r="AC446">
        <f>IFERROR(INDEX($A$6:$A$1005,MATCH(ROW()-5,$AB$6:$AB$1005,0)),"")</f>
        <v/>
      </c>
    </row>
    <row r="447">
      <c r="A447">
        <f>IF(OR(Entry!$B450="",Entry!$E450="",$E447="نامعتبر"),"",Entry!$E450)</f>
        <v/>
      </c>
      <c r="B447">
        <f>IF($A447="","",LEFT($E447,4)&amp;MID($E447,6,2)&amp;RIGHT($E447,2)&amp;$F447&amp;"|"&amp;"1"&amp;RIGHT("00000"&amp;442,5))</f>
        <v/>
      </c>
      <c r="C447">
        <f>IF($B447="","",COUNTIFS($A$6:$A$1005,$A447,$B$6:$B$1005,"&lt;"&amp;$B447)+COUNTIFS($N$6:$N$2005,$A447,$P$6:$P$2005,"&lt;"&amp;$B447)+1)</f>
        <v/>
      </c>
      <c r="D447">
        <f>IF($C447="","",$A447&amp;"|"&amp;RIGHT("000000"&amp;$C447,6))</f>
        <v/>
      </c>
      <c r="E447">
        <f>IF(Entry!$B450="","",IF(ISNUMBER(Entry!$B450),IF(AND(Entry!$B450&gt;=10000101,Entry!$B450&lt;=99991231),INT(Entry!$B450/10000)&amp;"/"&amp;RIGHT("00"&amp;INT(MOD(Entry!$B450,10000)/100),2)&amp;"/"&amp;RIGHT("00"&amp;MOD(Entry!$B450,100),2),"نامعتبر"),IF(LEN(Entry!$B450)=10,Entry!$B450,"نامعتبر")))</f>
        <v/>
      </c>
      <c r="F447">
        <f>IF(Entry!$B450="","",IF(Entry!$C450="","0000",IF(AND(ISNUMBER(Entry!$C450),Entry!$C450&gt;=0,Entry!$C450&lt;1),RIGHT("00"&amp;HOUR(Entry!$C450),2)&amp;RIGHT("00"&amp;MINUTE(Entry!$C450),2),IFERROR(RIGHT("00"&amp;VALUE(LEFT(Entry!$C450,FIND(":",Entry!$C450)-1)),2)&amp;RIGHT("00"&amp;VALUE(MID(Entry!$C450,FIND(":",Entry!$C450)+1,2)),2),"0000"))))</f>
        <v/>
      </c>
      <c r="G447">
        <f>IF($A447="","",Entry!$G450)</f>
        <v/>
      </c>
      <c r="H447">
        <f>IF($A447="","",IF(Entry!$H450="",0,Entry!$H450))</f>
        <v/>
      </c>
      <c r="I447">
        <f>IF($A447="","",IF(Entry!$I450="",0,Entry!$I450))</f>
        <v/>
      </c>
      <c r="J447">
        <f>IF($A447="","",ROUND($H447*$I447,0))</f>
        <v/>
      </c>
      <c r="K447">
        <f>IF($A447="","",Entry!$D450)</f>
        <v/>
      </c>
      <c r="L447">
        <f>IF($A447="","",Entry!$L450)</f>
        <v/>
      </c>
      <c r="N447">
        <f>IF(OR(Sync!$M447="",$Q447="",$Q447="نامعتبر"),"",Sync!$M447)</f>
        <v/>
      </c>
      <c r="O447">
        <f>IF($N447="","",$Q447)</f>
        <v/>
      </c>
      <c r="P447">
        <f>IF($N447="","",LEFT($Q447,4)&amp;MID($Q447,6,2)&amp;RIGHT($Q447,2)&amp;IF(Sync!$K447="","0000",IF(AND(ISNUMBER(Sync!$K447),Sync!$K447&gt;=0,Sync!$K447&lt;1),RIGHT("00"&amp;HOUR(Sync!$K447),2)&amp;RIGHT("00"&amp;MINUTE(Sync!$K447),2),IFERROR(RIGHT("00"&amp;VALUE(LEFT(Sync!$K447,FIND(":",Sync!$K447)-1)),2)&amp;RIGHT("00"&amp;VALUE(MID(Sync!$K447,FIND(":",Sync!$K447)+1,2)),2),"0000")))&amp;"|"&amp;"2"&amp;RIGHT("00000"&amp;442,5))</f>
        <v/>
      </c>
      <c r="Q447">
        <f>IF(Sync!$J447="","",IF(ISNUMBER(Sync!$J447),IF(AND(Sync!$J447&gt;=10000101,Sync!$J447&lt;=99991231),INT(Sync!$J447/10000)&amp;"/"&amp;RIGHT("00"&amp;INT(MOD(Sync!$J447,10000)/100),2)&amp;"/"&amp;RIGHT("00"&amp;MOD(Sync!$J447,100),2),"نامعتبر"),IF(LEN(Sync!$J447)=10,Sync!$J447,"نامعتبر")))</f>
        <v/>
      </c>
      <c r="R447">
        <f>IF($P447="","",COUNTIFS($N$6:$N$2005,$N447,$P$6:$P$2005,"&lt;"&amp;$P447)+COUNTIFS($A$6:$A$1005,$N447,$B$6:$B$1005,"&lt;"&amp;$P447)+1)</f>
        <v/>
      </c>
      <c r="S447">
        <f>IF($N447="","",$N447&amp;"|"&amp;RIGHT("000000"&amp;$R447,6))</f>
        <v/>
      </c>
      <c r="T447">
        <f>IF($N447="","",IF(Sync!$N447="",0,Sync!$N447))</f>
        <v/>
      </c>
      <c r="U447">
        <f>IF($N447="","",IF(Sync!$O447="",0,Sync!$O447))</f>
        <v/>
      </c>
      <c r="V447">
        <f>IF($N447="","",Sync!$L447)</f>
        <v/>
      </c>
      <c r="W447">
        <f>IF($N447="","",Sync!$P447)</f>
        <v/>
      </c>
      <c r="AA447">
        <f>IF($A447="","",IF(COUNTIF($A$6:$A447,$A447)=1,1,0))</f>
        <v/>
      </c>
      <c r="AB447">
        <f>SUM($AA$6:$AA447)</f>
        <v/>
      </c>
      <c r="AC447">
        <f>IFERROR(INDEX($A$6:$A$1005,MATCH(ROW()-5,$AB$6:$AB$1005,0)),"")</f>
        <v/>
      </c>
    </row>
    <row r="448">
      <c r="A448">
        <f>IF(OR(Entry!$B451="",Entry!$E451="",$E448="نامعتبر"),"",Entry!$E451)</f>
        <v/>
      </c>
      <c r="B448">
        <f>IF($A448="","",LEFT($E448,4)&amp;MID($E448,6,2)&amp;RIGHT($E448,2)&amp;$F448&amp;"|"&amp;"1"&amp;RIGHT("00000"&amp;443,5))</f>
        <v/>
      </c>
      <c r="C448">
        <f>IF($B448="","",COUNTIFS($A$6:$A$1005,$A448,$B$6:$B$1005,"&lt;"&amp;$B448)+COUNTIFS($N$6:$N$2005,$A448,$P$6:$P$2005,"&lt;"&amp;$B448)+1)</f>
        <v/>
      </c>
      <c r="D448">
        <f>IF($C448="","",$A448&amp;"|"&amp;RIGHT("000000"&amp;$C448,6))</f>
        <v/>
      </c>
      <c r="E448">
        <f>IF(Entry!$B451="","",IF(ISNUMBER(Entry!$B451),IF(AND(Entry!$B451&gt;=10000101,Entry!$B451&lt;=99991231),INT(Entry!$B451/10000)&amp;"/"&amp;RIGHT("00"&amp;INT(MOD(Entry!$B451,10000)/100),2)&amp;"/"&amp;RIGHT("00"&amp;MOD(Entry!$B451,100),2),"نامعتبر"),IF(LEN(Entry!$B451)=10,Entry!$B451,"نامعتبر")))</f>
        <v/>
      </c>
      <c r="F448">
        <f>IF(Entry!$B451="","",IF(Entry!$C451="","0000",IF(AND(ISNUMBER(Entry!$C451),Entry!$C451&gt;=0,Entry!$C451&lt;1),RIGHT("00"&amp;HOUR(Entry!$C451),2)&amp;RIGHT("00"&amp;MINUTE(Entry!$C451),2),IFERROR(RIGHT("00"&amp;VALUE(LEFT(Entry!$C451,FIND(":",Entry!$C451)-1)),2)&amp;RIGHT("00"&amp;VALUE(MID(Entry!$C451,FIND(":",Entry!$C451)+1,2)),2),"0000"))))</f>
        <v/>
      </c>
      <c r="G448">
        <f>IF($A448="","",Entry!$G451)</f>
        <v/>
      </c>
      <c r="H448">
        <f>IF($A448="","",IF(Entry!$H451="",0,Entry!$H451))</f>
        <v/>
      </c>
      <c r="I448">
        <f>IF($A448="","",IF(Entry!$I451="",0,Entry!$I451))</f>
        <v/>
      </c>
      <c r="J448">
        <f>IF($A448="","",ROUND($H448*$I448,0))</f>
        <v/>
      </c>
      <c r="K448">
        <f>IF($A448="","",Entry!$D451)</f>
        <v/>
      </c>
      <c r="L448">
        <f>IF($A448="","",Entry!$L451)</f>
        <v/>
      </c>
      <c r="N448">
        <f>IF(OR(Sync!$M448="",$Q448="",$Q448="نامعتبر"),"",Sync!$M448)</f>
        <v/>
      </c>
      <c r="O448">
        <f>IF($N448="","",$Q448)</f>
        <v/>
      </c>
      <c r="P448">
        <f>IF($N448="","",LEFT($Q448,4)&amp;MID($Q448,6,2)&amp;RIGHT($Q448,2)&amp;IF(Sync!$K448="","0000",IF(AND(ISNUMBER(Sync!$K448),Sync!$K448&gt;=0,Sync!$K448&lt;1),RIGHT("00"&amp;HOUR(Sync!$K448),2)&amp;RIGHT("00"&amp;MINUTE(Sync!$K448),2),IFERROR(RIGHT("00"&amp;VALUE(LEFT(Sync!$K448,FIND(":",Sync!$K448)-1)),2)&amp;RIGHT("00"&amp;VALUE(MID(Sync!$K448,FIND(":",Sync!$K448)+1,2)),2),"0000")))&amp;"|"&amp;"2"&amp;RIGHT("00000"&amp;443,5))</f>
        <v/>
      </c>
      <c r="Q448">
        <f>IF(Sync!$J448="","",IF(ISNUMBER(Sync!$J448),IF(AND(Sync!$J448&gt;=10000101,Sync!$J448&lt;=99991231),INT(Sync!$J448/10000)&amp;"/"&amp;RIGHT("00"&amp;INT(MOD(Sync!$J448,10000)/100),2)&amp;"/"&amp;RIGHT("00"&amp;MOD(Sync!$J448,100),2),"نامعتبر"),IF(LEN(Sync!$J448)=10,Sync!$J448,"نامعتبر")))</f>
        <v/>
      </c>
      <c r="R448">
        <f>IF($P448="","",COUNTIFS($N$6:$N$2005,$N448,$P$6:$P$2005,"&lt;"&amp;$P448)+COUNTIFS($A$6:$A$1005,$N448,$B$6:$B$1005,"&lt;"&amp;$P448)+1)</f>
        <v/>
      </c>
      <c r="S448">
        <f>IF($N448="","",$N448&amp;"|"&amp;RIGHT("000000"&amp;$R448,6))</f>
        <v/>
      </c>
      <c r="T448">
        <f>IF($N448="","",IF(Sync!$N448="",0,Sync!$N448))</f>
        <v/>
      </c>
      <c r="U448">
        <f>IF($N448="","",IF(Sync!$O448="",0,Sync!$O448))</f>
        <v/>
      </c>
      <c r="V448">
        <f>IF($N448="","",Sync!$L448)</f>
        <v/>
      </c>
      <c r="W448">
        <f>IF($N448="","",Sync!$P448)</f>
        <v/>
      </c>
      <c r="AA448">
        <f>IF($A448="","",IF(COUNTIF($A$6:$A448,$A448)=1,1,0))</f>
        <v/>
      </c>
      <c r="AB448">
        <f>SUM($AA$6:$AA448)</f>
        <v/>
      </c>
      <c r="AC448">
        <f>IFERROR(INDEX($A$6:$A$1005,MATCH(ROW()-5,$AB$6:$AB$1005,0)),"")</f>
        <v/>
      </c>
    </row>
    <row r="449">
      <c r="A449">
        <f>IF(OR(Entry!$B452="",Entry!$E452="",$E449="نامعتبر"),"",Entry!$E452)</f>
        <v/>
      </c>
      <c r="B449">
        <f>IF($A449="","",LEFT($E449,4)&amp;MID($E449,6,2)&amp;RIGHT($E449,2)&amp;$F449&amp;"|"&amp;"1"&amp;RIGHT("00000"&amp;444,5))</f>
        <v/>
      </c>
      <c r="C449">
        <f>IF($B449="","",COUNTIFS($A$6:$A$1005,$A449,$B$6:$B$1005,"&lt;"&amp;$B449)+COUNTIFS($N$6:$N$2005,$A449,$P$6:$P$2005,"&lt;"&amp;$B449)+1)</f>
        <v/>
      </c>
      <c r="D449">
        <f>IF($C449="","",$A449&amp;"|"&amp;RIGHT("000000"&amp;$C449,6))</f>
        <v/>
      </c>
      <c r="E449">
        <f>IF(Entry!$B452="","",IF(ISNUMBER(Entry!$B452),IF(AND(Entry!$B452&gt;=10000101,Entry!$B452&lt;=99991231),INT(Entry!$B452/10000)&amp;"/"&amp;RIGHT("00"&amp;INT(MOD(Entry!$B452,10000)/100),2)&amp;"/"&amp;RIGHT("00"&amp;MOD(Entry!$B452,100),2),"نامعتبر"),IF(LEN(Entry!$B452)=10,Entry!$B452,"نامعتبر")))</f>
        <v/>
      </c>
      <c r="F449">
        <f>IF(Entry!$B452="","",IF(Entry!$C452="","0000",IF(AND(ISNUMBER(Entry!$C452),Entry!$C452&gt;=0,Entry!$C452&lt;1),RIGHT("00"&amp;HOUR(Entry!$C452),2)&amp;RIGHT("00"&amp;MINUTE(Entry!$C452),2),IFERROR(RIGHT("00"&amp;VALUE(LEFT(Entry!$C452,FIND(":",Entry!$C452)-1)),2)&amp;RIGHT("00"&amp;VALUE(MID(Entry!$C452,FIND(":",Entry!$C452)+1,2)),2),"0000"))))</f>
        <v/>
      </c>
      <c r="G449">
        <f>IF($A449="","",Entry!$G452)</f>
        <v/>
      </c>
      <c r="H449">
        <f>IF($A449="","",IF(Entry!$H452="",0,Entry!$H452))</f>
        <v/>
      </c>
      <c r="I449">
        <f>IF($A449="","",IF(Entry!$I452="",0,Entry!$I452))</f>
        <v/>
      </c>
      <c r="J449">
        <f>IF($A449="","",ROUND($H449*$I449,0))</f>
        <v/>
      </c>
      <c r="K449">
        <f>IF($A449="","",Entry!$D452)</f>
        <v/>
      </c>
      <c r="L449">
        <f>IF($A449="","",Entry!$L452)</f>
        <v/>
      </c>
      <c r="N449">
        <f>IF(OR(Sync!$M449="",$Q449="",$Q449="نامعتبر"),"",Sync!$M449)</f>
        <v/>
      </c>
      <c r="O449">
        <f>IF($N449="","",$Q449)</f>
        <v/>
      </c>
      <c r="P449">
        <f>IF($N449="","",LEFT($Q449,4)&amp;MID($Q449,6,2)&amp;RIGHT($Q449,2)&amp;IF(Sync!$K449="","0000",IF(AND(ISNUMBER(Sync!$K449),Sync!$K449&gt;=0,Sync!$K449&lt;1),RIGHT("00"&amp;HOUR(Sync!$K449),2)&amp;RIGHT("00"&amp;MINUTE(Sync!$K449),2),IFERROR(RIGHT("00"&amp;VALUE(LEFT(Sync!$K449,FIND(":",Sync!$K449)-1)),2)&amp;RIGHT("00"&amp;VALUE(MID(Sync!$K449,FIND(":",Sync!$K449)+1,2)),2),"0000")))&amp;"|"&amp;"2"&amp;RIGHT("00000"&amp;444,5))</f>
        <v/>
      </c>
      <c r="Q449">
        <f>IF(Sync!$J449="","",IF(ISNUMBER(Sync!$J449),IF(AND(Sync!$J449&gt;=10000101,Sync!$J449&lt;=99991231),INT(Sync!$J449/10000)&amp;"/"&amp;RIGHT("00"&amp;INT(MOD(Sync!$J449,10000)/100),2)&amp;"/"&amp;RIGHT("00"&amp;MOD(Sync!$J449,100),2),"نامعتبر"),IF(LEN(Sync!$J449)=10,Sync!$J449,"نامعتبر")))</f>
        <v/>
      </c>
      <c r="R449">
        <f>IF($P449="","",COUNTIFS($N$6:$N$2005,$N449,$P$6:$P$2005,"&lt;"&amp;$P449)+COUNTIFS($A$6:$A$1005,$N449,$B$6:$B$1005,"&lt;"&amp;$P449)+1)</f>
        <v/>
      </c>
      <c r="S449">
        <f>IF($N449="","",$N449&amp;"|"&amp;RIGHT("000000"&amp;$R449,6))</f>
        <v/>
      </c>
      <c r="T449">
        <f>IF($N449="","",IF(Sync!$N449="",0,Sync!$N449))</f>
        <v/>
      </c>
      <c r="U449">
        <f>IF($N449="","",IF(Sync!$O449="",0,Sync!$O449))</f>
        <v/>
      </c>
      <c r="V449">
        <f>IF($N449="","",Sync!$L449)</f>
        <v/>
      </c>
      <c r="W449">
        <f>IF($N449="","",Sync!$P449)</f>
        <v/>
      </c>
      <c r="AA449">
        <f>IF($A449="","",IF(COUNTIF($A$6:$A449,$A449)=1,1,0))</f>
        <v/>
      </c>
      <c r="AB449">
        <f>SUM($AA$6:$AA449)</f>
        <v/>
      </c>
      <c r="AC449">
        <f>IFERROR(INDEX($A$6:$A$1005,MATCH(ROW()-5,$AB$6:$AB$1005,0)),"")</f>
        <v/>
      </c>
    </row>
    <row r="450">
      <c r="A450">
        <f>IF(OR(Entry!$B453="",Entry!$E453="",$E450="نامعتبر"),"",Entry!$E453)</f>
        <v/>
      </c>
      <c r="B450">
        <f>IF($A450="","",LEFT($E450,4)&amp;MID($E450,6,2)&amp;RIGHT($E450,2)&amp;$F450&amp;"|"&amp;"1"&amp;RIGHT("00000"&amp;445,5))</f>
        <v/>
      </c>
      <c r="C450">
        <f>IF($B450="","",COUNTIFS($A$6:$A$1005,$A450,$B$6:$B$1005,"&lt;"&amp;$B450)+COUNTIFS($N$6:$N$2005,$A450,$P$6:$P$2005,"&lt;"&amp;$B450)+1)</f>
        <v/>
      </c>
      <c r="D450">
        <f>IF($C450="","",$A450&amp;"|"&amp;RIGHT("000000"&amp;$C450,6))</f>
        <v/>
      </c>
      <c r="E450">
        <f>IF(Entry!$B453="","",IF(ISNUMBER(Entry!$B453),IF(AND(Entry!$B453&gt;=10000101,Entry!$B453&lt;=99991231),INT(Entry!$B453/10000)&amp;"/"&amp;RIGHT("00"&amp;INT(MOD(Entry!$B453,10000)/100),2)&amp;"/"&amp;RIGHT("00"&amp;MOD(Entry!$B453,100),2),"نامعتبر"),IF(LEN(Entry!$B453)=10,Entry!$B453,"نامعتبر")))</f>
        <v/>
      </c>
      <c r="F450">
        <f>IF(Entry!$B453="","",IF(Entry!$C453="","0000",IF(AND(ISNUMBER(Entry!$C453),Entry!$C453&gt;=0,Entry!$C453&lt;1),RIGHT("00"&amp;HOUR(Entry!$C453),2)&amp;RIGHT("00"&amp;MINUTE(Entry!$C453),2),IFERROR(RIGHT("00"&amp;VALUE(LEFT(Entry!$C453,FIND(":",Entry!$C453)-1)),2)&amp;RIGHT("00"&amp;VALUE(MID(Entry!$C453,FIND(":",Entry!$C453)+1,2)),2),"0000"))))</f>
        <v/>
      </c>
      <c r="G450">
        <f>IF($A450="","",Entry!$G453)</f>
        <v/>
      </c>
      <c r="H450">
        <f>IF($A450="","",IF(Entry!$H453="",0,Entry!$H453))</f>
        <v/>
      </c>
      <c r="I450">
        <f>IF($A450="","",IF(Entry!$I453="",0,Entry!$I453))</f>
        <v/>
      </c>
      <c r="J450">
        <f>IF($A450="","",ROUND($H450*$I450,0))</f>
        <v/>
      </c>
      <c r="K450">
        <f>IF($A450="","",Entry!$D453)</f>
        <v/>
      </c>
      <c r="L450">
        <f>IF($A450="","",Entry!$L453)</f>
        <v/>
      </c>
      <c r="N450">
        <f>IF(OR(Sync!$M450="",$Q450="",$Q450="نامعتبر"),"",Sync!$M450)</f>
        <v/>
      </c>
      <c r="O450">
        <f>IF($N450="","",$Q450)</f>
        <v/>
      </c>
      <c r="P450">
        <f>IF($N450="","",LEFT($Q450,4)&amp;MID($Q450,6,2)&amp;RIGHT($Q450,2)&amp;IF(Sync!$K450="","0000",IF(AND(ISNUMBER(Sync!$K450),Sync!$K450&gt;=0,Sync!$K450&lt;1),RIGHT("00"&amp;HOUR(Sync!$K450),2)&amp;RIGHT("00"&amp;MINUTE(Sync!$K450),2),IFERROR(RIGHT("00"&amp;VALUE(LEFT(Sync!$K450,FIND(":",Sync!$K450)-1)),2)&amp;RIGHT("00"&amp;VALUE(MID(Sync!$K450,FIND(":",Sync!$K450)+1,2)),2),"0000")))&amp;"|"&amp;"2"&amp;RIGHT("00000"&amp;445,5))</f>
        <v/>
      </c>
      <c r="Q450">
        <f>IF(Sync!$J450="","",IF(ISNUMBER(Sync!$J450),IF(AND(Sync!$J450&gt;=10000101,Sync!$J450&lt;=99991231),INT(Sync!$J450/10000)&amp;"/"&amp;RIGHT("00"&amp;INT(MOD(Sync!$J450,10000)/100),2)&amp;"/"&amp;RIGHT("00"&amp;MOD(Sync!$J450,100),2),"نامعتبر"),IF(LEN(Sync!$J450)=10,Sync!$J450,"نامعتبر")))</f>
        <v/>
      </c>
      <c r="R450">
        <f>IF($P450="","",COUNTIFS($N$6:$N$2005,$N450,$P$6:$P$2005,"&lt;"&amp;$P450)+COUNTIFS($A$6:$A$1005,$N450,$B$6:$B$1005,"&lt;"&amp;$P450)+1)</f>
        <v/>
      </c>
      <c r="S450">
        <f>IF($N450="","",$N450&amp;"|"&amp;RIGHT("000000"&amp;$R450,6))</f>
        <v/>
      </c>
      <c r="T450">
        <f>IF($N450="","",IF(Sync!$N450="",0,Sync!$N450))</f>
        <v/>
      </c>
      <c r="U450">
        <f>IF($N450="","",IF(Sync!$O450="",0,Sync!$O450))</f>
        <v/>
      </c>
      <c r="V450">
        <f>IF($N450="","",Sync!$L450)</f>
        <v/>
      </c>
      <c r="W450">
        <f>IF($N450="","",Sync!$P450)</f>
        <v/>
      </c>
      <c r="AA450">
        <f>IF($A450="","",IF(COUNTIF($A$6:$A450,$A450)=1,1,0))</f>
        <v/>
      </c>
      <c r="AB450">
        <f>SUM($AA$6:$AA450)</f>
        <v/>
      </c>
      <c r="AC450">
        <f>IFERROR(INDEX($A$6:$A$1005,MATCH(ROW()-5,$AB$6:$AB$1005,0)),"")</f>
        <v/>
      </c>
    </row>
    <row r="451">
      <c r="A451">
        <f>IF(OR(Entry!$B454="",Entry!$E454="",$E451="نامعتبر"),"",Entry!$E454)</f>
        <v/>
      </c>
      <c r="B451">
        <f>IF($A451="","",LEFT($E451,4)&amp;MID($E451,6,2)&amp;RIGHT($E451,2)&amp;$F451&amp;"|"&amp;"1"&amp;RIGHT("00000"&amp;446,5))</f>
        <v/>
      </c>
      <c r="C451">
        <f>IF($B451="","",COUNTIFS($A$6:$A$1005,$A451,$B$6:$B$1005,"&lt;"&amp;$B451)+COUNTIFS($N$6:$N$2005,$A451,$P$6:$P$2005,"&lt;"&amp;$B451)+1)</f>
        <v/>
      </c>
      <c r="D451">
        <f>IF($C451="","",$A451&amp;"|"&amp;RIGHT("000000"&amp;$C451,6))</f>
        <v/>
      </c>
      <c r="E451">
        <f>IF(Entry!$B454="","",IF(ISNUMBER(Entry!$B454),IF(AND(Entry!$B454&gt;=10000101,Entry!$B454&lt;=99991231),INT(Entry!$B454/10000)&amp;"/"&amp;RIGHT("00"&amp;INT(MOD(Entry!$B454,10000)/100),2)&amp;"/"&amp;RIGHT("00"&amp;MOD(Entry!$B454,100),2),"نامعتبر"),IF(LEN(Entry!$B454)=10,Entry!$B454,"نامعتبر")))</f>
        <v/>
      </c>
      <c r="F451">
        <f>IF(Entry!$B454="","",IF(Entry!$C454="","0000",IF(AND(ISNUMBER(Entry!$C454),Entry!$C454&gt;=0,Entry!$C454&lt;1),RIGHT("00"&amp;HOUR(Entry!$C454),2)&amp;RIGHT("00"&amp;MINUTE(Entry!$C454),2),IFERROR(RIGHT("00"&amp;VALUE(LEFT(Entry!$C454,FIND(":",Entry!$C454)-1)),2)&amp;RIGHT("00"&amp;VALUE(MID(Entry!$C454,FIND(":",Entry!$C454)+1,2)),2),"0000"))))</f>
        <v/>
      </c>
      <c r="G451">
        <f>IF($A451="","",Entry!$G454)</f>
        <v/>
      </c>
      <c r="H451">
        <f>IF($A451="","",IF(Entry!$H454="",0,Entry!$H454))</f>
        <v/>
      </c>
      <c r="I451">
        <f>IF($A451="","",IF(Entry!$I454="",0,Entry!$I454))</f>
        <v/>
      </c>
      <c r="J451">
        <f>IF($A451="","",ROUND($H451*$I451,0))</f>
        <v/>
      </c>
      <c r="K451">
        <f>IF($A451="","",Entry!$D454)</f>
        <v/>
      </c>
      <c r="L451">
        <f>IF($A451="","",Entry!$L454)</f>
        <v/>
      </c>
      <c r="N451">
        <f>IF(OR(Sync!$M451="",$Q451="",$Q451="نامعتبر"),"",Sync!$M451)</f>
        <v/>
      </c>
      <c r="O451">
        <f>IF($N451="","",$Q451)</f>
        <v/>
      </c>
      <c r="P451">
        <f>IF($N451="","",LEFT($Q451,4)&amp;MID($Q451,6,2)&amp;RIGHT($Q451,2)&amp;IF(Sync!$K451="","0000",IF(AND(ISNUMBER(Sync!$K451),Sync!$K451&gt;=0,Sync!$K451&lt;1),RIGHT("00"&amp;HOUR(Sync!$K451),2)&amp;RIGHT("00"&amp;MINUTE(Sync!$K451),2),IFERROR(RIGHT("00"&amp;VALUE(LEFT(Sync!$K451,FIND(":",Sync!$K451)-1)),2)&amp;RIGHT("00"&amp;VALUE(MID(Sync!$K451,FIND(":",Sync!$K451)+1,2)),2),"0000")))&amp;"|"&amp;"2"&amp;RIGHT("00000"&amp;446,5))</f>
        <v/>
      </c>
      <c r="Q451">
        <f>IF(Sync!$J451="","",IF(ISNUMBER(Sync!$J451),IF(AND(Sync!$J451&gt;=10000101,Sync!$J451&lt;=99991231),INT(Sync!$J451/10000)&amp;"/"&amp;RIGHT("00"&amp;INT(MOD(Sync!$J451,10000)/100),2)&amp;"/"&amp;RIGHT("00"&amp;MOD(Sync!$J451,100),2),"نامعتبر"),IF(LEN(Sync!$J451)=10,Sync!$J451,"نامعتبر")))</f>
        <v/>
      </c>
      <c r="R451">
        <f>IF($P451="","",COUNTIFS($N$6:$N$2005,$N451,$P$6:$P$2005,"&lt;"&amp;$P451)+COUNTIFS($A$6:$A$1005,$N451,$B$6:$B$1005,"&lt;"&amp;$P451)+1)</f>
        <v/>
      </c>
      <c r="S451">
        <f>IF($N451="","",$N451&amp;"|"&amp;RIGHT("000000"&amp;$R451,6))</f>
        <v/>
      </c>
      <c r="T451">
        <f>IF($N451="","",IF(Sync!$N451="",0,Sync!$N451))</f>
        <v/>
      </c>
      <c r="U451">
        <f>IF($N451="","",IF(Sync!$O451="",0,Sync!$O451))</f>
        <v/>
      </c>
      <c r="V451">
        <f>IF($N451="","",Sync!$L451)</f>
        <v/>
      </c>
      <c r="W451">
        <f>IF($N451="","",Sync!$P451)</f>
        <v/>
      </c>
      <c r="AA451">
        <f>IF($A451="","",IF(COUNTIF($A$6:$A451,$A451)=1,1,0))</f>
        <v/>
      </c>
      <c r="AB451">
        <f>SUM($AA$6:$AA451)</f>
        <v/>
      </c>
      <c r="AC451">
        <f>IFERROR(INDEX($A$6:$A$1005,MATCH(ROW()-5,$AB$6:$AB$1005,0)),"")</f>
        <v/>
      </c>
    </row>
    <row r="452">
      <c r="A452">
        <f>IF(OR(Entry!$B455="",Entry!$E455="",$E452="نامعتبر"),"",Entry!$E455)</f>
        <v/>
      </c>
      <c r="B452">
        <f>IF($A452="","",LEFT($E452,4)&amp;MID($E452,6,2)&amp;RIGHT($E452,2)&amp;$F452&amp;"|"&amp;"1"&amp;RIGHT("00000"&amp;447,5))</f>
        <v/>
      </c>
      <c r="C452">
        <f>IF($B452="","",COUNTIFS($A$6:$A$1005,$A452,$B$6:$B$1005,"&lt;"&amp;$B452)+COUNTIFS($N$6:$N$2005,$A452,$P$6:$P$2005,"&lt;"&amp;$B452)+1)</f>
        <v/>
      </c>
      <c r="D452">
        <f>IF($C452="","",$A452&amp;"|"&amp;RIGHT("000000"&amp;$C452,6))</f>
        <v/>
      </c>
      <c r="E452">
        <f>IF(Entry!$B455="","",IF(ISNUMBER(Entry!$B455),IF(AND(Entry!$B455&gt;=10000101,Entry!$B455&lt;=99991231),INT(Entry!$B455/10000)&amp;"/"&amp;RIGHT("00"&amp;INT(MOD(Entry!$B455,10000)/100),2)&amp;"/"&amp;RIGHT("00"&amp;MOD(Entry!$B455,100),2),"نامعتبر"),IF(LEN(Entry!$B455)=10,Entry!$B455,"نامعتبر")))</f>
        <v/>
      </c>
      <c r="F452">
        <f>IF(Entry!$B455="","",IF(Entry!$C455="","0000",IF(AND(ISNUMBER(Entry!$C455),Entry!$C455&gt;=0,Entry!$C455&lt;1),RIGHT("00"&amp;HOUR(Entry!$C455),2)&amp;RIGHT("00"&amp;MINUTE(Entry!$C455),2),IFERROR(RIGHT("00"&amp;VALUE(LEFT(Entry!$C455,FIND(":",Entry!$C455)-1)),2)&amp;RIGHT("00"&amp;VALUE(MID(Entry!$C455,FIND(":",Entry!$C455)+1,2)),2),"0000"))))</f>
        <v/>
      </c>
      <c r="G452">
        <f>IF($A452="","",Entry!$G455)</f>
        <v/>
      </c>
      <c r="H452">
        <f>IF($A452="","",IF(Entry!$H455="",0,Entry!$H455))</f>
        <v/>
      </c>
      <c r="I452">
        <f>IF($A452="","",IF(Entry!$I455="",0,Entry!$I455))</f>
        <v/>
      </c>
      <c r="J452">
        <f>IF($A452="","",ROUND($H452*$I452,0))</f>
        <v/>
      </c>
      <c r="K452">
        <f>IF($A452="","",Entry!$D455)</f>
        <v/>
      </c>
      <c r="L452">
        <f>IF($A452="","",Entry!$L455)</f>
        <v/>
      </c>
      <c r="N452">
        <f>IF(OR(Sync!$M452="",$Q452="",$Q452="نامعتبر"),"",Sync!$M452)</f>
        <v/>
      </c>
      <c r="O452">
        <f>IF($N452="","",$Q452)</f>
        <v/>
      </c>
      <c r="P452">
        <f>IF($N452="","",LEFT($Q452,4)&amp;MID($Q452,6,2)&amp;RIGHT($Q452,2)&amp;IF(Sync!$K452="","0000",IF(AND(ISNUMBER(Sync!$K452),Sync!$K452&gt;=0,Sync!$K452&lt;1),RIGHT("00"&amp;HOUR(Sync!$K452),2)&amp;RIGHT("00"&amp;MINUTE(Sync!$K452),2),IFERROR(RIGHT("00"&amp;VALUE(LEFT(Sync!$K452,FIND(":",Sync!$K452)-1)),2)&amp;RIGHT("00"&amp;VALUE(MID(Sync!$K452,FIND(":",Sync!$K452)+1,2)),2),"0000")))&amp;"|"&amp;"2"&amp;RIGHT("00000"&amp;447,5))</f>
        <v/>
      </c>
      <c r="Q452">
        <f>IF(Sync!$J452="","",IF(ISNUMBER(Sync!$J452),IF(AND(Sync!$J452&gt;=10000101,Sync!$J452&lt;=99991231),INT(Sync!$J452/10000)&amp;"/"&amp;RIGHT("00"&amp;INT(MOD(Sync!$J452,10000)/100),2)&amp;"/"&amp;RIGHT("00"&amp;MOD(Sync!$J452,100),2),"نامعتبر"),IF(LEN(Sync!$J452)=10,Sync!$J452,"نامعتبر")))</f>
        <v/>
      </c>
      <c r="R452">
        <f>IF($P452="","",COUNTIFS($N$6:$N$2005,$N452,$P$6:$P$2005,"&lt;"&amp;$P452)+COUNTIFS($A$6:$A$1005,$N452,$B$6:$B$1005,"&lt;"&amp;$P452)+1)</f>
        <v/>
      </c>
      <c r="S452">
        <f>IF($N452="","",$N452&amp;"|"&amp;RIGHT("000000"&amp;$R452,6))</f>
        <v/>
      </c>
      <c r="T452">
        <f>IF($N452="","",IF(Sync!$N452="",0,Sync!$N452))</f>
        <v/>
      </c>
      <c r="U452">
        <f>IF($N452="","",IF(Sync!$O452="",0,Sync!$O452))</f>
        <v/>
      </c>
      <c r="V452">
        <f>IF($N452="","",Sync!$L452)</f>
        <v/>
      </c>
      <c r="W452">
        <f>IF($N452="","",Sync!$P452)</f>
        <v/>
      </c>
      <c r="AA452">
        <f>IF($A452="","",IF(COUNTIF($A$6:$A452,$A452)=1,1,0))</f>
        <v/>
      </c>
      <c r="AB452">
        <f>SUM($AA$6:$AA452)</f>
        <v/>
      </c>
      <c r="AC452">
        <f>IFERROR(INDEX($A$6:$A$1005,MATCH(ROW()-5,$AB$6:$AB$1005,0)),"")</f>
        <v/>
      </c>
    </row>
    <row r="453">
      <c r="A453">
        <f>IF(OR(Entry!$B456="",Entry!$E456="",$E453="نامعتبر"),"",Entry!$E456)</f>
        <v/>
      </c>
      <c r="B453">
        <f>IF($A453="","",LEFT($E453,4)&amp;MID($E453,6,2)&amp;RIGHT($E453,2)&amp;$F453&amp;"|"&amp;"1"&amp;RIGHT("00000"&amp;448,5))</f>
        <v/>
      </c>
      <c r="C453">
        <f>IF($B453="","",COUNTIFS($A$6:$A$1005,$A453,$B$6:$B$1005,"&lt;"&amp;$B453)+COUNTIFS($N$6:$N$2005,$A453,$P$6:$P$2005,"&lt;"&amp;$B453)+1)</f>
        <v/>
      </c>
      <c r="D453">
        <f>IF($C453="","",$A453&amp;"|"&amp;RIGHT("000000"&amp;$C453,6))</f>
        <v/>
      </c>
      <c r="E453">
        <f>IF(Entry!$B456="","",IF(ISNUMBER(Entry!$B456),IF(AND(Entry!$B456&gt;=10000101,Entry!$B456&lt;=99991231),INT(Entry!$B456/10000)&amp;"/"&amp;RIGHT("00"&amp;INT(MOD(Entry!$B456,10000)/100),2)&amp;"/"&amp;RIGHT("00"&amp;MOD(Entry!$B456,100),2),"نامعتبر"),IF(LEN(Entry!$B456)=10,Entry!$B456,"نامعتبر")))</f>
        <v/>
      </c>
      <c r="F453">
        <f>IF(Entry!$B456="","",IF(Entry!$C456="","0000",IF(AND(ISNUMBER(Entry!$C456),Entry!$C456&gt;=0,Entry!$C456&lt;1),RIGHT("00"&amp;HOUR(Entry!$C456),2)&amp;RIGHT("00"&amp;MINUTE(Entry!$C456),2),IFERROR(RIGHT("00"&amp;VALUE(LEFT(Entry!$C456,FIND(":",Entry!$C456)-1)),2)&amp;RIGHT("00"&amp;VALUE(MID(Entry!$C456,FIND(":",Entry!$C456)+1,2)),2),"0000"))))</f>
        <v/>
      </c>
      <c r="G453">
        <f>IF($A453="","",Entry!$G456)</f>
        <v/>
      </c>
      <c r="H453">
        <f>IF($A453="","",IF(Entry!$H456="",0,Entry!$H456))</f>
        <v/>
      </c>
      <c r="I453">
        <f>IF($A453="","",IF(Entry!$I456="",0,Entry!$I456))</f>
        <v/>
      </c>
      <c r="J453">
        <f>IF($A453="","",ROUND($H453*$I453,0))</f>
        <v/>
      </c>
      <c r="K453">
        <f>IF($A453="","",Entry!$D456)</f>
        <v/>
      </c>
      <c r="L453">
        <f>IF($A453="","",Entry!$L456)</f>
        <v/>
      </c>
      <c r="N453">
        <f>IF(OR(Sync!$M453="",$Q453="",$Q453="نامعتبر"),"",Sync!$M453)</f>
        <v/>
      </c>
      <c r="O453">
        <f>IF($N453="","",$Q453)</f>
        <v/>
      </c>
      <c r="P453">
        <f>IF($N453="","",LEFT($Q453,4)&amp;MID($Q453,6,2)&amp;RIGHT($Q453,2)&amp;IF(Sync!$K453="","0000",IF(AND(ISNUMBER(Sync!$K453),Sync!$K453&gt;=0,Sync!$K453&lt;1),RIGHT("00"&amp;HOUR(Sync!$K453),2)&amp;RIGHT("00"&amp;MINUTE(Sync!$K453),2),IFERROR(RIGHT("00"&amp;VALUE(LEFT(Sync!$K453,FIND(":",Sync!$K453)-1)),2)&amp;RIGHT("00"&amp;VALUE(MID(Sync!$K453,FIND(":",Sync!$K453)+1,2)),2),"0000")))&amp;"|"&amp;"2"&amp;RIGHT("00000"&amp;448,5))</f>
        <v/>
      </c>
      <c r="Q453">
        <f>IF(Sync!$J453="","",IF(ISNUMBER(Sync!$J453),IF(AND(Sync!$J453&gt;=10000101,Sync!$J453&lt;=99991231),INT(Sync!$J453/10000)&amp;"/"&amp;RIGHT("00"&amp;INT(MOD(Sync!$J453,10000)/100),2)&amp;"/"&amp;RIGHT("00"&amp;MOD(Sync!$J453,100),2),"نامعتبر"),IF(LEN(Sync!$J453)=10,Sync!$J453,"نامعتبر")))</f>
        <v/>
      </c>
      <c r="R453">
        <f>IF($P453="","",COUNTIFS($N$6:$N$2005,$N453,$P$6:$P$2005,"&lt;"&amp;$P453)+COUNTIFS($A$6:$A$1005,$N453,$B$6:$B$1005,"&lt;"&amp;$P453)+1)</f>
        <v/>
      </c>
      <c r="S453">
        <f>IF($N453="","",$N453&amp;"|"&amp;RIGHT("000000"&amp;$R453,6))</f>
        <v/>
      </c>
      <c r="T453">
        <f>IF($N453="","",IF(Sync!$N453="",0,Sync!$N453))</f>
        <v/>
      </c>
      <c r="U453">
        <f>IF($N453="","",IF(Sync!$O453="",0,Sync!$O453))</f>
        <v/>
      </c>
      <c r="V453">
        <f>IF($N453="","",Sync!$L453)</f>
        <v/>
      </c>
      <c r="W453">
        <f>IF($N453="","",Sync!$P453)</f>
        <v/>
      </c>
      <c r="AA453">
        <f>IF($A453="","",IF(COUNTIF($A$6:$A453,$A453)=1,1,0))</f>
        <v/>
      </c>
      <c r="AB453">
        <f>SUM($AA$6:$AA453)</f>
        <v/>
      </c>
      <c r="AC453">
        <f>IFERROR(INDEX($A$6:$A$1005,MATCH(ROW()-5,$AB$6:$AB$1005,0)),"")</f>
        <v/>
      </c>
    </row>
    <row r="454">
      <c r="A454">
        <f>IF(OR(Entry!$B457="",Entry!$E457="",$E454="نامعتبر"),"",Entry!$E457)</f>
        <v/>
      </c>
      <c r="B454">
        <f>IF($A454="","",LEFT($E454,4)&amp;MID($E454,6,2)&amp;RIGHT($E454,2)&amp;$F454&amp;"|"&amp;"1"&amp;RIGHT("00000"&amp;449,5))</f>
        <v/>
      </c>
      <c r="C454">
        <f>IF($B454="","",COUNTIFS($A$6:$A$1005,$A454,$B$6:$B$1005,"&lt;"&amp;$B454)+COUNTIFS($N$6:$N$2005,$A454,$P$6:$P$2005,"&lt;"&amp;$B454)+1)</f>
        <v/>
      </c>
      <c r="D454">
        <f>IF($C454="","",$A454&amp;"|"&amp;RIGHT("000000"&amp;$C454,6))</f>
        <v/>
      </c>
      <c r="E454">
        <f>IF(Entry!$B457="","",IF(ISNUMBER(Entry!$B457),IF(AND(Entry!$B457&gt;=10000101,Entry!$B457&lt;=99991231),INT(Entry!$B457/10000)&amp;"/"&amp;RIGHT("00"&amp;INT(MOD(Entry!$B457,10000)/100),2)&amp;"/"&amp;RIGHT("00"&amp;MOD(Entry!$B457,100),2),"نامعتبر"),IF(LEN(Entry!$B457)=10,Entry!$B457,"نامعتبر")))</f>
        <v/>
      </c>
      <c r="F454">
        <f>IF(Entry!$B457="","",IF(Entry!$C457="","0000",IF(AND(ISNUMBER(Entry!$C457),Entry!$C457&gt;=0,Entry!$C457&lt;1),RIGHT("00"&amp;HOUR(Entry!$C457),2)&amp;RIGHT("00"&amp;MINUTE(Entry!$C457),2),IFERROR(RIGHT("00"&amp;VALUE(LEFT(Entry!$C457,FIND(":",Entry!$C457)-1)),2)&amp;RIGHT("00"&amp;VALUE(MID(Entry!$C457,FIND(":",Entry!$C457)+1,2)),2),"0000"))))</f>
        <v/>
      </c>
      <c r="G454">
        <f>IF($A454="","",Entry!$G457)</f>
        <v/>
      </c>
      <c r="H454">
        <f>IF($A454="","",IF(Entry!$H457="",0,Entry!$H457))</f>
        <v/>
      </c>
      <c r="I454">
        <f>IF($A454="","",IF(Entry!$I457="",0,Entry!$I457))</f>
        <v/>
      </c>
      <c r="J454">
        <f>IF($A454="","",ROUND($H454*$I454,0))</f>
        <v/>
      </c>
      <c r="K454">
        <f>IF($A454="","",Entry!$D457)</f>
        <v/>
      </c>
      <c r="L454">
        <f>IF($A454="","",Entry!$L457)</f>
        <v/>
      </c>
      <c r="N454">
        <f>IF(OR(Sync!$M454="",$Q454="",$Q454="نامعتبر"),"",Sync!$M454)</f>
        <v/>
      </c>
      <c r="O454">
        <f>IF($N454="","",$Q454)</f>
        <v/>
      </c>
      <c r="P454">
        <f>IF($N454="","",LEFT($Q454,4)&amp;MID($Q454,6,2)&amp;RIGHT($Q454,2)&amp;IF(Sync!$K454="","0000",IF(AND(ISNUMBER(Sync!$K454),Sync!$K454&gt;=0,Sync!$K454&lt;1),RIGHT("00"&amp;HOUR(Sync!$K454),2)&amp;RIGHT("00"&amp;MINUTE(Sync!$K454),2),IFERROR(RIGHT("00"&amp;VALUE(LEFT(Sync!$K454,FIND(":",Sync!$K454)-1)),2)&amp;RIGHT("00"&amp;VALUE(MID(Sync!$K454,FIND(":",Sync!$K454)+1,2)),2),"0000")))&amp;"|"&amp;"2"&amp;RIGHT("00000"&amp;449,5))</f>
        <v/>
      </c>
      <c r="Q454">
        <f>IF(Sync!$J454="","",IF(ISNUMBER(Sync!$J454),IF(AND(Sync!$J454&gt;=10000101,Sync!$J454&lt;=99991231),INT(Sync!$J454/10000)&amp;"/"&amp;RIGHT("00"&amp;INT(MOD(Sync!$J454,10000)/100),2)&amp;"/"&amp;RIGHT("00"&amp;MOD(Sync!$J454,100),2),"نامعتبر"),IF(LEN(Sync!$J454)=10,Sync!$J454,"نامعتبر")))</f>
        <v/>
      </c>
      <c r="R454">
        <f>IF($P454="","",COUNTIFS($N$6:$N$2005,$N454,$P$6:$P$2005,"&lt;"&amp;$P454)+COUNTIFS($A$6:$A$1005,$N454,$B$6:$B$1005,"&lt;"&amp;$P454)+1)</f>
        <v/>
      </c>
      <c r="S454">
        <f>IF($N454="","",$N454&amp;"|"&amp;RIGHT("000000"&amp;$R454,6))</f>
        <v/>
      </c>
      <c r="T454">
        <f>IF($N454="","",IF(Sync!$N454="",0,Sync!$N454))</f>
        <v/>
      </c>
      <c r="U454">
        <f>IF($N454="","",IF(Sync!$O454="",0,Sync!$O454))</f>
        <v/>
      </c>
      <c r="V454">
        <f>IF($N454="","",Sync!$L454)</f>
        <v/>
      </c>
      <c r="W454">
        <f>IF($N454="","",Sync!$P454)</f>
        <v/>
      </c>
      <c r="AA454">
        <f>IF($A454="","",IF(COUNTIF($A$6:$A454,$A454)=1,1,0))</f>
        <v/>
      </c>
      <c r="AB454">
        <f>SUM($AA$6:$AA454)</f>
        <v/>
      </c>
      <c r="AC454">
        <f>IFERROR(INDEX($A$6:$A$1005,MATCH(ROW()-5,$AB$6:$AB$1005,0)),"")</f>
        <v/>
      </c>
    </row>
    <row r="455">
      <c r="A455">
        <f>IF(OR(Entry!$B458="",Entry!$E458="",$E455="نامعتبر"),"",Entry!$E458)</f>
        <v/>
      </c>
      <c r="B455">
        <f>IF($A455="","",LEFT($E455,4)&amp;MID($E455,6,2)&amp;RIGHT($E455,2)&amp;$F455&amp;"|"&amp;"1"&amp;RIGHT("00000"&amp;450,5))</f>
        <v/>
      </c>
      <c r="C455">
        <f>IF($B455="","",COUNTIFS($A$6:$A$1005,$A455,$B$6:$B$1005,"&lt;"&amp;$B455)+COUNTIFS($N$6:$N$2005,$A455,$P$6:$P$2005,"&lt;"&amp;$B455)+1)</f>
        <v/>
      </c>
      <c r="D455">
        <f>IF($C455="","",$A455&amp;"|"&amp;RIGHT("000000"&amp;$C455,6))</f>
        <v/>
      </c>
      <c r="E455">
        <f>IF(Entry!$B458="","",IF(ISNUMBER(Entry!$B458),IF(AND(Entry!$B458&gt;=10000101,Entry!$B458&lt;=99991231),INT(Entry!$B458/10000)&amp;"/"&amp;RIGHT("00"&amp;INT(MOD(Entry!$B458,10000)/100),2)&amp;"/"&amp;RIGHT("00"&amp;MOD(Entry!$B458,100),2),"نامعتبر"),IF(LEN(Entry!$B458)=10,Entry!$B458,"نامعتبر")))</f>
        <v/>
      </c>
      <c r="F455">
        <f>IF(Entry!$B458="","",IF(Entry!$C458="","0000",IF(AND(ISNUMBER(Entry!$C458),Entry!$C458&gt;=0,Entry!$C458&lt;1),RIGHT("00"&amp;HOUR(Entry!$C458),2)&amp;RIGHT("00"&amp;MINUTE(Entry!$C458),2),IFERROR(RIGHT("00"&amp;VALUE(LEFT(Entry!$C458,FIND(":",Entry!$C458)-1)),2)&amp;RIGHT("00"&amp;VALUE(MID(Entry!$C458,FIND(":",Entry!$C458)+1,2)),2),"0000"))))</f>
        <v/>
      </c>
      <c r="G455">
        <f>IF($A455="","",Entry!$G458)</f>
        <v/>
      </c>
      <c r="H455">
        <f>IF($A455="","",IF(Entry!$H458="",0,Entry!$H458))</f>
        <v/>
      </c>
      <c r="I455">
        <f>IF($A455="","",IF(Entry!$I458="",0,Entry!$I458))</f>
        <v/>
      </c>
      <c r="J455">
        <f>IF($A455="","",ROUND($H455*$I455,0))</f>
        <v/>
      </c>
      <c r="K455">
        <f>IF($A455="","",Entry!$D458)</f>
        <v/>
      </c>
      <c r="L455">
        <f>IF($A455="","",Entry!$L458)</f>
        <v/>
      </c>
      <c r="N455">
        <f>IF(OR(Sync!$M455="",$Q455="",$Q455="نامعتبر"),"",Sync!$M455)</f>
        <v/>
      </c>
      <c r="O455">
        <f>IF($N455="","",$Q455)</f>
        <v/>
      </c>
      <c r="P455">
        <f>IF($N455="","",LEFT($Q455,4)&amp;MID($Q455,6,2)&amp;RIGHT($Q455,2)&amp;IF(Sync!$K455="","0000",IF(AND(ISNUMBER(Sync!$K455),Sync!$K455&gt;=0,Sync!$K455&lt;1),RIGHT("00"&amp;HOUR(Sync!$K455),2)&amp;RIGHT("00"&amp;MINUTE(Sync!$K455),2),IFERROR(RIGHT("00"&amp;VALUE(LEFT(Sync!$K455,FIND(":",Sync!$K455)-1)),2)&amp;RIGHT("00"&amp;VALUE(MID(Sync!$K455,FIND(":",Sync!$K455)+1,2)),2),"0000")))&amp;"|"&amp;"2"&amp;RIGHT("00000"&amp;450,5))</f>
        <v/>
      </c>
      <c r="Q455">
        <f>IF(Sync!$J455="","",IF(ISNUMBER(Sync!$J455),IF(AND(Sync!$J455&gt;=10000101,Sync!$J455&lt;=99991231),INT(Sync!$J455/10000)&amp;"/"&amp;RIGHT("00"&amp;INT(MOD(Sync!$J455,10000)/100),2)&amp;"/"&amp;RIGHT("00"&amp;MOD(Sync!$J455,100),2),"نامعتبر"),IF(LEN(Sync!$J455)=10,Sync!$J455,"نامعتبر")))</f>
        <v/>
      </c>
      <c r="R455">
        <f>IF($P455="","",COUNTIFS($N$6:$N$2005,$N455,$P$6:$P$2005,"&lt;"&amp;$P455)+COUNTIFS($A$6:$A$1005,$N455,$B$6:$B$1005,"&lt;"&amp;$P455)+1)</f>
        <v/>
      </c>
      <c r="S455">
        <f>IF($N455="","",$N455&amp;"|"&amp;RIGHT("000000"&amp;$R455,6))</f>
        <v/>
      </c>
      <c r="T455">
        <f>IF($N455="","",IF(Sync!$N455="",0,Sync!$N455))</f>
        <v/>
      </c>
      <c r="U455">
        <f>IF($N455="","",IF(Sync!$O455="",0,Sync!$O455))</f>
        <v/>
      </c>
      <c r="V455">
        <f>IF($N455="","",Sync!$L455)</f>
        <v/>
      </c>
      <c r="W455">
        <f>IF($N455="","",Sync!$P455)</f>
        <v/>
      </c>
      <c r="AA455">
        <f>IF($A455="","",IF(COUNTIF($A$6:$A455,$A455)=1,1,0))</f>
        <v/>
      </c>
      <c r="AB455">
        <f>SUM($AA$6:$AA455)</f>
        <v/>
      </c>
      <c r="AC455">
        <f>IFERROR(INDEX($A$6:$A$1005,MATCH(ROW()-5,$AB$6:$AB$1005,0)),"")</f>
        <v/>
      </c>
    </row>
    <row r="456">
      <c r="A456">
        <f>IF(OR(Entry!$B459="",Entry!$E459="",$E456="نامعتبر"),"",Entry!$E459)</f>
        <v/>
      </c>
      <c r="B456">
        <f>IF($A456="","",LEFT($E456,4)&amp;MID($E456,6,2)&amp;RIGHT($E456,2)&amp;$F456&amp;"|"&amp;"1"&amp;RIGHT("00000"&amp;451,5))</f>
        <v/>
      </c>
      <c r="C456">
        <f>IF($B456="","",COUNTIFS($A$6:$A$1005,$A456,$B$6:$B$1005,"&lt;"&amp;$B456)+COUNTIFS($N$6:$N$2005,$A456,$P$6:$P$2005,"&lt;"&amp;$B456)+1)</f>
        <v/>
      </c>
      <c r="D456">
        <f>IF($C456="","",$A456&amp;"|"&amp;RIGHT("000000"&amp;$C456,6))</f>
        <v/>
      </c>
      <c r="E456">
        <f>IF(Entry!$B459="","",IF(ISNUMBER(Entry!$B459),IF(AND(Entry!$B459&gt;=10000101,Entry!$B459&lt;=99991231),INT(Entry!$B459/10000)&amp;"/"&amp;RIGHT("00"&amp;INT(MOD(Entry!$B459,10000)/100),2)&amp;"/"&amp;RIGHT("00"&amp;MOD(Entry!$B459,100),2),"نامعتبر"),IF(LEN(Entry!$B459)=10,Entry!$B459,"نامعتبر")))</f>
        <v/>
      </c>
      <c r="F456">
        <f>IF(Entry!$B459="","",IF(Entry!$C459="","0000",IF(AND(ISNUMBER(Entry!$C459),Entry!$C459&gt;=0,Entry!$C459&lt;1),RIGHT("00"&amp;HOUR(Entry!$C459),2)&amp;RIGHT("00"&amp;MINUTE(Entry!$C459),2),IFERROR(RIGHT("00"&amp;VALUE(LEFT(Entry!$C459,FIND(":",Entry!$C459)-1)),2)&amp;RIGHT("00"&amp;VALUE(MID(Entry!$C459,FIND(":",Entry!$C459)+1,2)),2),"0000"))))</f>
        <v/>
      </c>
      <c r="G456">
        <f>IF($A456="","",Entry!$G459)</f>
        <v/>
      </c>
      <c r="H456">
        <f>IF($A456="","",IF(Entry!$H459="",0,Entry!$H459))</f>
        <v/>
      </c>
      <c r="I456">
        <f>IF($A456="","",IF(Entry!$I459="",0,Entry!$I459))</f>
        <v/>
      </c>
      <c r="J456">
        <f>IF($A456="","",ROUND($H456*$I456,0))</f>
        <v/>
      </c>
      <c r="K456">
        <f>IF($A456="","",Entry!$D459)</f>
        <v/>
      </c>
      <c r="L456">
        <f>IF($A456="","",Entry!$L459)</f>
        <v/>
      </c>
      <c r="N456">
        <f>IF(OR(Sync!$M456="",$Q456="",$Q456="نامعتبر"),"",Sync!$M456)</f>
        <v/>
      </c>
      <c r="O456">
        <f>IF($N456="","",$Q456)</f>
        <v/>
      </c>
      <c r="P456">
        <f>IF($N456="","",LEFT($Q456,4)&amp;MID($Q456,6,2)&amp;RIGHT($Q456,2)&amp;IF(Sync!$K456="","0000",IF(AND(ISNUMBER(Sync!$K456),Sync!$K456&gt;=0,Sync!$K456&lt;1),RIGHT("00"&amp;HOUR(Sync!$K456),2)&amp;RIGHT("00"&amp;MINUTE(Sync!$K456),2),IFERROR(RIGHT("00"&amp;VALUE(LEFT(Sync!$K456,FIND(":",Sync!$K456)-1)),2)&amp;RIGHT("00"&amp;VALUE(MID(Sync!$K456,FIND(":",Sync!$K456)+1,2)),2),"0000")))&amp;"|"&amp;"2"&amp;RIGHT("00000"&amp;451,5))</f>
        <v/>
      </c>
      <c r="Q456">
        <f>IF(Sync!$J456="","",IF(ISNUMBER(Sync!$J456),IF(AND(Sync!$J456&gt;=10000101,Sync!$J456&lt;=99991231),INT(Sync!$J456/10000)&amp;"/"&amp;RIGHT("00"&amp;INT(MOD(Sync!$J456,10000)/100),2)&amp;"/"&amp;RIGHT("00"&amp;MOD(Sync!$J456,100),2),"نامعتبر"),IF(LEN(Sync!$J456)=10,Sync!$J456,"نامعتبر")))</f>
        <v/>
      </c>
      <c r="R456">
        <f>IF($P456="","",COUNTIFS($N$6:$N$2005,$N456,$P$6:$P$2005,"&lt;"&amp;$P456)+COUNTIFS($A$6:$A$1005,$N456,$B$6:$B$1005,"&lt;"&amp;$P456)+1)</f>
        <v/>
      </c>
      <c r="S456">
        <f>IF($N456="","",$N456&amp;"|"&amp;RIGHT("000000"&amp;$R456,6))</f>
        <v/>
      </c>
      <c r="T456">
        <f>IF($N456="","",IF(Sync!$N456="",0,Sync!$N456))</f>
        <v/>
      </c>
      <c r="U456">
        <f>IF($N456="","",IF(Sync!$O456="",0,Sync!$O456))</f>
        <v/>
      </c>
      <c r="V456">
        <f>IF($N456="","",Sync!$L456)</f>
        <v/>
      </c>
      <c r="W456">
        <f>IF($N456="","",Sync!$P456)</f>
        <v/>
      </c>
      <c r="AA456">
        <f>IF($A456="","",IF(COUNTIF($A$6:$A456,$A456)=1,1,0))</f>
        <v/>
      </c>
      <c r="AB456">
        <f>SUM($AA$6:$AA456)</f>
        <v/>
      </c>
      <c r="AC456">
        <f>IFERROR(INDEX($A$6:$A$1005,MATCH(ROW()-5,$AB$6:$AB$1005,0)),"")</f>
        <v/>
      </c>
    </row>
    <row r="457">
      <c r="A457">
        <f>IF(OR(Entry!$B460="",Entry!$E460="",$E457="نامعتبر"),"",Entry!$E460)</f>
        <v/>
      </c>
      <c r="B457">
        <f>IF($A457="","",LEFT($E457,4)&amp;MID($E457,6,2)&amp;RIGHT($E457,2)&amp;$F457&amp;"|"&amp;"1"&amp;RIGHT("00000"&amp;452,5))</f>
        <v/>
      </c>
      <c r="C457">
        <f>IF($B457="","",COUNTIFS($A$6:$A$1005,$A457,$B$6:$B$1005,"&lt;"&amp;$B457)+COUNTIFS($N$6:$N$2005,$A457,$P$6:$P$2005,"&lt;"&amp;$B457)+1)</f>
        <v/>
      </c>
      <c r="D457">
        <f>IF($C457="","",$A457&amp;"|"&amp;RIGHT("000000"&amp;$C457,6))</f>
        <v/>
      </c>
      <c r="E457">
        <f>IF(Entry!$B460="","",IF(ISNUMBER(Entry!$B460),IF(AND(Entry!$B460&gt;=10000101,Entry!$B460&lt;=99991231),INT(Entry!$B460/10000)&amp;"/"&amp;RIGHT("00"&amp;INT(MOD(Entry!$B460,10000)/100),2)&amp;"/"&amp;RIGHT("00"&amp;MOD(Entry!$B460,100),2),"نامعتبر"),IF(LEN(Entry!$B460)=10,Entry!$B460,"نامعتبر")))</f>
        <v/>
      </c>
      <c r="F457">
        <f>IF(Entry!$B460="","",IF(Entry!$C460="","0000",IF(AND(ISNUMBER(Entry!$C460),Entry!$C460&gt;=0,Entry!$C460&lt;1),RIGHT("00"&amp;HOUR(Entry!$C460),2)&amp;RIGHT("00"&amp;MINUTE(Entry!$C460),2),IFERROR(RIGHT("00"&amp;VALUE(LEFT(Entry!$C460,FIND(":",Entry!$C460)-1)),2)&amp;RIGHT("00"&amp;VALUE(MID(Entry!$C460,FIND(":",Entry!$C460)+1,2)),2),"0000"))))</f>
        <v/>
      </c>
      <c r="G457">
        <f>IF($A457="","",Entry!$G460)</f>
        <v/>
      </c>
      <c r="H457">
        <f>IF($A457="","",IF(Entry!$H460="",0,Entry!$H460))</f>
        <v/>
      </c>
      <c r="I457">
        <f>IF($A457="","",IF(Entry!$I460="",0,Entry!$I460))</f>
        <v/>
      </c>
      <c r="J457">
        <f>IF($A457="","",ROUND($H457*$I457,0))</f>
        <v/>
      </c>
      <c r="K457">
        <f>IF($A457="","",Entry!$D460)</f>
        <v/>
      </c>
      <c r="L457">
        <f>IF($A457="","",Entry!$L460)</f>
        <v/>
      </c>
      <c r="N457">
        <f>IF(OR(Sync!$M457="",$Q457="",$Q457="نامعتبر"),"",Sync!$M457)</f>
        <v/>
      </c>
      <c r="O457">
        <f>IF($N457="","",$Q457)</f>
        <v/>
      </c>
      <c r="P457">
        <f>IF($N457="","",LEFT($Q457,4)&amp;MID($Q457,6,2)&amp;RIGHT($Q457,2)&amp;IF(Sync!$K457="","0000",IF(AND(ISNUMBER(Sync!$K457),Sync!$K457&gt;=0,Sync!$K457&lt;1),RIGHT("00"&amp;HOUR(Sync!$K457),2)&amp;RIGHT("00"&amp;MINUTE(Sync!$K457),2),IFERROR(RIGHT("00"&amp;VALUE(LEFT(Sync!$K457,FIND(":",Sync!$K457)-1)),2)&amp;RIGHT("00"&amp;VALUE(MID(Sync!$K457,FIND(":",Sync!$K457)+1,2)),2),"0000")))&amp;"|"&amp;"2"&amp;RIGHT("00000"&amp;452,5))</f>
        <v/>
      </c>
      <c r="Q457">
        <f>IF(Sync!$J457="","",IF(ISNUMBER(Sync!$J457),IF(AND(Sync!$J457&gt;=10000101,Sync!$J457&lt;=99991231),INT(Sync!$J457/10000)&amp;"/"&amp;RIGHT("00"&amp;INT(MOD(Sync!$J457,10000)/100),2)&amp;"/"&amp;RIGHT("00"&amp;MOD(Sync!$J457,100),2),"نامعتبر"),IF(LEN(Sync!$J457)=10,Sync!$J457,"نامعتبر")))</f>
        <v/>
      </c>
      <c r="R457">
        <f>IF($P457="","",COUNTIFS($N$6:$N$2005,$N457,$P$6:$P$2005,"&lt;"&amp;$P457)+COUNTIFS($A$6:$A$1005,$N457,$B$6:$B$1005,"&lt;"&amp;$P457)+1)</f>
        <v/>
      </c>
      <c r="S457">
        <f>IF($N457="","",$N457&amp;"|"&amp;RIGHT("000000"&amp;$R457,6))</f>
        <v/>
      </c>
      <c r="T457">
        <f>IF($N457="","",IF(Sync!$N457="",0,Sync!$N457))</f>
        <v/>
      </c>
      <c r="U457">
        <f>IF($N457="","",IF(Sync!$O457="",0,Sync!$O457))</f>
        <v/>
      </c>
      <c r="V457">
        <f>IF($N457="","",Sync!$L457)</f>
        <v/>
      </c>
      <c r="W457">
        <f>IF($N457="","",Sync!$P457)</f>
        <v/>
      </c>
      <c r="AA457">
        <f>IF($A457="","",IF(COUNTIF($A$6:$A457,$A457)=1,1,0))</f>
        <v/>
      </c>
      <c r="AB457">
        <f>SUM($AA$6:$AA457)</f>
        <v/>
      </c>
      <c r="AC457">
        <f>IFERROR(INDEX($A$6:$A$1005,MATCH(ROW()-5,$AB$6:$AB$1005,0)),"")</f>
        <v/>
      </c>
    </row>
    <row r="458">
      <c r="A458">
        <f>IF(OR(Entry!$B461="",Entry!$E461="",$E458="نامعتبر"),"",Entry!$E461)</f>
        <v/>
      </c>
      <c r="B458">
        <f>IF($A458="","",LEFT($E458,4)&amp;MID($E458,6,2)&amp;RIGHT($E458,2)&amp;$F458&amp;"|"&amp;"1"&amp;RIGHT("00000"&amp;453,5))</f>
        <v/>
      </c>
      <c r="C458">
        <f>IF($B458="","",COUNTIFS($A$6:$A$1005,$A458,$B$6:$B$1005,"&lt;"&amp;$B458)+COUNTIFS($N$6:$N$2005,$A458,$P$6:$P$2005,"&lt;"&amp;$B458)+1)</f>
        <v/>
      </c>
      <c r="D458">
        <f>IF($C458="","",$A458&amp;"|"&amp;RIGHT("000000"&amp;$C458,6))</f>
        <v/>
      </c>
      <c r="E458">
        <f>IF(Entry!$B461="","",IF(ISNUMBER(Entry!$B461),IF(AND(Entry!$B461&gt;=10000101,Entry!$B461&lt;=99991231),INT(Entry!$B461/10000)&amp;"/"&amp;RIGHT("00"&amp;INT(MOD(Entry!$B461,10000)/100),2)&amp;"/"&amp;RIGHT("00"&amp;MOD(Entry!$B461,100),2),"نامعتبر"),IF(LEN(Entry!$B461)=10,Entry!$B461,"نامعتبر")))</f>
        <v/>
      </c>
      <c r="F458">
        <f>IF(Entry!$B461="","",IF(Entry!$C461="","0000",IF(AND(ISNUMBER(Entry!$C461),Entry!$C461&gt;=0,Entry!$C461&lt;1),RIGHT("00"&amp;HOUR(Entry!$C461),2)&amp;RIGHT("00"&amp;MINUTE(Entry!$C461),2),IFERROR(RIGHT("00"&amp;VALUE(LEFT(Entry!$C461,FIND(":",Entry!$C461)-1)),2)&amp;RIGHT("00"&amp;VALUE(MID(Entry!$C461,FIND(":",Entry!$C461)+1,2)),2),"0000"))))</f>
        <v/>
      </c>
      <c r="G458">
        <f>IF($A458="","",Entry!$G461)</f>
        <v/>
      </c>
      <c r="H458">
        <f>IF($A458="","",IF(Entry!$H461="",0,Entry!$H461))</f>
        <v/>
      </c>
      <c r="I458">
        <f>IF($A458="","",IF(Entry!$I461="",0,Entry!$I461))</f>
        <v/>
      </c>
      <c r="J458">
        <f>IF($A458="","",ROUND($H458*$I458,0))</f>
        <v/>
      </c>
      <c r="K458">
        <f>IF($A458="","",Entry!$D461)</f>
        <v/>
      </c>
      <c r="L458">
        <f>IF($A458="","",Entry!$L461)</f>
        <v/>
      </c>
      <c r="N458">
        <f>IF(OR(Sync!$M458="",$Q458="",$Q458="نامعتبر"),"",Sync!$M458)</f>
        <v/>
      </c>
      <c r="O458">
        <f>IF($N458="","",$Q458)</f>
        <v/>
      </c>
      <c r="P458">
        <f>IF($N458="","",LEFT($Q458,4)&amp;MID($Q458,6,2)&amp;RIGHT($Q458,2)&amp;IF(Sync!$K458="","0000",IF(AND(ISNUMBER(Sync!$K458),Sync!$K458&gt;=0,Sync!$K458&lt;1),RIGHT("00"&amp;HOUR(Sync!$K458),2)&amp;RIGHT("00"&amp;MINUTE(Sync!$K458),2),IFERROR(RIGHT("00"&amp;VALUE(LEFT(Sync!$K458,FIND(":",Sync!$K458)-1)),2)&amp;RIGHT("00"&amp;VALUE(MID(Sync!$K458,FIND(":",Sync!$K458)+1,2)),2),"0000")))&amp;"|"&amp;"2"&amp;RIGHT("00000"&amp;453,5))</f>
        <v/>
      </c>
      <c r="Q458">
        <f>IF(Sync!$J458="","",IF(ISNUMBER(Sync!$J458),IF(AND(Sync!$J458&gt;=10000101,Sync!$J458&lt;=99991231),INT(Sync!$J458/10000)&amp;"/"&amp;RIGHT("00"&amp;INT(MOD(Sync!$J458,10000)/100),2)&amp;"/"&amp;RIGHT("00"&amp;MOD(Sync!$J458,100),2),"نامعتبر"),IF(LEN(Sync!$J458)=10,Sync!$J458,"نامعتبر")))</f>
        <v/>
      </c>
      <c r="R458">
        <f>IF($P458="","",COUNTIFS($N$6:$N$2005,$N458,$P$6:$P$2005,"&lt;"&amp;$P458)+COUNTIFS($A$6:$A$1005,$N458,$B$6:$B$1005,"&lt;"&amp;$P458)+1)</f>
        <v/>
      </c>
      <c r="S458">
        <f>IF($N458="","",$N458&amp;"|"&amp;RIGHT("000000"&amp;$R458,6))</f>
        <v/>
      </c>
      <c r="T458">
        <f>IF($N458="","",IF(Sync!$N458="",0,Sync!$N458))</f>
        <v/>
      </c>
      <c r="U458">
        <f>IF($N458="","",IF(Sync!$O458="",0,Sync!$O458))</f>
        <v/>
      </c>
      <c r="V458">
        <f>IF($N458="","",Sync!$L458)</f>
        <v/>
      </c>
      <c r="W458">
        <f>IF($N458="","",Sync!$P458)</f>
        <v/>
      </c>
      <c r="AA458">
        <f>IF($A458="","",IF(COUNTIF($A$6:$A458,$A458)=1,1,0))</f>
        <v/>
      </c>
      <c r="AB458">
        <f>SUM($AA$6:$AA458)</f>
        <v/>
      </c>
      <c r="AC458">
        <f>IFERROR(INDEX($A$6:$A$1005,MATCH(ROW()-5,$AB$6:$AB$1005,0)),"")</f>
        <v/>
      </c>
    </row>
    <row r="459">
      <c r="A459">
        <f>IF(OR(Entry!$B462="",Entry!$E462="",$E459="نامعتبر"),"",Entry!$E462)</f>
        <v/>
      </c>
      <c r="B459">
        <f>IF($A459="","",LEFT($E459,4)&amp;MID($E459,6,2)&amp;RIGHT($E459,2)&amp;$F459&amp;"|"&amp;"1"&amp;RIGHT("00000"&amp;454,5))</f>
        <v/>
      </c>
      <c r="C459">
        <f>IF($B459="","",COUNTIFS($A$6:$A$1005,$A459,$B$6:$B$1005,"&lt;"&amp;$B459)+COUNTIFS($N$6:$N$2005,$A459,$P$6:$P$2005,"&lt;"&amp;$B459)+1)</f>
        <v/>
      </c>
      <c r="D459">
        <f>IF($C459="","",$A459&amp;"|"&amp;RIGHT("000000"&amp;$C459,6))</f>
        <v/>
      </c>
      <c r="E459">
        <f>IF(Entry!$B462="","",IF(ISNUMBER(Entry!$B462),IF(AND(Entry!$B462&gt;=10000101,Entry!$B462&lt;=99991231),INT(Entry!$B462/10000)&amp;"/"&amp;RIGHT("00"&amp;INT(MOD(Entry!$B462,10000)/100),2)&amp;"/"&amp;RIGHT("00"&amp;MOD(Entry!$B462,100),2),"نامعتبر"),IF(LEN(Entry!$B462)=10,Entry!$B462,"نامعتبر")))</f>
        <v/>
      </c>
      <c r="F459">
        <f>IF(Entry!$B462="","",IF(Entry!$C462="","0000",IF(AND(ISNUMBER(Entry!$C462),Entry!$C462&gt;=0,Entry!$C462&lt;1),RIGHT("00"&amp;HOUR(Entry!$C462),2)&amp;RIGHT("00"&amp;MINUTE(Entry!$C462),2),IFERROR(RIGHT("00"&amp;VALUE(LEFT(Entry!$C462,FIND(":",Entry!$C462)-1)),2)&amp;RIGHT("00"&amp;VALUE(MID(Entry!$C462,FIND(":",Entry!$C462)+1,2)),2),"0000"))))</f>
        <v/>
      </c>
      <c r="G459">
        <f>IF($A459="","",Entry!$G462)</f>
        <v/>
      </c>
      <c r="H459">
        <f>IF($A459="","",IF(Entry!$H462="",0,Entry!$H462))</f>
        <v/>
      </c>
      <c r="I459">
        <f>IF($A459="","",IF(Entry!$I462="",0,Entry!$I462))</f>
        <v/>
      </c>
      <c r="J459">
        <f>IF($A459="","",ROUND($H459*$I459,0))</f>
        <v/>
      </c>
      <c r="K459">
        <f>IF($A459="","",Entry!$D462)</f>
        <v/>
      </c>
      <c r="L459">
        <f>IF($A459="","",Entry!$L462)</f>
        <v/>
      </c>
      <c r="N459">
        <f>IF(OR(Sync!$M459="",$Q459="",$Q459="نامعتبر"),"",Sync!$M459)</f>
        <v/>
      </c>
      <c r="O459">
        <f>IF($N459="","",$Q459)</f>
        <v/>
      </c>
      <c r="P459">
        <f>IF($N459="","",LEFT($Q459,4)&amp;MID($Q459,6,2)&amp;RIGHT($Q459,2)&amp;IF(Sync!$K459="","0000",IF(AND(ISNUMBER(Sync!$K459),Sync!$K459&gt;=0,Sync!$K459&lt;1),RIGHT("00"&amp;HOUR(Sync!$K459),2)&amp;RIGHT("00"&amp;MINUTE(Sync!$K459),2),IFERROR(RIGHT("00"&amp;VALUE(LEFT(Sync!$K459,FIND(":",Sync!$K459)-1)),2)&amp;RIGHT("00"&amp;VALUE(MID(Sync!$K459,FIND(":",Sync!$K459)+1,2)),2),"0000")))&amp;"|"&amp;"2"&amp;RIGHT("00000"&amp;454,5))</f>
        <v/>
      </c>
      <c r="Q459">
        <f>IF(Sync!$J459="","",IF(ISNUMBER(Sync!$J459),IF(AND(Sync!$J459&gt;=10000101,Sync!$J459&lt;=99991231),INT(Sync!$J459/10000)&amp;"/"&amp;RIGHT("00"&amp;INT(MOD(Sync!$J459,10000)/100),2)&amp;"/"&amp;RIGHT("00"&amp;MOD(Sync!$J459,100),2),"نامعتبر"),IF(LEN(Sync!$J459)=10,Sync!$J459,"نامعتبر")))</f>
        <v/>
      </c>
      <c r="R459">
        <f>IF($P459="","",COUNTIFS($N$6:$N$2005,$N459,$P$6:$P$2005,"&lt;"&amp;$P459)+COUNTIFS($A$6:$A$1005,$N459,$B$6:$B$1005,"&lt;"&amp;$P459)+1)</f>
        <v/>
      </c>
      <c r="S459">
        <f>IF($N459="","",$N459&amp;"|"&amp;RIGHT("000000"&amp;$R459,6))</f>
        <v/>
      </c>
      <c r="T459">
        <f>IF($N459="","",IF(Sync!$N459="",0,Sync!$N459))</f>
        <v/>
      </c>
      <c r="U459">
        <f>IF($N459="","",IF(Sync!$O459="",0,Sync!$O459))</f>
        <v/>
      </c>
      <c r="V459">
        <f>IF($N459="","",Sync!$L459)</f>
        <v/>
      </c>
      <c r="W459">
        <f>IF($N459="","",Sync!$P459)</f>
        <v/>
      </c>
      <c r="AA459">
        <f>IF($A459="","",IF(COUNTIF($A$6:$A459,$A459)=1,1,0))</f>
        <v/>
      </c>
      <c r="AB459">
        <f>SUM($AA$6:$AA459)</f>
        <v/>
      </c>
      <c r="AC459">
        <f>IFERROR(INDEX($A$6:$A$1005,MATCH(ROW()-5,$AB$6:$AB$1005,0)),"")</f>
        <v/>
      </c>
    </row>
    <row r="460">
      <c r="A460">
        <f>IF(OR(Entry!$B463="",Entry!$E463="",$E460="نامعتبر"),"",Entry!$E463)</f>
        <v/>
      </c>
      <c r="B460">
        <f>IF($A460="","",LEFT($E460,4)&amp;MID($E460,6,2)&amp;RIGHT($E460,2)&amp;$F460&amp;"|"&amp;"1"&amp;RIGHT("00000"&amp;455,5))</f>
        <v/>
      </c>
      <c r="C460">
        <f>IF($B460="","",COUNTIFS($A$6:$A$1005,$A460,$B$6:$B$1005,"&lt;"&amp;$B460)+COUNTIFS($N$6:$N$2005,$A460,$P$6:$P$2005,"&lt;"&amp;$B460)+1)</f>
        <v/>
      </c>
      <c r="D460">
        <f>IF($C460="","",$A460&amp;"|"&amp;RIGHT("000000"&amp;$C460,6))</f>
        <v/>
      </c>
      <c r="E460">
        <f>IF(Entry!$B463="","",IF(ISNUMBER(Entry!$B463),IF(AND(Entry!$B463&gt;=10000101,Entry!$B463&lt;=99991231),INT(Entry!$B463/10000)&amp;"/"&amp;RIGHT("00"&amp;INT(MOD(Entry!$B463,10000)/100),2)&amp;"/"&amp;RIGHT("00"&amp;MOD(Entry!$B463,100),2),"نامعتبر"),IF(LEN(Entry!$B463)=10,Entry!$B463,"نامعتبر")))</f>
        <v/>
      </c>
      <c r="F460">
        <f>IF(Entry!$B463="","",IF(Entry!$C463="","0000",IF(AND(ISNUMBER(Entry!$C463),Entry!$C463&gt;=0,Entry!$C463&lt;1),RIGHT("00"&amp;HOUR(Entry!$C463),2)&amp;RIGHT("00"&amp;MINUTE(Entry!$C463),2),IFERROR(RIGHT("00"&amp;VALUE(LEFT(Entry!$C463,FIND(":",Entry!$C463)-1)),2)&amp;RIGHT("00"&amp;VALUE(MID(Entry!$C463,FIND(":",Entry!$C463)+1,2)),2),"0000"))))</f>
        <v/>
      </c>
      <c r="G460">
        <f>IF($A460="","",Entry!$G463)</f>
        <v/>
      </c>
      <c r="H460">
        <f>IF($A460="","",IF(Entry!$H463="",0,Entry!$H463))</f>
        <v/>
      </c>
      <c r="I460">
        <f>IF($A460="","",IF(Entry!$I463="",0,Entry!$I463))</f>
        <v/>
      </c>
      <c r="J460">
        <f>IF($A460="","",ROUND($H460*$I460,0))</f>
        <v/>
      </c>
      <c r="K460">
        <f>IF($A460="","",Entry!$D463)</f>
        <v/>
      </c>
      <c r="L460">
        <f>IF($A460="","",Entry!$L463)</f>
        <v/>
      </c>
      <c r="N460">
        <f>IF(OR(Sync!$M460="",$Q460="",$Q460="نامعتبر"),"",Sync!$M460)</f>
        <v/>
      </c>
      <c r="O460">
        <f>IF($N460="","",$Q460)</f>
        <v/>
      </c>
      <c r="P460">
        <f>IF($N460="","",LEFT($Q460,4)&amp;MID($Q460,6,2)&amp;RIGHT($Q460,2)&amp;IF(Sync!$K460="","0000",IF(AND(ISNUMBER(Sync!$K460),Sync!$K460&gt;=0,Sync!$K460&lt;1),RIGHT("00"&amp;HOUR(Sync!$K460),2)&amp;RIGHT("00"&amp;MINUTE(Sync!$K460),2),IFERROR(RIGHT("00"&amp;VALUE(LEFT(Sync!$K460,FIND(":",Sync!$K460)-1)),2)&amp;RIGHT("00"&amp;VALUE(MID(Sync!$K460,FIND(":",Sync!$K460)+1,2)),2),"0000")))&amp;"|"&amp;"2"&amp;RIGHT("00000"&amp;455,5))</f>
        <v/>
      </c>
      <c r="Q460">
        <f>IF(Sync!$J460="","",IF(ISNUMBER(Sync!$J460),IF(AND(Sync!$J460&gt;=10000101,Sync!$J460&lt;=99991231),INT(Sync!$J460/10000)&amp;"/"&amp;RIGHT("00"&amp;INT(MOD(Sync!$J460,10000)/100),2)&amp;"/"&amp;RIGHT("00"&amp;MOD(Sync!$J460,100),2),"نامعتبر"),IF(LEN(Sync!$J460)=10,Sync!$J460,"نامعتبر")))</f>
        <v/>
      </c>
      <c r="R460">
        <f>IF($P460="","",COUNTIFS($N$6:$N$2005,$N460,$P$6:$P$2005,"&lt;"&amp;$P460)+COUNTIFS($A$6:$A$1005,$N460,$B$6:$B$1005,"&lt;"&amp;$P460)+1)</f>
        <v/>
      </c>
      <c r="S460">
        <f>IF($N460="","",$N460&amp;"|"&amp;RIGHT("000000"&amp;$R460,6))</f>
        <v/>
      </c>
      <c r="T460">
        <f>IF($N460="","",IF(Sync!$N460="",0,Sync!$N460))</f>
        <v/>
      </c>
      <c r="U460">
        <f>IF($N460="","",IF(Sync!$O460="",0,Sync!$O460))</f>
        <v/>
      </c>
      <c r="V460">
        <f>IF($N460="","",Sync!$L460)</f>
        <v/>
      </c>
      <c r="W460">
        <f>IF($N460="","",Sync!$P460)</f>
        <v/>
      </c>
      <c r="AA460">
        <f>IF($A460="","",IF(COUNTIF($A$6:$A460,$A460)=1,1,0))</f>
        <v/>
      </c>
      <c r="AB460">
        <f>SUM($AA$6:$AA460)</f>
        <v/>
      </c>
      <c r="AC460">
        <f>IFERROR(INDEX($A$6:$A$1005,MATCH(ROW()-5,$AB$6:$AB$1005,0)),"")</f>
        <v/>
      </c>
    </row>
    <row r="461">
      <c r="A461">
        <f>IF(OR(Entry!$B464="",Entry!$E464="",$E461="نامعتبر"),"",Entry!$E464)</f>
        <v/>
      </c>
      <c r="B461">
        <f>IF($A461="","",LEFT($E461,4)&amp;MID($E461,6,2)&amp;RIGHT($E461,2)&amp;$F461&amp;"|"&amp;"1"&amp;RIGHT("00000"&amp;456,5))</f>
        <v/>
      </c>
      <c r="C461">
        <f>IF($B461="","",COUNTIFS($A$6:$A$1005,$A461,$B$6:$B$1005,"&lt;"&amp;$B461)+COUNTIFS($N$6:$N$2005,$A461,$P$6:$P$2005,"&lt;"&amp;$B461)+1)</f>
        <v/>
      </c>
      <c r="D461">
        <f>IF($C461="","",$A461&amp;"|"&amp;RIGHT("000000"&amp;$C461,6))</f>
        <v/>
      </c>
      <c r="E461">
        <f>IF(Entry!$B464="","",IF(ISNUMBER(Entry!$B464),IF(AND(Entry!$B464&gt;=10000101,Entry!$B464&lt;=99991231),INT(Entry!$B464/10000)&amp;"/"&amp;RIGHT("00"&amp;INT(MOD(Entry!$B464,10000)/100),2)&amp;"/"&amp;RIGHT("00"&amp;MOD(Entry!$B464,100),2),"نامعتبر"),IF(LEN(Entry!$B464)=10,Entry!$B464,"نامعتبر")))</f>
        <v/>
      </c>
      <c r="F461">
        <f>IF(Entry!$B464="","",IF(Entry!$C464="","0000",IF(AND(ISNUMBER(Entry!$C464),Entry!$C464&gt;=0,Entry!$C464&lt;1),RIGHT("00"&amp;HOUR(Entry!$C464),2)&amp;RIGHT("00"&amp;MINUTE(Entry!$C464),2),IFERROR(RIGHT("00"&amp;VALUE(LEFT(Entry!$C464,FIND(":",Entry!$C464)-1)),2)&amp;RIGHT("00"&amp;VALUE(MID(Entry!$C464,FIND(":",Entry!$C464)+1,2)),2),"0000"))))</f>
        <v/>
      </c>
      <c r="G461">
        <f>IF($A461="","",Entry!$G464)</f>
        <v/>
      </c>
      <c r="H461">
        <f>IF($A461="","",IF(Entry!$H464="",0,Entry!$H464))</f>
        <v/>
      </c>
      <c r="I461">
        <f>IF($A461="","",IF(Entry!$I464="",0,Entry!$I464))</f>
        <v/>
      </c>
      <c r="J461">
        <f>IF($A461="","",ROUND($H461*$I461,0))</f>
        <v/>
      </c>
      <c r="K461">
        <f>IF($A461="","",Entry!$D464)</f>
        <v/>
      </c>
      <c r="L461">
        <f>IF($A461="","",Entry!$L464)</f>
        <v/>
      </c>
      <c r="N461">
        <f>IF(OR(Sync!$M461="",$Q461="",$Q461="نامعتبر"),"",Sync!$M461)</f>
        <v/>
      </c>
      <c r="O461">
        <f>IF($N461="","",$Q461)</f>
        <v/>
      </c>
      <c r="P461">
        <f>IF($N461="","",LEFT($Q461,4)&amp;MID($Q461,6,2)&amp;RIGHT($Q461,2)&amp;IF(Sync!$K461="","0000",IF(AND(ISNUMBER(Sync!$K461),Sync!$K461&gt;=0,Sync!$K461&lt;1),RIGHT("00"&amp;HOUR(Sync!$K461),2)&amp;RIGHT("00"&amp;MINUTE(Sync!$K461),2),IFERROR(RIGHT("00"&amp;VALUE(LEFT(Sync!$K461,FIND(":",Sync!$K461)-1)),2)&amp;RIGHT("00"&amp;VALUE(MID(Sync!$K461,FIND(":",Sync!$K461)+1,2)),2),"0000")))&amp;"|"&amp;"2"&amp;RIGHT("00000"&amp;456,5))</f>
        <v/>
      </c>
      <c r="Q461">
        <f>IF(Sync!$J461="","",IF(ISNUMBER(Sync!$J461),IF(AND(Sync!$J461&gt;=10000101,Sync!$J461&lt;=99991231),INT(Sync!$J461/10000)&amp;"/"&amp;RIGHT("00"&amp;INT(MOD(Sync!$J461,10000)/100),2)&amp;"/"&amp;RIGHT("00"&amp;MOD(Sync!$J461,100),2),"نامعتبر"),IF(LEN(Sync!$J461)=10,Sync!$J461,"نامعتبر")))</f>
        <v/>
      </c>
      <c r="R461">
        <f>IF($P461="","",COUNTIFS($N$6:$N$2005,$N461,$P$6:$P$2005,"&lt;"&amp;$P461)+COUNTIFS($A$6:$A$1005,$N461,$B$6:$B$1005,"&lt;"&amp;$P461)+1)</f>
        <v/>
      </c>
      <c r="S461">
        <f>IF($N461="","",$N461&amp;"|"&amp;RIGHT("000000"&amp;$R461,6))</f>
        <v/>
      </c>
      <c r="T461">
        <f>IF($N461="","",IF(Sync!$N461="",0,Sync!$N461))</f>
        <v/>
      </c>
      <c r="U461">
        <f>IF($N461="","",IF(Sync!$O461="",0,Sync!$O461))</f>
        <v/>
      </c>
      <c r="V461">
        <f>IF($N461="","",Sync!$L461)</f>
        <v/>
      </c>
      <c r="W461">
        <f>IF($N461="","",Sync!$P461)</f>
        <v/>
      </c>
      <c r="AA461">
        <f>IF($A461="","",IF(COUNTIF($A$6:$A461,$A461)=1,1,0))</f>
        <v/>
      </c>
      <c r="AB461">
        <f>SUM($AA$6:$AA461)</f>
        <v/>
      </c>
      <c r="AC461">
        <f>IFERROR(INDEX($A$6:$A$1005,MATCH(ROW()-5,$AB$6:$AB$1005,0)),"")</f>
        <v/>
      </c>
    </row>
    <row r="462">
      <c r="A462">
        <f>IF(OR(Entry!$B465="",Entry!$E465="",$E462="نامعتبر"),"",Entry!$E465)</f>
        <v/>
      </c>
      <c r="B462">
        <f>IF($A462="","",LEFT($E462,4)&amp;MID($E462,6,2)&amp;RIGHT($E462,2)&amp;$F462&amp;"|"&amp;"1"&amp;RIGHT("00000"&amp;457,5))</f>
        <v/>
      </c>
      <c r="C462">
        <f>IF($B462="","",COUNTIFS($A$6:$A$1005,$A462,$B$6:$B$1005,"&lt;"&amp;$B462)+COUNTIFS($N$6:$N$2005,$A462,$P$6:$P$2005,"&lt;"&amp;$B462)+1)</f>
        <v/>
      </c>
      <c r="D462">
        <f>IF($C462="","",$A462&amp;"|"&amp;RIGHT("000000"&amp;$C462,6))</f>
        <v/>
      </c>
      <c r="E462">
        <f>IF(Entry!$B465="","",IF(ISNUMBER(Entry!$B465),IF(AND(Entry!$B465&gt;=10000101,Entry!$B465&lt;=99991231),INT(Entry!$B465/10000)&amp;"/"&amp;RIGHT("00"&amp;INT(MOD(Entry!$B465,10000)/100),2)&amp;"/"&amp;RIGHT("00"&amp;MOD(Entry!$B465,100),2),"نامعتبر"),IF(LEN(Entry!$B465)=10,Entry!$B465,"نامعتبر")))</f>
        <v/>
      </c>
      <c r="F462">
        <f>IF(Entry!$B465="","",IF(Entry!$C465="","0000",IF(AND(ISNUMBER(Entry!$C465),Entry!$C465&gt;=0,Entry!$C465&lt;1),RIGHT("00"&amp;HOUR(Entry!$C465),2)&amp;RIGHT("00"&amp;MINUTE(Entry!$C465),2),IFERROR(RIGHT("00"&amp;VALUE(LEFT(Entry!$C465,FIND(":",Entry!$C465)-1)),2)&amp;RIGHT("00"&amp;VALUE(MID(Entry!$C465,FIND(":",Entry!$C465)+1,2)),2),"0000"))))</f>
        <v/>
      </c>
      <c r="G462">
        <f>IF($A462="","",Entry!$G465)</f>
        <v/>
      </c>
      <c r="H462">
        <f>IF($A462="","",IF(Entry!$H465="",0,Entry!$H465))</f>
        <v/>
      </c>
      <c r="I462">
        <f>IF($A462="","",IF(Entry!$I465="",0,Entry!$I465))</f>
        <v/>
      </c>
      <c r="J462">
        <f>IF($A462="","",ROUND($H462*$I462,0))</f>
        <v/>
      </c>
      <c r="K462">
        <f>IF($A462="","",Entry!$D465)</f>
        <v/>
      </c>
      <c r="L462">
        <f>IF($A462="","",Entry!$L465)</f>
        <v/>
      </c>
      <c r="N462">
        <f>IF(OR(Sync!$M462="",$Q462="",$Q462="نامعتبر"),"",Sync!$M462)</f>
        <v/>
      </c>
      <c r="O462">
        <f>IF($N462="","",$Q462)</f>
        <v/>
      </c>
      <c r="P462">
        <f>IF($N462="","",LEFT($Q462,4)&amp;MID($Q462,6,2)&amp;RIGHT($Q462,2)&amp;IF(Sync!$K462="","0000",IF(AND(ISNUMBER(Sync!$K462),Sync!$K462&gt;=0,Sync!$K462&lt;1),RIGHT("00"&amp;HOUR(Sync!$K462),2)&amp;RIGHT("00"&amp;MINUTE(Sync!$K462),2),IFERROR(RIGHT("00"&amp;VALUE(LEFT(Sync!$K462,FIND(":",Sync!$K462)-1)),2)&amp;RIGHT("00"&amp;VALUE(MID(Sync!$K462,FIND(":",Sync!$K462)+1,2)),2),"0000")))&amp;"|"&amp;"2"&amp;RIGHT("00000"&amp;457,5))</f>
        <v/>
      </c>
      <c r="Q462">
        <f>IF(Sync!$J462="","",IF(ISNUMBER(Sync!$J462),IF(AND(Sync!$J462&gt;=10000101,Sync!$J462&lt;=99991231),INT(Sync!$J462/10000)&amp;"/"&amp;RIGHT("00"&amp;INT(MOD(Sync!$J462,10000)/100),2)&amp;"/"&amp;RIGHT("00"&amp;MOD(Sync!$J462,100),2),"نامعتبر"),IF(LEN(Sync!$J462)=10,Sync!$J462,"نامعتبر")))</f>
        <v/>
      </c>
      <c r="R462">
        <f>IF($P462="","",COUNTIFS($N$6:$N$2005,$N462,$P$6:$P$2005,"&lt;"&amp;$P462)+COUNTIFS($A$6:$A$1005,$N462,$B$6:$B$1005,"&lt;"&amp;$P462)+1)</f>
        <v/>
      </c>
      <c r="S462">
        <f>IF($N462="","",$N462&amp;"|"&amp;RIGHT("000000"&amp;$R462,6))</f>
        <v/>
      </c>
      <c r="T462">
        <f>IF($N462="","",IF(Sync!$N462="",0,Sync!$N462))</f>
        <v/>
      </c>
      <c r="U462">
        <f>IF($N462="","",IF(Sync!$O462="",0,Sync!$O462))</f>
        <v/>
      </c>
      <c r="V462">
        <f>IF($N462="","",Sync!$L462)</f>
        <v/>
      </c>
      <c r="W462">
        <f>IF($N462="","",Sync!$P462)</f>
        <v/>
      </c>
      <c r="AA462">
        <f>IF($A462="","",IF(COUNTIF($A$6:$A462,$A462)=1,1,0))</f>
        <v/>
      </c>
      <c r="AB462">
        <f>SUM($AA$6:$AA462)</f>
        <v/>
      </c>
      <c r="AC462">
        <f>IFERROR(INDEX($A$6:$A$1005,MATCH(ROW()-5,$AB$6:$AB$1005,0)),"")</f>
        <v/>
      </c>
    </row>
    <row r="463">
      <c r="A463">
        <f>IF(OR(Entry!$B466="",Entry!$E466="",$E463="نامعتبر"),"",Entry!$E466)</f>
        <v/>
      </c>
      <c r="B463">
        <f>IF($A463="","",LEFT($E463,4)&amp;MID($E463,6,2)&amp;RIGHT($E463,2)&amp;$F463&amp;"|"&amp;"1"&amp;RIGHT("00000"&amp;458,5))</f>
        <v/>
      </c>
      <c r="C463">
        <f>IF($B463="","",COUNTIFS($A$6:$A$1005,$A463,$B$6:$B$1005,"&lt;"&amp;$B463)+COUNTIFS($N$6:$N$2005,$A463,$P$6:$P$2005,"&lt;"&amp;$B463)+1)</f>
        <v/>
      </c>
      <c r="D463">
        <f>IF($C463="","",$A463&amp;"|"&amp;RIGHT("000000"&amp;$C463,6))</f>
        <v/>
      </c>
      <c r="E463">
        <f>IF(Entry!$B466="","",IF(ISNUMBER(Entry!$B466),IF(AND(Entry!$B466&gt;=10000101,Entry!$B466&lt;=99991231),INT(Entry!$B466/10000)&amp;"/"&amp;RIGHT("00"&amp;INT(MOD(Entry!$B466,10000)/100),2)&amp;"/"&amp;RIGHT("00"&amp;MOD(Entry!$B466,100),2),"نامعتبر"),IF(LEN(Entry!$B466)=10,Entry!$B466,"نامعتبر")))</f>
        <v/>
      </c>
      <c r="F463">
        <f>IF(Entry!$B466="","",IF(Entry!$C466="","0000",IF(AND(ISNUMBER(Entry!$C466),Entry!$C466&gt;=0,Entry!$C466&lt;1),RIGHT("00"&amp;HOUR(Entry!$C466),2)&amp;RIGHT("00"&amp;MINUTE(Entry!$C466),2),IFERROR(RIGHT("00"&amp;VALUE(LEFT(Entry!$C466,FIND(":",Entry!$C466)-1)),2)&amp;RIGHT("00"&amp;VALUE(MID(Entry!$C466,FIND(":",Entry!$C466)+1,2)),2),"0000"))))</f>
        <v/>
      </c>
      <c r="G463">
        <f>IF($A463="","",Entry!$G466)</f>
        <v/>
      </c>
      <c r="H463">
        <f>IF($A463="","",IF(Entry!$H466="",0,Entry!$H466))</f>
        <v/>
      </c>
      <c r="I463">
        <f>IF($A463="","",IF(Entry!$I466="",0,Entry!$I466))</f>
        <v/>
      </c>
      <c r="J463">
        <f>IF($A463="","",ROUND($H463*$I463,0))</f>
        <v/>
      </c>
      <c r="K463">
        <f>IF($A463="","",Entry!$D466)</f>
        <v/>
      </c>
      <c r="L463">
        <f>IF($A463="","",Entry!$L466)</f>
        <v/>
      </c>
      <c r="N463">
        <f>IF(OR(Sync!$M463="",$Q463="",$Q463="نامعتبر"),"",Sync!$M463)</f>
        <v/>
      </c>
      <c r="O463">
        <f>IF($N463="","",$Q463)</f>
        <v/>
      </c>
      <c r="P463">
        <f>IF($N463="","",LEFT($Q463,4)&amp;MID($Q463,6,2)&amp;RIGHT($Q463,2)&amp;IF(Sync!$K463="","0000",IF(AND(ISNUMBER(Sync!$K463),Sync!$K463&gt;=0,Sync!$K463&lt;1),RIGHT("00"&amp;HOUR(Sync!$K463),2)&amp;RIGHT("00"&amp;MINUTE(Sync!$K463),2),IFERROR(RIGHT("00"&amp;VALUE(LEFT(Sync!$K463,FIND(":",Sync!$K463)-1)),2)&amp;RIGHT("00"&amp;VALUE(MID(Sync!$K463,FIND(":",Sync!$K463)+1,2)),2),"0000")))&amp;"|"&amp;"2"&amp;RIGHT("00000"&amp;458,5))</f>
        <v/>
      </c>
      <c r="Q463">
        <f>IF(Sync!$J463="","",IF(ISNUMBER(Sync!$J463),IF(AND(Sync!$J463&gt;=10000101,Sync!$J463&lt;=99991231),INT(Sync!$J463/10000)&amp;"/"&amp;RIGHT("00"&amp;INT(MOD(Sync!$J463,10000)/100),2)&amp;"/"&amp;RIGHT("00"&amp;MOD(Sync!$J463,100),2),"نامعتبر"),IF(LEN(Sync!$J463)=10,Sync!$J463,"نامعتبر")))</f>
        <v/>
      </c>
      <c r="R463">
        <f>IF($P463="","",COUNTIFS($N$6:$N$2005,$N463,$P$6:$P$2005,"&lt;"&amp;$P463)+COUNTIFS($A$6:$A$1005,$N463,$B$6:$B$1005,"&lt;"&amp;$P463)+1)</f>
        <v/>
      </c>
      <c r="S463">
        <f>IF($N463="","",$N463&amp;"|"&amp;RIGHT("000000"&amp;$R463,6))</f>
        <v/>
      </c>
      <c r="T463">
        <f>IF($N463="","",IF(Sync!$N463="",0,Sync!$N463))</f>
        <v/>
      </c>
      <c r="U463">
        <f>IF($N463="","",IF(Sync!$O463="",0,Sync!$O463))</f>
        <v/>
      </c>
      <c r="V463">
        <f>IF($N463="","",Sync!$L463)</f>
        <v/>
      </c>
      <c r="W463">
        <f>IF($N463="","",Sync!$P463)</f>
        <v/>
      </c>
      <c r="AA463">
        <f>IF($A463="","",IF(COUNTIF($A$6:$A463,$A463)=1,1,0))</f>
        <v/>
      </c>
      <c r="AB463">
        <f>SUM($AA$6:$AA463)</f>
        <v/>
      </c>
      <c r="AC463">
        <f>IFERROR(INDEX($A$6:$A$1005,MATCH(ROW()-5,$AB$6:$AB$1005,0)),"")</f>
        <v/>
      </c>
    </row>
    <row r="464">
      <c r="A464">
        <f>IF(OR(Entry!$B467="",Entry!$E467="",$E464="نامعتبر"),"",Entry!$E467)</f>
        <v/>
      </c>
      <c r="B464">
        <f>IF($A464="","",LEFT($E464,4)&amp;MID($E464,6,2)&amp;RIGHT($E464,2)&amp;$F464&amp;"|"&amp;"1"&amp;RIGHT("00000"&amp;459,5))</f>
        <v/>
      </c>
      <c r="C464">
        <f>IF($B464="","",COUNTIFS($A$6:$A$1005,$A464,$B$6:$B$1005,"&lt;"&amp;$B464)+COUNTIFS($N$6:$N$2005,$A464,$P$6:$P$2005,"&lt;"&amp;$B464)+1)</f>
        <v/>
      </c>
      <c r="D464">
        <f>IF($C464="","",$A464&amp;"|"&amp;RIGHT("000000"&amp;$C464,6))</f>
        <v/>
      </c>
      <c r="E464">
        <f>IF(Entry!$B467="","",IF(ISNUMBER(Entry!$B467),IF(AND(Entry!$B467&gt;=10000101,Entry!$B467&lt;=99991231),INT(Entry!$B467/10000)&amp;"/"&amp;RIGHT("00"&amp;INT(MOD(Entry!$B467,10000)/100),2)&amp;"/"&amp;RIGHT("00"&amp;MOD(Entry!$B467,100),2),"نامعتبر"),IF(LEN(Entry!$B467)=10,Entry!$B467,"نامعتبر")))</f>
        <v/>
      </c>
      <c r="F464">
        <f>IF(Entry!$B467="","",IF(Entry!$C467="","0000",IF(AND(ISNUMBER(Entry!$C467),Entry!$C467&gt;=0,Entry!$C467&lt;1),RIGHT("00"&amp;HOUR(Entry!$C467),2)&amp;RIGHT("00"&amp;MINUTE(Entry!$C467),2),IFERROR(RIGHT("00"&amp;VALUE(LEFT(Entry!$C467,FIND(":",Entry!$C467)-1)),2)&amp;RIGHT("00"&amp;VALUE(MID(Entry!$C467,FIND(":",Entry!$C467)+1,2)),2),"0000"))))</f>
        <v/>
      </c>
      <c r="G464">
        <f>IF($A464="","",Entry!$G467)</f>
        <v/>
      </c>
      <c r="H464">
        <f>IF($A464="","",IF(Entry!$H467="",0,Entry!$H467))</f>
        <v/>
      </c>
      <c r="I464">
        <f>IF($A464="","",IF(Entry!$I467="",0,Entry!$I467))</f>
        <v/>
      </c>
      <c r="J464">
        <f>IF($A464="","",ROUND($H464*$I464,0))</f>
        <v/>
      </c>
      <c r="K464">
        <f>IF($A464="","",Entry!$D467)</f>
        <v/>
      </c>
      <c r="L464">
        <f>IF($A464="","",Entry!$L467)</f>
        <v/>
      </c>
      <c r="N464">
        <f>IF(OR(Sync!$M464="",$Q464="",$Q464="نامعتبر"),"",Sync!$M464)</f>
        <v/>
      </c>
      <c r="O464">
        <f>IF($N464="","",$Q464)</f>
        <v/>
      </c>
      <c r="P464">
        <f>IF($N464="","",LEFT($Q464,4)&amp;MID($Q464,6,2)&amp;RIGHT($Q464,2)&amp;IF(Sync!$K464="","0000",IF(AND(ISNUMBER(Sync!$K464),Sync!$K464&gt;=0,Sync!$K464&lt;1),RIGHT("00"&amp;HOUR(Sync!$K464),2)&amp;RIGHT("00"&amp;MINUTE(Sync!$K464),2),IFERROR(RIGHT("00"&amp;VALUE(LEFT(Sync!$K464,FIND(":",Sync!$K464)-1)),2)&amp;RIGHT("00"&amp;VALUE(MID(Sync!$K464,FIND(":",Sync!$K464)+1,2)),2),"0000")))&amp;"|"&amp;"2"&amp;RIGHT("00000"&amp;459,5))</f>
        <v/>
      </c>
      <c r="Q464">
        <f>IF(Sync!$J464="","",IF(ISNUMBER(Sync!$J464),IF(AND(Sync!$J464&gt;=10000101,Sync!$J464&lt;=99991231),INT(Sync!$J464/10000)&amp;"/"&amp;RIGHT("00"&amp;INT(MOD(Sync!$J464,10000)/100),2)&amp;"/"&amp;RIGHT("00"&amp;MOD(Sync!$J464,100),2),"نامعتبر"),IF(LEN(Sync!$J464)=10,Sync!$J464,"نامعتبر")))</f>
        <v/>
      </c>
      <c r="R464">
        <f>IF($P464="","",COUNTIFS($N$6:$N$2005,$N464,$P$6:$P$2005,"&lt;"&amp;$P464)+COUNTIFS($A$6:$A$1005,$N464,$B$6:$B$1005,"&lt;"&amp;$P464)+1)</f>
        <v/>
      </c>
      <c r="S464">
        <f>IF($N464="","",$N464&amp;"|"&amp;RIGHT("000000"&amp;$R464,6))</f>
        <v/>
      </c>
      <c r="T464">
        <f>IF($N464="","",IF(Sync!$N464="",0,Sync!$N464))</f>
        <v/>
      </c>
      <c r="U464">
        <f>IF($N464="","",IF(Sync!$O464="",0,Sync!$O464))</f>
        <v/>
      </c>
      <c r="V464">
        <f>IF($N464="","",Sync!$L464)</f>
        <v/>
      </c>
      <c r="W464">
        <f>IF($N464="","",Sync!$P464)</f>
        <v/>
      </c>
      <c r="AA464">
        <f>IF($A464="","",IF(COUNTIF($A$6:$A464,$A464)=1,1,0))</f>
        <v/>
      </c>
      <c r="AB464">
        <f>SUM($AA$6:$AA464)</f>
        <v/>
      </c>
      <c r="AC464">
        <f>IFERROR(INDEX($A$6:$A$1005,MATCH(ROW()-5,$AB$6:$AB$1005,0)),"")</f>
        <v/>
      </c>
    </row>
    <row r="465">
      <c r="A465">
        <f>IF(OR(Entry!$B468="",Entry!$E468="",$E465="نامعتبر"),"",Entry!$E468)</f>
        <v/>
      </c>
      <c r="B465">
        <f>IF($A465="","",LEFT($E465,4)&amp;MID($E465,6,2)&amp;RIGHT($E465,2)&amp;$F465&amp;"|"&amp;"1"&amp;RIGHT("00000"&amp;460,5))</f>
        <v/>
      </c>
      <c r="C465">
        <f>IF($B465="","",COUNTIFS($A$6:$A$1005,$A465,$B$6:$B$1005,"&lt;"&amp;$B465)+COUNTIFS($N$6:$N$2005,$A465,$P$6:$P$2005,"&lt;"&amp;$B465)+1)</f>
        <v/>
      </c>
      <c r="D465">
        <f>IF($C465="","",$A465&amp;"|"&amp;RIGHT("000000"&amp;$C465,6))</f>
        <v/>
      </c>
      <c r="E465">
        <f>IF(Entry!$B468="","",IF(ISNUMBER(Entry!$B468),IF(AND(Entry!$B468&gt;=10000101,Entry!$B468&lt;=99991231),INT(Entry!$B468/10000)&amp;"/"&amp;RIGHT("00"&amp;INT(MOD(Entry!$B468,10000)/100),2)&amp;"/"&amp;RIGHT("00"&amp;MOD(Entry!$B468,100),2),"نامعتبر"),IF(LEN(Entry!$B468)=10,Entry!$B468,"نامعتبر")))</f>
        <v/>
      </c>
      <c r="F465">
        <f>IF(Entry!$B468="","",IF(Entry!$C468="","0000",IF(AND(ISNUMBER(Entry!$C468),Entry!$C468&gt;=0,Entry!$C468&lt;1),RIGHT("00"&amp;HOUR(Entry!$C468),2)&amp;RIGHT("00"&amp;MINUTE(Entry!$C468),2),IFERROR(RIGHT("00"&amp;VALUE(LEFT(Entry!$C468,FIND(":",Entry!$C468)-1)),2)&amp;RIGHT("00"&amp;VALUE(MID(Entry!$C468,FIND(":",Entry!$C468)+1,2)),2),"0000"))))</f>
        <v/>
      </c>
      <c r="G465">
        <f>IF($A465="","",Entry!$G468)</f>
        <v/>
      </c>
      <c r="H465">
        <f>IF($A465="","",IF(Entry!$H468="",0,Entry!$H468))</f>
        <v/>
      </c>
      <c r="I465">
        <f>IF($A465="","",IF(Entry!$I468="",0,Entry!$I468))</f>
        <v/>
      </c>
      <c r="J465">
        <f>IF($A465="","",ROUND($H465*$I465,0))</f>
        <v/>
      </c>
      <c r="K465">
        <f>IF($A465="","",Entry!$D468)</f>
        <v/>
      </c>
      <c r="L465">
        <f>IF($A465="","",Entry!$L468)</f>
        <v/>
      </c>
      <c r="N465">
        <f>IF(OR(Sync!$M465="",$Q465="",$Q465="نامعتبر"),"",Sync!$M465)</f>
        <v/>
      </c>
      <c r="O465">
        <f>IF($N465="","",$Q465)</f>
        <v/>
      </c>
      <c r="P465">
        <f>IF($N465="","",LEFT($Q465,4)&amp;MID($Q465,6,2)&amp;RIGHT($Q465,2)&amp;IF(Sync!$K465="","0000",IF(AND(ISNUMBER(Sync!$K465),Sync!$K465&gt;=0,Sync!$K465&lt;1),RIGHT("00"&amp;HOUR(Sync!$K465),2)&amp;RIGHT("00"&amp;MINUTE(Sync!$K465),2),IFERROR(RIGHT("00"&amp;VALUE(LEFT(Sync!$K465,FIND(":",Sync!$K465)-1)),2)&amp;RIGHT("00"&amp;VALUE(MID(Sync!$K465,FIND(":",Sync!$K465)+1,2)),2),"0000")))&amp;"|"&amp;"2"&amp;RIGHT("00000"&amp;460,5))</f>
        <v/>
      </c>
      <c r="Q465">
        <f>IF(Sync!$J465="","",IF(ISNUMBER(Sync!$J465),IF(AND(Sync!$J465&gt;=10000101,Sync!$J465&lt;=99991231),INT(Sync!$J465/10000)&amp;"/"&amp;RIGHT("00"&amp;INT(MOD(Sync!$J465,10000)/100),2)&amp;"/"&amp;RIGHT("00"&amp;MOD(Sync!$J465,100),2),"نامعتبر"),IF(LEN(Sync!$J465)=10,Sync!$J465,"نامعتبر")))</f>
        <v/>
      </c>
      <c r="R465">
        <f>IF($P465="","",COUNTIFS($N$6:$N$2005,$N465,$P$6:$P$2005,"&lt;"&amp;$P465)+COUNTIFS($A$6:$A$1005,$N465,$B$6:$B$1005,"&lt;"&amp;$P465)+1)</f>
        <v/>
      </c>
      <c r="S465">
        <f>IF($N465="","",$N465&amp;"|"&amp;RIGHT("000000"&amp;$R465,6))</f>
        <v/>
      </c>
      <c r="T465">
        <f>IF($N465="","",IF(Sync!$N465="",0,Sync!$N465))</f>
        <v/>
      </c>
      <c r="U465">
        <f>IF($N465="","",IF(Sync!$O465="",0,Sync!$O465))</f>
        <v/>
      </c>
      <c r="V465">
        <f>IF($N465="","",Sync!$L465)</f>
        <v/>
      </c>
      <c r="W465">
        <f>IF($N465="","",Sync!$P465)</f>
        <v/>
      </c>
      <c r="AA465">
        <f>IF($A465="","",IF(COUNTIF($A$6:$A465,$A465)=1,1,0))</f>
        <v/>
      </c>
      <c r="AB465">
        <f>SUM($AA$6:$AA465)</f>
        <v/>
      </c>
      <c r="AC465">
        <f>IFERROR(INDEX($A$6:$A$1005,MATCH(ROW()-5,$AB$6:$AB$1005,0)),"")</f>
        <v/>
      </c>
    </row>
    <row r="466">
      <c r="A466">
        <f>IF(OR(Entry!$B469="",Entry!$E469="",$E466="نامعتبر"),"",Entry!$E469)</f>
        <v/>
      </c>
      <c r="B466">
        <f>IF($A466="","",LEFT($E466,4)&amp;MID($E466,6,2)&amp;RIGHT($E466,2)&amp;$F466&amp;"|"&amp;"1"&amp;RIGHT("00000"&amp;461,5))</f>
        <v/>
      </c>
      <c r="C466">
        <f>IF($B466="","",COUNTIFS($A$6:$A$1005,$A466,$B$6:$B$1005,"&lt;"&amp;$B466)+COUNTIFS($N$6:$N$2005,$A466,$P$6:$P$2005,"&lt;"&amp;$B466)+1)</f>
        <v/>
      </c>
      <c r="D466">
        <f>IF($C466="","",$A466&amp;"|"&amp;RIGHT("000000"&amp;$C466,6))</f>
        <v/>
      </c>
      <c r="E466">
        <f>IF(Entry!$B469="","",IF(ISNUMBER(Entry!$B469),IF(AND(Entry!$B469&gt;=10000101,Entry!$B469&lt;=99991231),INT(Entry!$B469/10000)&amp;"/"&amp;RIGHT("00"&amp;INT(MOD(Entry!$B469,10000)/100),2)&amp;"/"&amp;RIGHT("00"&amp;MOD(Entry!$B469,100),2),"نامعتبر"),IF(LEN(Entry!$B469)=10,Entry!$B469,"نامعتبر")))</f>
        <v/>
      </c>
      <c r="F466">
        <f>IF(Entry!$B469="","",IF(Entry!$C469="","0000",IF(AND(ISNUMBER(Entry!$C469),Entry!$C469&gt;=0,Entry!$C469&lt;1),RIGHT("00"&amp;HOUR(Entry!$C469),2)&amp;RIGHT("00"&amp;MINUTE(Entry!$C469),2),IFERROR(RIGHT("00"&amp;VALUE(LEFT(Entry!$C469,FIND(":",Entry!$C469)-1)),2)&amp;RIGHT("00"&amp;VALUE(MID(Entry!$C469,FIND(":",Entry!$C469)+1,2)),2),"0000"))))</f>
        <v/>
      </c>
      <c r="G466">
        <f>IF($A466="","",Entry!$G469)</f>
        <v/>
      </c>
      <c r="H466">
        <f>IF($A466="","",IF(Entry!$H469="",0,Entry!$H469))</f>
        <v/>
      </c>
      <c r="I466">
        <f>IF($A466="","",IF(Entry!$I469="",0,Entry!$I469))</f>
        <v/>
      </c>
      <c r="J466">
        <f>IF($A466="","",ROUND($H466*$I466,0))</f>
        <v/>
      </c>
      <c r="K466">
        <f>IF($A466="","",Entry!$D469)</f>
        <v/>
      </c>
      <c r="L466">
        <f>IF($A466="","",Entry!$L469)</f>
        <v/>
      </c>
      <c r="N466">
        <f>IF(OR(Sync!$M466="",$Q466="",$Q466="نامعتبر"),"",Sync!$M466)</f>
        <v/>
      </c>
      <c r="O466">
        <f>IF($N466="","",$Q466)</f>
        <v/>
      </c>
      <c r="P466">
        <f>IF($N466="","",LEFT($Q466,4)&amp;MID($Q466,6,2)&amp;RIGHT($Q466,2)&amp;IF(Sync!$K466="","0000",IF(AND(ISNUMBER(Sync!$K466),Sync!$K466&gt;=0,Sync!$K466&lt;1),RIGHT("00"&amp;HOUR(Sync!$K466),2)&amp;RIGHT("00"&amp;MINUTE(Sync!$K466),2),IFERROR(RIGHT("00"&amp;VALUE(LEFT(Sync!$K466,FIND(":",Sync!$K466)-1)),2)&amp;RIGHT("00"&amp;VALUE(MID(Sync!$K466,FIND(":",Sync!$K466)+1,2)),2),"0000")))&amp;"|"&amp;"2"&amp;RIGHT("00000"&amp;461,5))</f>
        <v/>
      </c>
      <c r="Q466">
        <f>IF(Sync!$J466="","",IF(ISNUMBER(Sync!$J466),IF(AND(Sync!$J466&gt;=10000101,Sync!$J466&lt;=99991231),INT(Sync!$J466/10000)&amp;"/"&amp;RIGHT("00"&amp;INT(MOD(Sync!$J466,10000)/100),2)&amp;"/"&amp;RIGHT("00"&amp;MOD(Sync!$J466,100),2),"نامعتبر"),IF(LEN(Sync!$J466)=10,Sync!$J466,"نامعتبر")))</f>
        <v/>
      </c>
      <c r="R466">
        <f>IF($P466="","",COUNTIFS($N$6:$N$2005,$N466,$P$6:$P$2005,"&lt;"&amp;$P466)+COUNTIFS($A$6:$A$1005,$N466,$B$6:$B$1005,"&lt;"&amp;$P466)+1)</f>
        <v/>
      </c>
      <c r="S466">
        <f>IF($N466="","",$N466&amp;"|"&amp;RIGHT("000000"&amp;$R466,6))</f>
        <v/>
      </c>
      <c r="T466">
        <f>IF($N466="","",IF(Sync!$N466="",0,Sync!$N466))</f>
        <v/>
      </c>
      <c r="U466">
        <f>IF($N466="","",IF(Sync!$O466="",0,Sync!$O466))</f>
        <v/>
      </c>
      <c r="V466">
        <f>IF($N466="","",Sync!$L466)</f>
        <v/>
      </c>
      <c r="W466">
        <f>IF($N466="","",Sync!$P466)</f>
        <v/>
      </c>
      <c r="AA466">
        <f>IF($A466="","",IF(COUNTIF($A$6:$A466,$A466)=1,1,0))</f>
        <v/>
      </c>
      <c r="AB466">
        <f>SUM($AA$6:$AA466)</f>
        <v/>
      </c>
      <c r="AC466">
        <f>IFERROR(INDEX($A$6:$A$1005,MATCH(ROW()-5,$AB$6:$AB$1005,0)),"")</f>
        <v/>
      </c>
    </row>
    <row r="467">
      <c r="A467">
        <f>IF(OR(Entry!$B470="",Entry!$E470="",$E467="نامعتبر"),"",Entry!$E470)</f>
        <v/>
      </c>
      <c r="B467">
        <f>IF($A467="","",LEFT($E467,4)&amp;MID($E467,6,2)&amp;RIGHT($E467,2)&amp;$F467&amp;"|"&amp;"1"&amp;RIGHT("00000"&amp;462,5))</f>
        <v/>
      </c>
      <c r="C467">
        <f>IF($B467="","",COUNTIFS($A$6:$A$1005,$A467,$B$6:$B$1005,"&lt;"&amp;$B467)+COUNTIFS($N$6:$N$2005,$A467,$P$6:$P$2005,"&lt;"&amp;$B467)+1)</f>
        <v/>
      </c>
      <c r="D467">
        <f>IF($C467="","",$A467&amp;"|"&amp;RIGHT("000000"&amp;$C467,6))</f>
        <v/>
      </c>
      <c r="E467">
        <f>IF(Entry!$B470="","",IF(ISNUMBER(Entry!$B470),IF(AND(Entry!$B470&gt;=10000101,Entry!$B470&lt;=99991231),INT(Entry!$B470/10000)&amp;"/"&amp;RIGHT("00"&amp;INT(MOD(Entry!$B470,10000)/100),2)&amp;"/"&amp;RIGHT("00"&amp;MOD(Entry!$B470,100),2),"نامعتبر"),IF(LEN(Entry!$B470)=10,Entry!$B470,"نامعتبر")))</f>
        <v/>
      </c>
      <c r="F467">
        <f>IF(Entry!$B470="","",IF(Entry!$C470="","0000",IF(AND(ISNUMBER(Entry!$C470),Entry!$C470&gt;=0,Entry!$C470&lt;1),RIGHT("00"&amp;HOUR(Entry!$C470),2)&amp;RIGHT("00"&amp;MINUTE(Entry!$C470),2),IFERROR(RIGHT("00"&amp;VALUE(LEFT(Entry!$C470,FIND(":",Entry!$C470)-1)),2)&amp;RIGHT("00"&amp;VALUE(MID(Entry!$C470,FIND(":",Entry!$C470)+1,2)),2),"0000"))))</f>
        <v/>
      </c>
      <c r="G467">
        <f>IF($A467="","",Entry!$G470)</f>
        <v/>
      </c>
      <c r="H467">
        <f>IF($A467="","",IF(Entry!$H470="",0,Entry!$H470))</f>
        <v/>
      </c>
      <c r="I467">
        <f>IF($A467="","",IF(Entry!$I470="",0,Entry!$I470))</f>
        <v/>
      </c>
      <c r="J467">
        <f>IF($A467="","",ROUND($H467*$I467,0))</f>
        <v/>
      </c>
      <c r="K467">
        <f>IF($A467="","",Entry!$D470)</f>
        <v/>
      </c>
      <c r="L467">
        <f>IF($A467="","",Entry!$L470)</f>
        <v/>
      </c>
      <c r="N467">
        <f>IF(OR(Sync!$M467="",$Q467="",$Q467="نامعتبر"),"",Sync!$M467)</f>
        <v/>
      </c>
      <c r="O467">
        <f>IF($N467="","",$Q467)</f>
        <v/>
      </c>
      <c r="P467">
        <f>IF($N467="","",LEFT($Q467,4)&amp;MID($Q467,6,2)&amp;RIGHT($Q467,2)&amp;IF(Sync!$K467="","0000",IF(AND(ISNUMBER(Sync!$K467),Sync!$K467&gt;=0,Sync!$K467&lt;1),RIGHT("00"&amp;HOUR(Sync!$K467),2)&amp;RIGHT("00"&amp;MINUTE(Sync!$K467),2),IFERROR(RIGHT("00"&amp;VALUE(LEFT(Sync!$K467,FIND(":",Sync!$K467)-1)),2)&amp;RIGHT("00"&amp;VALUE(MID(Sync!$K467,FIND(":",Sync!$K467)+1,2)),2),"0000")))&amp;"|"&amp;"2"&amp;RIGHT("00000"&amp;462,5))</f>
        <v/>
      </c>
      <c r="Q467">
        <f>IF(Sync!$J467="","",IF(ISNUMBER(Sync!$J467),IF(AND(Sync!$J467&gt;=10000101,Sync!$J467&lt;=99991231),INT(Sync!$J467/10000)&amp;"/"&amp;RIGHT("00"&amp;INT(MOD(Sync!$J467,10000)/100),2)&amp;"/"&amp;RIGHT("00"&amp;MOD(Sync!$J467,100),2),"نامعتبر"),IF(LEN(Sync!$J467)=10,Sync!$J467,"نامعتبر")))</f>
        <v/>
      </c>
      <c r="R467">
        <f>IF($P467="","",COUNTIFS($N$6:$N$2005,$N467,$P$6:$P$2005,"&lt;"&amp;$P467)+COUNTIFS($A$6:$A$1005,$N467,$B$6:$B$1005,"&lt;"&amp;$P467)+1)</f>
        <v/>
      </c>
      <c r="S467">
        <f>IF($N467="","",$N467&amp;"|"&amp;RIGHT("000000"&amp;$R467,6))</f>
        <v/>
      </c>
      <c r="T467">
        <f>IF($N467="","",IF(Sync!$N467="",0,Sync!$N467))</f>
        <v/>
      </c>
      <c r="U467">
        <f>IF($N467="","",IF(Sync!$O467="",0,Sync!$O467))</f>
        <v/>
      </c>
      <c r="V467">
        <f>IF($N467="","",Sync!$L467)</f>
        <v/>
      </c>
      <c r="W467">
        <f>IF($N467="","",Sync!$P467)</f>
        <v/>
      </c>
      <c r="AA467">
        <f>IF($A467="","",IF(COUNTIF($A$6:$A467,$A467)=1,1,0))</f>
        <v/>
      </c>
      <c r="AB467">
        <f>SUM($AA$6:$AA467)</f>
        <v/>
      </c>
      <c r="AC467">
        <f>IFERROR(INDEX($A$6:$A$1005,MATCH(ROW()-5,$AB$6:$AB$1005,0)),"")</f>
        <v/>
      </c>
    </row>
    <row r="468">
      <c r="A468">
        <f>IF(OR(Entry!$B471="",Entry!$E471="",$E468="نامعتبر"),"",Entry!$E471)</f>
        <v/>
      </c>
      <c r="B468">
        <f>IF($A468="","",LEFT($E468,4)&amp;MID($E468,6,2)&amp;RIGHT($E468,2)&amp;$F468&amp;"|"&amp;"1"&amp;RIGHT("00000"&amp;463,5))</f>
        <v/>
      </c>
      <c r="C468">
        <f>IF($B468="","",COUNTIFS($A$6:$A$1005,$A468,$B$6:$B$1005,"&lt;"&amp;$B468)+COUNTIFS($N$6:$N$2005,$A468,$P$6:$P$2005,"&lt;"&amp;$B468)+1)</f>
        <v/>
      </c>
      <c r="D468">
        <f>IF($C468="","",$A468&amp;"|"&amp;RIGHT("000000"&amp;$C468,6))</f>
        <v/>
      </c>
      <c r="E468">
        <f>IF(Entry!$B471="","",IF(ISNUMBER(Entry!$B471),IF(AND(Entry!$B471&gt;=10000101,Entry!$B471&lt;=99991231),INT(Entry!$B471/10000)&amp;"/"&amp;RIGHT("00"&amp;INT(MOD(Entry!$B471,10000)/100),2)&amp;"/"&amp;RIGHT("00"&amp;MOD(Entry!$B471,100),2),"نامعتبر"),IF(LEN(Entry!$B471)=10,Entry!$B471,"نامعتبر")))</f>
        <v/>
      </c>
      <c r="F468">
        <f>IF(Entry!$B471="","",IF(Entry!$C471="","0000",IF(AND(ISNUMBER(Entry!$C471),Entry!$C471&gt;=0,Entry!$C471&lt;1),RIGHT("00"&amp;HOUR(Entry!$C471),2)&amp;RIGHT("00"&amp;MINUTE(Entry!$C471),2),IFERROR(RIGHT("00"&amp;VALUE(LEFT(Entry!$C471,FIND(":",Entry!$C471)-1)),2)&amp;RIGHT("00"&amp;VALUE(MID(Entry!$C471,FIND(":",Entry!$C471)+1,2)),2),"0000"))))</f>
        <v/>
      </c>
      <c r="G468">
        <f>IF($A468="","",Entry!$G471)</f>
        <v/>
      </c>
      <c r="H468">
        <f>IF($A468="","",IF(Entry!$H471="",0,Entry!$H471))</f>
        <v/>
      </c>
      <c r="I468">
        <f>IF($A468="","",IF(Entry!$I471="",0,Entry!$I471))</f>
        <v/>
      </c>
      <c r="J468">
        <f>IF($A468="","",ROUND($H468*$I468,0))</f>
        <v/>
      </c>
      <c r="K468">
        <f>IF($A468="","",Entry!$D471)</f>
        <v/>
      </c>
      <c r="L468">
        <f>IF($A468="","",Entry!$L471)</f>
        <v/>
      </c>
      <c r="N468">
        <f>IF(OR(Sync!$M468="",$Q468="",$Q468="نامعتبر"),"",Sync!$M468)</f>
        <v/>
      </c>
      <c r="O468">
        <f>IF($N468="","",$Q468)</f>
        <v/>
      </c>
      <c r="P468">
        <f>IF($N468="","",LEFT($Q468,4)&amp;MID($Q468,6,2)&amp;RIGHT($Q468,2)&amp;IF(Sync!$K468="","0000",IF(AND(ISNUMBER(Sync!$K468),Sync!$K468&gt;=0,Sync!$K468&lt;1),RIGHT("00"&amp;HOUR(Sync!$K468),2)&amp;RIGHT("00"&amp;MINUTE(Sync!$K468),2),IFERROR(RIGHT("00"&amp;VALUE(LEFT(Sync!$K468,FIND(":",Sync!$K468)-1)),2)&amp;RIGHT("00"&amp;VALUE(MID(Sync!$K468,FIND(":",Sync!$K468)+1,2)),2),"0000")))&amp;"|"&amp;"2"&amp;RIGHT("00000"&amp;463,5))</f>
        <v/>
      </c>
      <c r="Q468">
        <f>IF(Sync!$J468="","",IF(ISNUMBER(Sync!$J468),IF(AND(Sync!$J468&gt;=10000101,Sync!$J468&lt;=99991231),INT(Sync!$J468/10000)&amp;"/"&amp;RIGHT("00"&amp;INT(MOD(Sync!$J468,10000)/100),2)&amp;"/"&amp;RIGHT("00"&amp;MOD(Sync!$J468,100),2),"نامعتبر"),IF(LEN(Sync!$J468)=10,Sync!$J468,"نامعتبر")))</f>
        <v/>
      </c>
      <c r="R468">
        <f>IF($P468="","",COUNTIFS($N$6:$N$2005,$N468,$P$6:$P$2005,"&lt;"&amp;$P468)+COUNTIFS($A$6:$A$1005,$N468,$B$6:$B$1005,"&lt;"&amp;$P468)+1)</f>
        <v/>
      </c>
      <c r="S468">
        <f>IF($N468="","",$N468&amp;"|"&amp;RIGHT("000000"&amp;$R468,6))</f>
        <v/>
      </c>
      <c r="T468">
        <f>IF($N468="","",IF(Sync!$N468="",0,Sync!$N468))</f>
        <v/>
      </c>
      <c r="U468">
        <f>IF($N468="","",IF(Sync!$O468="",0,Sync!$O468))</f>
        <v/>
      </c>
      <c r="V468">
        <f>IF($N468="","",Sync!$L468)</f>
        <v/>
      </c>
      <c r="W468">
        <f>IF($N468="","",Sync!$P468)</f>
        <v/>
      </c>
      <c r="AA468">
        <f>IF($A468="","",IF(COUNTIF($A$6:$A468,$A468)=1,1,0))</f>
        <v/>
      </c>
      <c r="AB468">
        <f>SUM($AA$6:$AA468)</f>
        <v/>
      </c>
      <c r="AC468">
        <f>IFERROR(INDEX($A$6:$A$1005,MATCH(ROW()-5,$AB$6:$AB$1005,0)),"")</f>
        <v/>
      </c>
    </row>
    <row r="469">
      <c r="A469">
        <f>IF(OR(Entry!$B472="",Entry!$E472="",$E469="نامعتبر"),"",Entry!$E472)</f>
        <v/>
      </c>
      <c r="B469">
        <f>IF($A469="","",LEFT($E469,4)&amp;MID($E469,6,2)&amp;RIGHT($E469,2)&amp;$F469&amp;"|"&amp;"1"&amp;RIGHT("00000"&amp;464,5))</f>
        <v/>
      </c>
      <c r="C469">
        <f>IF($B469="","",COUNTIFS($A$6:$A$1005,$A469,$B$6:$B$1005,"&lt;"&amp;$B469)+COUNTIFS($N$6:$N$2005,$A469,$P$6:$P$2005,"&lt;"&amp;$B469)+1)</f>
        <v/>
      </c>
      <c r="D469">
        <f>IF($C469="","",$A469&amp;"|"&amp;RIGHT("000000"&amp;$C469,6))</f>
        <v/>
      </c>
      <c r="E469">
        <f>IF(Entry!$B472="","",IF(ISNUMBER(Entry!$B472),IF(AND(Entry!$B472&gt;=10000101,Entry!$B472&lt;=99991231),INT(Entry!$B472/10000)&amp;"/"&amp;RIGHT("00"&amp;INT(MOD(Entry!$B472,10000)/100),2)&amp;"/"&amp;RIGHT("00"&amp;MOD(Entry!$B472,100),2),"نامعتبر"),IF(LEN(Entry!$B472)=10,Entry!$B472,"نامعتبر")))</f>
        <v/>
      </c>
      <c r="F469">
        <f>IF(Entry!$B472="","",IF(Entry!$C472="","0000",IF(AND(ISNUMBER(Entry!$C472),Entry!$C472&gt;=0,Entry!$C472&lt;1),RIGHT("00"&amp;HOUR(Entry!$C472),2)&amp;RIGHT("00"&amp;MINUTE(Entry!$C472),2),IFERROR(RIGHT("00"&amp;VALUE(LEFT(Entry!$C472,FIND(":",Entry!$C472)-1)),2)&amp;RIGHT("00"&amp;VALUE(MID(Entry!$C472,FIND(":",Entry!$C472)+1,2)),2),"0000"))))</f>
        <v/>
      </c>
      <c r="G469">
        <f>IF($A469="","",Entry!$G472)</f>
        <v/>
      </c>
      <c r="H469">
        <f>IF($A469="","",IF(Entry!$H472="",0,Entry!$H472))</f>
        <v/>
      </c>
      <c r="I469">
        <f>IF($A469="","",IF(Entry!$I472="",0,Entry!$I472))</f>
        <v/>
      </c>
      <c r="J469">
        <f>IF($A469="","",ROUND($H469*$I469,0))</f>
        <v/>
      </c>
      <c r="K469">
        <f>IF($A469="","",Entry!$D472)</f>
        <v/>
      </c>
      <c r="L469">
        <f>IF($A469="","",Entry!$L472)</f>
        <v/>
      </c>
      <c r="N469">
        <f>IF(OR(Sync!$M469="",$Q469="",$Q469="نامعتبر"),"",Sync!$M469)</f>
        <v/>
      </c>
      <c r="O469">
        <f>IF($N469="","",$Q469)</f>
        <v/>
      </c>
      <c r="P469">
        <f>IF($N469="","",LEFT($Q469,4)&amp;MID($Q469,6,2)&amp;RIGHT($Q469,2)&amp;IF(Sync!$K469="","0000",IF(AND(ISNUMBER(Sync!$K469),Sync!$K469&gt;=0,Sync!$K469&lt;1),RIGHT("00"&amp;HOUR(Sync!$K469),2)&amp;RIGHT("00"&amp;MINUTE(Sync!$K469),2),IFERROR(RIGHT("00"&amp;VALUE(LEFT(Sync!$K469,FIND(":",Sync!$K469)-1)),2)&amp;RIGHT("00"&amp;VALUE(MID(Sync!$K469,FIND(":",Sync!$K469)+1,2)),2),"0000")))&amp;"|"&amp;"2"&amp;RIGHT("00000"&amp;464,5))</f>
        <v/>
      </c>
      <c r="Q469">
        <f>IF(Sync!$J469="","",IF(ISNUMBER(Sync!$J469),IF(AND(Sync!$J469&gt;=10000101,Sync!$J469&lt;=99991231),INT(Sync!$J469/10000)&amp;"/"&amp;RIGHT("00"&amp;INT(MOD(Sync!$J469,10000)/100),2)&amp;"/"&amp;RIGHT("00"&amp;MOD(Sync!$J469,100),2),"نامعتبر"),IF(LEN(Sync!$J469)=10,Sync!$J469,"نامعتبر")))</f>
        <v/>
      </c>
      <c r="R469">
        <f>IF($P469="","",COUNTIFS($N$6:$N$2005,$N469,$P$6:$P$2005,"&lt;"&amp;$P469)+COUNTIFS($A$6:$A$1005,$N469,$B$6:$B$1005,"&lt;"&amp;$P469)+1)</f>
        <v/>
      </c>
      <c r="S469">
        <f>IF($N469="","",$N469&amp;"|"&amp;RIGHT("000000"&amp;$R469,6))</f>
        <v/>
      </c>
      <c r="T469">
        <f>IF($N469="","",IF(Sync!$N469="",0,Sync!$N469))</f>
        <v/>
      </c>
      <c r="U469">
        <f>IF($N469="","",IF(Sync!$O469="",0,Sync!$O469))</f>
        <v/>
      </c>
      <c r="V469">
        <f>IF($N469="","",Sync!$L469)</f>
        <v/>
      </c>
      <c r="W469">
        <f>IF($N469="","",Sync!$P469)</f>
        <v/>
      </c>
      <c r="AA469">
        <f>IF($A469="","",IF(COUNTIF($A$6:$A469,$A469)=1,1,0))</f>
        <v/>
      </c>
      <c r="AB469">
        <f>SUM($AA$6:$AA469)</f>
        <v/>
      </c>
      <c r="AC469">
        <f>IFERROR(INDEX($A$6:$A$1005,MATCH(ROW()-5,$AB$6:$AB$1005,0)),"")</f>
        <v/>
      </c>
    </row>
    <row r="470">
      <c r="A470">
        <f>IF(OR(Entry!$B473="",Entry!$E473="",$E470="نامعتبر"),"",Entry!$E473)</f>
        <v/>
      </c>
      <c r="B470">
        <f>IF($A470="","",LEFT($E470,4)&amp;MID($E470,6,2)&amp;RIGHT($E470,2)&amp;$F470&amp;"|"&amp;"1"&amp;RIGHT("00000"&amp;465,5))</f>
        <v/>
      </c>
      <c r="C470">
        <f>IF($B470="","",COUNTIFS($A$6:$A$1005,$A470,$B$6:$B$1005,"&lt;"&amp;$B470)+COUNTIFS($N$6:$N$2005,$A470,$P$6:$P$2005,"&lt;"&amp;$B470)+1)</f>
        <v/>
      </c>
      <c r="D470">
        <f>IF($C470="","",$A470&amp;"|"&amp;RIGHT("000000"&amp;$C470,6))</f>
        <v/>
      </c>
      <c r="E470">
        <f>IF(Entry!$B473="","",IF(ISNUMBER(Entry!$B473),IF(AND(Entry!$B473&gt;=10000101,Entry!$B473&lt;=99991231),INT(Entry!$B473/10000)&amp;"/"&amp;RIGHT("00"&amp;INT(MOD(Entry!$B473,10000)/100),2)&amp;"/"&amp;RIGHT("00"&amp;MOD(Entry!$B473,100),2),"نامعتبر"),IF(LEN(Entry!$B473)=10,Entry!$B473,"نامعتبر")))</f>
        <v/>
      </c>
      <c r="F470">
        <f>IF(Entry!$B473="","",IF(Entry!$C473="","0000",IF(AND(ISNUMBER(Entry!$C473),Entry!$C473&gt;=0,Entry!$C473&lt;1),RIGHT("00"&amp;HOUR(Entry!$C473),2)&amp;RIGHT("00"&amp;MINUTE(Entry!$C473),2),IFERROR(RIGHT("00"&amp;VALUE(LEFT(Entry!$C473,FIND(":",Entry!$C473)-1)),2)&amp;RIGHT("00"&amp;VALUE(MID(Entry!$C473,FIND(":",Entry!$C473)+1,2)),2),"0000"))))</f>
        <v/>
      </c>
      <c r="G470">
        <f>IF($A470="","",Entry!$G473)</f>
        <v/>
      </c>
      <c r="H470">
        <f>IF($A470="","",IF(Entry!$H473="",0,Entry!$H473))</f>
        <v/>
      </c>
      <c r="I470">
        <f>IF($A470="","",IF(Entry!$I473="",0,Entry!$I473))</f>
        <v/>
      </c>
      <c r="J470">
        <f>IF($A470="","",ROUND($H470*$I470,0))</f>
        <v/>
      </c>
      <c r="K470">
        <f>IF($A470="","",Entry!$D473)</f>
        <v/>
      </c>
      <c r="L470">
        <f>IF($A470="","",Entry!$L473)</f>
        <v/>
      </c>
      <c r="N470">
        <f>IF(OR(Sync!$M470="",$Q470="",$Q470="نامعتبر"),"",Sync!$M470)</f>
        <v/>
      </c>
      <c r="O470">
        <f>IF($N470="","",$Q470)</f>
        <v/>
      </c>
      <c r="P470">
        <f>IF($N470="","",LEFT($Q470,4)&amp;MID($Q470,6,2)&amp;RIGHT($Q470,2)&amp;IF(Sync!$K470="","0000",IF(AND(ISNUMBER(Sync!$K470),Sync!$K470&gt;=0,Sync!$K470&lt;1),RIGHT("00"&amp;HOUR(Sync!$K470),2)&amp;RIGHT("00"&amp;MINUTE(Sync!$K470),2),IFERROR(RIGHT("00"&amp;VALUE(LEFT(Sync!$K470,FIND(":",Sync!$K470)-1)),2)&amp;RIGHT("00"&amp;VALUE(MID(Sync!$K470,FIND(":",Sync!$K470)+1,2)),2),"0000")))&amp;"|"&amp;"2"&amp;RIGHT("00000"&amp;465,5))</f>
        <v/>
      </c>
      <c r="Q470">
        <f>IF(Sync!$J470="","",IF(ISNUMBER(Sync!$J470),IF(AND(Sync!$J470&gt;=10000101,Sync!$J470&lt;=99991231),INT(Sync!$J470/10000)&amp;"/"&amp;RIGHT("00"&amp;INT(MOD(Sync!$J470,10000)/100),2)&amp;"/"&amp;RIGHT("00"&amp;MOD(Sync!$J470,100),2),"نامعتبر"),IF(LEN(Sync!$J470)=10,Sync!$J470,"نامعتبر")))</f>
        <v/>
      </c>
      <c r="R470">
        <f>IF($P470="","",COUNTIFS($N$6:$N$2005,$N470,$P$6:$P$2005,"&lt;"&amp;$P470)+COUNTIFS($A$6:$A$1005,$N470,$B$6:$B$1005,"&lt;"&amp;$P470)+1)</f>
        <v/>
      </c>
      <c r="S470">
        <f>IF($N470="","",$N470&amp;"|"&amp;RIGHT("000000"&amp;$R470,6))</f>
        <v/>
      </c>
      <c r="T470">
        <f>IF($N470="","",IF(Sync!$N470="",0,Sync!$N470))</f>
        <v/>
      </c>
      <c r="U470">
        <f>IF($N470="","",IF(Sync!$O470="",0,Sync!$O470))</f>
        <v/>
      </c>
      <c r="V470">
        <f>IF($N470="","",Sync!$L470)</f>
        <v/>
      </c>
      <c r="W470">
        <f>IF($N470="","",Sync!$P470)</f>
        <v/>
      </c>
      <c r="AA470">
        <f>IF($A470="","",IF(COUNTIF($A$6:$A470,$A470)=1,1,0))</f>
        <v/>
      </c>
      <c r="AB470">
        <f>SUM($AA$6:$AA470)</f>
        <v/>
      </c>
      <c r="AC470">
        <f>IFERROR(INDEX($A$6:$A$1005,MATCH(ROW()-5,$AB$6:$AB$1005,0)),"")</f>
        <v/>
      </c>
    </row>
    <row r="471">
      <c r="A471">
        <f>IF(OR(Entry!$B474="",Entry!$E474="",$E471="نامعتبر"),"",Entry!$E474)</f>
        <v/>
      </c>
      <c r="B471">
        <f>IF($A471="","",LEFT($E471,4)&amp;MID($E471,6,2)&amp;RIGHT($E471,2)&amp;$F471&amp;"|"&amp;"1"&amp;RIGHT("00000"&amp;466,5))</f>
        <v/>
      </c>
      <c r="C471">
        <f>IF($B471="","",COUNTIFS($A$6:$A$1005,$A471,$B$6:$B$1005,"&lt;"&amp;$B471)+COUNTIFS($N$6:$N$2005,$A471,$P$6:$P$2005,"&lt;"&amp;$B471)+1)</f>
        <v/>
      </c>
      <c r="D471">
        <f>IF($C471="","",$A471&amp;"|"&amp;RIGHT("000000"&amp;$C471,6))</f>
        <v/>
      </c>
      <c r="E471">
        <f>IF(Entry!$B474="","",IF(ISNUMBER(Entry!$B474),IF(AND(Entry!$B474&gt;=10000101,Entry!$B474&lt;=99991231),INT(Entry!$B474/10000)&amp;"/"&amp;RIGHT("00"&amp;INT(MOD(Entry!$B474,10000)/100),2)&amp;"/"&amp;RIGHT("00"&amp;MOD(Entry!$B474,100),2),"نامعتبر"),IF(LEN(Entry!$B474)=10,Entry!$B474,"نامعتبر")))</f>
        <v/>
      </c>
      <c r="F471">
        <f>IF(Entry!$B474="","",IF(Entry!$C474="","0000",IF(AND(ISNUMBER(Entry!$C474),Entry!$C474&gt;=0,Entry!$C474&lt;1),RIGHT("00"&amp;HOUR(Entry!$C474),2)&amp;RIGHT("00"&amp;MINUTE(Entry!$C474),2),IFERROR(RIGHT("00"&amp;VALUE(LEFT(Entry!$C474,FIND(":",Entry!$C474)-1)),2)&amp;RIGHT("00"&amp;VALUE(MID(Entry!$C474,FIND(":",Entry!$C474)+1,2)),2),"0000"))))</f>
        <v/>
      </c>
      <c r="G471">
        <f>IF($A471="","",Entry!$G474)</f>
        <v/>
      </c>
      <c r="H471">
        <f>IF($A471="","",IF(Entry!$H474="",0,Entry!$H474))</f>
        <v/>
      </c>
      <c r="I471">
        <f>IF($A471="","",IF(Entry!$I474="",0,Entry!$I474))</f>
        <v/>
      </c>
      <c r="J471">
        <f>IF($A471="","",ROUND($H471*$I471,0))</f>
        <v/>
      </c>
      <c r="K471">
        <f>IF($A471="","",Entry!$D474)</f>
        <v/>
      </c>
      <c r="L471">
        <f>IF($A471="","",Entry!$L474)</f>
        <v/>
      </c>
      <c r="N471">
        <f>IF(OR(Sync!$M471="",$Q471="",$Q471="نامعتبر"),"",Sync!$M471)</f>
        <v/>
      </c>
      <c r="O471">
        <f>IF($N471="","",$Q471)</f>
        <v/>
      </c>
      <c r="P471">
        <f>IF($N471="","",LEFT($Q471,4)&amp;MID($Q471,6,2)&amp;RIGHT($Q471,2)&amp;IF(Sync!$K471="","0000",IF(AND(ISNUMBER(Sync!$K471),Sync!$K471&gt;=0,Sync!$K471&lt;1),RIGHT("00"&amp;HOUR(Sync!$K471),2)&amp;RIGHT("00"&amp;MINUTE(Sync!$K471),2),IFERROR(RIGHT("00"&amp;VALUE(LEFT(Sync!$K471,FIND(":",Sync!$K471)-1)),2)&amp;RIGHT("00"&amp;VALUE(MID(Sync!$K471,FIND(":",Sync!$K471)+1,2)),2),"0000")))&amp;"|"&amp;"2"&amp;RIGHT("00000"&amp;466,5))</f>
        <v/>
      </c>
      <c r="Q471">
        <f>IF(Sync!$J471="","",IF(ISNUMBER(Sync!$J471),IF(AND(Sync!$J471&gt;=10000101,Sync!$J471&lt;=99991231),INT(Sync!$J471/10000)&amp;"/"&amp;RIGHT("00"&amp;INT(MOD(Sync!$J471,10000)/100),2)&amp;"/"&amp;RIGHT("00"&amp;MOD(Sync!$J471,100),2),"نامعتبر"),IF(LEN(Sync!$J471)=10,Sync!$J471,"نامعتبر")))</f>
        <v/>
      </c>
      <c r="R471">
        <f>IF($P471="","",COUNTIFS($N$6:$N$2005,$N471,$P$6:$P$2005,"&lt;"&amp;$P471)+COUNTIFS($A$6:$A$1005,$N471,$B$6:$B$1005,"&lt;"&amp;$P471)+1)</f>
        <v/>
      </c>
      <c r="S471">
        <f>IF($N471="","",$N471&amp;"|"&amp;RIGHT("000000"&amp;$R471,6))</f>
        <v/>
      </c>
      <c r="T471">
        <f>IF($N471="","",IF(Sync!$N471="",0,Sync!$N471))</f>
        <v/>
      </c>
      <c r="U471">
        <f>IF($N471="","",IF(Sync!$O471="",0,Sync!$O471))</f>
        <v/>
      </c>
      <c r="V471">
        <f>IF($N471="","",Sync!$L471)</f>
        <v/>
      </c>
      <c r="W471">
        <f>IF($N471="","",Sync!$P471)</f>
        <v/>
      </c>
      <c r="AA471">
        <f>IF($A471="","",IF(COUNTIF($A$6:$A471,$A471)=1,1,0))</f>
        <v/>
      </c>
      <c r="AB471">
        <f>SUM($AA$6:$AA471)</f>
        <v/>
      </c>
      <c r="AC471">
        <f>IFERROR(INDEX($A$6:$A$1005,MATCH(ROW()-5,$AB$6:$AB$1005,0)),"")</f>
        <v/>
      </c>
    </row>
    <row r="472">
      <c r="A472">
        <f>IF(OR(Entry!$B475="",Entry!$E475="",$E472="نامعتبر"),"",Entry!$E475)</f>
        <v/>
      </c>
      <c r="B472">
        <f>IF($A472="","",LEFT($E472,4)&amp;MID($E472,6,2)&amp;RIGHT($E472,2)&amp;$F472&amp;"|"&amp;"1"&amp;RIGHT("00000"&amp;467,5))</f>
        <v/>
      </c>
      <c r="C472">
        <f>IF($B472="","",COUNTIFS($A$6:$A$1005,$A472,$B$6:$B$1005,"&lt;"&amp;$B472)+COUNTIFS($N$6:$N$2005,$A472,$P$6:$P$2005,"&lt;"&amp;$B472)+1)</f>
        <v/>
      </c>
      <c r="D472">
        <f>IF($C472="","",$A472&amp;"|"&amp;RIGHT("000000"&amp;$C472,6))</f>
        <v/>
      </c>
      <c r="E472">
        <f>IF(Entry!$B475="","",IF(ISNUMBER(Entry!$B475),IF(AND(Entry!$B475&gt;=10000101,Entry!$B475&lt;=99991231),INT(Entry!$B475/10000)&amp;"/"&amp;RIGHT("00"&amp;INT(MOD(Entry!$B475,10000)/100),2)&amp;"/"&amp;RIGHT("00"&amp;MOD(Entry!$B475,100),2),"نامعتبر"),IF(LEN(Entry!$B475)=10,Entry!$B475,"نامعتبر")))</f>
        <v/>
      </c>
      <c r="F472">
        <f>IF(Entry!$B475="","",IF(Entry!$C475="","0000",IF(AND(ISNUMBER(Entry!$C475),Entry!$C475&gt;=0,Entry!$C475&lt;1),RIGHT("00"&amp;HOUR(Entry!$C475),2)&amp;RIGHT("00"&amp;MINUTE(Entry!$C475),2),IFERROR(RIGHT("00"&amp;VALUE(LEFT(Entry!$C475,FIND(":",Entry!$C475)-1)),2)&amp;RIGHT("00"&amp;VALUE(MID(Entry!$C475,FIND(":",Entry!$C475)+1,2)),2),"0000"))))</f>
        <v/>
      </c>
      <c r="G472">
        <f>IF($A472="","",Entry!$G475)</f>
        <v/>
      </c>
      <c r="H472">
        <f>IF($A472="","",IF(Entry!$H475="",0,Entry!$H475))</f>
        <v/>
      </c>
      <c r="I472">
        <f>IF($A472="","",IF(Entry!$I475="",0,Entry!$I475))</f>
        <v/>
      </c>
      <c r="J472">
        <f>IF($A472="","",ROUND($H472*$I472,0))</f>
        <v/>
      </c>
      <c r="K472">
        <f>IF($A472="","",Entry!$D475)</f>
        <v/>
      </c>
      <c r="L472">
        <f>IF($A472="","",Entry!$L475)</f>
        <v/>
      </c>
      <c r="N472">
        <f>IF(OR(Sync!$M472="",$Q472="",$Q472="نامعتبر"),"",Sync!$M472)</f>
        <v/>
      </c>
      <c r="O472">
        <f>IF($N472="","",$Q472)</f>
        <v/>
      </c>
      <c r="P472">
        <f>IF($N472="","",LEFT($Q472,4)&amp;MID($Q472,6,2)&amp;RIGHT($Q472,2)&amp;IF(Sync!$K472="","0000",IF(AND(ISNUMBER(Sync!$K472),Sync!$K472&gt;=0,Sync!$K472&lt;1),RIGHT("00"&amp;HOUR(Sync!$K472),2)&amp;RIGHT("00"&amp;MINUTE(Sync!$K472),2),IFERROR(RIGHT("00"&amp;VALUE(LEFT(Sync!$K472,FIND(":",Sync!$K472)-1)),2)&amp;RIGHT("00"&amp;VALUE(MID(Sync!$K472,FIND(":",Sync!$K472)+1,2)),2),"0000")))&amp;"|"&amp;"2"&amp;RIGHT("00000"&amp;467,5))</f>
        <v/>
      </c>
      <c r="Q472">
        <f>IF(Sync!$J472="","",IF(ISNUMBER(Sync!$J472),IF(AND(Sync!$J472&gt;=10000101,Sync!$J472&lt;=99991231),INT(Sync!$J472/10000)&amp;"/"&amp;RIGHT("00"&amp;INT(MOD(Sync!$J472,10000)/100),2)&amp;"/"&amp;RIGHT("00"&amp;MOD(Sync!$J472,100),2),"نامعتبر"),IF(LEN(Sync!$J472)=10,Sync!$J472,"نامعتبر")))</f>
        <v/>
      </c>
      <c r="R472">
        <f>IF($P472="","",COUNTIFS($N$6:$N$2005,$N472,$P$6:$P$2005,"&lt;"&amp;$P472)+COUNTIFS($A$6:$A$1005,$N472,$B$6:$B$1005,"&lt;"&amp;$P472)+1)</f>
        <v/>
      </c>
      <c r="S472">
        <f>IF($N472="","",$N472&amp;"|"&amp;RIGHT("000000"&amp;$R472,6))</f>
        <v/>
      </c>
      <c r="T472">
        <f>IF($N472="","",IF(Sync!$N472="",0,Sync!$N472))</f>
        <v/>
      </c>
      <c r="U472">
        <f>IF($N472="","",IF(Sync!$O472="",0,Sync!$O472))</f>
        <v/>
      </c>
      <c r="V472">
        <f>IF($N472="","",Sync!$L472)</f>
        <v/>
      </c>
      <c r="W472">
        <f>IF($N472="","",Sync!$P472)</f>
        <v/>
      </c>
      <c r="AA472">
        <f>IF($A472="","",IF(COUNTIF($A$6:$A472,$A472)=1,1,0))</f>
        <v/>
      </c>
      <c r="AB472">
        <f>SUM($AA$6:$AA472)</f>
        <v/>
      </c>
      <c r="AC472">
        <f>IFERROR(INDEX($A$6:$A$1005,MATCH(ROW()-5,$AB$6:$AB$1005,0)),"")</f>
        <v/>
      </c>
    </row>
    <row r="473">
      <c r="A473">
        <f>IF(OR(Entry!$B476="",Entry!$E476="",$E473="نامعتبر"),"",Entry!$E476)</f>
        <v/>
      </c>
      <c r="B473">
        <f>IF($A473="","",LEFT($E473,4)&amp;MID($E473,6,2)&amp;RIGHT($E473,2)&amp;$F473&amp;"|"&amp;"1"&amp;RIGHT("00000"&amp;468,5))</f>
        <v/>
      </c>
      <c r="C473">
        <f>IF($B473="","",COUNTIFS($A$6:$A$1005,$A473,$B$6:$B$1005,"&lt;"&amp;$B473)+COUNTIFS($N$6:$N$2005,$A473,$P$6:$P$2005,"&lt;"&amp;$B473)+1)</f>
        <v/>
      </c>
      <c r="D473">
        <f>IF($C473="","",$A473&amp;"|"&amp;RIGHT("000000"&amp;$C473,6))</f>
        <v/>
      </c>
      <c r="E473">
        <f>IF(Entry!$B476="","",IF(ISNUMBER(Entry!$B476),IF(AND(Entry!$B476&gt;=10000101,Entry!$B476&lt;=99991231),INT(Entry!$B476/10000)&amp;"/"&amp;RIGHT("00"&amp;INT(MOD(Entry!$B476,10000)/100),2)&amp;"/"&amp;RIGHT("00"&amp;MOD(Entry!$B476,100),2),"نامعتبر"),IF(LEN(Entry!$B476)=10,Entry!$B476,"نامعتبر")))</f>
        <v/>
      </c>
      <c r="F473">
        <f>IF(Entry!$B476="","",IF(Entry!$C476="","0000",IF(AND(ISNUMBER(Entry!$C476),Entry!$C476&gt;=0,Entry!$C476&lt;1),RIGHT("00"&amp;HOUR(Entry!$C476),2)&amp;RIGHT("00"&amp;MINUTE(Entry!$C476),2),IFERROR(RIGHT("00"&amp;VALUE(LEFT(Entry!$C476,FIND(":",Entry!$C476)-1)),2)&amp;RIGHT("00"&amp;VALUE(MID(Entry!$C476,FIND(":",Entry!$C476)+1,2)),2),"0000"))))</f>
        <v/>
      </c>
      <c r="G473">
        <f>IF($A473="","",Entry!$G476)</f>
        <v/>
      </c>
      <c r="H473">
        <f>IF($A473="","",IF(Entry!$H476="",0,Entry!$H476))</f>
        <v/>
      </c>
      <c r="I473">
        <f>IF($A473="","",IF(Entry!$I476="",0,Entry!$I476))</f>
        <v/>
      </c>
      <c r="J473">
        <f>IF($A473="","",ROUND($H473*$I473,0))</f>
        <v/>
      </c>
      <c r="K473">
        <f>IF($A473="","",Entry!$D476)</f>
        <v/>
      </c>
      <c r="L473">
        <f>IF($A473="","",Entry!$L476)</f>
        <v/>
      </c>
      <c r="N473">
        <f>IF(OR(Sync!$M473="",$Q473="",$Q473="نامعتبر"),"",Sync!$M473)</f>
        <v/>
      </c>
      <c r="O473">
        <f>IF($N473="","",$Q473)</f>
        <v/>
      </c>
      <c r="P473">
        <f>IF($N473="","",LEFT($Q473,4)&amp;MID($Q473,6,2)&amp;RIGHT($Q473,2)&amp;IF(Sync!$K473="","0000",IF(AND(ISNUMBER(Sync!$K473),Sync!$K473&gt;=0,Sync!$K473&lt;1),RIGHT("00"&amp;HOUR(Sync!$K473),2)&amp;RIGHT("00"&amp;MINUTE(Sync!$K473),2),IFERROR(RIGHT("00"&amp;VALUE(LEFT(Sync!$K473,FIND(":",Sync!$K473)-1)),2)&amp;RIGHT("00"&amp;VALUE(MID(Sync!$K473,FIND(":",Sync!$K473)+1,2)),2),"0000")))&amp;"|"&amp;"2"&amp;RIGHT("00000"&amp;468,5))</f>
        <v/>
      </c>
      <c r="Q473">
        <f>IF(Sync!$J473="","",IF(ISNUMBER(Sync!$J473),IF(AND(Sync!$J473&gt;=10000101,Sync!$J473&lt;=99991231),INT(Sync!$J473/10000)&amp;"/"&amp;RIGHT("00"&amp;INT(MOD(Sync!$J473,10000)/100),2)&amp;"/"&amp;RIGHT("00"&amp;MOD(Sync!$J473,100),2),"نامعتبر"),IF(LEN(Sync!$J473)=10,Sync!$J473,"نامعتبر")))</f>
        <v/>
      </c>
      <c r="R473">
        <f>IF($P473="","",COUNTIFS($N$6:$N$2005,$N473,$P$6:$P$2005,"&lt;"&amp;$P473)+COUNTIFS($A$6:$A$1005,$N473,$B$6:$B$1005,"&lt;"&amp;$P473)+1)</f>
        <v/>
      </c>
      <c r="S473">
        <f>IF($N473="","",$N473&amp;"|"&amp;RIGHT("000000"&amp;$R473,6))</f>
        <v/>
      </c>
      <c r="T473">
        <f>IF($N473="","",IF(Sync!$N473="",0,Sync!$N473))</f>
        <v/>
      </c>
      <c r="U473">
        <f>IF($N473="","",IF(Sync!$O473="",0,Sync!$O473))</f>
        <v/>
      </c>
      <c r="V473">
        <f>IF($N473="","",Sync!$L473)</f>
        <v/>
      </c>
      <c r="W473">
        <f>IF($N473="","",Sync!$P473)</f>
        <v/>
      </c>
      <c r="AA473">
        <f>IF($A473="","",IF(COUNTIF($A$6:$A473,$A473)=1,1,0))</f>
        <v/>
      </c>
      <c r="AB473">
        <f>SUM($AA$6:$AA473)</f>
        <v/>
      </c>
      <c r="AC473">
        <f>IFERROR(INDEX($A$6:$A$1005,MATCH(ROW()-5,$AB$6:$AB$1005,0)),"")</f>
        <v/>
      </c>
    </row>
    <row r="474">
      <c r="A474">
        <f>IF(OR(Entry!$B477="",Entry!$E477="",$E474="نامعتبر"),"",Entry!$E477)</f>
        <v/>
      </c>
      <c r="B474">
        <f>IF($A474="","",LEFT($E474,4)&amp;MID($E474,6,2)&amp;RIGHT($E474,2)&amp;$F474&amp;"|"&amp;"1"&amp;RIGHT("00000"&amp;469,5))</f>
        <v/>
      </c>
      <c r="C474">
        <f>IF($B474="","",COUNTIFS($A$6:$A$1005,$A474,$B$6:$B$1005,"&lt;"&amp;$B474)+COUNTIFS($N$6:$N$2005,$A474,$P$6:$P$2005,"&lt;"&amp;$B474)+1)</f>
        <v/>
      </c>
      <c r="D474">
        <f>IF($C474="","",$A474&amp;"|"&amp;RIGHT("000000"&amp;$C474,6))</f>
        <v/>
      </c>
      <c r="E474">
        <f>IF(Entry!$B477="","",IF(ISNUMBER(Entry!$B477),IF(AND(Entry!$B477&gt;=10000101,Entry!$B477&lt;=99991231),INT(Entry!$B477/10000)&amp;"/"&amp;RIGHT("00"&amp;INT(MOD(Entry!$B477,10000)/100),2)&amp;"/"&amp;RIGHT("00"&amp;MOD(Entry!$B477,100),2),"نامعتبر"),IF(LEN(Entry!$B477)=10,Entry!$B477,"نامعتبر")))</f>
        <v/>
      </c>
      <c r="F474">
        <f>IF(Entry!$B477="","",IF(Entry!$C477="","0000",IF(AND(ISNUMBER(Entry!$C477),Entry!$C477&gt;=0,Entry!$C477&lt;1),RIGHT("00"&amp;HOUR(Entry!$C477),2)&amp;RIGHT("00"&amp;MINUTE(Entry!$C477),2),IFERROR(RIGHT("00"&amp;VALUE(LEFT(Entry!$C477,FIND(":",Entry!$C477)-1)),2)&amp;RIGHT("00"&amp;VALUE(MID(Entry!$C477,FIND(":",Entry!$C477)+1,2)),2),"0000"))))</f>
        <v/>
      </c>
      <c r="G474">
        <f>IF($A474="","",Entry!$G477)</f>
        <v/>
      </c>
      <c r="H474">
        <f>IF($A474="","",IF(Entry!$H477="",0,Entry!$H477))</f>
        <v/>
      </c>
      <c r="I474">
        <f>IF($A474="","",IF(Entry!$I477="",0,Entry!$I477))</f>
        <v/>
      </c>
      <c r="J474">
        <f>IF($A474="","",ROUND($H474*$I474,0))</f>
        <v/>
      </c>
      <c r="K474">
        <f>IF($A474="","",Entry!$D477)</f>
        <v/>
      </c>
      <c r="L474">
        <f>IF($A474="","",Entry!$L477)</f>
        <v/>
      </c>
      <c r="N474">
        <f>IF(OR(Sync!$M474="",$Q474="",$Q474="نامعتبر"),"",Sync!$M474)</f>
        <v/>
      </c>
      <c r="O474">
        <f>IF($N474="","",$Q474)</f>
        <v/>
      </c>
      <c r="P474">
        <f>IF($N474="","",LEFT($Q474,4)&amp;MID($Q474,6,2)&amp;RIGHT($Q474,2)&amp;IF(Sync!$K474="","0000",IF(AND(ISNUMBER(Sync!$K474),Sync!$K474&gt;=0,Sync!$K474&lt;1),RIGHT("00"&amp;HOUR(Sync!$K474),2)&amp;RIGHT("00"&amp;MINUTE(Sync!$K474),2),IFERROR(RIGHT("00"&amp;VALUE(LEFT(Sync!$K474,FIND(":",Sync!$K474)-1)),2)&amp;RIGHT("00"&amp;VALUE(MID(Sync!$K474,FIND(":",Sync!$K474)+1,2)),2),"0000")))&amp;"|"&amp;"2"&amp;RIGHT("00000"&amp;469,5))</f>
        <v/>
      </c>
      <c r="Q474">
        <f>IF(Sync!$J474="","",IF(ISNUMBER(Sync!$J474),IF(AND(Sync!$J474&gt;=10000101,Sync!$J474&lt;=99991231),INT(Sync!$J474/10000)&amp;"/"&amp;RIGHT("00"&amp;INT(MOD(Sync!$J474,10000)/100),2)&amp;"/"&amp;RIGHT("00"&amp;MOD(Sync!$J474,100),2),"نامعتبر"),IF(LEN(Sync!$J474)=10,Sync!$J474,"نامعتبر")))</f>
        <v/>
      </c>
      <c r="R474">
        <f>IF($P474="","",COUNTIFS($N$6:$N$2005,$N474,$P$6:$P$2005,"&lt;"&amp;$P474)+COUNTIFS($A$6:$A$1005,$N474,$B$6:$B$1005,"&lt;"&amp;$P474)+1)</f>
        <v/>
      </c>
      <c r="S474">
        <f>IF($N474="","",$N474&amp;"|"&amp;RIGHT("000000"&amp;$R474,6))</f>
        <v/>
      </c>
      <c r="T474">
        <f>IF($N474="","",IF(Sync!$N474="",0,Sync!$N474))</f>
        <v/>
      </c>
      <c r="U474">
        <f>IF($N474="","",IF(Sync!$O474="",0,Sync!$O474))</f>
        <v/>
      </c>
      <c r="V474">
        <f>IF($N474="","",Sync!$L474)</f>
        <v/>
      </c>
      <c r="W474">
        <f>IF($N474="","",Sync!$P474)</f>
        <v/>
      </c>
      <c r="AA474">
        <f>IF($A474="","",IF(COUNTIF($A$6:$A474,$A474)=1,1,0))</f>
        <v/>
      </c>
      <c r="AB474">
        <f>SUM($AA$6:$AA474)</f>
        <v/>
      </c>
      <c r="AC474">
        <f>IFERROR(INDEX($A$6:$A$1005,MATCH(ROW()-5,$AB$6:$AB$1005,0)),"")</f>
        <v/>
      </c>
    </row>
    <row r="475">
      <c r="A475">
        <f>IF(OR(Entry!$B478="",Entry!$E478="",$E475="نامعتبر"),"",Entry!$E478)</f>
        <v/>
      </c>
      <c r="B475">
        <f>IF($A475="","",LEFT($E475,4)&amp;MID($E475,6,2)&amp;RIGHT($E475,2)&amp;$F475&amp;"|"&amp;"1"&amp;RIGHT("00000"&amp;470,5))</f>
        <v/>
      </c>
      <c r="C475">
        <f>IF($B475="","",COUNTIFS($A$6:$A$1005,$A475,$B$6:$B$1005,"&lt;"&amp;$B475)+COUNTIFS($N$6:$N$2005,$A475,$P$6:$P$2005,"&lt;"&amp;$B475)+1)</f>
        <v/>
      </c>
      <c r="D475">
        <f>IF($C475="","",$A475&amp;"|"&amp;RIGHT("000000"&amp;$C475,6))</f>
        <v/>
      </c>
      <c r="E475">
        <f>IF(Entry!$B478="","",IF(ISNUMBER(Entry!$B478),IF(AND(Entry!$B478&gt;=10000101,Entry!$B478&lt;=99991231),INT(Entry!$B478/10000)&amp;"/"&amp;RIGHT("00"&amp;INT(MOD(Entry!$B478,10000)/100),2)&amp;"/"&amp;RIGHT("00"&amp;MOD(Entry!$B478,100),2),"نامعتبر"),IF(LEN(Entry!$B478)=10,Entry!$B478,"نامعتبر")))</f>
        <v/>
      </c>
      <c r="F475">
        <f>IF(Entry!$B478="","",IF(Entry!$C478="","0000",IF(AND(ISNUMBER(Entry!$C478),Entry!$C478&gt;=0,Entry!$C478&lt;1),RIGHT("00"&amp;HOUR(Entry!$C478),2)&amp;RIGHT("00"&amp;MINUTE(Entry!$C478),2),IFERROR(RIGHT("00"&amp;VALUE(LEFT(Entry!$C478,FIND(":",Entry!$C478)-1)),2)&amp;RIGHT("00"&amp;VALUE(MID(Entry!$C478,FIND(":",Entry!$C478)+1,2)),2),"0000"))))</f>
        <v/>
      </c>
      <c r="G475">
        <f>IF($A475="","",Entry!$G478)</f>
        <v/>
      </c>
      <c r="H475">
        <f>IF($A475="","",IF(Entry!$H478="",0,Entry!$H478))</f>
        <v/>
      </c>
      <c r="I475">
        <f>IF($A475="","",IF(Entry!$I478="",0,Entry!$I478))</f>
        <v/>
      </c>
      <c r="J475">
        <f>IF($A475="","",ROUND($H475*$I475,0))</f>
        <v/>
      </c>
      <c r="K475">
        <f>IF($A475="","",Entry!$D478)</f>
        <v/>
      </c>
      <c r="L475">
        <f>IF($A475="","",Entry!$L478)</f>
        <v/>
      </c>
      <c r="N475">
        <f>IF(OR(Sync!$M475="",$Q475="",$Q475="نامعتبر"),"",Sync!$M475)</f>
        <v/>
      </c>
      <c r="O475">
        <f>IF($N475="","",$Q475)</f>
        <v/>
      </c>
      <c r="P475">
        <f>IF($N475="","",LEFT($Q475,4)&amp;MID($Q475,6,2)&amp;RIGHT($Q475,2)&amp;IF(Sync!$K475="","0000",IF(AND(ISNUMBER(Sync!$K475),Sync!$K475&gt;=0,Sync!$K475&lt;1),RIGHT("00"&amp;HOUR(Sync!$K475),2)&amp;RIGHT("00"&amp;MINUTE(Sync!$K475),2),IFERROR(RIGHT("00"&amp;VALUE(LEFT(Sync!$K475,FIND(":",Sync!$K475)-1)),2)&amp;RIGHT("00"&amp;VALUE(MID(Sync!$K475,FIND(":",Sync!$K475)+1,2)),2),"0000")))&amp;"|"&amp;"2"&amp;RIGHT("00000"&amp;470,5))</f>
        <v/>
      </c>
      <c r="Q475">
        <f>IF(Sync!$J475="","",IF(ISNUMBER(Sync!$J475),IF(AND(Sync!$J475&gt;=10000101,Sync!$J475&lt;=99991231),INT(Sync!$J475/10000)&amp;"/"&amp;RIGHT("00"&amp;INT(MOD(Sync!$J475,10000)/100),2)&amp;"/"&amp;RIGHT("00"&amp;MOD(Sync!$J475,100),2),"نامعتبر"),IF(LEN(Sync!$J475)=10,Sync!$J475,"نامعتبر")))</f>
        <v/>
      </c>
      <c r="R475">
        <f>IF($P475="","",COUNTIFS($N$6:$N$2005,$N475,$P$6:$P$2005,"&lt;"&amp;$P475)+COUNTIFS($A$6:$A$1005,$N475,$B$6:$B$1005,"&lt;"&amp;$P475)+1)</f>
        <v/>
      </c>
      <c r="S475">
        <f>IF($N475="","",$N475&amp;"|"&amp;RIGHT("000000"&amp;$R475,6))</f>
        <v/>
      </c>
      <c r="T475">
        <f>IF($N475="","",IF(Sync!$N475="",0,Sync!$N475))</f>
        <v/>
      </c>
      <c r="U475">
        <f>IF($N475="","",IF(Sync!$O475="",0,Sync!$O475))</f>
        <v/>
      </c>
      <c r="V475">
        <f>IF($N475="","",Sync!$L475)</f>
        <v/>
      </c>
      <c r="W475">
        <f>IF($N475="","",Sync!$P475)</f>
        <v/>
      </c>
      <c r="AA475">
        <f>IF($A475="","",IF(COUNTIF($A$6:$A475,$A475)=1,1,0))</f>
        <v/>
      </c>
      <c r="AB475">
        <f>SUM($AA$6:$AA475)</f>
        <v/>
      </c>
      <c r="AC475">
        <f>IFERROR(INDEX($A$6:$A$1005,MATCH(ROW()-5,$AB$6:$AB$1005,0)),"")</f>
        <v/>
      </c>
    </row>
    <row r="476">
      <c r="A476">
        <f>IF(OR(Entry!$B479="",Entry!$E479="",$E476="نامعتبر"),"",Entry!$E479)</f>
        <v/>
      </c>
      <c r="B476">
        <f>IF($A476="","",LEFT($E476,4)&amp;MID($E476,6,2)&amp;RIGHT($E476,2)&amp;$F476&amp;"|"&amp;"1"&amp;RIGHT("00000"&amp;471,5))</f>
        <v/>
      </c>
      <c r="C476">
        <f>IF($B476="","",COUNTIFS($A$6:$A$1005,$A476,$B$6:$B$1005,"&lt;"&amp;$B476)+COUNTIFS($N$6:$N$2005,$A476,$P$6:$P$2005,"&lt;"&amp;$B476)+1)</f>
        <v/>
      </c>
      <c r="D476">
        <f>IF($C476="","",$A476&amp;"|"&amp;RIGHT("000000"&amp;$C476,6))</f>
        <v/>
      </c>
      <c r="E476">
        <f>IF(Entry!$B479="","",IF(ISNUMBER(Entry!$B479),IF(AND(Entry!$B479&gt;=10000101,Entry!$B479&lt;=99991231),INT(Entry!$B479/10000)&amp;"/"&amp;RIGHT("00"&amp;INT(MOD(Entry!$B479,10000)/100),2)&amp;"/"&amp;RIGHT("00"&amp;MOD(Entry!$B479,100),2),"نامعتبر"),IF(LEN(Entry!$B479)=10,Entry!$B479,"نامعتبر")))</f>
        <v/>
      </c>
      <c r="F476">
        <f>IF(Entry!$B479="","",IF(Entry!$C479="","0000",IF(AND(ISNUMBER(Entry!$C479),Entry!$C479&gt;=0,Entry!$C479&lt;1),RIGHT("00"&amp;HOUR(Entry!$C479),2)&amp;RIGHT("00"&amp;MINUTE(Entry!$C479),2),IFERROR(RIGHT("00"&amp;VALUE(LEFT(Entry!$C479,FIND(":",Entry!$C479)-1)),2)&amp;RIGHT("00"&amp;VALUE(MID(Entry!$C479,FIND(":",Entry!$C479)+1,2)),2),"0000"))))</f>
        <v/>
      </c>
      <c r="G476">
        <f>IF($A476="","",Entry!$G479)</f>
        <v/>
      </c>
      <c r="H476">
        <f>IF($A476="","",IF(Entry!$H479="",0,Entry!$H479))</f>
        <v/>
      </c>
      <c r="I476">
        <f>IF($A476="","",IF(Entry!$I479="",0,Entry!$I479))</f>
        <v/>
      </c>
      <c r="J476">
        <f>IF($A476="","",ROUND($H476*$I476,0))</f>
        <v/>
      </c>
      <c r="K476">
        <f>IF($A476="","",Entry!$D479)</f>
        <v/>
      </c>
      <c r="L476">
        <f>IF($A476="","",Entry!$L479)</f>
        <v/>
      </c>
      <c r="N476">
        <f>IF(OR(Sync!$M476="",$Q476="",$Q476="نامعتبر"),"",Sync!$M476)</f>
        <v/>
      </c>
      <c r="O476">
        <f>IF($N476="","",$Q476)</f>
        <v/>
      </c>
      <c r="P476">
        <f>IF($N476="","",LEFT($Q476,4)&amp;MID($Q476,6,2)&amp;RIGHT($Q476,2)&amp;IF(Sync!$K476="","0000",IF(AND(ISNUMBER(Sync!$K476),Sync!$K476&gt;=0,Sync!$K476&lt;1),RIGHT("00"&amp;HOUR(Sync!$K476),2)&amp;RIGHT("00"&amp;MINUTE(Sync!$K476),2),IFERROR(RIGHT("00"&amp;VALUE(LEFT(Sync!$K476,FIND(":",Sync!$K476)-1)),2)&amp;RIGHT("00"&amp;VALUE(MID(Sync!$K476,FIND(":",Sync!$K476)+1,2)),2),"0000")))&amp;"|"&amp;"2"&amp;RIGHT("00000"&amp;471,5))</f>
        <v/>
      </c>
      <c r="Q476">
        <f>IF(Sync!$J476="","",IF(ISNUMBER(Sync!$J476),IF(AND(Sync!$J476&gt;=10000101,Sync!$J476&lt;=99991231),INT(Sync!$J476/10000)&amp;"/"&amp;RIGHT("00"&amp;INT(MOD(Sync!$J476,10000)/100),2)&amp;"/"&amp;RIGHT("00"&amp;MOD(Sync!$J476,100),2),"نامعتبر"),IF(LEN(Sync!$J476)=10,Sync!$J476,"نامعتبر")))</f>
        <v/>
      </c>
      <c r="R476">
        <f>IF($P476="","",COUNTIFS($N$6:$N$2005,$N476,$P$6:$P$2005,"&lt;"&amp;$P476)+COUNTIFS($A$6:$A$1005,$N476,$B$6:$B$1005,"&lt;"&amp;$P476)+1)</f>
        <v/>
      </c>
      <c r="S476">
        <f>IF($N476="","",$N476&amp;"|"&amp;RIGHT("000000"&amp;$R476,6))</f>
        <v/>
      </c>
      <c r="T476">
        <f>IF($N476="","",IF(Sync!$N476="",0,Sync!$N476))</f>
        <v/>
      </c>
      <c r="U476">
        <f>IF($N476="","",IF(Sync!$O476="",0,Sync!$O476))</f>
        <v/>
      </c>
      <c r="V476">
        <f>IF($N476="","",Sync!$L476)</f>
        <v/>
      </c>
      <c r="W476">
        <f>IF($N476="","",Sync!$P476)</f>
        <v/>
      </c>
      <c r="AA476">
        <f>IF($A476="","",IF(COUNTIF($A$6:$A476,$A476)=1,1,0))</f>
        <v/>
      </c>
      <c r="AB476">
        <f>SUM($AA$6:$AA476)</f>
        <v/>
      </c>
      <c r="AC476">
        <f>IFERROR(INDEX($A$6:$A$1005,MATCH(ROW()-5,$AB$6:$AB$1005,0)),"")</f>
        <v/>
      </c>
    </row>
    <row r="477">
      <c r="A477">
        <f>IF(OR(Entry!$B480="",Entry!$E480="",$E477="نامعتبر"),"",Entry!$E480)</f>
        <v/>
      </c>
      <c r="B477">
        <f>IF($A477="","",LEFT($E477,4)&amp;MID($E477,6,2)&amp;RIGHT($E477,2)&amp;$F477&amp;"|"&amp;"1"&amp;RIGHT("00000"&amp;472,5))</f>
        <v/>
      </c>
      <c r="C477">
        <f>IF($B477="","",COUNTIFS($A$6:$A$1005,$A477,$B$6:$B$1005,"&lt;"&amp;$B477)+COUNTIFS($N$6:$N$2005,$A477,$P$6:$P$2005,"&lt;"&amp;$B477)+1)</f>
        <v/>
      </c>
      <c r="D477">
        <f>IF($C477="","",$A477&amp;"|"&amp;RIGHT("000000"&amp;$C477,6))</f>
        <v/>
      </c>
      <c r="E477">
        <f>IF(Entry!$B480="","",IF(ISNUMBER(Entry!$B480),IF(AND(Entry!$B480&gt;=10000101,Entry!$B480&lt;=99991231),INT(Entry!$B480/10000)&amp;"/"&amp;RIGHT("00"&amp;INT(MOD(Entry!$B480,10000)/100),2)&amp;"/"&amp;RIGHT("00"&amp;MOD(Entry!$B480,100),2),"نامعتبر"),IF(LEN(Entry!$B480)=10,Entry!$B480,"نامعتبر")))</f>
        <v/>
      </c>
      <c r="F477">
        <f>IF(Entry!$B480="","",IF(Entry!$C480="","0000",IF(AND(ISNUMBER(Entry!$C480),Entry!$C480&gt;=0,Entry!$C480&lt;1),RIGHT("00"&amp;HOUR(Entry!$C480),2)&amp;RIGHT("00"&amp;MINUTE(Entry!$C480),2),IFERROR(RIGHT("00"&amp;VALUE(LEFT(Entry!$C480,FIND(":",Entry!$C480)-1)),2)&amp;RIGHT("00"&amp;VALUE(MID(Entry!$C480,FIND(":",Entry!$C480)+1,2)),2),"0000"))))</f>
        <v/>
      </c>
      <c r="G477">
        <f>IF($A477="","",Entry!$G480)</f>
        <v/>
      </c>
      <c r="H477">
        <f>IF($A477="","",IF(Entry!$H480="",0,Entry!$H480))</f>
        <v/>
      </c>
      <c r="I477">
        <f>IF($A477="","",IF(Entry!$I480="",0,Entry!$I480))</f>
        <v/>
      </c>
      <c r="J477">
        <f>IF($A477="","",ROUND($H477*$I477,0))</f>
        <v/>
      </c>
      <c r="K477">
        <f>IF($A477="","",Entry!$D480)</f>
        <v/>
      </c>
      <c r="L477">
        <f>IF($A477="","",Entry!$L480)</f>
        <v/>
      </c>
      <c r="N477">
        <f>IF(OR(Sync!$M477="",$Q477="",$Q477="نامعتبر"),"",Sync!$M477)</f>
        <v/>
      </c>
      <c r="O477">
        <f>IF($N477="","",$Q477)</f>
        <v/>
      </c>
      <c r="P477">
        <f>IF($N477="","",LEFT($Q477,4)&amp;MID($Q477,6,2)&amp;RIGHT($Q477,2)&amp;IF(Sync!$K477="","0000",IF(AND(ISNUMBER(Sync!$K477),Sync!$K477&gt;=0,Sync!$K477&lt;1),RIGHT("00"&amp;HOUR(Sync!$K477),2)&amp;RIGHT("00"&amp;MINUTE(Sync!$K477),2),IFERROR(RIGHT("00"&amp;VALUE(LEFT(Sync!$K477,FIND(":",Sync!$K477)-1)),2)&amp;RIGHT("00"&amp;VALUE(MID(Sync!$K477,FIND(":",Sync!$K477)+1,2)),2),"0000")))&amp;"|"&amp;"2"&amp;RIGHT("00000"&amp;472,5))</f>
        <v/>
      </c>
      <c r="Q477">
        <f>IF(Sync!$J477="","",IF(ISNUMBER(Sync!$J477),IF(AND(Sync!$J477&gt;=10000101,Sync!$J477&lt;=99991231),INT(Sync!$J477/10000)&amp;"/"&amp;RIGHT("00"&amp;INT(MOD(Sync!$J477,10000)/100),2)&amp;"/"&amp;RIGHT("00"&amp;MOD(Sync!$J477,100),2),"نامعتبر"),IF(LEN(Sync!$J477)=10,Sync!$J477,"نامعتبر")))</f>
        <v/>
      </c>
      <c r="R477">
        <f>IF($P477="","",COUNTIFS($N$6:$N$2005,$N477,$P$6:$P$2005,"&lt;"&amp;$P477)+COUNTIFS($A$6:$A$1005,$N477,$B$6:$B$1005,"&lt;"&amp;$P477)+1)</f>
        <v/>
      </c>
      <c r="S477">
        <f>IF($N477="","",$N477&amp;"|"&amp;RIGHT("000000"&amp;$R477,6))</f>
        <v/>
      </c>
      <c r="T477">
        <f>IF($N477="","",IF(Sync!$N477="",0,Sync!$N477))</f>
        <v/>
      </c>
      <c r="U477">
        <f>IF($N477="","",IF(Sync!$O477="",0,Sync!$O477))</f>
        <v/>
      </c>
      <c r="V477">
        <f>IF($N477="","",Sync!$L477)</f>
        <v/>
      </c>
      <c r="W477">
        <f>IF($N477="","",Sync!$P477)</f>
        <v/>
      </c>
      <c r="AA477">
        <f>IF($A477="","",IF(COUNTIF($A$6:$A477,$A477)=1,1,0))</f>
        <v/>
      </c>
      <c r="AB477">
        <f>SUM($AA$6:$AA477)</f>
        <v/>
      </c>
      <c r="AC477">
        <f>IFERROR(INDEX($A$6:$A$1005,MATCH(ROW()-5,$AB$6:$AB$1005,0)),"")</f>
        <v/>
      </c>
    </row>
    <row r="478">
      <c r="A478">
        <f>IF(OR(Entry!$B481="",Entry!$E481="",$E478="نامعتبر"),"",Entry!$E481)</f>
        <v/>
      </c>
      <c r="B478">
        <f>IF($A478="","",LEFT($E478,4)&amp;MID($E478,6,2)&amp;RIGHT($E478,2)&amp;$F478&amp;"|"&amp;"1"&amp;RIGHT("00000"&amp;473,5))</f>
        <v/>
      </c>
      <c r="C478">
        <f>IF($B478="","",COUNTIFS($A$6:$A$1005,$A478,$B$6:$B$1005,"&lt;"&amp;$B478)+COUNTIFS($N$6:$N$2005,$A478,$P$6:$P$2005,"&lt;"&amp;$B478)+1)</f>
        <v/>
      </c>
      <c r="D478">
        <f>IF($C478="","",$A478&amp;"|"&amp;RIGHT("000000"&amp;$C478,6))</f>
        <v/>
      </c>
      <c r="E478">
        <f>IF(Entry!$B481="","",IF(ISNUMBER(Entry!$B481),IF(AND(Entry!$B481&gt;=10000101,Entry!$B481&lt;=99991231),INT(Entry!$B481/10000)&amp;"/"&amp;RIGHT("00"&amp;INT(MOD(Entry!$B481,10000)/100),2)&amp;"/"&amp;RIGHT("00"&amp;MOD(Entry!$B481,100),2),"نامعتبر"),IF(LEN(Entry!$B481)=10,Entry!$B481,"نامعتبر")))</f>
        <v/>
      </c>
      <c r="F478">
        <f>IF(Entry!$B481="","",IF(Entry!$C481="","0000",IF(AND(ISNUMBER(Entry!$C481),Entry!$C481&gt;=0,Entry!$C481&lt;1),RIGHT("00"&amp;HOUR(Entry!$C481),2)&amp;RIGHT("00"&amp;MINUTE(Entry!$C481),2),IFERROR(RIGHT("00"&amp;VALUE(LEFT(Entry!$C481,FIND(":",Entry!$C481)-1)),2)&amp;RIGHT("00"&amp;VALUE(MID(Entry!$C481,FIND(":",Entry!$C481)+1,2)),2),"0000"))))</f>
        <v/>
      </c>
      <c r="G478">
        <f>IF($A478="","",Entry!$G481)</f>
        <v/>
      </c>
      <c r="H478">
        <f>IF($A478="","",IF(Entry!$H481="",0,Entry!$H481))</f>
        <v/>
      </c>
      <c r="I478">
        <f>IF($A478="","",IF(Entry!$I481="",0,Entry!$I481))</f>
        <v/>
      </c>
      <c r="J478">
        <f>IF($A478="","",ROUND($H478*$I478,0))</f>
        <v/>
      </c>
      <c r="K478">
        <f>IF($A478="","",Entry!$D481)</f>
        <v/>
      </c>
      <c r="L478">
        <f>IF($A478="","",Entry!$L481)</f>
        <v/>
      </c>
      <c r="N478">
        <f>IF(OR(Sync!$M478="",$Q478="",$Q478="نامعتبر"),"",Sync!$M478)</f>
        <v/>
      </c>
      <c r="O478">
        <f>IF($N478="","",$Q478)</f>
        <v/>
      </c>
      <c r="P478">
        <f>IF($N478="","",LEFT($Q478,4)&amp;MID($Q478,6,2)&amp;RIGHT($Q478,2)&amp;IF(Sync!$K478="","0000",IF(AND(ISNUMBER(Sync!$K478),Sync!$K478&gt;=0,Sync!$K478&lt;1),RIGHT("00"&amp;HOUR(Sync!$K478),2)&amp;RIGHT("00"&amp;MINUTE(Sync!$K478),2),IFERROR(RIGHT("00"&amp;VALUE(LEFT(Sync!$K478,FIND(":",Sync!$K478)-1)),2)&amp;RIGHT("00"&amp;VALUE(MID(Sync!$K478,FIND(":",Sync!$K478)+1,2)),2),"0000")))&amp;"|"&amp;"2"&amp;RIGHT("00000"&amp;473,5))</f>
        <v/>
      </c>
      <c r="Q478">
        <f>IF(Sync!$J478="","",IF(ISNUMBER(Sync!$J478),IF(AND(Sync!$J478&gt;=10000101,Sync!$J478&lt;=99991231),INT(Sync!$J478/10000)&amp;"/"&amp;RIGHT("00"&amp;INT(MOD(Sync!$J478,10000)/100),2)&amp;"/"&amp;RIGHT("00"&amp;MOD(Sync!$J478,100),2),"نامعتبر"),IF(LEN(Sync!$J478)=10,Sync!$J478,"نامعتبر")))</f>
        <v/>
      </c>
      <c r="R478">
        <f>IF($P478="","",COUNTIFS($N$6:$N$2005,$N478,$P$6:$P$2005,"&lt;"&amp;$P478)+COUNTIFS($A$6:$A$1005,$N478,$B$6:$B$1005,"&lt;"&amp;$P478)+1)</f>
        <v/>
      </c>
      <c r="S478">
        <f>IF($N478="","",$N478&amp;"|"&amp;RIGHT("000000"&amp;$R478,6))</f>
        <v/>
      </c>
      <c r="T478">
        <f>IF($N478="","",IF(Sync!$N478="",0,Sync!$N478))</f>
        <v/>
      </c>
      <c r="U478">
        <f>IF($N478="","",IF(Sync!$O478="",0,Sync!$O478))</f>
        <v/>
      </c>
      <c r="V478">
        <f>IF($N478="","",Sync!$L478)</f>
        <v/>
      </c>
      <c r="W478">
        <f>IF($N478="","",Sync!$P478)</f>
        <v/>
      </c>
      <c r="AA478">
        <f>IF($A478="","",IF(COUNTIF($A$6:$A478,$A478)=1,1,0))</f>
        <v/>
      </c>
      <c r="AB478">
        <f>SUM($AA$6:$AA478)</f>
        <v/>
      </c>
      <c r="AC478">
        <f>IFERROR(INDEX($A$6:$A$1005,MATCH(ROW()-5,$AB$6:$AB$1005,0)),"")</f>
        <v/>
      </c>
    </row>
    <row r="479">
      <c r="A479">
        <f>IF(OR(Entry!$B482="",Entry!$E482="",$E479="نامعتبر"),"",Entry!$E482)</f>
        <v/>
      </c>
      <c r="B479">
        <f>IF($A479="","",LEFT($E479,4)&amp;MID($E479,6,2)&amp;RIGHT($E479,2)&amp;$F479&amp;"|"&amp;"1"&amp;RIGHT("00000"&amp;474,5))</f>
        <v/>
      </c>
      <c r="C479">
        <f>IF($B479="","",COUNTIFS($A$6:$A$1005,$A479,$B$6:$B$1005,"&lt;"&amp;$B479)+COUNTIFS($N$6:$N$2005,$A479,$P$6:$P$2005,"&lt;"&amp;$B479)+1)</f>
        <v/>
      </c>
      <c r="D479">
        <f>IF($C479="","",$A479&amp;"|"&amp;RIGHT("000000"&amp;$C479,6))</f>
        <v/>
      </c>
      <c r="E479">
        <f>IF(Entry!$B482="","",IF(ISNUMBER(Entry!$B482),IF(AND(Entry!$B482&gt;=10000101,Entry!$B482&lt;=99991231),INT(Entry!$B482/10000)&amp;"/"&amp;RIGHT("00"&amp;INT(MOD(Entry!$B482,10000)/100),2)&amp;"/"&amp;RIGHT("00"&amp;MOD(Entry!$B482,100),2),"نامعتبر"),IF(LEN(Entry!$B482)=10,Entry!$B482,"نامعتبر")))</f>
        <v/>
      </c>
      <c r="F479">
        <f>IF(Entry!$B482="","",IF(Entry!$C482="","0000",IF(AND(ISNUMBER(Entry!$C482),Entry!$C482&gt;=0,Entry!$C482&lt;1),RIGHT("00"&amp;HOUR(Entry!$C482),2)&amp;RIGHT("00"&amp;MINUTE(Entry!$C482),2),IFERROR(RIGHT("00"&amp;VALUE(LEFT(Entry!$C482,FIND(":",Entry!$C482)-1)),2)&amp;RIGHT("00"&amp;VALUE(MID(Entry!$C482,FIND(":",Entry!$C482)+1,2)),2),"0000"))))</f>
        <v/>
      </c>
      <c r="G479">
        <f>IF($A479="","",Entry!$G482)</f>
        <v/>
      </c>
      <c r="H479">
        <f>IF($A479="","",IF(Entry!$H482="",0,Entry!$H482))</f>
        <v/>
      </c>
      <c r="I479">
        <f>IF($A479="","",IF(Entry!$I482="",0,Entry!$I482))</f>
        <v/>
      </c>
      <c r="J479">
        <f>IF($A479="","",ROUND($H479*$I479,0))</f>
        <v/>
      </c>
      <c r="K479">
        <f>IF($A479="","",Entry!$D482)</f>
        <v/>
      </c>
      <c r="L479">
        <f>IF($A479="","",Entry!$L482)</f>
        <v/>
      </c>
      <c r="N479">
        <f>IF(OR(Sync!$M479="",$Q479="",$Q479="نامعتبر"),"",Sync!$M479)</f>
        <v/>
      </c>
      <c r="O479">
        <f>IF($N479="","",$Q479)</f>
        <v/>
      </c>
      <c r="P479">
        <f>IF($N479="","",LEFT($Q479,4)&amp;MID($Q479,6,2)&amp;RIGHT($Q479,2)&amp;IF(Sync!$K479="","0000",IF(AND(ISNUMBER(Sync!$K479),Sync!$K479&gt;=0,Sync!$K479&lt;1),RIGHT("00"&amp;HOUR(Sync!$K479),2)&amp;RIGHT("00"&amp;MINUTE(Sync!$K479),2),IFERROR(RIGHT("00"&amp;VALUE(LEFT(Sync!$K479,FIND(":",Sync!$K479)-1)),2)&amp;RIGHT("00"&amp;VALUE(MID(Sync!$K479,FIND(":",Sync!$K479)+1,2)),2),"0000")))&amp;"|"&amp;"2"&amp;RIGHT("00000"&amp;474,5))</f>
        <v/>
      </c>
      <c r="Q479">
        <f>IF(Sync!$J479="","",IF(ISNUMBER(Sync!$J479),IF(AND(Sync!$J479&gt;=10000101,Sync!$J479&lt;=99991231),INT(Sync!$J479/10000)&amp;"/"&amp;RIGHT("00"&amp;INT(MOD(Sync!$J479,10000)/100),2)&amp;"/"&amp;RIGHT("00"&amp;MOD(Sync!$J479,100),2),"نامعتبر"),IF(LEN(Sync!$J479)=10,Sync!$J479,"نامعتبر")))</f>
        <v/>
      </c>
      <c r="R479">
        <f>IF($P479="","",COUNTIFS($N$6:$N$2005,$N479,$P$6:$P$2005,"&lt;"&amp;$P479)+COUNTIFS($A$6:$A$1005,$N479,$B$6:$B$1005,"&lt;"&amp;$P479)+1)</f>
        <v/>
      </c>
      <c r="S479">
        <f>IF($N479="","",$N479&amp;"|"&amp;RIGHT("000000"&amp;$R479,6))</f>
        <v/>
      </c>
      <c r="T479">
        <f>IF($N479="","",IF(Sync!$N479="",0,Sync!$N479))</f>
        <v/>
      </c>
      <c r="U479">
        <f>IF($N479="","",IF(Sync!$O479="",0,Sync!$O479))</f>
        <v/>
      </c>
      <c r="V479">
        <f>IF($N479="","",Sync!$L479)</f>
        <v/>
      </c>
      <c r="W479">
        <f>IF($N479="","",Sync!$P479)</f>
        <v/>
      </c>
      <c r="AA479">
        <f>IF($A479="","",IF(COUNTIF($A$6:$A479,$A479)=1,1,0))</f>
        <v/>
      </c>
      <c r="AB479">
        <f>SUM($AA$6:$AA479)</f>
        <v/>
      </c>
      <c r="AC479">
        <f>IFERROR(INDEX($A$6:$A$1005,MATCH(ROW()-5,$AB$6:$AB$1005,0)),"")</f>
        <v/>
      </c>
    </row>
    <row r="480">
      <c r="A480">
        <f>IF(OR(Entry!$B483="",Entry!$E483="",$E480="نامعتبر"),"",Entry!$E483)</f>
        <v/>
      </c>
      <c r="B480">
        <f>IF($A480="","",LEFT($E480,4)&amp;MID($E480,6,2)&amp;RIGHT($E480,2)&amp;$F480&amp;"|"&amp;"1"&amp;RIGHT("00000"&amp;475,5))</f>
        <v/>
      </c>
      <c r="C480">
        <f>IF($B480="","",COUNTIFS($A$6:$A$1005,$A480,$B$6:$B$1005,"&lt;"&amp;$B480)+COUNTIFS($N$6:$N$2005,$A480,$P$6:$P$2005,"&lt;"&amp;$B480)+1)</f>
        <v/>
      </c>
      <c r="D480">
        <f>IF($C480="","",$A480&amp;"|"&amp;RIGHT("000000"&amp;$C480,6))</f>
        <v/>
      </c>
      <c r="E480">
        <f>IF(Entry!$B483="","",IF(ISNUMBER(Entry!$B483),IF(AND(Entry!$B483&gt;=10000101,Entry!$B483&lt;=99991231),INT(Entry!$B483/10000)&amp;"/"&amp;RIGHT("00"&amp;INT(MOD(Entry!$B483,10000)/100),2)&amp;"/"&amp;RIGHT("00"&amp;MOD(Entry!$B483,100),2),"نامعتبر"),IF(LEN(Entry!$B483)=10,Entry!$B483,"نامعتبر")))</f>
        <v/>
      </c>
      <c r="F480">
        <f>IF(Entry!$B483="","",IF(Entry!$C483="","0000",IF(AND(ISNUMBER(Entry!$C483),Entry!$C483&gt;=0,Entry!$C483&lt;1),RIGHT("00"&amp;HOUR(Entry!$C483),2)&amp;RIGHT("00"&amp;MINUTE(Entry!$C483),2),IFERROR(RIGHT("00"&amp;VALUE(LEFT(Entry!$C483,FIND(":",Entry!$C483)-1)),2)&amp;RIGHT("00"&amp;VALUE(MID(Entry!$C483,FIND(":",Entry!$C483)+1,2)),2),"0000"))))</f>
        <v/>
      </c>
      <c r="G480">
        <f>IF($A480="","",Entry!$G483)</f>
        <v/>
      </c>
      <c r="H480">
        <f>IF($A480="","",IF(Entry!$H483="",0,Entry!$H483))</f>
        <v/>
      </c>
      <c r="I480">
        <f>IF($A480="","",IF(Entry!$I483="",0,Entry!$I483))</f>
        <v/>
      </c>
      <c r="J480">
        <f>IF($A480="","",ROUND($H480*$I480,0))</f>
        <v/>
      </c>
      <c r="K480">
        <f>IF($A480="","",Entry!$D483)</f>
        <v/>
      </c>
      <c r="L480">
        <f>IF($A480="","",Entry!$L483)</f>
        <v/>
      </c>
      <c r="N480">
        <f>IF(OR(Sync!$M480="",$Q480="",$Q480="نامعتبر"),"",Sync!$M480)</f>
        <v/>
      </c>
      <c r="O480">
        <f>IF($N480="","",$Q480)</f>
        <v/>
      </c>
      <c r="P480">
        <f>IF($N480="","",LEFT($Q480,4)&amp;MID($Q480,6,2)&amp;RIGHT($Q480,2)&amp;IF(Sync!$K480="","0000",IF(AND(ISNUMBER(Sync!$K480),Sync!$K480&gt;=0,Sync!$K480&lt;1),RIGHT("00"&amp;HOUR(Sync!$K480),2)&amp;RIGHT("00"&amp;MINUTE(Sync!$K480),2),IFERROR(RIGHT("00"&amp;VALUE(LEFT(Sync!$K480,FIND(":",Sync!$K480)-1)),2)&amp;RIGHT("00"&amp;VALUE(MID(Sync!$K480,FIND(":",Sync!$K480)+1,2)),2),"0000")))&amp;"|"&amp;"2"&amp;RIGHT("00000"&amp;475,5))</f>
        <v/>
      </c>
      <c r="Q480">
        <f>IF(Sync!$J480="","",IF(ISNUMBER(Sync!$J480),IF(AND(Sync!$J480&gt;=10000101,Sync!$J480&lt;=99991231),INT(Sync!$J480/10000)&amp;"/"&amp;RIGHT("00"&amp;INT(MOD(Sync!$J480,10000)/100),2)&amp;"/"&amp;RIGHT("00"&amp;MOD(Sync!$J480,100),2),"نامعتبر"),IF(LEN(Sync!$J480)=10,Sync!$J480,"نامعتبر")))</f>
        <v/>
      </c>
      <c r="R480">
        <f>IF($P480="","",COUNTIFS($N$6:$N$2005,$N480,$P$6:$P$2005,"&lt;"&amp;$P480)+COUNTIFS($A$6:$A$1005,$N480,$B$6:$B$1005,"&lt;"&amp;$P480)+1)</f>
        <v/>
      </c>
      <c r="S480">
        <f>IF($N480="","",$N480&amp;"|"&amp;RIGHT("000000"&amp;$R480,6))</f>
        <v/>
      </c>
      <c r="T480">
        <f>IF($N480="","",IF(Sync!$N480="",0,Sync!$N480))</f>
        <v/>
      </c>
      <c r="U480">
        <f>IF($N480="","",IF(Sync!$O480="",0,Sync!$O480))</f>
        <v/>
      </c>
      <c r="V480">
        <f>IF($N480="","",Sync!$L480)</f>
        <v/>
      </c>
      <c r="W480">
        <f>IF($N480="","",Sync!$P480)</f>
        <v/>
      </c>
      <c r="AA480">
        <f>IF($A480="","",IF(COUNTIF($A$6:$A480,$A480)=1,1,0))</f>
        <v/>
      </c>
      <c r="AB480">
        <f>SUM($AA$6:$AA480)</f>
        <v/>
      </c>
      <c r="AC480">
        <f>IFERROR(INDEX($A$6:$A$1005,MATCH(ROW()-5,$AB$6:$AB$1005,0)),"")</f>
        <v/>
      </c>
    </row>
    <row r="481">
      <c r="A481">
        <f>IF(OR(Entry!$B484="",Entry!$E484="",$E481="نامعتبر"),"",Entry!$E484)</f>
        <v/>
      </c>
      <c r="B481">
        <f>IF($A481="","",LEFT($E481,4)&amp;MID($E481,6,2)&amp;RIGHT($E481,2)&amp;$F481&amp;"|"&amp;"1"&amp;RIGHT("00000"&amp;476,5))</f>
        <v/>
      </c>
      <c r="C481">
        <f>IF($B481="","",COUNTIFS($A$6:$A$1005,$A481,$B$6:$B$1005,"&lt;"&amp;$B481)+COUNTIFS($N$6:$N$2005,$A481,$P$6:$P$2005,"&lt;"&amp;$B481)+1)</f>
        <v/>
      </c>
      <c r="D481">
        <f>IF($C481="","",$A481&amp;"|"&amp;RIGHT("000000"&amp;$C481,6))</f>
        <v/>
      </c>
      <c r="E481">
        <f>IF(Entry!$B484="","",IF(ISNUMBER(Entry!$B484),IF(AND(Entry!$B484&gt;=10000101,Entry!$B484&lt;=99991231),INT(Entry!$B484/10000)&amp;"/"&amp;RIGHT("00"&amp;INT(MOD(Entry!$B484,10000)/100),2)&amp;"/"&amp;RIGHT("00"&amp;MOD(Entry!$B484,100),2),"نامعتبر"),IF(LEN(Entry!$B484)=10,Entry!$B484,"نامعتبر")))</f>
        <v/>
      </c>
      <c r="F481">
        <f>IF(Entry!$B484="","",IF(Entry!$C484="","0000",IF(AND(ISNUMBER(Entry!$C484),Entry!$C484&gt;=0,Entry!$C484&lt;1),RIGHT("00"&amp;HOUR(Entry!$C484),2)&amp;RIGHT("00"&amp;MINUTE(Entry!$C484),2),IFERROR(RIGHT("00"&amp;VALUE(LEFT(Entry!$C484,FIND(":",Entry!$C484)-1)),2)&amp;RIGHT("00"&amp;VALUE(MID(Entry!$C484,FIND(":",Entry!$C484)+1,2)),2),"0000"))))</f>
        <v/>
      </c>
      <c r="G481">
        <f>IF($A481="","",Entry!$G484)</f>
        <v/>
      </c>
      <c r="H481">
        <f>IF($A481="","",IF(Entry!$H484="",0,Entry!$H484))</f>
        <v/>
      </c>
      <c r="I481">
        <f>IF($A481="","",IF(Entry!$I484="",0,Entry!$I484))</f>
        <v/>
      </c>
      <c r="J481">
        <f>IF($A481="","",ROUND($H481*$I481,0))</f>
        <v/>
      </c>
      <c r="K481">
        <f>IF($A481="","",Entry!$D484)</f>
        <v/>
      </c>
      <c r="L481">
        <f>IF($A481="","",Entry!$L484)</f>
        <v/>
      </c>
      <c r="N481">
        <f>IF(OR(Sync!$M481="",$Q481="",$Q481="نامعتبر"),"",Sync!$M481)</f>
        <v/>
      </c>
      <c r="O481">
        <f>IF($N481="","",$Q481)</f>
        <v/>
      </c>
      <c r="P481">
        <f>IF($N481="","",LEFT($Q481,4)&amp;MID($Q481,6,2)&amp;RIGHT($Q481,2)&amp;IF(Sync!$K481="","0000",IF(AND(ISNUMBER(Sync!$K481),Sync!$K481&gt;=0,Sync!$K481&lt;1),RIGHT("00"&amp;HOUR(Sync!$K481),2)&amp;RIGHT("00"&amp;MINUTE(Sync!$K481),2),IFERROR(RIGHT("00"&amp;VALUE(LEFT(Sync!$K481,FIND(":",Sync!$K481)-1)),2)&amp;RIGHT("00"&amp;VALUE(MID(Sync!$K481,FIND(":",Sync!$K481)+1,2)),2),"0000")))&amp;"|"&amp;"2"&amp;RIGHT("00000"&amp;476,5))</f>
        <v/>
      </c>
      <c r="Q481">
        <f>IF(Sync!$J481="","",IF(ISNUMBER(Sync!$J481),IF(AND(Sync!$J481&gt;=10000101,Sync!$J481&lt;=99991231),INT(Sync!$J481/10000)&amp;"/"&amp;RIGHT("00"&amp;INT(MOD(Sync!$J481,10000)/100),2)&amp;"/"&amp;RIGHT("00"&amp;MOD(Sync!$J481,100),2),"نامعتبر"),IF(LEN(Sync!$J481)=10,Sync!$J481,"نامعتبر")))</f>
        <v/>
      </c>
      <c r="R481">
        <f>IF($P481="","",COUNTIFS($N$6:$N$2005,$N481,$P$6:$P$2005,"&lt;"&amp;$P481)+COUNTIFS($A$6:$A$1005,$N481,$B$6:$B$1005,"&lt;"&amp;$P481)+1)</f>
        <v/>
      </c>
      <c r="S481">
        <f>IF($N481="","",$N481&amp;"|"&amp;RIGHT("000000"&amp;$R481,6))</f>
        <v/>
      </c>
      <c r="T481">
        <f>IF($N481="","",IF(Sync!$N481="",0,Sync!$N481))</f>
        <v/>
      </c>
      <c r="U481">
        <f>IF($N481="","",IF(Sync!$O481="",0,Sync!$O481))</f>
        <v/>
      </c>
      <c r="V481">
        <f>IF($N481="","",Sync!$L481)</f>
        <v/>
      </c>
      <c r="W481">
        <f>IF($N481="","",Sync!$P481)</f>
        <v/>
      </c>
      <c r="AA481">
        <f>IF($A481="","",IF(COUNTIF($A$6:$A481,$A481)=1,1,0))</f>
        <v/>
      </c>
      <c r="AB481">
        <f>SUM($AA$6:$AA481)</f>
        <v/>
      </c>
      <c r="AC481">
        <f>IFERROR(INDEX($A$6:$A$1005,MATCH(ROW()-5,$AB$6:$AB$1005,0)),"")</f>
        <v/>
      </c>
    </row>
    <row r="482">
      <c r="A482">
        <f>IF(OR(Entry!$B485="",Entry!$E485="",$E482="نامعتبر"),"",Entry!$E485)</f>
        <v/>
      </c>
      <c r="B482">
        <f>IF($A482="","",LEFT($E482,4)&amp;MID($E482,6,2)&amp;RIGHT($E482,2)&amp;$F482&amp;"|"&amp;"1"&amp;RIGHT("00000"&amp;477,5))</f>
        <v/>
      </c>
      <c r="C482">
        <f>IF($B482="","",COUNTIFS($A$6:$A$1005,$A482,$B$6:$B$1005,"&lt;"&amp;$B482)+COUNTIFS($N$6:$N$2005,$A482,$P$6:$P$2005,"&lt;"&amp;$B482)+1)</f>
        <v/>
      </c>
      <c r="D482">
        <f>IF($C482="","",$A482&amp;"|"&amp;RIGHT("000000"&amp;$C482,6))</f>
        <v/>
      </c>
      <c r="E482">
        <f>IF(Entry!$B485="","",IF(ISNUMBER(Entry!$B485),IF(AND(Entry!$B485&gt;=10000101,Entry!$B485&lt;=99991231),INT(Entry!$B485/10000)&amp;"/"&amp;RIGHT("00"&amp;INT(MOD(Entry!$B485,10000)/100),2)&amp;"/"&amp;RIGHT("00"&amp;MOD(Entry!$B485,100),2),"نامعتبر"),IF(LEN(Entry!$B485)=10,Entry!$B485,"نامعتبر")))</f>
        <v/>
      </c>
      <c r="F482">
        <f>IF(Entry!$B485="","",IF(Entry!$C485="","0000",IF(AND(ISNUMBER(Entry!$C485),Entry!$C485&gt;=0,Entry!$C485&lt;1),RIGHT("00"&amp;HOUR(Entry!$C485),2)&amp;RIGHT("00"&amp;MINUTE(Entry!$C485),2),IFERROR(RIGHT("00"&amp;VALUE(LEFT(Entry!$C485,FIND(":",Entry!$C485)-1)),2)&amp;RIGHT("00"&amp;VALUE(MID(Entry!$C485,FIND(":",Entry!$C485)+1,2)),2),"0000"))))</f>
        <v/>
      </c>
      <c r="G482">
        <f>IF($A482="","",Entry!$G485)</f>
        <v/>
      </c>
      <c r="H482">
        <f>IF($A482="","",IF(Entry!$H485="",0,Entry!$H485))</f>
        <v/>
      </c>
      <c r="I482">
        <f>IF($A482="","",IF(Entry!$I485="",0,Entry!$I485))</f>
        <v/>
      </c>
      <c r="J482">
        <f>IF($A482="","",ROUND($H482*$I482,0))</f>
        <v/>
      </c>
      <c r="K482">
        <f>IF($A482="","",Entry!$D485)</f>
        <v/>
      </c>
      <c r="L482">
        <f>IF($A482="","",Entry!$L485)</f>
        <v/>
      </c>
      <c r="N482">
        <f>IF(OR(Sync!$M482="",$Q482="",$Q482="نامعتبر"),"",Sync!$M482)</f>
        <v/>
      </c>
      <c r="O482">
        <f>IF($N482="","",$Q482)</f>
        <v/>
      </c>
      <c r="P482">
        <f>IF($N482="","",LEFT($Q482,4)&amp;MID($Q482,6,2)&amp;RIGHT($Q482,2)&amp;IF(Sync!$K482="","0000",IF(AND(ISNUMBER(Sync!$K482),Sync!$K482&gt;=0,Sync!$K482&lt;1),RIGHT("00"&amp;HOUR(Sync!$K482),2)&amp;RIGHT("00"&amp;MINUTE(Sync!$K482),2),IFERROR(RIGHT("00"&amp;VALUE(LEFT(Sync!$K482,FIND(":",Sync!$K482)-1)),2)&amp;RIGHT("00"&amp;VALUE(MID(Sync!$K482,FIND(":",Sync!$K482)+1,2)),2),"0000")))&amp;"|"&amp;"2"&amp;RIGHT("00000"&amp;477,5))</f>
        <v/>
      </c>
      <c r="Q482">
        <f>IF(Sync!$J482="","",IF(ISNUMBER(Sync!$J482),IF(AND(Sync!$J482&gt;=10000101,Sync!$J482&lt;=99991231),INT(Sync!$J482/10000)&amp;"/"&amp;RIGHT("00"&amp;INT(MOD(Sync!$J482,10000)/100),2)&amp;"/"&amp;RIGHT("00"&amp;MOD(Sync!$J482,100),2),"نامعتبر"),IF(LEN(Sync!$J482)=10,Sync!$J482,"نامعتبر")))</f>
        <v/>
      </c>
      <c r="R482">
        <f>IF($P482="","",COUNTIFS($N$6:$N$2005,$N482,$P$6:$P$2005,"&lt;"&amp;$P482)+COUNTIFS($A$6:$A$1005,$N482,$B$6:$B$1005,"&lt;"&amp;$P482)+1)</f>
        <v/>
      </c>
      <c r="S482">
        <f>IF($N482="","",$N482&amp;"|"&amp;RIGHT("000000"&amp;$R482,6))</f>
        <v/>
      </c>
      <c r="T482">
        <f>IF($N482="","",IF(Sync!$N482="",0,Sync!$N482))</f>
        <v/>
      </c>
      <c r="U482">
        <f>IF($N482="","",IF(Sync!$O482="",0,Sync!$O482))</f>
        <v/>
      </c>
      <c r="V482">
        <f>IF($N482="","",Sync!$L482)</f>
        <v/>
      </c>
      <c r="W482">
        <f>IF($N482="","",Sync!$P482)</f>
        <v/>
      </c>
      <c r="AA482">
        <f>IF($A482="","",IF(COUNTIF($A$6:$A482,$A482)=1,1,0))</f>
        <v/>
      </c>
      <c r="AB482">
        <f>SUM($AA$6:$AA482)</f>
        <v/>
      </c>
      <c r="AC482">
        <f>IFERROR(INDEX($A$6:$A$1005,MATCH(ROW()-5,$AB$6:$AB$1005,0)),"")</f>
        <v/>
      </c>
    </row>
    <row r="483">
      <c r="A483">
        <f>IF(OR(Entry!$B486="",Entry!$E486="",$E483="نامعتبر"),"",Entry!$E486)</f>
        <v/>
      </c>
      <c r="B483">
        <f>IF($A483="","",LEFT($E483,4)&amp;MID($E483,6,2)&amp;RIGHT($E483,2)&amp;$F483&amp;"|"&amp;"1"&amp;RIGHT("00000"&amp;478,5))</f>
        <v/>
      </c>
      <c r="C483">
        <f>IF($B483="","",COUNTIFS($A$6:$A$1005,$A483,$B$6:$B$1005,"&lt;"&amp;$B483)+COUNTIFS($N$6:$N$2005,$A483,$P$6:$P$2005,"&lt;"&amp;$B483)+1)</f>
        <v/>
      </c>
      <c r="D483">
        <f>IF($C483="","",$A483&amp;"|"&amp;RIGHT("000000"&amp;$C483,6))</f>
        <v/>
      </c>
      <c r="E483">
        <f>IF(Entry!$B486="","",IF(ISNUMBER(Entry!$B486),IF(AND(Entry!$B486&gt;=10000101,Entry!$B486&lt;=99991231),INT(Entry!$B486/10000)&amp;"/"&amp;RIGHT("00"&amp;INT(MOD(Entry!$B486,10000)/100),2)&amp;"/"&amp;RIGHT("00"&amp;MOD(Entry!$B486,100),2),"نامعتبر"),IF(LEN(Entry!$B486)=10,Entry!$B486,"نامعتبر")))</f>
        <v/>
      </c>
      <c r="F483">
        <f>IF(Entry!$B486="","",IF(Entry!$C486="","0000",IF(AND(ISNUMBER(Entry!$C486),Entry!$C486&gt;=0,Entry!$C486&lt;1),RIGHT("00"&amp;HOUR(Entry!$C486),2)&amp;RIGHT("00"&amp;MINUTE(Entry!$C486),2),IFERROR(RIGHT("00"&amp;VALUE(LEFT(Entry!$C486,FIND(":",Entry!$C486)-1)),2)&amp;RIGHT("00"&amp;VALUE(MID(Entry!$C486,FIND(":",Entry!$C486)+1,2)),2),"0000"))))</f>
        <v/>
      </c>
      <c r="G483">
        <f>IF($A483="","",Entry!$G486)</f>
        <v/>
      </c>
      <c r="H483">
        <f>IF($A483="","",IF(Entry!$H486="",0,Entry!$H486))</f>
        <v/>
      </c>
      <c r="I483">
        <f>IF($A483="","",IF(Entry!$I486="",0,Entry!$I486))</f>
        <v/>
      </c>
      <c r="J483">
        <f>IF($A483="","",ROUND($H483*$I483,0))</f>
        <v/>
      </c>
      <c r="K483">
        <f>IF($A483="","",Entry!$D486)</f>
        <v/>
      </c>
      <c r="L483">
        <f>IF($A483="","",Entry!$L486)</f>
        <v/>
      </c>
      <c r="N483">
        <f>IF(OR(Sync!$M483="",$Q483="",$Q483="نامعتبر"),"",Sync!$M483)</f>
        <v/>
      </c>
      <c r="O483">
        <f>IF($N483="","",$Q483)</f>
        <v/>
      </c>
      <c r="P483">
        <f>IF($N483="","",LEFT($Q483,4)&amp;MID($Q483,6,2)&amp;RIGHT($Q483,2)&amp;IF(Sync!$K483="","0000",IF(AND(ISNUMBER(Sync!$K483),Sync!$K483&gt;=0,Sync!$K483&lt;1),RIGHT("00"&amp;HOUR(Sync!$K483),2)&amp;RIGHT("00"&amp;MINUTE(Sync!$K483),2),IFERROR(RIGHT("00"&amp;VALUE(LEFT(Sync!$K483,FIND(":",Sync!$K483)-1)),2)&amp;RIGHT("00"&amp;VALUE(MID(Sync!$K483,FIND(":",Sync!$K483)+1,2)),2),"0000")))&amp;"|"&amp;"2"&amp;RIGHT("00000"&amp;478,5))</f>
        <v/>
      </c>
      <c r="Q483">
        <f>IF(Sync!$J483="","",IF(ISNUMBER(Sync!$J483),IF(AND(Sync!$J483&gt;=10000101,Sync!$J483&lt;=99991231),INT(Sync!$J483/10000)&amp;"/"&amp;RIGHT("00"&amp;INT(MOD(Sync!$J483,10000)/100),2)&amp;"/"&amp;RIGHT("00"&amp;MOD(Sync!$J483,100),2),"نامعتبر"),IF(LEN(Sync!$J483)=10,Sync!$J483,"نامعتبر")))</f>
        <v/>
      </c>
      <c r="R483">
        <f>IF($P483="","",COUNTIFS($N$6:$N$2005,$N483,$P$6:$P$2005,"&lt;"&amp;$P483)+COUNTIFS($A$6:$A$1005,$N483,$B$6:$B$1005,"&lt;"&amp;$P483)+1)</f>
        <v/>
      </c>
      <c r="S483">
        <f>IF($N483="","",$N483&amp;"|"&amp;RIGHT("000000"&amp;$R483,6))</f>
        <v/>
      </c>
      <c r="T483">
        <f>IF($N483="","",IF(Sync!$N483="",0,Sync!$N483))</f>
        <v/>
      </c>
      <c r="U483">
        <f>IF($N483="","",IF(Sync!$O483="",0,Sync!$O483))</f>
        <v/>
      </c>
      <c r="V483">
        <f>IF($N483="","",Sync!$L483)</f>
        <v/>
      </c>
      <c r="W483">
        <f>IF($N483="","",Sync!$P483)</f>
        <v/>
      </c>
      <c r="AA483">
        <f>IF($A483="","",IF(COUNTIF($A$6:$A483,$A483)=1,1,0))</f>
        <v/>
      </c>
      <c r="AB483">
        <f>SUM($AA$6:$AA483)</f>
        <v/>
      </c>
      <c r="AC483">
        <f>IFERROR(INDEX($A$6:$A$1005,MATCH(ROW()-5,$AB$6:$AB$1005,0)),"")</f>
        <v/>
      </c>
    </row>
    <row r="484">
      <c r="A484">
        <f>IF(OR(Entry!$B487="",Entry!$E487="",$E484="نامعتبر"),"",Entry!$E487)</f>
        <v/>
      </c>
      <c r="B484">
        <f>IF($A484="","",LEFT($E484,4)&amp;MID($E484,6,2)&amp;RIGHT($E484,2)&amp;$F484&amp;"|"&amp;"1"&amp;RIGHT("00000"&amp;479,5))</f>
        <v/>
      </c>
      <c r="C484">
        <f>IF($B484="","",COUNTIFS($A$6:$A$1005,$A484,$B$6:$B$1005,"&lt;"&amp;$B484)+COUNTIFS($N$6:$N$2005,$A484,$P$6:$P$2005,"&lt;"&amp;$B484)+1)</f>
        <v/>
      </c>
      <c r="D484">
        <f>IF($C484="","",$A484&amp;"|"&amp;RIGHT("000000"&amp;$C484,6))</f>
        <v/>
      </c>
      <c r="E484">
        <f>IF(Entry!$B487="","",IF(ISNUMBER(Entry!$B487),IF(AND(Entry!$B487&gt;=10000101,Entry!$B487&lt;=99991231),INT(Entry!$B487/10000)&amp;"/"&amp;RIGHT("00"&amp;INT(MOD(Entry!$B487,10000)/100),2)&amp;"/"&amp;RIGHT("00"&amp;MOD(Entry!$B487,100),2),"نامعتبر"),IF(LEN(Entry!$B487)=10,Entry!$B487,"نامعتبر")))</f>
        <v/>
      </c>
      <c r="F484">
        <f>IF(Entry!$B487="","",IF(Entry!$C487="","0000",IF(AND(ISNUMBER(Entry!$C487),Entry!$C487&gt;=0,Entry!$C487&lt;1),RIGHT("00"&amp;HOUR(Entry!$C487),2)&amp;RIGHT("00"&amp;MINUTE(Entry!$C487),2),IFERROR(RIGHT("00"&amp;VALUE(LEFT(Entry!$C487,FIND(":",Entry!$C487)-1)),2)&amp;RIGHT("00"&amp;VALUE(MID(Entry!$C487,FIND(":",Entry!$C487)+1,2)),2),"0000"))))</f>
        <v/>
      </c>
      <c r="G484">
        <f>IF($A484="","",Entry!$G487)</f>
        <v/>
      </c>
      <c r="H484">
        <f>IF($A484="","",IF(Entry!$H487="",0,Entry!$H487))</f>
        <v/>
      </c>
      <c r="I484">
        <f>IF($A484="","",IF(Entry!$I487="",0,Entry!$I487))</f>
        <v/>
      </c>
      <c r="J484">
        <f>IF($A484="","",ROUND($H484*$I484,0))</f>
        <v/>
      </c>
      <c r="K484">
        <f>IF($A484="","",Entry!$D487)</f>
        <v/>
      </c>
      <c r="L484">
        <f>IF($A484="","",Entry!$L487)</f>
        <v/>
      </c>
      <c r="N484">
        <f>IF(OR(Sync!$M484="",$Q484="",$Q484="نامعتبر"),"",Sync!$M484)</f>
        <v/>
      </c>
      <c r="O484">
        <f>IF($N484="","",$Q484)</f>
        <v/>
      </c>
      <c r="P484">
        <f>IF($N484="","",LEFT($Q484,4)&amp;MID($Q484,6,2)&amp;RIGHT($Q484,2)&amp;IF(Sync!$K484="","0000",IF(AND(ISNUMBER(Sync!$K484),Sync!$K484&gt;=0,Sync!$K484&lt;1),RIGHT("00"&amp;HOUR(Sync!$K484),2)&amp;RIGHT("00"&amp;MINUTE(Sync!$K484),2),IFERROR(RIGHT("00"&amp;VALUE(LEFT(Sync!$K484,FIND(":",Sync!$K484)-1)),2)&amp;RIGHT("00"&amp;VALUE(MID(Sync!$K484,FIND(":",Sync!$K484)+1,2)),2),"0000")))&amp;"|"&amp;"2"&amp;RIGHT("00000"&amp;479,5))</f>
        <v/>
      </c>
      <c r="Q484">
        <f>IF(Sync!$J484="","",IF(ISNUMBER(Sync!$J484),IF(AND(Sync!$J484&gt;=10000101,Sync!$J484&lt;=99991231),INT(Sync!$J484/10000)&amp;"/"&amp;RIGHT("00"&amp;INT(MOD(Sync!$J484,10000)/100),2)&amp;"/"&amp;RIGHT("00"&amp;MOD(Sync!$J484,100),2),"نامعتبر"),IF(LEN(Sync!$J484)=10,Sync!$J484,"نامعتبر")))</f>
        <v/>
      </c>
      <c r="R484">
        <f>IF($P484="","",COUNTIFS($N$6:$N$2005,$N484,$P$6:$P$2005,"&lt;"&amp;$P484)+COUNTIFS($A$6:$A$1005,$N484,$B$6:$B$1005,"&lt;"&amp;$P484)+1)</f>
        <v/>
      </c>
      <c r="S484">
        <f>IF($N484="","",$N484&amp;"|"&amp;RIGHT("000000"&amp;$R484,6))</f>
        <v/>
      </c>
      <c r="T484">
        <f>IF($N484="","",IF(Sync!$N484="",0,Sync!$N484))</f>
        <v/>
      </c>
      <c r="U484">
        <f>IF($N484="","",IF(Sync!$O484="",0,Sync!$O484))</f>
        <v/>
      </c>
      <c r="V484">
        <f>IF($N484="","",Sync!$L484)</f>
        <v/>
      </c>
      <c r="W484">
        <f>IF($N484="","",Sync!$P484)</f>
        <v/>
      </c>
      <c r="AA484">
        <f>IF($A484="","",IF(COUNTIF($A$6:$A484,$A484)=1,1,0))</f>
        <v/>
      </c>
      <c r="AB484">
        <f>SUM($AA$6:$AA484)</f>
        <v/>
      </c>
      <c r="AC484">
        <f>IFERROR(INDEX($A$6:$A$1005,MATCH(ROW()-5,$AB$6:$AB$1005,0)),"")</f>
        <v/>
      </c>
    </row>
    <row r="485">
      <c r="A485">
        <f>IF(OR(Entry!$B488="",Entry!$E488="",$E485="نامعتبر"),"",Entry!$E488)</f>
        <v/>
      </c>
      <c r="B485">
        <f>IF($A485="","",LEFT($E485,4)&amp;MID($E485,6,2)&amp;RIGHT($E485,2)&amp;$F485&amp;"|"&amp;"1"&amp;RIGHT("00000"&amp;480,5))</f>
        <v/>
      </c>
      <c r="C485">
        <f>IF($B485="","",COUNTIFS($A$6:$A$1005,$A485,$B$6:$B$1005,"&lt;"&amp;$B485)+COUNTIFS($N$6:$N$2005,$A485,$P$6:$P$2005,"&lt;"&amp;$B485)+1)</f>
        <v/>
      </c>
      <c r="D485">
        <f>IF($C485="","",$A485&amp;"|"&amp;RIGHT("000000"&amp;$C485,6))</f>
        <v/>
      </c>
      <c r="E485">
        <f>IF(Entry!$B488="","",IF(ISNUMBER(Entry!$B488),IF(AND(Entry!$B488&gt;=10000101,Entry!$B488&lt;=99991231),INT(Entry!$B488/10000)&amp;"/"&amp;RIGHT("00"&amp;INT(MOD(Entry!$B488,10000)/100),2)&amp;"/"&amp;RIGHT("00"&amp;MOD(Entry!$B488,100),2),"نامعتبر"),IF(LEN(Entry!$B488)=10,Entry!$B488,"نامعتبر")))</f>
        <v/>
      </c>
      <c r="F485">
        <f>IF(Entry!$B488="","",IF(Entry!$C488="","0000",IF(AND(ISNUMBER(Entry!$C488),Entry!$C488&gt;=0,Entry!$C488&lt;1),RIGHT("00"&amp;HOUR(Entry!$C488),2)&amp;RIGHT("00"&amp;MINUTE(Entry!$C488),2),IFERROR(RIGHT("00"&amp;VALUE(LEFT(Entry!$C488,FIND(":",Entry!$C488)-1)),2)&amp;RIGHT("00"&amp;VALUE(MID(Entry!$C488,FIND(":",Entry!$C488)+1,2)),2),"0000"))))</f>
        <v/>
      </c>
      <c r="G485">
        <f>IF($A485="","",Entry!$G488)</f>
        <v/>
      </c>
      <c r="H485">
        <f>IF($A485="","",IF(Entry!$H488="",0,Entry!$H488))</f>
        <v/>
      </c>
      <c r="I485">
        <f>IF($A485="","",IF(Entry!$I488="",0,Entry!$I488))</f>
        <v/>
      </c>
      <c r="J485">
        <f>IF($A485="","",ROUND($H485*$I485,0))</f>
        <v/>
      </c>
      <c r="K485">
        <f>IF($A485="","",Entry!$D488)</f>
        <v/>
      </c>
      <c r="L485">
        <f>IF($A485="","",Entry!$L488)</f>
        <v/>
      </c>
      <c r="N485">
        <f>IF(OR(Sync!$M485="",$Q485="",$Q485="نامعتبر"),"",Sync!$M485)</f>
        <v/>
      </c>
      <c r="O485">
        <f>IF($N485="","",$Q485)</f>
        <v/>
      </c>
      <c r="P485">
        <f>IF($N485="","",LEFT($Q485,4)&amp;MID($Q485,6,2)&amp;RIGHT($Q485,2)&amp;IF(Sync!$K485="","0000",IF(AND(ISNUMBER(Sync!$K485),Sync!$K485&gt;=0,Sync!$K485&lt;1),RIGHT("00"&amp;HOUR(Sync!$K485),2)&amp;RIGHT("00"&amp;MINUTE(Sync!$K485),2),IFERROR(RIGHT("00"&amp;VALUE(LEFT(Sync!$K485,FIND(":",Sync!$K485)-1)),2)&amp;RIGHT("00"&amp;VALUE(MID(Sync!$K485,FIND(":",Sync!$K485)+1,2)),2),"0000")))&amp;"|"&amp;"2"&amp;RIGHT("00000"&amp;480,5))</f>
        <v/>
      </c>
      <c r="Q485">
        <f>IF(Sync!$J485="","",IF(ISNUMBER(Sync!$J485),IF(AND(Sync!$J485&gt;=10000101,Sync!$J485&lt;=99991231),INT(Sync!$J485/10000)&amp;"/"&amp;RIGHT("00"&amp;INT(MOD(Sync!$J485,10000)/100),2)&amp;"/"&amp;RIGHT("00"&amp;MOD(Sync!$J485,100),2),"نامعتبر"),IF(LEN(Sync!$J485)=10,Sync!$J485,"نامعتبر")))</f>
        <v/>
      </c>
      <c r="R485">
        <f>IF($P485="","",COUNTIFS($N$6:$N$2005,$N485,$P$6:$P$2005,"&lt;"&amp;$P485)+COUNTIFS($A$6:$A$1005,$N485,$B$6:$B$1005,"&lt;"&amp;$P485)+1)</f>
        <v/>
      </c>
      <c r="S485">
        <f>IF($N485="","",$N485&amp;"|"&amp;RIGHT("000000"&amp;$R485,6))</f>
        <v/>
      </c>
      <c r="T485">
        <f>IF($N485="","",IF(Sync!$N485="",0,Sync!$N485))</f>
        <v/>
      </c>
      <c r="U485">
        <f>IF($N485="","",IF(Sync!$O485="",0,Sync!$O485))</f>
        <v/>
      </c>
      <c r="V485">
        <f>IF($N485="","",Sync!$L485)</f>
        <v/>
      </c>
      <c r="W485">
        <f>IF($N485="","",Sync!$P485)</f>
        <v/>
      </c>
      <c r="AA485">
        <f>IF($A485="","",IF(COUNTIF($A$6:$A485,$A485)=1,1,0))</f>
        <v/>
      </c>
      <c r="AB485">
        <f>SUM($AA$6:$AA485)</f>
        <v/>
      </c>
      <c r="AC485">
        <f>IFERROR(INDEX($A$6:$A$1005,MATCH(ROW()-5,$AB$6:$AB$1005,0)),"")</f>
        <v/>
      </c>
    </row>
    <row r="486">
      <c r="A486">
        <f>IF(OR(Entry!$B489="",Entry!$E489="",$E486="نامعتبر"),"",Entry!$E489)</f>
        <v/>
      </c>
      <c r="B486">
        <f>IF($A486="","",LEFT($E486,4)&amp;MID($E486,6,2)&amp;RIGHT($E486,2)&amp;$F486&amp;"|"&amp;"1"&amp;RIGHT("00000"&amp;481,5))</f>
        <v/>
      </c>
      <c r="C486">
        <f>IF($B486="","",COUNTIFS($A$6:$A$1005,$A486,$B$6:$B$1005,"&lt;"&amp;$B486)+COUNTIFS($N$6:$N$2005,$A486,$P$6:$P$2005,"&lt;"&amp;$B486)+1)</f>
        <v/>
      </c>
      <c r="D486">
        <f>IF($C486="","",$A486&amp;"|"&amp;RIGHT("000000"&amp;$C486,6))</f>
        <v/>
      </c>
      <c r="E486">
        <f>IF(Entry!$B489="","",IF(ISNUMBER(Entry!$B489),IF(AND(Entry!$B489&gt;=10000101,Entry!$B489&lt;=99991231),INT(Entry!$B489/10000)&amp;"/"&amp;RIGHT("00"&amp;INT(MOD(Entry!$B489,10000)/100),2)&amp;"/"&amp;RIGHT("00"&amp;MOD(Entry!$B489,100),2),"نامعتبر"),IF(LEN(Entry!$B489)=10,Entry!$B489,"نامعتبر")))</f>
        <v/>
      </c>
      <c r="F486">
        <f>IF(Entry!$B489="","",IF(Entry!$C489="","0000",IF(AND(ISNUMBER(Entry!$C489),Entry!$C489&gt;=0,Entry!$C489&lt;1),RIGHT("00"&amp;HOUR(Entry!$C489),2)&amp;RIGHT("00"&amp;MINUTE(Entry!$C489),2),IFERROR(RIGHT("00"&amp;VALUE(LEFT(Entry!$C489,FIND(":",Entry!$C489)-1)),2)&amp;RIGHT("00"&amp;VALUE(MID(Entry!$C489,FIND(":",Entry!$C489)+1,2)),2),"0000"))))</f>
        <v/>
      </c>
      <c r="G486">
        <f>IF($A486="","",Entry!$G489)</f>
        <v/>
      </c>
      <c r="H486">
        <f>IF($A486="","",IF(Entry!$H489="",0,Entry!$H489))</f>
        <v/>
      </c>
      <c r="I486">
        <f>IF($A486="","",IF(Entry!$I489="",0,Entry!$I489))</f>
        <v/>
      </c>
      <c r="J486">
        <f>IF($A486="","",ROUND($H486*$I486,0))</f>
        <v/>
      </c>
      <c r="K486">
        <f>IF($A486="","",Entry!$D489)</f>
        <v/>
      </c>
      <c r="L486">
        <f>IF($A486="","",Entry!$L489)</f>
        <v/>
      </c>
      <c r="N486">
        <f>IF(OR(Sync!$M486="",$Q486="",$Q486="نامعتبر"),"",Sync!$M486)</f>
        <v/>
      </c>
      <c r="O486">
        <f>IF($N486="","",$Q486)</f>
        <v/>
      </c>
      <c r="P486">
        <f>IF($N486="","",LEFT($Q486,4)&amp;MID($Q486,6,2)&amp;RIGHT($Q486,2)&amp;IF(Sync!$K486="","0000",IF(AND(ISNUMBER(Sync!$K486),Sync!$K486&gt;=0,Sync!$K486&lt;1),RIGHT("00"&amp;HOUR(Sync!$K486),2)&amp;RIGHT("00"&amp;MINUTE(Sync!$K486),2),IFERROR(RIGHT("00"&amp;VALUE(LEFT(Sync!$K486,FIND(":",Sync!$K486)-1)),2)&amp;RIGHT("00"&amp;VALUE(MID(Sync!$K486,FIND(":",Sync!$K486)+1,2)),2),"0000")))&amp;"|"&amp;"2"&amp;RIGHT("00000"&amp;481,5))</f>
        <v/>
      </c>
      <c r="Q486">
        <f>IF(Sync!$J486="","",IF(ISNUMBER(Sync!$J486),IF(AND(Sync!$J486&gt;=10000101,Sync!$J486&lt;=99991231),INT(Sync!$J486/10000)&amp;"/"&amp;RIGHT("00"&amp;INT(MOD(Sync!$J486,10000)/100),2)&amp;"/"&amp;RIGHT("00"&amp;MOD(Sync!$J486,100),2),"نامعتبر"),IF(LEN(Sync!$J486)=10,Sync!$J486,"نامعتبر")))</f>
        <v/>
      </c>
      <c r="R486">
        <f>IF($P486="","",COUNTIFS($N$6:$N$2005,$N486,$P$6:$P$2005,"&lt;"&amp;$P486)+COUNTIFS($A$6:$A$1005,$N486,$B$6:$B$1005,"&lt;"&amp;$P486)+1)</f>
        <v/>
      </c>
      <c r="S486">
        <f>IF($N486="","",$N486&amp;"|"&amp;RIGHT("000000"&amp;$R486,6))</f>
        <v/>
      </c>
      <c r="T486">
        <f>IF($N486="","",IF(Sync!$N486="",0,Sync!$N486))</f>
        <v/>
      </c>
      <c r="U486">
        <f>IF($N486="","",IF(Sync!$O486="",0,Sync!$O486))</f>
        <v/>
      </c>
      <c r="V486">
        <f>IF($N486="","",Sync!$L486)</f>
        <v/>
      </c>
      <c r="W486">
        <f>IF($N486="","",Sync!$P486)</f>
        <v/>
      </c>
      <c r="AA486">
        <f>IF($A486="","",IF(COUNTIF($A$6:$A486,$A486)=1,1,0))</f>
        <v/>
      </c>
      <c r="AB486">
        <f>SUM($AA$6:$AA486)</f>
        <v/>
      </c>
      <c r="AC486">
        <f>IFERROR(INDEX($A$6:$A$1005,MATCH(ROW()-5,$AB$6:$AB$1005,0)),"")</f>
        <v/>
      </c>
    </row>
    <row r="487">
      <c r="A487">
        <f>IF(OR(Entry!$B490="",Entry!$E490="",$E487="نامعتبر"),"",Entry!$E490)</f>
        <v/>
      </c>
      <c r="B487">
        <f>IF($A487="","",LEFT($E487,4)&amp;MID($E487,6,2)&amp;RIGHT($E487,2)&amp;$F487&amp;"|"&amp;"1"&amp;RIGHT("00000"&amp;482,5))</f>
        <v/>
      </c>
      <c r="C487">
        <f>IF($B487="","",COUNTIFS($A$6:$A$1005,$A487,$B$6:$B$1005,"&lt;"&amp;$B487)+COUNTIFS($N$6:$N$2005,$A487,$P$6:$P$2005,"&lt;"&amp;$B487)+1)</f>
        <v/>
      </c>
      <c r="D487">
        <f>IF($C487="","",$A487&amp;"|"&amp;RIGHT("000000"&amp;$C487,6))</f>
        <v/>
      </c>
      <c r="E487">
        <f>IF(Entry!$B490="","",IF(ISNUMBER(Entry!$B490),IF(AND(Entry!$B490&gt;=10000101,Entry!$B490&lt;=99991231),INT(Entry!$B490/10000)&amp;"/"&amp;RIGHT("00"&amp;INT(MOD(Entry!$B490,10000)/100),2)&amp;"/"&amp;RIGHT("00"&amp;MOD(Entry!$B490,100),2),"نامعتبر"),IF(LEN(Entry!$B490)=10,Entry!$B490,"نامعتبر")))</f>
        <v/>
      </c>
      <c r="F487">
        <f>IF(Entry!$B490="","",IF(Entry!$C490="","0000",IF(AND(ISNUMBER(Entry!$C490),Entry!$C490&gt;=0,Entry!$C490&lt;1),RIGHT("00"&amp;HOUR(Entry!$C490),2)&amp;RIGHT("00"&amp;MINUTE(Entry!$C490),2),IFERROR(RIGHT("00"&amp;VALUE(LEFT(Entry!$C490,FIND(":",Entry!$C490)-1)),2)&amp;RIGHT("00"&amp;VALUE(MID(Entry!$C490,FIND(":",Entry!$C490)+1,2)),2),"0000"))))</f>
        <v/>
      </c>
      <c r="G487">
        <f>IF($A487="","",Entry!$G490)</f>
        <v/>
      </c>
      <c r="H487">
        <f>IF($A487="","",IF(Entry!$H490="",0,Entry!$H490))</f>
        <v/>
      </c>
      <c r="I487">
        <f>IF($A487="","",IF(Entry!$I490="",0,Entry!$I490))</f>
        <v/>
      </c>
      <c r="J487">
        <f>IF($A487="","",ROUND($H487*$I487,0))</f>
        <v/>
      </c>
      <c r="K487">
        <f>IF($A487="","",Entry!$D490)</f>
        <v/>
      </c>
      <c r="L487">
        <f>IF($A487="","",Entry!$L490)</f>
        <v/>
      </c>
      <c r="N487">
        <f>IF(OR(Sync!$M487="",$Q487="",$Q487="نامعتبر"),"",Sync!$M487)</f>
        <v/>
      </c>
      <c r="O487">
        <f>IF($N487="","",$Q487)</f>
        <v/>
      </c>
      <c r="P487">
        <f>IF($N487="","",LEFT($Q487,4)&amp;MID($Q487,6,2)&amp;RIGHT($Q487,2)&amp;IF(Sync!$K487="","0000",IF(AND(ISNUMBER(Sync!$K487),Sync!$K487&gt;=0,Sync!$K487&lt;1),RIGHT("00"&amp;HOUR(Sync!$K487),2)&amp;RIGHT("00"&amp;MINUTE(Sync!$K487),2),IFERROR(RIGHT("00"&amp;VALUE(LEFT(Sync!$K487,FIND(":",Sync!$K487)-1)),2)&amp;RIGHT("00"&amp;VALUE(MID(Sync!$K487,FIND(":",Sync!$K487)+1,2)),2),"0000")))&amp;"|"&amp;"2"&amp;RIGHT("00000"&amp;482,5))</f>
        <v/>
      </c>
      <c r="Q487">
        <f>IF(Sync!$J487="","",IF(ISNUMBER(Sync!$J487),IF(AND(Sync!$J487&gt;=10000101,Sync!$J487&lt;=99991231),INT(Sync!$J487/10000)&amp;"/"&amp;RIGHT("00"&amp;INT(MOD(Sync!$J487,10000)/100),2)&amp;"/"&amp;RIGHT("00"&amp;MOD(Sync!$J487,100),2),"نامعتبر"),IF(LEN(Sync!$J487)=10,Sync!$J487,"نامعتبر")))</f>
        <v/>
      </c>
      <c r="R487">
        <f>IF($P487="","",COUNTIFS($N$6:$N$2005,$N487,$P$6:$P$2005,"&lt;"&amp;$P487)+COUNTIFS($A$6:$A$1005,$N487,$B$6:$B$1005,"&lt;"&amp;$P487)+1)</f>
        <v/>
      </c>
      <c r="S487">
        <f>IF($N487="","",$N487&amp;"|"&amp;RIGHT("000000"&amp;$R487,6))</f>
        <v/>
      </c>
      <c r="T487">
        <f>IF($N487="","",IF(Sync!$N487="",0,Sync!$N487))</f>
        <v/>
      </c>
      <c r="U487">
        <f>IF($N487="","",IF(Sync!$O487="",0,Sync!$O487))</f>
        <v/>
      </c>
      <c r="V487">
        <f>IF($N487="","",Sync!$L487)</f>
        <v/>
      </c>
      <c r="W487">
        <f>IF($N487="","",Sync!$P487)</f>
        <v/>
      </c>
      <c r="AA487">
        <f>IF($A487="","",IF(COUNTIF($A$6:$A487,$A487)=1,1,0))</f>
        <v/>
      </c>
      <c r="AB487">
        <f>SUM($AA$6:$AA487)</f>
        <v/>
      </c>
      <c r="AC487">
        <f>IFERROR(INDEX($A$6:$A$1005,MATCH(ROW()-5,$AB$6:$AB$1005,0)),"")</f>
        <v/>
      </c>
    </row>
    <row r="488">
      <c r="A488">
        <f>IF(OR(Entry!$B491="",Entry!$E491="",$E488="نامعتبر"),"",Entry!$E491)</f>
        <v/>
      </c>
      <c r="B488">
        <f>IF($A488="","",LEFT($E488,4)&amp;MID($E488,6,2)&amp;RIGHT($E488,2)&amp;$F488&amp;"|"&amp;"1"&amp;RIGHT("00000"&amp;483,5))</f>
        <v/>
      </c>
      <c r="C488">
        <f>IF($B488="","",COUNTIFS($A$6:$A$1005,$A488,$B$6:$B$1005,"&lt;"&amp;$B488)+COUNTIFS($N$6:$N$2005,$A488,$P$6:$P$2005,"&lt;"&amp;$B488)+1)</f>
        <v/>
      </c>
      <c r="D488">
        <f>IF($C488="","",$A488&amp;"|"&amp;RIGHT("000000"&amp;$C488,6))</f>
        <v/>
      </c>
      <c r="E488">
        <f>IF(Entry!$B491="","",IF(ISNUMBER(Entry!$B491),IF(AND(Entry!$B491&gt;=10000101,Entry!$B491&lt;=99991231),INT(Entry!$B491/10000)&amp;"/"&amp;RIGHT("00"&amp;INT(MOD(Entry!$B491,10000)/100),2)&amp;"/"&amp;RIGHT("00"&amp;MOD(Entry!$B491,100),2),"نامعتبر"),IF(LEN(Entry!$B491)=10,Entry!$B491,"نامعتبر")))</f>
        <v/>
      </c>
      <c r="F488">
        <f>IF(Entry!$B491="","",IF(Entry!$C491="","0000",IF(AND(ISNUMBER(Entry!$C491),Entry!$C491&gt;=0,Entry!$C491&lt;1),RIGHT("00"&amp;HOUR(Entry!$C491),2)&amp;RIGHT("00"&amp;MINUTE(Entry!$C491),2),IFERROR(RIGHT("00"&amp;VALUE(LEFT(Entry!$C491,FIND(":",Entry!$C491)-1)),2)&amp;RIGHT("00"&amp;VALUE(MID(Entry!$C491,FIND(":",Entry!$C491)+1,2)),2),"0000"))))</f>
        <v/>
      </c>
      <c r="G488">
        <f>IF($A488="","",Entry!$G491)</f>
        <v/>
      </c>
      <c r="H488">
        <f>IF($A488="","",IF(Entry!$H491="",0,Entry!$H491))</f>
        <v/>
      </c>
      <c r="I488">
        <f>IF($A488="","",IF(Entry!$I491="",0,Entry!$I491))</f>
        <v/>
      </c>
      <c r="J488">
        <f>IF($A488="","",ROUND($H488*$I488,0))</f>
        <v/>
      </c>
      <c r="K488">
        <f>IF($A488="","",Entry!$D491)</f>
        <v/>
      </c>
      <c r="L488">
        <f>IF($A488="","",Entry!$L491)</f>
        <v/>
      </c>
      <c r="N488">
        <f>IF(OR(Sync!$M488="",$Q488="",$Q488="نامعتبر"),"",Sync!$M488)</f>
        <v/>
      </c>
      <c r="O488">
        <f>IF($N488="","",$Q488)</f>
        <v/>
      </c>
      <c r="P488">
        <f>IF($N488="","",LEFT($Q488,4)&amp;MID($Q488,6,2)&amp;RIGHT($Q488,2)&amp;IF(Sync!$K488="","0000",IF(AND(ISNUMBER(Sync!$K488),Sync!$K488&gt;=0,Sync!$K488&lt;1),RIGHT("00"&amp;HOUR(Sync!$K488),2)&amp;RIGHT("00"&amp;MINUTE(Sync!$K488),2),IFERROR(RIGHT("00"&amp;VALUE(LEFT(Sync!$K488,FIND(":",Sync!$K488)-1)),2)&amp;RIGHT("00"&amp;VALUE(MID(Sync!$K488,FIND(":",Sync!$K488)+1,2)),2),"0000")))&amp;"|"&amp;"2"&amp;RIGHT("00000"&amp;483,5))</f>
        <v/>
      </c>
      <c r="Q488">
        <f>IF(Sync!$J488="","",IF(ISNUMBER(Sync!$J488),IF(AND(Sync!$J488&gt;=10000101,Sync!$J488&lt;=99991231),INT(Sync!$J488/10000)&amp;"/"&amp;RIGHT("00"&amp;INT(MOD(Sync!$J488,10000)/100),2)&amp;"/"&amp;RIGHT("00"&amp;MOD(Sync!$J488,100),2),"نامعتبر"),IF(LEN(Sync!$J488)=10,Sync!$J488,"نامعتبر")))</f>
        <v/>
      </c>
      <c r="R488">
        <f>IF($P488="","",COUNTIFS($N$6:$N$2005,$N488,$P$6:$P$2005,"&lt;"&amp;$P488)+COUNTIFS($A$6:$A$1005,$N488,$B$6:$B$1005,"&lt;"&amp;$P488)+1)</f>
        <v/>
      </c>
      <c r="S488">
        <f>IF($N488="","",$N488&amp;"|"&amp;RIGHT("000000"&amp;$R488,6))</f>
        <v/>
      </c>
      <c r="T488">
        <f>IF($N488="","",IF(Sync!$N488="",0,Sync!$N488))</f>
        <v/>
      </c>
      <c r="U488">
        <f>IF($N488="","",IF(Sync!$O488="",0,Sync!$O488))</f>
        <v/>
      </c>
      <c r="V488">
        <f>IF($N488="","",Sync!$L488)</f>
        <v/>
      </c>
      <c r="W488">
        <f>IF($N488="","",Sync!$P488)</f>
        <v/>
      </c>
      <c r="AA488">
        <f>IF($A488="","",IF(COUNTIF($A$6:$A488,$A488)=1,1,0))</f>
        <v/>
      </c>
      <c r="AB488">
        <f>SUM($AA$6:$AA488)</f>
        <v/>
      </c>
      <c r="AC488">
        <f>IFERROR(INDEX($A$6:$A$1005,MATCH(ROW()-5,$AB$6:$AB$1005,0)),"")</f>
        <v/>
      </c>
    </row>
    <row r="489">
      <c r="A489">
        <f>IF(OR(Entry!$B492="",Entry!$E492="",$E489="نامعتبر"),"",Entry!$E492)</f>
        <v/>
      </c>
      <c r="B489">
        <f>IF($A489="","",LEFT($E489,4)&amp;MID($E489,6,2)&amp;RIGHT($E489,2)&amp;$F489&amp;"|"&amp;"1"&amp;RIGHT("00000"&amp;484,5))</f>
        <v/>
      </c>
      <c r="C489">
        <f>IF($B489="","",COUNTIFS($A$6:$A$1005,$A489,$B$6:$B$1005,"&lt;"&amp;$B489)+COUNTIFS($N$6:$N$2005,$A489,$P$6:$P$2005,"&lt;"&amp;$B489)+1)</f>
        <v/>
      </c>
      <c r="D489">
        <f>IF($C489="","",$A489&amp;"|"&amp;RIGHT("000000"&amp;$C489,6))</f>
        <v/>
      </c>
      <c r="E489">
        <f>IF(Entry!$B492="","",IF(ISNUMBER(Entry!$B492),IF(AND(Entry!$B492&gt;=10000101,Entry!$B492&lt;=99991231),INT(Entry!$B492/10000)&amp;"/"&amp;RIGHT("00"&amp;INT(MOD(Entry!$B492,10000)/100),2)&amp;"/"&amp;RIGHT("00"&amp;MOD(Entry!$B492,100),2),"نامعتبر"),IF(LEN(Entry!$B492)=10,Entry!$B492,"نامعتبر")))</f>
        <v/>
      </c>
      <c r="F489">
        <f>IF(Entry!$B492="","",IF(Entry!$C492="","0000",IF(AND(ISNUMBER(Entry!$C492),Entry!$C492&gt;=0,Entry!$C492&lt;1),RIGHT("00"&amp;HOUR(Entry!$C492),2)&amp;RIGHT("00"&amp;MINUTE(Entry!$C492),2),IFERROR(RIGHT("00"&amp;VALUE(LEFT(Entry!$C492,FIND(":",Entry!$C492)-1)),2)&amp;RIGHT("00"&amp;VALUE(MID(Entry!$C492,FIND(":",Entry!$C492)+1,2)),2),"0000"))))</f>
        <v/>
      </c>
      <c r="G489">
        <f>IF($A489="","",Entry!$G492)</f>
        <v/>
      </c>
      <c r="H489">
        <f>IF($A489="","",IF(Entry!$H492="",0,Entry!$H492))</f>
        <v/>
      </c>
      <c r="I489">
        <f>IF($A489="","",IF(Entry!$I492="",0,Entry!$I492))</f>
        <v/>
      </c>
      <c r="J489">
        <f>IF($A489="","",ROUND($H489*$I489,0))</f>
        <v/>
      </c>
      <c r="K489">
        <f>IF($A489="","",Entry!$D492)</f>
        <v/>
      </c>
      <c r="L489">
        <f>IF($A489="","",Entry!$L492)</f>
        <v/>
      </c>
      <c r="N489">
        <f>IF(OR(Sync!$M489="",$Q489="",$Q489="نامعتبر"),"",Sync!$M489)</f>
        <v/>
      </c>
      <c r="O489">
        <f>IF($N489="","",$Q489)</f>
        <v/>
      </c>
      <c r="P489">
        <f>IF($N489="","",LEFT($Q489,4)&amp;MID($Q489,6,2)&amp;RIGHT($Q489,2)&amp;IF(Sync!$K489="","0000",IF(AND(ISNUMBER(Sync!$K489),Sync!$K489&gt;=0,Sync!$K489&lt;1),RIGHT("00"&amp;HOUR(Sync!$K489),2)&amp;RIGHT("00"&amp;MINUTE(Sync!$K489),2),IFERROR(RIGHT("00"&amp;VALUE(LEFT(Sync!$K489,FIND(":",Sync!$K489)-1)),2)&amp;RIGHT("00"&amp;VALUE(MID(Sync!$K489,FIND(":",Sync!$K489)+1,2)),2),"0000")))&amp;"|"&amp;"2"&amp;RIGHT("00000"&amp;484,5))</f>
        <v/>
      </c>
      <c r="Q489">
        <f>IF(Sync!$J489="","",IF(ISNUMBER(Sync!$J489),IF(AND(Sync!$J489&gt;=10000101,Sync!$J489&lt;=99991231),INT(Sync!$J489/10000)&amp;"/"&amp;RIGHT("00"&amp;INT(MOD(Sync!$J489,10000)/100),2)&amp;"/"&amp;RIGHT("00"&amp;MOD(Sync!$J489,100),2),"نامعتبر"),IF(LEN(Sync!$J489)=10,Sync!$J489,"نامعتبر")))</f>
        <v/>
      </c>
      <c r="R489">
        <f>IF($P489="","",COUNTIFS($N$6:$N$2005,$N489,$P$6:$P$2005,"&lt;"&amp;$P489)+COUNTIFS($A$6:$A$1005,$N489,$B$6:$B$1005,"&lt;"&amp;$P489)+1)</f>
        <v/>
      </c>
      <c r="S489">
        <f>IF($N489="","",$N489&amp;"|"&amp;RIGHT("000000"&amp;$R489,6))</f>
        <v/>
      </c>
      <c r="T489">
        <f>IF($N489="","",IF(Sync!$N489="",0,Sync!$N489))</f>
        <v/>
      </c>
      <c r="U489">
        <f>IF($N489="","",IF(Sync!$O489="",0,Sync!$O489))</f>
        <v/>
      </c>
      <c r="V489">
        <f>IF($N489="","",Sync!$L489)</f>
        <v/>
      </c>
      <c r="W489">
        <f>IF($N489="","",Sync!$P489)</f>
        <v/>
      </c>
      <c r="AA489">
        <f>IF($A489="","",IF(COUNTIF($A$6:$A489,$A489)=1,1,0))</f>
        <v/>
      </c>
      <c r="AB489">
        <f>SUM($AA$6:$AA489)</f>
        <v/>
      </c>
      <c r="AC489">
        <f>IFERROR(INDEX($A$6:$A$1005,MATCH(ROW()-5,$AB$6:$AB$1005,0)),"")</f>
        <v/>
      </c>
    </row>
    <row r="490">
      <c r="A490">
        <f>IF(OR(Entry!$B493="",Entry!$E493="",$E490="نامعتبر"),"",Entry!$E493)</f>
        <v/>
      </c>
      <c r="B490">
        <f>IF($A490="","",LEFT($E490,4)&amp;MID($E490,6,2)&amp;RIGHT($E490,2)&amp;$F490&amp;"|"&amp;"1"&amp;RIGHT("00000"&amp;485,5))</f>
        <v/>
      </c>
      <c r="C490">
        <f>IF($B490="","",COUNTIFS($A$6:$A$1005,$A490,$B$6:$B$1005,"&lt;"&amp;$B490)+COUNTIFS($N$6:$N$2005,$A490,$P$6:$P$2005,"&lt;"&amp;$B490)+1)</f>
        <v/>
      </c>
      <c r="D490">
        <f>IF($C490="","",$A490&amp;"|"&amp;RIGHT("000000"&amp;$C490,6))</f>
        <v/>
      </c>
      <c r="E490">
        <f>IF(Entry!$B493="","",IF(ISNUMBER(Entry!$B493),IF(AND(Entry!$B493&gt;=10000101,Entry!$B493&lt;=99991231),INT(Entry!$B493/10000)&amp;"/"&amp;RIGHT("00"&amp;INT(MOD(Entry!$B493,10000)/100),2)&amp;"/"&amp;RIGHT("00"&amp;MOD(Entry!$B493,100),2),"نامعتبر"),IF(LEN(Entry!$B493)=10,Entry!$B493,"نامعتبر")))</f>
        <v/>
      </c>
      <c r="F490">
        <f>IF(Entry!$B493="","",IF(Entry!$C493="","0000",IF(AND(ISNUMBER(Entry!$C493),Entry!$C493&gt;=0,Entry!$C493&lt;1),RIGHT("00"&amp;HOUR(Entry!$C493),2)&amp;RIGHT("00"&amp;MINUTE(Entry!$C493),2),IFERROR(RIGHT("00"&amp;VALUE(LEFT(Entry!$C493,FIND(":",Entry!$C493)-1)),2)&amp;RIGHT("00"&amp;VALUE(MID(Entry!$C493,FIND(":",Entry!$C493)+1,2)),2),"0000"))))</f>
        <v/>
      </c>
      <c r="G490">
        <f>IF($A490="","",Entry!$G493)</f>
        <v/>
      </c>
      <c r="H490">
        <f>IF($A490="","",IF(Entry!$H493="",0,Entry!$H493))</f>
        <v/>
      </c>
      <c r="I490">
        <f>IF($A490="","",IF(Entry!$I493="",0,Entry!$I493))</f>
        <v/>
      </c>
      <c r="J490">
        <f>IF($A490="","",ROUND($H490*$I490,0))</f>
        <v/>
      </c>
      <c r="K490">
        <f>IF($A490="","",Entry!$D493)</f>
        <v/>
      </c>
      <c r="L490">
        <f>IF($A490="","",Entry!$L493)</f>
        <v/>
      </c>
      <c r="N490">
        <f>IF(OR(Sync!$M490="",$Q490="",$Q490="نامعتبر"),"",Sync!$M490)</f>
        <v/>
      </c>
      <c r="O490">
        <f>IF($N490="","",$Q490)</f>
        <v/>
      </c>
      <c r="P490">
        <f>IF($N490="","",LEFT($Q490,4)&amp;MID($Q490,6,2)&amp;RIGHT($Q490,2)&amp;IF(Sync!$K490="","0000",IF(AND(ISNUMBER(Sync!$K490),Sync!$K490&gt;=0,Sync!$K490&lt;1),RIGHT("00"&amp;HOUR(Sync!$K490),2)&amp;RIGHT("00"&amp;MINUTE(Sync!$K490),2),IFERROR(RIGHT("00"&amp;VALUE(LEFT(Sync!$K490,FIND(":",Sync!$K490)-1)),2)&amp;RIGHT("00"&amp;VALUE(MID(Sync!$K490,FIND(":",Sync!$K490)+1,2)),2),"0000")))&amp;"|"&amp;"2"&amp;RIGHT("00000"&amp;485,5))</f>
        <v/>
      </c>
      <c r="Q490">
        <f>IF(Sync!$J490="","",IF(ISNUMBER(Sync!$J490),IF(AND(Sync!$J490&gt;=10000101,Sync!$J490&lt;=99991231),INT(Sync!$J490/10000)&amp;"/"&amp;RIGHT("00"&amp;INT(MOD(Sync!$J490,10000)/100),2)&amp;"/"&amp;RIGHT("00"&amp;MOD(Sync!$J490,100),2),"نامعتبر"),IF(LEN(Sync!$J490)=10,Sync!$J490,"نامعتبر")))</f>
        <v/>
      </c>
      <c r="R490">
        <f>IF($P490="","",COUNTIFS($N$6:$N$2005,$N490,$P$6:$P$2005,"&lt;"&amp;$P490)+COUNTIFS($A$6:$A$1005,$N490,$B$6:$B$1005,"&lt;"&amp;$P490)+1)</f>
        <v/>
      </c>
      <c r="S490">
        <f>IF($N490="","",$N490&amp;"|"&amp;RIGHT("000000"&amp;$R490,6))</f>
        <v/>
      </c>
      <c r="T490">
        <f>IF($N490="","",IF(Sync!$N490="",0,Sync!$N490))</f>
        <v/>
      </c>
      <c r="U490">
        <f>IF($N490="","",IF(Sync!$O490="",0,Sync!$O490))</f>
        <v/>
      </c>
      <c r="V490">
        <f>IF($N490="","",Sync!$L490)</f>
        <v/>
      </c>
      <c r="W490">
        <f>IF($N490="","",Sync!$P490)</f>
        <v/>
      </c>
      <c r="AA490">
        <f>IF($A490="","",IF(COUNTIF($A$6:$A490,$A490)=1,1,0))</f>
        <v/>
      </c>
      <c r="AB490">
        <f>SUM($AA$6:$AA490)</f>
        <v/>
      </c>
      <c r="AC490">
        <f>IFERROR(INDEX($A$6:$A$1005,MATCH(ROW()-5,$AB$6:$AB$1005,0)),"")</f>
        <v/>
      </c>
    </row>
    <row r="491">
      <c r="A491">
        <f>IF(OR(Entry!$B494="",Entry!$E494="",$E491="نامعتبر"),"",Entry!$E494)</f>
        <v/>
      </c>
      <c r="B491">
        <f>IF($A491="","",LEFT($E491,4)&amp;MID($E491,6,2)&amp;RIGHT($E491,2)&amp;$F491&amp;"|"&amp;"1"&amp;RIGHT("00000"&amp;486,5))</f>
        <v/>
      </c>
      <c r="C491">
        <f>IF($B491="","",COUNTIFS($A$6:$A$1005,$A491,$B$6:$B$1005,"&lt;"&amp;$B491)+COUNTIFS($N$6:$N$2005,$A491,$P$6:$P$2005,"&lt;"&amp;$B491)+1)</f>
        <v/>
      </c>
      <c r="D491">
        <f>IF($C491="","",$A491&amp;"|"&amp;RIGHT("000000"&amp;$C491,6))</f>
        <v/>
      </c>
      <c r="E491">
        <f>IF(Entry!$B494="","",IF(ISNUMBER(Entry!$B494),IF(AND(Entry!$B494&gt;=10000101,Entry!$B494&lt;=99991231),INT(Entry!$B494/10000)&amp;"/"&amp;RIGHT("00"&amp;INT(MOD(Entry!$B494,10000)/100),2)&amp;"/"&amp;RIGHT("00"&amp;MOD(Entry!$B494,100),2),"نامعتبر"),IF(LEN(Entry!$B494)=10,Entry!$B494,"نامعتبر")))</f>
        <v/>
      </c>
      <c r="F491">
        <f>IF(Entry!$B494="","",IF(Entry!$C494="","0000",IF(AND(ISNUMBER(Entry!$C494),Entry!$C494&gt;=0,Entry!$C494&lt;1),RIGHT("00"&amp;HOUR(Entry!$C494),2)&amp;RIGHT("00"&amp;MINUTE(Entry!$C494),2),IFERROR(RIGHT("00"&amp;VALUE(LEFT(Entry!$C494,FIND(":",Entry!$C494)-1)),2)&amp;RIGHT("00"&amp;VALUE(MID(Entry!$C494,FIND(":",Entry!$C494)+1,2)),2),"0000"))))</f>
        <v/>
      </c>
      <c r="G491">
        <f>IF($A491="","",Entry!$G494)</f>
        <v/>
      </c>
      <c r="H491">
        <f>IF($A491="","",IF(Entry!$H494="",0,Entry!$H494))</f>
        <v/>
      </c>
      <c r="I491">
        <f>IF($A491="","",IF(Entry!$I494="",0,Entry!$I494))</f>
        <v/>
      </c>
      <c r="J491">
        <f>IF($A491="","",ROUND($H491*$I491,0))</f>
        <v/>
      </c>
      <c r="K491">
        <f>IF($A491="","",Entry!$D494)</f>
        <v/>
      </c>
      <c r="L491">
        <f>IF($A491="","",Entry!$L494)</f>
        <v/>
      </c>
      <c r="N491">
        <f>IF(OR(Sync!$M491="",$Q491="",$Q491="نامعتبر"),"",Sync!$M491)</f>
        <v/>
      </c>
      <c r="O491">
        <f>IF($N491="","",$Q491)</f>
        <v/>
      </c>
      <c r="P491">
        <f>IF($N491="","",LEFT($Q491,4)&amp;MID($Q491,6,2)&amp;RIGHT($Q491,2)&amp;IF(Sync!$K491="","0000",IF(AND(ISNUMBER(Sync!$K491),Sync!$K491&gt;=0,Sync!$K491&lt;1),RIGHT("00"&amp;HOUR(Sync!$K491),2)&amp;RIGHT("00"&amp;MINUTE(Sync!$K491),2),IFERROR(RIGHT("00"&amp;VALUE(LEFT(Sync!$K491,FIND(":",Sync!$K491)-1)),2)&amp;RIGHT("00"&amp;VALUE(MID(Sync!$K491,FIND(":",Sync!$K491)+1,2)),2),"0000")))&amp;"|"&amp;"2"&amp;RIGHT("00000"&amp;486,5))</f>
        <v/>
      </c>
      <c r="Q491">
        <f>IF(Sync!$J491="","",IF(ISNUMBER(Sync!$J491),IF(AND(Sync!$J491&gt;=10000101,Sync!$J491&lt;=99991231),INT(Sync!$J491/10000)&amp;"/"&amp;RIGHT("00"&amp;INT(MOD(Sync!$J491,10000)/100),2)&amp;"/"&amp;RIGHT("00"&amp;MOD(Sync!$J491,100),2),"نامعتبر"),IF(LEN(Sync!$J491)=10,Sync!$J491,"نامعتبر")))</f>
        <v/>
      </c>
      <c r="R491">
        <f>IF($P491="","",COUNTIFS($N$6:$N$2005,$N491,$P$6:$P$2005,"&lt;"&amp;$P491)+COUNTIFS($A$6:$A$1005,$N491,$B$6:$B$1005,"&lt;"&amp;$P491)+1)</f>
        <v/>
      </c>
      <c r="S491">
        <f>IF($N491="","",$N491&amp;"|"&amp;RIGHT("000000"&amp;$R491,6))</f>
        <v/>
      </c>
      <c r="T491">
        <f>IF($N491="","",IF(Sync!$N491="",0,Sync!$N491))</f>
        <v/>
      </c>
      <c r="U491">
        <f>IF($N491="","",IF(Sync!$O491="",0,Sync!$O491))</f>
        <v/>
      </c>
      <c r="V491">
        <f>IF($N491="","",Sync!$L491)</f>
        <v/>
      </c>
      <c r="W491">
        <f>IF($N491="","",Sync!$P491)</f>
        <v/>
      </c>
      <c r="AA491">
        <f>IF($A491="","",IF(COUNTIF($A$6:$A491,$A491)=1,1,0))</f>
        <v/>
      </c>
      <c r="AB491">
        <f>SUM($AA$6:$AA491)</f>
        <v/>
      </c>
      <c r="AC491">
        <f>IFERROR(INDEX($A$6:$A$1005,MATCH(ROW()-5,$AB$6:$AB$1005,0)),"")</f>
        <v/>
      </c>
    </row>
    <row r="492">
      <c r="A492">
        <f>IF(OR(Entry!$B495="",Entry!$E495="",$E492="نامعتبر"),"",Entry!$E495)</f>
        <v/>
      </c>
      <c r="B492">
        <f>IF($A492="","",LEFT($E492,4)&amp;MID($E492,6,2)&amp;RIGHT($E492,2)&amp;$F492&amp;"|"&amp;"1"&amp;RIGHT("00000"&amp;487,5))</f>
        <v/>
      </c>
      <c r="C492">
        <f>IF($B492="","",COUNTIFS($A$6:$A$1005,$A492,$B$6:$B$1005,"&lt;"&amp;$B492)+COUNTIFS($N$6:$N$2005,$A492,$P$6:$P$2005,"&lt;"&amp;$B492)+1)</f>
        <v/>
      </c>
      <c r="D492">
        <f>IF($C492="","",$A492&amp;"|"&amp;RIGHT("000000"&amp;$C492,6))</f>
        <v/>
      </c>
      <c r="E492">
        <f>IF(Entry!$B495="","",IF(ISNUMBER(Entry!$B495),IF(AND(Entry!$B495&gt;=10000101,Entry!$B495&lt;=99991231),INT(Entry!$B495/10000)&amp;"/"&amp;RIGHT("00"&amp;INT(MOD(Entry!$B495,10000)/100),2)&amp;"/"&amp;RIGHT("00"&amp;MOD(Entry!$B495,100),2),"نامعتبر"),IF(LEN(Entry!$B495)=10,Entry!$B495,"نامعتبر")))</f>
        <v/>
      </c>
      <c r="F492">
        <f>IF(Entry!$B495="","",IF(Entry!$C495="","0000",IF(AND(ISNUMBER(Entry!$C495),Entry!$C495&gt;=0,Entry!$C495&lt;1),RIGHT("00"&amp;HOUR(Entry!$C495),2)&amp;RIGHT("00"&amp;MINUTE(Entry!$C495),2),IFERROR(RIGHT("00"&amp;VALUE(LEFT(Entry!$C495,FIND(":",Entry!$C495)-1)),2)&amp;RIGHT("00"&amp;VALUE(MID(Entry!$C495,FIND(":",Entry!$C495)+1,2)),2),"0000"))))</f>
        <v/>
      </c>
      <c r="G492">
        <f>IF($A492="","",Entry!$G495)</f>
        <v/>
      </c>
      <c r="H492">
        <f>IF($A492="","",IF(Entry!$H495="",0,Entry!$H495))</f>
        <v/>
      </c>
      <c r="I492">
        <f>IF($A492="","",IF(Entry!$I495="",0,Entry!$I495))</f>
        <v/>
      </c>
      <c r="J492">
        <f>IF($A492="","",ROUND($H492*$I492,0))</f>
        <v/>
      </c>
      <c r="K492">
        <f>IF($A492="","",Entry!$D495)</f>
        <v/>
      </c>
      <c r="L492">
        <f>IF($A492="","",Entry!$L495)</f>
        <v/>
      </c>
      <c r="N492">
        <f>IF(OR(Sync!$M492="",$Q492="",$Q492="نامعتبر"),"",Sync!$M492)</f>
        <v/>
      </c>
      <c r="O492">
        <f>IF($N492="","",$Q492)</f>
        <v/>
      </c>
      <c r="P492">
        <f>IF($N492="","",LEFT($Q492,4)&amp;MID($Q492,6,2)&amp;RIGHT($Q492,2)&amp;IF(Sync!$K492="","0000",IF(AND(ISNUMBER(Sync!$K492),Sync!$K492&gt;=0,Sync!$K492&lt;1),RIGHT("00"&amp;HOUR(Sync!$K492),2)&amp;RIGHT("00"&amp;MINUTE(Sync!$K492),2),IFERROR(RIGHT("00"&amp;VALUE(LEFT(Sync!$K492,FIND(":",Sync!$K492)-1)),2)&amp;RIGHT("00"&amp;VALUE(MID(Sync!$K492,FIND(":",Sync!$K492)+1,2)),2),"0000")))&amp;"|"&amp;"2"&amp;RIGHT("00000"&amp;487,5))</f>
        <v/>
      </c>
      <c r="Q492">
        <f>IF(Sync!$J492="","",IF(ISNUMBER(Sync!$J492),IF(AND(Sync!$J492&gt;=10000101,Sync!$J492&lt;=99991231),INT(Sync!$J492/10000)&amp;"/"&amp;RIGHT("00"&amp;INT(MOD(Sync!$J492,10000)/100),2)&amp;"/"&amp;RIGHT("00"&amp;MOD(Sync!$J492,100),2),"نامعتبر"),IF(LEN(Sync!$J492)=10,Sync!$J492,"نامعتبر")))</f>
        <v/>
      </c>
      <c r="R492">
        <f>IF($P492="","",COUNTIFS($N$6:$N$2005,$N492,$P$6:$P$2005,"&lt;"&amp;$P492)+COUNTIFS($A$6:$A$1005,$N492,$B$6:$B$1005,"&lt;"&amp;$P492)+1)</f>
        <v/>
      </c>
      <c r="S492">
        <f>IF($N492="","",$N492&amp;"|"&amp;RIGHT("000000"&amp;$R492,6))</f>
        <v/>
      </c>
      <c r="T492">
        <f>IF($N492="","",IF(Sync!$N492="",0,Sync!$N492))</f>
        <v/>
      </c>
      <c r="U492">
        <f>IF($N492="","",IF(Sync!$O492="",0,Sync!$O492))</f>
        <v/>
      </c>
      <c r="V492">
        <f>IF($N492="","",Sync!$L492)</f>
        <v/>
      </c>
      <c r="W492">
        <f>IF($N492="","",Sync!$P492)</f>
        <v/>
      </c>
      <c r="AA492">
        <f>IF($A492="","",IF(COUNTIF($A$6:$A492,$A492)=1,1,0))</f>
        <v/>
      </c>
      <c r="AB492">
        <f>SUM($AA$6:$AA492)</f>
        <v/>
      </c>
      <c r="AC492">
        <f>IFERROR(INDEX($A$6:$A$1005,MATCH(ROW()-5,$AB$6:$AB$1005,0)),"")</f>
        <v/>
      </c>
    </row>
    <row r="493">
      <c r="A493">
        <f>IF(OR(Entry!$B496="",Entry!$E496="",$E493="نامعتبر"),"",Entry!$E496)</f>
        <v/>
      </c>
      <c r="B493">
        <f>IF($A493="","",LEFT($E493,4)&amp;MID($E493,6,2)&amp;RIGHT($E493,2)&amp;$F493&amp;"|"&amp;"1"&amp;RIGHT("00000"&amp;488,5))</f>
        <v/>
      </c>
      <c r="C493">
        <f>IF($B493="","",COUNTIFS($A$6:$A$1005,$A493,$B$6:$B$1005,"&lt;"&amp;$B493)+COUNTIFS($N$6:$N$2005,$A493,$P$6:$P$2005,"&lt;"&amp;$B493)+1)</f>
        <v/>
      </c>
      <c r="D493">
        <f>IF($C493="","",$A493&amp;"|"&amp;RIGHT("000000"&amp;$C493,6))</f>
        <v/>
      </c>
      <c r="E493">
        <f>IF(Entry!$B496="","",IF(ISNUMBER(Entry!$B496),IF(AND(Entry!$B496&gt;=10000101,Entry!$B496&lt;=99991231),INT(Entry!$B496/10000)&amp;"/"&amp;RIGHT("00"&amp;INT(MOD(Entry!$B496,10000)/100),2)&amp;"/"&amp;RIGHT("00"&amp;MOD(Entry!$B496,100),2),"نامعتبر"),IF(LEN(Entry!$B496)=10,Entry!$B496,"نامعتبر")))</f>
        <v/>
      </c>
      <c r="F493">
        <f>IF(Entry!$B496="","",IF(Entry!$C496="","0000",IF(AND(ISNUMBER(Entry!$C496),Entry!$C496&gt;=0,Entry!$C496&lt;1),RIGHT("00"&amp;HOUR(Entry!$C496),2)&amp;RIGHT("00"&amp;MINUTE(Entry!$C496),2),IFERROR(RIGHT("00"&amp;VALUE(LEFT(Entry!$C496,FIND(":",Entry!$C496)-1)),2)&amp;RIGHT("00"&amp;VALUE(MID(Entry!$C496,FIND(":",Entry!$C496)+1,2)),2),"0000"))))</f>
        <v/>
      </c>
      <c r="G493">
        <f>IF($A493="","",Entry!$G496)</f>
        <v/>
      </c>
      <c r="H493">
        <f>IF($A493="","",IF(Entry!$H496="",0,Entry!$H496))</f>
        <v/>
      </c>
      <c r="I493">
        <f>IF($A493="","",IF(Entry!$I496="",0,Entry!$I496))</f>
        <v/>
      </c>
      <c r="J493">
        <f>IF($A493="","",ROUND($H493*$I493,0))</f>
        <v/>
      </c>
      <c r="K493">
        <f>IF($A493="","",Entry!$D496)</f>
        <v/>
      </c>
      <c r="L493">
        <f>IF($A493="","",Entry!$L496)</f>
        <v/>
      </c>
      <c r="N493">
        <f>IF(OR(Sync!$M493="",$Q493="",$Q493="نامعتبر"),"",Sync!$M493)</f>
        <v/>
      </c>
      <c r="O493">
        <f>IF($N493="","",$Q493)</f>
        <v/>
      </c>
      <c r="P493">
        <f>IF($N493="","",LEFT($Q493,4)&amp;MID($Q493,6,2)&amp;RIGHT($Q493,2)&amp;IF(Sync!$K493="","0000",IF(AND(ISNUMBER(Sync!$K493),Sync!$K493&gt;=0,Sync!$K493&lt;1),RIGHT("00"&amp;HOUR(Sync!$K493),2)&amp;RIGHT("00"&amp;MINUTE(Sync!$K493),2),IFERROR(RIGHT("00"&amp;VALUE(LEFT(Sync!$K493,FIND(":",Sync!$K493)-1)),2)&amp;RIGHT("00"&amp;VALUE(MID(Sync!$K493,FIND(":",Sync!$K493)+1,2)),2),"0000")))&amp;"|"&amp;"2"&amp;RIGHT("00000"&amp;488,5))</f>
        <v/>
      </c>
      <c r="Q493">
        <f>IF(Sync!$J493="","",IF(ISNUMBER(Sync!$J493),IF(AND(Sync!$J493&gt;=10000101,Sync!$J493&lt;=99991231),INT(Sync!$J493/10000)&amp;"/"&amp;RIGHT("00"&amp;INT(MOD(Sync!$J493,10000)/100),2)&amp;"/"&amp;RIGHT("00"&amp;MOD(Sync!$J493,100),2),"نامعتبر"),IF(LEN(Sync!$J493)=10,Sync!$J493,"نامعتبر")))</f>
        <v/>
      </c>
      <c r="R493">
        <f>IF($P493="","",COUNTIFS($N$6:$N$2005,$N493,$P$6:$P$2005,"&lt;"&amp;$P493)+COUNTIFS($A$6:$A$1005,$N493,$B$6:$B$1005,"&lt;"&amp;$P493)+1)</f>
        <v/>
      </c>
      <c r="S493">
        <f>IF($N493="","",$N493&amp;"|"&amp;RIGHT("000000"&amp;$R493,6))</f>
        <v/>
      </c>
      <c r="T493">
        <f>IF($N493="","",IF(Sync!$N493="",0,Sync!$N493))</f>
        <v/>
      </c>
      <c r="U493">
        <f>IF($N493="","",IF(Sync!$O493="",0,Sync!$O493))</f>
        <v/>
      </c>
      <c r="V493">
        <f>IF($N493="","",Sync!$L493)</f>
        <v/>
      </c>
      <c r="W493">
        <f>IF($N493="","",Sync!$P493)</f>
        <v/>
      </c>
      <c r="AA493">
        <f>IF($A493="","",IF(COUNTIF($A$6:$A493,$A493)=1,1,0))</f>
        <v/>
      </c>
      <c r="AB493">
        <f>SUM($AA$6:$AA493)</f>
        <v/>
      </c>
      <c r="AC493">
        <f>IFERROR(INDEX($A$6:$A$1005,MATCH(ROW()-5,$AB$6:$AB$1005,0)),"")</f>
        <v/>
      </c>
    </row>
    <row r="494">
      <c r="A494">
        <f>IF(OR(Entry!$B497="",Entry!$E497="",$E494="نامعتبر"),"",Entry!$E497)</f>
        <v/>
      </c>
      <c r="B494">
        <f>IF($A494="","",LEFT($E494,4)&amp;MID($E494,6,2)&amp;RIGHT($E494,2)&amp;$F494&amp;"|"&amp;"1"&amp;RIGHT("00000"&amp;489,5))</f>
        <v/>
      </c>
      <c r="C494">
        <f>IF($B494="","",COUNTIFS($A$6:$A$1005,$A494,$B$6:$B$1005,"&lt;"&amp;$B494)+COUNTIFS($N$6:$N$2005,$A494,$P$6:$P$2005,"&lt;"&amp;$B494)+1)</f>
        <v/>
      </c>
      <c r="D494">
        <f>IF($C494="","",$A494&amp;"|"&amp;RIGHT("000000"&amp;$C494,6))</f>
        <v/>
      </c>
      <c r="E494">
        <f>IF(Entry!$B497="","",IF(ISNUMBER(Entry!$B497),IF(AND(Entry!$B497&gt;=10000101,Entry!$B497&lt;=99991231),INT(Entry!$B497/10000)&amp;"/"&amp;RIGHT("00"&amp;INT(MOD(Entry!$B497,10000)/100),2)&amp;"/"&amp;RIGHT("00"&amp;MOD(Entry!$B497,100),2),"نامعتبر"),IF(LEN(Entry!$B497)=10,Entry!$B497,"نامعتبر")))</f>
        <v/>
      </c>
      <c r="F494">
        <f>IF(Entry!$B497="","",IF(Entry!$C497="","0000",IF(AND(ISNUMBER(Entry!$C497),Entry!$C497&gt;=0,Entry!$C497&lt;1),RIGHT("00"&amp;HOUR(Entry!$C497),2)&amp;RIGHT("00"&amp;MINUTE(Entry!$C497),2),IFERROR(RIGHT("00"&amp;VALUE(LEFT(Entry!$C497,FIND(":",Entry!$C497)-1)),2)&amp;RIGHT("00"&amp;VALUE(MID(Entry!$C497,FIND(":",Entry!$C497)+1,2)),2),"0000"))))</f>
        <v/>
      </c>
      <c r="G494">
        <f>IF($A494="","",Entry!$G497)</f>
        <v/>
      </c>
      <c r="H494">
        <f>IF($A494="","",IF(Entry!$H497="",0,Entry!$H497))</f>
        <v/>
      </c>
      <c r="I494">
        <f>IF($A494="","",IF(Entry!$I497="",0,Entry!$I497))</f>
        <v/>
      </c>
      <c r="J494">
        <f>IF($A494="","",ROUND($H494*$I494,0))</f>
        <v/>
      </c>
      <c r="K494">
        <f>IF($A494="","",Entry!$D497)</f>
        <v/>
      </c>
      <c r="L494">
        <f>IF($A494="","",Entry!$L497)</f>
        <v/>
      </c>
      <c r="N494">
        <f>IF(OR(Sync!$M494="",$Q494="",$Q494="نامعتبر"),"",Sync!$M494)</f>
        <v/>
      </c>
      <c r="O494">
        <f>IF($N494="","",$Q494)</f>
        <v/>
      </c>
      <c r="P494">
        <f>IF($N494="","",LEFT($Q494,4)&amp;MID($Q494,6,2)&amp;RIGHT($Q494,2)&amp;IF(Sync!$K494="","0000",IF(AND(ISNUMBER(Sync!$K494),Sync!$K494&gt;=0,Sync!$K494&lt;1),RIGHT("00"&amp;HOUR(Sync!$K494),2)&amp;RIGHT("00"&amp;MINUTE(Sync!$K494),2),IFERROR(RIGHT("00"&amp;VALUE(LEFT(Sync!$K494,FIND(":",Sync!$K494)-1)),2)&amp;RIGHT("00"&amp;VALUE(MID(Sync!$K494,FIND(":",Sync!$K494)+1,2)),2),"0000")))&amp;"|"&amp;"2"&amp;RIGHT("00000"&amp;489,5))</f>
        <v/>
      </c>
      <c r="Q494">
        <f>IF(Sync!$J494="","",IF(ISNUMBER(Sync!$J494),IF(AND(Sync!$J494&gt;=10000101,Sync!$J494&lt;=99991231),INT(Sync!$J494/10000)&amp;"/"&amp;RIGHT("00"&amp;INT(MOD(Sync!$J494,10000)/100),2)&amp;"/"&amp;RIGHT("00"&amp;MOD(Sync!$J494,100),2),"نامعتبر"),IF(LEN(Sync!$J494)=10,Sync!$J494,"نامعتبر")))</f>
        <v/>
      </c>
      <c r="R494">
        <f>IF($P494="","",COUNTIFS($N$6:$N$2005,$N494,$P$6:$P$2005,"&lt;"&amp;$P494)+COUNTIFS($A$6:$A$1005,$N494,$B$6:$B$1005,"&lt;"&amp;$P494)+1)</f>
        <v/>
      </c>
      <c r="S494">
        <f>IF($N494="","",$N494&amp;"|"&amp;RIGHT("000000"&amp;$R494,6))</f>
        <v/>
      </c>
      <c r="T494">
        <f>IF($N494="","",IF(Sync!$N494="",0,Sync!$N494))</f>
        <v/>
      </c>
      <c r="U494">
        <f>IF($N494="","",IF(Sync!$O494="",0,Sync!$O494))</f>
        <v/>
      </c>
      <c r="V494">
        <f>IF($N494="","",Sync!$L494)</f>
        <v/>
      </c>
      <c r="W494">
        <f>IF($N494="","",Sync!$P494)</f>
        <v/>
      </c>
      <c r="AA494">
        <f>IF($A494="","",IF(COUNTIF($A$6:$A494,$A494)=1,1,0))</f>
        <v/>
      </c>
      <c r="AB494">
        <f>SUM($AA$6:$AA494)</f>
        <v/>
      </c>
      <c r="AC494">
        <f>IFERROR(INDEX($A$6:$A$1005,MATCH(ROW()-5,$AB$6:$AB$1005,0)),"")</f>
        <v/>
      </c>
    </row>
    <row r="495">
      <c r="A495">
        <f>IF(OR(Entry!$B498="",Entry!$E498="",$E495="نامعتبر"),"",Entry!$E498)</f>
        <v/>
      </c>
      <c r="B495">
        <f>IF($A495="","",LEFT($E495,4)&amp;MID($E495,6,2)&amp;RIGHT($E495,2)&amp;$F495&amp;"|"&amp;"1"&amp;RIGHT("00000"&amp;490,5))</f>
        <v/>
      </c>
      <c r="C495">
        <f>IF($B495="","",COUNTIFS($A$6:$A$1005,$A495,$B$6:$B$1005,"&lt;"&amp;$B495)+COUNTIFS($N$6:$N$2005,$A495,$P$6:$P$2005,"&lt;"&amp;$B495)+1)</f>
        <v/>
      </c>
      <c r="D495">
        <f>IF($C495="","",$A495&amp;"|"&amp;RIGHT("000000"&amp;$C495,6))</f>
        <v/>
      </c>
      <c r="E495">
        <f>IF(Entry!$B498="","",IF(ISNUMBER(Entry!$B498),IF(AND(Entry!$B498&gt;=10000101,Entry!$B498&lt;=99991231),INT(Entry!$B498/10000)&amp;"/"&amp;RIGHT("00"&amp;INT(MOD(Entry!$B498,10000)/100),2)&amp;"/"&amp;RIGHT("00"&amp;MOD(Entry!$B498,100),2),"نامعتبر"),IF(LEN(Entry!$B498)=10,Entry!$B498,"نامعتبر")))</f>
        <v/>
      </c>
      <c r="F495">
        <f>IF(Entry!$B498="","",IF(Entry!$C498="","0000",IF(AND(ISNUMBER(Entry!$C498),Entry!$C498&gt;=0,Entry!$C498&lt;1),RIGHT("00"&amp;HOUR(Entry!$C498),2)&amp;RIGHT("00"&amp;MINUTE(Entry!$C498),2),IFERROR(RIGHT("00"&amp;VALUE(LEFT(Entry!$C498,FIND(":",Entry!$C498)-1)),2)&amp;RIGHT("00"&amp;VALUE(MID(Entry!$C498,FIND(":",Entry!$C498)+1,2)),2),"0000"))))</f>
        <v/>
      </c>
      <c r="G495">
        <f>IF($A495="","",Entry!$G498)</f>
        <v/>
      </c>
      <c r="H495">
        <f>IF($A495="","",IF(Entry!$H498="",0,Entry!$H498))</f>
        <v/>
      </c>
      <c r="I495">
        <f>IF($A495="","",IF(Entry!$I498="",0,Entry!$I498))</f>
        <v/>
      </c>
      <c r="J495">
        <f>IF($A495="","",ROUND($H495*$I495,0))</f>
        <v/>
      </c>
      <c r="K495">
        <f>IF($A495="","",Entry!$D498)</f>
        <v/>
      </c>
      <c r="L495">
        <f>IF($A495="","",Entry!$L498)</f>
        <v/>
      </c>
      <c r="N495">
        <f>IF(OR(Sync!$M495="",$Q495="",$Q495="نامعتبر"),"",Sync!$M495)</f>
        <v/>
      </c>
      <c r="O495">
        <f>IF($N495="","",$Q495)</f>
        <v/>
      </c>
      <c r="P495">
        <f>IF($N495="","",LEFT($Q495,4)&amp;MID($Q495,6,2)&amp;RIGHT($Q495,2)&amp;IF(Sync!$K495="","0000",IF(AND(ISNUMBER(Sync!$K495),Sync!$K495&gt;=0,Sync!$K495&lt;1),RIGHT("00"&amp;HOUR(Sync!$K495),2)&amp;RIGHT("00"&amp;MINUTE(Sync!$K495),2),IFERROR(RIGHT("00"&amp;VALUE(LEFT(Sync!$K495,FIND(":",Sync!$K495)-1)),2)&amp;RIGHT("00"&amp;VALUE(MID(Sync!$K495,FIND(":",Sync!$K495)+1,2)),2),"0000")))&amp;"|"&amp;"2"&amp;RIGHT("00000"&amp;490,5))</f>
        <v/>
      </c>
      <c r="Q495">
        <f>IF(Sync!$J495="","",IF(ISNUMBER(Sync!$J495),IF(AND(Sync!$J495&gt;=10000101,Sync!$J495&lt;=99991231),INT(Sync!$J495/10000)&amp;"/"&amp;RIGHT("00"&amp;INT(MOD(Sync!$J495,10000)/100),2)&amp;"/"&amp;RIGHT("00"&amp;MOD(Sync!$J495,100),2),"نامعتبر"),IF(LEN(Sync!$J495)=10,Sync!$J495,"نامعتبر")))</f>
        <v/>
      </c>
      <c r="R495">
        <f>IF($P495="","",COUNTIFS($N$6:$N$2005,$N495,$P$6:$P$2005,"&lt;"&amp;$P495)+COUNTIFS($A$6:$A$1005,$N495,$B$6:$B$1005,"&lt;"&amp;$P495)+1)</f>
        <v/>
      </c>
      <c r="S495">
        <f>IF($N495="","",$N495&amp;"|"&amp;RIGHT("000000"&amp;$R495,6))</f>
        <v/>
      </c>
      <c r="T495">
        <f>IF($N495="","",IF(Sync!$N495="",0,Sync!$N495))</f>
        <v/>
      </c>
      <c r="U495">
        <f>IF($N495="","",IF(Sync!$O495="",0,Sync!$O495))</f>
        <v/>
      </c>
      <c r="V495">
        <f>IF($N495="","",Sync!$L495)</f>
        <v/>
      </c>
      <c r="W495">
        <f>IF($N495="","",Sync!$P495)</f>
        <v/>
      </c>
      <c r="AA495">
        <f>IF($A495="","",IF(COUNTIF($A$6:$A495,$A495)=1,1,0))</f>
        <v/>
      </c>
      <c r="AB495">
        <f>SUM($AA$6:$AA495)</f>
        <v/>
      </c>
      <c r="AC495">
        <f>IFERROR(INDEX($A$6:$A$1005,MATCH(ROW()-5,$AB$6:$AB$1005,0)),"")</f>
        <v/>
      </c>
    </row>
    <row r="496">
      <c r="A496">
        <f>IF(OR(Entry!$B499="",Entry!$E499="",$E496="نامعتبر"),"",Entry!$E499)</f>
        <v/>
      </c>
      <c r="B496">
        <f>IF($A496="","",LEFT($E496,4)&amp;MID($E496,6,2)&amp;RIGHT($E496,2)&amp;$F496&amp;"|"&amp;"1"&amp;RIGHT("00000"&amp;491,5))</f>
        <v/>
      </c>
      <c r="C496">
        <f>IF($B496="","",COUNTIFS($A$6:$A$1005,$A496,$B$6:$B$1005,"&lt;"&amp;$B496)+COUNTIFS($N$6:$N$2005,$A496,$P$6:$P$2005,"&lt;"&amp;$B496)+1)</f>
        <v/>
      </c>
      <c r="D496">
        <f>IF($C496="","",$A496&amp;"|"&amp;RIGHT("000000"&amp;$C496,6))</f>
        <v/>
      </c>
      <c r="E496">
        <f>IF(Entry!$B499="","",IF(ISNUMBER(Entry!$B499),IF(AND(Entry!$B499&gt;=10000101,Entry!$B499&lt;=99991231),INT(Entry!$B499/10000)&amp;"/"&amp;RIGHT("00"&amp;INT(MOD(Entry!$B499,10000)/100),2)&amp;"/"&amp;RIGHT("00"&amp;MOD(Entry!$B499,100),2),"نامعتبر"),IF(LEN(Entry!$B499)=10,Entry!$B499,"نامعتبر")))</f>
        <v/>
      </c>
      <c r="F496">
        <f>IF(Entry!$B499="","",IF(Entry!$C499="","0000",IF(AND(ISNUMBER(Entry!$C499),Entry!$C499&gt;=0,Entry!$C499&lt;1),RIGHT("00"&amp;HOUR(Entry!$C499),2)&amp;RIGHT("00"&amp;MINUTE(Entry!$C499),2),IFERROR(RIGHT("00"&amp;VALUE(LEFT(Entry!$C499,FIND(":",Entry!$C499)-1)),2)&amp;RIGHT("00"&amp;VALUE(MID(Entry!$C499,FIND(":",Entry!$C499)+1,2)),2),"0000"))))</f>
        <v/>
      </c>
      <c r="G496">
        <f>IF($A496="","",Entry!$G499)</f>
        <v/>
      </c>
      <c r="H496">
        <f>IF($A496="","",IF(Entry!$H499="",0,Entry!$H499))</f>
        <v/>
      </c>
      <c r="I496">
        <f>IF($A496="","",IF(Entry!$I499="",0,Entry!$I499))</f>
        <v/>
      </c>
      <c r="J496">
        <f>IF($A496="","",ROUND($H496*$I496,0))</f>
        <v/>
      </c>
      <c r="K496">
        <f>IF($A496="","",Entry!$D499)</f>
        <v/>
      </c>
      <c r="L496">
        <f>IF($A496="","",Entry!$L499)</f>
        <v/>
      </c>
      <c r="N496">
        <f>IF(OR(Sync!$M496="",$Q496="",$Q496="نامعتبر"),"",Sync!$M496)</f>
        <v/>
      </c>
      <c r="O496">
        <f>IF($N496="","",$Q496)</f>
        <v/>
      </c>
      <c r="P496">
        <f>IF($N496="","",LEFT($Q496,4)&amp;MID($Q496,6,2)&amp;RIGHT($Q496,2)&amp;IF(Sync!$K496="","0000",IF(AND(ISNUMBER(Sync!$K496),Sync!$K496&gt;=0,Sync!$K496&lt;1),RIGHT("00"&amp;HOUR(Sync!$K496),2)&amp;RIGHT("00"&amp;MINUTE(Sync!$K496),2),IFERROR(RIGHT("00"&amp;VALUE(LEFT(Sync!$K496,FIND(":",Sync!$K496)-1)),2)&amp;RIGHT("00"&amp;VALUE(MID(Sync!$K496,FIND(":",Sync!$K496)+1,2)),2),"0000")))&amp;"|"&amp;"2"&amp;RIGHT("00000"&amp;491,5))</f>
        <v/>
      </c>
      <c r="Q496">
        <f>IF(Sync!$J496="","",IF(ISNUMBER(Sync!$J496),IF(AND(Sync!$J496&gt;=10000101,Sync!$J496&lt;=99991231),INT(Sync!$J496/10000)&amp;"/"&amp;RIGHT("00"&amp;INT(MOD(Sync!$J496,10000)/100),2)&amp;"/"&amp;RIGHT("00"&amp;MOD(Sync!$J496,100),2),"نامعتبر"),IF(LEN(Sync!$J496)=10,Sync!$J496,"نامعتبر")))</f>
        <v/>
      </c>
      <c r="R496">
        <f>IF($P496="","",COUNTIFS($N$6:$N$2005,$N496,$P$6:$P$2005,"&lt;"&amp;$P496)+COUNTIFS($A$6:$A$1005,$N496,$B$6:$B$1005,"&lt;"&amp;$P496)+1)</f>
        <v/>
      </c>
      <c r="S496">
        <f>IF($N496="","",$N496&amp;"|"&amp;RIGHT("000000"&amp;$R496,6))</f>
        <v/>
      </c>
      <c r="T496">
        <f>IF($N496="","",IF(Sync!$N496="",0,Sync!$N496))</f>
        <v/>
      </c>
      <c r="U496">
        <f>IF($N496="","",IF(Sync!$O496="",0,Sync!$O496))</f>
        <v/>
      </c>
      <c r="V496">
        <f>IF($N496="","",Sync!$L496)</f>
        <v/>
      </c>
      <c r="W496">
        <f>IF($N496="","",Sync!$P496)</f>
        <v/>
      </c>
      <c r="AA496">
        <f>IF($A496="","",IF(COUNTIF($A$6:$A496,$A496)=1,1,0))</f>
        <v/>
      </c>
      <c r="AB496">
        <f>SUM($AA$6:$AA496)</f>
        <v/>
      </c>
      <c r="AC496">
        <f>IFERROR(INDEX($A$6:$A$1005,MATCH(ROW()-5,$AB$6:$AB$1005,0)),"")</f>
        <v/>
      </c>
    </row>
    <row r="497">
      <c r="A497">
        <f>IF(OR(Entry!$B500="",Entry!$E500="",$E497="نامعتبر"),"",Entry!$E500)</f>
        <v/>
      </c>
      <c r="B497">
        <f>IF($A497="","",LEFT($E497,4)&amp;MID($E497,6,2)&amp;RIGHT($E497,2)&amp;$F497&amp;"|"&amp;"1"&amp;RIGHT("00000"&amp;492,5))</f>
        <v/>
      </c>
      <c r="C497">
        <f>IF($B497="","",COUNTIFS($A$6:$A$1005,$A497,$B$6:$B$1005,"&lt;"&amp;$B497)+COUNTIFS($N$6:$N$2005,$A497,$P$6:$P$2005,"&lt;"&amp;$B497)+1)</f>
        <v/>
      </c>
      <c r="D497">
        <f>IF($C497="","",$A497&amp;"|"&amp;RIGHT("000000"&amp;$C497,6))</f>
        <v/>
      </c>
      <c r="E497">
        <f>IF(Entry!$B500="","",IF(ISNUMBER(Entry!$B500),IF(AND(Entry!$B500&gt;=10000101,Entry!$B500&lt;=99991231),INT(Entry!$B500/10000)&amp;"/"&amp;RIGHT("00"&amp;INT(MOD(Entry!$B500,10000)/100),2)&amp;"/"&amp;RIGHT("00"&amp;MOD(Entry!$B500,100),2),"نامعتبر"),IF(LEN(Entry!$B500)=10,Entry!$B500,"نامعتبر")))</f>
        <v/>
      </c>
      <c r="F497">
        <f>IF(Entry!$B500="","",IF(Entry!$C500="","0000",IF(AND(ISNUMBER(Entry!$C500),Entry!$C500&gt;=0,Entry!$C500&lt;1),RIGHT("00"&amp;HOUR(Entry!$C500),2)&amp;RIGHT("00"&amp;MINUTE(Entry!$C500),2),IFERROR(RIGHT("00"&amp;VALUE(LEFT(Entry!$C500,FIND(":",Entry!$C500)-1)),2)&amp;RIGHT("00"&amp;VALUE(MID(Entry!$C500,FIND(":",Entry!$C500)+1,2)),2),"0000"))))</f>
        <v/>
      </c>
      <c r="G497">
        <f>IF($A497="","",Entry!$G500)</f>
        <v/>
      </c>
      <c r="H497">
        <f>IF($A497="","",IF(Entry!$H500="",0,Entry!$H500))</f>
        <v/>
      </c>
      <c r="I497">
        <f>IF($A497="","",IF(Entry!$I500="",0,Entry!$I500))</f>
        <v/>
      </c>
      <c r="J497">
        <f>IF($A497="","",ROUND($H497*$I497,0))</f>
        <v/>
      </c>
      <c r="K497">
        <f>IF($A497="","",Entry!$D500)</f>
        <v/>
      </c>
      <c r="L497">
        <f>IF($A497="","",Entry!$L500)</f>
        <v/>
      </c>
      <c r="N497">
        <f>IF(OR(Sync!$M497="",$Q497="",$Q497="نامعتبر"),"",Sync!$M497)</f>
        <v/>
      </c>
      <c r="O497">
        <f>IF($N497="","",$Q497)</f>
        <v/>
      </c>
      <c r="P497">
        <f>IF($N497="","",LEFT($Q497,4)&amp;MID($Q497,6,2)&amp;RIGHT($Q497,2)&amp;IF(Sync!$K497="","0000",IF(AND(ISNUMBER(Sync!$K497),Sync!$K497&gt;=0,Sync!$K497&lt;1),RIGHT("00"&amp;HOUR(Sync!$K497),2)&amp;RIGHT("00"&amp;MINUTE(Sync!$K497),2),IFERROR(RIGHT("00"&amp;VALUE(LEFT(Sync!$K497,FIND(":",Sync!$K497)-1)),2)&amp;RIGHT("00"&amp;VALUE(MID(Sync!$K497,FIND(":",Sync!$K497)+1,2)),2),"0000")))&amp;"|"&amp;"2"&amp;RIGHT("00000"&amp;492,5))</f>
        <v/>
      </c>
      <c r="Q497">
        <f>IF(Sync!$J497="","",IF(ISNUMBER(Sync!$J497),IF(AND(Sync!$J497&gt;=10000101,Sync!$J497&lt;=99991231),INT(Sync!$J497/10000)&amp;"/"&amp;RIGHT("00"&amp;INT(MOD(Sync!$J497,10000)/100),2)&amp;"/"&amp;RIGHT("00"&amp;MOD(Sync!$J497,100),2),"نامعتبر"),IF(LEN(Sync!$J497)=10,Sync!$J497,"نامعتبر")))</f>
        <v/>
      </c>
      <c r="R497">
        <f>IF($P497="","",COUNTIFS($N$6:$N$2005,$N497,$P$6:$P$2005,"&lt;"&amp;$P497)+COUNTIFS($A$6:$A$1005,$N497,$B$6:$B$1005,"&lt;"&amp;$P497)+1)</f>
        <v/>
      </c>
      <c r="S497">
        <f>IF($N497="","",$N497&amp;"|"&amp;RIGHT("000000"&amp;$R497,6))</f>
        <v/>
      </c>
      <c r="T497">
        <f>IF($N497="","",IF(Sync!$N497="",0,Sync!$N497))</f>
        <v/>
      </c>
      <c r="U497">
        <f>IF($N497="","",IF(Sync!$O497="",0,Sync!$O497))</f>
        <v/>
      </c>
      <c r="V497">
        <f>IF($N497="","",Sync!$L497)</f>
        <v/>
      </c>
      <c r="W497">
        <f>IF($N497="","",Sync!$P497)</f>
        <v/>
      </c>
      <c r="AA497">
        <f>IF($A497="","",IF(COUNTIF($A$6:$A497,$A497)=1,1,0))</f>
        <v/>
      </c>
      <c r="AB497">
        <f>SUM($AA$6:$AA497)</f>
        <v/>
      </c>
      <c r="AC497">
        <f>IFERROR(INDEX($A$6:$A$1005,MATCH(ROW()-5,$AB$6:$AB$1005,0)),"")</f>
        <v/>
      </c>
    </row>
    <row r="498">
      <c r="A498">
        <f>IF(OR(Entry!$B501="",Entry!$E501="",$E498="نامعتبر"),"",Entry!$E501)</f>
        <v/>
      </c>
      <c r="B498">
        <f>IF($A498="","",LEFT($E498,4)&amp;MID($E498,6,2)&amp;RIGHT($E498,2)&amp;$F498&amp;"|"&amp;"1"&amp;RIGHT("00000"&amp;493,5))</f>
        <v/>
      </c>
      <c r="C498">
        <f>IF($B498="","",COUNTIFS($A$6:$A$1005,$A498,$B$6:$B$1005,"&lt;"&amp;$B498)+COUNTIFS($N$6:$N$2005,$A498,$P$6:$P$2005,"&lt;"&amp;$B498)+1)</f>
        <v/>
      </c>
      <c r="D498">
        <f>IF($C498="","",$A498&amp;"|"&amp;RIGHT("000000"&amp;$C498,6))</f>
        <v/>
      </c>
      <c r="E498">
        <f>IF(Entry!$B501="","",IF(ISNUMBER(Entry!$B501),IF(AND(Entry!$B501&gt;=10000101,Entry!$B501&lt;=99991231),INT(Entry!$B501/10000)&amp;"/"&amp;RIGHT("00"&amp;INT(MOD(Entry!$B501,10000)/100),2)&amp;"/"&amp;RIGHT("00"&amp;MOD(Entry!$B501,100),2),"نامعتبر"),IF(LEN(Entry!$B501)=10,Entry!$B501,"نامعتبر")))</f>
        <v/>
      </c>
      <c r="F498">
        <f>IF(Entry!$B501="","",IF(Entry!$C501="","0000",IF(AND(ISNUMBER(Entry!$C501),Entry!$C501&gt;=0,Entry!$C501&lt;1),RIGHT("00"&amp;HOUR(Entry!$C501),2)&amp;RIGHT("00"&amp;MINUTE(Entry!$C501),2),IFERROR(RIGHT("00"&amp;VALUE(LEFT(Entry!$C501,FIND(":",Entry!$C501)-1)),2)&amp;RIGHT("00"&amp;VALUE(MID(Entry!$C501,FIND(":",Entry!$C501)+1,2)),2),"0000"))))</f>
        <v/>
      </c>
      <c r="G498">
        <f>IF($A498="","",Entry!$G501)</f>
        <v/>
      </c>
      <c r="H498">
        <f>IF($A498="","",IF(Entry!$H501="",0,Entry!$H501))</f>
        <v/>
      </c>
      <c r="I498">
        <f>IF($A498="","",IF(Entry!$I501="",0,Entry!$I501))</f>
        <v/>
      </c>
      <c r="J498">
        <f>IF($A498="","",ROUND($H498*$I498,0))</f>
        <v/>
      </c>
      <c r="K498">
        <f>IF($A498="","",Entry!$D501)</f>
        <v/>
      </c>
      <c r="L498">
        <f>IF($A498="","",Entry!$L501)</f>
        <v/>
      </c>
      <c r="N498">
        <f>IF(OR(Sync!$M498="",$Q498="",$Q498="نامعتبر"),"",Sync!$M498)</f>
        <v/>
      </c>
      <c r="O498">
        <f>IF($N498="","",$Q498)</f>
        <v/>
      </c>
      <c r="P498">
        <f>IF($N498="","",LEFT($Q498,4)&amp;MID($Q498,6,2)&amp;RIGHT($Q498,2)&amp;IF(Sync!$K498="","0000",IF(AND(ISNUMBER(Sync!$K498),Sync!$K498&gt;=0,Sync!$K498&lt;1),RIGHT("00"&amp;HOUR(Sync!$K498),2)&amp;RIGHT("00"&amp;MINUTE(Sync!$K498),2),IFERROR(RIGHT("00"&amp;VALUE(LEFT(Sync!$K498,FIND(":",Sync!$K498)-1)),2)&amp;RIGHT("00"&amp;VALUE(MID(Sync!$K498,FIND(":",Sync!$K498)+1,2)),2),"0000")))&amp;"|"&amp;"2"&amp;RIGHT("00000"&amp;493,5))</f>
        <v/>
      </c>
      <c r="Q498">
        <f>IF(Sync!$J498="","",IF(ISNUMBER(Sync!$J498),IF(AND(Sync!$J498&gt;=10000101,Sync!$J498&lt;=99991231),INT(Sync!$J498/10000)&amp;"/"&amp;RIGHT("00"&amp;INT(MOD(Sync!$J498,10000)/100),2)&amp;"/"&amp;RIGHT("00"&amp;MOD(Sync!$J498,100),2),"نامعتبر"),IF(LEN(Sync!$J498)=10,Sync!$J498,"نامعتبر")))</f>
        <v/>
      </c>
      <c r="R498">
        <f>IF($P498="","",COUNTIFS($N$6:$N$2005,$N498,$P$6:$P$2005,"&lt;"&amp;$P498)+COUNTIFS($A$6:$A$1005,$N498,$B$6:$B$1005,"&lt;"&amp;$P498)+1)</f>
        <v/>
      </c>
      <c r="S498">
        <f>IF($N498="","",$N498&amp;"|"&amp;RIGHT("000000"&amp;$R498,6))</f>
        <v/>
      </c>
      <c r="T498">
        <f>IF($N498="","",IF(Sync!$N498="",0,Sync!$N498))</f>
        <v/>
      </c>
      <c r="U498">
        <f>IF($N498="","",IF(Sync!$O498="",0,Sync!$O498))</f>
        <v/>
      </c>
      <c r="V498">
        <f>IF($N498="","",Sync!$L498)</f>
        <v/>
      </c>
      <c r="W498">
        <f>IF($N498="","",Sync!$P498)</f>
        <v/>
      </c>
      <c r="AA498">
        <f>IF($A498="","",IF(COUNTIF($A$6:$A498,$A498)=1,1,0))</f>
        <v/>
      </c>
      <c r="AB498">
        <f>SUM($AA$6:$AA498)</f>
        <v/>
      </c>
      <c r="AC498">
        <f>IFERROR(INDEX($A$6:$A$1005,MATCH(ROW()-5,$AB$6:$AB$1005,0)),"")</f>
        <v/>
      </c>
    </row>
    <row r="499">
      <c r="A499">
        <f>IF(OR(Entry!$B502="",Entry!$E502="",$E499="نامعتبر"),"",Entry!$E502)</f>
        <v/>
      </c>
      <c r="B499">
        <f>IF($A499="","",LEFT($E499,4)&amp;MID($E499,6,2)&amp;RIGHT($E499,2)&amp;$F499&amp;"|"&amp;"1"&amp;RIGHT("00000"&amp;494,5))</f>
        <v/>
      </c>
      <c r="C499">
        <f>IF($B499="","",COUNTIFS($A$6:$A$1005,$A499,$B$6:$B$1005,"&lt;"&amp;$B499)+COUNTIFS($N$6:$N$2005,$A499,$P$6:$P$2005,"&lt;"&amp;$B499)+1)</f>
        <v/>
      </c>
      <c r="D499">
        <f>IF($C499="","",$A499&amp;"|"&amp;RIGHT("000000"&amp;$C499,6))</f>
        <v/>
      </c>
      <c r="E499">
        <f>IF(Entry!$B502="","",IF(ISNUMBER(Entry!$B502),IF(AND(Entry!$B502&gt;=10000101,Entry!$B502&lt;=99991231),INT(Entry!$B502/10000)&amp;"/"&amp;RIGHT("00"&amp;INT(MOD(Entry!$B502,10000)/100),2)&amp;"/"&amp;RIGHT("00"&amp;MOD(Entry!$B502,100),2),"نامعتبر"),IF(LEN(Entry!$B502)=10,Entry!$B502,"نامعتبر")))</f>
        <v/>
      </c>
      <c r="F499">
        <f>IF(Entry!$B502="","",IF(Entry!$C502="","0000",IF(AND(ISNUMBER(Entry!$C502),Entry!$C502&gt;=0,Entry!$C502&lt;1),RIGHT("00"&amp;HOUR(Entry!$C502),2)&amp;RIGHT("00"&amp;MINUTE(Entry!$C502),2),IFERROR(RIGHT("00"&amp;VALUE(LEFT(Entry!$C502,FIND(":",Entry!$C502)-1)),2)&amp;RIGHT("00"&amp;VALUE(MID(Entry!$C502,FIND(":",Entry!$C502)+1,2)),2),"0000"))))</f>
        <v/>
      </c>
      <c r="G499">
        <f>IF($A499="","",Entry!$G502)</f>
        <v/>
      </c>
      <c r="H499">
        <f>IF($A499="","",IF(Entry!$H502="",0,Entry!$H502))</f>
        <v/>
      </c>
      <c r="I499">
        <f>IF($A499="","",IF(Entry!$I502="",0,Entry!$I502))</f>
        <v/>
      </c>
      <c r="J499">
        <f>IF($A499="","",ROUND($H499*$I499,0))</f>
        <v/>
      </c>
      <c r="K499">
        <f>IF($A499="","",Entry!$D502)</f>
        <v/>
      </c>
      <c r="L499">
        <f>IF($A499="","",Entry!$L502)</f>
        <v/>
      </c>
      <c r="N499">
        <f>IF(OR(Sync!$M499="",$Q499="",$Q499="نامعتبر"),"",Sync!$M499)</f>
        <v/>
      </c>
      <c r="O499">
        <f>IF($N499="","",$Q499)</f>
        <v/>
      </c>
      <c r="P499">
        <f>IF($N499="","",LEFT($Q499,4)&amp;MID($Q499,6,2)&amp;RIGHT($Q499,2)&amp;IF(Sync!$K499="","0000",IF(AND(ISNUMBER(Sync!$K499),Sync!$K499&gt;=0,Sync!$K499&lt;1),RIGHT("00"&amp;HOUR(Sync!$K499),2)&amp;RIGHT("00"&amp;MINUTE(Sync!$K499),2),IFERROR(RIGHT("00"&amp;VALUE(LEFT(Sync!$K499,FIND(":",Sync!$K499)-1)),2)&amp;RIGHT("00"&amp;VALUE(MID(Sync!$K499,FIND(":",Sync!$K499)+1,2)),2),"0000")))&amp;"|"&amp;"2"&amp;RIGHT("00000"&amp;494,5))</f>
        <v/>
      </c>
      <c r="Q499">
        <f>IF(Sync!$J499="","",IF(ISNUMBER(Sync!$J499),IF(AND(Sync!$J499&gt;=10000101,Sync!$J499&lt;=99991231),INT(Sync!$J499/10000)&amp;"/"&amp;RIGHT("00"&amp;INT(MOD(Sync!$J499,10000)/100),2)&amp;"/"&amp;RIGHT("00"&amp;MOD(Sync!$J499,100),2),"نامعتبر"),IF(LEN(Sync!$J499)=10,Sync!$J499,"نامعتبر")))</f>
        <v/>
      </c>
      <c r="R499">
        <f>IF($P499="","",COUNTIFS($N$6:$N$2005,$N499,$P$6:$P$2005,"&lt;"&amp;$P499)+COUNTIFS($A$6:$A$1005,$N499,$B$6:$B$1005,"&lt;"&amp;$P499)+1)</f>
        <v/>
      </c>
      <c r="S499">
        <f>IF($N499="","",$N499&amp;"|"&amp;RIGHT("000000"&amp;$R499,6))</f>
        <v/>
      </c>
      <c r="T499">
        <f>IF($N499="","",IF(Sync!$N499="",0,Sync!$N499))</f>
        <v/>
      </c>
      <c r="U499">
        <f>IF($N499="","",IF(Sync!$O499="",0,Sync!$O499))</f>
        <v/>
      </c>
      <c r="V499">
        <f>IF($N499="","",Sync!$L499)</f>
        <v/>
      </c>
      <c r="W499">
        <f>IF($N499="","",Sync!$P499)</f>
        <v/>
      </c>
      <c r="AA499">
        <f>IF($A499="","",IF(COUNTIF($A$6:$A499,$A499)=1,1,0))</f>
        <v/>
      </c>
      <c r="AB499">
        <f>SUM($AA$6:$AA499)</f>
        <v/>
      </c>
      <c r="AC499">
        <f>IFERROR(INDEX($A$6:$A$1005,MATCH(ROW()-5,$AB$6:$AB$1005,0)),"")</f>
        <v/>
      </c>
    </row>
    <row r="500">
      <c r="A500">
        <f>IF(OR(Entry!$B503="",Entry!$E503="",$E500="نامعتبر"),"",Entry!$E503)</f>
        <v/>
      </c>
      <c r="B500">
        <f>IF($A500="","",LEFT($E500,4)&amp;MID($E500,6,2)&amp;RIGHT($E500,2)&amp;$F500&amp;"|"&amp;"1"&amp;RIGHT("00000"&amp;495,5))</f>
        <v/>
      </c>
      <c r="C500">
        <f>IF($B500="","",COUNTIFS($A$6:$A$1005,$A500,$B$6:$B$1005,"&lt;"&amp;$B500)+COUNTIFS($N$6:$N$2005,$A500,$P$6:$P$2005,"&lt;"&amp;$B500)+1)</f>
        <v/>
      </c>
      <c r="D500">
        <f>IF($C500="","",$A500&amp;"|"&amp;RIGHT("000000"&amp;$C500,6))</f>
        <v/>
      </c>
      <c r="E500">
        <f>IF(Entry!$B503="","",IF(ISNUMBER(Entry!$B503),IF(AND(Entry!$B503&gt;=10000101,Entry!$B503&lt;=99991231),INT(Entry!$B503/10000)&amp;"/"&amp;RIGHT("00"&amp;INT(MOD(Entry!$B503,10000)/100),2)&amp;"/"&amp;RIGHT("00"&amp;MOD(Entry!$B503,100),2),"نامعتبر"),IF(LEN(Entry!$B503)=10,Entry!$B503,"نامعتبر")))</f>
        <v/>
      </c>
      <c r="F500">
        <f>IF(Entry!$B503="","",IF(Entry!$C503="","0000",IF(AND(ISNUMBER(Entry!$C503),Entry!$C503&gt;=0,Entry!$C503&lt;1),RIGHT("00"&amp;HOUR(Entry!$C503),2)&amp;RIGHT("00"&amp;MINUTE(Entry!$C503),2),IFERROR(RIGHT("00"&amp;VALUE(LEFT(Entry!$C503,FIND(":",Entry!$C503)-1)),2)&amp;RIGHT("00"&amp;VALUE(MID(Entry!$C503,FIND(":",Entry!$C503)+1,2)),2),"0000"))))</f>
        <v/>
      </c>
      <c r="G500">
        <f>IF($A500="","",Entry!$G503)</f>
        <v/>
      </c>
      <c r="H500">
        <f>IF($A500="","",IF(Entry!$H503="",0,Entry!$H503))</f>
        <v/>
      </c>
      <c r="I500">
        <f>IF($A500="","",IF(Entry!$I503="",0,Entry!$I503))</f>
        <v/>
      </c>
      <c r="J500">
        <f>IF($A500="","",ROUND($H500*$I500,0))</f>
        <v/>
      </c>
      <c r="K500">
        <f>IF($A500="","",Entry!$D503)</f>
        <v/>
      </c>
      <c r="L500">
        <f>IF($A500="","",Entry!$L503)</f>
        <v/>
      </c>
      <c r="N500">
        <f>IF(OR(Sync!$M500="",$Q500="",$Q500="نامعتبر"),"",Sync!$M500)</f>
        <v/>
      </c>
      <c r="O500">
        <f>IF($N500="","",$Q500)</f>
        <v/>
      </c>
      <c r="P500">
        <f>IF($N500="","",LEFT($Q500,4)&amp;MID($Q500,6,2)&amp;RIGHT($Q500,2)&amp;IF(Sync!$K500="","0000",IF(AND(ISNUMBER(Sync!$K500),Sync!$K500&gt;=0,Sync!$K500&lt;1),RIGHT("00"&amp;HOUR(Sync!$K500),2)&amp;RIGHT("00"&amp;MINUTE(Sync!$K500),2),IFERROR(RIGHT("00"&amp;VALUE(LEFT(Sync!$K500,FIND(":",Sync!$K500)-1)),2)&amp;RIGHT("00"&amp;VALUE(MID(Sync!$K500,FIND(":",Sync!$K500)+1,2)),2),"0000")))&amp;"|"&amp;"2"&amp;RIGHT("00000"&amp;495,5))</f>
        <v/>
      </c>
      <c r="Q500">
        <f>IF(Sync!$J500="","",IF(ISNUMBER(Sync!$J500),IF(AND(Sync!$J500&gt;=10000101,Sync!$J500&lt;=99991231),INT(Sync!$J500/10000)&amp;"/"&amp;RIGHT("00"&amp;INT(MOD(Sync!$J500,10000)/100),2)&amp;"/"&amp;RIGHT("00"&amp;MOD(Sync!$J500,100),2),"نامعتبر"),IF(LEN(Sync!$J500)=10,Sync!$J500,"نامعتبر")))</f>
        <v/>
      </c>
      <c r="R500">
        <f>IF($P500="","",COUNTIFS($N$6:$N$2005,$N500,$P$6:$P$2005,"&lt;"&amp;$P500)+COUNTIFS($A$6:$A$1005,$N500,$B$6:$B$1005,"&lt;"&amp;$P500)+1)</f>
        <v/>
      </c>
      <c r="S500">
        <f>IF($N500="","",$N500&amp;"|"&amp;RIGHT("000000"&amp;$R500,6))</f>
        <v/>
      </c>
      <c r="T500">
        <f>IF($N500="","",IF(Sync!$N500="",0,Sync!$N500))</f>
        <v/>
      </c>
      <c r="U500">
        <f>IF($N500="","",IF(Sync!$O500="",0,Sync!$O500))</f>
        <v/>
      </c>
      <c r="V500">
        <f>IF($N500="","",Sync!$L500)</f>
        <v/>
      </c>
      <c r="W500">
        <f>IF($N500="","",Sync!$P500)</f>
        <v/>
      </c>
      <c r="AA500">
        <f>IF($A500="","",IF(COUNTIF($A$6:$A500,$A500)=1,1,0))</f>
        <v/>
      </c>
      <c r="AB500">
        <f>SUM($AA$6:$AA500)</f>
        <v/>
      </c>
      <c r="AC500">
        <f>IFERROR(INDEX($A$6:$A$1005,MATCH(ROW()-5,$AB$6:$AB$1005,0)),"")</f>
        <v/>
      </c>
    </row>
    <row r="501">
      <c r="A501">
        <f>IF(OR(Entry!$B504="",Entry!$E504="",$E501="نامعتبر"),"",Entry!$E504)</f>
        <v/>
      </c>
      <c r="B501">
        <f>IF($A501="","",LEFT($E501,4)&amp;MID($E501,6,2)&amp;RIGHT($E501,2)&amp;$F501&amp;"|"&amp;"1"&amp;RIGHT("00000"&amp;496,5))</f>
        <v/>
      </c>
      <c r="C501">
        <f>IF($B501="","",COUNTIFS($A$6:$A$1005,$A501,$B$6:$B$1005,"&lt;"&amp;$B501)+COUNTIFS($N$6:$N$2005,$A501,$P$6:$P$2005,"&lt;"&amp;$B501)+1)</f>
        <v/>
      </c>
      <c r="D501">
        <f>IF($C501="","",$A501&amp;"|"&amp;RIGHT("000000"&amp;$C501,6))</f>
        <v/>
      </c>
      <c r="E501">
        <f>IF(Entry!$B504="","",IF(ISNUMBER(Entry!$B504),IF(AND(Entry!$B504&gt;=10000101,Entry!$B504&lt;=99991231),INT(Entry!$B504/10000)&amp;"/"&amp;RIGHT("00"&amp;INT(MOD(Entry!$B504,10000)/100),2)&amp;"/"&amp;RIGHT("00"&amp;MOD(Entry!$B504,100),2),"نامعتبر"),IF(LEN(Entry!$B504)=10,Entry!$B504,"نامعتبر")))</f>
        <v/>
      </c>
      <c r="F501">
        <f>IF(Entry!$B504="","",IF(Entry!$C504="","0000",IF(AND(ISNUMBER(Entry!$C504),Entry!$C504&gt;=0,Entry!$C504&lt;1),RIGHT("00"&amp;HOUR(Entry!$C504),2)&amp;RIGHT("00"&amp;MINUTE(Entry!$C504),2),IFERROR(RIGHT("00"&amp;VALUE(LEFT(Entry!$C504,FIND(":",Entry!$C504)-1)),2)&amp;RIGHT("00"&amp;VALUE(MID(Entry!$C504,FIND(":",Entry!$C504)+1,2)),2),"0000"))))</f>
        <v/>
      </c>
      <c r="G501">
        <f>IF($A501="","",Entry!$G504)</f>
        <v/>
      </c>
      <c r="H501">
        <f>IF($A501="","",IF(Entry!$H504="",0,Entry!$H504))</f>
        <v/>
      </c>
      <c r="I501">
        <f>IF($A501="","",IF(Entry!$I504="",0,Entry!$I504))</f>
        <v/>
      </c>
      <c r="J501">
        <f>IF($A501="","",ROUND($H501*$I501,0))</f>
        <v/>
      </c>
      <c r="K501">
        <f>IF($A501="","",Entry!$D504)</f>
        <v/>
      </c>
      <c r="L501">
        <f>IF($A501="","",Entry!$L504)</f>
        <v/>
      </c>
      <c r="N501">
        <f>IF(OR(Sync!$M501="",$Q501="",$Q501="نامعتبر"),"",Sync!$M501)</f>
        <v/>
      </c>
      <c r="O501">
        <f>IF($N501="","",$Q501)</f>
        <v/>
      </c>
      <c r="P501">
        <f>IF($N501="","",LEFT($Q501,4)&amp;MID($Q501,6,2)&amp;RIGHT($Q501,2)&amp;IF(Sync!$K501="","0000",IF(AND(ISNUMBER(Sync!$K501),Sync!$K501&gt;=0,Sync!$K501&lt;1),RIGHT("00"&amp;HOUR(Sync!$K501),2)&amp;RIGHT("00"&amp;MINUTE(Sync!$K501),2),IFERROR(RIGHT("00"&amp;VALUE(LEFT(Sync!$K501,FIND(":",Sync!$K501)-1)),2)&amp;RIGHT("00"&amp;VALUE(MID(Sync!$K501,FIND(":",Sync!$K501)+1,2)),2),"0000")))&amp;"|"&amp;"2"&amp;RIGHT("00000"&amp;496,5))</f>
        <v/>
      </c>
      <c r="Q501">
        <f>IF(Sync!$J501="","",IF(ISNUMBER(Sync!$J501),IF(AND(Sync!$J501&gt;=10000101,Sync!$J501&lt;=99991231),INT(Sync!$J501/10000)&amp;"/"&amp;RIGHT("00"&amp;INT(MOD(Sync!$J501,10000)/100),2)&amp;"/"&amp;RIGHT("00"&amp;MOD(Sync!$J501,100),2),"نامعتبر"),IF(LEN(Sync!$J501)=10,Sync!$J501,"نامعتبر")))</f>
        <v/>
      </c>
      <c r="R501">
        <f>IF($P501="","",COUNTIFS($N$6:$N$2005,$N501,$P$6:$P$2005,"&lt;"&amp;$P501)+COUNTIFS($A$6:$A$1005,$N501,$B$6:$B$1005,"&lt;"&amp;$P501)+1)</f>
        <v/>
      </c>
      <c r="S501">
        <f>IF($N501="","",$N501&amp;"|"&amp;RIGHT("000000"&amp;$R501,6))</f>
        <v/>
      </c>
      <c r="T501">
        <f>IF($N501="","",IF(Sync!$N501="",0,Sync!$N501))</f>
        <v/>
      </c>
      <c r="U501">
        <f>IF($N501="","",IF(Sync!$O501="",0,Sync!$O501))</f>
        <v/>
      </c>
      <c r="V501">
        <f>IF($N501="","",Sync!$L501)</f>
        <v/>
      </c>
      <c r="W501">
        <f>IF($N501="","",Sync!$P501)</f>
        <v/>
      </c>
      <c r="AA501">
        <f>IF($A501="","",IF(COUNTIF($A$6:$A501,$A501)=1,1,0))</f>
        <v/>
      </c>
      <c r="AB501">
        <f>SUM($AA$6:$AA501)</f>
        <v/>
      </c>
      <c r="AC501">
        <f>IFERROR(INDEX($A$6:$A$1005,MATCH(ROW()-5,$AB$6:$AB$1005,0)),"")</f>
        <v/>
      </c>
    </row>
    <row r="502">
      <c r="A502">
        <f>IF(OR(Entry!$B505="",Entry!$E505="",$E502="نامعتبر"),"",Entry!$E505)</f>
        <v/>
      </c>
      <c r="B502">
        <f>IF($A502="","",LEFT($E502,4)&amp;MID($E502,6,2)&amp;RIGHT($E502,2)&amp;$F502&amp;"|"&amp;"1"&amp;RIGHT("00000"&amp;497,5))</f>
        <v/>
      </c>
      <c r="C502">
        <f>IF($B502="","",COUNTIFS($A$6:$A$1005,$A502,$B$6:$B$1005,"&lt;"&amp;$B502)+COUNTIFS($N$6:$N$2005,$A502,$P$6:$P$2005,"&lt;"&amp;$B502)+1)</f>
        <v/>
      </c>
      <c r="D502">
        <f>IF($C502="","",$A502&amp;"|"&amp;RIGHT("000000"&amp;$C502,6))</f>
        <v/>
      </c>
      <c r="E502">
        <f>IF(Entry!$B505="","",IF(ISNUMBER(Entry!$B505),IF(AND(Entry!$B505&gt;=10000101,Entry!$B505&lt;=99991231),INT(Entry!$B505/10000)&amp;"/"&amp;RIGHT("00"&amp;INT(MOD(Entry!$B505,10000)/100),2)&amp;"/"&amp;RIGHT("00"&amp;MOD(Entry!$B505,100),2),"نامعتبر"),IF(LEN(Entry!$B505)=10,Entry!$B505,"نامعتبر")))</f>
        <v/>
      </c>
      <c r="F502">
        <f>IF(Entry!$B505="","",IF(Entry!$C505="","0000",IF(AND(ISNUMBER(Entry!$C505),Entry!$C505&gt;=0,Entry!$C505&lt;1),RIGHT("00"&amp;HOUR(Entry!$C505),2)&amp;RIGHT("00"&amp;MINUTE(Entry!$C505),2),IFERROR(RIGHT("00"&amp;VALUE(LEFT(Entry!$C505,FIND(":",Entry!$C505)-1)),2)&amp;RIGHT("00"&amp;VALUE(MID(Entry!$C505,FIND(":",Entry!$C505)+1,2)),2),"0000"))))</f>
        <v/>
      </c>
      <c r="G502">
        <f>IF($A502="","",Entry!$G505)</f>
        <v/>
      </c>
      <c r="H502">
        <f>IF($A502="","",IF(Entry!$H505="",0,Entry!$H505))</f>
        <v/>
      </c>
      <c r="I502">
        <f>IF($A502="","",IF(Entry!$I505="",0,Entry!$I505))</f>
        <v/>
      </c>
      <c r="J502">
        <f>IF($A502="","",ROUND($H502*$I502,0))</f>
        <v/>
      </c>
      <c r="K502">
        <f>IF($A502="","",Entry!$D505)</f>
        <v/>
      </c>
      <c r="L502">
        <f>IF($A502="","",Entry!$L505)</f>
        <v/>
      </c>
      <c r="N502">
        <f>IF(OR(Sync!$M502="",$Q502="",$Q502="نامعتبر"),"",Sync!$M502)</f>
        <v/>
      </c>
      <c r="O502">
        <f>IF($N502="","",$Q502)</f>
        <v/>
      </c>
      <c r="P502">
        <f>IF($N502="","",LEFT($Q502,4)&amp;MID($Q502,6,2)&amp;RIGHT($Q502,2)&amp;IF(Sync!$K502="","0000",IF(AND(ISNUMBER(Sync!$K502),Sync!$K502&gt;=0,Sync!$K502&lt;1),RIGHT("00"&amp;HOUR(Sync!$K502),2)&amp;RIGHT("00"&amp;MINUTE(Sync!$K502),2),IFERROR(RIGHT("00"&amp;VALUE(LEFT(Sync!$K502,FIND(":",Sync!$K502)-1)),2)&amp;RIGHT("00"&amp;VALUE(MID(Sync!$K502,FIND(":",Sync!$K502)+1,2)),2),"0000")))&amp;"|"&amp;"2"&amp;RIGHT("00000"&amp;497,5))</f>
        <v/>
      </c>
      <c r="Q502">
        <f>IF(Sync!$J502="","",IF(ISNUMBER(Sync!$J502),IF(AND(Sync!$J502&gt;=10000101,Sync!$J502&lt;=99991231),INT(Sync!$J502/10000)&amp;"/"&amp;RIGHT("00"&amp;INT(MOD(Sync!$J502,10000)/100),2)&amp;"/"&amp;RIGHT("00"&amp;MOD(Sync!$J502,100),2),"نامعتبر"),IF(LEN(Sync!$J502)=10,Sync!$J502,"نامعتبر")))</f>
        <v/>
      </c>
      <c r="R502">
        <f>IF($P502="","",COUNTIFS($N$6:$N$2005,$N502,$P$6:$P$2005,"&lt;"&amp;$P502)+COUNTIFS($A$6:$A$1005,$N502,$B$6:$B$1005,"&lt;"&amp;$P502)+1)</f>
        <v/>
      </c>
      <c r="S502">
        <f>IF($N502="","",$N502&amp;"|"&amp;RIGHT("000000"&amp;$R502,6))</f>
        <v/>
      </c>
      <c r="T502">
        <f>IF($N502="","",IF(Sync!$N502="",0,Sync!$N502))</f>
        <v/>
      </c>
      <c r="U502">
        <f>IF($N502="","",IF(Sync!$O502="",0,Sync!$O502))</f>
        <v/>
      </c>
      <c r="V502">
        <f>IF($N502="","",Sync!$L502)</f>
        <v/>
      </c>
      <c r="W502">
        <f>IF($N502="","",Sync!$P502)</f>
        <v/>
      </c>
      <c r="AA502">
        <f>IF($A502="","",IF(COUNTIF($A$6:$A502,$A502)=1,1,0))</f>
        <v/>
      </c>
      <c r="AB502">
        <f>SUM($AA$6:$AA502)</f>
        <v/>
      </c>
      <c r="AC502">
        <f>IFERROR(INDEX($A$6:$A$1005,MATCH(ROW()-5,$AB$6:$AB$1005,0)),"")</f>
        <v/>
      </c>
    </row>
    <row r="503">
      <c r="A503">
        <f>IF(OR(Entry!$B506="",Entry!$E506="",$E503="نامعتبر"),"",Entry!$E506)</f>
        <v/>
      </c>
      <c r="B503">
        <f>IF($A503="","",LEFT($E503,4)&amp;MID($E503,6,2)&amp;RIGHT($E503,2)&amp;$F503&amp;"|"&amp;"1"&amp;RIGHT("00000"&amp;498,5))</f>
        <v/>
      </c>
      <c r="C503">
        <f>IF($B503="","",COUNTIFS($A$6:$A$1005,$A503,$B$6:$B$1005,"&lt;"&amp;$B503)+COUNTIFS($N$6:$N$2005,$A503,$P$6:$P$2005,"&lt;"&amp;$B503)+1)</f>
        <v/>
      </c>
      <c r="D503">
        <f>IF($C503="","",$A503&amp;"|"&amp;RIGHT("000000"&amp;$C503,6))</f>
        <v/>
      </c>
      <c r="E503">
        <f>IF(Entry!$B506="","",IF(ISNUMBER(Entry!$B506),IF(AND(Entry!$B506&gt;=10000101,Entry!$B506&lt;=99991231),INT(Entry!$B506/10000)&amp;"/"&amp;RIGHT("00"&amp;INT(MOD(Entry!$B506,10000)/100),2)&amp;"/"&amp;RIGHT("00"&amp;MOD(Entry!$B506,100),2),"نامعتبر"),IF(LEN(Entry!$B506)=10,Entry!$B506,"نامعتبر")))</f>
        <v/>
      </c>
      <c r="F503">
        <f>IF(Entry!$B506="","",IF(Entry!$C506="","0000",IF(AND(ISNUMBER(Entry!$C506),Entry!$C506&gt;=0,Entry!$C506&lt;1),RIGHT("00"&amp;HOUR(Entry!$C506),2)&amp;RIGHT("00"&amp;MINUTE(Entry!$C506),2),IFERROR(RIGHT("00"&amp;VALUE(LEFT(Entry!$C506,FIND(":",Entry!$C506)-1)),2)&amp;RIGHT("00"&amp;VALUE(MID(Entry!$C506,FIND(":",Entry!$C506)+1,2)),2),"0000"))))</f>
        <v/>
      </c>
      <c r="G503">
        <f>IF($A503="","",Entry!$G506)</f>
        <v/>
      </c>
      <c r="H503">
        <f>IF($A503="","",IF(Entry!$H506="",0,Entry!$H506))</f>
        <v/>
      </c>
      <c r="I503">
        <f>IF($A503="","",IF(Entry!$I506="",0,Entry!$I506))</f>
        <v/>
      </c>
      <c r="J503">
        <f>IF($A503="","",ROUND($H503*$I503,0))</f>
        <v/>
      </c>
      <c r="K503">
        <f>IF($A503="","",Entry!$D506)</f>
        <v/>
      </c>
      <c r="L503">
        <f>IF($A503="","",Entry!$L506)</f>
        <v/>
      </c>
      <c r="N503">
        <f>IF(OR(Sync!$M503="",$Q503="",$Q503="نامعتبر"),"",Sync!$M503)</f>
        <v/>
      </c>
      <c r="O503">
        <f>IF($N503="","",$Q503)</f>
        <v/>
      </c>
      <c r="P503">
        <f>IF($N503="","",LEFT($Q503,4)&amp;MID($Q503,6,2)&amp;RIGHT($Q503,2)&amp;IF(Sync!$K503="","0000",IF(AND(ISNUMBER(Sync!$K503),Sync!$K503&gt;=0,Sync!$K503&lt;1),RIGHT("00"&amp;HOUR(Sync!$K503),2)&amp;RIGHT("00"&amp;MINUTE(Sync!$K503),2),IFERROR(RIGHT("00"&amp;VALUE(LEFT(Sync!$K503,FIND(":",Sync!$K503)-1)),2)&amp;RIGHT("00"&amp;VALUE(MID(Sync!$K503,FIND(":",Sync!$K503)+1,2)),2),"0000")))&amp;"|"&amp;"2"&amp;RIGHT("00000"&amp;498,5))</f>
        <v/>
      </c>
      <c r="Q503">
        <f>IF(Sync!$J503="","",IF(ISNUMBER(Sync!$J503),IF(AND(Sync!$J503&gt;=10000101,Sync!$J503&lt;=99991231),INT(Sync!$J503/10000)&amp;"/"&amp;RIGHT("00"&amp;INT(MOD(Sync!$J503,10000)/100),2)&amp;"/"&amp;RIGHT("00"&amp;MOD(Sync!$J503,100),2),"نامعتبر"),IF(LEN(Sync!$J503)=10,Sync!$J503,"نامعتبر")))</f>
        <v/>
      </c>
      <c r="R503">
        <f>IF($P503="","",COUNTIFS($N$6:$N$2005,$N503,$P$6:$P$2005,"&lt;"&amp;$P503)+COUNTIFS($A$6:$A$1005,$N503,$B$6:$B$1005,"&lt;"&amp;$P503)+1)</f>
        <v/>
      </c>
      <c r="S503">
        <f>IF($N503="","",$N503&amp;"|"&amp;RIGHT("000000"&amp;$R503,6))</f>
        <v/>
      </c>
      <c r="T503">
        <f>IF($N503="","",IF(Sync!$N503="",0,Sync!$N503))</f>
        <v/>
      </c>
      <c r="U503">
        <f>IF($N503="","",IF(Sync!$O503="",0,Sync!$O503))</f>
        <v/>
      </c>
      <c r="V503">
        <f>IF($N503="","",Sync!$L503)</f>
        <v/>
      </c>
      <c r="W503">
        <f>IF($N503="","",Sync!$P503)</f>
        <v/>
      </c>
      <c r="AA503">
        <f>IF($A503="","",IF(COUNTIF($A$6:$A503,$A503)=1,1,0))</f>
        <v/>
      </c>
      <c r="AB503">
        <f>SUM($AA$6:$AA503)</f>
        <v/>
      </c>
      <c r="AC503">
        <f>IFERROR(INDEX($A$6:$A$1005,MATCH(ROW()-5,$AB$6:$AB$1005,0)),"")</f>
        <v/>
      </c>
    </row>
    <row r="504">
      <c r="A504">
        <f>IF(OR(Entry!$B507="",Entry!$E507="",$E504="نامعتبر"),"",Entry!$E507)</f>
        <v/>
      </c>
      <c r="B504">
        <f>IF($A504="","",LEFT($E504,4)&amp;MID($E504,6,2)&amp;RIGHT($E504,2)&amp;$F504&amp;"|"&amp;"1"&amp;RIGHT("00000"&amp;499,5))</f>
        <v/>
      </c>
      <c r="C504">
        <f>IF($B504="","",COUNTIFS($A$6:$A$1005,$A504,$B$6:$B$1005,"&lt;"&amp;$B504)+COUNTIFS($N$6:$N$2005,$A504,$P$6:$P$2005,"&lt;"&amp;$B504)+1)</f>
        <v/>
      </c>
      <c r="D504">
        <f>IF($C504="","",$A504&amp;"|"&amp;RIGHT("000000"&amp;$C504,6))</f>
        <v/>
      </c>
      <c r="E504">
        <f>IF(Entry!$B507="","",IF(ISNUMBER(Entry!$B507),IF(AND(Entry!$B507&gt;=10000101,Entry!$B507&lt;=99991231),INT(Entry!$B507/10000)&amp;"/"&amp;RIGHT("00"&amp;INT(MOD(Entry!$B507,10000)/100),2)&amp;"/"&amp;RIGHT("00"&amp;MOD(Entry!$B507,100),2),"نامعتبر"),IF(LEN(Entry!$B507)=10,Entry!$B507,"نامعتبر")))</f>
        <v/>
      </c>
      <c r="F504">
        <f>IF(Entry!$B507="","",IF(Entry!$C507="","0000",IF(AND(ISNUMBER(Entry!$C507),Entry!$C507&gt;=0,Entry!$C507&lt;1),RIGHT("00"&amp;HOUR(Entry!$C507),2)&amp;RIGHT("00"&amp;MINUTE(Entry!$C507),2),IFERROR(RIGHT("00"&amp;VALUE(LEFT(Entry!$C507,FIND(":",Entry!$C507)-1)),2)&amp;RIGHT("00"&amp;VALUE(MID(Entry!$C507,FIND(":",Entry!$C507)+1,2)),2),"0000"))))</f>
        <v/>
      </c>
      <c r="G504">
        <f>IF($A504="","",Entry!$G507)</f>
        <v/>
      </c>
      <c r="H504">
        <f>IF($A504="","",IF(Entry!$H507="",0,Entry!$H507))</f>
        <v/>
      </c>
      <c r="I504">
        <f>IF($A504="","",IF(Entry!$I507="",0,Entry!$I507))</f>
        <v/>
      </c>
      <c r="J504">
        <f>IF($A504="","",ROUND($H504*$I504,0))</f>
        <v/>
      </c>
      <c r="K504">
        <f>IF($A504="","",Entry!$D507)</f>
        <v/>
      </c>
      <c r="L504">
        <f>IF($A504="","",Entry!$L507)</f>
        <v/>
      </c>
      <c r="N504">
        <f>IF(OR(Sync!$M504="",$Q504="",$Q504="نامعتبر"),"",Sync!$M504)</f>
        <v/>
      </c>
      <c r="O504">
        <f>IF($N504="","",$Q504)</f>
        <v/>
      </c>
      <c r="P504">
        <f>IF($N504="","",LEFT($Q504,4)&amp;MID($Q504,6,2)&amp;RIGHT($Q504,2)&amp;IF(Sync!$K504="","0000",IF(AND(ISNUMBER(Sync!$K504),Sync!$K504&gt;=0,Sync!$K504&lt;1),RIGHT("00"&amp;HOUR(Sync!$K504),2)&amp;RIGHT("00"&amp;MINUTE(Sync!$K504),2),IFERROR(RIGHT("00"&amp;VALUE(LEFT(Sync!$K504,FIND(":",Sync!$K504)-1)),2)&amp;RIGHT("00"&amp;VALUE(MID(Sync!$K504,FIND(":",Sync!$K504)+1,2)),2),"0000")))&amp;"|"&amp;"2"&amp;RIGHT("00000"&amp;499,5))</f>
        <v/>
      </c>
      <c r="Q504">
        <f>IF(Sync!$J504="","",IF(ISNUMBER(Sync!$J504),IF(AND(Sync!$J504&gt;=10000101,Sync!$J504&lt;=99991231),INT(Sync!$J504/10000)&amp;"/"&amp;RIGHT("00"&amp;INT(MOD(Sync!$J504,10000)/100),2)&amp;"/"&amp;RIGHT("00"&amp;MOD(Sync!$J504,100),2),"نامعتبر"),IF(LEN(Sync!$J504)=10,Sync!$J504,"نامعتبر")))</f>
        <v/>
      </c>
      <c r="R504">
        <f>IF($P504="","",COUNTIFS($N$6:$N$2005,$N504,$P$6:$P$2005,"&lt;"&amp;$P504)+COUNTIFS($A$6:$A$1005,$N504,$B$6:$B$1005,"&lt;"&amp;$P504)+1)</f>
        <v/>
      </c>
      <c r="S504">
        <f>IF($N504="","",$N504&amp;"|"&amp;RIGHT("000000"&amp;$R504,6))</f>
        <v/>
      </c>
      <c r="T504">
        <f>IF($N504="","",IF(Sync!$N504="",0,Sync!$N504))</f>
        <v/>
      </c>
      <c r="U504">
        <f>IF($N504="","",IF(Sync!$O504="",0,Sync!$O504))</f>
        <v/>
      </c>
      <c r="V504">
        <f>IF($N504="","",Sync!$L504)</f>
        <v/>
      </c>
      <c r="W504">
        <f>IF($N504="","",Sync!$P504)</f>
        <v/>
      </c>
      <c r="AA504">
        <f>IF($A504="","",IF(COUNTIF($A$6:$A504,$A504)=1,1,0))</f>
        <v/>
      </c>
      <c r="AB504">
        <f>SUM($AA$6:$AA504)</f>
        <v/>
      </c>
      <c r="AC504">
        <f>IFERROR(INDEX($A$6:$A$1005,MATCH(ROW()-5,$AB$6:$AB$1005,0)),"")</f>
        <v/>
      </c>
    </row>
    <row r="505">
      <c r="A505">
        <f>IF(OR(Entry!$B508="",Entry!$E508="",$E505="نامعتبر"),"",Entry!$E508)</f>
        <v/>
      </c>
      <c r="B505">
        <f>IF($A505="","",LEFT($E505,4)&amp;MID($E505,6,2)&amp;RIGHT($E505,2)&amp;$F505&amp;"|"&amp;"1"&amp;RIGHT("00000"&amp;500,5))</f>
        <v/>
      </c>
      <c r="C505">
        <f>IF($B505="","",COUNTIFS($A$6:$A$1005,$A505,$B$6:$B$1005,"&lt;"&amp;$B505)+COUNTIFS($N$6:$N$2005,$A505,$P$6:$P$2005,"&lt;"&amp;$B505)+1)</f>
        <v/>
      </c>
      <c r="D505">
        <f>IF($C505="","",$A505&amp;"|"&amp;RIGHT("000000"&amp;$C505,6))</f>
        <v/>
      </c>
      <c r="E505">
        <f>IF(Entry!$B508="","",IF(ISNUMBER(Entry!$B508),IF(AND(Entry!$B508&gt;=10000101,Entry!$B508&lt;=99991231),INT(Entry!$B508/10000)&amp;"/"&amp;RIGHT("00"&amp;INT(MOD(Entry!$B508,10000)/100),2)&amp;"/"&amp;RIGHT("00"&amp;MOD(Entry!$B508,100),2),"نامعتبر"),IF(LEN(Entry!$B508)=10,Entry!$B508,"نامعتبر")))</f>
        <v/>
      </c>
      <c r="F505">
        <f>IF(Entry!$B508="","",IF(Entry!$C508="","0000",IF(AND(ISNUMBER(Entry!$C508),Entry!$C508&gt;=0,Entry!$C508&lt;1),RIGHT("00"&amp;HOUR(Entry!$C508),2)&amp;RIGHT("00"&amp;MINUTE(Entry!$C508),2),IFERROR(RIGHT("00"&amp;VALUE(LEFT(Entry!$C508,FIND(":",Entry!$C508)-1)),2)&amp;RIGHT("00"&amp;VALUE(MID(Entry!$C508,FIND(":",Entry!$C508)+1,2)),2),"0000"))))</f>
        <v/>
      </c>
      <c r="G505">
        <f>IF($A505="","",Entry!$G508)</f>
        <v/>
      </c>
      <c r="H505">
        <f>IF($A505="","",IF(Entry!$H508="",0,Entry!$H508))</f>
        <v/>
      </c>
      <c r="I505">
        <f>IF($A505="","",IF(Entry!$I508="",0,Entry!$I508))</f>
        <v/>
      </c>
      <c r="J505">
        <f>IF($A505="","",ROUND($H505*$I505,0))</f>
        <v/>
      </c>
      <c r="K505">
        <f>IF($A505="","",Entry!$D508)</f>
        <v/>
      </c>
      <c r="L505">
        <f>IF($A505="","",Entry!$L508)</f>
        <v/>
      </c>
      <c r="N505">
        <f>IF(OR(Sync!$M505="",$Q505="",$Q505="نامعتبر"),"",Sync!$M505)</f>
        <v/>
      </c>
      <c r="O505">
        <f>IF($N505="","",$Q505)</f>
        <v/>
      </c>
      <c r="P505">
        <f>IF($N505="","",LEFT($Q505,4)&amp;MID($Q505,6,2)&amp;RIGHT($Q505,2)&amp;IF(Sync!$K505="","0000",IF(AND(ISNUMBER(Sync!$K505),Sync!$K505&gt;=0,Sync!$K505&lt;1),RIGHT("00"&amp;HOUR(Sync!$K505),2)&amp;RIGHT("00"&amp;MINUTE(Sync!$K505),2),IFERROR(RIGHT("00"&amp;VALUE(LEFT(Sync!$K505,FIND(":",Sync!$K505)-1)),2)&amp;RIGHT("00"&amp;VALUE(MID(Sync!$K505,FIND(":",Sync!$K505)+1,2)),2),"0000")))&amp;"|"&amp;"2"&amp;RIGHT("00000"&amp;500,5))</f>
        <v/>
      </c>
      <c r="Q505">
        <f>IF(Sync!$J505="","",IF(ISNUMBER(Sync!$J505),IF(AND(Sync!$J505&gt;=10000101,Sync!$J505&lt;=99991231),INT(Sync!$J505/10000)&amp;"/"&amp;RIGHT("00"&amp;INT(MOD(Sync!$J505,10000)/100),2)&amp;"/"&amp;RIGHT("00"&amp;MOD(Sync!$J505,100),2),"نامعتبر"),IF(LEN(Sync!$J505)=10,Sync!$J505,"نامعتبر")))</f>
        <v/>
      </c>
      <c r="R505">
        <f>IF($P505="","",COUNTIFS($N$6:$N$2005,$N505,$P$6:$P$2005,"&lt;"&amp;$P505)+COUNTIFS($A$6:$A$1005,$N505,$B$6:$B$1005,"&lt;"&amp;$P505)+1)</f>
        <v/>
      </c>
      <c r="S505">
        <f>IF($N505="","",$N505&amp;"|"&amp;RIGHT("000000"&amp;$R505,6))</f>
        <v/>
      </c>
      <c r="T505">
        <f>IF($N505="","",IF(Sync!$N505="",0,Sync!$N505))</f>
        <v/>
      </c>
      <c r="U505">
        <f>IF($N505="","",IF(Sync!$O505="",0,Sync!$O505))</f>
        <v/>
      </c>
      <c r="V505">
        <f>IF($N505="","",Sync!$L505)</f>
        <v/>
      </c>
      <c r="W505">
        <f>IF($N505="","",Sync!$P505)</f>
        <v/>
      </c>
      <c r="AA505">
        <f>IF($A505="","",IF(COUNTIF($A$6:$A505,$A505)=1,1,0))</f>
        <v/>
      </c>
      <c r="AB505">
        <f>SUM($AA$6:$AA505)</f>
        <v/>
      </c>
      <c r="AC505">
        <f>IFERROR(INDEX($A$6:$A$1005,MATCH(ROW()-5,$AB$6:$AB$1005,0)),"")</f>
        <v/>
      </c>
    </row>
    <row r="506">
      <c r="A506">
        <f>IF(OR(Entry!$B509="",Entry!$E509="",$E506="نامعتبر"),"",Entry!$E509)</f>
        <v/>
      </c>
      <c r="B506">
        <f>IF($A506="","",LEFT($E506,4)&amp;MID($E506,6,2)&amp;RIGHT($E506,2)&amp;$F506&amp;"|"&amp;"1"&amp;RIGHT("00000"&amp;501,5))</f>
        <v/>
      </c>
      <c r="C506">
        <f>IF($B506="","",COUNTIFS($A$6:$A$1005,$A506,$B$6:$B$1005,"&lt;"&amp;$B506)+COUNTIFS($N$6:$N$2005,$A506,$P$6:$P$2005,"&lt;"&amp;$B506)+1)</f>
        <v/>
      </c>
      <c r="D506">
        <f>IF($C506="","",$A506&amp;"|"&amp;RIGHT("000000"&amp;$C506,6))</f>
        <v/>
      </c>
      <c r="E506">
        <f>IF(Entry!$B509="","",IF(ISNUMBER(Entry!$B509),IF(AND(Entry!$B509&gt;=10000101,Entry!$B509&lt;=99991231),INT(Entry!$B509/10000)&amp;"/"&amp;RIGHT("00"&amp;INT(MOD(Entry!$B509,10000)/100),2)&amp;"/"&amp;RIGHT("00"&amp;MOD(Entry!$B509,100),2),"نامعتبر"),IF(LEN(Entry!$B509)=10,Entry!$B509,"نامعتبر")))</f>
        <v/>
      </c>
      <c r="F506">
        <f>IF(Entry!$B509="","",IF(Entry!$C509="","0000",IF(AND(ISNUMBER(Entry!$C509),Entry!$C509&gt;=0,Entry!$C509&lt;1),RIGHT("00"&amp;HOUR(Entry!$C509),2)&amp;RIGHT("00"&amp;MINUTE(Entry!$C509),2),IFERROR(RIGHT("00"&amp;VALUE(LEFT(Entry!$C509,FIND(":",Entry!$C509)-1)),2)&amp;RIGHT("00"&amp;VALUE(MID(Entry!$C509,FIND(":",Entry!$C509)+1,2)),2),"0000"))))</f>
        <v/>
      </c>
      <c r="G506">
        <f>IF($A506="","",Entry!$G509)</f>
        <v/>
      </c>
      <c r="H506">
        <f>IF($A506="","",IF(Entry!$H509="",0,Entry!$H509))</f>
        <v/>
      </c>
      <c r="I506">
        <f>IF($A506="","",IF(Entry!$I509="",0,Entry!$I509))</f>
        <v/>
      </c>
      <c r="J506">
        <f>IF($A506="","",ROUND($H506*$I506,0))</f>
        <v/>
      </c>
      <c r="K506">
        <f>IF($A506="","",Entry!$D509)</f>
        <v/>
      </c>
      <c r="L506">
        <f>IF($A506="","",Entry!$L509)</f>
        <v/>
      </c>
      <c r="N506">
        <f>IF(OR(Sync!$M506="",$Q506="",$Q506="نامعتبر"),"",Sync!$M506)</f>
        <v/>
      </c>
      <c r="O506">
        <f>IF($N506="","",$Q506)</f>
        <v/>
      </c>
      <c r="P506">
        <f>IF($N506="","",LEFT($Q506,4)&amp;MID($Q506,6,2)&amp;RIGHT($Q506,2)&amp;IF(Sync!$K506="","0000",IF(AND(ISNUMBER(Sync!$K506),Sync!$K506&gt;=0,Sync!$K506&lt;1),RIGHT("00"&amp;HOUR(Sync!$K506),2)&amp;RIGHT("00"&amp;MINUTE(Sync!$K506),2),IFERROR(RIGHT("00"&amp;VALUE(LEFT(Sync!$K506,FIND(":",Sync!$K506)-1)),2)&amp;RIGHT("00"&amp;VALUE(MID(Sync!$K506,FIND(":",Sync!$K506)+1,2)),2),"0000")))&amp;"|"&amp;"2"&amp;RIGHT("00000"&amp;501,5))</f>
        <v/>
      </c>
      <c r="Q506">
        <f>IF(Sync!$J506="","",IF(ISNUMBER(Sync!$J506),IF(AND(Sync!$J506&gt;=10000101,Sync!$J506&lt;=99991231),INT(Sync!$J506/10000)&amp;"/"&amp;RIGHT("00"&amp;INT(MOD(Sync!$J506,10000)/100),2)&amp;"/"&amp;RIGHT("00"&amp;MOD(Sync!$J506,100),2),"نامعتبر"),IF(LEN(Sync!$J506)=10,Sync!$J506,"نامعتبر")))</f>
        <v/>
      </c>
      <c r="R506">
        <f>IF($P506="","",COUNTIFS($N$6:$N$2005,$N506,$P$6:$P$2005,"&lt;"&amp;$P506)+COUNTIFS($A$6:$A$1005,$N506,$B$6:$B$1005,"&lt;"&amp;$P506)+1)</f>
        <v/>
      </c>
      <c r="S506">
        <f>IF($N506="","",$N506&amp;"|"&amp;RIGHT("000000"&amp;$R506,6))</f>
        <v/>
      </c>
      <c r="T506">
        <f>IF($N506="","",IF(Sync!$N506="",0,Sync!$N506))</f>
        <v/>
      </c>
      <c r="U506">
        <f>IF($N506="","",IF(Sync!$O506="",0,Sync!$O506))</f>
        <v/>
      </c>
      <c r="V506">
        <f>IF($N506="","",Sync!$L506)</f>
        <v/>
      </c>
      <c r="W506">
        <f>IF($N506="","",Sync!$P506)</f>
        <v/>
      </c>
      <c r="AA506">
        <f>IF($A506="","",IF(COUNTIF($A$6:$A506,$A506)=1,1,0))</f>
        <v/>
      </c>
      <c r="AB506">
        <f>SUM($AA$6:$AA506)</f>
        <v/>
      </c>
      <c r="AC506">
        <f>IFERROR(INDEX($A$6:$A$1005,MATCH(ROW()-5,$AB$6:$AB$1005,0)),"")</f>
        <v/>
      </c>
    </row>
    <row r="507">
      <c r="A507">
        <f>IF(OR(Entry!$B510="",Entry!$E510="",$E507="نامعتبر"),"",Entry!$E510)</f>
        <v/>
      </c>
      <c r="B507">
        <f>IF($A507="","",LEFT($E507,4)&amp;MID($E507,6,2)&amp;RIGHT($E507,2)&amp;$F507&amp;"|"&amp;"1"&amp;RIGHT("00000"&amp;502,5))</f>
        <v/>
      </c>
      <c r="C507">
        <f>IF($B507="","",COUNTIFS($A$6:$A$1005,$A507,$B$6:$B$1005,"&lt;"&amp;$B507)+COUNTIFS($N$6:$N$2005,$A507,$P$6:$P$2005,"&lt;"&amp;$B507)+1)</f>
        <v/>
      </c>
      <c r="D507">
        <f>IF($C507="","",$A507&amp;"|"&amp;RIGHT("000000"&amp;$C507,6))</f>
        <v/>
      </c>
      <c r="E507">
        <f>IF(Entry!$B510="","",IF(ISNUMBER(Entry!$B510),IF(AND(Entry!$B510&gt;=10000101,Entry!$B510&lt;=99991231),INT(Entry!$B510/10000)&amp;"/"&amp;RIGHT("00"&amp;INT(MOD(Entry!$B510,10000)/100),2)&amp;"/"&amp;RIGHT("00"&amp;MOD(Entry!$B510,100),2),"نامعتبر"),IF(LEN(Entry!$B510)=10,Entry!$B510,"نامعتبر")))</f>
        <v/>
      </c>
      <c r="F507">
        <f>IF(Entry!$B510="","",IF(Entry!$C510="","0000",IF(AND(ISNUMBER(Entry!$C510),Entry!$C510&gt;=0,Entry!$C510&lt;1),RIGHT("00"&amp;HOUR(Entry!$C510),2)&amp;RIGHT("00"&amp;MINUTE(Entry!$C510),2),IFERROR(RIGHT("00"&amp;VALUE(LEFT(Entry!$C510,FIND(":",Entry!$C510)-1)),2)&amp;RIGHT("00"&amp;VALUE(MID(Entry!$C510,FIND(":",Entry!$C510)+1,2)),2),"0000"))))</f>
        <v/>
      </c>
      <c r="G507">
        <f>IF($A507="","",Entry!$G510)</f>
        <v/>
      </c>
      <c r="H507">
        <f>IF($A507="","",IF(Entry!$H510="",0,Entry!$H510))</f>
        <v/>
      </c>
      <c r="I507">
        <f>IF($A507="","",IF(Entry!$I510="",0,Entry!$I510))</f>
        <v/>
      </c>
      <c r="J507">
        <f>IF($A507="","",ROUND($H507*$I507,0))</f>
        <v/>
      </c>
      <c r="K507">
        <f>IF($A507="","",Entry!$D510)</f>
        <v/>
      </c>
      <c r="L507">
        <f>IF($A507="","",Entry!$L510)</f>
        <v/>
      </c>
      <c r="N507">
        <f>IF(OR(Sync!$M507="",$Q507="",$Q507="نامعتبر"),"",Sync!$M507)</f>
        <v/>
      </c>
      <c r="O507">
        <f>IF($N507="","",$Q507)</f>
        <v/>
      </c>
      <c r="P507">
        <f>IF($N507="","",LEFT($Q507,4)&amp;MID($Q507,6,2)&amp;RIGHT($Q507,2)&amp;IF(Sync!$K507="","0000",IF(AND(ISNUMBER(Sync!$K507),Sync!$K507&gt;=0,Sync!$K507&lt;1),RIGHT("00"&amp;HOUR(Sync!$K507),2)&amp;RIGHT("00"&amp;MINUTE(Sync!$K507),2),IFERROR(RIGHT("00"&amp;VALUE(LEFT(Sync!$K507,FIND(":",Sync!$K507)-1)),2)&amp;RIGHT("00"&amp;VALUE(MID(Sync!$K507,FIND(":",Sync!$K507)+1,2)),2),"0000")))&amp;"|"&amp;"2"&amp;RIGHT("00000"&amp;502,5))</f>
        <v/>
      </c>
      <c r="Q507">
        <f>IF(Sync!$J507="","",IF(ISNUMBER(Sync!$J507),IF(AND(Sync!$J507&gt;=10000101,Sync!$J507&lt;=99991231),INT(Sync!$J507/10000)&amp;"/"&amp;RIGHT("00"&amp;INT(MOD(Sync!$J507,10000)/100),2)&amp;"/"&amp;RIGHT("00"&amp;MOD(Sync!$J507,100),2),"نامعتبر"),IF(LEN(Sync!$J507)=10,Sync!$J507,"نامعتبر")))</f>
        <v/>
      </c>
      <c r="R507">
        <f>IF($P507="","",COUNTIFS($N$6:$N$2005,$N507,$P$6:$P$2005,"&lt;"&amp;$P507)+COUNTIFS($A$6:$A$1005,$N507,$B$6:$B$1005,"&lt;"&amp;$P507)+1)</f>
        <v/>
      </c>
      <c r="S507">
        <f>IF($N507="","",$N507&amp;"|"&amp;RIGHT("000000"&amp;$R507,6))</f>
        <v/>
      </c>
      <c r="T507">
        <f>IF($N507="","",IF(Sync!$N507="",0,Sync!$N507))</f>
        <v/>
      </c>
      <c r="U507">
        <f>IF($N507="","",IF(Sync!$O507="",0,Sync!$O507))</f>
        <v/>
      </c>
      <c r="V507">
        <f>IF($N507="","",Sync!$L507)</f>
        <v/>
      </c>
      <c r="W507">
        <f>IF($N507="","",Sync!$P507)</f>
        <v/>
      </c>
      <c r="AA507">
        <f>IF($A507="","",IF(COUNTIF($A$6:$A507,$A507)=1,1,0))</f>
        <v/>
      </c>
      <c r="AB507">
        <f>SUM($AA$6:$AA507)</f>
        <v/>
      </c>
      <c r="AC507">
        <f>IFERROR(INDEX($A$6:$A$1005,MATCH(ROW()-5,$AB$6:$AB$1005,0)),"")</f>
        <v/>
      </c>
    </row>
    <row r="508">
      <c r="A508">
        <f>IF(OR(Entry!$B511="",Entry!$E511="",$E508="نامعتبر"),"",Entry!$E511)</f>
        <v/>
      </c>
      <c r="B508">
        <f>IF($A508="","",LEFT($E508,4)&amp;MID($E508,6,2)&amp;RIGHT($E508,2)&amp;$F508&amp;"|"&amp;"1"&amp;RIGHT("00000"&amp;503,5))</f>
        <v/>
      </c>
      <c r="C508">
        <f>IF($B508="","",COUNTIFS($A$6:$A$1005,$A508,$B$6:$B$1005,"&lt;"&amp;$B508)+COUNTIFS($N$6:$N$2005,$A508,$P$6:$P$2005,"&lt;"&amp;$B508)+1)</f>
        <v/>
      </c>
      <c r="D508">
        <f>IF($C508="","",$A508&amp;"|"&amp;RIGHT("000000"&amp;$C508,6))</f>
        <v/>
      </c>
      <c r="E508">
        <f>IF(Entry!$B511="","",IF(ISNUMBER(Entry!$B511),IF(AND(Entry!$B511&gt;=10000101,Entry!$B511&lt;=99991231),INT(Entry!$B511/10000)&amp;"/"&amp;RIGHT("00"&amp;INT(MOD(Entry!$B511,10000)/100),2)&amp;"/"&amp;RIGHT("00"&amp;MOD(Entry!$B511,100),2),"نامعتبر"),IF(LEN(Entry!$B511)=10,Entry!$B511,"نامعتبر")))</f>
        <v/>
      </c>
      <c r="F508">
        <f>IF(Entry!$B511="","",IF(Entry!$C511="","0000",IF(AND(ISNUMBER(Entry!$C511),Entry!$C511&gt;=0,Entry!$C511&lt;1),RIGHT("00"&amp;HOUR(Entry!$C511),2)&amp;RIGHT("00"&amp;MINUTE(Entry!$C511),2),IFERROR(RIGHT("00"&amp;VALUE(LEFT(Entry!$C511,FIND(":",Entry!$C511)-1)),2)&amp;RIGHT("00"&amp;VALUE(MID(Entry!$C511,FIND(":",Entry!$C511)+1,2)),2),"0000"))))</f>
        <v/>
      </c>
      <c r="G508">
        <f>IF($A508="","",Entry!$G511)</f>
        <v/>
      </c>
      <c r="H508">
        <f>IF($A508="","",IF(Entry!$H511="",0,Entry!$H511))</f>
        <v/>
      </c>
      <c r="I508">
        <f>IF($A508="","",IF(Entry!$I511="",0,Entry!$I511))</f>
        <v/>
      </c>
      <c r="J508">
        <f>IF($A508="","",ROUND($H508*$I508,0))</f>
        <v/>
      </c>
      <c r="K508">
        <f>IF($A508="","",Entry!$D511)</f>
        <v/>
      </c>
      <c r="L508">
        <f>IF($A508="","",Entry!$L511)</f>
        <v/>
      </c>
      <c r="N508">
        <f>IF(OR(Sync!$M508="",$Q508="",$Q508="نامعتبر"),"",Sync!$M508)</f>
        <v/>
      </c>
      <c r="O508">
        <f>IF($N508="","",$Q508)</f>
        <v/>
      </c>
      <c r="P508">
        <f>IF($N508="","",LEFT($Q508,4)&amp;MID($Q508,6,2)&amp;RIGHT($Q508,2)&amp;IF(Sync!$K508="","0000",IF(AND(ISNUMBER(Sync!$K508),Sync!$K508&gt;=0,Sync!$K508&lt;1),RIGHT("00"&amp;HOUR(Sync!$K508),2)&amp;RIGHT("00"&amp;MINUTE(Sync!$K508),2),IFERROR(RIGHT("00"&amp;VALUE(LEFT(Sync!$K508,FIND(":",Sync!$K508)-1)),2)&amp;RIGHT("00"&amp;VALUE(MID(Sync!$K508,FIND(":",Sync!$K508)+1,2)),2),"0000")))&amp;"|"&amp;"2"&amp;RIGHT("00000"&amp;503,5))</f>
        <v/>
      </c>
      <c r="Q508">
        <f>IF(Sync!$J508="","",IF(ISNUMBER(Sync!$J508),IF(AND(Sync!$J508&gt;=10000101,Sync!$J508&lt;=99991231),INT(Sync!$J508/10000)&amp;"/"&amp;RIGHT("00"&amp;INT(MOD(Sync!$J508,10000)/100),2)&amp;"/"&amp;RIGHT("00"&amp;MOD(Sync!$J508,100),2),"نامعتبر"),IF(LEN(Sync!$J508)=10,Sync!$J508,"نامعتبر")))</f>
        <v/>
      </c>
      <c r="R508">
        <f>IF($P508="","",COUNTIFS($N$6:$N$2005,$N508,$P$6:$P$2005,"&lt;"&amp;$P508)+COUNTIFS($A$6:$A$1005,$N508,$B$6:$B$1005,"&lt;"&amp;$P508)+1)</f>
        <v/>
      </c>
      <c r="S508">
        <f>IF($N508="","",$N508&amp;"|"&amp;RIGHT("000000"&amp;$R508,6))</f>
        <v/>
      </c>
      <c r="T508">
        <f>IF($N508="","",IF(Sync!$N508="",0,Sync!$N508))</f>
        <v/>
      </c>
      <c r="U508">
        <f>IF($N508="","",IF(Sync!$O508="",0,Sync!$O508))</f>
        <v/>
      </c>
      <c r="V508">
        <f>IF($N508="","",Sync!$L508)</f>
        <v/>
      </c>
      <c r="W508">
        <f>IF($N508="","",Sync!$P508)</f>
        <v/>
      </c>
      <c r="AA508">
        <f>IF($A508="","",IF(COUNTIF($A$6:$A508,$A508)=1,1,0))</f>
        <v/>
      </c>
      <c r="AB508">
        <f>SUM($AA$6:$AA508)</f>
        <v/>
      </c>
      <c r="AC508">
        <f>IFERROR(INDEX($A$6:$A$1005,MATCH(ROW()-5,$AB$6:$AB$1005,0)),"")</f>
        <v/>
      </c>
    </row>
    <row r="509">
      <c r="A509">
        <f>IF(OR(Entry!$B512="",Entry!$E512="",$E509="نامعتبر"),"",Entry!$E512)</f>
        <v/>
      </c>
      <c r="B509">
        <f>IF($A509="","",LEFT($E509,4)&amp;MID($E509,6,2)&amp;RIGHT($E509,2)&amp;$F509&amp;"|"&amp;"1"&amp;RIGHT("00000"&amp;504,5))</f>
        <v/>
      </c>
      <c r="C509">
        <f>IF($B509="","",COUNTIFS($A$6:$A$1005,$A509,$B$6:$B$1005,"&lt;"&amp;$B509)+COUNTIFS($N$6:$N$2005,$A509,$P$6:$P$2005,"&lt;"&amp;$B509)+1)</f>
        <v/>
      </c>
      <c r="D509">
        <f>IF($C509="","",$A509&amp;"|"&amp;RIGHT("000000"&amp;$C509,6))</f>
        <v/>
      </c>
      <c r="E509">
        <f>IF(Entry!$B512="","",IF(ISNUMBER(Entry!$B512),IF(AND(Entry!$B512&gt;=10000101,Entry!$B512&lt;=99991231),INT(Entry!$B512/10000)&amp;"/"&amp;RIGHT("00"&amp;INT(MOD(Entry!$B512,10000)/100),2)&amp;"/"&amp;RIGHT("00"&amp;MOD(Entry!$B512,100),2),"نامعتبر"),IF(LEN(Entry!$B512)=10,Entry!$B512,"نامعتبر")))</f>
        <v/>
      </c>
      <c r="F509">
        <f>IF(Entry!$B512="","",IF(Entry!$C512="","0000",IF(AND(ISNUMBER(Entry!$C512),Entry!$C512&gt;=0,Entry!$C512&lt;1),RIGHT("00"&amp;HOUR(Entry!$C512),2)&amp;RIGHT("00"&amp;MINUTE(Entry!$C512),2),IFERROR(RIGHT("00"&amp;VALUE(LEFT(Entry!$C512,FIND(":",Entry!$C512)-1)),2)&amp;RIGHT("00"&amp;VALUE(MID(Entry!$C512,FIND(":",Entry!$C512)+1,2)),2),"0000"))))</f>
        <v/>
      </c>
      <c r="G509">
        <f>IF($A509="","",Entry!$G512)</f>
        <v/>
      </c>
      <c r="H509">
        <f>IF($A509="","",IF(Entry!$H512="",0,Entry!$H512))</f>
        <v/>
      </c>
      <c r="I509">
        <f>IF($A509="","",IF(Entry!$I512="",0,Entry!$I512))</f>
        <v/>
      </c>
      <c r="J509">
        <f>IF($A509="","",ROUND($H509*$I509,0))</f>
        <v/>
      </c>
      <c r="K509">
        <f>IF($A509="","",Entry!$D512)</f>
        <v/>
      </c>
      <c r="L509">
        <f>IF($A509="","",Entry!$L512)</f>
        <v/>
      </c>
      <c r="N509">
        <f>IF(OR(Sync!$M509="",$Q509="",$Q509="نامعتبر"),"",Sync!$M509)</f>
        <v/>
      </c>
      <c r="O509">
        <f>IF($N509="","",$Q509)</f>
        <v/>
      </c>
      <c r="P509">
        <f>IF($N509="","",LEFT($Q509,4)&amp;MID($Q509,6,2)&amp;RIGHT($Q509,2)&amp;IF(Sync!$K509="","0000",IF(AND(ISNUMBER(Sync!$K509),Sync!$K509&gt;=0,Sync!$K509&lt;1),RIGHT("00"&amp;HOUR(Sync!$K509),2)&amp;RIGHT("00"&amp;MINUTE(Sync!$K509),2),IFERROR(RIGHT("00"&amp;VALUE(LEFT(Sync!$K509,FIND(":",Sync!$K509)-1)),2)&amp;RIGHT("00"&amp;VALUE(MID(Sync!$K509,FIND(":",Sync!$K509)+1,2)),2),"0000")))&amp;"|"&amp;"2"&amp;RIGHT("00000"&amp;504,5))</f>
        <v/>
      </c>
      <c r="Q509">
        <f>IF(Sync!$J509="","",IF(ISNUMBER(Sync!$J509),IF(AND(Sync!$J509&gt;=10000101,Sync!$J509&lt;=99991231),INT(Sync!$J509/10000)&amp;"/"&amp;RIGHT("00"&amp;INT(MOD(Sync!$J509,10000)/100),2)&amp;"/"&amp;RIGHT("00"&amp;MOD(Sync!$J509,100),2),"نامعتبر"),IF(LEN(Sync!$J509)=10,Sync!$J509,"نامعتبر")))</f>
        <v/>
      </c>
      <c r="R509">
        <f>IF($P509="","",COUNTIFS($N$6:$N$2005,$N509,$P$6:$P$2005,"&lt;"&amp;$P509)+COUNTIFS($A$6:$A$1005,$N509,$B$6:$B$1005,"&lt;"&amp;$P509)+1)</f>
        <v/>
      </c>
      <c r="S509">
        <f>IF($N509="","",$N509&amp;"|"&amp;RIGHT("000000"&amp;$R509,6))</f>
        <v/>
      </c>
      <c r="T509">
        <f>IF($N509="","",IF(Sync!$N509="",0,Sync!$N509))</f>
        <v/>
      </c>
      <c r="U509">
        <f>IF($N509="","",IF(Sync!$O509="",0,Sync!$O509))</f>
        <v/>
      </c>
      <c r="V509">
        <f>IF($N509="","",Sync!$L509)</f>
        <v/>
      </c>
      <c r="W509">
        <f>IF($N509="","",Sync!$P509)</f>
        <v/>
      </c>
      <c r="AA509">
        <f>IF($A509="","",IF(COUNTIF($A$6:$A509,$A509)=1,1,0))</f>
        <v/>
      </c>
      <c r="AB509">
        <f>SUM($AA$6:$AA509)</f>
        <v/>
      </c>
      <c r="AC509">
        <f>IFERROR(INDEX($A$6:$A$1005,MATCH(ROW()-5,$AB$6:$AB$1005,0)),"")</f>
        <v/>
      </c>
    </row>
    <row r="510">
      <c r="A510">
        <f>IF(OR(Entry!$B513="",Entry!$E513="",$E510="نامعتبر"),"",Entry!$E513)</f>
        <v/>
      </c>
      <c r="B510">
        <f>IF($A510="","",LEFT($E510,4)&amp;MID($E510,6,2)&amp;RIGHT($E510,2)&amp;$F510&amp;"|"&amp;"1"&amp;RIGHT("00000"&amp;505,5))</f>
        <v/>
      </c>
      <c r="C510">
        <f>IF($B510="","",COUNTIFS($A$6:$A$1005,$A510,$B$6:$B$1005,"&lt;"&amp;$B510)+COUNTIFS($N$6:$N$2005,$A510,$P$6:$P$2005,"&lt;"&amp;$B510)+1)</f>
        <v/>
      </c>
      <c r="D510">
        <f>IF($C510="","",$A510&amp;"|"&amp;RIGHT("000000"&amp;$C510,6))</f>
        <v/>
      </c>
      <c r="E510">
        <f>IF(Entry!$B513="","",IF(ISNUMBER(Entry!$B513),IF(AND(Entry!$B513&gt;=10000101,Entry!$B513&lt;=99991231),INT(Entry!$B513/10000)&amp;"/"&amp;RIGHT("00"&amp;INT(MOD(Entry!$B513,10000)/100),2)&amp;"/"&amp;RIGHT("00"&amp;MOD(Entry!$B513,100),2),"نامعتبر"),IF(LEN(Entry!$B513)=10,Entry!$B513,"نامعتبر")))</f>
        <v/>
      </c>
      <c r="F510">
        <f>IF(Entry!$B513="","",IF(Entry!$C513="","0000",IF(AND(ISNUMBER(Entry!$C513),Entry!$C513&gt;=0,Entry!$C513&lt;1),RIGHT("00"&amp;HOUR(Entry!$C513),2)&amp;RIGHT("00"&amp;MINUTE(Entry!$C513),2),IFERROR(RIGHT("00"&amp;VALUE(LEFT(Entry!$C513,FIND(":",Entry!$C513)-1)),2)&amp;RIGHT("00"&amp;VALUE(MID(Entry!$C513,FIND(":",Entry!$C513)+1,2)),2),"0000"))))</f>
        <v/>
      </c>
      <c r="G510">
        <f>IF($A510="","",Entry!$G513)</f>
        <v/>
      </c>
      <c r="H510">
        <f>IF($A510="","",IF(Entry!$H513="",0,Entry!$H513))</f>
        <v/>
      </c>
      <c r="I510">
        <f>IF($A510="","",IF(Entry!$I513="",0,Entry!$I513))</f>
        <v/>
      </c>
      <c r="J510">
        <f>IF($A510="","",ROUND($H510*$I510,0))</f>
        <v/>
      </c>
      <c r="K510">
        <f>IF($A510="","",Entry!$D513)</f>
        <v/>
      </c>
      <c r="L510">
        <f>IF($A510="","",Entry!$L513)</f>
        <v/>
      </c>
      <c r="N510">
        <f>IF(OR(Sync!$M510="",$Q510="",$Q510="نامعتبر"),"",Sync!$M510)</f>
        <v/>
      </c>
      <c r="O510">
        <f>IF($N510="","",$Q510)</f>
        <v/>
      </c>
      <c r="P510">
        <f>IF($N510="","",LEFT($Q510,4)&amp;MID($Q510,6,2)&amp;RIGHT($Q510,2)&amp;IF(Sync!$K510="","0000",IF(AND(ISNUMBER(Sync!$K510),Sync!$K510&gt;=0,Sync!$K510&lt;1),RIGHT("00"&amp;HOUR(Sync!$K510),2)&amp;RIGHT("00"&amp;MINUTE(Sync!$K510),2),IFERROR(RIGHT("00"&amp;VALUE(LEFT(Sync!$K510,FIND(":",Sync!$K510)-1)),2)&amp;RIGHT("00"&amp;VALUE(MID(Sync!$K510,FIND(":",Sync!$K510)+1,2)),2),"0000")))&amp;"|"&amp;"2"&amp;RIGHT("00000"&amp;505,5))</f>
        <v/>
      </c>
      <c r="Q510">
        <f>IF(Sync!$J510="","",IF(ISNUMBER(Sync!$J510),IF(AND(Sync!$J510&gt;=10000101,Sync!$J510&lt;=99991231),INT(Sync!$J510/10000)&amp;"/"&amp;RIGHT("00"&amp;INT(MOD(Sync!$J510,10000)/100),2)&amp;"/"&amp;RIGHT("00"&amp;MOD(Sync!$J510,100),2),"نامعتبر"),IF(LEN(Sync!$J510)=10,Sync!$J510,"نامعتبر")))</f>
        <v/>
      </c>
      <c r="R510">
        <f>IF($P510="","",COUNTIFS($N$6:$N$2005,$N510,$P$6:$P$2005,"&lt;"&amp;$P510)+COUNTIFS($A$6:$A$1005,$N510,$B$6:$B$1005,"&lt;"&amp;$P510)+1)</f>
        <v/>
      </c>
      <c r="S510">
        <f>IF($N510="","",$N510&amp;"|"&amp;RIGHT("000000"&amp;$R510,6))</f>
        <v/>
      </c>
      <c r="T510">
        <f>IF($N510="","",IF(Sync!$N510="",0,Sync!$N510))</f>
        <v/>
      </c>
      <c r="U510">
        <f>IF($N510="","",IF(Sync!$O510="",0,Sync!$O510))</f>
        <v/>
      </c>
      <c r="V510">
        <f>IF($N510="","",Sync!$L510)</f>
        <v/>
      </c>
      <c r="W510">
        <f>IF($N510="","",Sync!$P510)</f>
        <v/>
      </c>
      <c r="AA510">
        <f>IF($A510="","",IF(COUNTIF($A$6:$A510,$A510)=1,1,0))</f>
        <v/>
      </c>
      <c r="AB510">
        <f>SUM($AA$6:$AA510)</f>
        <v/>
      </c>
      <c r="AC510">
        <f>IFERROR(INDEX($A$6:$A$1005,MATCH(ROW()-5,$AB$6:$AB$1005,0)),"")</f>
        <v/>
      </c>
    </row>
    <row r="511">
      <c r="A511">
        <f>IF(OR(Entry!$B514="",Entry!$E514="",$E511="نامعتبر"),"",Entry!$E514)</f>
        <v/>
      </c>
      <c r="B511">
        <f>IF($A511="","",LEFT($E511,4)&amp;MID($E511,6,2)&amp;RIGHT($E511,2)&amp;$F511&amp;"|"&amp;"1"&amp;RIGHT("00000"&amp;506,5))</f>
        <v/>
      </c>
      <c r="C511">
        <f>IF($B511="","",COUNTIFS($A$6:$A$1005,$A511,$B$6:$B$1005,"&lt;"&amp;$B511)+COUNTIFS($N$6:$N$2005,$A511,$P$6:$P$2005,"&lt;"&amp;$B511)+1)</f>
        <v/>
      </c>
      <c r="D511">
        <f>IF($C511="","",$A511&amp;"|"&amp;RIGHT("000000"&amp;$C511,6))</f>
        <v/>
      </c>
      <c r="E511">
        <f>IF(Entry!$B514="","",IF(ISNUMBER(Entry!$B514),IF(AND(Entry!$B514&gt;=10000101,Entry!$B514&lt;=99991231),INT(Entry!$B514/10000)&amp;"/"&amp;RIGHT("00"&amp;INT(MOD(Entry!$B514,10000)/100),2)&amp;"/"&amp;RIGHT("00"&amp;MOD(Entry!$B514,100),2),"نامعتبر"),IF(LEN(Entry!$B514)=10,Entry!$B514,"نامعتبر")))</f>
        <v/>
      </c>
      <c r="F511">
        <f>IF(Entry!$B514="","",IF(Entry!$C514="","0000",IF(AND(ISNUMBER(Entry!$C514),Entry!$C514&gt;=0,Entry!$C514&lt;1),RIGHT("00"&amp;HOUR(Entry!$C514),2)&amp;RIGHT("00"&amp;MINUTE(Entry!$C514),2),IFERROR(RIGHT("00"&amp;VALUE(LEFT(Entry!$C514,FIND(":",Entry!$C514)-1)),2)&amp;RIGHT("00"&amp;VALUE(MID(Entry!$C514,FIND(":",Entry!$C514)+1,2)),2),"0000"))))</f>
        <v/>
      </c>
      <c r="G511">
        <f>IF($A511="","",Entry!$G514)</f>
        <v/>
      </c>
      <c r="H511">
        <f>IF($A511="","",IF(Entry!$H514="",0,Entry!$H514))</f>
        <v/>
      </c>
      <c r="I511">
        <f>IF($A511="","",IF(Entry!$I514="",0,Entry!$I514))</f>
        <v/>
      </c>
      <c r="J511">
        <f>IF($A511="","",ROUND($H511*$I511,0))</f>
        <v/>
      </c>
      <c r="K511">
        <f>IF($A511="","",Entry!$D514)</f>
        <v/>
      </c>
      <c r="L511">
        <f>IF($A511="","",Entry!$L514)</f>
        <v/>
      </c>
      <c r="N511">
        <f>IF(OR(Sync!$M511="",$Q511="",$Q511="نامعتبر"),"",Sync!$M511)</f>
        <v/>
      </c>
      <c r="O511">
        <f>IF($N511="","",$Q511)</f>
        <v/>
      </c>
      <c r="P511">
        <f>IF($N511="","",LEFT($Q511,4)&amp;MID($Q511,6,2)&amp;RIGHT($Q511,2)&amp;IF(Sync!$K511="","0000",IF(AND(ISNUMBER(Sync!$K511),Sync!$K511&gt;=0,Sync!$K511&lt;1),RIGHT("00"&amp;HOUR(Sync!$K511),2)&amp;RIGHT("00"&amp;MINUTE(Sync!$K511),2),IFERROR(RIGHT("00"&amp;VALUE(LEFT(Sync!$K511,FIND(":",Sync!$K511)-1)),2)&amp;RIGHT("00"&amp;VALUE(MID(Sync!$K511,FIND(":",Sync!$K511)+1,2)),2),"0000")))&amp;"|"&amp;"2"&amp;RIGHT("00000"&amp;506,5))</f>
        <v/>
      </c>
      <c r="Q511">
        <f>IF(Sync!$J511="","",IF(ISNUMBER(Sync!$J511),IF(AND(Sync!$J511&gt;=10000101,Sync!$J511&lt;=99991231),INT(Sync!$J511/10000)&amp;"/"&amp;RIGHT("00"&amp;INT(MOD(Sync!$J511,10000)/100),2)&amp;"/"&amp;RIGHT("00"&amp;MOD(Sync!$J511,100),2),"نامعتبر"),IF(LEN(Sync!$J511)=10,Sync!$J511,"نامعتبر")))</f>
        <v/>
      </c>
      <c r="R511">
        <f>IF($P511="","",COUNTIFS($N$6:$N$2005,$N511,$P$6:$P$2005,"&lt;"&amp;$P511)+COUNTIFS($A$6:$A$1005,$N511,$B$6:$B$1005,"&lt;"&amp;$P511)+1)</f>
        <v/>
      </c>
      <c r="S511">
        <f>IF($N511="","",$N511&amp;"|"&amp;RIGHT("000000"&amp;$R511,6))</f>
        <v/>
      </c>
      <c r="T511">
        <f>IF($N511="","",IF(Sync!$N511="",0,Sync!$N511))</f>
        <v/>
      </c>
      <c r="U511">
        <f>IF($N511="","",IF(Sync!$O511="",0,Sync!$O511))</f>
        <v/>
      </c>
      <c r="V511">
        <f>IF($N511="","",Sync!$L511)</f>
        <v/>
      </c>
      <c r="W511">
        <f>IF($N511="","",Sync!$P511)</f>
        <v/>
      </c>
      <c r="AA511">
        <f>IF($A511="","",IF(COUNTIF($A$6:$A511,$A511)=1,1,0))</f>
        <v/>
      </c>
      <c r="AB511">
        <f>SUM($AA$6:$AA511)</f>
        <v/>
      </c>
      <c r="AC511">
        <f>IFERROR(INDEX($A$6:$A$1005,MATCH(ROW()-5,$AB$6:$AB$1005,0)),"")</f>
        <v/>
      </c>
    </row>
    <row r="512">
      <c r="A512">
        <f>IF(OR(Entry!$B515="",Entry!$E515="",$E512="نامعتبر"),"",Entry!$E515)</f>
        <v/>
      </c>
      <c r="B512">
        <f>IF($A512="","",LEFT($E512,4)&amp;MID($E512,6,2)&amp;RIGHT($E512,2)&amp;$F512&amp;"|"&amp;"1"&amp;RIGHT("00000"&amp;507,5))</f>
        <v/>
      </c>
      <c r="C512">
        <f>IF($B512="","",COUNTIFS($A$6:$A$1005,$A512,$B$6:$B$1005,"&lt;"&amp;$B512)+COUNTIFS($N$6:$N$2005,$A512,$P$6:$P$2005,"&lt;"&amp;$B512)+1)</f>
        <v/>
      </c>
      <c r="D512">
        <f>IF($C512="","",$A512&amp;"|"&amp;RIGHT("000000"&amp;$C512,6))</f>
        <v/>
      </c>
      <c r="E512">
        <f>IF(Entry!$B515="","",IF(ISNUMBER(Entry!$B515),IF(AND(Entry!$B515&gt;=10000101,Entry!$B515&lt;=99991231),INT(Entry!$B515/10000)&amp;"/"&amp;RIGHT("00"&amp;INT(MOD(Entry!$B515,10000)/100),2)&amp;"/"&amp;RIGHT("00"&amp;MOD(Entry!$B515,100),2),"نامعتبر"),IF(LEN(Entry!$B515)=10,Entry!$B515,"نامعتبر")))</f>
        <v/>
      </c>
      <c r="F512">
        <f>IF(Entry!$B515="","",IF(Entry!$C515="","0000",IF(AND(ISNUMBER(Entry!$C515),Entry!$C515&gt;=0,Entry!$C515&lt;1),RIGHT("00"&amp;HOUR(Entry!$C515),2)&amp;RIGHT("00"&amp;MINUTE(Entry!$C515),2),IFERROR(RIGHT("00"&amp;VALUE(LEFT(Entry!$C515,FIND(":",Entry!$C515)-1)),2)&amp;RIGHT("00"&amp;VALUE(MID(Entry!$C515,FIND(":",Entry!$C515)+1,2)),2),"0000"))))</f>
        <v/>
      </c>
      <c r="G512">
        <f>IF($A512="","",Entry!$G515)</f>
        <v/>
      </c>
      <c r="H512">
        <f>IF($A512="","",IF(Entry!$H515="",0,Entry!$H515))</f>
        <v/>
      </c>
      <c r="I512">
        <f>IF($A512="","",IF(Entry!$I515="",0,Entry!$I515))</f>
        <v/>
      </c>
      <c r="J512">
        <f>IF($A512="","",ROUND($H512*$I512,0))</f>
        <v/>
      </c>
      <c r="K512">
        <f>IF($A512="","",Entry!$D515)</f>
        <v/>
      </c>
      <c r="L512">
        <f>IF($A512="","",Entry!$L515)</f>
        <v/>
      </c>
      <c r="N512">
        <f>IF(OR(Sync!$M512="",$Q512="",$Q512="نامعتبر"),"",Sync!$M512)</f>
        <v/>
      </c>
      <c r="O512">
        <f>IF($N512="","",$Q512)</f>
        <v/>
      </c>
      <c r="P512">
        <f>IF($N512="","",LEFT($Q512,4)&amp;MID($Q512,6,2)&amp;RIGHT($Q512,2)&amp;IF(Sync!$K512="","0000",IF(AND(ISNUMBER(Sync!$K512),Sync!$K512&gt;=0,Sync!$K512&lt;1),RIGHT("00"&amp;HOUR(Sync!$K512),2)&amp;RIGHT("00"&amp;MINUTE(Sync!$K512),2),IFERROR(RIGHT("00"&amp;VALUE(LEFT(Sync!$K512,FIND(":",Sync!$K512)-1)),2)&amp;RIGHT("00"&amp;VALUE(MID(Sync!$K512,FIND(":",Sync!$K512)+1,2)),2),"0000")))&amp;"|"&amp;"2"&amp;RIGHT("00000"&amp;507,5))</f>
        <v/>
      </c>
      <c r="Q512">
        <f>IF(Sync!$J512="","",IF(ISNUMBER(Sync!$J512),IF(AND(Sync!$J512&gt;=10000101,Sync!$J512&lt;=99991231),INT(Sync!$J512/10000)&amp;"/"&amp;RIGHT("00"&amp;INT(MOD(Sync!$J512,10000)/100),2)&amp;"/"&amp;RIGHT("00"&amp;MOD(Sync!$J512,100),2),"نامعتبر"),IF(LEN(Sync!$J512)=10,Sync!$J512,"نامعتبر")))</f>
        <v/>
      </c>
      <c r="R512">
        <f>IF($P512="","",COUNTIFS($N$6:$N$2005,$N512,$P$6:$P$2005,"&lt;"&amp;$P512)+COUNTIFS($A$6:$A$1005,$N512,$B$6:$B$1005,"&lt;"&amp;$P512)+1)</f>
        <v/>
      </c>
      <c r="S512">
        <f>IF($N512="","",$N512&amp;"|"&amp;RIGHT("000000"&amp;$R512,6))</f>
        <v/>
      </c>
      <c r="T512">
        <f>IF($N512="","",IF(Sync!$N512="",0,Sync!$N512))</f>
        <v/>
      </c>
      <c r="U512">
        <f>IF($N512="","",IF(Sync!$O512="",0,Sync!$O512))</f>
        <v/>
      </c>
      <c r="V512">
        <f>IF($N512="","",Sync!$L512)</f>
        <v/>
      </c>
      <c r="W512">
        <f>IF($N512="","",Sync!$P512)</f>
        <v/>
      </c>
      <c r="AA512">
        <f>IF($A512="","",IF(COUNTIF($A$6:$A512,$A512)=1,1,0))</f>
        <v/>
      </c>
      <c r="AB512">
        <f>SUM($AA$6:$AA512)</f>
        <v/>
      </c>
      <c r="AC512">
        <f>IFERROR(INDEX($A$6:$A$1005,MATCH(ROW()-5,$AB$6:$AB$1005,0)),"")</f>
        <v/>
      </c>
    </row>
    <row r="513">
      <c r="A513">
        <f>IF(OR(Entry!$B516="",Entry!$E516="",$E513="نامعتبر"),"",Entry!$E516)</f>
        <v/>
      </c>
      <c r="B513">
        <f>IF($A513="","",LEFT($E513,4)&amp;MID($E513,6,2)&amp;RIGHT($E513,2)&amp;$F513&amp;"|"&amp;"1"&amp;RIGHT("00000"&amp;508,5))</f>
        <v/>
      </c>
      <c r="C513">
        <f>IF($B513="","",COUNTIFS($A$6:$A$1005,$A513,$B$6:$B$1005,"&lt;"&amp;$B513)+COUNTIFS($N$6:$N$2005,$A513,$P$6:$P$2005,"&lt;"&amp;$B513)+1)</f>
        <v/>
      </c>
      <c r="D513">
        <f>IF($C513="","",$A513&amp;"|"&amp;RIGHT("000000"&amp;$C513,6))</f>
        <v/>
      </c>
      <c r="E513">
        <f>IF(Entry!$B516="","",IF(ISNUMBER(Entry!$B516),IF(AND(Entry!$B516&gt;=10000101,Entry!$B516&lt;=99991231),INT(Entry!$B516/10000)&amp;"/"&amp;RIGHT("00"&amp;INT(MOD(Entry!$B516,10000)/100),2)&amp;"/"&amp;RIGHT("00"&amp;MOD(Entry!$B516,100),2),"نامعتبر"),IF(LEN(Entry!$B516)=10,Entry!$B516,"نامعتبر")))</f>
        <v/>
      </c>
      <c r="F513">
        <f>IF(Entry!$B516="","",IF(Entry!$C516="","0000",IF(AND(ISNUMBER(Entry!$C516),Entry!$C516&gt;=0,Entry!$C516&lt;1),RIGHT("00"&amp;HOUR(Entry!$C516),2)&amp;RIGHT("00"&amp;MINUTE(Entry!$C516),2),IFERROR(RIGHT("00"&amp;VALUE(LEFT(Entry!$C516,FIND(":",Entry!$C516)-1)),2)&amp;RIGHT("00"&amp;VALUE(MID(Entry!$C516,FIND(":",Entry!$C516)+1,2)),2),"0000"))))</f>
        <v/>
      </c>
      <c r="G513">
        <f>IF($A513="","",Entry!$G516)</f>
        <v/>
      </c>
      <c r="H513">
        <f>IF($A513="","",IF(Entry!$H516="",0,Entry!$H516))</f>
        <v/>
      </c>
      <c r="I513">
        <f>IF($A513="","",IF(Entry!$I516="",0,Entry!$I516))</f>
        <v/>
      </c>
      <c r="J513">
        <f>IF($A513="","",ROUND($H513*$I513,0))</f>
        <v/>
      </c>
      <c r="K513">
        <f>IF($A513="","",Entry!$D516)</f>
        <v/>
      </c>
      <c r="L513">
        <f>IF($A513="","",Entry!$L516)</f>
        <v/>
      </c>
      <c r="N513">
        <f>IF(OR(Sync!$M513="",$Q513="",$Q513="نامعتبر"),"",Sync!$M513)</f>
        <v/>
      </c>
      <c r="O513">
        <f>IF($N513="","",$Q513)</f>
        <v/>
      </c>
      <c r="P513">
        <f>IF($N513="","",LEFT($Q513,4)&amp;MID($Q513,6,2)&amp;RIGHT($Q513,2)&amp;IF(Sync!$K513="","0000",IF(AND(ISNUMBER(Sync!$K513),Sync!$K513&gt;=0,Sync!$K513&lt;1),RIGHT("00"&amp;HOUR(Sync!$K513),2)&amp;RIGHT("00"&amp;MINUTE(Sync!$K513),2),IFERROR(RIGHT("00"&amp;VALUE(LEFT(Sync!$K513,FIND(":",Sync!$K513)-1)),2)&amp;RIGHT("00"&amp;VALUE(MID(Sync!$K513,FIND(":",Sync!$K513)+1,2)),2),"0000")))&amp;"|"&amp;"2"&amp;RIGHT("00000"&amp;508,5))</f>
        <v/>
      </c>
      <c r="Q513">
        <f>IF(Sync!$J513="","",IF(ISNUMBER(Sync!$J513),IF(AND(Sync!$J513&gt;=10000101,Sync!$J513&lt;=99991231),INT(Sync!$J513/10000)&amp;"/"&amp;RIGHT("00"&amp;INT(MOD(Sync!$J513,10000)/100),2)&amp;"/"&amp;RIGHT("00"&amp;MOD(Sync!$J513,100),2),"نامعتبر"),IF(LEN(Sync!$J513)=10,Sync!$J513,"نامعتبر")))</f>
        <v/>
      </c>
      <c r="R513">
        <f>IF($P513="","",COUNTIFS($N$6:$N$2005,$N513,$P$6:$P$2005,"&lt;"&amp;$P513)+COUNTIFS($A$6:$A$1005,$N513,$B$6:$B$1005,"&lt;"&amp;$P513)+1)</f>
        <v/>
      </c>
      <c r="S513">
        <f>IF($N513="","",$N513&amp;"|"&amp;RIGHT("000000"&amp;$R513,6))</f>
        <v/>
      </c>
      <c r="T513">
        <f>IF($N513="","",IF(Sync!$N513="",0,Sync!$N513))</f>
        <v/>
      </c>
      <c r="U513">
        <f>IF($N513="","",IF(Sync!$O513="",0,Sync!$O513))</f>
        <v/>
      </c>
      <c r="V513">
        <f>IF($N513="","",Sync!$L513)</f>
        <v/>
      </c>
      <c r="W513">
        <f>IF($N513="","",Sync!$P513)</f>
        <v/>
      </c>
      <c r="AA513">
        <f>IF($A513="","",IF(COUNTIF($A$6:$A513,$A513)=1,1,0))</f>
        <v/>
      </c>
      <c r="AB513">
        <f>SUM($AA$6:$AA513)</f>
        <v/>
      </c>
      <c r="AC513">
        <f>IFERROR(INDEX($A$6:$A$1005,MATCH(ROW()-5,$AB$6:$AB$1005,0)),"")</f>
        <v/>
      </c>
    </row>
    <row r="514">
      <c r="A514">
        <f>IF(OR(Entry!$B517="",Entry!$E517="",$E514="نامعتبر"),"",Entry!$E517)</f>
        <v/>
      </c>
      <c r="B514">
        <f>IF($A514="","",LEFT($E514,4)&amp;MID($E514,6,2)&amp;RIGHT($E514,2)&amp;$F514&amp;"|"&amp;"1"&amp;RIGHT("00000"&amp;509,5))</f>
        <v/>
      </c>
      <c r="C514">
        <f>IF($B514="","",COUNTIFS($A$6:$A$1005,$A514,$B$6:$B$1005,"&lt;"&amp;$B514)+COUNTIFS($N$6:$N$2005,$A514,$P$6:$P$2005,"&lt;"&amp;$B514)+1)</f>
        <v/>
      </c>
      <c r="D514">
        <f>IF($C514="","",$A514&amp;"|"&amp;RIGHT("000000"&amp;$C514,6))</f>
        <v/>
      </c>
      <c r="E514">
        <f>IF(Entry!$B517="","",IF(ISNUMBER(Entry!$B517),IF(AND(Entry!$B517&gt;=10000101,Entry!$B517&lt;=99991231),INT(Entry!$B517/10000)&amp;"/"&amp;RIGHT("00"&amp;INT(MOD(Entry!$B517,10000)/100),2)&amp;"/"&amp;RIGHT("00"&amp;MOD(Entry!$B517,100),2),"نامعتبر"),IF(LEN(Entry!$B517)=10,Entry!$B517,"نامعتبر")))</f>
        <v/>
      </c>
      <c r="F514">
        <f>IF(Entry!$B517="","",IF(Entry!$C517="","0000",IF(AND(ISNUMBER(Entry!$C517),Entry!$C517&gt;=0,Entry!$C517&lt;1),RIGHT("00"&amp;HOUR(Entry!$C517),2)&amp;RIGHT("00"&amp;MINUTE(Entry!$C517),2),IFERROR(RIGHT("00"&amp;VALUE(LEFT(Entry!$C517,FIND(":",Entry!$C517)-1)),2)&amp;RIGHT("00"&amp;VALUE(MID(Entry!$C517,FIND(":",Entry!$C517)+1,2)),2),"0000"))))</f>
        <v/>
      </c>
      <c r="G514">
        <f>IF($A514="","",Entry!$G517)</f>
        <v/>
      </c>
      <c r="H514">
        <f>IF($A514="","",IF(Entry!$H517="",0,Entry!$H517))</f>
        <v/>
      </c>
      <c r="I514">
        <f>IF($A514="","",IF(Entry!$I517="",0,Entry!$I517))</f>
        <v/>
      </c>
      <c r="J514">
        <f>IF($A514="","",ROUND($H514*$I514,0))</f>
        <v/>
      </c>
      <c r="K514">
        <f>IF($A514="","",Entry!$D517)</f>
        <v/>
      </c>
      <c r="L514">
        <f>IF($A514="","",Entry!$L517)</f>
        <v/>
      </c>
      <c r="N514">
        <f>IF(OR(Sync!$M514="",$Q514="",$Q514="نامعتبر"),"",Sync!$M514)</f>
        <v/>
      </c>
      <c r="O514">
        <f>IF($N514="","",$Q514)</f>
        <v/>
      </c>
      <c r="P514">
        <f>IF($N514="","",LEFT($Q514,4)&amp;MID($Q514,6,2)&amp;RIGHT($Q514,2)&amp;IF(Sync!$K514="","0000",IF(AND(ISNUMBER(Sync!$K514),Sync!$K514&gt;=0,Sync!$K514&lt;1),RIGHT("00"&amp;HOUR(Sync!$K514),2)&amp;RIGHT("00"&amp;MINUTE(Sync!$K514),2),IFERROR(RIGHT("00"&amp;VALUE(LEFT(Sync!$K514,FIND(":",Sync!$K514)-1)),2)&amp;RIGHT("00"&amp;VALUE(MID(Sync!$K514,FIND(":",Sync!$K514)+1,2)),2),"0000")))&amp;"|"&amp;"2"&amp;RIGHT("00000"&amp;509,5))</f>
        <v/>
      </c>
      <c r="Q514">
        <f>IF(Sync!$J514="","",IF(ISNUMBER(Sync!$J514),IF(AND(Sync!$J514&gt;=10000101,Sync!$J514&lt;=99991231),INT(Sync!$J514/10000)&amp;"/"&amp;RIGHT("00"&amp;INT(MOD(Sync!$J514,10000)/100),2)&amp;"/"&amp;RIGHT("00"&amp;MOD(Sync!$J514,100),2),"نامعتبر"),IF(LEN(Sync!$J514)=10,Sync!$J514,"نامعتبر")))</f>
        <v/>
      </c>
      <c r="R514">
        <f>IF($P514="","",COUNTIFS($N$6:$N$2005,$N514,$P$6:$P$2005,"&lt;"&amp;$P514)+COUNTIFS($A$6:$A$1005,$N514,$B$6:$B$1005,"&lt;"&amp;$P514)+1)</f>
        <v/>
      </c>
      <c r="S514">
        <f>IF($N514="","",$N514&amp;"|"&amp;RIGHT("000000"&amp;$R514,6))</f>
        <v/>
      </c>
      <c r="T514">
        <f>IF($N514="","",IF(Sync!$N514="",0,Sync!$N514))</f>
        <v/>
      </c>
      <c r="U514">
        <f>IF($N514="","",IF(Sync!$O514="",0,Sync!$O514))</f>
        <v/>
      </c>
      <c r="V514">
        <f>IF($N514="","",Sync!$L514)</f>
        <v/>
      </c>
      <c r="W514">
        <f>IF($N514="","",Sync!$P514)</f>
        <v/>
      </c>
      <c r="AA514">
        <f>IF($A514="","",IF(COUNTIF($A$6:$A514,$A514)=1,1,0))</f>
        <v/>
      </c>
      <c r="AB514">
        <f>SUM($AA$6:$AA514)</f>
        <v/>
      </c>
      <c r="AC514">
        <f>IFERROR(INDEX($A$6:$A$1005,MATCH(ROW()-5,$AB$6:$AB$1005,0)),"")</f>
        <v/>
      </c>
    </row>
    <row r="515">
      <c r="A515">
        <f>IF(OR(Entry!$B518="",Entry!$E518="",$E515="نامعتبر"),"",Entry!$E518)</f>
        <v/>
      </c>
      <c r="B515">
        <f>IF($A515="","",LEFT($E515,4)&amp;MID($E515,6,2)&amp;RIGHT($E515,2)&amp;$F515&amp;"|"&amp;"1"&amp;RIGHT("00000"&amp;510,5))</f>
        <v/>
      </c>
      <c r="C515">
        <f>IF($B515="","",COUNTIFS($A$6:$A$1005,$A515,$B$6:$B$1005,"&lt;"&amp;$B515)+COUNTIFS($N$6:$N$2005,$A515,$P$6:$P$2005,"&lt;"&amp;$B515)+1)</f>
        <v/>
      </c>
      <c r="D515">
        <f>IF($C515="","",$A515&amp;"|"&amp;RIGHT("000000"&amp;$C515,6))</f>
        <v/>
      </c>
      <c r="E515">
        <f>IF(Entry!$B518="","",IF(ISNUMBER(Entry!$B518),IF(AND(Entry!$B518&gt;=10000101,Entry!$B518&lt;=99991231),INT(Entry!$B518/10000)&amp;"/"&amp;RIGHT("00"&amp;INT(MOD(Entry!$B518,10000)/100),2)&amp;"/"&amp;RIGHT("00"&amp;MOD(Entry!$B518,100),2),"نامعتبر"),IF(LEN(Entry!$B518)=10,Entry!$B518,"نامعتبر")))</f>
        <v/>
      </c>
      <c r="F515">
        <f>IF(Entry!$B518="","",IF(Entry!$C518="","0000",IF(AND(ISNUMBER(Entry!$C518),Entry!$C518&gt;=0,Entry!$C518&lt;1),RIGHT("00"&amp;HOUR(Entry!$C518),2)&amp;RIGHT("00"&amp;MINUTE(Entry!$C518),2),IFERROR(RIGHT("00"&amp;VALUE(LEFT(Entry!$C518,FIND(":",Entry!$C518)-1)),2)&amp;RIGHT("00"&amp;VALUE(MID(Entry!$C518,FIND(":",Entry!$C518)+1,2)),2),"0000"))))</f>
        <v/>
      </c>
      <c r="G515">
        <f>IF($A515="","",Entry!$G518)</f>
        <v/>
      </c>
      <c r="H515">
        <f>IF($A515="","",IF(Entry!$H518="",0,Entry!$H518))</f>
        <v/>
      </c>
      <c r="I515">
        <f>IF($A515="","",IF(Entry!$I518="",0,Entry!$I518))</f>
        <v/>
      </c>
      <c r="J515">
        <f>IF($A515="","",ROUND($H515*$I515,0))</f>
        <v/>
      </c>
      <c r="K515">
        <f>IF($A515="","",Entry!$D518)</f>
        <v/>
      </c>
      <c r="L515">
        <f>IF($A515="","",Entry!$L518)</f>
        <v/>
      </c>
      <c r="N515">
        <f>IF(OR(Sync!$M515="",$Q515="",$Q515="نامعتبر"),"",Sync!$M515)</f>
        <v/>
      </c>
      <c r="O515">
        <f>IF($N515="","",$Q515)</f>
        <v/>
      </c>
      <c r="P515">
        <f>IF($N515="","",LEFT($Q515,4)&amp;MID($Q515,6,2)&amp;RIGHT($Q515,2)&amp;IF(Sync!$K515="","0000",IF(AND(ISNUMBER(Sync!$K515),Sync!$K515&gt;=0,Sync!$K515&lt;1),RIGHT("00"&amp;HOUR(Sync!$K515),2)&amp;RIGHT("00"&amp;MINUTE(Sync!$K515),2),IFERROR(RIGHT("00"&amp;VALUE(LEFT(Sync!$K515,FIND(":",Sync!$K515)-1)),2)&amp;RIGHT("00"&amp;VALUE(MID(Sync!$K515,FIND(":",Sync!$K515)+1,2)),2),"0000")))&amp;"|"&amp;"2"&amp;RIGHT("00000"&amp;510,5))</f>
        <v/>
      </c>
      <c r="Q515">
        <f>IF(Sync!$J515="","",IF(ISNUMBER(Sync!$J515),IF(AND(Sync!$J515&gt;=10000101,Sync!$J515&lt;=99991231),INT(Sync!$J515/10000)&amp;"/"&amp;RIGHT("00"&amp;INT(MOD(Sync!$J515,10000)/100),2)&amp;"/"&amp;RIGHT("00"&amp;MOD(Sync!$J515,100),2),"نامعتبر"),IF(LEN(Sync!$J515)=10,Sync!$J515,"نامعتبر")))</f>
        <v/>
      </c>
      <c r="R515">
        <f>IF($P515="","",COUNTIFS($N$6:$N$2005,$N515,$P$6:$P$2005,"&lt;"&amp;$P515)+COUNTIFS($A$6:$A$1005,$N515,$B$6:$B$1005,"&lt;"&amp;$P515)+1)</f>
        <v/>
      </c>
      <c r="S515">
        <f>IF($N515="","",$N515&amp;"|"&amp;RIGHT("000000"&amp;$R515,6))</f>
        <v/>
      </c>
      <c r="T515">
        <f>IF($N515="","",IF(Sync!$N515="",0,Sync!$N515))</f>
        <v/>
      </c>
      <c r="U515">
        <f>IF($N515="","",IF(Sync!$O515="",0,Sync!$O515))</f>
        <v/>
      </c>
      <c r="V515">
        <f>IF($N515="","",Sync!$L515)</f>
        <v/>
      </c>
      <c r="W515">
        <f>IF($N515="","",Sync!$P515)</f>
        <v/>
      </c>
      <c r="AA515">
        <f>IF($A515="","",IF(COUNTIF($A$6:$A515,$A515)=1,1,0))</f>
        <v/>
      </c>
      <c r="AB515">
        <f>SUM($AA$6:$AA515)</f>
        <v/>
      </c>
      <c r="AC515">
        <f>IFERROR(INDEX($A$6:$A$1005,MATCH(ROW()-5,$AB$6:$AB$1005,0)),"")</f>
        <v/>
      </c>
    </row>
    <row r="516">
      <c r="A516">
        <f>IF(OR(Entry!$B519="",Entry!$E519="",$E516="نامعتبر"),"",Entry!$E519)</f>
        <v/>
      </c>
      <c r="B516">
        <f>IF($A516="","",LEFT($E516,4)&amp;MID($E516,6,2)&amp;RIGHT($E516,2)&amp;$F516&amp;"|"&amp;"1"&amp;RIGHT("00000"&amp;511,5))</f>
        <v/>
      </c>
      <c r="C516">
        <f>IF($B516="","",COUNTIFS($A$6:$A$1005,$A516,$B$6:$B$1005,"&lt;"&amp;$B516)+COUNTIFS($N$6:$N$2005,$A516,$P$6:$P$2005,"&lt;"&amp;$B516)+1)</f>
        <v/>
      </c>
      <c r="D516">
        <f>IF($C516="","",$A516&amp;"|"&amp;RIGHT("000000"&amp;$C516,6))</f>
        <v/>
      </c>
      <c r="E516">
        <f>IF(Entry!$B519="","",IF(ISNUMBER(Entry!$B519),IF(AND(Entry!$B519&gt;=10000101,Entry!$B519&lt;=99991231),INT(Entry!$B519/10000)&amp;"/"&amp;RIGHT("00"&amp;INT(MOD(Entry!$B519,10000)/100),2)&amp;"/"&amp;RIGHT("00"&amp;MOD(Entry!$B519,100),2),"نامعتبر"),IF(LEN(Entry!$B519)=10,Entry!$B519,"نامعتبر")))</f>
        <v/>
      </c>
      <c r="F516">
        <f>IF(Entry!$B519="","",IF(Entry!$C519="","0000",IF(AND(ISNUMBER(Entry!$C519),Entry!$C519&gt;=0,Entry!$C519&lt;1),RIGHT("00"&amp;HOUR(Entry!$C519),2)&amp;RIGHT("00"&amp;MINUTE(Entry!$C519),2),IFERROR(RIGHT("00"&amp;VALUE(LEFT(Entry!$C519,FIND(":",Entry!$C519)-1)),2)&amp;RIGHT("00"&amp;VALUE(MID(Entry!$C519,FIND(":",Entry!$C519)+1,2)),2),"0000"))))</f>
        <v/>
      </c>
      <c r="G516">
        <f>IF($A516="","",Entry!$G519)</f>
        <v/>
      </c>
      <c r="H516">
        <f>IF($A516="","",IF(Entry!$H519="",0,Entry!$H519))</f>
        <v/>
      </c>
      <c r="I516">
        <f>IF($A516="","",IF(Entry!$I519="",0,Entry!$I519))</f>
        <v/>
      </c>
      <c r="J516">
        <f>IF($A516="","",ROUND($H516*$I516,0))</f>
        <v/>
      </c>
      <c r="K516">
        <f>IF($A516="","",Entry!$D519)</f>
        <v/>
      </c>
      <c r="L516">
        <f>IF($A516="","",Entry!$L519)</f>
        <v/>
      </c>
      <c r="N516">
        <f>IF(OR(Sync!$M516="",$Q516="",$Q516="نامعتبر"),"",Sync!$M516)</f>
        <v/>
      </c>
      <c r="O516">
        <f>IF($N516="","",$Q516)</f>
        <v/>
      </c>
      <c r="P516">
        <f>IF($N516="","",LEFT($Q516,4)&amp;MID($Q516,6,2)&amp;RIGHT($Q516,2)&amp;IF(Sync!$K516="","0000",IF(AND(ISNUMBER(Sync!$K516),Sync!$K516&gt;=0,Sync!$K516&lt;1),RIGHT("00"&amp;HOUR(Sync!$K516),2)&amp;RIGHT("00"&amp;MINUTE(Sync!$K516),2),IFERROR(RIGHT("00"&amp;VALUE(LEFT(Sync!$K516,FIND(":",Sync!$K516)-1)),2)&amp;RIGHT("00"&amp;VALUE(MID(Sync!$K516,FIND(":",Sync!$K516)+1,2)),2),"0000")))&amp;"|"&amp;"2"&amp;RIGHT("00000"&amp;511,5))</f>
        <v/>
      </c>
      <c r="Q516">
        <f>IF(Sync!$J516="","",IF(ISNUMBER(Sync!$J516),IF(AND(Sync!$J516&gt;=10000101,Sync!$J516&lt;=99991231),INT(Sync!$J516/10000)&amp;"/"&amp;RIGHT("00"&amp;INT(MOD(Sync!$J516,10000)/100),2)&amp;"/"&amp;RIGHT("00"&amp;MOD(Sync!$J516,100),2),"نامعتبر"),IF(LEN(Sync!$J516)=10,Sync!$J516,"نامعتبر")))</f>
        <v/>
      </c>
      <c r="R516">
        <f>IF($P516="","",COUNTIFS($N$6:$N$2005,$N516,$P$6:$P$2005,"&lt;"&amp;$P516)+COUNTIFS($A$6:$A$1005,$N516,$B$6:$B$1005,"&lt;"&amp;$P516)+1)</f>
        <v/>
      </c>
      <c r="S516">
        <f>IF($N516="","",$N516&amp;"|"&amp;RIGHT("000000"&amp;$R516,6))</f>
        <v/>
      </c>
      <c r="T516">
        <f>IF($N516="","",IF(Sync!$N516="",0,Sync!$N516))</f>
        <v/>
      </c>
      <c r="U516">
        <f>IF($N516="","",IF(Sync!$O516="",0,Sync!$O516))</f>
        <v/>
      </c>
      <c r="V516">
        <f>IF($N516="","",Sync!$L516)</f>
        <v/>
      </c>
      <c r="W516">
        <f>IF($N516="","",Sync!$P516)</f>
        <v/>
      </c>
      <c r="AA516">
        <f>IF($A516="","",IF(COUNTIF($A$6:$A516,$A516)=1,1,0))</f>
        <v/>
      </c>
      <c r="AB516">
        <f>SUM($AA$6:$AA516)</f>
        <v/>
      </c>
      <c r="AC516">
        <f>IFERROR(INDEX($A$6:$A$1005,MATCH(ROW()-5,$AB$6:$AB$1005,0)),"")</f>
        <v/>
      </c>
    </row>
    <row r="517">
      <c r="A517">
        <f>IF(OR(Entry!$B520="",Entry!$E520="",$E517="نامعتبر"),"",Entry!$E520)</f>
        <v/>
      </c>
      <c r="B517">
        <f>IF($A517="","",LEFT($E517,4)&amp;MID($E517,6,2)&amp;RIGHT($E517,2)&amp;$F517&amp;"|"&amp;"1"&amp;RIGHT("00000"&amp;512,5))</f>
        <v/>
      </c>
      <c r="C517">
        <f>IF($B517="","",COUNTIFS($A$6:$A$1005,$A517,$B$6:$B$1005,"&lt;"&amp;$B517)+COUNTIFS($N$6:$N$2005,$A517,$P$6:$P$2005,"&lt;"&amp;$B517)+1)</f>
        <v/>
      </c>
      <c r="D517">
        <f>IF($C517="","",$A517&amp;"|"&amp;RIGHT("000000"&amp;$C517,6))</f>
        <v/>
      </c>
      <c r="E517">
        <f>IF(Entry!$B520="","",IF(ISNUMBER(Entry!$B520),IF(AND(Entry!$B520&gt;=10000101,Entry!$B520&lt;=99991231),INT(Entry!$B520/10000)&amp;"/"&amp;RIGHT("00"&amp;INT(MOD(Entry!$B520,10000)/100),2)&amp;"/"&amp;RIGHT("00"&amp;MOD(Entry!$B520,100),2),"نامعتبر"),IF(LEN(Entry!$B520)=10,Entry!$B520,"نامعتبر")))</f>
        <v/>
      </c>
      <c r="F517">
        <f>IF(Entry!$B520="","",IF(Entry!$C520="","0000",IF(AND(ISNUMBER(Entry!$C520),Entry!$C520&gt;=0,Entry!$C520&lt;1),RIGHT("00"&amp;HOUR(Entry!$C520),2)&amp;RIGHT("00"&amp;MINUTE(Entry!$C520),2),IFERROR(RIGHT("00"&amp;VALUE(LEFT(Entry!$C520,FIND(":",Entry!$C520)-1)),2)&amp;RIGHT("00"&amp;VALUE(MID(Entry!$C520,FIND(":",Entry!$C520)+1,2)),2),"0000"))))</f>
        <v/>
      </c>
      <c r="G517">
        <f>IF($A517="","",Entry!$G520)</f>
        <v/>
      </c>
      <c r="H517">
        <f>IF($A517="","",IF(Entry!$H520="",0,Entry!$H520))</f>
        <v/>
      </c>
      <c r="I517">
        <f>IF($A517="","",IF(Entry!$I520="",0,Entry!$I520))</f>
        <v/>
      </c>
      <c r="J517">
        <f>IF($A517="","",ROUND($H517*$I517,0))</f>
        <v/>
      </c>
      <c r="K517">
        <f>IF($A517="","",Entry!$D520)</f>
        <v/>
      </c>
      <c r="L517">
        <f>IF($A517="","",Entry!$L520)</f>
        <v/>
      </c>
      <c r="N517">
        <f>IF(OR(Sync!$M517="",$Q517="",$Q517="نامعتبر"),"",Sync!$M517)</f>
        <v/>
      </c>
      <c r="O517">
        <f>IF($N517="","",$Q517)</f>
        <v/>
      </c>
      <c r="P517">
        <f>IF($N517="","",LEFT($Q517,4)&amp;MID($Q517,6,2)&amp;RIGHT($Q517,2)&amp;IF(Sync!$K517="","0000",IF(AND(ISNUMBER(Sync!$K517),Sync!$K517&gt;=0,Sync!$K517&lt;1),RIGHT("00"&amp;HOUR(Sync!$K517),2)&amp;RIGHT("00"&amp;MINUTE(Sync!$K517),2),IFERROR(RIGHT("00"&amp;VALUE(LEFT(Sync!$K517,FIND(":",Sync!$K517)-1)),2)&amp;RIGHT("00"&amp;VALUE(MID(Sync!$K517,FIND(":",Sync!$K517)+1,2)),2),"0000")))&amp;"|"&amp;"2"&amp;RIGHT("00000"&amp;512,5))</f>
        <v/>
      </c>
      <c r="Q517">
        <f>IF(Sync!$J517="","",IF(ISNUMBER(Sync!$J517),IF(AND(Sync!$J517&gt;=10000101,Sync!$J517&lt;=99991231),INT(Sync!$J517/10000)&amp;"/"&amp;RIGHT("00"&amp;INT(MOD(Sync!$J517,10000)/100),2)&amp;"/"&amp;RIGHT("00"&amp;MOD(Sync!$J517,100),2),"نامعتبر"),IF(LEN(Sync!$J517)=10,Sync!$J517,"نامعتبر")))</f>
        <v/>
      </c>
      <c r="R517">
        <f>IF($P517="","",COUNTIFS($N$6:$N$2005,$N517,$P$6:$P$2005,"&lt;"&amp;$P517)+COUNTIFS($A$6:$A$1005,$N517,$B$6:$B$1005,"&lt;"&amp;$P517)+1)</f>
        <v/>
      </c>
      <c r="S517">
        <f>IF($N517="","",$N517&amp;"|"&amp;RIGHT("000000"&amp;$R517,6))</f>
        <v/>
      </c>
      <c r="T517">
        <f>IF($N517="","",IF(Sync!$N517="",0,Sync!$N517))</f>
        <v/>
      </c>
      <c r="U517">
        <f>IF($N517="","",IF(Sync!$O517="",0,Sync!$O517))</f>
        <v/>
      </c>
      <c r="V517">
        <f>IF($N517="","",Sync!$L517)</f>
        <v/>
      </c>
      <c r="W517">
        <f>IF($N517="","",Sync!$P517)</f>
        <v/>
      </c>
      <c r="AA517">
        <f>IF($A517="","",IF(COUNTIF($A$6:$A517,$A517)=1,1,0))</f>
        <v/>
      </c>
      <c r="AB517">
        <f>SUM($AA$6:$AA517)</f>
        <v/>
      </c>
      <c r="AC517">
        <f>IFERROR(INDEX($A$6:$A$1005,MATCH(ROW()-5,$AB$6:$AB$1005,0)),"")</f>
        <v/>
      </c>
    </row>
    <row r="518">
      <c r="A518">
        <f>IF(OR(Entry!$B521="",Entry!$E521="",$E518="نامعتبر"),"",Entry!$E521)</f>
        <v/>
      </c>
      <c r="B518">
        <f>IF($A518="","",LEFT($E518,4)&amp;MID($E518,6,2)&amp;RIGHT($E518,2)&amp;$F518&amp;"|"&amp;"1"&amp;RIGHT("00000"&amp;513,5))</f>
        <v/>
      </c>
      <c r="C518">
        <f>IF($B518="","",COUNTIFS($A$6:$A$1005,$A518,$B$6:$B$1005,"&lt;"&amp;$B518)+COUNTIFS($N$6:$N$2005,$A518,$P$6:$P$2005,"&lt;"&amp;$B518)+1)</f>
        <v/>
      </c>
      <c r="D518">
        <f>IF($C518="","",$A518&amp;"|"&amp;RIGHT("000000"&amp;$C518,6))</f>
        <v/>
      </c>
      <c r="E518">
        <f>IF(Entry!$B521="","",IF(ISNUMBER(Entry!$B521),IF(AND(Entry!$B521&gt;=10000101,Entry!$B521&lt;=99991231),INT(Entry!$B521/10000)&amp;"/"&amp;RIGHT("00"&amp;INT(MOD(Entry!$B521,10000)/100),2)&amp;"/"&amp;RIGHT("00"&amp;MOD(Entry!$B521,100),2),"نامعتبر"),IF(LEN(Entry!$B521)=10,Entry!$B521,"نامعتبر")))</f>
        <v/>
      </c>
      <c r="F518">
        <f>IF(Entry!$B521="","",IF(Entry!$C521="","0000",IF(AND(ISNUMBER(Entry!$C521),Entry!$C521&gt;=0,Entry!$C521&lt;1),RIGHT("00"&amp;HOUR(Entry!$C521),2)&amp;RIGHT("00"&amp;MINUTE(Entry!$C521),2),IFERROR(RIGHT("00"&amp;VALUE(LEFT(Entry!$C521,FIND(":",Entry!$C521)-1)),2)&amp;RIGHT("00"&amp;VALUE(MID(Entry!$C521,FIND(":",Entry!$C521)+1,2)),2),"0000"))))</f>
        <v/>
      </c>
      <c r="G518">
        <f>IF($A518="","",Entry!$G521)</f>
        <v/>
      </c>
      <c r="H518">
        <f>IF($A518="","",IF(Entry!$H521="",0,Entry!$H521))</f>
        <v/>
      </c>
      <c r="I518">
        <f>IF($A518="","",IF(Entry!$I521="",0,Entry!$I521))</f>
        <v/>
      </c>
      <c r="J518">
        <f>IF($A518="","",ROUND($H518*$I518,0))</f>
        <v/>
      </c>
      <c r="K518">
        <f>IF($A518="","",Entry!$D521)</f>
        <v/>
      </c>
      <c r="L518">
        <f>IF($A518="","",Entry!$L521)</f>
        <v/>
      </c>
      <c r="N518">
        <f>IF(OR(Sync!$M518="",$Q518="",$Q518="نامعتبر"),"",Sync!$M518)</f>
        <v/>
      </c>
      <c r="O518">
        <f>IF($N518="","",$Q518)</f>
        <v/>
      </c>
      <c r="P518">
        <f>IF($N518="","",LEFT($Q518,4)&amp;MID($Q518,6,2)&amp;RIGHT($Q518,2)&amp;IF(Sync!$K518="","0000",IF(AND(ISNUMBER(Sync!$K518),Sync!$K518&gt;=0,Sync!$K518&lt;1),RIGHT("00"&amp;HOUR(Sync!$K518),2)&amp;RIGHT("00"&amp;MINUTE(Sync!$K518),2),IFERROR(RIGHT("00"&amp;VALUE(LEFT(Sync!$K518,FIND(":",Sync!$K518)-1)),2)&amp;RIGHT("00"&amp;VALUE(MID(Sync!$K518,FIND(":",Sync!$K518)+1,2)),2),"0000")))&amp;"|"&amp;"2"&amp;RIGHT("00000"&amp;513,5))</f>
        <v/>
      </c>
      <c r="Q518">
        <f>IF(Sync!$J518="","",IF(ISNUMBER(Sync!$J518),IF(AND(Sync!$J518&gt;=10000101,Sync!$J518&lt;=99991231),INT(Sync!$J518/10000)&amp;"/"&amp;RIGHT("00"&amp;INT(MOD(Sync!$J518,10000)/100),2)&amp;"/"&amp;RIGHT("00"&amp;MOD(Sync!$J518,100),2),"نامعتبر"),IF(LEN(Sync!$J518)=10,Sync!$J518,"نامعتبر")))</f>
        <v/>
      </c>
      <c r="R518">
        <f>IF($P518="","",COUNTIFS($N$6:$N$2005,$N518,$P$6:$P$2005,"&lt;"&amp;$P518)+COUNTIFS($A$6:$A$1005,$N518,$B$6:$B$1005,"&lt;"&amp;$P518)+1)</f>
        <v/>
      </c>
      <c r="S518">
        <f>IF($N518="","",$N518&amp;"|"&amp;RIGHT("000000"&amp;$R518,6))</f>
        <v/>
      </c>
      <c r="T518">
        <f>IF($N518="","",IF(Sync!$N518="",0,Sync!$N518))</f>
        <v/>
      </c>
      <c r="U518">
        <f>IF($N518="","",IF(Sync!$O518="",0,Sync!$O518))</f>
        <v/>
      </c>
      <c r="V518">
        <f>IF($N518="","",Sync!$L518)</f>
        <v/>
      </c>
      <c r="W518">
        <f>IF($N518="","",Sync!$P518)</f>
        <v/>
      </c>
      <c r="AA518">
        <f>IF($A518="","",IF(COUNTIF($A$6:$A518,$A518)=1,1,0))</f>
        <v/>
      </c>
      <c r="AB518">
        <f>SUM($AA$6:$AA518)</f>
        <v/>
      </c>
      <c r="AC518">
        <f>IFERROR(INDEX($A$6:$A$1005,MATCH(ROW()-5,$AB$6:$AB$1005,0)),"")</f>
        <v/>
      </c>
    </row>
    <row r="519">
      <c r="A519">
        <f>IF(OR(Entry!$B522="",Entry!$E522="",$E519="نامعتبر"),"",Entry!$E522)</f>
        <v/>
      </c>
      <c r="B519">
        <f>IF($A519="","",LEFT($E519,4)&amp;MID($E519,6,2)&amp;RIGHT($E519,2)&amp;$F519&amp;"|"&amp;"1"&amp;RIGHT("00000"&amp;514,5))</f>
        <v/>
      </c>
      <c r="C519">
        <f>IF($B519="","",COUNTIFS($A$6:$A$1005,$A519,$B$6:$B$1005,"&lt;"&amp;$B519)+COUNTIFS($N$6:$N$2005,$A519,$P$6:$P$2005,"&lt;"&amp;$B519)+1)</f>
        <v/>
      </c>
      <c r="D519">
        <f>IF($C519="","",$A519&amp;"|"&amp;RIGHT("000000"&amp;$C519,6))</f>
        <v/>
      </c>
      <c r="E519">
        <f>IF(Entry!$B522="","",IF(ISNUMBER(Entry!$B522),IF(AND(Entry!$B522&gt;=10000101,Entry!$B522&lt;=99991231),INT(Entry!$B522/10000)&amp;"/"&amp;RIGHT("00"&amp;INT(MOD(Entry!$B522,10000)/100),2)&amp;"/"&amp;RIGHT("00"&amp;MOD(Entry!$B522,100),2),"نامعتبر"),IF(LEN(Entry!$B522)=10,Entry!$B522,"نامعتبر")))</f>
        <v/>
      </c>
      <c r="F519">
        <f>IF(Entry!$B522="","",IF(Entry!$C522="","0000",IF(AND(ISNUMBER(Entry!$C522),Entry!$C522&gt;=0,Entry!$C522&lt;1),RIGHT("00"&amp;HOUR(Entry!$C522),2)&amp;RIGHT("00"&amp;MINUTE(Entry!$C522),2),IFERROR(RIGHT("00"&amp;VALUE(LEFT(Entry!$C522,FIND(":",Entry!$C522)-1)),2)&amp;RIGHT("00"&amp;VALUE(MID(Entry!$C522,FIND(":",Entry!$C522)+1,2)),2),"0000"))))</f>
        <v/>
      </c>
      <c r="G519">
        <f>IF($A519="","",Entry!$G522)</f>
        <v/>
      </c>
      <c r="H519">
        <f>IF($A519="","",IF(Entry!$H522="",0,Entry!$H522))</f>
        <v/>
      </c>
      <c r="I519">
        <f>IF($A519="","",IF(Entry!$I522="",0,Entry!$I522))</f>
        <v/>
      </c>
      <c r="J519">
        <f>IF($A519="","",ROUND($H519*$I519,0))</f>
        <v/>
      </c>
      <c r="K519">
        <f>IF($A519="","",Entry!$D522)</f>
        <v/>
      </c>
      <c r="L519">
        <f>IF($A519="","",Entry!$L522)</f>
        <v/>
      </c>
      <c r="N519">
        <f>IF(OR(Sync!$M519="",$Q519="",$Q519="نامعتبر"),"",Sync!$M519)</f>
        <v/>
      </c>
      <c r="O519">
        <f>IF($N519="","",$Q519)</f>
        <v/>
      </c>
      <c r="P519">
        <f>IF($N519="","",LEFT($Q519,4)&amp;MID($Q519,6,2)&amp;RIGHT($Q519,2)&amp;IF(Sync!$K519="","0000",IF(AND(ISNUMBER(Sync!$K519),Sync!$K519&gt;=0,Sync!$K519&lt;1),RIGHT("00"&amp;HOUR(Sync!$K519),2)&amp;RIGHT("00"&amp;MINUTE(Sync!$K519),2),IFERROR(RIGHT("00"&amp;VALUE(LEFT(Sync!$K519,FIND(":",Sync!$K519)-1)),2)&amp;RIGHT("00"&amp;VALUE(MID(Sync!$K519,FIND(":",Sync!$K519)+1,2)),2),"0000")))&amp;"|"&amp;"2"&amp;RIGHT("00000"&amp;514,5))</f>
        <v/>
      </c>
      <c r="Q519">
        <f>IF(Sync!$J519="","",IF(ISNUMBER(Sync!$J519),IF(AND(Sync!$J519&gt;=10000101,Sync!$J519&lt;=99991231),INT(Sync!$J519/10000)&amp;"/"&amp;RIGHT("00"&amp;INT(MOD(Sync!$J519,10000)/100),2)&amp;"/"&amp;RIGHT("00"&amp;MOD(Sync!$J519,100),2),"نامعتبر"),IF(LEN(Sync!$J519)=10,Sync!$J519,"نامعتبر")))</f>
        <v/>
      </c>
      <c r="R519">
        <f>IF($P519="","",COUNTIFS($N$6:$N$2005,$N519,$P$6:$P$2005,"&lt;"&amp;$P519)+COUNTIFS($A$6:$A$1005,$N519,$B$6:$B$1005,"&lt;"&amp;$P519)+1)</f>
        <v/>
      </c>
      <c r="S519">
        <f>IF($N519="","",$N519&amp;"|"&amp;RIGHT("000000"&amp;$R519,6))</f>
        <v/>
      </c>
      <c r="T519">
        <f>IF($N519="","",IF(Sync!$N519="",0,Sync!$N519))</f>
        <v/>
      </c>
      <c r="U519">
        <f>IF($N519="","",IF(Sync!$O519="",0,Sync!$O519))</f>
        <v/>
      </c>
      <c r="V519">
        <f>IF($N519="","",Sync!$L519)</f>
        <v/>
      </c>
      <c r="W519">
        <f>IF($N519="","",Sync!$P519)</f>
        <v/>
      </c>
      <c r="AA519">
        <f>IF($A519="","",IF(COUNTIF($A$6:$A519,$A519)=1,1,0))</f>
        <v/>
      </c>
      <c r="AB519">
        <f>SUM($AA$6:$AA519)</f>
        <v/>
      </c>
      <c r="AC519">
        <f>IFERROR(INDEX($A$6:$A$1005,MATCH(ROW()-5,$AB$6:$AB$1005,0)),"")</f>
        <v/>
      </c>
    </row>
    <row r="520">
      <c r="A520">
        <f>IF(OR(Entry!$B523="",Entry!$E523="",$E520="نامعتبر"),"",Entry!$E523)</f>
        <v/>
      </c>
      <c r="B520">
        <f>IF($A520="","",LEFT($E520,4)&amp;MID($E520,6,2)&amp;RIGHT($E520,2)&amp;$F520&amp;"|"&amp;"1"&amp;RIGHT("00000"&amp;515,5))</f>
        <v/>
      </c>
      <c r="C520">
        <f>IF($B520="","",COUNTIFS($A$6:$A$1005,$A520,$B$6:$B$1005,"&lt;"&amp;$B520)+COUNTIFS($N$6:$N$2005,$A520,$P$6:$P$2005,"&lt;"&amp;$B520)+1)</f>
        <v/>
      </c>
      <c r="D520">
        <f>IF($C520="","",$A520&amp;"|"&amp;RIGHT("000000"&amp;$C520,6))</f>
        <v/>
      </c>
      <c r="E520">
        <f>IF(Entry!$B523="","",IF(ISNUMBER(Entry!$B523),IF(AND(Entry!$B523&gt;=10000101,Entry!$B523&lt;=99991231),INT(Entry!$B523/10000)&amp;"/"&amp;RIGHT("00"&amp;INT(MOD(Entry!$B523,10000)/100),2)&amp;"/"&amp;RIGHT("00"&amp;MOD(Entry!$B523,100),2),"نامعتبر"),IF(LEN(Entry!$B523)=10,Entry!$B523,"نامعتبر")))</f>
        <v/>
      </c>
      <c r="F520">
        <f>IF(Entry!$B523="","",IF(Entry!$C523="","0000",IF(AND(ISNUMBER(Entry!$C523),Entry!$C523&gt;=0,Entry!$C523&lt;1),RIGHT("00"&amp;HOUR(Entry!$C523),2)&amp;RIGHT("00"&amp;MINUTE(Entry!$C523),2),IFERROR(RIGHT("00"&amp;VALUE(LEFT(Entry!$C523,FIND(":",Entry!$C523)-1)),2)&amp;RIGHT("00"&amp;VALUE(MID(Entry!$C523,FIND(":",Entry!$C523)+1,2)),2),"0000"))))</f>
        <v/>
      </c>
      <c r="G520">
        <f>IF($A520="","",Entry!$G523)</f>
        <v/>
      </c>
      <c r="H520">
        <f>IF($A520="","",IF(Entry!$H523="",0,Entry!$H523))</f>
        <v/>
      </c>
      <c r="I520">
        <f>IF($A520="","",IF(Entry!$I523="",0,Entry!$I523))</f>
        <v/>
      </c>
      <c r="J520">
        <f>IF($A520="","",ROUND($H520*$I520,0))</f>
        <v/>
      </c>
      <c r="K520">
        <f>IF($A520="","",Entry!$D523)</f>
        <v/>
      </c>
      <c r="L520">
        <f>IF($A520="","",Entry!$L523)</f>
        <v/>
      </c>
      <c r="N520">
        <f>IF(OR(Sync!$M520="",$Q520="",$Q520="نامعتبر"),"",Sync!$M520)</f>
        <v/>
      </c>
      <c r="O520">
        <f>IF($N520="","",$Q520)</f>
        <v/>
      </c>
      <c r="P520">
        <f>IF($N520="","",LEFT($Q520,4)&amp;MID($Q520,6,2)&amp;RIGHT($Q520,2)&amp;IF(Sync!$K520="","0000",IF(AND(ISNUMBER(Sync!$K520),Sync!$K520&gt;=0,Sync!$K520&lt;1),RIGHT("00"&amp;HOUR(Sync!$K520),2)&amp;RIGHT("00"&amp;MINUTE(Sync!$K520),2),IFERROR(RIGHT("00"&amp;VALUE(LEFT(Sync!$K520,FIND(":",Sync!$K520)-1)),2)&amp;RIGHT("00"&amp;VALUE(MID(Sync!$K520,FIND(":",Sync!$K520)+1,2)),2),"0000")))&amp;"|"&amp;"2"&amp;RIGHT("00000"&amp;515,5))</f>
        <v/>
      </c>
      <c r="Q520">
        <f>IF(Sync!$J520="","",IF(ISNUMBER(Sync!$J520),IF(AND(Sync!$J520&gt;=10000101,Sync!$J520&lt;=99991231),INT(Sync!$J520/10000)&amp;"/"&amp;RIGHT("00"&amp;INT(MOD(Sync!$J520,10000)/100),2)&amp;"/"&amp;RIGHT("00"&amp;MOD(Sync!$J520,100),2),"نامعتبر"),IF(LEN(Sync!$J520)=10,Sync!$J520,"نامعتبر")))</f>
        <v/>
      </c>
      <c r="R520">
        <f>IF($P520="","",COUNTIFS($N$6:$N$2005,$N520,$P$6:$P$2005,"&lt;"&amp;$P520)+COUNTIFS($A$6:$A$1005,$N520,$B$6:$B$1005,"&lt;"&amp;$P520)+1)</f>
        <v/>
      </c>
      <c r="S520">
        <f>IF($N520="","",$N520&amp;"|"&amp;RIGHT("000000"&amp;$R520,6))</f>
        <v/>
      </c>
      <c r="T520">
        <f>IF($N520="","",IF(Sync!$N520="",0,Sync!$N520))</f>
        <v/>
      </c>
      <c r="U520">
        <f>IF($N520="","",IF(Sync!$O520="",0,Sync!$O520))</f>
        <v/>
      </c>
      <c r="V520">
        <f>IF($N520="","",Sync!$L520)</f>
        <v/>
      </c>
      <c r="W520">
        <f>IF($N520="","",Sync!$P520)</f>
        <v/>
      </c>
      <c r="AA520">
        <f>IF($A520="","",IF(COUNTIF($A$6:$A520,$A520)=1,1,0))</f>
        <v/>
      </c>
      <c r="AB520">
        <f>SUM($AA$6:$AA520)</f>
        <v/>
      </c>
      <c r="AC520">
        <f>IFERROR(INDEX($A$6:$A$1005,MATCH(ROW()-5,$AB$6:$AB$1005,0)),"")</f>
        <v/>
      </c>
    </row>
    <row r="521">
      <c r="A521">
        <f>IF(OR(Entry!$B524="",Entry!$E524="",$E521="نامعتبر"),"",Entry!$E524)</f>
        <v/>
      </c>
      <c r="B521">
        <f>IF($A521="","",LEFT($E521,4)&amp;MID($E521,6,2)&amp;RIGHT($E521,2)&amp;$F521&amp;"|"&amp;"1"&amp;RIGHT("00000"&amp;516,5))</f>
        <v/>
      </c>
      <c r="C521">
        <f>IF($B521="","",COUNTIFS($A$6:$A$1005,$A521,$B$6:$B$1005,"&lt;"&amp;$B521)+COUNTIFS($N$6:$N$2005,$A521,$P$6:$P$2005,"&lt;"&amp;$B521)+1)</f>
        <v/>
      </c>
      <c r="D521">
        <f>IF($C521="","",$A521&amp;"|"&amp;RIGHT("000000"&amp;$C521,6))</f>
        <v/>
      </c>
      <c r="E521">
        <f>IF(Entry!$B524="","",IF(ISNUMBER(Entry!$B524),IF(AND(Entry!$B524&gt;=10000101,Entry!$B524&lt;=99991231),INT(Entry!$B524/10000)&amp;"/"&amp;RIGHT("00"&amp;INT(MOD(Entry!$B524,10000)/100),2)&amp;"/"&amp;RIGHT("00"&amp;MOD(Entry!$B524,100),2),"نامعتبر"),IF(LEN(Entry!$B524)=10,Entry!$B524,"نامعتبر")))</f>
        <v/>
      </c>
      <c r="F521">
        <f>IF(Entry!$B524="","",IF(Entry!$C524="","0000",IF(AND(ISNUMBER(Entry!$C524),Entry!$C524&gt;=0,Entry!$C524&lt;1),RIGHT("00"&amp;HOUR(Entry!$C524),2)&amp;RIGHT("00"&amp;MINUTE(Entry!$C524),2),IFERROR(RIGHT("00"&amp;VALUE(LEFT(Entry!$C524,FIND(":",Entry!$C524)-1)),2)&amp;RIGHT("00"&amp;VALUE(MID(Entry!$C524,FIND(":",Entry!$C524)+1,2)),2),"0000"))))</f>
        <v/>
      </c>
      <c r="G521">
        <f>IF($A521="","",Entry!$G524)</f>
        <v/>
      </c>
      <c r="H521">
        <f>IF($A521="","",IF(Entry!$H524="",0,Entry!$H524))</f>
        <v/>
      </c>
      <c r="I521">
        <f>IF($A521="","",IF(Entry!$I524="",0,Entry!$I524))</f>
        <v/>
      </c>
      <c r="J521">
        <f>IF($A521="","",ROUND($H521*$I521,0))</f>
        <v/>
      </c>
      <c r="K521">
        <f>IF($A521="","",Entry!$D524)</f>
        <v/>
      </c>
      <c r="L521">
        <f>IF($A521="","",Entry!$L524)</f>
        <v/>
      </c>
      <c r="N521">
        <f>IF(OR(Sync!$M521="",$Q521="",$Q521="نامعتبر"),"",Sync!$M521)</f>
        <v/>
      </c>
      <c r="O521">
        <f>IF($N521="","",$Q521)</f>
        <v/>
      </c>
      <c r="P521">
        <f>IF($N521="","",LEFT($Q521,4)&amp;MID($Q521,6,2)&amp;RIGHT($Q521,2)&amp;IF(Sync!$K521="","0000",IF(AND(ISNUMBER(Sync!$K521),Sync!$K521&gt;=0,Sync!$K521&lt;1),RIGHT("00"&amp;HOUR(Sync!$K521),2)&amp;RIGHT("00"&amp;MINUTE(Sync!$K521),2),IFERROR(RIGHT("00"&amp;VALUE(LEFT(Sync!$K521,FIND(":",Sync!$K521)-1)),2)&amp;RIGHT("00"&amp;VALUE(MID(Sync!$K521,FIND(":",Sync!$K521)+1,2)),2),"0000")))&amp;"|"&amp;"2"&amp;RIGHT("00000"&amp;516,5))</f>
        <v/>
      </c>
      <c r="Q521">
        <f>IF(Sync!$J521="","",IF(ISNUMBER(Sync!$J521),IF(AND(Sync!$J521&gt;=10000101,Sync!$J521&lt;=99991231),INT(Sync!$J521/10000)&amp;"/"&amp;RIGHT("00"&amp;INT(MOD(Sync!$J521,10000)/100),2)&amp;"/"&amp;RIGHT("00"&amp;MOD(Sync!$J521,100),2),"نامعتبر"),IF(LEN(Sync!$J521)=10,Sync!$J521,"نامعتبر")))</f>
        <v/>
      </c>
      <c r="R521">
        <f>IF($P521="","",COUNTIFS($N$6:$N$2005,$N521,$P$6:$P$2005,"&lt;"&amp;$P521)+COUNTIFS($A$6:$A$1005,$N521,$B$6:$B$1005,"&lt;"&amp;$P521)+1)</f>
        <v/>
      </c>
      <c r="S521">
        <f>IF($N521="","",$N521&amp;"|"&amp;RIGHT("000000"&amp;$R521,6))</f>
        <v/>
      </c>
      <c r="T521">
        <f>IF($N521="","",IF(Sync!$N521="",0,Sync!$N521))</f>
        <v/>
      </c>
      <c r="U521">
        <f>IF($N521="","",IF(Sync!$O521="",0,Sync!$O521))</f>
        <v/>
      </c>
      <c r="V521">
        <f>IF($N521="","",Sync!$L521)</f>
        <v/>
      </c>
      <c r="W521">
        <f>IF($N521="","",Sync!$P521)</f>
        <v/>
      </c>
      <c r="AA521">
        <f>IF($A521="","",IF(COUNTIF($A$6:$A521,$A521)=1,1,0))</f>
        <v/>
      </c>
      <c r="AB521">
        <f>SUM($AA$6:$AA521)</f>
        <v/>
      </c>
      <c r="AC521">
        <f>IFERROR(INDEX($A$6:$A$1005,MATCH(ROW()-5,$AB$6:$AB$1005,0)),"")</f>
        <v/>
      </c>
    </row>
    <row r="522">
      <c r="A522">
        <f>IF(OR(Entry!$B525="",Entry!$E525="",$E522="نامعتبر"),"",Entry!$E525)</f>
        <v/>
      </c>
      <c r="B522">
        <f>IF($A522="","",LEFT($E522,4)&amp;MID($E522,6,2)&amp;RIGHT($E522,2)&amp;$F522&amp;"|"&amp;"1"&amp;RIGHT("00000"&amp;517,5))</f>
        <v/>
      </c>
      <c r="C522">
        <f>IF($B522="","",COUNTIFS($A$6:$A$1005,$A522,$B$6:$B$1005,"&lt;"&amp;$B522)+COUNTIFS($N$6:$N$2005,$A522,$P$6:$P$2005,"&lt;"&amp;$B522)+1)</f>
        <v/>
      </c>
      <c r="D522">
        <f>IF($C522="","",$A522&amp;"|"&amp;RIGHT("000000"&amp;$C522,6))</f>
        <v/>
      </c>
      <c r="E522">
        <f>IF(Entry!$B525="","",IF(ISNUMBER(Entry!$B525),IF(AND(Entry!$B525&gt;=10000101,Entry!$B525&lt;=99991231),INT(Entry!$B525/10000)&amp;"/"&amp;RIGHT("00"&amp;INT(MOD(Entry!$B525,10000)/100),2)&amp;"/"&amp;RIGHT("00"&amp;MOD(Entry!$B525,100),2),"نامعتبر"),IF(LEN(Entry!$B525)=10,Entry!$B525,"نامعتبر")))</f>
        <v/>
      </c>
      <c r="F522">
        <f>IF(Entry!$B525="","",IF(Entry!$C525="","0000",IF(AND(ISNUMBER(Entry!$C525),Entry!$C525&gt;=0,Entry!$C525&lt;1),RIGHT("00"&amp;HOUR(Entry!$C525),2)&amp;RIGHT("00"&amp;MINUTE(Entry!$C525),2),IFERROR(RIGHT("00"&amp;VALUE(LEFT(Entry!$C525,FIND(":",Entry!$C525)-1)),2)&amp;RIGHT("00"&amp;VALUE(MID(Entry!$C525,FIND(":",Entry!$C525)+1,2)),2),"0000"))))</f>
        <v/>
      </c>
      <c r="G522">
        <f>IF($A522="","",Entry!$G525)</f>
        <v/>
      </c>
      <c r="H522">
        <f>IF($A522="","",IF(Entry!$H525="",0,Entry!$H525))</f>
        <v/>
      </c>
      <c r="I522">
        <f>IF($A522="","",IF(Entry!$I525="",0,Entry!$I525))</f>
        <v/>
      </c>
      <c r="J522">
        <f>IF($A522="","",ROUND($H522*$I522,0))</f>
        <v/>
      </c>
      <c r="K522">
        <f>IF($A522="","",Entry!$D525)</f>
        <v/>
      </c>
      <c r="L522">
        <f>IF($A522="","",Entry!$L525)</f>
        <v/>
      </c>
      <c r="N522">
        <f>IF(OR(Sync!$M522="",$Q522="",$Q522="نامعتبر"),"",Sync!$M522)</f>
        <v/>
      </c>
      <c r="O522">
        <f>IF($N522="","",$Q522)</f>
        <v/>
      </c>
      <c r="P522">
        <f>IF($N522="","",LEFT($Q522,4)&amp;MID($Q522,6,2)&amp;RIGHT($Q522,2)&amp;IF(Sync!$K522="","0000",IF(AND(ISNUMBER(Sync!$K522),Sync!$K522&gt;=0,Sync!$K522&lt;1),RIGHT("00"&amp;HOUR(Sync!$K522),2)&amp;RIGHT("00"&amp;MINUTE(Sync!$K522),2),IFERROR(RIGHT("00"&amp;VALUE(LEFT(Sync!$K522,FIND(":",Sync!$K522)-1)),2)&amp;RIGHT("00"&amp;VALUE(MID(Sync!$K522,FIND(":",Sync!$K522)+1,2)),2),"0000")))&amp;"|"&amp;"2"&amp;RIGHT("00000"&amp;517,5))</f>
        <v/>
      </c>
      <c r="Q522">
        <f>IF(Sync!$J522="","",IF(ISNUMBER(Sync!$J522),IF(AND(Sync!$J522&gt;=10000101,Sync!$J522&lt;=99991231),INT(Sync!$J522/10000)&amp;"/"&amp;RIGHT("00"&amp;INT(MOD(Sync!$J522,10000)/100),2)&amp;"/"&amp;RIGHT("00"&amp;MOD(Sync!$J522,100),2),"نامعتبر"),IF(LEN(Sync!$J522)=10,Sync!$J522,"نامعتبر")))</f>
        <v/>
      </c>
      <c r="R522">
        <f>IF($P522="","",COUNTIFS($N$6:$N$2005,$N522,$P$6:$P$2005,"&lt;"&amp;$P522)+COUNTIFS($A$6:$A$1005,$N522,$B$6:$B$1005,"&lt;"&amp;$P522)+1)</f>
        <v/>
      </c>
      <c r="S522">
        <f>IF($N522="","",$N522&amp;"|"&amp;RIGHT("000000"&amp;$R522,6))</f>
        <v/>
      </c>
      <c r="T522">
        <f>IF($N522="","",IF(Sync!$N522="",0,Sync!$N522))</f>
        <v/>
      </c>
      <c r="U522">
        <f>IF($N522="","",IF(Sync!$O522="",0,Sync!$O522))</f>
        <v/>
      </c>
      <c r="V522">
        <f>IF($N522="","",Sync!$L522)</f>
        <v/>
      </c>
      <c r="W522">
        <f>IF($N522="","",Sync!$P522)</f>
        <v/>
      </c>
      <c r="AA522">
        <f>IF($A522="","",IF(COUNTIF($A$6:$A522,$A522)=1,1,0))</f>
        <v/>
      </c>
      <c r="AB522">
        <f>SUM($AA$6:$AA522)</f>
        <v/>
      </c>
      <c r="AC522">
        <f>IFERROR(INDEX($A$6:$A$1005,MATCH(ROW()-5,$AB$6:$AB$1005,0)),"")</f>
        <v/>
      </c>
    </row>
    <row r="523">
      <c r="A523">
        <f>IF(OR(Entry!$B526="",Entry!$E526="",$E523="نامعتبر"),"",Entry!$E526)</f>
        <v/>
      </c>
      <c r="B523">
        <f>IF($A523="","",LEFT($E523,4)&amp;MID($E523,6,2)&amp;RIGHT($E523,2)&amp;$F523&amp;"|"&amp;"1"&amp;RIGHT("00000"&amp;518,5))</f>
        <v/>
      </c>
      <c r="C523">
        <f>IF($B523="","",COUNTIFS($A$6:$A$1005,$A523,$B$6:$B$1005,"&lt;"&amp;$B523)+COUNTIFS($N$6:$N$2005,$A523,$P$6:$P$2005,"&lt;"&amp;$B523)+1)</f>
        <v/>
      </c>
      <c r="D523">
        <f>IF($C523="","",$A523&amp;"|"&amp;RIGHT("000000"&amp;$C523,6))</f>
        <v/>
      </c>
      <c r="E523">
        <f>IF(Entry!$B526="","",IF(ISNUMBER(Entry!$B526),IF(AND(Entry!$B526&gt;=10000101,Entry!$B526&lt;=99991231),INT(Entry!$B526/10000)&amp;"/"&amp;RIGHT("00"&amp;INT(MOD(Entry!$B526,10000)/100),2)&amp;"/"&amp;RIGHT("00"&amp;MOD(Entry!$B526,100),2),"نامعتبر"),IF(LEN(Entry!$B526)=10,Entry!$B526,"نامعتبر")))</f>
        <v/>
      </c>
      <c r="F523">
        <f>IF(Entry!$B526="","",IF(Entry!$C526="","0000",IF(AND(ISNUMBER(Entry!$C526),Entry!$C526&gt;=0,Entry!$C526&lt;1),RIGHT("00"&amp;HOUR(Entry!$C526),2)&amp;RIGHT("00"&amp;MINUTE(Entry!$C526),2),IFERROR(RIGHT("00"&amp;VALUE(LEFT(Entry!$C526,FIND(":",Entry!$C526)-1)),2)&amp;RIGHT("00"&amp;VALUE(MID(Entry!$C526,FIND(":",Entry!$C526)+1,2)),2),"0000"))))</f>
        <v/>
      </c>
      <c r="G523">
        <f>IF($A523="","",Entry!$G526)</f>
        <v/>
      </c>
      <c r="H523">
        <f>IF($A523="","",IF(Entry!$H526="",0,Entry!$H526))</f>
        <v/>
      </c>
      <c r="I523">
        <f>IF($A523="","",IF(Entry!$I526="",0,Entry!$I526))</f>
        <v/>
      </c>
      <c r="J523">
        <f>IF($A523="","",ROUND($H523*$I523,0))</f>
        <v/>
      </c>
      <c r="K523">
        <f>IF($A523="","",Entry!$D526)</f>
        <v/>
      </c>
      <c r="L523">
        <f>IF($A523="","",Entry!$L526)</f>
        <v/>
      </c>
      <c r="N523">
        <f>IF(OR(Sync!$M523="",$Q523="",$Q523="نامعتبر"),"",Sync!$M523)</f>
        <v/>
      </c>
      <c r="O523">
        <f>IF($N523="","",$Q523)</f>
        <v/>
      </c>
      <c r="P523">
        <f>IF($N523="","",LEFT($Q523,4)&amp;MID($Q523,6,2)&amp;RIGHT($Q523,2)&amp;IF(Sync!$K523="","0000",IF(AND(ISNUMBER(Sync!$K523),Sync!$K523&gt;=0,Sync!$K523&lt;1),RIGHT("00"&amp;HOUR(Sync!$K523),2)&amp;RIGHT("00"&amp;MINUTE(Sync!$K523),2),IFERROR(RIGHT("00"&amp;VALUE(LEFT(Sync!$K523,FIND(":",Sync!$K523)-1)),2)&amp;RIGHT("00"&amp;VALUE(MID(Sync!$K523,FIND(":",Sync!$K523)+1,2)),2),"0000")))&amp;"|"&amp;"2"&amp;RIGHT("00000"&amp;518,5))</f>
        <v/>
      </c>
      <c r="Q523">
        <f>IF(Sync!$J523="","",IF(ISNUMBER(Sync!$J523),IF(AND(Sync!$J523&gt;=10000101,Sync!$J523&lt;=99991231),INT(Sync!$J523/10000)&amp;"/"&amp;RIGHT("00"&amp;INT(MOD(Sync!$J523,10000)/100),2)&amp;"/"&amp;RIGHT("00"&amp;MOD(Sync!$J523,100),2),"نامعتبر"),IF(LEN(Sync!$J523)=10,Sync!$J523,"نامعتبر")))</f>
        <v/>
      </c>
      <c r="R523">
        <f>IF($P523="","",COUNTIFS($N$6:$N$2005,$N523,$P$6:$P$2005,"&lt;"&amp;$P523)+COUNTIFS($A$6:$A$1005,$N523,$B$6:$B$1005,"&lt;"&amp;$P523)+1)</f>
        <v/>
      </c>
      <c r="S523">
        <f>IF($N523="","",$N523&amp;"|"&amp;RIGHT("000000"&amp;$R523,6))</f>
        <v/>
      </c>
      <c r="T523">
        <f>IF($N523="","",IF(Sync!$N523="",0,Sync!$N523))</f>
        <v/>
      </c>
      <c r="U523">
        <f>IF($N523="","",IF(Sync!$O523="",0,Sync!$O523))</f>
        <v/>
      </c>
      <c r="V523">
        <f>IF($N523="","",Sync!$L523)</f>
        <v/>
      </c>
      <c r="W523">
        <f>IF($N523="","",Sync!$P523)</f>
        <v/>
      </c>
      <c r="AA523">
        <f>IF($A523="","",IF(COUNTIF($A$6:$A523,$A523)=1,1,0))</f>
        <v/>
      </c>
      <c r="AB523">
        <f>SUM($AA$6:$AA523)</f>
        <v/>
      </c>
      <c r="AC523">
        <f>IFERROR(INDEX($A$6:$A$1005,MATCH(ROW()-5,$AB$6:$AB$1005,0)),"")</f>
        <v/>
      </c>
    </row>
    <row r="524">
      <c r="A524">
        <f>IF(OR(Entry!$B527="",Entry!$E527="",$E524="نامعتبر"),"",Entry!$E527)</f>
        <v/>
      </c>
      <c r="B524">
        <f>IF($A524="","",LEFT($E524,4)&amp;MID($E524,6,2)&amp;RIGHT($E524,2)&amp;$F524&amp;"|"&amp;"1"&amp;RIGHT("00000"&amp;519,5))</f>
        <v/>
      </c>
      <c r="C524">
        <f>IF($B524="","",COUNTIFS($A$6:$A$1005,$A524,$B$6:$B$1005,"&lt;"&amp;$B524)+COUNTIFS($N$6:$N$2005,$A524,$P$6:$P$2005,"&lt;"&amp;$B524)+1)</f>
        <v/>
      </c>
      <c r="D524">
        <f>IF($C524="","",$A524&amp;"|"&amp;RIGHT("000000"&amp;$C524,6))</f>
        <v/>
      </c>
      <c r="E524">
        <f>IF(Entry!$B527="","",IF(ISNUMBER(Entry!$B527),IF(AND(Entry!$B527&gt;=10000101,Entry!$B527&lt;=99991231),INT(Entry!$B527/10000)&amp;"/"&amp;RIGHT("00"&amp;INT(MOD(Entry!$B527,10000)/100),2)&amp;"/"&amp;RIGHT("00"&amp;MOD(Entry!$B527,100),2),"نامعتبر"),IF(LEN(Entry!$B527)=10,Entry!$B527,"نامعتبر")))</f>
        <v/>
      </c>
      <c r="F524">
        <f>IF(Entry!$B527="","",IF(Entry!$C527="","0000",IF(AND(ISNUMBER(Entry!$C527),Entry!$C527&gt;=0,Entry!$C527&lt;1),RIGHT("00"&amp;HOUR(Entry!$C527),2)&amp;RIGHT("00"&amp;MINUTE(Entry!$C527),2),IFERROR(RIGHT("00"&amp;VALUE(LEFT(Entry!$C527,FIND(":",Entry!$C527)-1)),2)&amp;RIGHT("00"&amp;VALUE(MID(Entry!$C527,FIND(":",Entry!$C527)+1,2)),2),"0000"))))</f>
        <v/>
      </c>
      <c r="G524">
        <f>IF($A524="","",Entry!$G527)</f>
        <v/>
      </c>
      <c r="H524">
        <f>IF($A524="","",IF(Entry!$H527="",0,Entry!$H527))</f>
        <v/>
      </c>
      <c r="I524">
        <f>IF($A524="","",IF(Entry!$I527="",0,Entry!$I527))</f>
        <v/>
      </c>
      <c r="J524">
        <f>IF($A524="","",ROUND($H524*$I524,0))</f>
        <v/>
      </c>
      <c r="K524">
        <f>IF($A524="","",Entry!$D527)</f>
        <v/>
      </c>
      <c r="L524">
        <f>IF($A524="","",Entry!$L527)</f>
        <v/>
      </c>
      <c r="N524">
        <f>IF(OR(Sync!$M524="",$Q524="",$Q524="نامعتبر"),"",Sync!$M524)</f>
        <v/>
      </c>
      <c r="O524">
        <f>IF($N524="","",$Q524)</f>
        <v/>
      </c>
      <c r="P524">
        <f>IF($N524="","",LEFT($Q524,4)&amp;MID($Q524,6,2)&amp;RIGHT($Q524,2)&amp;IF(Sync!$K524="","0000",IF(AND(ISNUMBER(Sync!$K524),Sync!$K524&gt;=0,Sync!$K524&lt;1),RIGHT("00"&amp;HOUR(Sync!$K524),2)&amp;RIGHT("00"&amp;MINUTE(Sync!$K524),2),IFERROR(RIGHT("00"&amp;VALUE(LEFT(Sync!$K524,FIND(":",Sync!$K524)-1)),2)&amp;RIGHT("00"&amp;VALUE(MID(Sync!$K524,FIND(":",Sync!$K524)+1,2)),2),"0000")))&amp;"|"&amp;"2"&amp;RIGHT("00000"&amp;519,5))</f>
        <v/>
      </c>
      <c r="Q524">
        <f>IF(Sync!$J524="","",IF(ISNUMBER(Sync!$J524),IF(AND(Sync!$J524&gt;=10000101,Sync!$J524&lt;=99991231),INT(Sync!$J524/10000)&amp;"/"&amp;RIGHT("00"&amp;INT(MOD(Sync!$J524,10000)/100),2)&amp;"/"&amp;RIGHT("00"&amp;MOD(Sync!$J524,100),2),"نامعتبر"),IF(LEN(Sync!$J524)=10,Sync!$J524,"نامعتبر")))</f>
        <v/>
      </c>
      <c r="R524">
        <f>IF($P524="","",COUNTIFS($N$6:$N$2005,$N524,$P$6:$P$2005,"&lt;"&amp;$P524)+COUNTIFS($A$6:$A$1005,$N524,$B$6:$B$1005,"&lt;"&amp;$P524)+1)</f>
        <v/>
      </c>
      <c r="S524">
        <f>IF($N524="","",$N524&amp;"|"&amp;RIGHT("000000"&amp;$R524,6))</f>
        <v/>
      </c>
      <c r="T524">
        <f>IF($N524="","",IF(Sync!$N524="",0,Sync!$N524))</f>
        <v/>
      </c>
      <c r="U524">
        <f>IF($N524="","",IF(Sync!$O524="",0,Sync!$O524))</f>
        <v/>
      </c>
      <c r="V524">
        <f>IF($N524="","",Sync!$L524)</f>
        <v/>
      </c>
      <c r="W524">
        <f>IF($N524="","",Sync!$P524)</f>
        <v/>
      </c>
      <c r="AA524">
        <f>IF($A524="","",IF(COUNTIF($A$6:$A524,$A524)=1,1,0))</f>
        <v/>
      </c>
      <c r="AB524">
        <f>SUM($AA$6:$AA524)</f>
        <v/>
      </c>
      <c r="AC524">
        <f>IFERROR(INDEX($A$6:$A$1005,MATCH(ROW()-5,$AB$6:$AB$1005,0)),"")</f>
        <v/>
      </c>
    </row>
    <row r="525">
      <c r="A525">
        <f>IF(OR(Entry!$B528="",Entry!$E528="",$E525="نامعتبر"),"",Entry!$E528)</f>
        <v/>
      </c>
      <c r="B525">
        <f>IF($A525="","",LEFT($E525,4)&amp;MID($E525,6,2)&amp;RIGHT($E525,2)&amp;$F525&amp;"|"&amp;"1"&amp;RIGHT("00000"&amp;520,5))</f>
        <v/>
      </c>
      <c r="C525">
        <f>IF($B525="","",COUNTIFS($A$6:$A$1005,$A525,$B$6:$B$1005,"&lt;"&amp;$B525)+COUNTIFS($N$6:$N$2005,$A525,$P$6:$P$2005,"&lt;"&amp;$B525)+1)</f>
        <v/>
      </c>
      <c r="D525">
        <f>IF($C525="","",$A525&amp;"|"&amp;RIGHT("000000"&amp;$C525,6))</f>
        <v/>
      </c>
      <c r="E525">
        <f>IF(Entry!$B528="","",IF(ISNUMBER(Entry!$B528),IF(AND(Entry!$B528&gt;=10000101,Entry!$B528&lt;=99991231),INT(Entry!$B528/10000)&amp;"/"&amp;RIGHT("00"&amp;INT(MOD(Entry!$B528,10000)/100),2)&amp;"/"&amp;RIGHT("00"&amp;MOD(Entry!$B528,100),2),"نامعتبر"),IF(LEN(Entry!$B528)=10,Entry!$B528,"نامعتبر")))</f>
        <v/>
      </c>
      <c r="F525">
        <f>IF(Entry!$B528="","",IF(Entry!$C528="","0000",IF(AND(ISNUMBER(Entry!$C528),Entry!$C528&gt;=0,Entry!$C528&lt;1),RIGHT("00"&amp;HOUR(Entry!$C528),2)&amp;RIGHT("00"&amp;MINUTE(Entry!$C528),2),IFERROR(RIGHT("00"&amp;VALUE(LEFT(Entry!$C528,FIND(":",Entry!$C528)-1)),2)&amp;RIGHT("00"&amp;VALUE(MID(Entry!$C528,FIND(":",Entry!$C528)+1,2)),2),"0000"))))</f>
        <v/>
      </c>
      <c r="G525">
        <f>IF($A525="","",Entry!$G528)</f>
        <v/>
      </c>
      <c r="H525">
        <f>IF($A525="","",IF(Entry!$H528="",0,Entry!$H528))</f>
        <v/>
      </c>
      <c r="I525">
        <f>IF($A525="","",IF(Entry!$I528="",0,Entry!$I528))</f>
        <v/>
      </c>
      <c r="J525">
        <f>IF($A525="","",ROUND($H525*$I525,0))</f>
        <v/>
      </c>
      <c r="K525">
        <f>IF($A525="","",Entry!$D528)</f>
        <v/>
      </c>
      <c r="L525">
        <f>IF($A525="","",Entry!$L528)</f>
        <v/>
      </c>
      <c r="N525">
        <f>IF(OR(Sync!$M525="",$Q525="",$Q525="نامعتبر"),"",Sync!$M525)</f>
        <v/>
      </c>
      <c r="O525">
        <f>IF($N525="","",$Q525)</f>
        <v/>
      </c>
      <c r="P525">
        <f>IF($N525="","",LEFT($Q525,4)&amp;MID($Q525,6,2)&amp;RIGHT($Q525,2)&amp;IF(Sync!$K525="","0000",IF(AND(ISNUMBER(Sync!$K525),Sync!$K525&gt;=0,Sync!$K525&lt;1),RIGHT("00"&amp;HOUR(Sync!$K525),2)&amp;RIGHT("00"&amp;MINUTE(Sync!$K525),2),IFERROR(RIGHT("00"&amp;VALUE(LEFT(Sync!$K525,FIND(":",Sync!$K525)-1)),2)&amp;RIGHT("00"&amp;VALUE(MID(Sync!$K525,FIND(":",Sync!$K525)+1,2)),2),"0000")))&amp;"|"&amp;"2"&amp;RIGHT("00000"&amp;520,5))</f>
        <v/>
      </c>
      <c r="Q525">
        <f>IF(Sync!$J525="","",IF(ISNUMBER(Sync!$J525),IF(AND(Sync!$J525&gt;=10000101,Sync!$J525&lt;=99991231),INT(Sync!$J525/10000)&amp;"/"&amp;RIGHT("00"&amp;INT(MOD(Sync!$J525,10000)/100),2)&amp;"/"&amp;RIGHT("00"&amp;MOD(Sync!$J525,100),2),"نامعتبر"),IF(LEN(Sync!$J525)=10,Sync!$J525,"نامعتبر")))</f>
        <v/>
      </c>
      <c r="R525">
        <f>IF($P525="","",COUNTIFS($N$6:$N$2005,$N525,$P$6:$P$2005,"&lt;"&amp;$P525)+COUNTIFS($A$6:$A$1005,$N525,$B$6:$B$1005,"&lt;"&amp;$P525)+1)</f>
        <v/>
      </c>
      <c r="S525">
        <f>IF($N525="","",$N525&amp;"|"&amp;RIGHT("000000"&amp;$R525,6))</f>
        <v/>
      </c>
      <c r="T525">
        <f>IF($N525="","",IF(Sync!$N525="",0,Sync!$N525))</f>
        <v/>
      </c>
      <c r="U525">
        <f>IF($N525="","",IF(Sync!$O525="",0,Sync!$O525))</f>
        <v/>
      </c>
      <c r="V525">
        <f>IF($N525="","",Sync!$L525)</f>
        <v/>
      </c>
      <c r="W525">
        <f>IF($N525="","",Sync!$P525)</f>
        <v/>
      </c>
      <c r="AA525">
        <f>IF($A525="","",IF(COUNTIF($A$6:$A525,$A525)=1,1,0))</f>
        <v/>
      </c>
      <c r="AB525">
        <f>SUM($AA$6:$AA525)</f>
        <v/>
      </c>
      <c r="AC525">
        <f>IFERROR(INDEX($A$6:$A$1005,MATCH(ROW()-5,$AB$6:$AB$1005,0)),"")</f>
        <v/>
      </c>
    </row>
    <row r="526">
      <c r="A526">
        <f>IF(OR(Entry!$B529="",Entry!$E529="",$E526="نامعتبر"),"",Entry!$E529)</f>
        <v/>
      </c>
      <c r="B526">
        <f>IF($A526="","",LEFT($E526,4)&amp;MID($E526,6,2)&amp;RIGHT($E526,2)&amp;$F526&amp;"|"&amp;"1"&amp;RIGHT("00000"&amp;521,5))</f>
        <v/>
      </c>
      <c r="C526">
        <f>IF($B526="","",COUNTIFS($A$6:$A$1005,$A526,$B$6:$B$1005,"&lt;"&amp;$B526)+COUNTIFS($N$6:$N$2005,$A526,$P$6:$P$2005,"&lt;"&amp;$B526)+1)</f>
        <v/>
      </c>
      <c r="D526">
        <f>IF($C526="","",$A526&amp;"|"&amp;RIGHT("000000"&amp;$C526,6))</f>
        <v/>
      </c>
      <c r="E526">
        <f>IF(Entry!$B529="","",IF(ISNUMBER(Entry!$B529),IF(AND(Entry!$B529&gt;=10000101,Entry!$B529&lt;=99991231),INT(Entry!$B529/10000)&amp;"/"&amp;RIGHT("00"&amp;INT(MOD(Entry!$B529,10000)/100),2)&amp;"/"&amp;RIGHT("00"&amp;MOD(Entry!$B529,100),2),"نامعتبر"),IF(LEN(Entry!$B529)=10,Entry!$B529,"نامعتبر")))</f>
        <v/>
      </c>
      <c r="F526">
        <f>IF(Entry!$B529="","",IF(Entry!$C529="","0000",IF(AND(ISNUMBER(Entry!$C529),Entry!$C529&gt;=0,Entry!$C529&lt;1),RIGHT("00"&amp;HOUR(Entry!$C529),2)&amp;RIGHT("00"&amp;MINUTE(Entry!$C529),2),IFERROR(RIGHT("00"&amp;VALUE(LEFT(Entry!$C529,FIND(":",Entry!$C529)-1)),2)&amp;RIGHT("00"&amp;VALUE(MID(Entry!$C529,FIND(":",Entry!$C529)+1,2)),2),"0000"))))</f>
        <v/>
      </c>
      <c r="G526">
        <f>IF($A526="","",Entry!$G529)</f>
        <v/>
      </c>
      <c r="H526">
        <f>IF($A526="","",IF(Entry!$H529="",0,Entry!$H529))</f>
        <v/>
      </c>
      <c r="I526">
        <f>IF($A526="","",IF(Entry!$I529="",0,Entry!$I529))</f>
        <v/>
      </c>
      <c r="J526">
        <f>IF($A526="","",ROUND($H526*$I526,0))</f>
        <v/>
      </c>
      <c r="K526">
        <f>IF($A526="","",Entry!$D529)</f>
        <v/>
      </c>
      <c r="L526">
        <f>IF($A526="","",Entry!$L529)</f>
        <v/>
      </c>
      <c r="N526">
        <f>IF(OR(Sync!$M526="",$Q526="",$Q526="نامعتبر"),"",Sync!$M526)</f>
        <v/>
      </c>
      <c r="O526">
        <f>IF($N526="","",$Q526)</f>
        <v/>
      </c>
      <c r="P526">
        <f>IF($N526="","",LEFT($Q526,4)&amp;MID($Q526,6,2)&amp;RIGHT($Q526,2)&amp;IF(Sync!$K526="","0000",IF(AND(ISNUMBER(Sync!$K526),Sync!$K526&gt;=0,Sync!$K526&lt;1),RIGHT("00"&amp;HOUR(Sync!$K526),2)&amp;RIGHT("00"&amp;MINUTE(Sync!$K526),2),IFERROR(RIGHT("00"&amp;VALUE(LEFT(Sync!$K526,FIND(":",Sync!$K526)-1)),2)&amp;RIGHT("00"&amp;VALUE(MID(Sync!$K526,FIND(":",Sync!$K526)+1,2)),2),"0000")))&amp;"|"&amp;"2"&amp;RIGHT("00000"&amp;521,5))</f>
        <v/>
      </c>
      <c r="Q526">
        <f>IF(Sync!$J526="","",IF(ISNUMBER(Sync!$J526),IF(AND(Sync!$J526&gt;=10000101,Sync!$J526&lt;=99991231),INT(Sync!$J526/10000)&amp;"/"&amp;RIGHT("00"&amp;INT(MOD(Sync!$J526,10000)/100),2)&amp;"/"&amp;RIGHT("00"&amp;MOD(Sync!$J526,100),2),"نامعتبر"),IF(LEN(Sync!$J526)=10,Sync!$J526,"نامعتبر")))</f>
        <v/>
      </c>
      <c r="R526">
        <f>IF($P526="","",COUNTIFS($N$6:$N$2005,$N526,$P$6:$P$2005,"&lt;"&amp;$P526)+COUNTIFS($A$6:$A$1005,$N526,$B$6:$B$1005,"&lt;"&amp;$P526)+1)</f>
        <v/>
      </c>
      <c r="S526">
        <f>IF($N526="","",$N526&amp;"|"&amp;RIGHT("000000"&amp;$R526,6))</f>
        <v/>
      </c>
      <c r="T526">
        <f>IF($N526="","",IF(Sync!$N526="",0,Sync!$N526))</f>
        <v/>
      </c>
      <c r="U526">
        <f>IF($N526="","",IF(Sync!$O526="",0,Sync!$O526))</f>
        <v/>
      </c>
      <c r="V526">
        <f>IF($N526="","",Sync!$L526)</f>
        <v/>
      </c>
      <c r="W526">
        <f>IF($N526="","",Sync!$P526)</f>
        <v/>
      </c>
      <c r="AA526">
        <f>IF($A526="","",IF(COUNTIF($A$6:$A526,$A526)=1,1,0))</f>
        <v/>
      </c>
      <c r="AB526">
        <f>SUM($AA$6:$AA526)</f>
        <v/>
      </c>
      <c r="AC526">
        <f>IFERROR(INDEX($A$6:$A$1005,MATCH(ROW()-5,$AB$6:$AB$1005,0)),"")</f>
        <v/>
      </c>
    </row>
    <row r="527">
      <c r="A527">
        <f>IF(OR(Entry!$B530="",Entry!$E530="",$E527="نامعتبر"),"",Entry!$E530)</f>
        <v/>
      </c>
      <c r="B527">
        <f>IF($A527="","",LEFT($E527,4)&amp;MID($E527,6,2)&amp;RIGHT($E527,2)&amp;$F527&amp;"|"&amp;"1"&amp;RIGHT("00000"&amp;522,5))</f>
        <v/>
      </c>
      <c r="C527">
        <f>IF($B527="","",COUNTIFS($A$6:$A$1005,$A527,$B$6:$B$1005,"&lt;"&amp;$B527)+COUNTIFS($N$6:$N$2005,$A527,$P$6:$P$2005,"&lt;"&amp;$B527)+1)</f>
        <v/>
      </c>
      <c r="D527">
        <f>IF($C527="","",$A527&amp;"|"&amp;RIGHT("000000"&amp;$C527,6))</f>
        <v/>
      </c>
      <c r="E527">
        <f>IF(Entry!$B530="","",IF(ISNUMBER(Entry!$B530),IF(AND(Entry!$B530&gt;=10000101,Entry!$B530&lt;=99991231),INT(Entry!$B530/10000)&amp;"/"&amp;RIGHT("00"&amp;INT(MOD(Entry!$B530,10000)/100),2)&amp;"/"&amp;RIGHT("00"&amp;MOD(Entry!$B530,100),2),"نامعتبر"),IF(LEN(Entry!$B530)=10,Entry!$B530,"نامعتبر")))</f>
        <v/>
      </c>
      <c r="F527">
        <f>IF(Entry!$B530="","",IF(Entry!$C530="","0000",IF(AND(ISNUMBER(Entry!$C530),Entry!$C530&gt;=0,Entry!$C530&lt;1),RIGHT("00"&amp;HOUR(Entry!$C530),2)&amp;RIGHT("00"&amp;MINUTE(Entry!$C530),2),IFERROR(RIGHT("00"&amp;VALUE(LEFT(Entry!$C530,FIND(":",Entry!$C530)-1)),2)&amp;RIGHT("00"&amp;VALUE(MID(Entry!$C530,FIND(":",Entry!$C530)+1,2)),2),"0000"))))</f>
        <v/>
      </c>
      <c r="G527">
        <f>IF($A527="","",Entry!$G530)</f>
        <v/>
      </c>
      <c r="H527">
        <f>IF($A527="","",IF(Entry!$H530="",0,Entry!$H530))</f>
        <v/>
      </c>
      <c r="I527">
        <f>IF($A527="","",IF(Entry!$I530="",0,Entry!$I530))</f>
        <v/>
      </c>
      <c r="J527">
        <f>IF($A527="","",ROUND($H527*$I527,0))</f>
        <v/>
      </c>
      <c r="K527">
        <f>IF($A527="","",Entry!$D530)</f>
        <v/>
      </c>
      <c r="L527">
        <f>IF($A527="","",Entry!$L530)</f>
        <v/>
      </c>
      <c r="N527">
        <f>IF(OR(Sync!$M527="",$Q527="",$Q527="نامعتبر"),"",Sync!$M527)</f>
        <v/>
      </c>
      <c r="O527">
        <f>IF($N527="","",$Q527)</f>
        <v/>
      </c>
      <c r="P527">
        <f>IF($N527="","",LEFT($Q527,4)&amp;MID($Q527,6,2)&amp;RIGHT($Q527,2)&amp;IF(Sync!$K527="","0000",IF(AND(ISNUMBER(Sync!$K527),Sync!$K527&gt;=0,Sync!$K527&lt;1),RIGHT("00"&amp;HOUR(Sync!$K527),2)&amp;RIGHT("00"&amp;MINUTE(Sync!$K527),2),IFERROR(RIGHT("00"&amp;VALUE(LEFT(Sync!$K527,FIND(":",Sync!$K527)-1)),2)&amp;RIGHT("00"&amp;VALUE(MID(Sync!$K527,FIND(":",Sync!$K527)+1,2)),2),"0000")))&amp;"|"&amp;"2"&amp;RIGHT("00000"&amp;522,5))</f>
        <v/>
      </c>
      <c r="Q527">
        <f>IF(Sync!$J527="","",IF(ISNUMBER(Sync!$J527),IF(AND(Sync!$J527&gt;=10000101,Sync!$J527&lt;=99991231),INT(Sync!$J527/10000)&amp;"/"&amp;RIGHT("00"&amp;INT(MOD(Sync!$J527,10000)/100),2)&amp;"/"&amp;RIGHT("00"&amp;MOD(Sync!$J527,100),2),"نامعتبر"),IF(LEN(Sync!$J527)=10,Sync!$J527,"نامعتبر")))</f>
        <v/>
      </c>
      <c r="R527">
        <f>IF($P527="","",COUNTIFS($N$6:$N$2005,$N527,$P$6:$P$2005,"&lt;"&amp;$P527)+COUNTIFS($A$6:$A$1005,$N527,$B$6:$B$1005,"&lt;"&amp;$P527)+1)</f>
        <v/>
      </c>
      <c r="S527">
        <f>IF($N527="","",$N527&amp;"|"&amp;RIGHT("000000"&amp;$R527,6))</f>
        <v/>
      </c>
      <c r="T527">
        <f>IF($N527="","",IF(Sync!$N527="",0,Sync!$N527))</f>
        <v/>
      </c>
      <c r="U527">
        <f>IF($N527="","",IF(Sync!$O527="",0,Sync!$O527))</f>
        <v/>
      </c>
      <c r="V527">
        <f>IF($N527="","",Sync!$L527)</f>
        <v/>
      </c>
      <c r="W527">
        <f>IF($N527="","",Sync!$P527)</f>
        <v/>
      </c>
      <c r="AA527">
        <f>IF($A527="","",IF(COUNTIF($A$6:$A527,$A527)=1,1,0))</f>
        <v/>
      </c>
      <c r="AB527">
        <f>SUM($AA$6:$AA527)</f>
        <v/>
      </c>
      <c r="AC527">
        <f>IFERROR(INDEX($A$6:$A$1005,MATCH(ROW()-5,$AB$6:$AB$1005,0)),"")</f>
        <v/>
      </c>
    </row>
    <row r="528">
      <c r="A528">
        <f>IF(OR(Entry!$B531="",Entry!$E531="",$E528="نامعتبر"),"",Entry!$E531)</f>
        <v/>
      </c>
      <c r="B528">
        <f>IF($A528="","",LEFT($E528,4)&amp;MID($E528,6,2)&amp;RIGHT($E528,2)&amp;$F528&amp;"|"&amp;"1"&amp;RIGHT("00000"&amp;523,5))</f>
        <v/>
      </c>
      <c r="C528">
        <f>IF($B528="","",COUNTIFS($A$6:$A$1005,$A528,$B$6:$B$1005,"&lt;"&amp;$B528)+COUNTIFS($N$6:$N$2005,$A528,$P$6:$P$2005,"&lt;"&amp;$B528)+1)</f>
        <v/>
      </c>
      <c r="D528">
        <f>IF($C528="","",$A528&amp;"|"&amp;RIGHT("000000"&amp;$C528,6))</f>
        <v/>
      </c>
      <c r="E528">
        <f>IF(Entry!$B531="","",IF(ISNUMBER(Entry!$B531),IF(AND(Entry!$B531&gt;=10000101,Entry!$B531&lt;=99991231),INT(Entry!$B531/10000)&amp;"/"&amp;RIGHT("00"&amp;INT(MOD(Entry!$B531,10000)/100),2)&amp;"/"&amp;RIGHT("00"&amp;MOD(Entry!$B531,100),2),"نامعتبر"),IF(LEN(Entry!$B531)=10,Entry!$B531,"نامعتبر")))</f>
        <v/>
      </c>
      <c r="F528">
        <f>IF(Entry!$B531="","",IF(Entry!$C531="","0000",IF(AND(ISNUMBER(Entry!$C531),Entry!$C531&gt;=0,Entry!$C531&lt;1),RIGHT("00"&amp;HOUR(Entry!$C531),2)&amp;RIGHT("00"&amp;MINUTE(Entry!$C531),2),IFERROR(RIGHT("00"&amp;VALUE(LEFT(Entry!$C531,FIND(":",Entry!$C531)-1)),2)&amp;RIGHT("00"&amp;VALUE(MID(Entry!$C531,FIND(":",Entry!$C531)+1,2)),2),"0000"))))</f>
        <v/>
      </c>
      <c r="G528">
        <f>IF($A528="","",Entry!$G531)</f>
        <v/>
      </c>
      <c r="H528">
        <f>IF($A528="","",IF(Entry!$H531="",0,Entry!$H531))</f>
        <v/>
      </c>
      <c r="I528">
        <f>IF($A528="","",IF(Entry!$I531="",0,Entry!$I531))</f>
        <v/>
      </c>
      <c r="J528">
        <f>IF($A528="","",ROUND($H528*$I528,0))</f>
        <v/>
      </c>
      <c r="K528">
        <f>IF($A528="","",Entry!$D531)</f>
        <v/>
      </c>
      <c r="L528">
        <f>IF($A528="","",Entry!$L531)</f>
        <v/>
      </c>
      <c r="N528">
        <f>IF(OR(Sync!$M528="",$Q528="",$Q528="نامعتبر"),"",Sync!$M528)</f>
        <v/>
      </c>
      <c r="O528">
        <f>IF($N528="","",$Q528)</f>
        <v/>
      </c>
      <c r="P528">
        <f>IF($N528="","",LEFT($Q528,4)&amp;MID($Q528,6,2)&amp;RIGHT($Q528,2)&amp;IF(Sync!$K528="","0000",IF(AND(ISNUMBER(Sync!$K528),Sync!$K528&gt;=0,Sync!$K528&lt;1),RIGHT("00"&amp;HOUR(Sync!$K528),2)&amp;RIGHT("00"&amp;MINUTE(Sync!$K528),2),IFERROR(RIGHT("00"&amp;VALUE(LEFT(Sync!$K528,FIND(":",Sync!$K528)-1)),2)&amp;RIGHT("00"&amp;VALUE(MID(Sync!$K528,FIND(":",Sync!$K528)+1,2)),2),"0000")))&amp;"|"&amp;"2"&amp;RIGHT("00000"&amp;523,5))</f>
        <v/>
      </c>
      <c r="Q528">
        <f>IF(Sync!$J528="","",IF(ISNUMBER(Sync!$J528),IF(AND(Sync!$J528&gt;=10000101,Sync!$J528&lt;=99991231),INT(Sync!$J528/10000)&amp;"/"&amp;RIGHT("00"&amp;INT(MOD(Sync!$J528,10000)/100),2)&amp;"/"&amp;RIGHT("00"&amp;MOD(Sync!$J528,100),2),"نامعتبر"),IF(LEN(Sync!$J528)=10,Sync!$J528,"نامعتبر")))</f>
        <v/>
      </c>
      <c r="R528">
        <f>IF($P528="","",COUNTIFS($N$6:$N$2005,$N528,$P$6:$P$2005,"&lt;"&amp;$P528)+COUNTIFS($A$6:$A$1005,$N528,$B$6:$B$1005,"&lt;"&amp;$P528)+1)</f>
        <v/>
      </c>
      <c r="S528">
        <f>IF($N528="","",$N528&amp;"|"&amp;RIGHT("000000"&amp;$R528,6))</f>
        <v/>
      </c>
      <c r="T528">
        <f>IF($N528="","",IF(Sync!$N528="",0,Sync!$N528))</f>
        <v/>
      </c>
      <c r="U528">
        <f>IF($N528="","",IF(Sync!$O528="",0,Sync!$O528))</f>
        <v/>
      </c>
      <c r="V528">
        <f>IF($N528="","",Sync!$L528)</f>
        <v/>
      </c>
      <c r="W528">
        <f>IF($N528="","",Sync!$P528)</f>
        <v/>
      </c>
      <c r="AA528">
        <f>IF($A528="","",IF(COUNTIF($A$6:$A528,$A528)=1,1,0))</f>
        <v/>
      </c>
      <c r="AB528">
        <f>SUM($AA$6:$AA528)</f>
        <v/>
      </c>
      <c r="AC528">
        <f>IFERROR(INDEX($A$6:$A$1005,MATCH(ROW()-5,$AB$6:$AB$1005,0)),"")</f>
        <v/>
      </c>
    </row>
    <row r="529">
      <c r="A529">
        <f>IF(OR(Entry!$B532="",Entry!$E532="",$E529="نامعتبر"),"",Entry!$E532)</f>
        <v/>
      </c>
      <c r="B529">
        <f>IF($A529="","",LEFT($E529,4)&amp;MID($E529,6,2)&amp;RIGHT($E529,2)&amp;$F529&amp;"|"&amp;"1"&amp;RIGHT("00000"&amp;524,5))</f>
        <v/>
      </c>
      <c r="C529">
        <f>IF($B529="","",COUNTIFS($A$6:$A$1005,$A529,$B$6:$B$1005,"&lt;"&amp;$B529)+COUNTIFS($N$6:$N$2005,$A529,$P$6:$P$2005,"&lt;"&amp;$B529)+1)</f>
        <v/>
      </c>
      <c r="D529">
        <f>IF($C529="","",$A529&amp;"|"&amp;RIGHT("000000"&amp;$C529,6))</f>
        <v/>
      </c>
      <c r="E529">
        <f>IF(Entry!$B532="","",IF(ISNUMBER(Entry!$B532),IF(AND(Entry!$B532&gt;=10000101,Entry!$B532&lt;=99991231),INT(Entry!$B532/10000)&amp;"/"&amp;RIGHT("00"&amp;INT(MOD(Entry!$B532,10000)/100),2)&amp;"/"&amp;RIGHT("00"&amp;MOD(Entry!$B532,100),2),"نامعتبر"),IF(LEN(Entry!$B532)=10,Entry!$B532,"نامعتبر")))</f>
        <v/>
      </c>
      <c r="F529">
        <f>IF(Entry!$B532="","",IF(Entry!$C532="","0000",IF(AND(ISNUMBER(Entry!$C532),Entry!$C532&gt;=0,Entry!$C532&lt;1),RIGHT("00"&amp;HOUR(Entry!$C532),2)&amp;RIGHT("00"&amp;MINUTE(Entry!$C532),2),IFERROR(RIGHT("00"&amp;VALUE(LEFT(Entry!$C532,FIND(":",Entry!$C532)-1)),2)&amp;RIGHT("00"&amp;VALUE(MID(Entry!$C532,FIND(":",Entry!$C532)+1,2)),2),"0000"))))</f>
        <v/>
      </c>
      <c r="G529">
        <f>IF($A529="","",Entry!$G532)</f>
        <v/>
      </c>
      <c r="H529">
        <f>IF($A529="","",IF(Entry!$H532="",0,Entry!$H532))</f>
        <v/>
      </c>
      <c r="I529">
        <f>IF($A529="","",IF(Entry!$I532="",0,Entry!$I532))</f>
        <v/>
      </c>
      <c r="J529">
        <f>IF($A529="","",ROUND($H529*$I529,0))</f>
        <v/>
      </c>
      <c r="K529">
        <f>IF($A529="","",Entry!$D532)</f>
        <v/>
      </c>
      <c r="L529">
        <f>IF($A529="","",Entry!$L532)</f>
        <v/>
      </c>
      <c r="N529">
        <f>IF(OR(Sync!$M529="",$Q529="",$Q529="نامعتبر"),"",Sync!$M529)</f>
        <v/>
      </c>
      <c r="O529">
        <f>IF($N529="","",$Q529)</f>
        <v/>
      </c>
      <c r="P529">
        <f>IF($N529="","",LEFT($Q529,4)&amp;MID($Q529,6,2)&amp;RIGHT($Q529,2)&amp;IF(Sync!$K529="","0000",IF(AND(ISNUMBER(Sync!$K529),Sync!$K529&gt;=0,Sync!$K529&lt;1),RIGHT("00"&amp;HOUR(Sync!$K529),2)&amp;RIGHT("00"&amp;MINUTE(Sync!$K529),2),IFERROR(RIGHT("00"&amp;VALUE(LEFT(Sync!$K529,FIND(":",Sync!$K529)-1)),2)&amp;RIGHT("00"&amp;VALUE(MID(Sync!$K529,FIND(":",Sync!$K529)+1,2)),2),"0000")))&amp;"|"&amp;"2"&amp;RIGHT("00000"&amp;524,5))</f>
        <v/>
      </c>
      <c r="Q529">
        <f>IF(Sync!$J529="","",IF(ISNUMBER(Sync!$J529),IF(AND(Sync!$J529&gt;=10000101,Sync!$J529&lt;=99991231),INT(Sync!$J529/10000)&amp;"/"&amp;RIGHT("00"&amp;INT(MOD(Sync!$J529,10000)/100),2)&amp;"/"&amp;RIGHT("00"&amp;MOD(Sync!$J529,100),2),"نامعتبر"),IF(LEN(Sync!$J529)=10,Sync!$J529,"نامعتبر")))</f>
        <v/>
      </c>
      <c r="R529">
        <f>IF($P529="","",COUNTIFS($N$6:$N$2005,$N529,$P$6:$P$2005,"&lt;"&amp;$P529)+COUNTIFS($A$6:$A$1005,$N529,$B$6:$B$1005,"&lt;"&amp;$P529)+1)</f>
        <v/>
      </c>
      <c r="S529">
        <f>IF($N529="","",$N529&amp;"|"&amp;RIGHT("000000"&amp;$R529,6))</f>
        <v/>
      </c>
      <c r="T529">
        <f>IF($N529="","",IF(Sync!$N529="",0,Sync!$N529))</f>
        <v/>
      </c>
      <c r="U529">
        <f>IF($N529="","",IF(Sync!$O529="",0,Sync!$O529))</f>
        <v/>
      </c>
      <c r="V529">
        <f>IF($N529="","",Sync!$L529)</f>
        <v/>
      </c>
      <c r="W529">
        <f>IF($N529="","",Sync!$P529)</f>
        <v/>
      </c>
      <c r="AA529">
        <f>IF($A529="","",IF(COUNTIF($A$6:$A529,$A529)=1,1,0))</f>
        <v/>
      </c>
      <c r="AB529">
        <f>SUM($AA$6:$AA529)</f>
        <v/>
      </c>
      <c r="AC529">
        <f>IFERROR(INDEX($A$6:$A$1005,MATCH(ROW()-5,$AB$6:$AB$1005,0)),"")</f>
        <v/>
      </c>
    </row>
    <row r="530">
      <c r="A530">
        <f>IF(OR(Entry!$B533="",Entry!$E533="",$E530="نامعتبر"),"",Entry!$E533)</f>
        <v/>
      </c>
      <c r="B530">
        <f>IF($A530="","",LEFT($E530,4)&amp;MID($E530,6,2)&amp;RIGHT($E530,2)&amp;$F530&amp;"|"&amp;"1"&amp;RIGHT("00000"&amp;525,5))</f>
        <v/>
      </c>
      <c r="C530">
        <f>IF($B530="","",COUNTIFS($A$6:$A$1005,$A530,$B$6:$B$1005,"&lt;"&amp;$B530)+COUNTIFS($N$6:$N$2005,$A530,$P$6:$P$2005,"&lt;"&amp;$B530)+1)</f>
        <v/>
      </c>
      <c r="D530">
        <f>IF($C530="","",$A530&amp;"|"&amp;RIGHT("000000"&amp;$C530,6))</f>
        <v/>
      </c>
      <c r="E530">
        <f>IF(Entry!$B533="","",IF(ISNUMBER(Entry!$B533),IF(AND(Entry!$B533&gt;=10000101,Entry!$B533&lt;=99991231),INT(Entry!$B533/10000)&amp;"/"&amp;RIGHT("00"&amp;INT(MOD(Entry!$B533,10000)/100),2)&amp;"/"&amp;RIGHT("00"&amp;MOD(Entry!$B533,100),2),"نامعتبر"),IF(LEN(Entry!$B533)=10,Entry!$B533,"نامعتبر")))</f>
        <v/>
      </c>
      <c r="F530">
        <f>IF(Entry!$B533="","",IF(Entry!$C533="","0000",IF(AND(ISNUMBER(Entry!$C533),Entry!$C533&gt;=0,Entry!$C533&lt;1),RIGHT("00"&amp;HOUR(Entry!$C533),2)&amp;RIGHT("00"&amp;MINUTE(Entry!$C533),2),IFERROR(RIGHT("00"&amp;VALUE(LEFT(Entry!$C533,FIND(":",Entry!$C533)-1)),2)&amp;RIGHT("00"&amp;VALUE(MID(Entry!$C533,FIND(":",Entry!$C533)+1,2)),2),"0000"))))</f>
        <v/>
      </c>
      <c r="G530">
        <f>IF($A530="","",Entry!$G533)</f>
        <v/>
      </c>
      <c r="H530">
        <f>IF($A530="","",IF(Entry!$H533="",0,Entry!$H533))</f>
        <v/>
      </c>
      <c r="I530">
        <f>IF($A530="","",IF(Entry!$I533="",0,Entry!$I533))</f>
        <v/>
      </c>
      <c r="J530">
        <f>IF($A530="","",ROUND($H530*$I530,0))</f>
        <v/>
      </c>
      <c r="K530">
        <f>IF($A530="","",Entry!$D533)</f>
        <v/>
      </c>
      <c r="L530">
        <f>IF($A530="","",Entry!$L533)</f>
        <v/>
      </c>
      <c r="N530">
        <f>IF(OR(Sync!$M530="",$Q530="",$Q530="نامعتبر"),"",Sync!$M530)</f>
        <v/>
      </c>
      <c r="O530">
        <f>IF($N530="","",$Q530)</f>
        <v/>
      </c>
      <c r="P530">
        <f>IF($N530="","",LEFT($Q530,4)&amp;MID($Q530,6,2)&amp;RIGHT($Q530,2)&amp;IF(Sync!$K530="","0000",IF(AND(ISNUMBER(Sync!$K530),Sync!$K530&gt;=0,Sync!$K530&lt;1),RIGHT("00"&amp;HOUR(Sync!$K530),2)&amp;RIGHT("00"&amp;MINUTE(Sync!$K530),2),IFERROR(RIGHT("00"&amp;VALUE(LEFT(Sync!$K530,FIND(":",Sync!$K530)-1)),2)&amp;RIGHT("00"&amp;VALUE(MID(Sync!$K530,FIND(":",Sync!$K530)+1,2)),2),"0000")))&amp;"|"&amp;"2"&amp;RIGHT("00000"&amp;525,5))</f>
        <v/>
      </c>
      <c r="Q530">
        <f>IF(Sync!$J530="","",IF(ISNUMBER(Sync!$J530),IF(AND(Sync!$J530&gt;=10000101,Sync!$J530&lt;=99991231),INT(Sync!$J530/10000)&amp;"/"&amp;RIGHT("00"&amp;INT(MOD(Sync!$J530,10000)/100),2)&amp;"/"&amp;RIGHT("00"&amp;MOD(Sync!$J530,100),2),"نامعتبر"),IF(LEN(Sync!$J530)=10,Sync!$J530,"نامعتبر")))</f>
        <v/>
      </c>
      <c r="R530">
        <f>IF($P530="","",COUNTIFS($N$6:$N$2005,$N530,$P$6:$P$2005,"&lt;"&amp;$P530)+COUNTIFS($A$6:$A$1005,$N530,$B$6:$B$1005,"&lt;"&amp;$P530)+1)</f>
        <v/>
      </c>
      <c r="S530">
        <f>IF($N530="","",$N530&amp;"|"&amp;RIGHT("000000"&amp;$R530,6))</f>
        <v/>
      </c>
      <c r="T530">
        <f>IF($N530="","",IF(Sync!$N530="",0,Sync!$N530))</f>
        <v/>
      </c>
      <c r="U530">
        <f>IF($N530="","",IF(Sync!$O530="",0,Sync!$O530))</f>
        <v/>
      </c>
      <c r="V530">
        <f>IF($N530="","",Sync!$L530)</f>
        <v/>
      </c>
      <c r="W530">
        <f>IF($N530="","",Sync!$P530)</f>
        <v/>
      </c>
      <c r="AA530">
        <f>IF($A530="","",IF(COUNTIF($A$6:$A530,$A530)=1,1,0))</f>
        <v/>
      </c>
      <c r="AB530">
        <f>SUM($AA$6:$AA530)</f>
        <v/>
      </c>
      <c r="AC530">
        <f>IFERROR(INDEX($A$6:$A$1005,MATCH(ROW()-5,$AB$6:$AB$1005,0)),"")</f>
        <v/>
      </c>
    </row>
    <row r="531">
      <c r="A531">
        <f>IF(OR(Entry!$B534="",Entry!$E534="",$E531="نامعتبر"),"",Entry!$E534)</f>
        <v/>
      </c>
      <c r="B531">
        <f>IF($A531="","",LEFT($E531,4)&amp;MID($E531,6,2)&amp;RIGHT($E531,2)&amp;$F531&amp;"|"&amp;"1"&amp;RIGHT("00000"&amp;526,5))</f>
        <v/>
      </c>
      <c r="C531">
        <f>IF($B531="","",COUNTIFS($A$6:$A$1005,$A531,$B$6:$B$1005,"&lt;"&amp;$B531)+COUNTIFS($N$6:$N$2005,$A531,$P$6:$P$2005,"&lt;"&amp;$B531)+1)</f>
        <v/>
      </c>
      <c r="D531">
        <f>IF($C531="","",$A531&amp;"|"&amp;RIGHT("000000"&amp;$C531,6))</f>
        <v/>
      </c>
      <c r="E531">
        <f>IF(Entry!$B534="","",IF(ISNUMBER(Entry!$B534),IF(AND(Entry!$B534&gt;=10000101,Entry!$B534&lt;=99991231),INT(Entry!$B534/10000)&amp;"/"&amp;RIGHT("00"&amp;INT(MOD(Entry!$B534,10000)/100),2)&amp;"/"&amp;RIGHT("00"&amp;MOD(Entry!$B534,100),2),"نامعتبر"),IF(LEN(Entry!$B534)=10,Entry!$B534,"نامعتبر")))</f>
        <v/>
      </c>
      <c r="F531">
        <f>IF(Entry!$B534="","",IF(Entry!$C534="","0000",IF(AND(ISNUMBER(Entry!$C534),Entry!$C534&gt;=0,Entry!$C534&lt;1),RIGHT("00"&amp;HOUR(Entry!$C534),2)&amp;RIGHT("00"&amp;MINUTE(Entry!$C534),2),IFERROR(RIGHT("00"&amp;VALUE(LEFT(Entry!$C534,FIND(":",Entry!$C534)-1)),2)&amp;RIGHT("00"&amp;VALUE(MID(Entry!$C534,FIND(":",Entry!$C534)+1,2)),2),"0000"))))</f>
        <v/>
      </c>
      <c r="G531">
        <f>IF($A531="","",Entry!$G534)</f>
        <v/>
      </c>
      <c r="H531">
        <f>IF($A531="","",IF(Entry!$H534="",0,Entry!$H534))</f>
        <v/>
      </c>
      <c r="I531">
        <f>IF($A531="","",IF(Entry!$I534="",0,Entry!$I534))</f>
        <v/>
      </c>
      <c r="J531">
        <f>IF($A531="","",ROUND($H531*$I531,0))</f>
        <v/>
      </c>
      <c r="K531">
        <f>IF($A531="","",Entry!$D534)</f>
        <v/>
      </c>
      <c r="L531">
        <f>IF($A531="","",Entry!$L534)</f>
        <v/>
      </c>
      <c r="N531">
        <f>IF(OR(Sync!$M531="",$Q531="",$Q531="نامعتبر"),"",Sync!$M531)</f>
        <v/>
      </c>
      <c r="O531">
        <f>IF($N531="","",$Q531)</f>
        <v/>
      </c>
      <c r="P531">
        <f>IF($N531="","",LEFT($Q531,4)&amp;MID($Q531,6,2)&amp;RIGHT($Q531,2)&amp;IF(Sync!$K531="","0000",IF(AND(ISNUMBER(Sync!$K531),Sync!$K531&gt;=0,Sync!$K531&lt;1),RIGHT("00"&amp;HOUR(Sync!$K531),2)&amp;RIGHT("00"&amp;MINUTE(Sync!$K531),2),IFERROR(RIGHT("00"&amp;VALUE(LEFT(Sync!$K531,FIND(":",Sync!$K531)-1)),2)&amp;RIGHT("00"&amp;VALUE(MID(Sync!$K531,FIND(":",Sync!$K531)+1,2)),2),"0000")))&amp;"|"&amp;"2"&amp;RIGHT("00000"&amp;526,5))</f>
        <v/>
      </c>
      <c r="Q531">
        <f>IF(Sync!$J531="","",IF(ISNUMBER(Sync!$J531),IF(AND(Sync!$J531&gt;=10000101,Sync!$J531&lt;=99991231),INT(Sync!$J531/10000)&amp;"/"&amp;RIGHT("00"&amp;INT(MOD(Sync!$J531,10000)/100),2)&amp;"/"&amp;RIGHT("00"&amp;MOD(Sync!$J531,100),2),"نامعتبر"),IF(LEN(Sync!$J531)=10,Sync!$J531,"نامعتبر")))</f>
        <v/>
      </c>
      <c r="R531">
        <f>IF($P531="","",COUNTIFS($N$6:$N$2005,$N531,$P$6:$P$2005,"&lt;"&amp;$P531)+COUNTIFS($A$6:$A$1005,$N531,$B$6:$B$1005,"&lt;"&amp;$P531)+1)</f>
        <v/>
      </c>
      <c r="S531">
        <f>IF($N531="","",$N531&amp;"|"&amp;RIGHT("000000"&amp;$R531,6))</f>
        <v/>
      </c>
      <c r="T531">
        <f>IF($N531="","",IF(Sync!$N531="",0,Sync!$N531))</f>
        <v/>
      </c>
      <c r="U531">
        <f>IF($N531="","",IF(Sync!$O531="",0,Sync!$O531))</f>
        <v/>
      </c>
      <c r="V531">
        <f>IF($N531="","",Sync!$L531)</f>
        <v/>
      </c>
      <c r="W531">
        <f>IF($N531="","",Sync!$P531)</f>
        <v/>
      </c>
      <c r="AA531">
        <f>IF($A531="","",IF(COUNTIF($A$6:$A531,$A531)=1,1,0))</f>
        <v/>
      </c>
      <c r="AB531">
        <f>SUM($AA$6:$AA531)</f>
        <v/>
      </c>
      <c r="AC531">
        <f>IFERROR(INDEX($A$6:$A$1005,MATCH(ROW()-5,$AB$6:$AB$1005,0)),"")</f>
        <v/>
      </c>
    </row>
    <row r="532">
      <c r="A532">
        <f>IF(OR(Entry!$B535="",Entry!$E535="",$E532="نامعتبر"),"",Entry!$E535)</f>
        <v/>
      </c>
      <c r="B532">
        <f>IF($A532="","",LEFT($E532,4)&amp;MID($E532,6,2)&amp;RIGHT($E532,2)&amp;$F532&amp;"|"&amp;"1"&amp;RIGHT("00000"&amp;527,5))</f>
        <v/>
      </c>
      <c r="C532">
        <f>IF($B532="","",COUNTIFS($A$6:$A$1005,$A532,$B$6:$B$1005,"&lt;"&amp;$B532)+COUNTIFS($N$6:$N$2005,$A532,$P$6:$P$2005,"&lt;"&amp;$B532)+1)</f>
        <v/>
      </c>
      <c r="D532">
        <f>IF($C532="","",$A532&amp;"|"&amp;RIGHT("000000"&amp;$C532,6))</f>
        <v/>
      </c>
      <c r="E532">
        <f>IF(Entry!$B535="","",IF(ISNUMBER(Entry!$B535),IF(AND(Entry!$B535&gt;=10000101,Entry!$B535&lt;=99991231),INT(Entry!$B535/10000)&amp;"/"&amp;RIGHT("00"&amp;INT(MOD(Entry!$B535,10000)/100),2)&amp;"/"&amp;RIGHT("00"&amp;MOD(Entry!$B535,100),2),"نامعتبر"),IF(LEN(Entry!$B535)=10,Entry!$B535,"نامعتبر")))</f>
        <v/>
      </c>
      <c r="F532">
        <f>IF(Entry!$B535="","",IF(Entry!$C535="","0000",IF(AND(ISNUMBER(Entry!$C535),Entry!$C535&gt;=0,Entry!$C535&lt;1),RIGHT("00"&amp;HOUR(Entry!$C535),2)&amp;RIGHT("00"&amp;MINUTE(Entry!$C535),2),IFERROR(RIGHT("00"&amp;VALUE(LEFT(Entry!$C535,FIND(":",Entry!$C535)-1)),2)&amp;RIGHT("00"&amp;VALUE(MID(Entry!$C535,FIND(":",Entry!$C535)+1,2)),2),"0000"))))</f>
        <v/>
      </c>
      <c r="G532">
        <f>IF($A532="","",Entry!$G535)</f>
        <v/>
      </c>
      <c r="H532">
        <f>IF($A532="","",IF(Entry!$H535="",0,Entry!$H535))</f>
        <v/>
      </c>
      <c r="I532">
        <f>IF($A532="","",IF(Entry!$I535="",0,Entry!$I535))</f>
        <v/>
      </c>
      <c r="J532">
        <f>IF($A532="","",ROUND($H532*$I532,0))</f>
        <v/>
      </c>
      <c r="K532">
        <f>IF($A532="","",Entry!$D535)</f>
        <v/>
      </c>
      <c r="L532">
        <f>IF($A532="","",Entry!$L535)</f>
        <v/>
      </c>
      <c r="N532">
        <f>IF(OR(Sync!$M532="",$Q532="",$Q532="نامعتبر"),"",Sync!$M532)</f>
        <v/>
      </c>
      <c r="O532">
        <f>IF($N532="","",$Q532)</f>
        <v/>
      </c>
      <c r="P532">
        <f>IF($N532="","",LEFT($Q532,4)&amp;MID($Q532,6,2)&amp;RIGHT($Q532,2)&amp;IF(Sync!$K532="","0000",IF(AND(ISNUMBER(Sync!$K532),Sync!$K532&gt;=0,Sync!$K532&lt;1),RIGHT("00"&amp;HOUR(Sync!$K532),2)&amp;RIGHT("00"&amp;MINUTE(Sync!$K532),2),IFERROR(RIGHT("00"&amp;VALUE(LEFT(Sync!$K532,FIND(":",Sync!$K532)-1)),2)&amp;RIGHT("00"&amp;VALUE(MID(Sync!$K532,FIND(":",Sync!$K532)+1,2)),2),"0000")))&amp;"|"&amp;"2"&amp;RIGHT("00000"&amp;527,5))</f>
        <v/>
      </c>
      <c r="Q532">
        <f>IF(Sync!$J532="","",IF(ISNUMBER(Sync!$J532),IF(AND(Sync!$J532&gt;=10000101,Sync!$J532&lt;=99991231),INT(Sync!$J532/10000)&amp;"/"&amp;RIGHT("00"&amp;INT(MOD(Sync!$J532,10000)/100),2)&amp;"/"&amp;RIGHT("00"&amp;MOD(Sync!$J532,100),2),"نامعتبر"),IF(LEN(Sync!$J532)=10,Sync!$J532,"نامعتبر")))</f>
        <v/>
      </c>
      <c r="R532">
        <f>IF($P532="","",COUNTIFS($N$6:$N$2005,$N532,$P$6:$P$2005,"&lt;"&amp;$P532)+COUNTIFS($A$6:$A$1005,$N532,$B$6:$B$1005,"&lt;"&amp;$P532)+1)</f>
        <v/>
      </c>
      <c r="S532">
        <f>IF($N532="","",$N532&amp;"|"&amp;RIGHT("000000"&amp;$R532,6))</f>
        <v/>
      </c>
      <c r="T532">
        <f>IF($N532="","",IF(Sync!$N532="",0,Sync!$N532))</f>
        <v/>
      </c>
      <c r="U532">
        <f>IF($N532="","",IF(Sync!$O532="",0,Sync!$O532))</f>
        <v/>
      </c>
      <c r="V532">
        <f>IF($N532="","",Sync!$L532)</f>
        <v/>
      </c>
      <c r="W532">
        <f>IF($N532="","",Sync!$P532)</f>
        <v/>
      </c>
      <c r="AA532">
        <f>IF($A532="","",IF(COUNTIF($A$6:$A532,$A532)=1,1,0))</f>
        <v/>
      </c>
      <c r="AB532">
        <f>SUM($AA$6:$AA532)</f>
        <v/>
      </c>
      <c r="AC532">
        <f>IFERROR(INDEX($A$6:$A$1005,MATCH(ROW()-5,$AB$6:$AB$1005,0)),"")</f>
        <v/>
      </c>
    </row>
    <row r="533">
      <c r="A533">
        <f>IF(OR(Entry!$B536="",Entry!$E536="",$E533="نامعتبر"),"",Entry!$E536)</f>
        <v/>
      </c>
      <c r="B533">
        <f>IF($A533="","",LEFT($E533,4)&amp;MID($E533,6,2)&amp;RIGHT($E533,2)&amp;$F533&amp;"|"&amp;"1"&amp;RIGHT("00000"&amp;528,5))</f>
        <v/>
      </c>
      <c r="C533">
        <f>IF($B533="","",COUNTIFS($A$6:$A$1005,$A533,$B$6:$B$1005,"&lt;"&amp;$B533)+COUNTIFS($N$6:$N$2005,$A533,$P$6:$P$2005,"&lt;"&amp;$B533)+1)</f>
        <v/>
      </c>
      <c r="D533">
        <f>IF($C533="","",$A533&amp;"|"&amp;RIGHT("000000"&amp;$C533,6))</f>
        <v/>
      </c>
      <c r="E533">
        <f>IF(Entry!$B536="","",IF(ISNUMBER(Entry!$B536),IF(AND(Entry!$B536&gt;=10000101,Entry!$B536&lt;=99991231),INT(Entry!$B536/10000)&amp;"/"&amp;RIGHT("00"&amp;INT(MOD(Entry!$B536,10000)/100),2)&amp;"/"&amp;RIGHT("00"&amp;MOD(Entry!$B536,100),2),"نامعتبر"),IF(LEN(Entry!$B536)=10,Entry!$B536,"نامعتبر")))</f>
        <v/>
      </c>
      <c r="F533">
        <f>IF(Entry!$B536="","",IF(Entry!$C536="","0000",IF(AND(ISNUMBER(Entry!$C536),Entry!$C536&gt;=0,Entry!$C536&lt;1),RIGHT("00"&amp;HOUR(Entry!$C536),2)&amp;RIGHT("00"&amp;MINUTE(Entry!$C536),2),IFERROR(RIGHT("00"&amp;VALUE(LEFT(Entry!$C536,FIND(":",Entry!$C536)-1)),2)&amp;RIGHT("00"&amp;VALUE(MID(Entry!$C536,FIND(":",Entry!$C536)+1,2)),2),"0000"))))</f>
        <v/>
      </c>
      <c r="G533">
        <f>IF($A533="","",Entry!$G536)</f>
        <v/>
      </c>
      <c r="H533">
        <f>IF($A533="","",IF(Entry!$H536="",0,Entry!$H536))</f>
        <v/>
      </c>
      <c r="I533">
        <f>IF($A533="","",IF(Entry!$I536="",0,Entry!$I536))</f>
        <v/>
      </c>
      <c r="J533">
        <f>IF($A533="","",ROUND($H533*$I533,0))</f>
        <v/>
      </c>
      <c r="K533">
        <f>IF($A533="","",Entry!$D536)</f>
        <v/>
      </c>
      <c r="L533">
        <f>IF($A533="","",Entry!$L536)</f>
        <v/>
      </c>
      <c r="N533">
        <f>IF(OR(Sync!$M533="",$Q533="",$Q533="نامعتبر"),"",Sync!$M533)</f>
        <v/>
      </c>
      <c r="O533">
        <f>IF($N533="","",$Q533)</f>
        <v/>
      </c>
      <c r="P533">
        <f>IF($N533="","",LEFT($Q533,4)&amp;MID($Q533,6,2)&amp;RIGHT($Q533,2)&amp;IF(Sync!$K533="","0000",IF(AND(ISNUMBER(Sync!$K533),Sync!$K533&gt;=0,Sync!$K533&lt;1),RIGHT("00"&amp;HOUR(Sync!$K533),2)&amp;RIGHT("00"&amp;MINUTE(Sync!$K533),2),IFERROR(RIGHT("00"&amp;VALUE(LEFT(Sync!$K533,FIND(":",Sync!$K533)-1)),2)&amp;RIGHT("00"&amp;VALUE(MID(Sync!$K533,FIND(":",Sync!$K533)+1,2)),2),"0000")))&amp;"|"&amp;"2"&amp;RIGHT("00000"&amp;528,5))</f>
        <v/>
      </c>
      <c r="Q533">
        <f>IF(Sync!$J533="","",IF(ISNUMBER(Sync!$J533),IF(AND(Sync!$J533&gt;=10000101,Sync!$J533&lt;=99991231),INT(Sync!$J533/10000)&amp;"/"&amp;RIGHT("00"&amp;INT(MOD(Sync!$J533,10000)/100),2)&amp;"/"&amp;RIGHT("00"&amp;MOD(Sync!$J533,100),2),"نامعتبر"),IF(LEN(Sync!$J533)=10,Sync!$J533,"نامعتبر")))</f>
        <v/>
      </c>
      <c r="R533">
        <f>IF($P533="","",COUNTIFS($N$6:$N$2005,$N533,$P$6:$P$2005,"&lt;"&amp;$P533)+COUNTIFS($A$6:$A$1005,$N533,$B$6:$B$1005,"&lt;"&amp;$P533)+1)</f>
        <v/>
      </c>
      <c r="S533">
        <f>IF($N533="","",$N533&amp;"|"&amp;RIGHT("000000"&amp;$R533,6))</f>
        <v/>
      </c>
      <c r="T533">
        <f>IF($N533="","",IF(Sync!$N533="",0,Sync!$N533))</f>
        <v/>
      </c>
      <c r="U533">
        <f>IF($N533="","",IF(Sync!$O533="",0,Sync!$O533))</f>
        <v/>
      </c>
      <c r="V533">
        <f>IF($N533="","",Sync!$L533)</f>
        <v/>
      </c>
      <c r="W533">
        <f>IF($N533="","",Sync!$P533)</f>
        <v/>
      </c>
      <c r="AA533">
        <f>IF($A533="","",IF(COUNTIF($A$6:$A533,$A533)=1,1,0))</f>
        <v/>
      </c>
      <c r="AB533">
        <f>SUM($AA$6:$AA533)</f>
        <v/>
      </c>
      <c r="AC533">
        <f>IFERROR(INDEX($A$6:$A$1005,MATCH(ROW()-5,$AB$6:$AB$1005,0)),"")</f>
        <v/>
      </c>
    </row>
    <row r="534">
      <c r="A534">
        <f>IF(OR(Entry!$B537="",Entry!$E537="",$E534="نامعتبر"),"",Entry!$E537)</f>
        <v/>
      </c>
      <c r="B534">
        <f>IF($A534="","",LEFT($E534,4)&amp;MID($E534,6,2)&amp;RIGHT($E534,2)&amp;$F534&amp;"|"&amp;"1"&amp;RIGHT("00000"&amp;529,5))</f>
        <v/>
      </c>
      <c r="C534">
        <f>IF($B534="","",COUNTIFS($A$6:$A$1005,$A534,$B$6:$B$1005,"&lt;"&amp;$B534)+COUNTIFS($N$6:$N$2005,$A534,$P$6:$P$2005,"&lt;"&amp;$B534)+1)</f>
        <v/>
      </c>
      <c r="D534">
        <f>IF($C534="","",$A534&amp;"|"&amp;RIGHT("000000"&amp;$C534,6))</f>
        <v/>
      </c>
      <c r="E534">
        <f>IF(Entry!$B537="","",IF(ISNUMBER(Entry!$B537),IF(AND(Entry!$B537&gt;=10000101,Entry!$B537&lt;=99991231),INT(Entry!$B537/10000)&amp;"/"&amp;RIGHT("00"&amp;INT(MOD(Entry!$B537,10000)/100),2)&amp;"/"&amp;RIGHT("00"&amp;MOD(Entry!$B537,100),2),"نامعتبر"),IF(LEN(Entry!$B537)=10,Entry!$B537,"نامعتبر")))</f>
        <v/>
      </c>
      <c r="F534">
        <f>IF(Entry!$B537="","",IF(Entry!$C537="","0000",IF(AND(ISNUMBER(Entry!$C537),Entry!$C537&gt;=0,Entry!$C537&lt;1),RIGHT("00"&amp;HOUR(Entry!$C537),2)&amp;RIGHT("00"&amp;MINUTE(Entry!$C537),2),IFERROR(RIGHT("00"&amp;VALUE(LEFT(Entry!$C537,FIND(":",Entry!$C537)-1)),2)&amp;RIGHT("00"&amp;VALUE(MID(Entry!$C537,FIND(":",Entry!$C537)+1,2)),2),"0000"))))</f>
        <v/>
      </c>
      <c r="G534">
        <f>IF($A534="","",Entry!$G537)</f>
        <v/>
      </c>
      <c r="H534">
        <f>IF($A534="","",IF(Entry!$H537="",0,Entry!$H537))</f>
        <v/>
      </c>
      <c r="I534">
        <f>IF($A534="","",IF(Entry!$I537="",0,Entry!$I537))</f>
        <v/>
      </c>
      <c r="J534">
        <f>IF($A534="","",ROUND($H534*$I534,0))</f>
        <v/>
      </c>
      <c r="K534">
        <f>IF($A534="","",Entry!$D537)</f>
        <v/>
      </c>
      <c r="L534">
        <f>IF($A534="","",Entry!$L537)</f>
        <v/>
      </c>
      <c r="N534">
        <f>IF(OR(Sync!$M534="",$Q534="",$Q534="نامعتبر"),"",Sync!$M534)</f>
        <v/>
      </c>
      <c r="O534">
        <f>IF($N534="","",$Q534)</f>
        <v/>
      </c>
      <c r="P534">
        <f>IF($N534="","",LEFT($Q534,4)&amp;MID($Q534,6,2)&amp;RIGHT($Q534,2)&amp;IF(Sync!$K534="","0000",IF(AND(ISNUMBER(Sync!$K534),Sync!$K534&gt;=0,Sync!$K534&lt;1),RIGHT("00"&amp;HOUR(Sync!$K534),2)&amp;RIGHT("00"&amp;MINUTE(Sync!$K534),2),IFERROR(RIGHT("00"&amp;VALUE(LEFT(Sync!$K534,FIND(":",Sync!$K534)-1)),2)&amp;RIGHT("00"&amp;VALUE(MID(Sync!$K534,FIND(":",Sync!$K534)+1,2)),2),"0000")))&amp;"|"&amp;"2"&amp;RIGHT("00000"&amp;529,5))</f>
        <v/>
      </c>
      <c r="Q534">
        <f>IF(Sync!$J534="","",IF(ISNUMBER(Sync!$J534),IF(AND(Sync!$J534&gt;=10000101,Sync!$J534&lt;=99991231),INT(Sync!$J534/10000)&amp;"/"&amp;RIGHT("00"&amp;INT(MOD(Sync!$J534,10000)/100),2)&amp;"/"&amp;RIGHT("00"&amp;MOD(Sync!$J534,100),2),"نامعتبر"),IF(LEN(Sync!$J534)=10,Sync!$J534,"نامعتبر")))</f>
        <v/>
      </c>
      <c r="R534">
        <f>IF($P534="","",COUNTIFS($N$6:$N$2005,$N534,$P$6:$P$2005,"&lt;"&amp;$P534)+COUNTIFS($A$6:$A$1005,$N534,$B$6:$B$1005,"&lt;"&amp;$P534)+1)</f>
        <v/>
      </c>
      <c r="S534">
        <f>IF($N534="","",$N534&amp;"|"&amp;RIGHT("000000"&amp;$R534,6))</f>
        <v/>
      </c>
      <c r="T534">
        <f>IF($N534="","",IF(Sync!$N534="",0,Sync!$N534))</f>
        <v/>
      </c>
      <c r="U534">
        <f>IF($N534="","",IF(Sync!$O534="",0,Sync!$O534))</f>
        <v/>
      </c>
      <c r="V534">
        <f>IF($N534="","",Sync!$L534)</f>
        <v/>
      </c>
      <c r="W534">
        <f>IF($N534="","",Sync!$P534)</f>
        <v/>
      </c>
      <c r="AA534">
        <f>IF($A534="","",IF(COUNTIF($A$6:$A534,$A534)=1,1,0))</f>
        <v/>
      </c>
      <c r="AB534">
        <f>SUM($AA$6:$AA534)</f>
        <v/>
      </c>
      <c r="AC534">
        <f>IFERROR(INDEX($A$6:$A$1005,MATCH(ROW()-5,$AB$6:$AB$1005,0)),"")</f>
        <v/>
      </c>
    </row>
    <row r="535">
      <c r="A535">
        <f>IF(OR(Entry!$B538="",Entry!$E538="",$E535="نامعتبر"),"",Entry!$E538)</f>
        <v/>
      </c>
      <c r="B535">
        <f>IF($A535="","",LEFT($E535,4)&amp;MID($E535,6,2)&amp;RIGHT($E535,2)&amp;$F535&amp;"|"&amp;"1"&amp;RIGHT("00000"&amp;530,5))</f>
        <v/>
      </c>
      <c r="C535">
        <f>IF($B535="","",COUNTIFS($A$6:$A$1005,$A535,$B$6:$B$1005,"&lt;"&amp;$B535)+COUNTIFS($N$6:$N$2005,$A535,$P$6:$P$2005,"&lt;"&amp;$B535)+1)</f>
        <v/>
      </c>
      <c r="D535">
        <f>IF($C535="","",$A535&amp;"|"&amp;RIGHT("000000"&amp;$C535,6))</f>
        <v/>
      </c>
      <c r="E535">
        <f>IF(Entry!$B538="","",IF(ISNUMBER(Entry!$B538),IF(AND(Entry!$B538&gt;=10000101,Entry!$B538&lt;=99991231),INT(Entry!$B538/10000)&amp;"/"&amp;RIGHT("00"&amp;INT(MOD(Entry!$B538,10000)/100),2)&amp;"/"&amp;RIGHT("00"&amp;MOD(Entry!$B538,100),2),"نامعتبر"),IF(LEN(Entry!$B538)=10,Entry!$B538,"نامعتبر")))</f>
        <v/>
      </c>
      <c r="F535">
        <f>IF(Entry!$B538="","",IF(Entry!$C538="","0000",IF(AND(ISNUMBER(Entry!$C538),Entry!$C538&gt;=0,Entry!$C538&lt;1),RIGHT("00"&amp;HOUR(Entry!$C538),2)&amp;RIGHT("00"&amp;MINUTE(Entry!$C538),2),IFERROR(RIGHT("00"&amp;VALUE(LEFT(Entry!$C538,FIND(":",Entry!$C538)-1)),2)&amp;RIGHT("00"&amp;VALUE(MID(Entry!$C538,FIND(":",Entry!$C538)+1,2)),2),"0000"))))</f>
        <v/>
      </c>
      <c r="G535">
        <f>IF($A535="","",Entry!$G538)</f>
        <v/>
      </c>
      <c r="H535">
        <f>IF($A535="","",IF(Entry!$H538="",0,Entry!$H538))</f>
        <v/>
      </c>
      <c r="I535">
        <f>IF($A535="","",IF(Entry!$I538="",0,Entry!$I538))</f>
        <v/>
      </c>
      <c r="J535">
        <f>IF($A535="","",ROUND($H535*$I535,0))</f>
        <v/>
      </c>
      <c r="K535">
        <f>IF($A535="","",Entry!$D538)</f>
        <v/>
      </c>
      <c r="L535">
        <f>IF($A535="","",Entry!$L538)</f>
        <v/>
      </c>
      <c r="N535">
        <f>IF(OR(Sync!$M535="",$Q535="",$Q535="نامعتبر"),"",Sync!$M535)</f>
        <v/>
      </c>
      <c r="O535">
        <f>IF($N535="","",$Q535)</f>
        <v/>
      </c>
      <c r="P535">
        <f>IF($N535="","",LEFT($Q535,4)&amp;MID($Q535,6,2)&amp;RIGHT($Q535,2)&amp;IF(Sync!$K535="","0000",IF(AND(ISNUMBER(Sync!$K535),Sync!$K535&gt;=0,Sync!$K535&lt;1),RIGHT("00"&amp;HOUR(Sync!$K535),2)&amp;RIGHT("00"&amp;MINUTE(Sync!$K535),2),IFERROR(RIGHT("00"&amp;VALUE(LEFT(Sync!$K535,FIND(":",Sync!$K535)-1)),2)&amp;RIGHT("00"&amp;VALUE(MID(Sync!$K535,FIND(":",Sync!$K535)+1,2)),2),"0000")))&amp;"|"&amp;"2"&amp;RIGHT("00000"&amp;530,5))</f>
        <v/>
      </c>
      <c r="Q535">
        <f>IF(Sync!$J535="","",IF(ISNUMBER(Sync!$J535),IF(AND(Sync!$J535&gt;=10000101,Sync!$J535&lt;=99991231),INT(Sync!$J535/10000)&amp;"/"&amp;RIGHT("00"&amp;INT(MOD(Sync!$J535,10000)/100),2)&amp;"/"&amp;RIGHT("00"&amp;MOD(Sync!$J535,100),2),"نامعتبر"),IF(LEN(Sync!$J535)=10,Sync!$J535,"نامعتبر")))</f>
        <v/>
      </c>
      <c r="R535">
        <f>IF($P535="","",COUNTIFS($N$6:$N$2005,$N535,$P$6:$P$2005,"&lt;"&amp;$P535)+COUNTIFS($A$6:$A$1005,$N535,$B$6:$B$1005,"&lt;"&amp;$P535)+1)</f>
        <v/>
      </c>
      <c r="S535">
        <f>IF($N535="","",$N535&amp;"|"&amp;RIGHT("000000"&amp;$R535,6))</f>
        <v/>
      </c>
      <c r="T535">
        <f>IF($N535="","",IF(Sync!$N535="",0,Sync!$N535))</f>
        <v/>
      </c>
      <c r="U535">
        <f>IF($N535="","",IF(Sync!$O535="",0,Sync!$O535))</f>
        <v/>
      </c>
      <c r="V535">
        <f>IF($N535="","",Sync!$L535)</f>
        <v/>
      </c>
      <c r="W535">
        <f>IF($N535="","",Sync!$P535)</f>
        <v/>
      </c>
      <c r="AA535">
        <f>IF($A535="","",IF(COUNTIF($A$6:$A535,$A535)=1,1,0))</f>
        <v/>
      </c>
      <c r="AB535">
        <f>SUM($AA$6:$AA535)</f>
        <v/>
      </c>
      <c r="AC535">
        <f>IFERROR(INDEX($A$6:$A$1005,MATCH(ROW()-5,$AB$6:$AB$1005,0)),"")</f>
        <v/>
      </c>
    </row>
    <row r="536">
      <c r="A536">
        <f>IF(OR(Entry!$B539="",Entry!$E539="",$E536="نامعتبر"),"",Entry!$E539)</f>
        <v/>
      </c>
      <c r="B536">
        <f>IF($A536="","",LEFT($E536,4)&amp;MID($E536,6,2)&amp;RIGHT($E536,2)&amp;$F536&amp;"|"&amp;"1"&amp;RIGHT("00000"&amp;531,5))</f>
        <v/>
      </c>
      <c r="C536">
        <f>IF($B536="","",COUNTIFS($A$6:$A$1005,$A536,$B$6:$B$1005,"&lt;"&amp;$B536)+COUNTIFS($N$6:$N$2005,$A536,$P$6:$P$2005,"&lt;"&amp;$B536)+1)</f>
        <v/>
      </c>
      <c r="D536">
        <f>IF($C536="","",$A536&amp;"|"&amp;RIGHT("000000"&amp;$C536,6))</f>
        <v/>
      </c>
      <c r="E536">
        <f>IF(Entry!$B539="","",IF(ISNUMBER(Entry!$B539),IF(AND(Entry!$B539&gt;=10000101,Entry!$B539&lt;=99991231),INT(Entry!$B539/10000)&amp;"/"&amp;RIGHT("00"&amp;INT(MOD(Entry!$B539,10000)/100),2)&amp;"/"&amp;RIGHT("00"&amp;MOD(Entry!$B539,100),2),"نامعتبر"),IF(LEN(Entry!$B539)=10,Entry!$B539,"نامعتبر")))</f>
        <v/>
      </c>
      <c r="F536">
        <f>IF(Entry!$B539="","",IF(Entry!$C539="","0000",IF(AND(ISNUMBER(Entry!$C539),Entry!$C539&gt;=0,Entry!$C539&lt;1),RIGHT("00"&amp;HOUR(Entry!$C539),2)&amp;RIGHT("00"&amp;MINUTE(Entry!$C539),2),IFERROR(RIGHT("00"&amp;VALUE(LEFT(Entry!$C539,FIND(":",Entry!$C539)-1)),2)&amp;RIGHT("00"&amp;VALUE(MID(Entry!$C539,FIND(":",Entry!$C539)+1,2)),2),"0000"))))</f>
        <v/>
      </c>
      <c r="G536">
        <f>IF($A536="","",Entry!$G539)</f>
        <v/>
      </c>
      <c r="H536">
        <f>IF($A536="","",IF(Entry!$H539="",0,Entry!$H539))</f>
        <v/>
      </c>
      <c r="I536">
        <f>IF($A536="","",IF(Entry!$I539="",0,Entry!$I539))</f>
        <v/>
      </c>
      <c r="J536">
        <f>IF($A536="","",ROUND($H536*$I536,0))</f>
        <v/>
      </c>
      <c r="K536">
        <f>IF($A536="","",Entry!$D539)</f>
        <v/>
      </c>
      <c r="L536">
        <f>IF($A536="","",Entry!$L539)</f>
        <v/>
      </c>
      <c r="N536">
        <f>IF(OR(Sync!$M536="",$Q536="",$Q536="نامعتبر"),"",Sync!$M536)</f>
        <v/>
      </c>
      <c r="O536">
        <f>IF($N536="","",$Q536)</f>
        <v/>
      </c>
      <c r="P536">
        <f>IF($N536="","",LEFT($Q536,4)&amp;MID($Q536,6,2)&amp;RIGHT($Q536,2)&amp;IF(Sync!$K536="","0000",IF(AND(ISNUMBER(Sync!$K536),Sync!$K536&gt;=0,Sync!$K536&lt;1),RIGHT("00"&amp;HOUR(Sync!$K536),2)&amp;RIGHT("00"&amp;MINUTE(Sync!$K536),2),IFERROR(RIGHT("00"&amp;VALUE(LEFT(Sync!$K536,FIND(":",Sync!$K536)-1)),2)&amp;RIGHT("00"&amp;VALUE(MID(Sync!$K536,FIND(":",Sync!$K536)+1,2)),2),"0000")))&amp;"|"&amp;"2"&amp;RIGHT("00000"&amp;531,5))</f>
        <v/>
      </c>
      <c r="Q536">
        <f>IF(Sync!$J536="","",IF(ISNUMBER(Sync!$J536),IF(AND(Sync!$J536&gt;=10000101,Sync!$J536&lt;=99991231),INT(Sync!$J536/10000)&amp;"/"&amp;RIGHT("00"&amp;INT(MOD(Sync!$J536,10000)/100),2)&amp;"/"&amp;RIGHT("00"&amp;MOD(Sync!$J536,100),2),"نامعتبر"),IF(LEN(Sync!$J536)=10,Sync!$J536,"نامعتبر")))</f>
        <v/>
      </c>
      <c r="R536">
        <f>IF($P536="","",COUNTIFS($N$6:$N$2005,$N536,$P$6:$P$2005,"&lt;"&amp;$P536)+COUNTIFS($A$6:$A$1005,$N536,$B$6:$B$1005,"&lt;"&amp;$P536)+1)</f>
        <v/>
      </c>
      <c r="S536">
        <f>IF($N536="","",$N536&amp;"|"&amp;RIGHT("000000"&amp;$R536,6))</f>
        <v/>
      </c>
      <c r="T536">
        <f>IF($N536="","",IF(Sync!$N536="",0,Sync!$N536))</f>
        <v/>
      </c>
      <c r="U536">
        <f>IF($N536="","",IF(Sync!$O536="",0,Sync!$O536))</f>
        <v/>
      </c>
      <c r="V536">
        <f>IF($N536="","",Sync!$L536)</f>
        <v/>
      </c>
      <c r="W536">
        <f>IF($N536="","",Sync!$P536)</f>
        <v/>
      </c>
      <c r="AA536">
        <f>IF($A536="","",IF(COUNTIF($A$6:$A536,$A536)=1,1,0))</f>
        <v/>
      </c>
      <c r="AB536">
        <f>SUM($AA$6:$AA536)</f>
        <v/>
      </c>
      <c r="AC536">
        <f>IFERROR(INDEX($A$6:$A$1005,MATCH(ROW()-5,$AB$6:$AB$1005,0)),"")</f>
        <v/>
      </c>
    </row>
    <row r="537">
      <c r="A537">
        <f>IF(OR(Entry!$B540="",Entry!$E540="",$E537="نامعتبر"),"",Entry!$E540)</f>
        <v/>
      </c>
      <c r="B537">
        <f>IF($A537="","",LEFT($E537,4)&amp;MID($E537,6,2)&amp;RIGHT($E537,2)&amp;$F537&amp;"|"&amp;"1"&amp;RIGHT("00000"&amp;532,5))</f>
        <v/>
      </c>
      <c r="C537">
        <f>IF($B537="","",COUNTIFS($A$6:$A$1005,$A537,$B$6:$B$1005,"&lt;"&amp;$B537)+COUNTIFS($N$6:$N$2005,$A537,$P$6:$P$2005,"&lt;"&amp;$B537)+1)</f>
        <v/>
      </c>
      <c r="D537">
        <f>IF($C537="","",$A537&amp;"|"&amp;RIGHT("000000"&amp;$C537,6))</f>
        <v/>
      </c>
      <c r="E537">
        <f>IF(Entry!$B540="","",IF(ISNUMBER(Entry!$B540),IF(AND(Entry!$B540&gt;=10000101,Entry!$B540&lt;=99991231),INT(Entry!$B540/10000)&amp;"/"&amp;RIGHT("00"&amp;INT(MOD(Entry!$B540,10000)/100),2)&amp;"/"&amp;RIGHT("00"&amp;MOD(Entry!$B540,100),2),"نامعتبر"),IF(LEN(Entry!$B540)=10,Entry!$B540,"نامعتبر")))</f>
        <v/>
      </c>
      <c r="F537">
        <f>IF(Entry!$B540="","",IF(Entry!$C540="","0000",IF(AND(ISNUMBER(Entry!$C540),Entry!$C540&gt;=0,Entry!$C540&lt;1),RIGHT("00"&amp;HOUR(Entry!$C540),2)&amp;RIGHT("00"&amp;MINUTE(Entry!$C540),2),IFERROR(RIGHT("00"&amp;VALUE(LEFT(Entry!$C540,FIND(":",Entry!$C540)-1)),2)&amp;RIGHT("00"&amp;VALUE(MID(Entry!$C540,FIND(":",Entry!$C540)+1,2)),2),"0000"))))</f>
        <v/>
      </c>
      <c r="G537">
        <f>IF($A537="","",Entry!$G540)</f>
        <v/>
      </c>
      <c r="H537">
        <f>IF($A537="","",IF(Entry!$H540="",0,Entry!$H540))</f>
        <v/>
      </c>
      <c r="I537">
        <f>IF($A537="","",IF(Entry!$I540="",0,Entry!$I540))</f>
        <v/>
      </c>
      <c r="J537">
        <f>IF($A537="","",ROUND($H537*$I537,0))</f>
        <v/>
      </c>
      <c r="K537">
        <f>IF($A537="","",Entry!$D540)</f>
        <v/>
      </c>
      <c r="L537">
        <f>IF($A537="","",Entry!$L540)</f>
        <v/>
      </c>
      <c r="N537">
        <f>IF(OR(Sync!$M537="",$Q537="",$Q537="نامعتبر"),"",Sync!$M537)</f>
        <v/>
      </c>
      <c r="O537">
        <f>IF($N537="","",$Q537)</f>
        <v/>
      </c>
      <c r="P537">
        <f>IF($N537="","",LEFT($Q537,4)&amp;MID($Q537,6,2)&amp;RIGHT($Q537,2)&amp;IF(Sync!$K537="","0000",IF(AND(ISNUMBER(Sync!$K537),Sync!$K537&gt;=0,Sync!$K537&lt;1),RIGHT("00"&amp;HOUR(Sync!$K537),2)&amp;RIGHT("00"&amp;MINUTE(Sync!$K537),2),IFERROR(RIGHT("00"&amp;VALUE(LEFT(Sync!$K537,FIND(":",Sync!$K537)-1)),2)&amp;RIGHT("00"&amp;VALUE(MID(Sync!$K537,FIND(":",Sync!$K537)+1,2)),2),"0000")))&amp;"|"&amp;"2"&amp;RIGHT("00000"&amp;532,5))</f>
        <v/>
      </c>
      <c r="Q537">
        <f>IF(Sync!$J537="","",IF(ISNUMBER(Sync!$J537),IF(AND(Sync!$J537&gt;=10000101,Sync!$J537&lt;=99991231),INT(Sync!$J537/10000)&amp;"/"&amp;RIGHT("00"&amp;INT(MOD(Sync!$J537,10000)/100),2)&amp;"/"&amp;RIGHT("00"&amp;MOD(Sync!$J537,100),2),"نامعتبر"),IF(LEN(Sync!$J537)=10,Sync!$J537,"نامعتبر")))</f>
        <v/>
      </c>
      <c r="R537">
        <f>IF($P537="","",COUNTIFS($N$6:$N$2005,$N537,$P$6:$P$2005,"&lt;"&amp;$P537)+COUNTIFS($A$6:$A$1005,$N537,$B$6:$B$1005,"&lt;"&amp;$P537)+1)</f>
        <v/>
      </c>
      <c r="S537">
        <f>IF($N537="","",$N537&amp;"|"&amp;RIGHT("000000"&amp;$R537,6))</f>
        <v/>
      </c>
      <c r="T537">
        <f>IF($N537="","",IF(Sync!$N537="",0,Sync!$N537))</f>
        <v/>
      </c>
      <c r="U537">
        <f>IF($N537="","",IF(Sync!$O537="",0,Sync!$O537))</f>
        <v/>
      </c>
      <c r="V537">
        <f>IF($N537="","",Sync!$L537)</f>
        <v/>
      </c>
      <c r="W537">
        <f>IF($N537="","",Sync!$P537)</f>
        <v/>
      </c>
      <c r="AA537">
        <f>IF($A537="","",IF(COUNTIF($A$6:$A537,$A537)=1,1,0))</f>
        <v/>
      </c>
      <c r="AB537">
        <f>SUM($AA$6:$AA537)</f>
        <v/>
      </c>
      <c r="AC537">
        <f>IFERROR(INDEX($A$6:$A$1005,MATCH(ROW()-5,$AB$6:$AB$1005,0)),"")</f>
        <v/>
      </c>
    </row>
    <row r="538">
      <c r="A538">
        <f>IF(OR(Entry!$B541="",Entry!$E541="",$E538="نامعتبر"),"",Entry!$E541)</f>
        <v/>
      </c>
      <c r="B538">
        <f>IF($A538="","",LEFT($E538,4)&amp;MID($E538,6,2)&amp;RIGHT($E538,2)&amp;$F538&amp;"|"&amp;"1"&amp;RIGHT("00000"&amp;533,5))</f>
        <v/>
      </c>
      <c r="C538">
        <f>IF($B538="","",COUNTIFS($A$6:$A$1005,$A538,$B$6:$B$1005,"&lt;"&amp;$B538)+COUNTIFS($N$6:$N$2005,$A538,$P$6:$P$2005,"&lt;"&amp;$B538)+1)</f>
        <v/>
      </c>
      <c r="D538">
        <f>IF($C538="","",$A538&amp;"|"&amp;RIGHT("000000"&amp;$C538,6))</f>
        <v/>
      </c>
      <c r="E538">
        <f>IF(Entry!$B541="","",IF(ISNUMBER(Entry!$B541),IF(AND(Entry!$B541&gt;=10000101,Entry!$B541&lt;=99991231),INT(Entry!$B541/10000)&amp;"/"&amp;RIGHT("00"&amp;INT(MOD(Entry!$B541,10000)/100),2)&amp;"/"&amp;RIGHT("00"&amp;MOD(Entry!$B541,100),2),"نامعتبر"),IF(LEN(Entry!$B541)=10,Entry!$B541,"نامعتبر")))</f>
        <v/>
      </c>
      <c r="F538">
        <f>IF(Entry!$B541="","",IF(Entry!$C541="","0000",IF(AND(ISNUMBER(Entry!$C541),Entry!$C541&gt;=0,Entry!$C541&lt;1),RIGHT("00"&amp;HOUR(Entry!$C541),2)&amp;RIGHT("00"&amp;MINUTE(Entry!$C541),2),IFERROR(RIGHT("00"&amp;VALUE(LEFT(Entry!$C541,FIND(":",Entry!$C541)-1)),2)&amp;RIGHT("00"&amp;VALUE(MID(Entry!$C541,FIND(":",Entry!$C541)+1,2)),2),"0000"))))</f>
        <v/>
      </c>
      <c r="G538">
        <f>IF($A538="","",Entry!$G541)</f>
        <v/>
      </c>
      <c r="H538">
        <f>IF($A538="","",IF(Entry!$H541="",0,Entry!$H541))</f>
        <v/>
      </c>
      <c r="I538">
        <f>IF($A538="","",IF(Entry!$I541="",0,Entry!$I541))</f>
        <v/>
      </c>
      <c r="J538">
        <f>IF($A538="","",ROUND($H538*$I538,0))</f>
        <v/>
      </c>
      <c r="K538">
        <f>IF($A538="","",Entry!$D541)</f>
        <v/>
      </c>
      <c r="L538">
        <f>IF($A538="","",Entry!$L541)</f>
        <v/>
      </c>
      <c r="N538">
        <f>IF(OR(Sync!$M538="",$Q538="",$Q538="نامعتبر"),"",Sync!$M538)</f>
        <v/>
      </c>
      <c r="O538">
        <f>IF($N538="","",$Q538)</f>
        <v/>
      </c>
      <c r="P538">
        <f>IF($N538="","",LEFT($Q538,4)&amp;MID($Q538,6,2)&amp;RIGHT($Q538,2)&amp;IF(Sync!$K538="","0000",IF(AND(ISNUMBER(Sync!$K538),Sync!$K538&gt;=0,Sync!$K538&lt;1),RIGHT("00"&amp;HOUR(Sync!$K538),2)&amp;RIGHT("00"&amp;MINUTE(Sync!$K538),2),IFERROR(RIGHT("00"&amp;VALUE(LEFT(Sync!$K538,FIND(":",Sync!$K538)-1)),2)&amp;RIGHT("00"&amp;VALUE(MID(Sync!$K538,FIND(":",Sync!$K538)+1,2)),2),"0000")))&amp;"|"&amp;"2"&amp;RIGHT("00000"&amp;533,5))</f>
        <v/>
      </c>
      <c r="Q538">
        <f>IF(Sync!$J538="","",IF(ISNUMBER(Sync!$J538),IF(AND(Sync!$J538&gt;=10000101,Sync!$J538&lt;=99991231),INT(Sync!$J538/10000)&amp;"/"&amp;RIGHT("00"&amp;INT(MOD(Sync!$J538,10000)/100),2)&amp;"/"&amp;RIGHT("00"&amp;MOD(Sync!$J538,100),2),"نامعتبر"),IF(LEN(Sync!$J538)=10,Sync!$J538,"نامعتبر")))</f>
        <v/>
      </c>
      <c r="R538">
        <f>IF($P538="","",COUNTIFS($N$6:$N$2005,$N538,$P$6:$P$2005,"&lt;"&amp;$P538)+COUNTIFS($A$6:$A$1005,$N538,$B$6:$B$1005,"&lt;"&amp;$P538)+1)</f>
        <v/>
      </c>
      <c r="S538">
        <f>IF($N538="","",$N538&amp;"|"&amp;RIGHT("000000"&amp;$R538,6))</f>
        <v/>
      </c>
      <c r="T538">
        <f>IF($N538="","",IF(Sync!$N538="",0,Sync!$N538))</f>
        <v/>
      </c>
      <c r="U538">
        <f>IF($N538="","",IF(Sync!$O538="",0,Sync!$O538))</f>
        <v/>
      </c>
      <c r="V538">
        <f>IF($N538="","",Sync!$L538)</f>
        <v/>
      </c>
      <c r="W538">
        <f>IF($N538="","",Sync!$P538)</f>
        <v/>
      </c>
      <c r="AA538">
        <f>IF($A538="","",IF(COUNTIF($A$6:$A538,$A538)=1,1,0))</f>
        <v/>
      </c>
      <c r="AB538">
        <f>SUM($AA$6:$AA538)</f>
        <v/>
      </c>
      <c r="AC538">
        <f>IFERROR(INDEX($A$6:$A$1005,MATCH(ROW()-5,$AB$6:$AB$1005,0)),"")</f>
        <v/>
      </c>
    </row>
    <row r="539">
      <c r="A539">
        <f>IF(OR(Entry!$B542="",Entry!$E542="",$E539="نامعتبر"),"",Entry!$E542)</f>
        <v/>
      </c>
      <c r="B539">
        <f>IF($A539="","",LEFT($E539,4)&amp;MID($E539,6,2)&amp;RIGHT($E539,2)&amp;$F539&amp;"|"&amp;"1"&amp;RIGHT("00000"&amp;534,5))</f>
        <v/>
      </c>
      <c r="C539">
        <f>IF($B539="","",COUNTIFS($A$6:$A$1005,$A539,$B$6:$B$1005,"&lt;"&amp;$B539)+COUNTIFS($N$6:$N$2005,$A539,$P$6:$P$2005,"&lt;"&amp;$B539)+1)</f>
        <v/>
      </c>
      <c r="D539">
        <f>IF($C539="","",$A539&amp;"|"&amp;RIGHT("000000"&amp;$C539,6))</f>
        <v/>
      </c>
      <c r="E539">
        <f>IF(Entry!$B542="","",IF(ISNUMBER(Entry!$B542),IF(AND(Entry!$B542&gt;=10000101,Entry!$B542&lt;=99991231),INT(Entry!$B542/10000)&amp;"/"&amp;RIGHT("00"&amp;INT(MOD(Entry!$B542,10000)/100),2)&amp;"/"&amp;RIGHT("00"&amp;MOD(Entry!$B542,100),2),"نامعتبر"),IF(LEN(Entry!$B542)=10,Entry!$B542,"نامعتبر")))</f>
        <v/>
      </c>
      <c r="F539">
        <f>IF(Entry!$B542="","",IF(Entry!$C542="","0000",IF(AND(ISNUMBER(Entry!$C542),Entry!$C542&gt;=0,Entry!$C542&lt;1),RIGHT("00"&amp;HOUR(Entry!$C542),2)&amp;RIGHT("00"&amp;MINUTE(Entry!$C542),2),IFERROR(RIGHT("00"&amp;VALUE(LEFT(Entry!$C542,FIND(":",Entry!$C542)-1)),2)&amp;RIGHT("00"&amp;VALUE(MID(Entry!$C542,FIND(":",Entry!$C542)+1,2)),2),"0000"))))</f>
        <v/>
      </c>
      <c r="G539">
        <f>IF($A539="","",Entry!$G542)</f>
        <v/>
      </c>
      <c r="H539">
        <f>IF($A539="","",IF(Entry!$H542="",0,Entry!$H542))</f>
        <v/>
      </c>
      <c r="I539">
        <f>IF($A539="","",IF(Entry!$I542="",0,Entry!$I542))</f>
        <v/>
      </c>
      <c r="J539">
        <f>IF($A539="","",ROUND($H539*$I539,0))</f>
        <v/>
      </c>
      <c r="K539">
        <f>IF($A539="","",Entry!$D542)</f>
        <v/>
      </c>
      <c r="L539">
        <f>IF($A539="","",Entry!$L542)</f>
        <v/>
      </c>
      <c r="N539">
        <f>IF(OR(Sync!$M539="",$Q539="",$Q539="نامعتبر"),"",Sync!$M539)</f>
        <v/>
      </c>
      <c r="O539">
        <f>IF($N539="","",$Q539)</f>
        <v/>
      </c>
      <c r="P539">
        <f>IF($N539="","",LEFT($Q539,4)&amp;MID($Q539,6,2)&amp;RIGHT($Q539,2)&amp;IF(Sync!$K539="","0000",IF(AND(ISNUMBER(Sync!$K539),Sync!$K539&gt;=0,Sync!$K539&lt;1),RIGHT("00"&amp;HOUR(Sync!$K539),2)&amp;RIGHT("00"&amp;MINUTE(Sync!$K539),2),IFERROR(RIGHT("00"&amp;VALUE(LEFT(Sync!$K539,FIND(":",Sync!$K539)-1)),2)&amp;RIGHT("00"&amp;VALUE(MID(Sync!$K539,FIND(":",Sync!$K539)+1,2)),2),"0000")))&amp;"|"&amp;"2"&amp;RIGHT("00000"&amp;534,5))</f>
        <v/>
      </c>
      <c r="Q539">
        <f>IF(Sync!$J539="","",IF(ISNUMBER(Sync!$J539),IF(AND(Sync!$J539&gt;=10000101,Sync!$J539&lt;=99991231),INT(Sync!$J539/10000)&amp;"/"&amp;RIGHT("00"&amp;INT(MOD(Sync!$J539,10000)/100),2)&amp;"/"&amp;RIGHT("00"&amp;MOD(Sync!$J539,100),2),"نامعتبر"),IF(LEN(Sync!$J539)=10,Sync!$J539,"نامعتبر")))</f>
        <v/>
      </c>
      <c r="R539">
        <f>IF($P539="","",COUNTIFS($N$6:$N$2005,$N539,$P$6:$P$2005,"&lt;"&amp;$P539)+COUNTIFS($A$6:$A$1005,$N539,$B$6:$B$1005,"&lt;"&amp;$P539)+1)</f>
        <v/>
      </c>
      <c r="S539">
        <f>IF($N539="","",$N539&amp;"|"&amp;RIGHT("000000"&amp;$R539,6))</f>
        <v/>
      </c>
      <c r="T539">
        <f>IF($N539="","",IF(Sync!$N539="",0,Sync!$N539))</f>
        <v/>
      </c>
      <c r="U539">
        <f>IF($N539="","",IF(Sync!$O539="",0,Sync!$O539))</f>
        <v/>
      </c>
      <c r="V539">
        <f>IF($N539="","",Sync!$L539)</f>
        <v/>
      </c>
      <c r="W539">
        <f>IF($N539="","",Sync!$P539)</f>
        <v/>
      </c>
      <c r="AA539">
        <f>IF($A539="","",IF(COUNTIF($A$6:$A539,$A539)=1,1,0))</f>
        <v/>
      </c>
      <c r="AB539">
        <f>SUM($AA$6:$AA539)</f>
        <v/>
      </c>
      <c r="AC539">
        <f>IFERROR(INDEX($A$6:$A$1005,MATCH(ROW()-5,$AB$6:$AB$1005,0)),"")</f>
        <v/>
      </c>
    </row>
    <row r="540">
      <c r="A540">
        <f>IF(OR(Entry!$B543="",Entry!$E543="",$E540="نامعتبر"),"",Entry!$E543)</f>
        <v/>
      </c>
      <c r="B540">
        <f>IF($A540="","",LEFT($E540,4)&amp;MID($E540,6,2)&amp;RIGHT($E540,2)&amp;$F540&amp;"|"&amp;"1"&amp;RIGHT("00000"&amp;535,5))</f>
        <v/>
      </c>
      <c r="C540">
        <f>IF($B540="","",COUNTIFS($A$6:$A$1005,$A540,$B$6:$B$1005,"&lt;"&amp;$B540)+COUNTIFS($N$6:$N$2005,$A540,$P$6:$P$2005,"&lt;"&amp;$B540)+1)</f>
        <v/>
      </c>
      <c r="D540">
        <f>IF($C540="","",$A540&amp;"|"&amp;RIGHT("000000"&amp;$C540,6))</f>
        <v/>
      </c>
      <c r="E540">
        <f>IF(Entry!$B543="","",IF(ISNUMBER(Entry!$B543),IF(AND(Entry!$B543&gt;=10000101,Entry!$B543&lt;=99991231),INT(Entry!$B543/10000)&amp;"/"&amp;RIGHT("00"&amp;INT(MOD(Entry!$B543,10000)/100),2)&amp;"/"&amp;RIGHT("00"&amp;MOD(Entry!$B543,100),2),"نامعتبر"),IF(LEN(Entry!$B543)=10,Entry!$B543,"نامعتبر")))</f>
        <v/>
      </c>
      <c r="F540">
        <f>IF(Entry!$B543="","",IF(Entry!$C543="","0000",IF(AND(ISNUMBER(Entry!$C543),Entry!$C543&gt;=0,Entry!$C543&lt;1),RIGHT("00"&amp;HOUR(Entry!$C543),2)&amp;RIGHT("00"&amp;MINUTE(Entry!$C543),2),IFERROR(RIGHT("00"&amp;VALUE(LEFT(Entry!$C543,FIND(":",Entry!$C543)-1)),2)&amp;RIGHT("00"&amp;VALUE(MID(Entry!$C543,FIND(":",Entry!$C543)+1,2)),2),"0000"))))</f>
        <v/>
      </c>
      <c r="G540">
        <f>IF($A540="","",Entry!$G543)</f>
        <v/>
      </c>
      <c r="H540">
        <f>IF($A540="","",IF(Entry!$H543="",0,Entry!$H543))</f>
        <v/>
      </c>
      <c r="I540">
        <f>IF($A540="","",IF(Entry!$I543="",0,Entry!$I543))</f>
        <v/>
      </c>
      <c r="J540">
        <f>IF($A540="","",ROUND($H540*$I540,0))</f>
        <v/>
      </c>
      <c r="K540">
        <f>IF($A540="","",Entry!$D543)</f>
        <v/>
      </c>
      <c r="L540">
        <f>IF($A540="","",Entry!$L543)</f>
        <v/>
      </c>
      <c r="N540">
        <f>IF(OR(Sync!$M540="",$Q540="",$Q540="نامعتبر"),"",Sync!$M540)</f>
        <v/>
      </c>
      <c r="O540">
        <f>IF($N540="","",$Q540)</f>
        <v/>
      </c>
      <c r="P540">
        <f>IF($N540="","",LEFT($Q540,4)&amp;MID($Q540,6,2)&amp;RIGHT($Q540,2)&amp;IF(Sync!$K540="","0000",IF(AND(ISNUMBER(Sync!$K540),Sync!$K540&gt;=0,Sync!$K540&lt;1),RIGHT("00"&amp;HOUR(Sync!$K540),2)&amp;RIGHT("00"&amp;MINUTE(Sync!$K540),2),IFERROR(RIGHT("00"&amp;VALUE(LEFT(Sync!$K540,FIND(":",Sync!$K540)-1)),2)&amp;RIGHT("00"&amp;VALUE(MID(Sync!$K540,FIND(":",Sync!$K540)+1,2)),2),"0000")))&amp;"|"&amp;"2"&amp;RIGHT("00000"&amp;535,5))</f>
        <v/>
      </c>
      <c r="Q540">
        <f>IF(Sync!$J540="","",IF(ISNUMBER(Sync!$J540),IF(AND(Sync!$J540&gt;=10000101,Sync!$J540&lt;=99991231),INT(Sync!$J540/10000)&amp;"/"&amp;RIGHT("00"&amp;INT(MOD(Sync!$J540,10000)/100),2)&amp;"/"&amp;RIGHT("00"&amp;MOD(Sync!$J540,100),2),"نامعتبر"),IF(LEN(Sync!$J540)=10,Sync!$J540,"نامعتبر")))</f>
        <v/>
      </c>
      <c r="R540">
        <f>IF($P540="","",COUNTIFS($N$6:$N$2005,$N540,$P$6:$P$2005,"&lt;"&amp;$P540)+COUNTIFS($A$6:$A$1005,$N540,$B$6:$B$1005,"&lt;"&amp;$P540)+1)</f>
        <v/>
      </c>
      <c r="S540">
        <f>IF($N540="","",$N540&amp;"|"&amp;RIGHT("000000"&amp;$R540,6))</f>
        <v/>
      </c>
      <c r="T540">
        <f>IF($N540="","",IF(Sync!$N540="",0,Sync!$N540))</f>
        <v/>
      </c>
      <c r="U540">
        <f>IF($N540="","",IF(Sync!$O540="",0,Sync!$O540))</f>
        <v/>
      </c>
      <c r="V540">
        <f>IF($N540="","",Sync!$L540)</f>
        <v/>
      </c>
      <c r="W540">
        <f>IF($N540="","",Sync!$P540)</f>
        <v/>
      </c>
      <c r="AA540">
        <f>IF($A540="","",IF(COUNTIF($A$6:$A540,$A540)=1,1,0))</f>
        <v/>
      </c>
      <c r="AB540">
        <f>SUM($AA$6:$AA540)</f>
        <v/>
      </c>
      <c r="AC540">
        <f>IFERROR(INDEX($A$6:$A$1005,MATCH(ROW()-5,$AB$6:$AB$1005,0)),"")</f>
        <v/>
      </c>
    </row>
    <row r="541">
      <c r="A541">
        <f>IF(OR(Entry!$B544="",Entry!$E544="",$E541="نامعتبر"),"",Entry!$E544)</f>
        <v/>
      </c>
      <c r="B541">
        <f>IF($A541="","",LEFT($E541,4)&amp;MID($E541,6,2)&amp;RIGHT($E541,2)&amp;$F541&amp;"|"&amp;"1"&amp;RIGHT("00000"&amp;536,5))</f>
        <v/>
      </c>
      <c r="C541">
        <f>IF($B541="","",COUNTIFS($A$6:$A$1005,$A541,$B$6:$B$1005,"&lt;"&amp;$B541)+COUNTIFS($N$6:$N$2005,$A541,$P$6:$P$2005,"&lt;"&amp;$B541)+1)</f>
        <v/>
      </c>
      <c r="D541">
        <f>IF($C541="","",$A541&amp;"|"&amp;RIGHT("000000"&amp;$C541,6))</f>
        <v/>
      </c>
      <c r="E541">
        <f>IF(Entry!$B544="","",IF(ISNUMBER(Entry!$B544),IF(AND(Entry!$B544&gt;=10000101,Entry!$B544&lt;=99991231),INT(Entry!$B544/10000)&amp;"/"&amp;RIGHT("00"&amp;INT(MOD(Entry!$B544,10000)/100),2)&amp;"/"&amp;RIGHT("00"&amp;MOD(Entry!$B544,100),2),"نامعتبر"),IF(LEN(Entry!$B544)=10,Entry!$B544,"نامعتبر")))</f>
        <v/>
      </c>
      <c r="F541">
        <f>IF(Entry!$B544="","",IF(Entry!$C544="","0000",IF(AND(ISNUMBER(Entry!$C544),Entry!$C544&gt;=0,Entry!$C544&lt;1),RIGHT("00"&amp;HOUR(Entry!$C544),2)&amp;RIGHT("00"&amp;MINUTE(Entry!$C544),2),IFERROR(RIGHT("00"&amp;VALUE(LEFT(Entry!$C544,FIND(":",Entry!$C544)-1)),2)&amp;RIGHT("00"&amp;VALUE(MID(Entry!$C544,FIND(":",Entry!$C544)+1,2)),2),"0000"))))</f>
        <v/>
      </c>
      <c r="G541">
        <f>IF($A541="","",Entry!$G544)</f>
        <v/>
      </c>
      <c r="H541">
        <f>IF($A541="","",IF(Entry!$H544="",0,Entry!$H544))</f>
        <v/>
      </c>
      <c r="I541">
        <f>IF($A541="","",IF(Entry!$I544="",0,Entry!$I544))</f>
        <v/>
      </c>
      <c r="J541">
        <f>IF($A541="","",ROUND($H541*$I541,0))</f>
        <v/>
      </c>
      <c r="K541">
        <f>IF($A541="","",Entry!$D544)</f>
        <v/>
      </c>
      <c r="L541">
        <f>IF($A541="","",Entry!$L544)</f>
        <v/>
      </c>
      <c r="N541">
        <f>IF(OR(Sync!$M541="",$Q541="",$Q541="نامعتبر"),"",Sync!$M541)</f>
        <v/>
      </c>
      <c r="O541">
        <f>IF($N541="","",$Q541)</f>
        <v/>
      </c>
      <c r="P541">
        <f>IF($N541="","",LEFT($Q541,4)&amp;MID($Q541,6,2)&amp;RIGHT($Q541,2)&amp;IF(Sync!$K541="","0000",IF(AND(ISNUMBER(Sync!$K541),Sync!$K541&gt;=0,Sync!$K541&lt;1),RIGHT("00"&amp;HOUR(Sync!$K541),2)&amp;RIGHT("00"&amp;MINUTE(Sync!$K541),2),IFERROR(RIGHT("00"&amp;VALUE(LEFT(Sync!$K541,FIND(":",Sync!$K541)-1)),2)&amp;RIGHT("00"&amp;VALUE(MID(Sync!$K541,FIND(":",Sync!$K541)+1,2)),2),"0000")))&amp;"|"&amp;"2"&amp;RIGHT("00000"&amp;536,5))</f>
        <v/>
      </c>
      <c r="Q541">
        <f>IF(Sync!$J541="","",IF(ISNUMBER(Sync!$J541),IF(AND(Sync!$J541&gt;=10000101,Sync!$J541&lt;=99991231),INT(Sync!$J541/10000)&amp;"/"&amp;RIGHT("00"&amp;INT(MOD(Sync!$J541,10000)/100),2)&amp;"/"&amp;RIGHT("00"&amp;MOD(Sync!$J541,100),2),"نامعتبر"),IF(LEN(Sync!$J541)=10,Sync!$J541,"نامعتبر")))</f>
        <v/>
      </c>
      <c r="R541">
        <f>IF($P541="","",COUNTIFS($N$6:$N$2005,$N541,$P$6:$P$2005,"&lt;"&amp;$P541)+COUNTIFS($A$6:$A$1005,$N541,$B$6:$B$1005,"&lt;"&amp;$P541)+1)</f>
        <v/>
      </c>
      <c r="S541">
        <f>IF($N541="","",$N541&amp;"|"&amp;RIGHT("000000"&amp;$R541,6))</f>
        <v/>
      </c>
      <c r="T541">
        <f>IF($N541="","",IF(Sync!$N541="",0,Sync!$N541))</f>
        <v/>
      </c>
      <c r="U541">
        <f>IF($N541="","",IF(Sync!$O541="",0,Sync!$O541))</f>
        <v/>
      </c>
      <c r="V541">
        <f>IF($N541="","",Sync!$L541)</f>
        <v/>
      </c>
      <c r="W541">
        <f>IF($N541="","",Sync!$P541)</f>
        <v/>
      </c>
      <c r="AA541">
        <f>IF($A541="","",IF(COUNTIF($A$6:$A541,$A541)=1,1,0))</f>
        <v/>
      </c>
      <c r="AB541">
        <f>SUM($AA$6:$AA541)</f>
        <v/>
      </c>
      <c r="AC541">
        <f>IFERROR(INDEX($A$6:$A$1005,MATCH(ROW()-5,$AB$6:$AB$1005,0)),"")</f>
        <v/>
      </c>
    </row>
    <row r="542">
      <c r="A542">
        <f>IF(OR(Entry!$B545="",Entry!$E545="",$E542="نامعتبر"),"",Entry!$E545)</f>
        <v/>
      </c>
      <c r="B542">
        <f>IF($A542="","",LEFT($E542,4)&amp;MID($E542,6,2)&amp;RIGHT($E542,2)&amp;$F542&amp;"|"&amp;"1"&amp;RIGHT("00000"&amp;537,5))</f>
        <v/>
      </c>
      <c r="C542">
        <f>IF($B542="","",COUNTIFS($A$6:$A$1005,$A542,$B$6:$B$1005,"&lt;"&amp;$B542)+COUNTIFS($N$6:$N$2005,$A542,$P$6:$P$2005,"&lt;"&amp;$B542)+1)</f>
        <v/>
      </c>
      <c r="D542">
        <f>IF($C542="","",$A542&amp;"|"&amp;RIGHT("000000"&amp;$C542,6))</f>
        <v/>
      </c>
      <c r="E542">
        <f>IF(Entry!$B545="","",IF(ISNUMBER(Entry!$B545),IF(AND(Entry!$B545&gt;=10000101,Entry!$B545&lt;=99991231),INT(Entry!$B545/10000)&amp;"/"&amp;RIGHT("00"&amp;INT(MOD(Entry!$B545,10000)/100),2)&amp;"/"&amp;RIGHT("00"&amp;MOD(Entry!$B545,100),2),"نامعتبر"),IF(LEN(Entry!$B545)=10,Entry!$B545,"نامعتبر")))</f>
        <v/>
      </c>
      <c r="F542">
        <f>IF(Entry!$B545="","",IF(Entry!$C545="","0000",IF(AND(ISNUMBER(Entry!$C545),Entry!$C545&gt;=0,Entry!$C545&lt;1),RIGHT("00"&amp;HOUR(Entry!$C545),2)&amp;RIGHT("00"&amp;MINUTE(Entry!$C545),2),IFERROR(RIGHT("00"&amp;VALUE(LEFT(Entry!$C545,FIND(":",Entry!$C545)-1)),2)&amp;RIGHT("00"&amp;VALUE(MID(Entry!$C545,FIND(":",Entry!$C545)+1,2)),2),"0000"))))</f>
        <v/>
      </c>
      <c r="G542">
        <f>IF($A542="","",Entry!$G545)</f>
        <v/>
      </c>
      <c r="H542">
        <f>IF($A542="","",IF(Entry!$H545="",0,Entry!$H545))</f>
        <v/>
      </c>
      <c r="I542">
        <f>IF($A542="","",IF(Entry!$I545="",0,Entry!$I545))</f>
        <v/>
      </c>
      <c r="J542">
        <f>IF($A542="","",ROUND($H542*$I542,0))</f>
        <v/>
      </c>
      <c r="K542">
        <f>IF($A542="","",Entry!$D545)</f>
        <v/>
      </c>
      <c r="L542">
        <f>IF($A542="","",Entry!$L545)</f>
        <v/>
      </c>
      <c r="N542">
        <f>IF(OR(Sync!$M542="",$Q542="",$Q542="نامعتبر"),"",Sync!$M542)</f>
        <v/>
      </c>
      <c r="O542">
        <f>IF($N542="","",$Q542)</f>
        <v/>
      </c>
      <c r="P542">
        <f>IF($N542="","",LEFT($Q542,4)&amp;MID($Q542,6,2)&amp;RIGHT($Q542,2)&amp;IF(Sync!$K542="","0000",IF(AND(ISNUMBER(Sync!$K542),Sync!$K542&gt;=0,Sync!$K542&lt;1),RIGHT("00"&amp;HOUR(Sync!$K542),2)&amp;RIGHT("00"&amp;MINUTE(Sync!$K542),2),IFERROR(RIGHT("00"&amp;VALUE(LEFT(Sync!$K542,FIND(":",Sync!$K542)-1)),2)&amp;RIGHT("00"&amp;VALUE(MID(Sync!$K542,FIND(":",Sync!$K542)+1,2)),2),"0000")))&amp;"|"&amp;"2"&amp;RIGHT("00000"&amp;537,5))</f>
        <v/>
      </c>
      <c r="Q542">
        <f>IF(Sync!$J542="","",IF(ISNUMBER(Sync!$J542),IF(AND(Sync!$J542&gt;=10000101,Sync!$J542&lt;=99991231),INT(Sync!$J542/10000)&amp;"/"&amp;RIGHT("00"&amp;INT(MOD(Sync!$J542,10000)/100),2)&amp;"/"&amp;RIGHT("00"&amp;MOD(Sync!$J542,100),2),"نامعتبر"),IF(LEN(Sync!$J542)=10,Sync!$J542,"نامعتبر")))</f>
        <v/>
      </c>
      <c r="R542">
        <f>IF($P542="","",COUNTIFS($N$6:$N$2005,$N542,$P$6:$P$2005,"&lt;"&amp;$P542)+COUNTIFS($A$6:$A$1005,$N542,$B$6:$B$1005,"&lt;"&amp;$P542)+1)</f>
        <v/>
      </c>
      <c r="S542">
        <f>IF($N542="","",$N542&amp;"|"&amp;RIGHT("000000"&amp;$R542,6))</f>
        <v/>
      </c>
      <c r="T542">
        <f>IF($N542="","",IF(Sync!$N542="",0,Sync!$N542))</f>
        <v/>
      </c>
      <c r="U542">
        <f>IF($N542="","",IF(Sync!$O542="",0,Sync!$O542))</f>
        <v/>
      </c>
      <c r="V542">
        <f>IF($N542="","",Sync!$L542)</f>
        <v/>
      </c>
      <c r="W542">
        <f>IF($N542="","",Sync!$P542)</f>
        <v/>
      </c>
      <c r="AA542">
        <f>IF($A542="","",IF(COUNTIF($A$6:$A542,$A542)=1,1,0))</f>
        <v/>
      </c>
      <c r="AB542">
        <f>SUM($AA$6:$AA542)</f>
        <v/>
      </c>
      <c r="AC542">
        <f>IFERROR(INDEX($A$6:$A$1005,MATCH(ROW()-5,$AB$6:$AB$1005,0)),"")</f>
        <v/>
      </c>
    </row>
    <row r="543">
      <c r="A543">
        <f>IF(OR(Entry!$B546="",Entry!$E546="",$E543="نامعتبر"),"",Entry!$E546)</f>
        <v/>
      </c>
      <c r="B543">
        <f>IF($A543="","",LEFT($E543,4)&amp;MID($E543,6,2)&amp;RIGHT($E543,2)&amp;$F543&amp;"|"&amp;"1"&amp;RIGHT("00000"&amp;538,5))</f>
        <v/>
      </c>
      <c r="C543">
        <f>IF($B543="","",COUNTIFS($A$6:$A$1005,$A543,$B$6:$B$1005,"&lt;"&amp;$B543)+COUNTIFS($N$6:$N$2005,$A543,$P$6:$P$2005,"&lt;"&amp;$B543)+1)</f>
        <v/>
      </c>
      <c r="D543">
        <f>IF($C543="","",$A543&amp;"|"&amp;RIGHT("000000"&amp;$C543,6))</f>
        <v/>
      </c>
      <c r="E543">
        <f>IF(Entry!$B546="","",IF(ISNUMBER(Entry!$B546),IF(AND(Entry!$B546&gt;=10000101,Entry!$B546&lt;=99991231),INT(Entry!$B546/10000)&amp;"/"&amp;RIGHT("00"&amp;INT(MOD(Entry!$B546,10000)/100),2)&amp;"/"&amp;RIGHT("00"&amp;MOD(Entry!$B546,100),2),"نامعتبر"),IF(LEN(Entry!$B546)=10,Entry!$B546,"نامعتبر")))</f>
        <v/>
      </c>
      <c r="F543">
        <f>IF(Entry!$B546="","",IF(Entry!$C546="","0000",IF(AND(ISNUMBER(Entry!$C546),Entry!$C546&gt;=0,Entry!$C546&lt;1),RIGHT("00"&amp;HOUR(Entry!$C546),2)&amp;RIGHT("00"&amp;MINUTE(Entry!$C546),2),IFERROR(RIGHT("00"&amp;VALUE(LEFT(Entry!$C546,FIND(":",Entry!$C546)-1)),2)&amp;RIGHT("00"&amp;VALUE(MID(Entry!$C546,FIND(":",Entry!$C546)+1,2)),2),"0000"))))</f>
        <v/>
      </c>
      <c r="G543">
        <f>IF($A543="","",Entry!$G546)</f>
        <v/>
      </c>
      <c r="H543">
        <f>IF($A543="","",IF(Entry!$H546="",0,Entry!$H546))</f>
        <v/>
      </c>
      <c r="I543">
        <f>IF($A543="","",IF(Entry!$I546="",0,Entry!$I546))</f>
        <v/>
      </c>
      <c r="J543">
        <f>IF($A543="","",ROUND($H543*$I543,0))</f>
        <v/>
      </c>
      <c r="K543">
        <f>IF($A543="","",Entry!$D546)</f>
        <v/>
      </c>
      <c r="L543">
        <f>IF($A543="","",Entry!$L546)</f>
        <v/>
      </c>
      <c r="N543">
        <f>IF(OR(Sync!$M543="",$Q543="",$Q543="نامعتبر"),"",Sync!$M543)</f>
        <v/>
      </c>
      <c r="O543">
        <f>IF($N543="","",$Q543)</f>
        <v/>
      </c>
      <c r="P543">
        <f>IF($N543="","",LEFT($Q543,4)&amp;MID($Q543,6,2)&amp;RIGHT($Q543,2)&amp;IF(Sync!$K543="","0000",IF(AND(ISNUMBER(Sync!$K543),Sync!$K543&gt;=0,Sync!$K543&lt;1),RIGHT("00"&amp;HOUR(Sync!$K543),2)&amp;RIGHT("00"&amp;MINUTE(Sync!$K543),2),IFERROR(RIGHT("00"&amp;VALUE(LEFT(Sync!$K543,FIND(":",Sync!$K543)-1)),2)&amp;RIGHT("00"&amp;VALUE(MID(Sync!$K543,FIND(":",Sync!$K543)+1,2)),2),"0000")))&amp;"|"&amp;"2"&amp;RIGHT("00000"&amp;538,5))</f>
        <v/>
      </c>
      <c r="Q543">
        <f>IF(Sync!$J543="","",IF(ISNUMBER(Sync!$J543),IF(AND(Sync!$J543&gt;=10000101,Sync!$J543&lt;=99991231),INT(Sync!$J543/10000)&amp;"/"&amp;RIGHT("00"&amp;INT(MOD(Sync!$J543,10000)/100),2)&amp;"/"&amp;RIGHT("00"&amp;MOD(Sync!$J543,100),2),"نامعتبر"),IF(LEN(Sync!$J543)=10,Sync!$J543,"نامعتبر")))</f>
        <v/>
      </c>
      <c r="R543">
        <f>IF($P543="","",COUNTIFS($N$6:$N$2005,$N543,$P$6:$P$2005,"&lt;"&amp;$P543)+COUNTIFS($A$6:$A$1005,$N543,$B$6:$B$1005,"&lt;"&amp;$P543)+1)</f>
        <v/>
      </c>
      <c r="S543">
        <f>IF($N543="","",$N543&amp;"|"&amp;RIGHT("000000"&amp;$R543,6))</f>
        <v/>
      </c>
      <c r="T543">
        <f>IF($N543="","",IF(Sync!$N543="",0,Sync!$N543))</f>
        <v/>
      </c>
      <c r="U543">
        <f>IF($N543="","",IF(Sync!$O543="",0,Sync!$O543))</f>
        <v/>
      </c>
      <c r="V543">
        <f>IF($N543="","",Sync!$L543)</f>
        <v/>
      </c>
      <c r="W543">
        <f>IF($N543="","",Sync!$P543)</f>
        <v/>
      </c>
      <c r="AA543">
        <f>IF($A543="","",IF(COUNTIF($A$6:$A543,$A543)=1,1,0))</f>
        <v/>
      </c>
      <c r="AB543">
        <f>SUM($AA$6:$AA543)</f>
        <v/>
      </c>
      <c r="AC543">
        <f>IFERROR(INDEX($A$6:$A$1005,MATCH(ROW()-5,$AB$6:$AB$1005,0)),"")</f>
        <v/>
      </c>
    </row>
    <row r="544">
      <c r="A544">
        <f>IF(OR(Entry!$B547="",Entry!$E547="",$E544="نامعتبر"),"",Entry!$E547)</f>
        <v/>
      </c>
      <c r="B544">
        <f>IF($A544="","",LEFT($E544,4)&amp;MID($E544,6,2)&amp;RIGHT($E544,2)&amp;$F544&amp;"|"&amp;"1"&amp;RIGHT("00000"&amp;539,5))</f>
        <v/>
      </c>
      <c r="C544">
        <f>IF($B544="","",COUNTIFS($A$6:$A$1005,$A544,$B$6:$B$1005,"&lt;"&amp;$B544)+COUNTIFS($N$6:$N$2005,$A544,$P$6:$P$2005,"&lt;"&amp;$B544)+1)</f>
        <v/>
      </c>
      <c r="D544">
        <f>IF($C544="","",$A544&amp;"|"&amp;RIGHT("000000"&amp;$C544,6))</f>
        <v/>
      </c>
      <c r="E544">
        <f>IF(Entry!$B547="","",IF(ISNUMBER(Entry!$B547),IF(AND(Entry!$B547&gt;=10000101,Entry!$B547&lt;=99991231),INT(Entry!$B547/10000)&amp;"/"&amp;RIGHT("00"&amp;INT(MOD(Entry!$B547,10000)/100),2)&amp;"/"&amp;RIGHT("00"&amp;MOD(Entry!$B547,100),2),"نامعتبر"),IF(LEN(Entry!$B547)=10,Entry!$B547,"نامعتبر")))</f>
        <v/>
      </c>
      <c r="F544">
        <f>IF(Entry!$B547="","",IF(Entry!$C547="","0000",IF(AND(ISNUMBER(Entry!$C547),Entry!$C547&gt;=0,Entry!$C547&lt;1),RIGHT("00"&amp;HOUR(Entry!$C547),2)&amp;RIGHT("00"&amp;MINUTE(Entry!$C547),2),IFERROR(RIGHT("00"&amp;VALUE(LEFT(Entry!$C547,FIND(":",Entry!$C547)-1)),2)&amp;RIGHT("00"&amp;VALUE(MID(Entry!$C547,FIND(":",Entry!$C547)+1,2)),2),"0000"))))</f>
        <v/>
      </c>
      <c r="G544">
        <f>IF($A544="","",Entry!$G547)</f>
        <v/>
      </c>
      <c r="H544">
        <f>IF($A544="","",IF(Entry!$H547="",0,Entry!$H547))</f>
        <v/>
      </c>
      <c r="I544">
        <f>IF($A544="","",IF(Entry!$I547="",0,Entry!$I547))</f>
        <v/>
      </c>
      <c r="J544">
        <f>IF($A544="","",ROUND($H544*$I544,0))</f>
        <v/>
      </c>
      <c r="K544">
        <f>IF($A544="","",Entry!$D547)</f>
        <v/>
      </c>
      <c r="L544">
        <f>IF($A544="","",Entry!$L547)</f>
        <v/>
      </c>
      <c r="N544">
        <f>IF(OR(Sync!$M544="",$Q544="",$Q544="نامعتبر"),"",Sync!$M544)</f>
        <v/>
      </c>
      <c r="O544">
        <f>IF($N544="","",$Q544)</f>
        <v/>
      </c>
      <c r="P544">
        <f>IF($N544="","",LEFT($Q544,4)&amp;MID($Q544,6,2)&amp;RIGHT($Q544,2)&amp;IF(Sync!$K544="","0000",IF(AND(ISNUMBER(Sync!$K544),Sync!$K544&gt;=0,Sync!$K544&lt;1),RIGHT("00"&amp;HOUR(Sync!$K544),2)&amp;RIGHT("00"&amp;MINUTE(Sync!$K544),2),IFERROR(RIGHT("00"&amp;VALUE(LEFT(Sync!$K544,FIND(":",Sync!$K544)-1)),2)&amp;RIGHT("00"&amp;VALUE(MID(Sync!$K544,FIND(":",Sync!$K544)+1,2)),2),"0000")))&amp;"|"&amp;"2"&amp;RIGHT("00000"&amp;539,5))</f>
        <v/>
      </c>
      <c r="Q544">
        <f>IF(Sync!$J544="","",IF(ISNUMBER(Sync!$J544),IF(AND(Sync!$J544&gt;=10000101,Sync!$J544&lt;=99991231),INT(Sync!$J544/10000)&amp;"/"&amp;RIGHT("00"&amp;INT(MOD(Sync!$J544,10000)/100),2)&amp;"/"&amp;RIGHT("00"&amp;MOD(Sync!$J544,100),2),"نامعتبر"),IF(LEN(Sync!$J544)=10,Sync!$J544,"نامعتبر")))</f>
        <v/>
      </c>
      <c r="R544">
        <f>IF($P544="","",COUNTIFS($N$6:$N$2005,$N544,$P$6:$P$2005,"&lt;"&amp;$P544)+COUNTIFS($A$6:$A$1005,$N544,$B$6:$B$1005,"&lt;"&amp;$P544)+1)</f>
        <v/>
      </c>
      <c r="S544">
        <f>IF($N544="","",$N544&amp;"|"&amp;RIGHT("000000"&amp;$R544,6))</f>
        <v/>
      </c>
      <c r="T544">
        <f>IF($N544="","",IF(Sync!$N544="",0,Sync!$N544))</f>
        <v/>
      </c>
      <c r="U544">
        <f>IF($N544="","",IF(Sync!$O544="",0,Sync!$O544))</f>
        <v/>
      </c>
      <c r="V544">
        <f>IF($N544="","",Sync!$L544)</f>
        <v/>
      </c>
      <c r="W544">
        <f>IF($N544="","",Sync!$P544)</f>
        <v/>
      </c>
      <c r="AA544">
        <f>IF($A544="","",IF(COUNTIF($A$6:$A544,$A544)=1,1,0))</f>
        <v/>
      </c>
      <c r="AB544">
        <f>SUM($AA$6:$AA544)</f>
        <v/>
      </c>
      <c r="AC544">
        <f>IFERROR(INDEX($A$6:$A$1005,MATCH(ROW()-5,$AB$6:$AB$1005,0)),"")</f>
        <v/>
      </c>
    </row>
    <row r="545">
      <c r="A545">
        <f>IF(OR(Entry!$B548="",Entry!$E548="",$E545="نامعتبر"),"",Entry!$E548)</f>
        <v/>
      </c>
      <c r="B545">
        <f>IF($A545="","",LEFT($E545,4)&amp;MID($E545,6,2)&amp;RIGHT($E545,2)&amp;$F545&amp;"|"&amp;"1"&amp;RIGHT("00000"&amp;540,5))</f>
        <v/>
      </c>
      <c r="C545">
        <f>IF($B545="","",COUNTIFS($A$6:$A$1005,$A545,$B$6:$B$1005,"&lt;"&amp;$B545)+COUNTIFS($N$6:$N$2005,$A545,$P$6:$P$2005,"&lt;"&amp;$B545)+1)</f>
        <v/>
      </c>
      <c r="D545">
        <f>IF($C545="","",$A545&amp;"|"&amp;RIGHT("000000"&amp;$C545,6))</f>
        <v/>
      </c>
      <c r="E545">
        <f>IF(Entry!$B548="","",IF(ISNUMBER(Entry!$B548),IF(AND(Entry!$B548&gt;=10000101,Entry!$B548&lt;=99991231),INT(Entry!$B548/10000)&amp;"/"&amp;RIGHT("00"&amp;INT(MOD(Entry!$B548,10000)/100),2)&amp;"/"&amp;RIGHT("00"&amp;MOD(Entry!$B548,100),2),"نامعتبر"),IF(LEN(Entry!$B548)=10,Entry!$B548,"نامعتبر")))</f>
        <v/>
      </c>
      <c r="F545">
        <f>IF(Entry!$B548="","",IF(Entry!$C548="","0000",IF(AND(ISNUMBER(Entry!$C548),Entry!$C548&gt;=0,Entry!$C548&lt;1),RIGHT("00"&amp;HOUR(Entry!$C548),2)&amp;RIGHT("00"&amp;MINUTE(Entry!$C548),2),IFERROR(RIGHT("00"&amp;VALUE(LEFT(Entry!$C548,FIND(":",Entry!$C548)-1)),2)&amp;RIGHT("00"&amp;VALUE(MID(Entry!$C548,FIND(":",Entry!$C548)+1,2)),2),"0000"))))</f>
        <v/>
      </c>
      <c r="G545">
        <f>IF($A545="","",Entry!$G548)</f>
        <v/>
      </c>
      <c r="H545">
        <f>IF($A545="","",IF(Entry!$H548="",0,Entry!$H548))</f>
        <v/>
      </c>
      <c r="I545">
        <f>IF($A545="","",IF(Entry!$I548="",0,Entry!$I548))</f>
        <v/>
      </c>
      <c r="J545">
        <f>IF($A545="","",ROUND($H545*$I545,0))</f>
        <v/>
      </c>
      <c r="K545">
        <f>IF($A545="","",Entry!$D548)</f>
        <v/>
      </c>
      <c r="L545">
        <f>IF($A545="","",Entry!$L548)</f>
        <v/>
      </c>
      <c r="N545">
        <f>IF(OR(Sync!$M545="",$Q545="",$Q545="نامعتبر"),"",Sync!$M545)</f>
        <v/>
      </c>
      <c r="O545">
        <f>IF($N545="","",$Q545)</f>
        <v/>
      </c>
      <c r="P545">
        <f>IF($N545="","",LEFT($Q545,4)&amp;MID($Q545,6,2)&amp;RIGHT($Q545,2)&amp;IF(Sync!$K545="","0000",IF(AND(ISNUMBER(Sync!$K545),Sync!$K545&gt;=0,Sync!$K545&lt;1),RIGHT("00"&amp;HOUR(Sync!$K545),2)&amp;RIGHT("00"&amp;MINUTE(Sync!$K545),2),IFERROR(RIGHT("00"&amp;VALUE(LEFT(Sync!$K545,FIND(":",Sync!$K545)-1)),2)&amp;RIGHT("00"&amp;VALUE(MID(Sync!$K545,FIND(":",Sync!$K545)+1,2)),2),"0000")))&amp;"|"&amp;"2"&amp;RIGHT("00000"&amp;540,5))</f>
        <v/>
      </c>
      <c r="Q545">
        <f>IF(Sync!$J545="","",IF(ISNUMBER(Sync!$J545),IF(AND(Sync!$J545&gt;=10000101,Sync!$J545&lt;=99991231),INT(Sync!$J545/10000)&amp;"/"&amp;RIGHT("00"&amp;INT(MOD(Sync!$J545,10000)/100),2)&amp;"/"&amp;RIGHT("00"&amp;MOD(Sync!$J545,100),2),"نامعتبر"),IF(LEN(Sync!$J545)=10,Sync!$J545,"نامعتبر")))</f>
        <v/>
      </c>
      <c r="R545">
        <f>IF($P545="","",COUNTIFS($N$6:$N$2005,$N545,$P$6:$P$2005,"&lt;"&amp;$P545)+COUNTIFS($A$6:$A$1005,$N545,$B$6:$B$1005,"&lt;"&amp;$P545)+1)</f>
        <v/>
      </c>
      <c r="S545">
        <f>IF($N545="","",$N545&amp;"|"&amp;RIGHT("000000"&amp;$R545,6))</f>
        <v/>
      </c>
      <c r="T545">
        <f>IF($N545="","",IF(Sync!$N545="",0,Sync!$N545))</f>
        <v/>
      </c>
      <c r="U545">
        <f>IF($N545="","",IF(Sync!$O545="",0,Sync!$O545))</f>
        <v/>
      </c>
      <c r="V545">
        <f>IF($N545="","",Sync!$L545)</f>
        <v/>
      </c>
      <c r="W545">
        <f>IF($N545="","",Sync!$P545)</f>
        <v/>
      </c>
      <c r="AA545">
        <f>IF($A545="","",IF(COUNTIF($A$6:$A545,$A545)=1,1,0))</f>
        <v/>
      </c>
      <c r="AB545">
        <f>SUM($AA$6:$AA545)</f>
        <v/>
      </c>
      <c r="AC545">
        <f>IFERROR(INDEX($A$6:$A$1005,MATCH(ROW()-5,$AB$6:$AB$1005,0)),"")</f>
        <v/>
      </c>
    </row>
    <row r="546">
      <c r="A546">
        <f>IF(OR(Entry!$B549="",Entry!$E549="",$E546="نامعتبر"),"",Entry!$E549)</f>
        <v/>
      </c>
      <c r="B546">
        <f>IF($A546="","",LEFT($E546,4)&amp;MID($E546,6,2)&amp;RIGHT($E546,2)&amp;$F546&amp;"|"&amp;"1"&amp;RIGHT("00000"&amp;541,5))</f>
        <v/>
      </c>
      <c r="C546">
        <f>IF($B546="","",COUNTIFS($A$6:$A$1005,$A546,$B$6:$B$1005,"&lt;"&amp;$B546)+COUNTIFS($N$6:$N$2005,$A546,$P$6:$P$2005,"&lt;"&amp;$B546)+1)</f>
        <v/>
      </c>
      <c r="D546">
        <f>IF($C546="","",$A546&amp;"|"&amp;RIGHT("000000"&amp;$C546,6))</f>
        <v/>
      </c>
      <c r="E546">
        <f>IF(Entry!$B549="","",IF(ISNUMBER(Entry!$B549),IF(AND(Entry!$B549&gt;=10000101,Entry!$B549&lt;=99991231),INT(Entry!$B549/10000)&amp;"/"&amp;RIGHT("00"&amp;INT(MOD(Entry!$B549,10000)/100),2)&amp;"/"&amp;RIGHT("00"&amp;MOD(Entry!$B549,100),2),"نامعتبر"),IF(LEN(Entry!$B549)=10,Entry!$B549,"نامعتبر")))</f>
        <v/>
      </c>
      <c r="F546">
        <f>IF(Entry!$B549="","",IF(Entry!$C549="","0000",IF(AND(ISNUMBER(Entry!$C549),Entry!$C549&gt;=0,Entry!$C549&lt;1),RIGHT("00"&amp;HOUR(Entry!$C549),2)&amp;RIGHT("00"&amp;MINUTE(Entry!$C549),2),IFERROR(RIGHT("00"&amp;VALUE(LEFT(Entry!$C549,FIND(":",Entry!$C549)-1)),2)&amp;RIGHT("00"&amp;VALUE(MID(Entry!$C549,FIND(":",Entry!$C549)+1,2)),2),"0000"))))</f>
        <v/>
      </c>
      <c r="G546">
        <f>IF($A546="","",Entry!$G549)</f>
        <v/>
      </c>
      <c r="H546">
        <f>IF($A546="","",IF(Entry!$H549="",0,Entry!$H549))</f>
        <v/>
      </c>
      <c r="I546">
        <f>IF($A546="","",IF(Entry!$I549="",0,Entry!$I549))</f>
        <v/>
      </c>
      <c r="J546">
        <f>IF($A546="","",ROUND($H546*$I546,0))</f>
        <v/>
      </c>
      <c r="K546">
        <f>IF($A546="","",Entry!$D549)</f>
        <v/>
      </c>
      <c r="L546">
        <f>IF($A546="","",Entry!$L549)</f>
        <v/>
      </c>
      <c r="N546">
        <f>IF(OR(Sync!$M546="",$Q546="",$Q546="نامعتبر"),"",Sync!$M546)</f>
        <v/>
      </c>
      <c r="O546">
        <f>IF($N546="","",$Q546)</f>
        <v/>
      </c>
      <c r="P546">
        <f>IF($N546="","",LEFT($Q546,4)&amp;MID($Q546,6,2)&amp;RIGHT($Q546,2)&amp;IF(Sync!$K546="","0000",IF(AND(ISNUMBER(Sync!$K546),Sync!$K546&gt;=0,Sync!$K546&lt;1),RIGHT("00"&amp;HOUR(Sync!$K546),2)&amp;RIGHT("00"&amp;MINUTE(Sync!$K546),2),IFERROR(RIGHT("00"&amp;VALUE(LEFT(Sync!$K546,FIND(":",Sync!$K546)-1)),2)&amp;RIGHT("00"&amp;VALUE(MID(Sync!$K546,FIND(":",Sync!$K546)+1,2)),2),"0000")))&amp;"|"&amp;"2"&amp;RIGHT("00000"&amp;541,5))</f>
        <v/>
      </c>
      <c r="Q546">
        <f>IF(Sync!$J546="","",IF(ISNUMBER(Sync!$J546),IF(AND(Sync!$J546&gt;=10000101,Sync!$J546&lt;=99991231),INT(Sync!$J546/10000)&amp;"/"&amp;RIGHT("00"&amp;INT(MOD(Sync!$J546,10000)/100),2)&amp;"/"&amp;RIGHT("00"&amp;MOD(Sync!$J546,100),2),"نامعتبر"),IF(LEN(Sync!$J546)=10,Sync!$J546,"نامعتبر")))</f>
        <v/>
      </c>
      <c r="R546">
        <f>IF($P546="","",COUNTIFS($N$6:$N$2005,$N546,$P$6:$P$2005,"&lt;"&amp;$P546)+COUNTIFS($A$6:$A$1005,$N546,$B$6:$B$1005,"&lt;"&amp;$P546)+1)</f>
        <v/>
      </c>
      <c r="S546">
        <f>IF($N546="","",$N546&amp;"|"&amp;RIGHT("000000"&amp;$R546,6))</f>
        <v/>
      </c>
      <c r="T546">
        <f>IF($N546="","",IF(Sync!$N546="",0,Sync!$N546))</f>
        <v/>
      </c>
      <c r="U546">
        <f>IF($N546="","",IF(Sync!$O546="",0,Sync!$O546))</f>
        <v/>
      </c>
      <c r="V546">
        <f>IF($N546="","",Sync!$L546)</f>
        <v/>
      </c>
      <c r="W546">
        <f>IF($N546="","",Sync!$P546)</f>
        <v/>
      </c>
      <c r="AA546">
        <f>IF($A546="","",IF(COUNTIF($A$6:$A546,$A546)=1,1,0))</f>
        <v/>
      </c>
      <c r="AB546">
        <f>SUM($AA$6:$AA546)</f>
        <v/>
      </c>
      <c r="AC546">
        <f>IFERROR(INDEX($A$6:$A$1005,MATCH(ROW()-5,$AB$6:$AB$1005,0)),"")</f>
        <v/>
      </c>
    </row>
    <row r="547">
      <c r="A547">
        <f>IF(OR(Entry!$B550="",Entry!$E550="",$E547="نامعتبر"),"",Entry!$E550)</f>
        <v/>
      </c>
      <c r="B547">
        <f>IF($A547="","",LEFT($E547,4)&amp;MID($E547,6,2)&amp;RIGHT($E547,2)&amp;$F547&amp;"|"&amp;"1"&amp;RIGHT("00000"&amp;542,5))</f>
        <v/>
      </c>
      <c r="C547">
        <f>IF($B547="","",COUNTIFS($A$6:$A$1005,$A547,$B$6:$B$1005,"&lt;"&amp;$B547)+COUNTIFS($N$6:$N$2005,$A547,$P$6:$P$2005,"&lt;"&amp;$B547)+1)</f>
        <v/>
      </c>
      <c r="D547">
        <f>IF($C547="","",$A547&amp;"|"&amp;RIGHT("000000"&amp;$C547,6))</f>
        <v/>
      </c>
      <c r="E547">
        <f>IF(Entry!$B550="","",IF(ISNUMBER(Entry!$B550),IF(AND(Entry!$B550&gt;=10000101,Entry!$B550&lt;=99991231),INT(Entry!$B550/10000)&amp;"/"&amp;RIGHT("00"&amp;INT(MOD(Entry!$B550,10000)/100),2)&amp;"/"&amp;RIGHT("00"&amp;MOD(Entry!$B550,100),2),"نامعتبر"),IF(LEN(Entry!$B550)=10,Entry!$B550,"نامعتبر")))</f>
        <v/>
      </c>
      <c r="F547">
        <f>IF(Entry!$B550="","",IF(Entry!$C550="","0000",IF(AND(ISNUMBER(Entry!$C550),Entry!$C550&gt;=0,Entry!$C550&lt;1),RIGHT("00"&amp;HOUR(Entry!$C550),2)&amp;RIGHT("00"&amp;MINUTE(Entry!$C550),2),IFERROR(RIGHT("00"&amp;VALUE(LEFT(Entry!$C550,FIND(":",Entry!$C550)-1)),2)&amp;RIGHT("00"&amp;VALUE(MID(Entry!$C550,FIND(":",Entry!$C550)+1,2)),2),"0000"))))</f>
        <v/>
      </c>
      <c r="G547">
        <f>IF($A547="","",Entry!$G550)</f>
        <v/>
      </c>
      <c r="H547">
        <f>IF($A547="","",IF(Entry!$H550="",0,Entry!$H550))</f>
        <v/>
      </c>
      <c r="I547">
        <f>IF($A547="","",IF(Entry!$I550="",0,Entry!$I550))</f>
        <v/>
      </c>
      <c r="J547">
        <f>IF($A547="","",ROUND($H547*$I547,0))</f>
        <v/>
      </c>
      <c r="K547">
        <f>IF($A547="","",Entry!$D550)</f>
        <v/>
      </c>
      <c r="L547">
        <f>IF($A547="","",Entry!$L550)</f>
        <v/>
      </c>
      <c r="N547">
        <f>IF(OR(Sync!$M547="",$Q547="",$Q547="نامعتبر"),"",Sync!$M547)</f>
        <v/>
      </c>
      <c r="O547">
        <f>IF($N547="","",$Q547)</f>
        <v/>
      </c>
      <c r="P547">
        <f>IF($N547="","",LEFT($Q547,4)&amp;MID($Q547,6,2)&amp;RIGHT($Q547,2)&amp;IF(Sync!$K547="","0000",IF(AND(ISNUMBER(Sync!$K547),Sync!$K547&gt;=0,Sync!$K547&lt;1),RIGHT("00"&amp;HOUR(Sync!$K547),2)&amp;RIGHT("00"&amp;MINUTE(Sync!$K547),2),IFERROR(RIGHT("00"&amp;VALUE(LEFT(Sync!$K547,FIND(":",Sync!$K547)-1)),2)&amp;RIGHT("00"&amp;VALUE(MID(Sync!$K547,FIND(":",Sync!$K547)+1,2)),2),"0000")))&amp;"|"&amp;"2"&amp;RIGHT("00000"&amp;542,5))</f>
        <v/>
      </c>
      <c r="Q547">
        <f>IF(Sync!$J547="","",IF(ISNUMBER(Sync!$J547),IF(AND(Sync!$J547&gt;=10000101,Sync!$J547&lt;=99991231),INT(Sync!$J547/10000)&amp;"/"&amp;RIGHT("00"&amp;INT(MOD(Sync!$J547,10000)/100),2)&amp;"/"&amp;RIGHT("00"&amp;MOD(Sync!$J547,100),2),"نامعتبر"),IF(LEN(Sync!$J547)=10,Sync!$J547,"نامعتبر")))</f>
        <v/>
      </c>
      <c r="R547">
        <f>IF($P547="","",COUNTIFS($N$6:$N$2005,$N547,$P$6:$P$2005,"&lt;"&amp;$P547)+COUNTIFS($A$6:$A$1005,$N547,$B$6:$B$1005,"&lt;"&amp;$P547)+1)</f>
        <v/>
      </c>
      <c r="S547">
        <f>IF($N547="","",$N547&amp;"|"&amp;RIGHT("000000"&amp;$R547,6))</f>
        <v/>
      </c>
      <c r="T547">
        <f>IF($N547="","",IF(Sync!$N547="",0,Sync!$N547))</f>
        <v/>
      </c>
      <c r="U547">
        <f>IF($N547="","",IF(Sync!$O547="",0,Sync!$O547))</f>
        <v/>
      </c>
      <c r="V547">
        <f>IF($N547="","",Sync!$L547)</f>
        <v/>
      </c>
      <c r="W547">
        <f>IF($N547="","",Sync!$P547)</f>
        <v/>
      </c>
      <c r="AA547">
        <f>IF($A547="","",IF(COUNTIF($A$6:$A547,$A547)=1,1,0))</f>
        <v/>
      </c>
      <c r="AB547">
        <f>SUM($AA$6:$AA547)</f>
        <v/>
      </c>
      <c r="AC547">
        <f>IFERROR(INDEX($A$6:$A$1005,MATCH(ROW()-5,$AB$6:$AB$1005,0)),"")</f>
        <v/>
      </c>
    </row>
    <row r="548">
      <c r="A548">
        <f>IF(OR(Entry!$B551="",Entry!$E551="",$E548="نامعتبر"),"",Entry!$E551)</f>
        <v/>
      </c>
      <c r="B548">
        <f>IF($A548="","",LEFT($E548,4)&amp;MID($E548,6,2)&amp;RIGHT($E548,2)&amp;$F548&amp;"|"&amp;"1"&amp;RIGHT("00000"&amp;543,5))</f>
        <v/>
      </c>
      <c r="C548">
        <f>IF($B548="","",COUNTIFS($A$6:$A$1005,$A548,$B$6:$B$1005,"&lt;"&amp;$B548)+COUNTIFS($N$6:$N$2005,$A548,$P$6:$P$2005,"&lt;"&amp;$B548)+1)</f>
        <v/>
      </c>
      <c r="D548">
        <f>IF($C548="","",$A548&amp;"|"&amp;RIGHT("000000"&amp;$C548,6))</f>
        <v/>
      </c>
      <c r="E548">
        <f>IF(Entry!$B551="","",IF(ISNUMBER(Entry!$B551),IF(AND(Entry!$B551&gt;=10000101,Entry!$B551&lt;=99991231),INT(Entry!$B551/10000)&amp;"/"&amp;RIGHT("00"&amp;INT(MOD(Entry!$B551,10000)/100),2)&amp;"/"&amp;RIGHT("00"&amp;MOD(Entry!$B551,100),2),"نامعتبر"),IF(LEN(Entry!$B551)=10,Entry!$B551,"نامعتبر")))</f>
        <v/>
      </c>
      <c r="F548">
        <f>IF(Entry!$B551="","",IF(Entry!$C551="","0000",IF(AND(ISNUMBER(Entry!$C551),Entry!$C551&gt;=0,Entry!$C551&lt;1),RIGHT("00"&amp;HOUR(Entry!$C551),2)&amp;RIGHT("00"&amp;MINUTE(Entry!$C551),2),IFERROR(RIGHT("00"&amp;VALUE(LEFT(Entry!$C551,FIND(":",Entry!$C551)-1)),2)&amp;RIGHT("00"&amp;VALUE(MID(Entry!$C551,FIND(":",Entry!$C551)+1,2)),2),"0000"))))</f>
        <v/>
      </c>
      <c r="G548">
        <f>IF($A548="","",Entry!$G551)</f>
        <v/>
      </c>
      <c r="H548">
        <f>IF($A548="","",IF(Entry!$H551="",0,Entry!$H551))</f>
        <v/>
      </c>
      <c r="I548">
        <f>IF($A548="","",IF(Entry!$I551="",0,Entry!$I551))</f>
        <v/>
      </c>
      <c r="J548">
        <f>IF($A548="","",ROUND($H548*$I548,0))</f>
        <v/>
      </c>
      <c r="K548">
        <f>IF($A548="","",Entry!$D551)</f>
        <v/>
      </c>
      <c r="L548">
        <f>IF($A548="","",Entry!$L551)</f>
        <v/>
      </c>
      <c r="N548">
        <f>IF(OR(Sync!$M548="",$Q548="",$Q548="نامعتبر"),"",Sync!$M548)</f>
        <v/>
      </c>
      <c r="O548">
        <f>IF($N548="","",$Q548)</f>
        <v/>
      </c>
      <c r="P548">
        <f>IF($N548="","",LEFT($Q548,4)&amp;MID($Q548,6,2)&amp;RIGHT($Q548,2)&amp;IF(Sync!$K548="","0000",IF(AND(ISNUMBER(Sync!$K548),Sync!$K548&gt;=0,Sync!$K548&lt;1),RIGHT("00"&amp;HOUR(Sync!$K548),2)&amp;RIGHT("00"&amp;MINUTE(Sync!$K548),2),IFERROR(RIGHT("00"&amp;VALUE(LEFT(Sync!$K548,FIND(":",Sync!$K548)-1)),2)&amp;RIGHT("00"&amp;VALUE(MID(Sync!$K548,FIND(":",Sync!$K548)+1,2)),2),"0000")))&amp;"|"&amp;"2"&amp;RIGHT("00000"&amp;543,5))</f>
        <v/>
      </c>
      <c r="Q548">
        <f>IF(Sync!$J548="","",IF(ISNUMBER(Sync!$J548),IF(AND(Sync!$J548&gt;=10000101,Sync!$J548&lt;=99991231),INT(Sync!$J548/10000)&amp;"/"&amp;RIGHT("00"&amp;INT(MOD(Sync!$J548,10000)/100),2)&amp;"/"&amp;RIGHT("00"&amp;MOD(Sync!$J548,100),2),"نامعتبر"),IF(LEN(Sync!$J548)=10,Sync!$J548,"نامعتبر")))</f>
        <v/>
      </c>
      <c r="R548">
        <f>IF($P548="","",COUNTIFS($N$6:$N$2005,$N548,$P$6:$P$2005,"&lt;"&amp;$P548)+COUNTIFS($A$6:$A$1005,$N548,$B$6:$B$1005,"&lt;"&amp;$P548)+1)</f>
        <v/>
      </c>
      <c r="S548">
        <f>IF($N548="","",$N548&amp;"|"&amp;RIGHT("000000"&amp;$R548,6))</f>
        <v/>
      </c>
      <c r="T548">
        <f>IF($N548="","",IF(Sync!$N548="",0,Sync!$N548))</f>
        <v/>
      </c>
      <c r="U548">
        <f>IF($N548="","",IF(Sync!$O548="",0,Sync!$O548))</f>
        <v/>
      </c>
      <c r="V548">
        <f>IF($N548="","",Sync!$L548)</f>
        <v/>
      </c>
      <c r="W548">
        <f>IF($N548="","",Sync!$P548)</f>
        <v/>
      </c>
      <c r="AA548">
        <f>IF($A548="","",IF(COUNTIF($A$6:$A548,$A548)=1,1,0))</f>
        <v/>
      </c>
      <c r="AB548">
        <f>SUM($AA$6:$AA548)</f>
        <v/>
      </c>
      <c r="AC548">
        <f>IFERROR(INDEX($A$6:$A$1005,MATCH(ROW()-5,$AB$6:$AB$1005,0)),"")</f>
        <v/>
      </c>
    </row>
    <row r="549">
      <c r="A549">
        <f>IF(OR(Entry!$B552="",Entry!$E552="",$E549="نامعتبر"),"",Entry!$E552)</f>
        <v/>
      </c>
      <c r="B549">
        <f>IF($A549="","",LEFT($E549,4)&amp;MID($E549,6,2)&amp;RIGHT($E549,2)&amp;$F549&amp;"|"&amp;"1"&amp;RIGHT("00000"&amp;544,5))</f>
        <v/>
      </c>
      <c r="C549">
        <f>IF($B549="","",COUNTIFS($A$6:$A$1005,$A549,$B$6:$B$1005,"&lt;"&amp;$B549)+COUNTIFS($N$6:$N$2005,$A549,$P$6:$P$2005,"&lt;"&amp;$B549)+1)</f>
        <v/>
      </c>
      <c r="D549">
        <f>IF($C549="","",$A549&amp;"|"&amp;RIGHT("000000"&amp;$C549,6))</f>
        <v/>
      </c>
      <c r="E549">
        <f>IF(Entry!$B552="","",IF(ISNUMBER(Entry!$B552),IF(AND(Entry!$B552&gt;=10000101,Entry!$B552&lt;=99991231),INT(Entry!$B552/10000)&amp;"/"&amp;RIGHT("00"&amp;INT(MOD(Entry!$B552,10000)/100),2)&amp;"/"&amp;RIGHT("00"&amp;MOD(Entry!$B552,100),2),"نامعتبر"),IF(LEN(Entry!$B552)=10,Entry!$B552,"نامعتبر")))</f>
        <v/>
      </c>
      <c r="F549">
        <f>IF(Entry!$B552="","",IF(Entry!$C552="","0000",IF(AND(ISNUMBER(Entry!$C552),Entry!$C552&gt;=0,Entry!$C552&lt;1),RIGHT("00"&amp;HOUR(Entry!$C552),2)&amp;RIGHT("00"&amp;MINUTE(Entry!$C552),2),IFERROR(RIGHT("00"&amp;VALUE(LEFT(Entry!$C552,FIND(":",Entry!$C552)-1)),2)&amp;RIGHT("00"&amp;VALUE(MID(Entry!$C552,FIND(":",Entry!$C552)+1,2)),2),"0000"))))</f>
        <v/>
      </c>
      <c r="G549">
        <f>IF($A549="","",Entry!$G552)</f>
        <v/>
      </c>
      <c r="H549">
        <f>IF($A549="","",IF(Entry!$H552="",0,Entry!$H552))</f>
        <v/>
      </c>
      <c r="I549">
        <f>IF($A549="","",IF(Entry!$I552="",0,Entry!$I552))</f>
        <v/>
      </c>
      <c r="J549">
        <f>IF($A549="","",ROUND($H549*$I549,0))</f>
        <v/>
      </c>
      <c r="K549">
        <f>IF($A549="","",Entry!$D552)</f>
        <v/>
      </c>
      <c r="L549">
        <f>IF($A549="","",Entry!$L552)</f>
        <v/>
      </c>
      <c r="N549">
        <f>IF(OR(Sync!$M549="",$Q549="",$Q549="نامعتبر"),"",Sync!$M549)</f>
        <v/>
      </c>
      <c r="O549">
        <f>IF($N549="","",$Q549)</f>
        <v/>
      </c>
      <c r="P549">
        <f>IF($N549="","",LEFT($Q549,4)&amp;MID($Q549,6,2)&amp;RIGHT($Q549,2)&amp;IF(Sync!$K549="","0000",IF(AND(ISNUMBER(Sync!$K549),Sync!$K549&gt;=0,Sync!$K549&lt;1),RIGHT("00"&amp;HOUR(Sync!$K549),2)&amp;RIGHT("00"&amp;MINUTE(Sync!$K549),2),IFERROR(RIGHT("00"&amp;VALUE(LEFT(Sync!$K549,FIND(":",Sync!$K549)-1)),2)&amp;RIGHT("00"&amp;VALUE(MID(Sync!$K549,FIND(":",Sync!$K549)+1,2)),2),"0000")))&amp;"|"&amp;"2"&amp;RIGHT("00000"&amp;544,5))</f>
        <v/>
      </c>
      <c r="Q549">
        <f>IF(Sync!$J549="","",IF(ISNUMBER(Sync!$J549),IF(AND(Sync!$J549&gt;=10000101,Sync!$J549&lt;=99991231),INT(Sync!$J549/10000)&amp;"/"&amp;RIGHT("00"&amp;INT(MOD(Sync!$J549,10000)/100),2)&amp;"/"&amp;RIGHT("00"&amp;MOD(Sync!$J549,100),2),"نامعتبر"),IF(LEN(Sync!$J549)=10,Sync!$J549,"نامعتبر")))</f>
        <v/>
      </c>
      <c r="R549">
        <f>IF($P549="","",COUNTIFS($N$6:$N$2005,$N549,$P$6:$P$2005,"&lt;"&amp;$P549)+COUNTIFS($A$6:$A$1005,$N549,$B$6:$B$1005,"&lt;"&amp;$P549)+1)</f>
        <v/>
      </c>
      <c r="S549">
        <f>IF($N549="","",$N549&amp;"|"&amp;RIGHT("000000"&amp;$R549,6))</f>
        <v/>
      </c>
      <c r="T549">
        <f>IF($N549="","",IF(Sync!$N549="",0,Sync!$N549))</f>
        <v/>
      </c>
      <c r="U549">
        <f>IF($N549="","",IF(Sync!$O549="",0,Sync!$O549))</f>
        <v/>
      </c>
      <c r="V549">
        <f>IF($N549="","",Sync!$L549)</f>
        <v/>
      </c>
      <c r="W549">
        <f>IF($N549="","",Sync!$P549)</f>
        <v/>
      </c>
      <c r="AA549">
        <f>IF($A549="","",IF(COUNTIF($A$6:$A549,$A549)=1,1,0))</f>
        <v/>
      </c>
      <c r="AB549">
        <f>SUM($AA$6:$AA549)</f>
        <v/>
      </c>
      <c r="AC549">
        <f>IFERROR(INDEX($A$6:$A$1005,MATCH(ROW()-5,$AB$6:$AB$1005,0)),"")</f>
        <v/>
      </c>
    </row>
    <row r="550">
      <c r="A550">
        <f>IF(OR(Entry!$B553="",Entry!$E553="",$E550="نامعتبر"),"",Entry!$E553)</f>
        <v/>
      </c>
      <c r="B550">
        <f>IF($A550="","",LEFT($E550,4)&amp;MID($E550,6,2)&amp;RIGHT($E550,2)&amp;$F550&amp;"|"&amp;"1"&amp;RIGHT("00000"&amp;545,5))</f>
        <v/>
      </c>
      <c r="C550">
        <f>IF($B550="","",COUNTIFS($A$6:$A$1005,$A550,$B$6:$B$1005,"&lt;"&amp;$B550)+COUNTIFS($N$6:$N$2005,$A550,$P$6:$P$2005,"&lt;"&amp;$B550)+1)</f>
        <v/>
      </c>
      <c r="D550">
        <f>IF($C550="","",$A550&amp;"|"&amp;RIGHT("000000"&amp;$C550,6))</f>
        <v/>
      </c>
      <c r="E550">
        <f>IF(Entry!$B553="","",IF(ISNUMBER(Entry!$B553),IF(AND(Entry!$B553&gt;=10000101,Entry!$B553&lt;=99991231),INT(Entry!$B553/10000)&amp;"/"&amp;RIGHT("00"&amp;INT(MOD(Entry!$B553,10000)/100),2)&amp;"/"&amp;RIGHT("00"&amp;MOD(Entry!$B553,100),2),"نامعتبر"),IF(LEN(Entry!$B553)=10,Entry!$B553,"نامعتبر")))</f>
        <v/>
      </c>
      <c r="F550">
        <f>IF(Entry!$B553="","",IF(Entry!$C553="","0000",IF(AND(ISNUMBER(Entry!$C553),Entry!$C553&gt;=0,Entry!$C553&lt;1),RIGHT("00"&amp;HOUR(Entry!$C553),2)&amp;RIGHT("00"&amp;MINUTE(Entry!$C553),2),IFERROR(RIGHT("00"&amp;VALUE(LEFT(Entry!$C553,FIND(":",Entry!$C553)-1)),2)&amp;RIGHT("00"&amp;VALUE(MID(Entry!$C553,FIND(":",Entry!$C553)+1,2)),2),"0000"))))</f>
        <v/>
      </c>
      <c r="G550">
        <f>IF($A550="","",Entry!$G553)</f>
        <v/>
      </c>
      <c r="H550">
        <f>IF($A550="","",IF(Entry!$H553="",0,Entry!$H553))</f>
        <v/>
      </c>
      <c r="I550">
        <f>IF($A550="","",IF(Entry!$I553="",0,Entry!$I553))</f>
        <v/>
      </c>
      <c r="J550">
        <f>IF($A550="","",ROUND($H550*$I550,0))</f>
        <v/>
      </c>
      <c r="K550">
        <f>IF($A550="","",Entry!$D553)</f>
        <v/>
      </c>
      <c r="L550">
        <f>IF($A550="","",Entry!$L553)</f>
        <v/>
      </c>
      <c r="N550">
        <f>IF(OR(Sync!$M550="",$Q550="",$Q550="نامعتبر"),"",Sync!$M550)</f>
        <v/>
      </c>
      <c r="O550">
        <f>IF($N550="","",$Q550)</f>
        <v/>
      </c>
      <c r="P550">
        <f>IF($N550="","",LEFT($Q550,4)&amp;MID($Q550,6,2)&amp;RIGHT($Q550,2)&amp;IF(Sync!$K550="","0000",IF(AND(ISNUMBER(Sync!$K550),Sync!$K550&gt;=0,Sync!$K550&lt;1),RIGHT("00"&amp;HOUR(Sync!$K550),2)&amp;RIGHT("00"&amp;MINUTE(Sync!$K550),2),IFERROR(RIGHT("00"&amp;VALUE(LEFT(Sync!$K550,FIND(":",Sync!$K550)-1)),2)&amp;RIGHT("00"&amp;VALUE(MID(Sync!$K550,FIND(":",Sync!$K550)+1,2)),2),"0000")))&amp;"|"&amp;"2"&amp;RIGHT("00000"&amp;545,5))</f>
        <v/>
      </c>
      <c r="Q550">
        <f>IF(Sync!$J550="","",IF(ISNUMBER(Sync!$J550),IF(AND(Sync!$J550&gt;=10000101,Sync!$J550&lt;=99991231),INT(Sync!$J550/10000)&amp;"/"&amp;RIGHT("00"&amp;INT(MOD(Sync!$J550,10000)/100),2)&amp;"/"&amp;RIGHT("00"&amp;MOD(Sync!$J550,100),2),"نامعتبر"),IF(LEN(Sync!$J550)=10,Sync!$J550,"نامعتبر")))</f>
        <v/>
      </c>
      <c r="R550">
        <f>IF($P550="","",COUNTIFS($N$6:$N$2005,$N550,$P$6:$P$2005,"&lt;"&amp;$P550)+COUNTIFS($A$6:$A$1005,$N550,$B$6:$B$1005,"&lt;"&amp;$P550)+1)</f>
        <v/>
      </c>
      <c r="S550">
        <f>IF($N550="","",$N550&amp;"|"&amp;RIGHT("000000"&amp;$R550,6))</f>
        <v/>
      </c>
      <c r="T550">
        <f>IF($N550="","",IF(Sync!$N550="",0,Sync!$N550))</f>
        <v/>
      </c>
      <c r="U550">
        <f>IF($N550="","",IF(Sync!$O550="",0,Sync!$O550))</f>
        <v/>
      </c>
      <c r="V550">
        <f>IF($N550="","",Sync!$L550)</f>
        <v/>
      </c>
      <c r="W550">
        <f>IF($N550="","",Sync!$P550)</f>
        <v/>
      </c>
      <c r="AA550">
        <f>IF($A550="","",IF(COUNTIF($A$6:$A550,$A550)=1,1,0))</f>
        <v/>
      </c>
      <c r="AB550">
        <f>SUM($AA$6:$AA550)</f>
        <v/>
      </c>
      <c r="AC550">
        <f>IFERROR(INDEX($A$6:$A$1005,MATCH(ROW()-5,$AB$6:$AB$1005,0)),"")</f>
        <v/>
      </c>
    </row>
    <row r="551">
      <c r="A551">
        <f>IF(OR(Entry!$B554="",Entry!$E554="",$E551="نامعتبر"),"",Entry!$E554)</f>
        <v/>
      </c>
      <c r="B551">
        <f>IF($A551="","",LEFT($E551,4)&amp;MID($E551,6,2)&amp;RIGHT($E551,2)&amp;$F551&amp;"|"&amp;"1"&amp;RIGHT("00000"&amp;546,5))</f>
        <v/>
      </c>
      <c r="C551">
        <f>IF($B551="","",COUNTIFS($A$6:$A$1005,$A551,$B$6:$B$1005,"&lt;"&amp;$B551)+COUNTIFS($N$6:$N$2005,$A551,$P$6:$P$2005,"&lt;"&amp;$B551)+1)</f>
        <v/>
      </c>
      <c r="D551">
        <f>IF($C551="","",$A551&amp;"|"&amp;RIGHT("000000"&amp;$C551,6))</f>
        <v/>
      </c>
      <c r="E551">
        <f>IF(Entry!$B554="","",IF(ISNUMBER(Entry!$B554),IF(AND(Entry!$B554&gt;=10000101,Entry!$B554&lt;=99991231),INT(Entry!$B554/10000)&amp;"/"&amp;RIGHT("00"&amp;INT(MOD(Entry!$B554,10000)/100),2)&amp;"/"&amp;RIGHT("00"&amp;MOD(Entry!$B554,100),2),"نامعتبر"),IF(LEN(Entry!$B554)=10,Entry!$B554,"نامعتبر")))</f>
        <v/>
      </c>
      <c r="F551">
        <f>IF(Entry!$B554="","",IF(Entry!$C554="","0000",IF(AND(ISNUMBER(Entry!$C554),Entry!$C554&gt;=0,Entry!$C554&lt;1),RIGHT("00"&amp;HOUR(Entry!$C554),2)&amp;RIGHT("00"&amp;MINUTE(Entry!$C554),2),IFERROR(RIGHT("00"&amp;VALUE(LEFT(Entry!$C554,FIND(":",Entry!$C554)-1)),2)&amp;RIGHT("00"&amp;VALUE(MID(Entry!$C554,FIND(":",Entry!$C554)+1,2)),2),"0000"))))</f>
        <v/>
      </c>
      <c r="G551">
        <f>IF($A551="","",Entry!$G554)</f>
        <v/>
      </c>
      <c r="H551">
        <f>IF($A551="","",IF(Entry!$H554="",0,Entry!$H554))</f>
        <v/>
      </c>
      <c r="I551">
        <f>IF($A551="","",IF(Entry!$I554="",0,Entry!$I554))</f>
        <v/>
      </c>
      <c r="J551">
        <f>IF($A551="","",ROUND($H551*$I551,0))</f>
        <v/>
      </c>
      <c r="K551">
        <f>IF($A551="","",Entry!$D554)</f>
        <v/>
      </c>
      <c r="L551">
        <f>IF($A551="","",Entry!$L554)</f>
        <v/>
      </c>
      <c r="N551">
        <f>IF(OR(Sync!$M551="",$Q551="",$Q551="نامعتبر"),"",Sync!$M551)</f>
        <v/>
      </c>
      <c r="O551">
        <f>IF($N551="","",$Q551)</f>
        <v/>
      </c>
      <c r="P551">
        <f>IF($N551="","",LEFT($Q551,4)&amp;MID($Q551,6,2)&amp;RIGHT($Q551,2)&amp;IF(Sync!$K551="","0000",IF(AND(ISNUMBER(Sync!$K551),Sync!$K551&gt;=0,Sync!$K551&lt;1),RIGHT("00"&amp;HOUR(Sync!$K551),2)&amp;RIGHT("00"&amp;MINUTE(Sync!$K551),2),IFERROR(RIGHT("00"&amp;VALUE(LEFT(Sync!$K551,FIND(":",Sync!$K551)-1)),2)&amp;RIGHT("00"&amp;VALUE(MID(Sync!$K551,FIND(":",Sync!$K551)+1,2)),2),"0000")))&amp;"|"&amp;"2"&amp;RIGHT("00000"&amp;546,5))</f>
        <v/>
      </c>
      <c r="Q551">
        <f>IF(Sync!$J551="","",IF(ISNUMBER(Sync!$J551),IF(AND(Sync!$J551&gt;=10000101,Sync!$J551&lt;=99991231),INT(Sync!$J551/10000)&amp;"/"&amp;RIGHT("00"&amp;INT(MOD(Sync!$J551,10000)/100),2)&amp;"/"&amp;RIGHT("00"&amp;MOD(Sync!$J551,100),2),"نامعتبر"),IF(LEN(Sync!$J551)=10,Sync!$J551,"نامعتبر")))</f>
        <v/>
      </c>
      <c r="R551">
        <f>IF($P551="","",COUNTIFS($N$6:$N$2005,$N551,$P$6:$P$2005,"&lt;"&amp;$P551)+COUNTIFS($A$6:$A$1005,$N551,$B$6:$B$1005,"&lt;"&amp;$P551)+1)</f>
        <v/>
      </c>
      <c r="S551">
        <f>IF($N551="","",$N551&amp;"|"&amp;RIGHT("000000"&amp;$R551,6))</f>
        <v/>
      </c>
      <c r="T551">
        <f>IF($N551="","",IF(Sync!$N551="",0,Sync!$N551))</f>
        <v/>
      </c>
      <c r="U551">
        <f>IF($N551="","",IF(Sync!$O551="",0,Sync!$O551))</f>
        <v/>
      </c>
      <c r="V551">
        <f>IF($N551="","",Sync!$L551)</f>
        <v/>
      </c>
      <c r="W551">
        <f>IF($N551="","",Sync!$P551)</f>
        <v/>
      </c>
      <c r="AA551">
        <f>IF($A551="","",IF(COUNTIF($A$6:$A551,$A551)=1,1,0))</f>
        <v/>
      </c>
      <c r="AB551">
        <f>SUM($AA$6:$AA551)</f>
        <v/>
      </c>
      <c r="AC551">
        <f>IFERROR(INDEX($A$6:$A$1005,MATCH(ROW()-5,$AB$6:$AB$1005,0)),"")</f>
        <v/>
      </c>
    </row>
    <row r="552">
      <c r="A552">
        <f>IF(OR(Entry!$B555="",Entry!$E555="",$E552="نامعتبر"),"",Entry!$E555)</f>
        <v/>
      </c>
      <c r="B552">
        <f>IF($A552="","",LEFT($E552,4)&amp;MID($E552,6,2)&amp;RIGHT($E552,2)&amp;$F552&amp;"|"&amp;"1"&amp;RIGHT("00000"&amp;547,5))</f>
        <v/>
      </c>
      <c r="C552">
        <f>IF($B552="","",COUNTIFS($A$6:$A$1005,$A552,$B$6:$B$1005,"&lt;"&amp;$B552)+COUNTIFS($N$6:$N$2005,$A552,$P$6:$P$2005,"&lt;"&amp;$B552)+1)</f>
        <v/>
      </c>
      <c r="D552">
        <f>IF($C552="","",$A552&amp;"|"&amp;RIGHT("000000"&amp;$C552,6))</f>
        <v/>
      </c>
      <c r="E552">
        <f>IF(Entry!$B555="","",IF(ISNUMBER(Entry!$B555),IF(AND(Entry!$B555&gt;=10000101,Entry!$B555&lt;=99991231),INT(Entry!$B555/10000)&amp;"/"&amp;RIGHT("00"&amp;INT(MOD(Entry!$B555,10000)/100),2)&amp;"/"&amp;RIGHT("00"&amp;MOD(Entry!$B555,100),2),"نامعتبر"),IF(LEN(Entry!$B555)=10,Entry!$B555,"نامعتبر")))</f>
        <v/>
      </c>
      <c r="F552">
        <f>IF(Entry!$B555="","",IF(Entry!$C555="","0000",IF(AND(ISNUMBER(Entry!$C555),Entry!$C555&gt;=0,Entry!$C555&lt;1),RIGHT("00"&amp;HOUR(Entry!$C555),2)&amp;RIGHT("00"&amp;MINUTE(Entry!$C555),2),IFERROR(RIGHT("00"&amp;VALUE(LEFT(Entry!$C555,FIND(":",Entry!$C555)-1)),2)&amp;RIGHT("00"&amp;VALUE(MID(Entry!$C555,FIND(":",Entry!$C555)+1,2)),2),"0000"))))</f>
        <v/>
      </c>
      <c r="G552">
        <f>IF($A552="","",Entry!$G555)</f>
        <v/>
      </c>
      <c r="H552">
        <f>IF($A552="","",IF(Entry!$H555="",0,Entry!$H555))</f>
        <v/>
      </c>
      <c r="I552">
        <f>IF($A552="","",IF(Entry!$I555="",0,Entry!$I555))</f>
        <v/>
      </c>
      <c r="J552">
        <f>IF($A552="","",ROUND($H552*$I552,0))</f>
        <v/>
      </c>
      <c r="K552">
        <f>IF($A552="","",Entry!$D555)</f>
        <v/>
      </c>
      <c r="L552">
        <f>IF($A552="","",Entry!$L555)</f>
        <v/>
      </c>
      <c r="N552">
        <f>IF(OR(Sync!$M552="",$Q552="",$Q552="نامعتبر"),"",Sync!$M552)</f>
        <v/>
      </c>
      <c r="O552">
        <f>IF($N552="","",$Q552)</f>
        <v/>
      </c>
      <c r="P552">
        <f>IF($N552="","",LEFT($Q552,4)&amp;MID($Q552,6,2)&amp;RIGHT($Q552,2)&amp;IF(Sync!$K552="","0000",IF(AND(ISNUMBER(Sync!$K552),Sync!$K552&gt;=0,Sync!$K552&lt;1),RIGHT("00"&amp;HOUR(Sync!$K552),2)&amp;RIGHT("00"&amp;MINUTE(Sync!$K552),2),IFERROR(RIGHT("00"&amp;VALUE(LEFT(Sync!$K552,FIND(":",Sync!$K552)-1)),2)&amp;RIGHT("00"&amp;VALUE(MID(Sync!$K552,FIND(":",Sync!$K552)+1,2)),2),"0000")))&amp;"|"&amp;"2"&amp;RIGHT("00000"&amp;547,5))</f>
        <v/>
      </c>
      <c r="Q552">
        <f>IF(Sync!$J552="","",IF(ISNUMBER(Sync!$J552),IF(AND(Sync!$J552&gt;=10000101,Sync!$J552&lt;=99991231),INT(Sync!$J552/10000)&amp;"/"&amp;RIGHT("00"&amp;INT(MOD(Sync!$J552,10000)/100),2)&amp;"/"&amp;RIGHT("00"&amp;MOD(Sync!$J552,100),2),"نامعتبر"),IF(LEN(Sync!$J552)=10,Sync!$J552,"نامعتبر")))</f>
        <v/>
      </c>
      <c r="R552">
        <f>IF($P552="","",COUNTIFS($N$6:$N$2005,$N552,$P$6:$P$2005,"&lt;"&amp;$P552)+COUNTIFS($A$6:$A$1005,$N552,$B$6:$B$1005,"&lt;"&amp;$P552)+1)</f>
        <v/>
      </c>
      <c r="S552">
        <f>IF($N552="","",$N552&amp;"|"&amp;RIGHT("000000"&amp;$R552,6))</f>
        <v/>
      </c>
      <c r="T552">
        <f>IF($N552="","",IF(Sync!$N552="",0,Sync!$N552))</f>
        <v/>
      </c>
      <c r="U552">
        <f>IF($N552="","",IF(Sync!$O552="",0,Sync!$O552))</f>
        <v/>
      </c>
      <c r="V552">
        <f>IF($N552="","",Sync!$L552)</f>
        <v/>
      </c>
      <c r="W552">
        <f>IF($N552="","",Sync!$P552)</f>
        <v/>
      </c>
      <c r="AA552">
        <f>IF($A552="","",IF(COUNTIF($A$6:$A552,$A552)=1,1,0))</f>
        <v/>
      </c>
      <c r="AB552">
        <f>SUM($AA$6:$AA552)</f>
        <v/>
      </c>
      <c r="AC552">
        <f>IFERROR(INDEX($A$6:$A$1005,MATCH(ROW()-5,$AB$6:$AB$1005,0)),"")</f>
        <v/>
      </c>
    </row>
    <row r="553">
      <c r="A553">
        <f>IF(OR(Entry!$B556="",Entry!$E556="",$E553="نامعتبر"),"",Entry!$E556)</f>
        <v/>
      </c>
      <c r="B553">
        <f>IF($A553="","",LEFT($E553,4)&amp;MID($E553,6,2)&amp;RIGHT($E553,2)&amp;$F553&amp;"|"&amp;"1"&amp;RIGHT("00000"&amp;548,5))</f>
        <v/>
      </c>
      <c r="C553">
        <f>IF($B553="","",COUNTIFS($A$6:$A$1005,$A553,$B$6:$B$1005,"&lt;"&amp;$B553)+COUNTIFS($N$6:$N$2005,$A553,$P$6:$P$2005,"&lt;"&amp;$B553)+1)</f>
        <v/>
      </c>
      <c r="D553">
        <f>IF($C553="","",$A553&amp;"|"&amp;RIGHT("000000"&amp;$C553,6))</f>
        <v/>
      </c>
      <c r="E553">
        <f>IF(Entry!$B556="","",IF(ISNUMBER(Entry!$B556),IF(AND(Entry!$B556&gt;=10000101,Entry!$B556&lt;=99991231),INT(Entry!$B556/10000)&amp;"/"&amp;RIGHT("00"&amp;INT(MOD(Entry!$B556,10000)/100),2)&amp;"/"&amp;RIGHT("00"&amp;MOD(Entry!$B556,100),2),"نامعتبر"),IF(LEN(Entry!$B556)=10,Entry!$B556,"نامعتبر")))</f>
        <v/>
      </c>
      <c r="F553">
        <f>IF(Entry!$B556="","",IF(Entry!$C556="","0000",IF(AND(ISNUMBER(Entry!$C556),Entry!$C556&gt;=0,Entry!$C556&lt;1),RIGHT("00"&amp;HOUR(Entry!$C556),2)&amp;RIGHT("00"&amp;MINUTE(Entry!$C556),2),IFERROR(RIGHT("00"&amp;VALUE(LEFT(Entry!$C556,FIND(":",Entry!$C556)-1)),2)&amp;RIGHT("00"&amp;VALUE(MID(Entry!$C556,FIND(":",Entry!$C556)+1,2)),2),"0000"))))</f>
        <v/>
      </c>
      <c r="G553">
        <f>IF($A553="","",Entry!$G556)</f>
        <v/>
      </c>
      <c r="H553">
        <f>IF($A553="","",IF(Entry!$H556="",0,Entry!$H556))</f>
        <v/>
      </c>
      <c r="I553">
        <f>IF($A553="","",IF(Entry!$I556="",0,Entry!$I556))</f>
        <v/>
      </c>
      <c r="J553">
        <f>IF($A553="","",ROUND($H553*$I553,0))</f>
        <v/>
      </c>
      <c r="K553">
        <f>IF($A553="","",Entry!$D556)</f>
        <v/>
      </c>
      <c r="L553">
        <f>IF($A553="","",Entry!$L556)</f>
        <v/>
      </c>
      <c r="N553">
        <f>IF(OR(Sync!$M553="",$Q553="",$Q553="نامعتبر"),"",Sync!$M553)</f>
        <v/>
      </c>
      <c r="O553">
        <f>IF($N553="","",$Q553)</f>
        <v/>
      </c>
      <c r="P553">
        <f>IF($N553="","",LEFT($Q553,4)&amp;MID($Q553,6,2)&amp;RIGHT($Q553,2)&amp;IF(Sync!$K553="","0000",IF(AND(ISNUMBER(Sync!$K553),Sync!$K553&gt;=0,Sync!$K553&lt;1),RIGHT("00"&amp;HOUR(Sync!$K553),2)&amp;RIGHT("00"&amp;MINUTE(Sync!$K553),2),IFERROR(RIGHT("00"&amp;VALUE(LEFT(Sync!$K553,FIND(":",Sync!$K553)-1)),2)&amp;RIGHT("00"&amp;VALUE(MID(Sync!$K553,FIND(":",Sync!$K553)+1,2)),2),"0000")))&amp;"|"&amp;"2"&amp;RIGHT("00000"&amp;548,5))</f>
        <v/>
      </c>
      <c r="Q553">
        <f>IF(Sync!$J553="","",IF(ISNUMBER(Sync!$J553),IF(AND(Sync!$J553&gt;=10000101,Sync!$J553&lt;=99991231),INT(Sync!$J553/10000)&amp;"/"&amp;RIGHT("00"&amp;INT(MOD(Sync!$J553,10000)/100),2)&amp;"/"&amp;RIGHT("00"&amp;MOD(Sync!$J553,100),2),"نامعتبر"),IF(LEN(Sync!$J553)=10,Sync!$J553,"نامعتبر")))</f>
        <v/>
      </c>
      <c r="R553">
        <f>IF($P553="","",COUNTIFS($N$6:$N$2005,$N553,$P$6:$P$2005,"&lt;"&amp;$P553)+COUNTIFS($A$6:$A$1005,$N553,$B$6:$B$1005,"&lt;"&amp;$P553)+1)</f>
        <v/>
      </c>
      <c r="S553">
        <f>IF($N553="","",$N553&amp;"|"&amp;RIGHT("000000"&amp;$R553,6))</f>
        <v/>
      </c>
      <c r="T553">
        <f>IF($N553="","",IF(Sync!$N553="",0,Sync!$N553))</f>
        <v/>
      </c>
      <c r="U553">
        <f>IF($N553="","",IF(Sync!$O553="",0,Sync!$O553))</f>
        <v/>
      </c>
      <c r="V553">
        <f>IF($N553="","",Sync!$L553)</f>
        <v/>
      </c>
      <c r="W553">
        <f>IF($N553="","",Sync!$P553)</f>
        <v/>
      </c>
      <c r="AA553">
        <f>IF($A553="","",IF(COUNTIF($A$6:$A553,$A553)=1,1,0))</f>
        <v/>
      </c>
      <c r="AB553">
        <f>SUM($AA$6:$AA553)</f>
        <v/>
      </c>
      <c r="AC553">
        <f>IFERROR(INDEX($A$6:$A$1005,MATCH(ROW()-5,$AB$6:$AB$1005,0)),"")</f>
        <v/>
      </c>
    </row>
    <row r="554">
      <c r="A554">
        <f>IF(OR(Entry!$B557="",Entry!$E557="",$E554="نامعتبر"),"",Entry!$E557)</f>
        <v/>
      </c>
      <c r="B554">
        <f>IF($A554="","",LEFT($E554,4)&amp;MID($E554,6,2)&amp;RIGHT($E554,2)&amp;$F554&amp;"|"&amp;"1"&amp;RIGHT("00000"&amp;549,5))</f>
        <v/>
      </c>
      <c r="C554">
        <f>IF($B554="","",COUNTIFS($A$6:$A$1005,$A554,$B$6:$B$1005,"&lt;"&amp;$B554)+COUNTIFS($N$6:$N$2005,$A554,$P$6:$P$2005,"&lt;"&amp;$B554)+1)</f>
        <v/>
      </c>
      <c r="D554">
        <f>IF($C554="","",$A554&amp;"|"&amp;RIGHT("000000"&amp;$C554,6))</f>
        <v/>
      </c>
      <c r="E554">
        <f>IF(Entry!$B557="","",IF(ISNUMBER(Entry!$B557),IF(AND(Entry!$B557&gt;=10000101,Entry!$B557&lt;=99991231),INT(Entry!$B557/10000)&amp;"/"&amp;RIGHT("00"&amp;INT(MOD(Entry!$B557,10000)/100),2)&amp;"/"&amp;RIGHT("00"&amp;MOD(Entry!$B557,100),2),"نامعتبر"),IF(LEN(Entry!$B557)=10,Entry!$B557,"نامعتبر")))</f>
        <v/>
      </c>
      <c r="F554">
        <f>IF(Entry!$B557="","",IF(Entry!$C557="","0000",IF(AND(ISNUMBER(Entry!$C557),Entry!$C557&gt;=0,Entry!$C557&lt;1),RIGHT("00"&amp;HOUR(Entry!$C557),2)&amp;RIGHT("00"&amp;MINUTE(Entry!$C557),2),IFERROR(RIGHT("00"&amp;VALUE(LEFT(Entry!$C557,FIND(":",Entry!$C557)-1)),2)&amp;RIGHT("00"&amp;VALUE(MID(Entry!$C557,FIND(":",Entry!$C557)+1,2)),2),"0000"))))</f>
        <v/>
      </c>
      <c r="G554">
        <f>IF($A554="","",Entry!$G557)</f>
        <v/>
      </c>
      <c r="H554">
        <f>IF($A554="","",IF(Entry!$H557="",0,Entry!$H557))</f>
        <v/>
      </c>
      <c r="I554">
        <f>IF($A554="","",IF(Entry!$I557="",0,Entry!$I557))</f>
        <v/>
      </c>
      <c r="J554">
        <f>IF($A554="","",ROUND($H554*$I554,0))</f>
        <v/>
      </c>
      <c r="K554">
        <f>IF($A554="","",Entry!$D557)</f>
        <v/>
      </c>
      <c r="L554">
        <f>IF($A554="","",Entry!$L557)</f>
        <v/>
      </c>
      <c r="N554">
        <f>IF(OR(Sync!$M554="",$Q554="",$Q554="نامعتبر"),"",Sync!$M554)</f>
        <v/>
      </c>
      <c r="O554">
        <f>IF($N554="","",$Q554)</f>
        <v/>
      </c>
      <c r="P554">
        <f>IF($N554="","",LEFT($Q554,4)&amp;MID($Q554,6,2)&amp;RIGHT($Q554,2)&amp;IF(Sync!$K554="","0000",IF(AND(ISNUMBER(Sync!$K554),Sync!$K554&gt;=0,Sync!$K554&lt;1),RIGHT("00"&amp;HOUR(Sync!$K554),2)&amp;RIGHT("00"&amp;MINUTE(Sync!$K554),2),IFERROR(RIGHT("00"&amp;VALUE(LEFT(Sync!$K554,FIND(":",Sync!$K554)-1)),2)&amp;RIGHT("00"&amp;VALUE(MID(Sync!$K554,FIND(":",Sync!$K554)+1,2)),2),"0000")))&amp;"|"&amp;"2"&amp;RIGHT("00000"&amp;549,5))</f>
        <v/>
      </c>
      <c r="Q554">
        <f>IF(Sync!$J554="","",IF(ISNUMBER(Sync!$J554),IF(AND(Sync!$J554&gt;=10000101,Sync!$J554&lt;=99991231),INT(Sync!$J554/10000)&amp;"/"&amp;RIGHT("00"&amp;INT(MOD(Sync!$J554,10000)/100),2)&amp;"/"&amp;RIGHT("00"&amp;MOD(Sync!$J554,100),2),"نامعتبر"),IF(LEN(Sync!$J554)=10,Sync!$J554,"نامعتبر")))</f>
        <v/>
      </c>
      <c r="R554">
        <f>IF($P554="","",COUNTIFS($N$6:$N$2005,$N554,$P$6:$P$2005,"&lt;"&amp;$P554)+COUNTIFS($A$6:$A$1005,$N554,$B$6:$B$1005,"&lt;"&amp;$P554)+1)</f>
        <v/>
      </c>
      <c r="S554">
        <f>IF($N554="","",$N554&amp;"|"&amp;RIGHT("000000"&amp;$R554,6))</f>
        <v/>
      </c>
      <c r="T554">
        <f>IF($N554="","",IF(Sync!$N554="",0,Sync!$N554))</f>
        <v/>
      </c>
      <c r="U554">
        <f>IF($N554="","",IF(Sync!$O554="",0,Sync!$O554))</f>
        <v/>
      </c>
      <c r="V554">
        <f>IF($N554="","",Sync!$L554)</f>
        <v/>
      </c>
      <c r="W554">
        <f>IF($N554="","",Sync!$P554)</f>
        <v/>
      </c>
      <c r="AA554">
        <f>IF($A554="","",IF(COUNTIF($A$6:$A554,$A554)=1,1,0))</f>
        <v/>
      </c>
      <c r="AB554">
        <f>SUM($AA$6:$AA554)</f>
        <v/>
      </c>
      <c r="AC554">
        <f>IFERROR(INDEX($A$6:$A$1005,MATCH(ROW()-5,$AB$6:$AB$1005,0)),"")</f>
        <v/>
      </c>
    </row>
    <row r="555">
      <c r="A555">
        <f>IF(OR(Entry!$B558="",Entry!$E558="",$E555="نامعتبر"),"",Entry!$E558)</f>
        <v/>
      </c>
      <c r="B555">
        <f>IF($A555="","",LEFT($E555,4)&amp;MID($E555,6,2)&amp;RIGHT($E555,2)&amp;$F555&amp;"|"&amp;"1"&amp;RIGHT("00000"&amp;550,5))</f>
        <v/>
      </c>
      <c r="C555">
        <f>IF($B555="","",COUNTIFS($A$6:$A$1005,$A555,$B$6:$B$1005,"&lt;"&amp;$B555)+COUNTIFS($N$6:$N$2005,$A555,$P$6:$P$2005,"&lt;"&amp;$B555)+1)</f>
        <v/>
      </c>
      <c r="D555">
        <f>IF($C555="","",$A555&amp;"|"&amp;RIGHT("000000"&amp;$C555,6))</f>
        <v/>
      </c>
      <c r="E555">
        <f>IF(Entry!$B558="","",IF(ISNUMBER(Entry!$B558),IF(AND(Entry!$B558&gt;=10000101,Entry!$B558&lt;=99991231),INT(Entry!$B558/10000)&amp;"/"&amp;RIGHT("00"&amp;INT(MOD(Entry!$B558,10000)/100),2)&amp;"/"&amp;RIGHT("00"&amp;MOD(Entry!$B558,100),2),"نامعتبر"),IF(LEN(Entry!$B558)=10,Entry!$B558,"نامعتبر")))</f>
        <v/>
      </c>
      <c r="F555">
        <f>IF(Entry!$B558="","",IF(Entry!$C558="","0000",IF(AND(ISNUMBER(Entry!$C558),Entry!$C558&gt;=0,Entry!$C558&lt;1),RIGHT("00"&amp;HOUR(Entry!$C558),2)&amp;RIGHT("00"&amp;MINUTE(Entry!$C558),2),IFERROR(RIGHT("00"&amp;VALUE(LEFT(Entry!$C558,FIND(":",Entry!$C558)-1)),2)&amp;RIGHT("00"&amp;VALUE(MID(Entry!$C558,FIND(":",Entry!$C558)+1,2)),2),"0000"))))</f>
        <v/>
      </c>
      <c r="G555">
        <f>IF($A555="","",Entry!$G558)</f>
        <v/>
      </c>
      <c r="H555">
        <f>IF($A555="","",IF(Entry!$H558="",0,Entry!$H558))</f>
        <v/>
      </c>
      <c r="I555">
        <f>IF($A555="","",IF(Entry!$I558="",0,Entry!$I558))</f>
        <v/>
      </c>
      <c r="J555">
        <f>IF($A555="","",ROUND($H555*$I555,0))</f>
        <v/>
      </c>
      <c r="K555">
        <f>IF($A555="","",Entry!$D558)</f>
        <v/>
      </c>
      <c r="L555">
        <f>IF($A555="","",Entry!$L558)</f>
        <v/>
      </c>
      <c r="N555">
        <f>IF(OR(Sync!$M555="",$Q555="",$Q555="نامعتبر"),"",Sync!$M555)</f>
        <v/>
      </c>
      <c r="O555">
        <f>IF($N555="","",$Q555)</f>
        <v/>
      </c>
      <c r="P555">
        <f>IF($N555="","",LEFT($Q555,4)&amp;MID($Q555,6,2)&amp;RIGHT($Q555,2)&amp;IF(Sync!$K555="","0000",IF(AND(ISNUMBER(Sync!$K555),Sync!$K555&gt;=0,Sync!$K555&lt;1),RIGHT("00"&amp;HOUR(Sync!$K555),2)&amp;RIGHT("00"&amp;MINUTE(Sync!$K555),2),IFERROR(RIGHT("00"&amp;VALUE(LEFT(Sync!$K555,FIND(":",Sync!$K555)-1)),2)&amp;RIGHT("00"&amp;VALUE(MID(Sync!$K555,FIND(":",Sync!$K555)+1,2)),2),"0000")))&amp;"|"&amp;"2"&amp;RIGHT("00000"&amp;550,5))</f>
        <v/>
      </c>
      <c r="Q555">
        <f>IF(Sync!$J555="","",IF(ISNUMBER(Sync!$J555),IF(AND(Sync!$J555&gt;=10000101,Sync!$J555&lt;=99991231),INT(Sync!$J555/10000)&amp;"/"&amp;RIGHT("00"&amp;INT(MOD(Sync!$J555,10000)/100),2)&amp;"/"&amp;RIGHT("00"&amp;MOD(Sync!$J555,100),2),"نامعتبر"),IF(LEN(Sync!$J555)=10,Sync!$J555,"نامعتبر")))</f>
        <v/>
      </c>
      <c r="R555">
        <f>IF($P555="","",COUNTIFS($N$6:$N$2005,$N555,$P$6:$P$2005,"&lt;"&amp;$P555)+COUNTIFS($A$6:$A$1005,$N555,$B$6:$B$1005,"&lt;"&amp;$P555)+1)</f>
        <v/>
      </c>
      <c r="S555">
        <f>IF($N555="","",$N555&amp;"|"&amp;RIGHT("000000"&amp;$R555,6))</f>
        <v/>
      </c>
      <c r="T555">
        <f>IF($N555="","",IF(Sync!$N555="",0,Sync!$N555))</f>
        <v/>
      </c>
      <c r="U555">
        <f>IF($N555="","",IF(Sync!$O555="",0,Sync!$O555))</f>
        <v/>
      </c>
      <c r="V555">
        <f>IF($N555="","",Sync!$L555)</f>
        <v/>
      </c>
      <c r="W555">
        <f>IF($N555="","",Sync!$P555)</f>
        <v/>
      </c>
      <c r="AA555">
        <f>IF($A555="","",IF(COUNTIF($A$6:$A555,$A555)=1,1,0))</f>
        <v/>
      </c>
      <c r="AB555">
        <f>SUM($AA$6:$AA555)</f>
        <v/>
      </c>
      <c r="AC555">
        <f>IFERROR(INDEX($A$6:$A$1005,MATCH(ROW()-5,$AB$6:$AB$1005,0)),"")</f>
        <v/>
      </c>
    </row>
    <row r="556">
      <c r="A556">
        <f>IF(OR(Entry!$B559="",Entry!$E559="",$E556="نامعتبر"),"",Entry!$E559)</f>
        <v/>
      </c>
      <c r="B556">
        <f>IF($A556="","",LEFT($E556,4)&amp;MID($E556,6,2)&amp;RIGHT($E556,2)&amp;$F556&amp;"|"&amp;"1"&amp;RIGHT("00000"&amp;551,5))</f>
        <v/>
      </c>
      <c r="C556">
        <f>IF($B556="","",COUNTIFS($A$6:$A$1005,$A556,$B$6:$B$1005,"&lt;"&amp;$B556)+COUNTIFS($N$6:$N$2005,$A556,$P$6:$P$2005,"&lt;"&amp;$B556)+1)</f>
        <v/>
      </c>
      <c r="D556">
        <f>IF($C556="","",$A556&amp;"|"&amp;RIGHT("000000"&amp;$C556,6))</f>
        <v/>
      </c>
      <c r="E556">
        <f>IF(Entry!$B559="","",IF(ISNUMBER(Entry!$B559),IF(AND(Entry!$B559&gt;=10000101,Entry!$B559&lt;=99991231),INT(Entry!$B559/10000)&amp;"/"&amp;RIGHT("00"&amp;INT(MOD(Entry!$B559,10000)/100),2)&amp;"/"&amp;RIGHT("00"&amp;MOD(Entry!$B559,100),2),"نامعتبر"),IF(LEN(Entry!$B559)=10,Entry!$B559,"نامعتبر")))</f>
        <v/>
      </c>
      <c r="F556">
        <f>IF(Entry!$B559="","",IF(Entry!$C559="","0000",IF(AND(ISNUMBER(Entry!$C559),Entry!$C559&gt;=0,Entry!$C559&lt;1),RIGHT("00"&amp;HOUR(Entry!$C559),2)&amp;RIGHT("00"&amp;MINUTE(Entry!$C559),2),IFERROR(RIGHT("00"&amp;VALUE(LEFT(Entry!$C559,FIND(":",Entry!$C559)-1)),2)&amp;RIGHT("00"&amp;VALUE(MID(Entry!$C559,FIND(":",Entry!$C559)+1,2)),2),"0000"))))</f>
        <v/>
      </c>
      <c r="G556">
        <f>IF($A556="","",Entry!$G559)</f>
        <v/>
      </c>
      <c r="H556">
        <f>IF($A556="","",IF(Entry!$H559="",0,Entry!$H559))</f>
        <v/>
      </c>
      <c r="I556">
        <f>IF($A556="","",IF(Entry!$I559="",0,Entry!$I559))</f>
        <v/>
      </c>
      <c r="J556">
        <f>IF($A556="","",ROUND($H556*$I556,0))</f>
        <v/>
      </c>
      <c r="K556">
        <f>IF($A556="","",Entry!$D559)</f>
        <v/>
      </c>
      <c r="L556">
        <f>IF($A556="","",Entry!$L559)</f>
        <v/>
      </c>
      <c r="N556">
        <f>IF(OR(Sync!$M556="",$Q556="",$Q556="نامعتبر"),"",Sync!$M556)</f>
        <v/>
      </c>
      <c r="O556">
        <f>IF($N556="","",$Q556)</f>
        <v/>
      </c>
      <c r="P556">
        <f>IF($N556="","",LEFT($Q556,4)&amp;MID($Q556,6,2)&amp;RIGHT($Q556,2)&amp;IF(Sync!$K556="","0000",IF(AND(ISNUMBER(Sync!$K556),Sync!$K556&gt;=0,Sync!$K556&lt;1),RIGHT("00"&amp;HOUR(Sync!$K556),2)&amp;RIGHT("00"&amp;MINUTE(Sync!$K556),2),IFERROR(RIGHT("00"&amp;VALUE(LEFT(Sync!$K556,FIND(":",Sync!$K556)-1)),2)&amp;RIGHT("00"&amp;VALUE(MID(Sync!$K556,FIND(":",Sync!$K556)+1,2)),2),"0000")))&amp;"|"&amp;"2"&amp;RIGHT("00000"&amp;551,5))</f>
        <v/>
      </c>
      <c r="Q556">
        <f>IF(Sync!$J556="","",IF(ISNUMBER(Sync!$J556),IF(AND(Sync!$J556&gt;=10000101,Sync!$J556&lt;=99991231),INT(Sync!$J556/10000)&amp;"/"&amp;RIGHT("00"&amp;INT(MOD(Sync!$J556,10000)/100),2)&amp;"/"&amp;RIGHT("00"&amp;MOD(Sync!$J556,100),2),"نامعتبر"),IF(LEN(Sync!$J556)=10,Sync!$J556,"نامعتبر")))</f>
        <v/>
      </c>
      <c r="R556">
        <f>IF($P556="","",COUNTIFS($N$6:$N$2005,$N556,$P$6:$P$2005,"&lt;"&amp;$P556)+COUNTIFS($A$6:$A$1005,$N556,$B$6:$B$1005,"&lt;"&amp;$P556)+1)</f>
        <v/>
      </c>
      <c r="S556">
        <f>IF($N556="","",$N556&amp;"|"&amp;RIGHT("000000"&amp;$R556,6))</f>
        <v/>
      </c>
      <c r="T556">
        <f>IF($N556="","",IF(Sync!$N556="",0,Sync!$N556))</f>
        <v/>
      </c>
      <c r="U556">
        <f>IF($N556="","",IF(Sync!$O556="",0,Sync!$O556))</f>
        <v/>
      </c>
      <c r="V556">
        <f>IF($N556="","",Sync!$L556)</f>
        <v/>
      </c>
      <c r="W556">
        <f>IF($N556="","",Sync!$P556)</f>
        <v/>
      </c>
      <c r="AA556">
        <f>IF($A556="","",IF(COUNTIF($A$6:$A556,$A556)=1,1,0))</f>
        <v/>
      </c>
      <c r="AB556">
        <f>SUM($AA$6:$AA556)</f>
        <v/>
      </c>
      <c r="AC556">
        <f>IFERROR(INDEX($A$6:$A$1005,MATCH(ROW()-5,$AB$6:$AB$1005,0)),"")</f>
        <v/>
      </c>
    </row>
    <row r="557">
      <c r="A557">
        <f>IF(OR(Entry!$B560="",Entry!$E560="",$E557="نامعتبر"),"",Entry!$E560)</f>
        <v/>
      </c>
      <c r="B557">
        <f>IF($A557="","",LEFT($E557,4)&amp;MID($E557,6,2)&amp;RIGHT($E557,2)&amp;$F557&amp;"|"&amp;"1"&amp;RIGHT("00000"&amp;552,5))</f>
        <v/>
      </c>
      <c r="C557">
        <f>IF($B557="","",COUNTIFS($A$6:$A$1005,$A557,$B$6:$B$1005,"&lt;"&amp;$B557)+COUNTIFS($N$6:$N$2005,$A557,$P$6:$P$2005,"&lt;"&amp;$B557)+1)</f>
        <v/>
      </c>
      <c r="D557">
        <f>IF($C557="","",$A557&amp;"|"&amp;RIGHT("000000"&amp;$C557,6))</f>
        <v/>
      </c>
      <c r="E557">
        <f>IF(Entry!$B560="","",IF(ISNUMBER(Entry!$B560),IF(AND(Entry!$B560&gt;=10000101,Entry!$B560&lt;=99991231),INT(Entry!$B560/10000)&amp;"/"&amp;RIGHT("00"&amp;INT(MOD(Entry!$B560,10000)/100),2)&amp;"/"&amp;RIGHT("00"&amp;MOD(Entry!$B560,100),2),"نامعتبر"),IF(LEN(Entry!$B560)=10,Entry!$B560,"نامعتبر")))</f>
        <v/>
      </c>
      <c r="F557">
        <f>IF(Entry!$B560="","",IF(Entry!$C560="","0000",IF(AND(ISNUMBER(Entry!$C560),Entry!$C560&gt;=0,Entry!$C560&lt;1),RIGHT("00"&amp;HOUR(Entry!$C560),2)&amp;RIGHT("00"&amp;MINUTE(Entry!$C560),2),IFERROR(RIGHT("00"&amp;VALUE(LEFT(Entry!$C560,FIND(":",Entry!$C560)-1)),2)&amp;RIGHT("00"&amp;VALUE(MID(Entry!$C560,FIND(":",Entry!$C560)+1,2)),2),"0000"))))</f>
        <v/>
      </c>
      <c r="G557">
        <f>IF($A557="","",Entry!$G560)</f>
        <v/>
      </c>
      <c r="H557">
        <f>IF($A557="","",IF(Entry!$H560="",0,Entry!$H560))</f>
        <v/>
      </c>
      <c r="I557">
        <f>IF($A557="","",IF(Entry!$I560="",0,Entry!$I560))</f>
        <v/>
      </c>
      <c r="J557">
        <f>IF($A557="","",ROUND($H557*$I557,0))</f>
        <v/>
      </c>
      <c r="K557">
        <f>IF($A557="","",Entry!$D560)</f>
        <v/>
      </c>
      <c r="L557">
        <f>IF($A557="","",Entry!$L560)</f>
        <v/>
      </c>
      <c r="N557">
        <f>IF(OR(Sync!$M557="",$Q557="",$Q557="نامعتبر"),"",Sync!$M557)</f>
        <v/>
      </c>
      <c r="O557">
        <f>IF($N557="","",$Q557)</f>
        <v/>
      </c>
      <c r="P557">
        <f>IF($N557="","",LEFT($Q557,4)&amp;MID($Q557,6,2)&amp;RIGHT($Q557,2)&amp;IF(Sync!$K557="","0000",IF(AND(ISNUMBER(Sync!$K557),Sync!$K557&gt;=0,Sync!$K557&lt;1),RIGHT("00"&amp;HOUR(Sync!$K557),2)&amp;RIGHT("00"&amp;MINUTE(Sync!$K557),2),IFERROR(RIGHT("00"&amp;VALUE(LEFT(Sync!$K557,FIND(":",Sync!$K557)-1)),2)&amp;RIGHT("00"&amp;VALUE(MID(Sync!$K557,FIND(":",Sync!$K557)+1,2)),2),"0000")))&amp;"|"&amp;"2"&amp;RIGHT("00000"&amp;552,5))</f>
        <v/>
      </c>
      <c r="Q557">
        <f>IF(Sync!$J557="","",IF(ISNUMBER(Sync!$J557),IF(AND(Sync!$J557&gt;=10000101,Sync!$J557&lt;=99991231),INT(Sync!$J557/10000)&amp;"/"&amp;RIGHT("00"&amp;INT(MOD(Sync!$J557,10000)/100),2)&amp;"/"&amp;RIGHT("00"&amp;MOD(Sync!$J557,100),2),"نامعتبر"),IF(LEN(Sync!$J557)=10,Sync!$J557,"نامعتبر")))</f>
        <v/>
      </c>
      <c r="R557">
        <f>IF($P557="","",COUNTIFS($N$6:$N$2005,$N557,$P$6:$P$2005,"&lt;"&amp;$P557)+COUNTIFS($A$6:$A$1005,$N557,$B$6:$B$1005,"&lt;"&amp;$P557)+1)</f>
        <v/>
      </c>
      <c r="S557">
        <f>IF($N557="","",$N557&amp;"|"&amp;RIGHT("000000"&amp;$R557,6))</f>
        <v/>
      </c>
      <c r="T557">
        <f>IF($N557="","",IF(Sync!$N557="",0,Sync!$N557))</f>
        <v/>
      </c>
      <c r="U557">
        <f>IF($N557="","",IF(Sync!$O557="",0,Sync!$O557))</f>
        <v/>
      </c>
      <c r="V557">
        <f>IF($N557="","",Sync!$L557)</f>
        <v/>
      </c>
      <c r="W557">
        <f>IF($N557="","",Sync!$P557)</f>
        <v/>
      </c>
      <c r="AA557">
        <f>IF($A557="","",IF(COUNTIF($A$6:$A557,$A557)=1,1,0))</f>
        <v/>
      </c>
      <c r="AB557">
        <f>SUM($AA$6:$AA557)</f>
        <v/>
      </c>
      <c r="AC557">
        <f>IFERROR(INDEX($A$6:$A$1005,MATCH(ROW()-5,$AB$6:$AB$1005,0)),"")</f>
        <v/>
      </c>
    </row>
    <row r="558">
      <c r="A558">
        <f>IF(OR(Entry!$B561="",Entry!$E561="",$E558="نامعتبر"),"",Entry!$E561)</f>
        <v/>
      </c>
      <c r="B558">
        <f>IF($A558="","",LEFT($E558,4)&amp;MID($E558,6,2)&amp;RIGHT($E558,2)&amp;$F558&amp;"|"&amp;"1"&amp;RIGHT("00000"&amp;553,5))</f>
        <v/>
      </c>
      <c r="C558">
        <f>IF($B558="","",COUNTIFS($A$6:$A$1005,$A558,$B$6:$B$1005,"&lt;"&amp;$B558)+COUNTIFS($N$6:$N$2005,$A558,$P$6:$P$2005,"&lt;"&amp;$B558)+1)</f>
        <v/>
      </c>
      <c r="D558">
        <f>IF($C558="","",$A558&amp;"|"&amp;RIGHT("000000"&amp;$C558,6))</f>
        <v/>
      </c>
      <c r="E558">
        <f>IF(Entry!$B561="","",IF(ISNUMBER(Entry!$B561),IF(AND(Entry!$B561&gt;=10000101,Entry!$B561&lt;=99991231),INT(Entry!$B561/10000)&amp;"/"&amp;RIGHT("00"&amp;INT(MOD(Entry!$B561,10000)/100),2)&amp;"/"&amp;RIGHT("00"&amp;MOD(Entry!$B561,100),2),"نامعتبر"),IF(LEN(Entry!$B561)=10,Entry!$B561,"نامعتبر")))</f>
        <v/>
      </c>
      <c r="F558">
        <f>IF(Entry!$B561="","",IF(Entry!$C561="","0000",IF(AND(ISNUMBER(Entry!$C561),Entry!$C561&gt;=0,Entry!$C561&lt;1),RIGHT("00"&amp;HOUR(Entry!$C561),2)&amp;RIGHT("00"&amp;MINUTE(Entry!$C561),2),IFERROR(RIGHT("00"&amp;VALUE(LEFT(Entry!$C561,FIND(":",Entry!$C561)-1)),2)&amp;RIGHT("00"&amp;VALUE(MID(Entry!$C561,FIND(":",Entry!$C561)+1,2)),2),"0000"))))</f>
        <v/>
      </c>
      <c r="G558">
        <f>IF($A558="","",Entry!$G561)</f>
        <v/>
      </c>
      <c r="H558">
        <f>IF($A558="","",IF(Entry!$H561="",0,Entry!$H561))</f>
        <v/>
      </c>
      <c r="I558">
        <f>IF($A558="","",IF(Entry!$I561="",0,Entry!$I561))</f>
        <v/>
      </c>
      <c r="J558">
        <f>IF($A558="","",ROUND($H558*$I558,0))</f>
        <v/>
      </c>
      <c r="K558">
        <f>IF($A558="","",Entry!$D561)</f>
        <v/>
      </c>
      <c r="L558">
        <f>IF($A558="","",Entry!$L561)</f>
        <v/>
      </c>
      <c r="N558">
        <f>IF(OR(Sync!$M558="",$Q558="",$Q558="نامعتبر"),"",Sync!$M558)</f>
        <v/>
      </c>
      <c r="O558">
        <f>IF($N558="","",$Q558)</f>
        <v/>
      </c>
      <c r="P558">
        <f>IF($N558="","",LEFT($Q558,4)&amp;MID($Q558,6,2)&amp;RIGHT($Q558,2)&amp;IF(Sync!$K558="","0000",IF(AND(ISNUMBER(Sync!$K558),Sync!$K558&gt;=0,Sync!$K558&lt;1),RIGHT("00"&amp;HOUR(Sync!$K558),2)&amp;RIGHT("00"&amp;MINUTE(Sync!$K558),2),IFERROR(RIGHT("00"&amp;VALUE(LEFT(Sync!$K558,FIND(":",Sync!$K558)-1)),2)&amp;RIGHT("00"&amp;VALUE(MID(Sync!$K558,FIND(":",Sync!$K558)+1,2)),2),"0000")))&amp;"|"&amp;"2"&amp;RIGHT("00000"&amp;553,5))</f>
        <v/>
      </c>
      <c r="Q558">
        <f>IF(Sync!$J558="","",IF(ISNUMBER(Sync!$J558),IF(AND(Sync!$J558&gt;=10000101,Sync!$J558&lt;=99991231),INT(Sync!$J558/10000)&amp;"/"&amp;RIGHT("00"&amp;INT(MOD(Sync!$J558,10000)/100),2)&amp;"/"&amp;RIGHT("00"&amp;MOD(Sync!$J558,100),2),"نامعتبر"),IF(LEN(Sync!$J558)=10,Sync!$J558,"نامعتبر")))</f>
        <v/>
      </c>
      <c r="R558">
        <f>IF($P558="","",COUNTIFS($N$6:$N$2005,$N558,$P$6:$P$2005,"&lt;"&amp;$P558)+COUNTIFS($A$6:$A$1005,$N558,$B$6:$B$1005,"&lt;"&amp;$P558)+1)</f>
        <v/>
      </c>
      <c r="S558">
        <f>IF($N558="","",$N558&amp;"|"&amp;RIGHT("000000"&amp;$R558,6))</f>
        <v/>
      </c>
      <c r="T558">
        <f>IF($N558="","",IF(Sync!$N558="",0,Sync!$N558))</f>
        <v/>
      </c>
      <c r="U558">
        <f>IF($N558="","",IF(Sync!$O558="",0,Sync!$O558))</f>
        <v/>
      </c>
      <c r="V558">
        <f>IF($N558="","",Sync!$L558)</f>
        <v/>
      </c>
      <c r="W558">
        <f>IF($N558="","",Sync!$P558)</f>
        <v/>
      </c>
      <c r="AA558">
        <f>IF($A558="","",IF(COUNTIF($A$6:$A558,$A558)=1,1,0))</f>
        <v/>
      </c>
      <c r="AB558">
        <f>SUM($AA$6:$AA558)</f>
        <v/>
      </c>
      <c r="AC558">
        <f>IFERROR(INDEX($A$6:$A$1005,MATCH(ROW()-5,$AB$6:$AB$1005,0)),"")</f>
        <v/>
      </c>
    </row>
    <row r="559">
      <c r="A559">
        <f>IF(OR(Entry!$B562="",Entry!$E562="",$E559="نامعتبر"),"",Entry!$E562)</f>
        <v/>
      </c>
      <c r="B559">
        <f>IF($A559="","",LEFT($E559,4)&amp;MID($E559,6,2)&amp;RIGHT($E559,2)&amp;$F559&amp;"|"&amp;"1"&amp;RIGHT("00000"&amp;554,5))</f>
        <v/>
      </c>
      <c r="C559">
        <f>IF($B559="","",COUNTIFS($A$6:$A$1005,$A559,$B$6:$B$1005,"&lt;"&amp;$B559)+COUNTIFS($N$6:$N$2005,$A559,$P$6:$P$2005,"&lt;"&amp;$B559)+1)</f>
        <v/>
      </c>
      <c r="D559">
        <f>IF($C559="","",$A559&amp;"|"&amp;RIGHT("000000"&amp;$C559,6))</f>
        <v/>
      </c>
      <c r="E559">
        <f>IF(Entry!$B562="","",IF(ISNUMBER(Entry!$B562),IF(AND(Entry!$B562&gt;=10000101,Entry!$B562&lt;=99991231),INT(Entry!$B562/10000)&amp;"/"&amp;RIGHT("00"&amp;INT(MOD(Entry!$B562,10000)/100),2)&amp;"/"&amp;RIGHT("00"&amp;MOD(Entry!$B562,100),2),"نامعتبر"),IF(LEN(Entry!$B562)=10,Entry!$B562,"نامعتبر")))</f>
        <v/>
      </c>
      <c r="F559">
        <f>IF(Entry!$B562="","",IF(Entry!$C562="","0000",IF(AND(ISNUMBER(Entry!$C562),Entry!$C562&gt;=0,Entry!$C562&lt;1),RIGHT("00"&amp;HOUR(Entry!$C562),2)&amp;RIGHT("00"&amp;MINUTE(Entry!$C562),2),IFERROR(RIGHT("00"&amp;VALUE(LEFT(Entry!$C562,FIND(":",Entry!$C562)-1)),2)&amp;RIGHT("00"&amp;VALUE(MID(Entry!$C562,FIND(":",Entry!$C562)+1,2)),2),"0000"))))</f>
        <v/>
      </c>
      <c r="G559">
        <f>IF($A559="","",Entry!$G562)</f>
        <v/>
      </c>
      <c r="H559">
        <f>IF($A559="","",IF(Entry!$H562="",0,Entry!$H562))</f>
        <v/>
      </c>
      <c r="I559">
        <f>IF($A559="","",IF(Entry!$I562="",0,Entry!$I562))</f>
        <v/>
      </c>
      <c r="J559">
        <f>IF($A559="","",ROUND($H559*$I559,0))</f>
        <v/>
      </c>
      <c r="K559">
        <f>IF($A559="","",Entry!$D562)</f>
        <v/>
      </c>
      <c r="L559">
        <f>IF($A559="","",Entry!$L562)</f>
        <v/>
      </c>
      <c r="N559">
        <f>IF(OR(Sync!$M559="",$Q559="",$Q559="نامعتبر"),"",Sync!$M559)</f>
        <v/>
      </c>
      <c r="O559">
        <f>IF($N559="","",$Q559)</f>
        <v/>
      </c>
      <c r="P559">
        <f>IF($N559="","",LEFT($Q559,4)&amp;MID($Q559,6,2)&amp;RIGHT($Q559,2)&amp;IF(Sync!$K559="","0000",IF(AND(ISNUMBER(Sync!$K559),Sync!$K559&gt;=0,Sync!$K559&lt;1),RIGHT("00"&amp;HOUR(Sync!$K559),2)&amp;RIGHT("00"&amp;MINUTE(Sync!$K559),2),IFERROR(RIGHT("00"&amp;VALUE(LEFT(Sync!$K559,FIND(":",Sync!$K559)-1)),2)&amp;RIGHT("00"&amp;VALUE(MID(Sync!$K559,FIND(":",Sync!$K559)+1,2)),2),"0000")))&amp;"|"&amp;"2"&amp;RIGHT("00000"&amp;554,5))</f>
        <v/>
      </c>
      <c r="Q559">
        <f>IF(Sync!$J559="","",IF(ISNUMBER(Sync!$J559),IF(AND(Sync!$J559&gt;=10000101,Sync!$J559&lt;=99991231),INT(Sync!$J559/10000)&amp;"/"&amp;RIGHT("00"&amp;INT(MOD(Sync!$J559,10000)/100),2)&amp;"/"&amp;RIGHT("00"&amp;MOD(Sync!$J559,100),2),"نامعتبر"),IF(LEN(Sync!$J559)=10,Sync!$J559,"نامعتبر")))</f>
        <v/>
      </c>
      <c r="R559">
        <f>IF($P559="","",COUNTIFS($N$6:$N$2005,$N559,$P$6:$P$2005,"&lt;"&amp;$P559)+COUNTIFS($A$6:$A$1005,$N559,$B$6:$B$1005,"&lt;"&amp;$P559)+1)</f>
        <v/>
      </c>
      <c r="S559">
        <f>IF($N559="","",$N559&amp;"|"&amp;RIGHT("000000"&amp;$R559,6))</f>
        <v/>
      </c>
      <c r="T559">
        <f>IF($N559="","",IF(Sync!$N559="",0,Sync!$N559))</f>
        <v/>
      </c>
      <c r="U559">
        <f>IF($N559="","",IF(Sync!$O559="",0,Sync!$O559))</f>
        <v/>
      </c>
      <c r="V559">
        <f>IF($N559="","",Sync!$L559)</f>
        <v/>
      </c>
      <c r="W559">
        <f>IF($N559="","",Sync!$P559)</f>
        <v/>
      </c>
      <c r="AA559">
        <f>IF($A559="","",IF(COUNTIF($A$6:$A559,$A559)=1,1,0))</f>
        <v/>
      </c>
      <c r="AB559">
        <f>SUM($AA$6:$AA559)</f>
        <v/>
      </c>
      <c r="AC559">
        <f>IFERROR(INDEX($A$6:$A$1005,MATCH(ROW()-5,$AB$6:$AB$1005,0)),"")</f>
        <v/>
      </c>
    </row>
    <row r="560">
      <c r="A560">
        <f>IF(OR(Entry!$B563="",Entry!$E563="",$E560="نامعتبر"),"",Entry!$E563)</f>
        <v/>
      </c>
      <c r="B560">
        <f>IF($A560="","",LEFT($E560,4)&amp;MID($E560,6,2)&amp;RIGHT($E560,2)&amp;$F560&amp;"|"&amp;"1"&amp;RIGHT("00000"&amp;555,5))</f>
        <v/>
      </c>
      <c r="C560">
        <f>IF($B560="","",COUNTIFS($A$6:$A$1005,$A560,$B$6:$B$1005,"&lt;"&amp;$B560)+COUNTIFS($N$6:$N$2005,$A560,$P$6:$P$2005,"&lt;"&amp;$B560)+1)</f>
        <v/>
      </c>
      <c r="D560">
        <f>IF($C560="","",$A560&amp;"|"&amp;RIGHT("000000"&amp;$C560,6))</f>
        <v/>
      </c>
      <c r="E560">
        <f>IF(Entry!$B563="","",IF(ISNUMBER(Entry!$B563),IF(AND(Entry!$B563&gt;=10000101,Entry!$B563&lt;=99991231),INT(Entry!$B563/10000)&amp;"/"&amp;RIGHT("00"&amp;INT(MOD(Entry!$B563,10000)/100),2)&amp;"/"&amp;RIGHT("00"&amp;MOD(Entry!$B563,100),2),"نامعتبر"),IF(LEN(Entry!$B563)=10,Entry!$B563,"نامعتبر")))</f>
        <v/>
      </c>
      <c r="F560">
        <f>IF(Entry!$B563="","",IF(Entry!$C563="","0000",IF(AND(ISNUMBER(Entry!$C563),Entry!$C563&gt;=0,Entry!$C563&lt;1),RIGHT("00"&amp;HOUR(Entry!$C563),2)&amp;RIGHT("00"&amp;MINUTE(Entry!$C563),2),IFERROR(RIGHT("00"&amp;VALUE(LEFT(Entry!$C563,FIND(":",Entry!$C563)-1)),2)&amp;RIGHT("00"&amp;VALUE(MID(Entry!$C563,FIND(":",Entry!$C563)+1,2)),2),"0000"))))</f>
        <v/>
      </c>
      <c r="G560">
        <f>IF($A560="","",Entry!$G563)</f>
        <v/>
      </c>
      <c r="H560">
        <f>IF($A560="","",IF(Entry!$H563="",0,Entry!$H563))</f>
        <v/>
      </c>
      <c r="I560">
        <f>IF($A560="","",IF(Entry!$I563="",0,Entry!$I563))</f>
        <v/>
      </c>
      <c r="J560">
        <f>IF($A560="","",ROUND($H560*$I560,0))</f>
        <v/>
      </c>
      <c r="K560">
        <f>IF($A560="","",Entry!$D563)</f>
        <v/>
      </c>
      <c r="L560">
        <f>IF($A560="","",Entry!$L563)</f>
        <v/>
      </c>
      <c r="N560">
        <f>IF(OR(Sync!$M560="",$Q560="",$Q560="نامعتبر"),"",Sync!$M560)</f>
        <v/>
      </c>
      <c r="O560">
        <f>IF($N560="","",$Q560)</f>
        <v/>
      </c>
      <c r="P560">
        <f>IF($N560="","",LEFT($Q560,4)&amp;MID($Q560,6,2)&amp;RIGHT($Q560,2)&amp;IF(Sync!$K560="","0000",IF(AND(ISNUMBER(Sync!$K560),Sync!$K560&gt;=0,Sync!$K560&lt;1),RIGHT("00"&amp;HOUR(Sync!$K560),2)&amp;RIGHT("00"&amp;MINUTE(Sync!$K560),2),IFERROR(RIGHT("00"&amp;VALUE(LEFT(Sync!$K560,FIND(":",Sync!$K560)-1)),2)&amp;RIGHT("00"&amp;VALUE(MID(Sync!$K560,FIND(":",Sync!$K560)+1,2)),2),"0000")))&amp;"|"&amp;"2"&amp;RIGHT("00000"&amp;555,5))</f>
        <v/>
      </c>
      <c r="Q560">
        <f>IF(Sync!$J560="","",IF(ISNUMBER(Sync!$J560),IF(AND(Sync!$J560&gt;=10000101,Sync!$J560&lt;=99991231),INT(Sync!$J560/10000)&amp;"/"&amp;RIGHT("00"&amp;INT(MOD(Sync!$J560,10000)/100),2)&amp;"/"&amp;RIGHT("00"&amp;MOD(Sync!$J560,100),2),"نامعتبر"),IF(LEN(Sync!$J560)=10,Sync!$J560,"نامعتبر")))</f>
        <v/>
      </c>
      <c r="R560">
        <f>IF($P560="","",COUNTIFS($N$6:$N$2005,$N560,$P$6:$P$2005,"&lt;"&amp;$P560)+COUNTIFS($A$6:$A$1005,$N560,$B$6:$B$1005,"&lt;"&amp;$P560)+1)</f>
        <v/>
      </c>
      <c r="S560">
        <f>IF($N560="","",$N560&amp;"|"&amp;RIGHT("000000"&amp;$R560,6))</f>
        <v/>
      </c>
      <c r="T560">
        <f>IF($N560="","",IF(Sync!$N560="",0,Sync!$N560))</f>
        <v/>
      </c>
      <c r="U560">
        <f>IF($N560="","",IF(Sync!$O560="",0,Sync!$O560))</f>
        <v/>
      </c>
      <c r="V560">
        <f>IF($N560="","",Sync!$L560)</f>
        <v/>
      </c>
      <c r="W560">
        <f>IF($N560="","",Sync!$P560)</f>
        <v/>
      </c>
      <c r="AA560">
        <f>IF($A560="","",IF(COUNTIF($A$6:$A560,$A560)=1,1,0))</f>
        <v/>
      </c>
      <c r="AB560">
        <f>SUM($AA$6:$AA560)</f>
        <v/>
      </c>
      <c r="AC560">
        <f>IFERROR(INDEX($A$6:$A$1005,MATCH(ROW()-5,$AB$6:$AB$1005,0)),"")</f>
        <v/>
      </c>
    </row>
    <row r="561">
      <c r="A561">
        <f>IF(OR(Entry!$B564="",Entry!$E564="",$E561="نامعتبر"),"",Entry!$E564)</f>
        <v/>
      </c>
      <c r="B561">
        <f>IF($A561="","",LEFT($E561,4)&amp;MID($E561,6,2)&amp;RIGHT($E561,2)&amp;$F561&amp;"|"&amp;"1"&amp;RIGHT("00000"&amp;556,5))</f>
        <v/>
      </c>
      <c r="C561">
        <f>IF($B561="","",COUNTIFS($A$6:$A$1005,$A561,$B$6:$B$1005,"&lt;"&amp;$B561)+COUNTIFS($N$6:$N$2005,$A561,$P$6:$P$2005,"&lt;"&amp;$B561)+1)</f>
        <v/>
      </c>
      <c r="D561">
        <f>IF($C561="","",$A561&amp;"|"&amp;RIGHT("000000"&amp;$C561,6))</f>
        <v/>
      </c>
      <c r="E561">
        <f>IF(Entry!$B564="","",IF(ISNUMBER(Entry!$B564),IF(AND(Entry!$B564&gt;=10000101,Entry!$B564&lt;=99991231),INT(Entry!$B564/10000)&amp;"/"&amp;RIGHT("00"&amp;INT(MOD(Entry!$B564,10000)/100),2)&amp;"/"&amp;RIGHT("00"&amp;MOD(Entry!$B564,100),2),"نامعتبر"),IF(LEN(Entry!$B564)=10,Entry!$B564,"نامعتبر")))</f>
        <v/>
      </c>
      <c r="F561">
        <f>IF(Entry!$B564="","",IF(Entry!$C564="","0000",IF(AND(ISNUMBER(Entry!$C564),Entry!$C564&gt;=0,Entry!$C564&lt;1),RIGHT("00"&amp;HOUR(Entry!$C564),2)&amp;RIGHT("00"&amp;MINUTE(Entry!$C564),2),IFERROR(RIGHT("00"&amp;VALUE(LEFT(Entry!$C564,FIND(":",Entry!$C564)-1)),2)&amp;RIGHT("00"&amp;VALUE(MID(Entry!$C564,FIND(":",Entry!$C564)+1,2)),2),"0000"))))</f>
        <v/>
      </c>
      <c r="G561">
        <f>IF($A561="","",Entry!$G564)</f>
        <v/>
      </c>
      <c r="H561">
        <f>IF($A561="","",IF(Entry!$H564="",0,Entry!$H564))</f>
        <v/>
      </c>
      <c r="I561">
        <f>IF($A561="","",IF(Entry!$I564="",0,Entry!$I564))</f>
        <v/>
      </c>
      <c r="J561">
        <f>IF($A561="","",ROUND($H561*$I561,0))</f>
        <v/>
      </c>
      <c r="K561">
        <f>IF($A561="","",Entry!$D564)</f>
        <v/>
      </c>
      <c r="L561">
        <f>IF($A561="","",Entry!$L564)</f>
        <v/>
      </c>
      <c r="N561">
        <f>IF(OR(Sync!$M561="",$Q561="",$Q561="نامعتبر"),"",Sync!$M561)</f>
        <v/>
      </c>
      <c r="O561">
        <f>IF($N561="","",$Q561)</f>
        <v/>
      </c>
      <c r="P561">
        <f>IF($N561="","",LEFT($Q561,4)&amp;MID($Q561,6,2)&amp;RIGHT($Q561,2)&amp;IF(Sync!$K561="","0000",IF(AND(ISNUMBER(Sync!$K561),Sync!$K561&gt;=0,Sync!$K561&lt;1),RIGHT("00"&amp;HOUR(Sync!$K561),2)&amp;RIGHT("00"&amp;MINUTE(Sync!$K561),2),IFERROR(RIGHT("00"&amp;VALUE(LEFT(Sync!$K561,FIND(":",Sync!$K561)-1)),2)&amp;RIGHT("00"&amp;VALUE(MID(Sync!$K561,FIND(":",Sync!$K561)+1,2)),2),"0000")))&amp;"|"&amp;"2"&amp;RIGHT("00000"&amp;556,5))</f>
        <v/>
      </c>
      <c r="Q561">
        <f>IF(Sync!$J561="","",IF(ISNUMBER(Sync!$J561),IF(AND(Sync!$J561&gt;=10000101,Sync!$J561&lt;=99991231),INT(Sync!$J561/10000)&amp;"/"&amp;RIGHT("00"&amp;INT(MOD(Sync!$J561,10000)/100),2)&amp;"/"&amp;RIGHT("00"&amp;MOD(Sync!$J561,100),2),"نامعتبر"),IF(LEN(Sync!$J561)=10,Sync!$J561,"نامعتبر")))</f>
        <v/>
      </c>
      <c r="R561">
        <f>IF($P561="","",COUNTIFS($N$6:$N$2005,$N561,$P$6:$P$2005,"&lt;"&amp;$P561)+COUNTIFS($A$6:$A$1005,$N561,$B$6:$B$1005,"&lt;"&amp;$P561)+1)</f>
        <v/>
      </c>
      <c r="S561">
        <f>IF($N561="","",$N561&amp;"|"&amp;RIGHT("000000"&amp;$R561,6))</f>
        <v/>
      </c>
      <c r="T561">
        <f>IF($N561="","",IF(Sync!$N561="",0,Sync!$N561))</f>
        <v/>
      </c>
      <c r="U561">
        <f>IF($N561="","",IF(Sync!$O561="",0,Sync!$O561))</f>
        <v/>
      </c>
      <c r="V561">
        <f>IF($N561="","",Sync!$L561)</f>
        <v/>
      </c>
      <c r="W561">
        <f>IF($N561="","",Sync!$P561)</f>
        <v/>
      </c>
      <c r="AA561">
        <f>IF($A561="","",IF(COUNTIF($A$6:$A561,$A561)=1,1,0))</f>
        <v/>
      </c>
      <c r="AB561">
        <f>SUM($AA$6:$AA561)</f>
        <v/>
      </c>
      <c r="AC561">
        <f>IFERROR(INDEX($A$6:$A$1005,MATCH(ROW()-5,$AB$6:$AB$1005,0)),"")</f>
        <v/>
      </c>
    </row>
    <row r="562">
      <c r="A562">
        <f>IF(OR(Entry!$B565="",Entry!$E565="",$E562="نامعتبر"),"",Entry!$E565)</f>
        <v/>
      </c>
      <c r="B562">
        <f>IF($A562="","",LEFT($E562,4)&amp;MID($E562,6,2)&amp;RIGHT($E562,2)&amp;$F562&amp;"|"&amp;"1"&amp;RIGHT("00000"&amp;557,5))</f>
        <v/>
      </c>
      <c r="C562">
        <f>IF($B562="","",COUNTIFS($A$6:$A$1005,$A562,$B$6:$B$1005,"&lt;"&amp;$B562)+COUNTIFS($N$6:$N$2005,$A562,$P$6:$P$2005,"&lt;"&amp;$B562)+1)</f>
        <v/>
      </c>
      <c r="D562">
        <f>IF($C562="","",$A562&amp;"|"&amp;RIGHT("000000"&amp;$C562,6))</f>
        <v/>
      </c>
      <c r="E562">
        <f>IF(Entry!$B565="","",IF(ISNUMBER(Entry!$B565),IF(AND(Entry!$B565&gt;=10000101,Entry!$B565&lt;=99991231),INT(Entry!$B565/10000)&amp;"/"&amp;RIGHT("00"&amp;INT(MOD(Entry!$B565,10000)/100),2)&amp;"/"&amp;RIGHT("00"&amp;MOD(Entry!$B565,100),2),"نامعتبر"),IF(LEN(Entry!$B565)=10,Entry!$B565,"نامعتبر")))</f>
        <v/>
      </c>
      <c r="F562">
        <f>IF(Entry!$B565="","",IF(Entry!$C565="","0000",IF(AND(ISNUMBER(Entry!$C565),Entry!$C565&gt;=0,Entry!$C565&lt;1),RIGHT("00"&amp;HOUR(Entry!$C565),2)&amp;RIGHT("00"&amp;MINUTE(Entry!$C565),2),IFERROR(RIGHT("00"&amp;VALUE(LEFT(Entry!$C565,FIND(":",Entry!$C565)-1)),2)&amp;RIGHT("00"&amp;VALUE(MID(Entry!$C565,FIND(":",Entry!$C565)+1,2)),2),"0000"))))</f>
        <v/>
      </c>
      <c r="G562">
        <f>IF($A562="","",Entry!$G565)</f>
        <v/>
      </c>
      <c r="H562">
        <f>IF($A562="","",IF(Entry!$H565="",0,Entry!$H565))</f>
        <v/>
      </c>
      <c r="I562">
        <f>IF($A562="","",IF(Entry!$I565="",0,Entry!$I565))</f>
        <v/>
      </c>
      <c r="J562">
        <f>IF($A562="","",ROUND($H562*$I562,0))</f>
        <v/>
      </c>
      <c r="K562">
        <f>IF($A562="","",Entry!$D565)</f>
        <v/>
      </c>
      <c r="L562">
        <f>IF($A562="","",Entry!$L565)</f>
        <v/>
      </c>
      <c r="N562">
        <f>IF(OR(Sync!$M562="",$Q562="",$Q562="نامعتبر"),"",Sync!$M562)</f>
        <v/>
      </c>
      <c r="O562">
        <f>IF($N562="","",$Q562)</f>
        <v/>
      </c>
      <c r="P562">
        <f>IF($N562="","",LEFT($Q562,4)&amp;MID($Q562,6,2)&amp;RIGHT($Q562,2)&amp;IF(Sync!$K562="","0000",IF(AND(ISNUMBER(Sync!$K562),Sync!$K562&gt;=0,Sync!$K562&lt;1),RIGHT("00"&amp;HOUR(Sync!$K562),2)&amp;RIGHT("00"&amp;MINUTE(Sync!$K562),2),IFERROR(RIGHT("00"&amp;VALUE(LEFT(Sync!$K562,FIND(":",Sync!$K562)-1)),2)&amp;RIGHT("00"&amp;VALUE(MID(Sync!$K562,FIND(":",Sync!$K562)+1,2)),2),"0000")))&amp;"|"&amp;"2"&amp;RIGHT("00000"&amp;557,5))</f>
        <v/>
      </c>
      <c r="Q562">
        <f>IF(Sync!$J562="","",IF(ISNUMBER(Sync!$J562),IF(AND(Sync!$J562&gt;=10000101,Sync!$J562&lt;=99991231),INT(Sync!$J562/10000)&amp;"/"&amp;RIGHT("00"&amp;INT(MOD(Sync!$J562,10000)/100),2)&amp;"/"&amp;RIGHT("00"&amp;MOD(Sync!$J562,100),2),"نامعتبر"),IF(LEN(Sync!$J562)=10,Sync!$J562,"نامعتبر")))</f>
        <v/>
      </c>
      <c r="R562">
        <f>IF($P562="","",COUNTIFS($N$6:$N$2005,$N562,$P$6:$P$2005,"&lt;"&amp;$P562)+COUNTIFS($A$6:$A$1005,$N562,$B$6:$B$1005,"&lt;"&amp;$P562)+1)</f>
        <v/>
      </c>
      <c r="S562">
        <f>IF($N562="","",$N562&amp;"|"&amp;RIGHT("000000"&amp;$R562,6))</f>
        <v/>
      </c>
      <c r="T562">
        <f>IF($N562="","",IF(Sync!$N562="",0,Sync!$N562))</f>
        <v/>
      </c>
      <c r="U562">
        <f>IF($N562="","",IF(Sync!$O562="",0,Sync!$O562))</f>
        <v/>
      </c>
      <c r="V562">
        <f>IF($N562="","",Sync!$L562)</f>
        <v/>
      </c>
      <c r="W562">
        <f>IF($N562="","",Sync!$P562)</f>
        <v/>
      </c>
      <c r="AA562">
        <f>IF($A562="","",IF(COUNTIF($A$6:$A562,$A562)=1,1,0))</f>
        <v/>
      </c>
      <c r="AB562">
        <f>SUM($AA$6:$AA562)</f>
        <v/>
      </c>
      <c r="AC562">
        <f>IFERROR(INDEX($A$6:$A$1005,MATCH(ROW()-5,$AB$6:$AB$1005,0)),"")</f>
        <v/>
      </c>
    </row>
    <row r="563">
      <c r="A563">
        <f>IF(OR(Entry!$B566="",Entry!$E566="",$E563="نامعتبر"),"",Entry!$E566)</f>
        <v/>
      </c>
      <c r="B563">
        <f>IF($A563="","",LEFT($E563,4)&amp;MID($E563,6,2)&amp;RIGHT($E563,2)&amp;$F563&amp;"|"&amp;"1"&amp;RIGHT("00000"&amp;558,5))</f>
        <v/>
      </c>
      <c r="C563">
        <f>IF($B563="","",COUNTIFS($A$6:$A$1005,$A563,$B$6:$B$1005,"&lt;"&amp;$B563)+COUNTIFS($N$6:$N$2005,$A563,$P$6:$P$2005,"&lt;"&amp;$B563)+1)</f>
        <v/>
      </c>
      <c r="D563">
        <f>IF($C563="","",$A563&amp;"|"&amp;RIGHT("000000"&amp;$C563,6))</f>
        <v/>
      </c>
      <c r="E563">
        <f>IF(Entry!$B566="","",IF(ISNUMBER(Entry!$B566),IF(AND(Entry!$B566&gt;=10000101,Entry!$B566&lt;=99991231),INT(Entry!$B566/10000)&amp;"/"&amp;RIGHT("00"&amp;INT(MOD(Entry!$B566,10000)/100),2)&amp;"/"&amp;RIGHT("00"&amp;MOD(Entry!$B566,100),2),"نامعتبر"),IF(LEN(Entry!$B566)=10,Entry!$B566,"نامعتبر")))</f>
        <v/>
      </c>
      <c r="F563">
        <f>IF(Entry!$B566="","",IF(Entry!$C566="","0000",IF(AND(ISNUMBER(Entry!$C566),Entry!$C566&gt;=0,Entry!$C566&lt;1),RIGHT("00"&amp;HOUR(Entry!$C566),2)&amp;RIGHT("00"&amp;MINUTE(Entry!$C566),2),IFERROR(RIGHT("00"&amp;VALUE(LEFT(Entry!$C566,FIND(":",Entry!$C566)-1)),2)&amp;RIGHT("00"&amp;VALUE(MID(Entry!$C566,FIND(":",Entry!$C566)+1,2)),2),"0000"))))</f>
        <v/>
      </c>
      <c r="G563">
        <f>IF($A563="","",Entry!$G566)</f>
        <v/>
      </c>
      <c r="H563">
        <f>IF($A563="","",IF(Entry!$H566="",0,Entry!$H566))</f>
        <v/>
      </c>
      <c r="I563">
        <f>IF($A563="","",IF(Entry!$I566="",0,Entry!$I566))</f>
        <v/>
      </c>
      <c r="J563">
        <f>IF($A563="","",ROUND($H563*$I563,0))</f>
        <v/>
      </c>
      <c r="K563">
        <f>IF($A563="","",Entry!$D566)</f>
        <v/>
      </c>
      <c r="L563">
        <f>IF($A563="","",Entry!$L566)</f>
        <v/>
      </c>
      <c r="N563">
        <f>IF(OR(Sync!$M563="",$Q563="",$Q563="نامعتبر"),"",Sync!$M563)</f>
        <v/>
      </c>
      <c r="O563">
        <f>IF($N563="","",$Q563)</f>
        <v/>
      </c>
      <c r="P563">
        <f>IF($N563="","",LEFT($Q563,4)&amp;MID($Q563,6,2)&amp;RIGHT($Q563,2)&amp;IF(Sync!$K563="","0000",IF(AND(ISNUMBER(Sync!$K563),Sync!$K563&gt;=0,Sync!$K563&lt;1),RIGHT("00"&amp;HOUR(Sync!$K563),2)&amp;RIGHT("00"&amp;MINUTE(Sync!$K563),2),IFERROR(RIGHT("00"&amp;VALUE(LEFT(Sync!$K563,FIND(":",Sync!$K563)-1)),2)&amp;RIGHT("00"&amp;VALUE(MID(Sync!$K563,FIND(":",Sync!$K563)+1,2)),2),"0000")))&amp;"|"&amp;"2"&amp;RIGHT("00000"&amp;558,5))</f>
        <v/>
      </c>
      <c r="Q563">
        <f>IF(Sync!$J563="","",IF(ISNUMBER(Sync!$J563),IF(AND(Sync!$J563&gt;=10000101,Sync!$J563&lt;=99991231),INT(Sync!$J563/10000)&amp;"/"&amp;RIGHT("00"&amp;INT(MOD(Sync!$J563,10000)/100),2)&amp;"/"&amp;RIGHT("00"&amp;MOD(Sync!$J563,100),2),"نامعتبر"),IF(LEN(Sync!$J563)=10,Sync!$J563,"نامعتبر")))</f>
        <v/>
      </c>
      <c r="R563">
        <f>IF($P563="","",COUNTIFS($N$6:$N$2005,$N563,$P$6:$P$2005,"&lt;"&amp;$P563)+COUNTIFS($A$6:$A$1005,$N563,$B$6:$B$1005,"&lt;"&amp;$P563)+1)</f>
        <v/>
      </c>
      <c r="S563">
        <f>IF($N563="","",$N563&amp;"|"&amp;RIGHT("000000"&amp;$R563,6))</f>
        <v/>
      </c>
      <c r="T563">
        <f>IF($N563="","",IF(Sync!$N563="",0,Sync!$N563))</f>
        <v/>
      </c>
      <c r="U563">
        <f>IF($N563="","",IF(Sync!$O563="",0,Sync!$O563))</f>
        <v/>
      </c>
      <c r="V563">
        <f>IF($N563="","",Sync!$L563)</f>
        <v/>
      </c>
      <c r="W563">
        <f>IF($N563="","",Sync!$P563)</f>
        <v/>
      </c>
      <c r="AA563">
        <f>IF($A563="","",IF(COUNTIF($A$6:$A563,$A563)=1,1,0))</f>
        <v/>
      </c>
      <c r="AB563">
        <f>SUM($AA$6:$AA563)</f>
        <v/>
      </c>
      <c r="AC563">
        <f>IFERROR(INDEX($A$6:$A$1005,MATCH(ROW()-5,$AB$6:$AB$1005,0)),"")</f>
        <v/>
      </c>
    </row>
    <row r="564">
      <c r="A564">
        <f>IF(OR(Entry!$B567="",Entry!$E567="",$E564="نامعتبر"),"",Entry!$E567)</f>
        <v/>
      </c>
      <c r="B564">
        <f>IF($A564="","",LEFT($E564,4)&amp;MID($E564,6,2)&amp;RIGHT($E564,2)&amp;$F564&amp;"|"&amp;"1"&amp;RIGHT("00000"&amp;559,5))</f>
        <v/>
      </c>
      <c r="C564">
        <f>IF($B564="","",COUNTIFS($A$6:$A$1005,$A564,$B$6:$B$1005,"&lt;"&amp;$B564)+COUNTIFS($N$6:$N$2005,$A564,$P$6:$P$2005,"&lt;"&amp;$B564)+1)</f>
        <v/>
      </c>
      <c r="D564">
        <f>IF($C564="","",$A564&amp;"|"&amp;RIGHT("000000"&amp;$C564,6))</f>
        <v/>
      </c>
      <c r="E564">
        <f>IF(Entry!$B567="","",IF(ISNUMBER(Entry!$B567),IF(AND(Entry!$B567&gt;=10000101,Entry!$B567&lt;=99991231),INT(Entry!$B567/10000)&amp;"/"&amp;RIGHT("00"&amp;INT(MOD(Entry!$B567,10000)/100),2)&amp;"/"&amp;RIGHT("00"&amp;MOD(Entry!$B567,100),2),"نامعتبر"),IF(LEN(Entry!$B567)=10,Entry!$B567,"نامعتبر")))</f>
        <v/>
      </c>
      <c r="F564">
        <f>IF(Entry!$B567="","",IF(Entry!$C567="","0000",IF(AND(ISNUMBER(Entry!$C567),Entry!$C567&gt;=0,Entry!$C567&lt;1),RIGHT("00"&amp;HOUR(Entry!$C567),2)&amp;RIGHT("00"&amp;MINUTE(Entry!$C567),2),IFERROR(RIGHT("00"&amp;VALUE(LEFT(Entry!$C567,FIND(":",Entry!$C567)-1)),2)&amp;RIGHT("00"&amp;VALUE(MID(Entry!$C567,FIND(":",Entry!$C567)+1,2)),2),"0000"))))</f>
        <v/>
      </c>
      <c r="G564">
        <f>IF($A564="","",Entry!$G567)</f>
        <v/>
      </c>
      <c r="H564">
        <f>IF($A564="","",IF(Entry!$H567="",0,Entry!$H567))</f>
        <v/>
      </c>
      <c r="I564">
        <f>IF($A564="","",IF(Entry!$I567="",0,Entry!$I567))</f>
        <v/>
      </c>
      <c r="J564">
        <f>IF($A564="","",ROUND($H564*$I564,0))</f>
        <v/>
      </c>
      <c r="K564">
        <f>IF($A564="","",Entry!$D567)</f>
        <v/>
      </c>
      <c r="L564">
        <f>IF($A564="","",Entry!$L567)</f>
        <v/>
      </c>
      <c r="N564">
        <f>IF(OR(Sync!$M564="",$Q564="",$Q564="نامعتبر"),"",Sync!$M564)</f>
        <v/>
      </c>
      <c r="O564">
        <f>IF($N564="","",$Q564)</f>
        <v/>
      </c>
      <c r="P564">
        <f>IF($N564="","",LEFT($Q564,4)&amp;MID($Q564,6,2)&amp;RIGHT($Q564,2)&amp;IF(Sync!$K564="","0000",IF(AND(ISNUMBER(Sync!$K564),Sync!$K564&gt;=0,Sync!$K564&lt;1),RIGHT("00"&amp;HOUR(Sync!$K564),2)&amp;RIGHT("00"&amp;MINUTE(Sync!$K564),2),IFERROR(RIGHT("00"&amp;VALUE(LEFT(Sync!$K564,FIND(":",Sync!$K564)-1)),2)&amp;RIGHT("00"&amp;VALUE(MID(Sync!$K564,FIND(":",Sync!$K564)+1,2)),2),"0000")))&amp;"|"&amp;"2"&amp;RIGHT("00000"&amp;559,5))</f>
        <v/>
      </c>
      <c r="Q564">
        <f>IF(Sync!$J564="","",IF(ISNUMBER(Sync!$J564),IF(AND(Sync!$J564&gt;=10000101,Sync!$J564&lt;=99991231),INT(Sync!$J564/10000)&amp;"/"&amp;RIGHT("00"&amp;INT(MOD(Sync!$J564,10000)/100),2)&amp;"/"&amp;RIGHT("00"&amp;MOD(Sync!$J564,100),2),"نامعتبر"),IF(LEN(Sync!$J564)=10,Sync!$J564,"نامعتبر")))</f>
        <v/>
      </c>
      <c r="R564">
        <f>IF($P564="","",COUNTIFS($N$6:$N$2005,$N564,$P$6:$P$2005,"&lt;"&amp;$P564)+COUNTIFS($A$6:$A$1005,$N564,$B$6:$B$1005,"&lt;"&amp;$P564)+1)</f>
        <v/>
      </c>
      <c r="S564">
        <f>IF($N564="","",$N564&amp;"|"&amp;RIGHT("000000"&amp;$R564,6))</f>
        <v/>
      </c>
      <c r="T564">
        <f>IF($N564="","",IF(Sync!$N564="",0,Sync!$N564))</f>
        <v/>
      </c>
      <c r="U564">
        <f>IF($N564="","",IF(Sync!$O564="",0,Sync!$O564))</f>
        <v/>
      </c>
      <c r="V564">
        <f>IF($N564="","",Sync!$L564)</f>
        <v/>
      </c>
      <c r="W564">
        <f>IF($N564="","",Sync!$P564)</f>
        <v/>
      </c>
      <c r="AA564">
        <f>IF($A564="","",IF(COUNTIF($A$6:$A564,$A564)=1,1,0))</f>
        <v/>
      </c>
      <c r="AB564">
        <f>SUM($AA$6:$AA564)</f>
        <v/>
      </c>
      <c r="AC564">
        <f>IFERROR(INDEX($A$6:$A$1005,MATCH(ROW()-5,$AB$6:$AB$1005,0)),"")</f>
        <v/>
      </c>
    </row>
    <row r="565">
      <c r="A565">
        <f>IF(OR(Entry!$B568="",Entry!$E568="",$E565="نامعتبر"),"",Entry!$E568)</f>
        <v/>
      </c>
      <c r="B565">
        <f>IF($A565="","",LEFT($E565,4)&amp;MID($E565,6,2)&amp;RIGHT($E565,2)&amp;$F565&amp;"|"&amp;"1"&amp;RIGHT("00000"&amp;560,5))</f>
        <v/>
      </c>
      <c r="C565">
        <f>IF($B565="","",COUNTIFS($A$6:$A$1005,$A565,$B$6:$B$1005,"&lt;"&amp;$B565)+COUNTIFS($N$6:$N$2005,$A565,$P$6:$P$2005,"&lt;"&amp;$B565)+1)</f>
        <v/>
      </c>
      <c r="D565">
        <f>IF($C565="","",$A565&amp;"|"&amp;RIGHT("000000"&amp;$C565,6))</f>
        <v/>
      </c>
      <c r="E565">
        <f>IF(Entry!$B568="","",IF(ISNUMBER(Entry!$B568),IF(AND(Entry!$B568&gt;=10000101,Entry!$B568&lt;=99991231),INT(Entry!$B568/10000)&amp;"/"&amp;RIGHT("00"&amp;INT(MOD(Entry!$B568,10000)/100),2)&amp;"/"&amp;RIGHT("00"&amp;MOD(Entry!$B568,100),2),"نامعتبر"),IF(LEN(Entry!$B568)=10,Entry!$B568,"نامعتبر")))</f>
        <v/>
      </c>
      <c r="F565">
        <f>IF(Entry!$B568="","",IF(Entry!$C568="","0000",IF(AND(ISNUMBER(Entry!$C568),Entry!$C568&gt;=0,Entry!$C568&lt;1),RIGHT("00"&amp;HOUR(Entry!$C568),2)&amp;RIGHT("00"&amp;MINUTE(Entry!$C568),2),IFERROR(RIGHT("00"&amp;VALUE(LEFT(Entry!$C568,FIND(":",Entry!$C568)-1)),2)&amp;RIGHT("00"&amp;VALUE(MID(Entry!$C568,FIND(":",Entry!$C568)+1,2)),2),"0000"))))</f>
        <v/>
      </c>
      <c r="G565">
        <f>IF($A565="","",Entry!$G568)</f>
        <v/>
      </c>
      <c r="H565">
        <f>IF($A565="","",IF(Entry!$H568="",0,Entry!$H568))</f>
        <v/>
      </c>
      <c r="I565">
        <f>IF($A565="","",IF(Entry!$I568="",0,Entry!$I568))</f>
        <v/>
      </c>
      <c r="J565">
        <f>IF($A565="","",ROUND($H565*$I565,0))</f>
        <v/>
      </c>
      <c r="K565">
        <f>IF($A565="","",Entry!$D568)</f>
        <v/>
      </c>
      <c r="L565">
        <f>IF($A565="","",Entry!$L568)</f>
        <v/>
      </c>
      <c r="N565">
        <f>IF(OR(Sync!$M565="",$Q565="",$Q565="نامعتبر"),"",Sync!$M565)</f>
        <v/>
      </c>
      <c r="O565">
        <f>IF($N565="","",$Q565)</f>
        <v/>
      </c>
      <c r="P565">
        <f>IF($N565="","",LEFT($Q565,4)&amp;MID($Q565,6,2)&amp;RIGHT($Q565,2)&amp;IF(Sync!$K565="","0000",IF(AND(ISNUMBER(Sync!$K565),Sync!$K565&gt;=0,Sync!$K565&lt;1),RIGHT("00"&amp;HOUR(Sync!$K565),2)&amp;RIGHT("00"&amp;MINUTE(Sync!$K565),2),IFERROR(RIGHT("00"&amp;VALUE(LEFT(Sync!$K565,FIND(":",Sync!$K565)-1)),2)&amp;RIGHT("00"&amp;VALUE(MID(Sync!$K565,FIND(":",Sync!$K565)+1,2)),2),"0000")))&amp;"|"&amp;"2"&amp;RIGHT("00000"&amp;560,5))</f>
        <v/>
      </c>
      <c r="Q565">
        <f>IF(Sync!$J565="","",IF(ISNUMBER(Sync!$J565),IF(AND(Sync!$J565&gt;=10000101,Sync!$J565&lt;=99991231),INT(Sync!$J565/10000)&amp;"/"&amp;RIGHT("00"&amp;INT(MOD(Sync!$J565,10000)/100),2)&amp;"/"&amp;RIGHT("00"&amp;MOD(Sync!$J565,100),2),"نامعتبر"),IF(LEN(Sync!$J565)=10,Sync!$J565,"نامعتبر")))</f>
        <v/>
      </c>
      <c r="R565">
        <f>IF($P565="","",COUNTIFS($N$6:$N$2005,$N565,$P$6:$P$2005,"&lt;"&amp;$P565)+COUNTIFS($A$6:$A$1005,$N565,$B$6:$B$1005,"&lt;"&amp;$P565)+1)</f>
        <v/>
      </c>
      <c r="S565">
        <f>IF($N565="","",$N565&amp;"|"&amp;RIGHT("000000"&amp;$R565,6))</f>
        <v/>
      </c>
      <c r="T565">
        <f>IF($N565="","",IF(Sync!$N565="",0,Sync!$N565))</f>
        <v/>
      </c>
      <c r="U565">
        <f>IF($N565="","",IF(Sync!$O565="",0,Sync!$O565))</f>
        <v/>
      </c>
      <c r="V565">
        <f>IF($N565="","",Sync!$L565)</f>
        <v/>
      </c>
      <c r="W565">
        <f>IF($N565="","",Sync!$P565)</f>
        <v/>
      </c>
      <c r="AA565">
        <f>IF($A565="","",IF(COUNTIF($A$6:$A565,$A565)=1,1,0))</f>
        <v/>
      </c>
      <c r="AB565">
        <f>SUM($AA$6:$AA565)</f>
        <v/>
      </c>
      <c r="AC565">
        <f>IFERROR(INDEX($A$6:$A$1005,MATCH(ROW()-5,$AB$6:$AB$1005,0)),"")</f>
        <v/>
      </c>
    </row>
    <row r="566">
      <c r="A566">
        <f>IF(OR(Entry!$B569="",Entry!$E569="",$E566="نامعتبر"),"",Entry!$E569)</f>
        <v/>
      </c>
      <c r="B566">
        <f>IF($A566="","",LEFT($E566,4)&amp;MID($E566,6,2)&amp;RIGHT($E566,2)&amp;$F566&amp;"|"&amp;"1"&amp;RIGHT("00000"&amp;561,5))</f>
        <v/>
      </c>
      <c r="C566">
        <f>IF($B566="","",COUNTIFS($A$6:$A$1005,$A566,$B$6:$B$1005,"&lt;"&amp;$B566)+COUNTIFS($N$6:$N$2005,$A566,$P$6:$P$2005,"&lt;"&amp;$B566)+1)</f>
        <v/>
      </c>
      <c r="D566">
        <f>IF($C566="","",$A566&amp;"|"&amp;RIGHT("000000"&amp;$C566,6))</f>
        <v/>
      </c>
      <c r="E566">
        <f>IF(Entry!$B569="","",IF(ISNUMBER(Entry!$B569),IF(AND(Entry!$B569&gt;=10000101,Entry!$B569&lt;=99991231),INT(Entry!$B569/10000)&amp;"/"&amp;RIGHT("00"&amp;INT(MOD(Entry!$B569,10000)/100),2)&amp;"/"&amp;RIGHT("00"&amp;MOD(Entry!$B569,100),2),"نامعتبر"),IF(LEN(Entry!$B569)=10,Entry!$B569,"نامعتبر")))</f>
        <v/>
      </c>
      <c r="F566">
        <f>IF(Entry!$B569="","",IF(Entry!$C569="","0000",IF(AND(ISNUMBER(Entry!$C569),Entry!$C569&gt;=0,Entry!$C569&lt;1),RIGHT("00"&amp;HOUR(Entry!$C569),2)&amp;RIGHT("00"&amp;MINUTE(Entry!$C569),2),IFERROR(RIGHT("00"&amp;VALUE(LEFT(Entry!$C569,FIND(":",Entry!$C569)-1)),2)&amp;RIGHT("00"&amp;VALUE(MID(Entry!$C569,FIND(":",Entry!$C569)+1,2)),2),"0000"))))</f>
        <v/>
      </c>
      <c r="G566">
        <f>IF($A566="","",Entry!$G569)</f>
        <v/>
      </c>
      <c r="H566">
        <f>IF($A566="","",IF(Entry!$H569="",0,Entry!$H569))</f>
        <v/>
      </c>
      <c r="I566">
        <f>IF($A566="","",IF(Entry!$I569="",0,Entry!$I569))</f>
        <v/>
      </c>
      <c r="J566">
        <f>IF($A566="","",ROUND($H566*$I566,0))</f>
        <v/>
      </c>
      <c r="K566">
        <f>IF($A566="","",Entry!$D569)</f>
        <v/>
      </c>
      <c r="L566">
        <f>IF($A566="","",Entry!$L569)</f>
        <v/>
      </c>
      <c r="N566">
        <f>IF(OR(Sync!$M566="",$Q566="",$Q566="نامعتبر"),"",Sync!$M566)</f>
        <v/>
      </c>
      <c r="O566">
        <f>IF($N566="","",$Q566)</f>
        <v/>
      </c>
      <c r="P566">
        <f>IF($N566="","",LEFT($Q566,4)&amp;MID($Q566,6,2)&amp;RIGHT($Q566,2)&amp;IF(Sync!$K566="","0000",IF(AND(ISNUMBER(Sync!$K566),Sync!$K566&gt;=0,Sync!$K566&lt;1),RIGHT("00"&amp;HOUR(Sync!$K566),2)&amp;RIGHT("00"&amp;MINUTE(Sync!$K566),2),IFERROR(RIGHT("00"&amp;VALUE(LEFT(Sync!$K566,FIND(":",Sync!$K566)-1)),2)&amp;RIGHT("00"&amp;VALUE(MID(Sync!$K566,FIND(":",Sync!$K566)+1,2)),2),"0000")))&amp;"|"&amp;"2"&amp;RIGHT("00000"&amp;561,5))</f>
        <v/>
      </c>
      <c r="Q566">
        <f>IF(Sync!$J566="","",IF(ISNUMBER(Sync!$J566),IF(AND(Sync!$J566&gt;=10000101,Sync!$J566&lt;=99991231),INT(Sync!$J566/10000)&amp;"/"&amp;RIGHT("00"&amp;INT(MOD(Sync!$J566,10000)/100),2)&amp;"/"&amp;RIGHT("00"&amp;MOD(Sync!$J566,100),2),"نامعتبر"),IF(LEN(Sync!$J566)=10,Sync!$J566,"نامعتبر")))</f>
        <v/>
      </c>
      <c r="R566">
        <f>IF($P566="","",COUNTIFS($N$6:$N$2005,$N566,$P$6:$P$2005,"&lt;"&amp;$P566)+COUNTIFS($A$6:$A$1005,$N566,$B$6:$B$1005,"&lt;"&amp;$P566)+1)</f>
        <v/>
      </c>
      <c r="S566">
        <f>IF($N566="","",$N566&amp;"|"&amp;RIGHT("000000"&amp;$R566,6))</f>
        <v/>
      </c>
      <c r="T566">
        <f>IF($N566="","",IF(Sync!$N566="",0,Sync!$N566))</f>
        <v/>
      </c>
      <c r="U566">
        <f>IF($N566="","",IF(Sync!$O566="",0,Sync!$O566))</f>
        <v/>
      </c>
      <c r="V566">
        <f>IF($N566="","",Sync!$L566)</f>
        <v/>
      </c>
      <c r="W566">
        <f>IF($N566="","",Sync!$P566)</f>
        <v/>
      </c>
      <c r="AA566">
        <f>IF($A566="","",IF(COUNTIF($A$6:$A566,$A566)=1,1,0))</f>
        <v/>
      </c>
      <c r="AB566">
        <f>SUM($AA$6:$AA566)</f>
        <v/>
      </c>
      <c r="AC566">
        <f>IFERROR(INDEX($A$6:$A$1005,MATCH(ROW()-5,$AB$6:$AB$1005,0)),"")</f>
        <v/>
      </c>
    </row>
    <row r="567">
      <c r="A567">
        <f>IF(OR(Entry!$B570="",Entry!$E570="",$E567="نامعتبر"),"",Entry!$E570)</f>
        <v/>
      </c>
      <c r="B567">
        <f>IF($A567="","",LEFT($E567,4)&amp;MID($E567,6,2)&amp;RIGHT($E567,2)&amp;$F567&amp;"|"&amp;"1"&amp;RIGHT("00000"&amp;562,5))</f>
        <v/>
      </c>
      <c r="C567">
        <f>IF($B567="","",COUNTIFS($A$6:$A$1005,$A567,$B$6:$B$1005,"&lt;"&amp;$B567)+COUNTIFS($N$6:$N$2005,$A567,$P$6:$P$2005,"&lt;"&amp;$B567)+1)</f>
        <v/>
      </c>
      <c r="D567">
        <f>IF($C567="","",$A567&amp;"|"&amp;RIGHT("000000"&amp;$C567,6))</f>
        <v/>
      </c>
      <c r="E567">
        <f>IF(Entry!$B570="","",IF(ISNUMBER(Entry!$B570),IF(AND(Entry!$B570&gt;=10000101,Entry!$B570&lt;=99991231),INT(Entry!$B570/10000)&amp;"/"&amp;RIGHT("00"&amp;INT(MOD(Entry!$B570,10000)/100),2)&amp;"/"&amp;RIGHT("00"&amp;MOD(Entry!$B570,100),2),"نامعتبر"),IF(LEN(Entry!$B570)=10,Entry!$B570,"نامعتبر")))</f>
        <v/>
      </c>
      <c r="F567">
        <f>IF(Entry!$B570="","",IF(Entry!$C570="","0000",IF(AND(ISNUMBER(Entry!$C570),Entry!$C570&gt;=0,Entry!$C570&lt;1),RIGHT("00"&amp;HOUR(Entry!$C570),2)&amp;RIGHT("00"&amp;MINUTE(Entry!$C570),2),IFERROR(RIGHT("00"&amp;VALUE(LEFT(Entry!$C570,FIND(":",Entry!$C570)-1)),2)&amp;RIGHT("00"&amp;VALUE(MID(Entry!$C570,FIND(":",Entry!$C570)+1,2)),2),"0000"))))</f>
        <v/>
      </c>
      <c r="G567">
        <f>IF($A567="","",Entry!$G570)</f>
        <v/>
      </c>
      <c r="H567">
        <f>IF($A567="","",IF(Entry!$H570="",0,Entry!$H570))</f>
        <v/>
      </c>
      <c r="I567">
        <f>IF($A567="","",IF(Entry!$I570="",0,Entry!$I570))</f>
        <v/>
      </c>
      <c r="J567">
        <f>IF($A567="","",ROUND($H567*$I567,0))</f>
        <v/>
      </c>
      <c r="K567">
        <f>IF($A567="","",Entry!$D570)</f>
        <v/>
      </c>
      <c r="L567">
        <f>IF($A567="","",Entry!$L570)</f>
        <v/>
      </c>
      <c r="N567">
        <f>IF(OR(Sync!$M567="",$Q567="",$Q567="نامعتبر"),"",Sync!$M567)</f>
        <v/>
      </c>
      <c r="O567">
        <f>IF($N567="","",$Q567)</f>
        <v/>
      </c>
      <c r="P567">
        <f>IF($N567="","",LEFT($Q567,4)&amp;MID($Q567,6,2)&amp;RIGHT($Q567,2)&amp;IF(Sync!$K567="","0000",IF(AND(ISNUMBER(Sync!$K567),Sync!$K567&gt;=0,Sync!$K567&lt;1),RIGHT("00"&amp;HOUR(Sync!$K567),2)&amp;RIGHT("00"&amp;MINUTE(Sync!$K567),2),IFERROR(RIGHT("00"&amp;VALUE(LEFT(Sync!$K567,FIND(":",Sync!$K567)-1)),2)&amp;RIGHT("00"&amp;VALUE(MID(Sync!$K567,FIND(":",Sync!$K567)+1,2)),2),"0000")))&amp;"|"&amp;"2"&amp;RIGHT("00000"&amp;562,5))</f>
        <v/>
      </c>
      <c r="Q567">
        <f>IF(Sync!$J567="","",IF(ISNUMBER(Sync!$J567),IF(AND(Sync!$J567&gt;=10000101,Sync!$J567&lt;=99991231),INT(Sync!$J567/10000)&amp;"/"&amp;RIGHT("00"&amp;INT(MOD(Sync!$J567,10000)/100),2)&amp;"/"&amp;RIGHT("00"&amp;MOD(Sync!$J567,100),2),"نامعتبر"),IF(LEN(Sync!$J567)=10,Sync!$J567,"نامعتبر")))</f>
        <v/>
      </c>
      <c r="R567">
        <f>IF($P567="","",COUNTIFS($N$6:$N$2005,$N567,$P$6:$P$2005,"&lt;"&amp;$P567)+COUNTIFS($A$6:$A$1005,$N567,$B$6:$B$1005,"&lt;"&amp;$P567)+1)</f>
        <v/>
      </c>
      <c r="S567">
        <f>IF($N567="","",$N567&amp;"|"&amp;RIGHT("000000"&amp;$R567,6))</f>
        <v/>
      </c>
      <c r="T567">
        <f>IF($N567="","",IF(Sync!$N567="",0,Sync!$N567))</f>
        <v/>
      </c>
      <c r="U567">
        <f>IF($N567="","",IF(Sync!$O567="",0,Sync!$O567))</f>
        <v/>
      </c>
      <c r="V567">
        <f>IF($N567="","",Sync!$L567)</f>
        <v/>
      </c>
      <c r="W567">
        <f>IF($N567="","",Sync!$P567)</f>
        <v/>
      </c>
      <c r="AA567">
        <f>IF($A567="","",IF(COUNTIF($A$6:$A567,$A567)=1,1,0))</f>
        <v/>
      </c>
      <c r="AB567">
        <f>SUM($AA$6:$AA567)</f>
        <v/>
      </c>
      <c r="AC567">
        <f>IFERROR(INDEX($A$6:$A$1005,MATCH(ROW()-5,$AB$6:$AB$1005,0)),"")</f>
        <v/>
      </c>
    </row>
    <row r="568">
      <c r="A568">
        <f>IF(OR(Entry!$B571="",Entry!$E571="",$E568="نامعتبر"),"",Entry!$E571)</f>
        <v/>
      </c>
      <c r="B568">
        <f>IF($A568="","",LEFT($E568,4)&amp;MID($E568,6,2)&amp;RIGHT($E568,2)&amp;$F568&amp;"|"&amp;"1"&amp;RIGHT("00000"&amp;563,5))</f>
        <v/>
      </c>
      <c r="C568">
        <f>IF($B568="","",COUNTIFS($A$6:$A$1005,$A568,$B$6:$B$1005,"&lt;"&amp;$B568)+COUNTIFS($N$6:$N$2005,$A568,$P$6:$P$2005,"&lt;"&amp;$B568)+1)</f>
        <v/>
      </c>
      <c r="D568">
        <f>IF($C568="","",$A568&amp;"|"&amp;RIGHT("000000"&amp;$C568,6))</f>
        <v/>
      </c>
      <c r="E568">
        <f>IF(Entry!$B571="","",IF(ISNUMBER(Entry!$B571),IF(AND(Entry!$B571&gt;=10000101,Entry!$B571&lt;=99991231),INT(Entry!$B571/10000)&amp;"/"&amp;RIGHT("00"&amp;INT(MOD(Entry!$B571,10000)/100),2)&amp;"/"&amp;RIGHT("00"&amp;MOD(Entry!$B571,100),2),"نامعتبر"),IF(LEN(Entry!$B571)=10,Entry!$B571,"نامعتبر")))</f>
        <v/>
      </c>
      <c r="F568">
        <f>IF(Entry!$B571="","",IF(Entry!$C571="","0000",IF(AND(ISNUMBER(Entry!$C571),Entry!$C571&gt;=0,Entry!$C571&lt;1),RIGHT("00"&amp;HOUR(Entry!$C571),2)&amp;RIGHT("00"&amp;MINUTE(Entry!$C571),2),IFERROR(RIGHT("00"&amp;VALUE(LEFT(Entry!$C571,FIND(":",Entry!$C571)-1)),2)&amp;RIGHT("00"&amp;VALUE(MID(Entry!$C571,FIND(":",Entry!$C571)+1,2)),2),"0000"))))</f>
        <v/>
      </c>
      <c r="G568">
        <f>IF($A568="","",Entry!$G571)</f>
        <v/>
      </c>
      <c r="H568">
        <f>IF($A568="","",IF(Entry!$H571="",0,Entry!$H571))</f>
        <v/>
      </c>
      <c r="I568">
        <f>IF($A568="","",IF(Entry!$I571="",0,Entry!$I571))</f>
        <v/>
      </c>
      <c r="J568">
        <f>IF($A568="","",ROUND($H568*$I568,0))</f>
        <v/>
      </c>
      <c r="K568">
        <f>IF($A568="","",Entry!$D571)</f>
        <v/>
      </c>
      <c r="L568">
        <f>IF($A568="","",Entry!$L571)</f>
        <v/>
      </c>
      <c r="N568">
        <f>IF(OR(Sync!$M568="",$Q568="",$Q568="نامعتبر"),"",Sync!$M568)</f>
        <v/>
      </c>
      <c r="O568">
        <f>IF($N568="","",$Q568)</f>
        <v/>
      </c>
      <c r="P568">
        <f>IF($N568="","",LEFT($Q568,4)&amp;MID($Q568,6,2)&amp;RIGHT($Q568,2)&amp;IF(Sync!$K568="","0000",IF(AND(ISNUMBER(Sync!$K568),Sync!$K568&gt;=0,Sync!$K568&lt;1),RIGHT("00"&amp;HOUR(Sync!$K568),2)&amp;RIGHT("00"&amp;MINUTE(Sync!$K568),2),IFERROR(RIGHT("00"&amp;VALUE(LEFT(Sync!$K568,FIND(":",Sync!$K568)-1)),2)&amp;RIGHT("00"&amp;VALUE(MID(Sync!$K568,FIND(":",Sync!$K568)+1,2)),2),"0000")))&amp;"|"&amp;"2"&amp;RIGHT("00000"&amp;563,5))</f>
        <v/>
      </c>
      <c r="Q568">
        <f>IF(Sync!$J568="","",IF(ISNUMBER(Sync!$J568),IF(AND(Sync!$J568&gt;=10000101,Sync!$J568&lt;=99991231),INT(Sync!$J568/10000)&amp;"/"&amp;RIGHT("00"&amp;INT(MOD(Sync!$J568,10000)/100),2)&amp;"/"&amp;RIGHT("00"&amp;MOD(Sync!$J568,100),2),"نامعتبر"),IF(LEN(Sync!$J568)=10,Sync!$J568,"نامعتبر")))</f>
        <v/>
      </c>
      <c r="R568">
        <f>IF($P568="","",COUNTIFS($N$6:$N$2005,$N568,$P$6:$P$2005,"&lt;"&amp;$P568)+COUNTIFS($A$6:$A$1005,$N568,$B$6:$B$1005,"&lt;"&amp;$P568)+1)</f>
        <v/>
      </c>
      <c r="S568">
        <f>IF($N568="","",$N568&amp;"|"&amp;RIGHT("000000"&amp;$R568,6))</f>
        <v/>
      </c>
      <c r="T568">
        <f>IF($N568="","",IF(Sync!$N568="",0,Sync!$N568))</f>
        <v/>
      </c>
      <c r="U568">
        <f>IF($N568="","",IF(Sync!$O568="",0,Sync!$O568))</f>
        <v/>
      </c>
      <c r="V568">
        <f>IF($N568="","",Sync!$L568)</f>
        <v/>
      </c>
      <c r="W568">
        <f>IF($N568="","",Sync!$P568)</f>
        <v/>
      </c>
      <c r="AA568">
        <f>IF($A568="","",IF(COUNTIF($A$6:$A568,$A568)=1,1,0))</f>
        <v/>
      </c>
      <c r="AB568">
        <f>SUM($AA$6:$AA568)</f>
        <v/>
      </c>
      <c r="AC568">
        <f>IFERROR(INDEX($A$6:$A$1005,MATCH(ROW()-5,$AB$6:$AB$1005,0)),"")</f>
        <v/>
      </c>
    </row>
    <row r="569">
      <c r="A569">
        <f>IF(OR(Entry!$B572="",Entry!$E572="",$E569="نامعتبر"),"",Entry!$E572)</f>
        <v/>
      </c>
      <c r="B569">
        <f>IF($A569="","",LEFT($E569,4)&amp;MID($E569,6,2)&amp;RIGHT($E569,2)&amp;$F569&amp;"|"&amp;"1"&amp;RIGHT("00000"&amp;564,5))</f>
        <v/>
      </c>
      <c r="C569">
        <f>IF($B569="","",COUNTIFS($A$6:$A$1005,$A569,$B$6:$B$1005,"&lt;"&amp;$B569)+COUNTIFS($N$6:$N$2005,$A569,$P$6:$P$2005,"&lt;"&amp;$B569)+1)</f>
        <v/>
      </c>
      <c r="D569">
        <f>IF($C569="","",$A569&amp;"|"&amp;RIGHT("000000"&amp;$C569,6))</f>
        <v/>
      </c>
      <c r="E569">
        <f>IF(Entry!$B572="","",IF(ISNUMBER(Entry!$B572),IF(AND(Entry!$B572&gt;=10000101,Entry!$B572&lt;=99991231),INT(Entry!$B572/10000)&amp;"/"&amp;RIGHT("00"&amp;INT(MOD(Entry!$B572,10000)/100),2)&amp;"/"&amp;RIGHT("00"&amp;MOD(Entry!$B572,100),2),"نامعتبر"),IF(LEN(Entry!$B572)=10,Entry!$B572,"نامعتبر")))</f>
        <v/>
      </c>
      <c r="F569">
        <f>IF(Entry!$B572="","",IF(Entry!$C572="","0000",IF(AND(ISNUMBER(Entry!$C572),Entry!$C572&gt;=0,Entry!$C572&lt;1),RIGHT("00"&amp;HOUR(Entry!$C572),2)&amp;RIGHT("00"&amp;MINUTE(Entry!$C572),2),IFERROR(RIGHT("00"&amp;VALUE(LEFT(Entry!$C572,FIND(":",Entry!$C572)-1)),2)&amp;RIGHT("00"&amp;VALUE(MID(Entry!$C572,FIND(":",Entry!$C572)+1,2)),2),"0000"))))</f>
        <v/>
      </c>
      <c r="G569">
        <f>IF($A569="","",Entry!$G572)</f>
        <v/>
      </c>
      <c r="H569">
        <f>IF($A569="","",IF(Entry!$H572="",0,Entry!$H572))</f>
        <v/>
      </c>
      <c r="I569">
        <f>IF($A569="","",IF(Entry!$I572="",0,Entry!$I572))</f>
        <v/>
      </c>
      <c r="J569">
        <f>IF($A569="","",ROUND($H569*$I569,0))</f>
        <v/>
      </c>
      <c r="K569">
        <f>IF($A569="","",Entry!$D572)</f>
        <v/>
      </c>
      <c r="L569">
        <f>IF($A569="","",Entry!$L572)</f>
        <v/>
      </c>
      <c r="N569">
        <f>IF(OR(Sync!$M569="",$Q569="",$Q569="نامعتبر"),"",Sync!$M569)</f>
        <v/>
      </c>
      <c r="O569">
        <f>IF($N569="","",$Q569)</f>
        <v/>
      </c>
      <c r="P569">
        <f>IF($N569="","",LEFT($Q569,4)&amp;MID($Q569,6,2)&amp;RIGHT($Q569,2)&amp;IF(Sync!$K569="","0000",IF(AND(ISNUMBER(Sync!$K569),Sync!$K569&gt;=0,Sync!$K569&lt;1),RIGHT("00"&amp;HOUR(Sync!$K569),2)&amp;RIGHT("00"&amp;MINUTE(Sync!$K569),2),IFERROR(RIGHT("00"&amp;VALUE(LEFT(Sync!$K569,FIND(":",Sync!$K569)-1)),2)&amp;RIGHT("00"&amp;VALUE(MID(Sync!$K569,FIND(":",Sync!$K569)+1,2)),2),"0000")))&amp;"|"&amp;"2"&amp;RIGHT("00000"&amp;564,5))</f>
        <v/>
      </c>
      <c r="Q569">
        <f>IF(Sync!$J569="","",IF(ISNUMBER(Sync!$J569),IF(AND(Sync!$J569&gt;=10000101,Sync!$J569&lt;=99991231),INT(Sync!$J569/10000)&amp;"/"&amp;RIGHT("00"&amp;INT(MOD(Sync!$J569,10000)/100),2)&amp;"/"&amp;RIGHT("00"&amp;MOD(Sync!$J569,100),2),"نامعتبر"),IF(LEN(Sync!$J569)=10,Sync!$J569,"نامعتبر")))</f>
        <v/>
      </c>
      <c r="R569">
        <f>IF($P569="","",COUNTIFS($N$6:$N$2005,$N569,$P$6:$P$2005,"&lt;"&amp;$P569)+COUNTIFS($A$6:$A$1005,$N569,$B$6:$B$1005,"&lt;"&amp;$P569)+1)</f>
        <v/>
      </c>
      <c r="S569">
        <f>IF($N569="","",$N569&amp;"|"&amp;RIGHT("000000"&amp;$R569,6))</f>
        <v/>
      </c>
      <c r="T569">
        <f>IF($N569="","",IF(Sync!$N569="",0,Sync!$N569))</f>
        <v/>
      </c>
      <c r="U569">
        <f>IF($N569="","",IF(Sync!$O569="",0,Sync!$O569))</f>
        <v/>
      </c>
      <c r="V569">
        <f>IF($N569="","",Sync!$L569)</f>
        <v/>
      </c>
      <c r="W569">
        <f>IF($N569="","",Sync!$P569)</f>
        <v/>
      </c>
      <c r="AA569">
        <f>IF($A569="","",IF(COUNTIF($A$6:$A569,$A569)=1,1,0))</f>
        <v/>
      </c>
      <c r="AB569">
        <f>SUM($AA$6:$AA569)</f>
        <v/>
      </c>
      <c r="AC569">
        <f>IFERROR(INDEX($A$6:$A$1005,MATCH(ROW()-5,$AB$6:$AB$1005,0)),"")</f>
        <v/>
      </c>
    </row>
    <row r="570">
      <c r="A570">
        <f>IF(OR(Entry!$B573="",Entry!$E573="",$E570="نامعتبر"),"",Entry!$E573)</f>
        <v/>
      </c>
      <c r="B570">
        <f>IF($A570="","",LEFT($E570,4)&amp;MID($E570,6,2)&amp;RIGHT($E570,2)&amp;$F570&amp;"|"&amp;"1"&amp;RIGHT("00000"&amp;565,5))</f>
        <v/>
      </c>
      <c r="C570">
        <f>IF($B570="","",COUNTIFS($A$6:$A$1005,$A570,$B$6:$B$1005,"&lt;"&amp;$B570)+COUNTIFS($N$6:$N$2005,$A570,$P$6:$P$2005,"&lt;"&amp;$B570)+1)</f>
        <v/>
      </c>
      <c r="D570">
        <f>IF($C570="","",$A570&amp;"|"&amp;RIGHT("000000"&amp;$C570,6))</f>
        <v/>
      </c>
      <c r="E570">
        <f>IF(Entry!$B573="","",IF(ISNUMBER(Entry!$B573),IF(AND(Entry!$B573&gt;=10000101,Entry!$B573&lt;=99991231),INT(Entry!$B573/10000)&amp;"/"&amp;RIGHT("00"&amp;INT(MOD(Entry!$B573,10000)/100),2)&amp;"/"&amp;RIGHT("00"&amp;MOD(Entry!$B573,100),2),"نامعتبر"),IF(LEN(Entry!$B573)=10,Entry!$B573,"نامعتبر")))</f>
        <v/>
      </c>
      <c r="F570">
        <f>IF(Entry!$B573="","",IF(Entry!$C573="","0000",IF(AND(ISNUMBER(Entry!$C573),Entry!$C573&gt;=0,Entry!$C573&lt;1),RIGHT("00"&amp;HOUR(Entry!$C573),2)&amp;RIGHT("00"&amp;MINUTE(Entry!$C573),2),IFERROR(RIGHT("00"&amp;VALUE(LEFT(Entry!$C573,FIND(":",Entry!$C573)-1)),2)&amp;RIGHT("00"&amp;VALUE(MID(Entry!$C573,FIND(":",Entry!$C573)+1,2)),2),"0000"))))</f>
        <v/>
      </c>
      <c r="G570">
        <f>IF($A570="","",Entry!$G573)</f>
        <v/>
      </c>
      <c r="H570">
        <f>IF($A570="","",IF(Entry!$H573="",0,Entry!$H573))</f>
        <v/>
      </c>
      <c r="I570">
        <f>IF($A570="","",IF(Entry!$I573="",0,Entry!$I573))</f>
        <v/>
      </c>
      <c r="J570">
        <f>IF($A570="","",ROUND($H570*$I570,0))</f>
        <v/>
      </c>
      <c r="K570">
        <f>IF($A570="","",Entry!$D573)</f>
        <v/>
      </c>
      <c r="L570">
        <f>IF($A570="","",Entry!$L573)</f>
        <v/>
      </c>
      <c r="N570">
        <f>IF(OR(Sync!$M570="",$Q570="",$Q570="نامعتبر"),"",Sync!$M570)</f>
        <v/>
      </c>
      <c r="O570">
        <f>IF($N570="","",$Q570)</f>
        <v/>
      </c>
      <c r="P570">
        <f>IF($N570="","",LEFT($Q570,4)&amp;MID($Q570,6,2)&amp;RIGHT($Q570,2)&amp;IF(Sync!$K570="","0000",IF(AND(ISNUMBER(Sync!$K570),Sync!$K570&gt;=0,Sync!$K570&lt;1),RIGHT("00"&amp;HOUR(Sync!$K570),2)&amp;RIGHT("00"&amp;MINUTE(Sync!$K570),2),IFERROR(RIGHT("00"&amp;VALUE(LEFT(Sync!$K570,FIND(":",Sync!$K570)-1)),2)&amp;RIGHT("00"&amp;VALUE(MID(Sync!$K570,FIND(":",Sync!$K570)+1,2)),2),"0000")))&amp;"|"&amp;"2"&amp;RIGHT("00000"&amp;565,5))</f>
        <v/>
      </c>
      <c r="Q570">
        <f>IF(Sync!$J570="","",IF(ISNUMBER(Sync!$J570),IF(AND(Sync!$J570&gt;=10000101,Sync!$J570&lt;=99991231),INT(Sync!$J570/10000)&amp;"/"&amp;RIGHT("00"&amp;INT(MOD(Sync!$J570,10000)/100),2)&amp;"/"&amp;RIGHT("00"&amp;MOD(Sync!$J570,100),2),"نامعتبر"),IF(LEN(Sync!$J570)=10,Sync!$J570,"نامعتبر")))</f>
        <v/>
      </c>
      <c r="R570">
        <f>IF($P570="","",COUNTIFS($N$6:$N$2005,$N570,$P$6:$P$2005,"&lt;"&amp;$P570)+COUNTIFS($A$6:$A$1005,$N570,$B$6:$B$1005,"&lt;"&amp;$P570)+1)</f>
        <v/>
      </c>
      <c r="S570">
        <f>IF($N570="","",$N570&amp;"|"&amp;RIGHT("000000"&amp;$R570,6))</f>
        <v/>
      </c>
      <c r="T570">
        <f>IF($N570="","",IF(Sync!$N570="",0,Sync!$N570))</f>
        <v/>
      </c>
      <c r="U570">
        <f>IF($N570="","",IF(Sync!$O570="",0,Sync!$O570))</f>
        <v/>
      </c>
      <c r="V570">
        <f>IF($N570="","",Sync!$L570)</f>
        <v/>
      </c>
      <c r="W570">
        <f>IF($N570="","",Sync!$P570)</f>
        <v/>
      </c>
      <c r="AA570">
        <f>IF($A570="","",IF(COUNTIF($A$6:$A570,$A570)=1,1,0))</f>
        <v/>
      </c>
      <c r="AB570">
        <f>SUM($AA$6:$AA570)</f>
        <v/>
      </c>
      <c r="AC570">
        <f>IFERROR(INDEX($A$6:$A$1005,MATCH(ROW()-5,$AB$6:$AB$1005,0)),"")</f>
        <v/>
      </c>
    </row>
    <row r="571">
      <c r="A571">
        <f>IF(OR(Entry!$B574="",Entry!$E574="",$E571="نامعتبر"),"",Entry!$E574)</f>
        <v/>
      </c>
      <c r="B571">
        <f>IF($A571="","",LEFT($E571,4)&amp;MID($E571,6,2)&amp;RIGHT($E571,2)&amp;$F571&amp;"|"&amp;"1"&amp;RIGHT("00000"&amp;566,5))</f>
        <v/>
      </c>
      <c r="C571">
        <f>IF($B571="","",COUNTIFS($A$6:$A$1005,$A571,$B$6:$B$1005,"&lt;"&amp;$B571)+COUNTIFS($N$6:$N$2005,$A571,$P$6:$P$2005,"&lt;"&amp;$B571)+1)</f>
        <v/>
      </c>
      <c r="D571">
        <f>IF($C571="","",$A571&amp;"|"&amp;RIGHT("000000"&amp;$C571,6))</f>
        <v/>
      </c>
      <c r="E571">
        <f>IF(Entry!$B574="","",IF(ISNUMBER(Entry!$B574),IF(AND(Entry!$B574&gt;=10000101,Entry!$B574&lt;=99991231),INT(Entry!$B574/10000)&amp;"/"&amp;RIGHT("00"&amp;INT(MOD(Entry!$B574,10000)/100),2)&amp;"/"&amp;RIGHT("00"&amp;MOD(Entry!$B574,100),2),"نامعتبر"),IF(LEN(Entry!$B574)=10,Entry!$B574,"نامعتبر")))</f>
        <v/>
      </c>
      <c r="F571">
        <f>IF(Entry!$B574="","",IF(Entry!$C574="","0000",IF(AND(ISNUMBER(Entry!$C574),Entry!$C574&gt;=0,Entry!$C574&lt;1),RIGHT("00"&amp;HOUR(Entry!$C574),2)&amp;RIGHT("00"&amp;MINUTE(Entry!$C574),2),IFERROR(RIGHT("00"&amp;VALUE(LEFT(Entry!$C574,FIND(":",Entry!$C574)-1)),2)&amp;RIGHT("00"&amp;VALUE(MID(Entry!$C574,FIND(":",Entry!$C574)+1,2)),2),"0000"))))</f>
        <v/>
      </c>
      <c r="G571">
        <f>IF($A571="","",Entry!$G574)</f>
        <v/>
      </c>
      <c r="H571">
        <f>IF($A571="","",IF(Entry!$H574="",0,Entry!$H574))</f>
        <v/>
      </c>
      <c r="I571">
        <f>IF($A571="","",IF(Entry!$I574="",0,Entry!$I574))</f>
        <v/>
      </c>
      <c r="J571">
        <f>IF($A571="","",ROUND($H571*$I571,0))</f>
        <v/>
      </c>
      <c r="K571">
        <f>IF($A571="","",Entry!$D574)</f>
        <v/>
      </c>
      <c r="L571">
        <f>IF($A571="","",Entry!$L574)</f>
        <v/>
      </c>
      <c r="N571">
        <f>IF(OR(Sync!$M571="",$Q571="",$Q571="نامعتبر"),"",Sync!$M571)</f>
        <v/>
      </c>
      <c r="O571">
        <f>IF($N571="","",$Q571)</f>
        <v/>
      </c>
      <c r="P571">
        <f>IF($N571="","",LEFT($Q571,4)&amp;MID($Q571,6,2)&amp;RIGHT($Q571,2)&amp;IF(Sync!$K571="","0000",IF(AND(ISNUMBER(Sync!$K571),Sync!$K571&gt;=0,Sync!$K571&lt;1),RIGHT("00"&amp;HOUR(Sync!$K571),2)&amp;RIGHT("00"&amp;MINUTE(Sync!$K571),2),IFERROR(RIGHT("00"&amp;VALUE(LEFT(Sync!$K571,FIND(":",Sync!$K571)-1)),2)&amp;RIGHT("00"&amp;VALUE(MID(Sync!$K571,FIND(":",Sync!$K571)+1,2)),2),"0000")))&amp;"|"&amp;"2"&amp;RIGHT("00000"&amp;566,5))</f>
        <v/>
      </c>
      <c r="Q571">
        <f>IF(Sync!$J571="","",IF(ISNUMBER(Sync!$J571),IF(AND(Sync!$J571&gt;=10000101,Sync!$J571&lt;=99991231),INT(Sync!$J571/10000)&amp;"/"&amp;RIGHT("00"&amp;INT(MOD(Sync!$J571,10000)/100),2)&amp;"/"&amp;RIGHT("00"&amp;MOD(Sync!$J571,100),2),"نامعتبر"),IF(LEN(Sync!$J571)=10,Sync!$J571,"نامعتبر")))</f>
        <v/>
      </c>
      <c r="R571">
        <f>IF($P571="","",COUNTIFS($N$6:$N$2005,$N571,$P$6:$P$2005,"&lt;"&amp;$P571)+COUNTIFS($A$6:$A$1005,$N571,$B$6:$B$1005,"&lt;"&amp;$P571)+1)</f>
        <v/>
      </c>
      <c r="S571">
        <f>IF($N571="","",$N571&amp;"|"&amp;RIGHT("000000"&amp;$R571,6))</f>
        <v/>
      </c>
      <c r="T571">
        <f>IF($N571="","",IF(Sync!$N571="",0,Sync!$N571))</f>
        <v/>
      </c>
      <c r="U571">
        <f>IF($N571="","",IF(Sync!$O571="",0,Sync!$O571))</f>
        <v/>
      </c>
      <c r="V571">
        <f>IF($N571="","",Sync!$L571)</f>
        <v/>
      </c>
      <c r="W571">
        <f>IF($N571="","",Sync!$P571)</f>
        <v/>
      </c>
      <c r="AA571">
        <f>IF($A571="","",IF(COUNTIF($A$6:$A571,$A571)=1,1,0))</f>
        <v/>
      </c>
      <c r="AB571">
        <f>SUM($AA$6:$AA571)</f>
        <v/>
      </c>
      <c r="AC571">
        <f>IFERROR(INDEX($A$6:$A$1005,MATCH(ROW()-5,$AB$6:$AB$1005,0)),"")</f>
        <v/>
      </c>
    </row>
    <row r="572">
      <c r="A572">
        <f>IF(OR(Entry!$B575="",Entry!$E575="",$E572="نامعتبر"),"",Entry!$E575)</f>
        <v/>
      </c>
      <c r="B572">
        <f>IF($A572="","",LEFT($E572,4)&amp;MID($E572,6,2)&amp;RIGHT($E572,2)&amp;$F572&amp;"|"&amp;"1"&amp;RIGHT("00000"&amp;567,5))</f>
        <v/>
      </c>
      <c r="C572">
        <f>IF($B572="","",COUNTIFS($A$6:$A$1005,$A572,$B$6:$B$1005,"&lt;"&amp;$B572)+COUNTIFS($N$6:$N$2005,$A572,$P$6:$P$2005,"&lt;"&amp;$B572)+1)</f>
        <v/>
      </c>
      <c r="D572">
        <f>IF($C572="","",$A572&amp;"|"&amp;RIGHT("000000"&amp;$C572,6))</f>
        <v/>
      </c>
      <c r="E572">
        <f>IF(Entry!$B575="","",IF(ISNUMBER(Entry!$B575),IF(AND(Entry!$B575&gt;=10000101,Entry!$B575&lt;=99991231),INT(Entry!$B575/10000)&amp;"/"&amp;RIGHT("00"&amp;INT(MOD(Entry!$B575,10000)/100),2)&amp;"/"&amp;RIGHT("00"&amp;MOD(Entry!$B575,100),2),"نامعتبر"),IF(LEN(Entry!$B575)=10,Entry!$B575,"نامعتبر")))</f>
        <v/>
      </c>
      <c r="F572">
        <f>IF(Entry!$B575="","",IF(Entry!$C575="","0000",IF(AND(ISNUMBER(Entry!$C575),Entry!$C575&gt;=0,Entry!$C575&lt;1),RIGHT("00"&amp;HOUR(Entry!$C575),2)&amp;RIGHT("00"&amp;MINUTE(Entry!$C575),2),IFERROR(RIGHT("00"&amp;VALUE(LEFT(Entry!$C575,FIND(":",Entry!$C575)-1)),2)&amp;RIGHT("00"&amp;VALUE(MID(Entry!$C575,FIND(":",Entry!$C575)+1,2)),2),"0000"))))</f>
        <v/>
      </c>
      <c r="G572">
        <f>IF($A572="","",Entry!$G575)</f>
        <v/>
      </c>
      <c r="H572">
        <f>IF($A572="","",IF(Entry!$H575="",0,Entry!$H575))</f>
        <v/>
      </c>
      <c r="I572">
        <f>IF($A572="","",IF(Entry!$I575="",0,Entry!$I575))</f>
        <v/>
      </c>
      <c r="J572">
        <f>IF($A572="","",ROUND($H572*$I572,0))</f>
        <v/>
      </c>
      <c r="K572">
        <f>IF($A572="","",Entry!$D575)</f>
        <v/>
      </c>
      <c r="L572">
        <f>IF($A572="","",Entry!$L575)</f>
        <v/>
      </c>
      <c r="N572">
        <f>IF(OR(Sync!$M572="",$Q572="",$Q572="نامعتبر"),"",Sync!$M572)</f>
        <v/>
      </c>
      <c r="O572">
        <f>IF($N572="","",$Q572)</f>
        <v/>
      </c>
      <c r="P572">
        <f>IF($N572="","",LEFT($Q572,4)&amp;MID($Q572,6,2)&amp;RIGHT($Q572,2)&amp;IF(Sync!$K572="","0000",IF(AND(ISNUMBER(Sync!$K572),Sync!$K572&gt;=0,Sync!$K572&lt;1),RIGHT("00"&amp;HOUR(Sync!$K572),2)&amp;RIGHT("00"&amp;MINUTE(Sync!$K572),2),IFERROR(RIGHT("00"&amp;VALUE(LEFT(Sync!$K572,FIND(":",Sync!$K572)-1)),2)&amp;RIGHT("00"&amp;VALUE(MID(Sync!$K572,FIND(":",Sync!$K572)+1,2)),2),"0000")))&amp;"|"&amp;"2"&amp;RIGHT("00000"&amp;567,5))</f>
        <v/>
      </c>
      <c r="Q572">
        <f>IF(Sync!$J572="","",IF(ISNUMBER(Sync!$J572),IF(AND(Sync!$J572&gt;=10000101,Sync!$J572&lt;=99991231),INT(Sync!$J572/10000)&amp;"/"&amp;RIGHT("00"&amp;INT(MOD(Sync!$J572,10000)/100),2)&amp;"/"&amp;RIGHT("00"&amp;MOD(Sync!$J572,100),2),"نامعتبر"),IF(LEN(Sync!$J572)=10,Sync!$J572,"نامعتبر")))</f>
        <v/>
      </c>
      <c r="R572">
        <f>IF($P572="","",COUNTIFS($N$6:$N$2005,$N572,$P$6:$P$2005,"&lt;"&amp;$P572)+COUNTIFS($A$6:$A$1005,$N572,$B$6:$B$1005,"&lt;"&amp;$P572)+1)</f>
        <v/>
      </c>
      <c r="S572">
        <f>IF($N572="","",$N572&amp;"|"&amp;RIGHT("000000"&amp;$R572,6))</f>
        <v/>
      </c>
      <c r="T572">
        <f>IF($N572="","",IF(Sync!$N572="",0,Sync!$N572))</f>
        <v/>
      </c>
      <c r="U572">
        <f>IF($N572="","",IF(Sync!$O572="",0,Sync!$O572))</f>
        <v/>
      </c>
      <c r="V572">
        <f>IF($N572="","",Sync!$L572)</f>
        <v/>
      </c>
      <c r="W572">
        <f>IF($N572="","",Sync!$P572)</f>
        <v/>
      </c>
      <c r="AA572">
        <f>IF($A572="","",IF(COUNTIF($A$6:$A572,$A572)=1,1,0))</f>
        <v/>
      </c>
      <c r="AB572">
        <f>SUM($AA$6:$AA572)</f>
        <v/>
      </c>
      <c r="AC572">
        <f>IFERROR(INDEX($A$6:$A$1005,MATCH(ROW()-5,$AB$6:$AB$1005,0)),"")</f>
        <v/>
      </c>
    </row>
    <row r="573">
      <c r="A573">
        <f>IF(OR(Entry!$B576="",Entry!$E576="",$E573="نامعتبر"),"",Entry!$E576)</f>
        <v/>
      </c>
      <c r="B573">
        <f>IF($A573="","",LEFT($E573,4)&amp;MID($E573,6,2)&amp;RIGHT($E573,2)&amp;$F573&amp;"|"&amp;"1"&amp;RIGHT("00000"&amp;568,5))</f>
        <v/>
      </c>
      <c r="C573">
        <f>IF($B573="","",COUNTIFS($A$6:$A$1005,$A573,$B$6:$B$1005,"&lt;"&amp;$B573)+COUNTIFS($N$6:$N$2005,$A573,$P$6:$P$2005,"&lt;"&amp;$B573)+1)</f>
        <v/>
      </c>
      <c r="D573">
        <f>IF($C573="","",$A573&amp;"|"&amp;RIGHT("000000"&amp;$C573,6))</f>
        <v/>
      </c>
      <c r="E573">
        <f>IF(Entry!$B576="","",IF(ISNUMBER(Entry!$B576),IF(AND(Entry!$B576&gt;=10000101,Entry!$B576&lt;=99991231),INT(Entry!$B576/10000)&amp;"/"&amp;RIGHT("00"&amp;INT(MOD(Entry!$B576,10000)/100),2)&amp;"/"&amp;RIGHT("00"&amp;MOD(Entry!$B576,100),2),"نامعتبر"),IF(LEN(Entry!$B576)=10,Entry!$B576,"نامعتبر")))</f>
        <v/>
      </c>
      <c r="F573">
        <f>IF(Entry!$B576="","",IF(Entry!$C576="","0000",IF(AND(ISNUMBER(Entry!$C576),Entry!$C576&gt;=0,Entry!$C576&lt;1),RIGHT("00"&amp;HOUR(Entry!$C576),2)&amp;RIGHT("00"&amp;MINUTE(Entry!$C576),2),IFERROR(RIGHT("00"&amp;VALUE(LEFT(Entry!$C576,FIND(":",Entry!$C576)-1)),2)&amp;RIGHT("00"&amp;VALUE(MID(Entry!$C576,FIND(":",Entry!$C576)+1,2)),2),"0000"))))</f>
        <v/>
      </c>
      <c r="G573">
        <f>IF($A573="","",Entry!$G576)</f>
        <v/>
      </c>
      <c r="H573">
        <f>IF($A573="","",IF(Entry!$H576="",0,Entry!$H576))</f>
        <v/>
      </c>
      <c r="I573">
        <f>IF($A573="","",IF(Entry!$I576="",0,Entry!$I576))</f>
        <v/>
      </c>
      <c r="J573">
        <f>IF($A573="","",ROUND($H573*$I573,0))</f>
        <v/>
      </c>
      <c r="K573">
        <f>IF($A573="","",Entry!$D576)</f>
        <v/>
      </c>
      <c r="L573">
        <f>IF($A573="","",Entry!$L576)</f>
        <v/>
      </c>
      <c r="N573">
        <f>IF(OR(Sync!$M573="",$Q573="",$Q573="نامعتبر"),"",Sync!$M573)</f>
        <v/>
      </c>
      <c r="O573">
        <f>IF($N573="","",$Q573)</f>
        <v/>
      </c>
      <c r="P573">
        <f>IF($N573="","",LEFT($Q573,4)&amp;MID($Q573,6,2)&amp;RIGHT($Q573,2)&amp;IF(Sync!$K573="","0000",IF(AND(ISNUMBER(Sync!$K573),Sync!$K573&gt;=0,Sync!$K573&lt;1),RIGHT("00"&amp;HOUR(Sync!$K573),2)&amp;RIGHT("00"&amp;MINUTE(Sync!$K573),2),IFERROR(RIGHT("00"&amp;VALUE(LEFT(Sync!$K573,FIND(":",Sync!$K573)-1)),2)&amp;RIGHT("00"&amp;VALUE(MID(Sync!$K573,FIND(":",Sync!$K573)+1,2)),2),"0000")))&amp;"|"&amp;"2"&amp;RIGHT("00000"&amp;568,5))</f>
        <v/>
      </c>
      <c r="Q573">
        <f>IF(Sync!$J573="","",IF(ISNUMBER(Sync!$J573),IF(AND(Sync!$J573&gt;=10000101,Sync!$J573&lt;=99991231),INT(Sync!$J573/10000)&amp;"/"&amp;RIGHT("00"&amp;INT(MOD(Sync!$J573,10000)/100),2)&amp;"/"&amp;RIGHT("00"&amp;MOD(Sync!$J573,100),2),"نامعتبر"),IF(LEN(Sync!$J573)=10,Sync!$J573,"نامعتبر")))</f>
        <v/>
      </c>
      <c r="R573">
        <f>IF($P573="","",COUNTIFS($N$6:$N$2005,$N573,$P$6:$P$2005,"&lt;"&amp;$P573)+COUNTIFS($A$6:$A$1005,$N573,$B$6:$B$1005,"&lt;"&amp;$P573)+1)</f>
        <v/>
      </c>
      <c r="S573">
        <f>IF($N573="","",$N573&amp;"|"&amp;RIGHT("000000"&amp;$R573,6))</f>
        <v/>
      </c>
      <c r="T573">
        <f>IF($N573="","",IF(Sync!$N573="",0,Sync!$N573))</f>
        <v/>
      </c>
      <c r="U573">
        <f>IF($N573="","",IF(Sync!$O573="",0,Sync!$O573))</f>
        <v/>
      </c>
      <c r="V573">
        <f>IF($N573="","",Sync!$L573)</f>
        <v/>
      </c>
      <c r="W573">
        <f>IF($N573="","",Sync!$P573)</f>
        <v/>
      </c>
      <c r="AA573">
        <f>IF($A573="","",IF(COUNTIF($A$6:$A573,$A573)=1,1,0))</f>
        <v/>
      </c>
      <c r="AB573">
        <f>SUM($AA$6:$AA573)</f>
        <v/>
      </c>
      <c r="AC573">
        <f>IFERROR(INDEX($A$6:$A$1005,MATCH(ROW()-5,$AB$6:$AB$1005,0)),"")</f>
        <v/>
      </c>
    </row>
    <row r="574">
      <c r="A574">
        <f>IF(OR(Entry!$B577="",Entry!$E577="",$E574="نامعتبر"),"",Entry!$E577)</f>
        <v/>
      </c>
      <c r="B574">
        <f>IF($A574="","",LEFT($E574,4)&amp;MID($E574,6,2)&amp;RIGHT($E574,2)&amp;$F574&amp;"|"&amp;"1"&amp;RIGHT("00000"&amp;569,5))</f>
        <v/>
      </c>
      <c r="C574">
        <f>IF($B574="","",COUNTIFS($A$6:$A$1005,$A574,$B$6:$B$1005,"&lt;"&amp;$B574)+COUNTIFS($N$6:$N$2005,$A574,$P$6:$P$2005,"&lt;"&amp;$B574)+1)</f>
        <v/>
      </c>
      <c r="D574">
        <f>IF($C574="","",$A574&amp;"|"&amp;RIGHT("000000"&amp;$C574,6))</f>
        <v/>
      </c>
      <c r="E574">
        <f>IF(Entry!$B577="","",IF(ISNUMBER(Entry!$B577),IF(AND(Entry!$B577&gt;=10000101,Entry!$B577&lt;=99991231),INT(Entry!$B577/10000)&amp;"/"&amp;RIGHT("00"&amp;INT(MOD(Entry!$B577,10000)/100),2)&amp;"/"&amp;RIGHT("00"&amp;MOD(Entry!$B577,100),2),"نامعتبر"),IF(LEN(Entry!$B577)=10,Entry!$B577,"نامعتبر")))</f>
        <v/>
      </c>
      <c r="F574">
        <f>IF(Entry!$B577="","",IF(Entry!$C577="","0000",IF(AND(ISNUMBER(Entry!$C577),Entry!$C577&gt;=0,Entry!$C577&lt;1),RIGHT("00"&amp;HOUR(Entry!$C577),2)&amp;RIGHT("00"&amp;MINUTE(Entry!$C577),2),IFERROR(RIGHT("00"&amp;VALUE(LEFT(Entry!$C577,FIND(":",Entry!$C577)-1)),2)&amp;RIGHT("00"&amp;VALUE(MID(Entry!$C577,FIND(":",Entry!$C577)+1,2)),2),"0000"))))</f>
        <v/>
      </c>
      <c r="G574">
        <f>IF($A574="","",Entry!$G577)</f>
        <v/>
      </c>
      <c r="H574">
        <f>IF($A574="","",IF(Entry!$H577="",0,Entry!$H577))</f>
        <v/>
      </c>
      <c r="I574">
        <f>IF($A574="","",IF(Entry!$I577="",0,Entry!$I577))</f>
        <v/>
      </c>
      <c r="J574">
        <f>IF($A574="","",ROUND($H574*$I574,0))</f>
        <v/>
      </c>
      <c r="K574">
        <f>IF($A574="","",Entry!$D577)</f>
        <v/>
      </c>
      <c r="L574">
        <f>IF($A574="","",Entry!$L577)</f>
        <v/>
      </c>
      <c r="N574">
        <f>IF(OR(Sync!$M574="",$Q574="",$Q574="نامعتبر"),"",Sync!$M574)</f>
        <v/>
      </c>
      <c r="O574">
        <f>IF($N574="","",$Q574)</f>
        <v/>
      </c>
      <c r="P574">
        <f>IF($N574="","",LEFT($Q574,4)&amp;MID($Q574,6,2)&amp;RIGHT($Q574,2)&amp;IF(Sync!$K574="","0000",IF(AND(ISNUMBER(Sync!$K574),Sync!$K574&gt;=0,Sync!$K574&lt;1),RIGHT("00"&amp;HOUR(Sync!$K574),2)&amp;RIGHT("00"&amp;MINUTE(Sync!$K574),2),IFERROR(RIGHT("00"&amp;VALUE(LEFT(Sync!$K574,FIND(":",Sync!$K574)-1)),2)&amp;RIGHT("00"&amp;VALUE(MID(Sync!$K574,FIND(":",Sync!$K574)+1,2)),2),"0000")))&amp;"|"&amp;"2"&amp;RIGHT("00000"&amp;569,5))</f>
        <v/>
      </c>
      <c r="Q574">
        <f>IF(Sync!$J574="","",IF(ISNUMBER(Sync!$J574),IF(AND(Sync!$J574&gt;=10000101,Sync!$J574&lt;=99991231),INT(Sync!$J574/10000)&amp;"/"&amp;RIGHT("00"&amp;INT(MOD(Sync!$J574,10000)/100),2)&amp;"/"&amp;RIGHT("00"&amp;MOD(Sync!$J574,100),2),"نامعتبر"),IF(LEN(Sync!$J574)=10,Sync!$J574,"نامعتبر")))</f>
        <v/>
      </c>
      <c r="R574">
        <f>IF($P574="","",COUNTIFS($N$6:$N$2005,$N574,$P$6:$P$2005,"&lt;"&amp;$P574)+COUNTIFS($A$6:$A$1005,$N574,$B$6:$B$1005,"&lt;"&amp;$P574)+1)</f>
        <v/>
      </c>
      <c r="S574">
        <f>IF($N574="","",$N574&amp;"|"&amp;RIGHT("000000"&amp;$R574,6))</f>
        <v/>
      </c>
      <c r="T574">
        <f>IF($N574="","",IF(Sync!$N574="",0,Sync!$N574))</f>
        <v/>
      </c>
      <c r="U574">
        <f>IF($N574="","",IF(Sync!$O574="",0,Sync!$O574))</f>
        <v/>
      </c>
      <c r="V574">
        <f>IF($N574="","",Sync!$L574)</f>
        <v/>
      </c>
      <c r="W574">
        <f>IF($N574="","",Sync!$P574)</f>
        <v/>
      </c>
      <c r="AA574">
        <f>IF($A574="","",IF(COUNTIF($A$6:$A574,$A574)=1,1,0))</f>
        <v/>
      </c>
      <c r="AB574">
        <f>SUM($AA$6:$AA574)</f>
        <v/>
      </c>
      <c r="AC574">
        <f>IFERROR(INDEX($A$6:$A$1005,MATCH(ROW()-5,$AB$6:$AB$1005,0)),"")</f>
        <v/>
      </c>
    </row>
    <row r="575">
      <c r="A575">
        <f>IF(OR(Entry!$B578="",Entry!$E578="",$E575="نامعتبر"),"",Entry!$E578)</f>
        <v/>
      </c>
      <c r="B575">
        <f>IF($A575="","",LEFT($E575,4)&amp;MID($E575,6,2)&amp;RIGHT($E575,2)&amp;$F575&amp;"|"&amp;"1"&amp;RIGHT("00000"&amp;570,5))</f>
        <v/>
      </c>
      <c r="C575">
        <f>IF($B575="","",COUNTIFS($A$6:$A$1005,$A575,$B$6:$B$1005,"&lt;"&amp;$B575)+COUNTIFS($N$6:$N$2005,$A575,$P$6:$P$2005,"&lt;"&amp;$B575)+1)</f>
        <v/>
      </c>
      <c r="D575">
        <f>IF($C575="","",$A575&amp;"|"&amp;RIGHT("000000"&amp;$C575,6))</f>
        <v/>
      </c>
      <c r="E575">
        <f>IF(Entry!$B578="","",IF(ISNUMBER(Entry!$B578),IF(AND(Entry!$B578&gt;=10000101,Entry!$B578&lt;=99991231),INT(Entry!$B578/10000)&amp;"/"&amp;RIGHT("00"&amp;INT(MOD(Entry!$B578,10000)/100),2)&amp;"/"&amp;RIGHT("00"&amp;MOD(Entry!$B578,100),2),"نامعتبر"),IF(LEN(Entry!$B578)=10,Entry!$B578,"نامعتبر")))</f>
        <v/>
      </c>
      <c r="F575">
        <f>IF(Entry!$B578="","",IF(Entry!$C578="","0000",IF(AND(ISNUMBER(Entry!$C578),Entry!$C578&gt;=0,Entry!$C578&lt;1),RIGHT("00"&amp;HOUR(Entry!$C578),2)&amp;RIGHT("00"&amp;MINUTE(Entry!$C578),2),IFERROR(RIGHT("00"&amp;VALUE(LEFT(Entry!$C578,FIND(":",Entry!$C578)-1)),2)&amp;RIGHT("00"&amp;VALUE(MID(Entry!$C578,FIND(":",Entry!$C578)+1,2)),2),"0000"))))</f>
        <v/>
      </c>
      <c r="G575">
        <f>IF($A575="","",Entry!$G578)</f>
        <v/>
      </c>
      <c r="H575">
        <f>IF($A575="","",IF(Entry!$H578="",0,Entry!$H578))</f>
        <v/>
      </c>
      <c r="I575">
        <f>IF($A575="","",IF(Entry!$I578="",0,Entry!$I578))</f>
        <v/>
      </c>
      <c r="J575">
        <f>IF($A575="","",ROUND($H575*$I575,0))</f>
        <v/>
      </c>
      <c r="K575">
        <f>IF($A575="","",Entry!$D578)</f>
        <v/>
      </c>
      <c r="L575">
        <f>IF($A575="","",Entry!$L578)</f>
        <v/>
      </c>
      <c r="N575">
        <f>IF(OR(Sync!$M575="",$Q575="",$Q575="نامعتبر"),"",Sync!$M575)</f>
        <v/>
      </c>
      <c r="O575">
        <f>IF($N575="","",$Q575)</f>
        <v/>
      </c>
      <c r="P575">
        <f>IF($N575="","",LEFT($Q575,4)&amp;MID($Q575,6,2)&amp;RIGHT($Q575,2)&amp;IF(Sync!$K575="","0000",IF(AND(ISNUMBER(Sync!$K575),Sync!$K575&gt;=0,Sync!$K575&lt;1),RIGHT("00"&amp;HOUR(Sync!$K575),2)&amp;RIGHT("00"&amp;MINUTE(Sync!$K575),2),IFERROR(RIGHT("00"&amp;VALUE(LEFT(Sync!$K575,FIND(":",Sync!$K575)-1)),2)&amp;RIGHT("00"&amp;VALUE(MID(Sync!$K575,FIND(":",Sync!$K575)+1,2)),2),"0000")))&amp;"|"&amp;"2"&amp;RIGHT("00000"&amp;570,5))</f>
        <v/>
      </c>
      <c r="Q575">
        <f>IF(Sync!$J575="","",IF(ISNUMBER(Sync!$J575),IF(AND(Sync!$J575&gt;=10000101,Sync!$J575&lt;=99991231),INT(Sync!$J575/10000)&amp;"/"&amp;RIGHT("00"&amp;INT(MOD(Sync!$J575,10000)/100),2)&amp;"/"&amp;RIGHT("00"&amp;MOD(Sync!$J575,100),2),"نامعتبر"),IF(LEN(Sync!$J575)=10,Sync!$J575,"نامعتبر")))</f>
        <v/>
      </c>
      <c r="R575">
        <f>IF($P575="","",COUNTIFS($N$6:$N$2005,$N575,$P$6:$P$2005,"&lt;"&amp;$P575)+COUNTIFS($A$6:$A$1005,$N575,$B$6:$B$1005,"&lt;"&amp;$P575)+1)</f>
        <v/>
      </c>
      <c r="S575">
        <f>IF($N575="","",$N575&amp;"|"&amp;RIGHT("000000"&amp;$R575,6))</f>
        <v/>
      </c>
      <c r="T575">
        <f>IF($N575="","",IF(Sync!$N575="",0,Sync!$N575))</f>
        <v/>
      </c>
      <c r="U575">
        <f>IF($N575="","",IF(Sync!$O575="",0,Sync!$O575))</f>
        <v/>
      </c>
      <c r="V575">
        <f>IF($N575="","",Sync!$L575)</f>
        <v/>
      </c>
      <c r="W575">
        <f>IF($N575="","",Sync!$P575)</f>
        <v/>
      </c>
      <c r="AA575">
        <f>IF($A575="","",IF(COUNTIF($A$6:$A575,$A575)=1,1,0))</f>
        <v/>
      </c>
      <c r="AB575">
        <f>SUM($AA$6:$AA575)</f>
        <v/>
      </c>
      <c r="AC575">
        <f>IFERROR(INDEX($A$6:$A$1005,MATCH(ROW()-5,$AB$6:$AB$1005,0)),"")</f>
        <v/>
      </c>
    </row>
    <row r="576">
      <c r="A576">
        <f>IF(OR(Entry!$B579="",Entry!$E579="",$E576="نامعتبر"),"",Entry!$E579)</f>
        <v/>
      </c>
      <c r="B576">
        <f>IF($A576="","",LEFT($E576,4)&amp;MID($E576,6,2)&amp;RIGHT($E576,2)&amp;$F576&amp;"|"&amp;"1"&amp;RIGHT("00000"&amp;571,5))</f>
        <v/>
      </c>
      <c r="C576">
        <f>IF($B576="","",COUNTIFS($A$6:$A$1005,$A576,$B$6:$B$1005,"&lt;"&amp;$B576)+COUNTIFS($N$6:$N$2005,$A576,$P$6:$P$2005,"&lt;"&amp;$B576)+1)</f>
        <v/>
      </c>
      <c r="D576">
        <f>IF($C576="","",$A576&amp;"|"&amp;RIGHT("000000"&amp;$C576,6))</f>
        <v/>
      </c>
      <c r="E576">
        <f>IF(Entry!$B579="","",IF(ISNUMBER(Entry!$B579),IF(AND(Entry!$B579&gt;=10000101,Entry!$B579&lt;=99991231),INT(Entry!$B579/10000)&amp;"/"&amp;RIGHT("00"&amp;INT(MOD(Entry!$B579,10000)/100),2)&amp;"/"&amp;RIGHT("00"&amp;MOD(Entry!$B579,100),2),"نامعتبر"),IF(LEN(Entry!$B579)=10,Entry!$B579,"نامعتبر")))</f>
        <v/>
      </c>
      <c r="F576">
        <f>IF(Entry!$B579="","",IF(Entry!$C579="","0000",IF(AND(ISNUMBER(Entry!$C579),Entry!$C579&gt;=0,Entry!$C579&lt;1),RIGHT("00"&amp;HOUR(Entry!$C579),2)&amp;RIGHT("00"&amp;MINUTE(Entry!$C579),2),IFERROR(RIGHT("00"&amp;VALUE(LEFT(Entry!$C579,FIND(":",Entry!$C579)-1)),2)&amp;RIGHT("00"&amp;VALUE(MID(Entry!$C579,FIND(":",Entry!$C579)+1,2)),2),"0000"))))</f>
        <v/>
      </c>
      <c r="G576">
        <f>IF($A576="","",Entry!$G579)</f>
        <v/>
      </c>
      <c r="H576">
        <f>IF($A576="","",IF(Entry!$H579="",0,Entry!$H579))</f>
        <v/>
      </c>
      <c r="I576">
        <f>IF($A576="","",IF(Entry!$I579="",0,Entry!$I579))</f>
        <v/>
      </c>
      <c r="J576">
        <f>IF($A576="","",ROUND($H576*$I576,0))</f>
        <v/>
      </c>
      <c r="K576">
        <f>IF($A576="","",Entry!$D579)</f>
        <v/>
      </c>
      <c r="L576">
        <f>IF($A576="","",Entry!$L579)</f>
        <v/>
      </c>
      <c r="N576">
        <f>IF(OR(Sync!$M576="",$Q576="",$Q576="نامعتبر"),"",Sync!$M576)</f>
        <v/>
      </c>
      <c r="O576">
        <f>IF($N576="","",$Q576)</f>
        <v/>
      </c>
      <c r="P576">
        <f>IF($N576="","",LEFT($Q576,4)&amp;MID($Q576,6,2)&amp;RIGHT($Q576,2)&amp;IF(Sync!$K576="","0000",IF(AND(ISNUMBER(Sync!$K576),Sync!$K576&gt;=0,Sync!$K576&lt;1),RIGHT("00"&amp;HOUR(Sync!$K576),2)&amp;RIGHT("00"&amp;MINUTE(Sync!$K576),2),IFERROR(RIGHT("00"&amp;VALUE(LEFT(Sync!$K576,FIND(":",Sync!$K576)-1)),2)&amp;RIGHT("00"&amp;VALUE(MID(Sync!$K576,FIND(":",Sync!$K576)+1,2)),2),"0000")))&amp;"|"&amp;"2"&amp;RIGHT("00000"&amp;571,5))</f>
        <v/>
      </c>
      <c r="Q576">
        <f>IF(Sync!$J576="","",IF(ISNUMBER(Sync!$J576),IF(AND(Sync!$J576&gt;=10000101,Sync!$J576&lt;=99991231),INT(Sync!$J576/10000)&amp;"/"&amp;RIGHT("00"&amp;INT(MOD(Sync!$J576,10000)/100),2)&amp;"/"&amp;RIGHT("00"&amp;MOD(Sync!$J576,100),2),"نامعتبر"),IF(LEN(Sync!$J576)=10,Sync!$J576,"نامعتبر")))</f>
        <v/>
      </c>
      <c r="R576">
        <f>IF($P576="","",COUNTIFS($N$6:$N$2005,$N576,$P$6:$P$2005,"&lt;"&amp;$P576)+COUNTIFS($A$6:$A$1005,$N576,$B$6:$B$1005,"&lt;"&amp;$P576)+1)</f>
        <v/>
      </c>
      <c r="S576">
        <f>IF($N576="","",$N576&amp;"|"&amp;RIGHT("000000"&amp;$R576,6))</f>
        <v/>
      </c>
      <c r="T576">
        <f>IF($N576="","",IF(Sync!$N576="",0,Sync!$N576))</f>
        <v/>
      </c>
      <c r="U576">
        <f>IF($N576="","",IF(Sync!$O576="",0,Sync!$O576))</f>
        <v/>
      </c>
      <c r="V576">
        <f>IF($N576="","",Sync!$L576)</f>
        <v/>
      </c>
      <c r="W576">
        <f>IF($N576="","",Sync!$P576)</f>
        <v/>
      </c>
      <c r="AA576">
        <f>IF($A576="","",IF(COUNTIF($A$6:$A576,$A576)=1,1,0))</f>
        <v/>
      </c>
      <c r="AB576">
        <f>SUM($AA$6:$AA576)</f>
        <v/>
      </c>
      <c r="AC576">
        <f>IFERROR(INDEX($A$6:$A$1005,MATCH(ROW()-5,$AB$6:$AB$1005,0)),"")</f>
        <v/>
      </c>
    </row>
    <row r="577">
      <c r="A577">
        <f>IF(OR(Entry!$B580="",Entry!$E580="",$E577="نامعتبر"),"",Entry!$E580)</f>
        <v/>
      </c>
      <c r="B577">
        <f>IF($A577="","",LEFT($E577,4)&amp;MID($E577,6,2)&amp;RIGHT($E577,2)&amp;$F577&amp;"|"&amp;"1"&amp;RIGHT("00000"&amp;572,5))</f>
        <v/>
      </c>
      <c r="C577">
        <f>IF($B577="","",COUNTIFS($A$6:$A$1005,$A577,$B$6:$B$1005,"&lt;"&amp;$B577)+COUNTIFS($N$6:$N$2005,$A577,$P$6:$P$2005,"&lt;"&amp;$B577)+1)</f>
        <v/>
      </c>
      <c r="D577">
        <f>IF($C577="","",$A577&amp;"|"&amp;RIGHT("000000"&amp;$C577,6))</f>
        <v/>
      </c>
      <c r="E577">
        <f>IF(Entry!$B580="","",IF(ISNUMBER(Entry!$B580),IF(AND(Entry!$B580&gt;=10000101,Entry!$B580&lt;=99991231),INT(Entry!$B580/10000)&amp;"/"&amp;RIGHT("00"&amp;INT(MOD(Entry!$B580,10000)/100),2)&amp;"/"&amp;RIGHT("00"&amp;MOD(Entry!$B580,100),2),"نامعتبر"),IF(LEN(Entry!$B580)=10,Entry!$B580,"نامعتبر")))</f>
        <v/>
      </c>
      <c r="F577">
        <f>IF(Entry!$B580="","",IF(Entry!$C580="","0000",IF(AND(ISNUMBER(Entry!$C580),Entry!$C580&gt;=0,Entry!$C580&lt;1),RIGHT("00"&amp;HOUR(Entry!$C580),2)&amp;RIGHT("00"&amp;MINUTE(Entry!$C580),2),IFERROR(RIGHT("00"&amp;VALUE(LEFT(Entry!$C580,FIND(":",Entry!$C580)-1)),2)&amp;RIGHT("00"&amp;VALUE(MID(Entry!$C580,FIND(":",Entry!$C580)+1,2)),2),"0000"))))</f>
        <v/>
      </c>
      <c r="G577">
        <f>IF($A577="","",Entry!$G580)</f>
        <v/>
      </c>
      <c r="H577">
        <f>IF($A577="","",IF(Entry!$H580="",0,Entry!$H580))</f>
        <v/>
      </c>
      <c r="I577">
        <f>IF($A577="","",IF(Entry!$I580="",0,Entry!$I580))</f>
        <v/>
      </c>
      <c r="J577">
        <f>IF($A577="","",ROUND($H577*$I577,0))</f>
        <v/>
      </c>
      <c r="K577">
        <f>IF($A577="","",Entry!$D580)</f>
        <v/>
      </c>
      <c r="L577">
        <f>IF($A577="","",Entry!$L580)</f>
        <v/>
      </c>
      <c r="N577">
        <f>IF(OR(Sync!$M577="",$Q577="",$Q577="نامعتبر"),"",Sync!$M577)</f>
        <v/>
      </c>
      <c r="O577">
        <f>IF($N577="","",$Q577)</f>
        <v/>
      </c>
      <c r="P577">
        <f>IF($N577="","",LEFT($Q577,4)&amp;MID($Q577,6,2)&amp;RIGHT($Q577,2)&amp;IF(Sync!$K577="","0000",IF(AND(ISNUMBER(Sync!$K577),Sync!$K577&gt;=0,Sync!$K577&lt;1),RIGHT("00"&amp;HOUR(Sync!$K577),2)&amp;RIGHT("00"&amp;MINUTE(Sync!$K577),2),IFERROR(RIGHT("00"&amp;VALUE(LEFT(Sync!$K577,FIND(":",Sync!$K577)-1)),2)&amp;RIGHT("00"&amp;VALUE(MID(Sync!$K577,FIND(":",Sync!$K577)+1,2)),2),"0000")))&amp;"|"&amp;"2"&amp;RIGHT("00000"&amp;572,5))</f>
        <v/>
      </c>
      <c r="Q577">
        <f>IF(Sync!$J577="","",IF(ISNUMBER(Sync!$J577),IF(AND(Sync!$J577&gt;=10000101,Sync!$J577&lt;=99991231),INT(Sync!$J577/10000)&amp;"/"&amp;RIGHT("00"&amp;INT(MOD(Sync!$J577,10000)/100),2)&amp;"/"&amp;RIGHT("00"&amp;MOD(Sync!$J577,100),2),"نامعتبر"),IF(LEN(Sync!$J577)=10,Sync!$J577,"نامعتبر")))</f>
        <v/>
      </c>
      <c r="R577">
        <f>IF($P577="","",COUNTIFS($N$6:$N$2005,$N577,$P$6:$P$2005,"&lt;"&amp;$P577)+COUNTIFS($A$6:$A$1005,$N577,$B$6:$B$1005,"&lt;"&amp;$P577)+1)</f>
        <v/>
      </c>
      <c r="S577">
        <f>IF($N577="","",$N577&amp;"|"&amp;RIGHT("000000"&amp;$R577,6))</f>
        <v/>
      </c>
      <c r="T577">
        <f>IF($N577="","",IF(Sync!$N577="",0,Sync!$N577))</f>
        <v/>
      </c>
      <c r="U577">
        <f>IF($N577="","",IF(Sync!$O577="",0,Sync!$O577))</f>
        <v/>
      </c>
      <c r="V577">
        <f>IF($N577="","",Sync!$L577)</f>
        <v/>
      </c>
      <c r="W577">
        <f>IF($N577="","",Sync!$P577)</f>
        <v/>
      </c>
      <c r="AA577">
        <f>IF($A577="","",IF(COUNTIF($A$6:$A577,$A577)=1,1,0))</f>
        <v/>
      </c>
      <c r="AB577">
        <f>SUM($AA$6:$AA577)</f>
        <v/>
      </c>
      <c r="AC577">
        <f>IFERROR(INDEX($A$6:$A$1005,MATCH(ROW()-5,$AB$6:$AB$1005,0)),"")</f>
        <v/>
      </c>
    </row>
    <row r="578">
      <c r="A578">
        <f>IF(OR(Entry!$B581="",Entry!$E581="",$E578="نامعتبر"),"",Entry!$E581)</f>
        <v/>
      </c>
      <c r="B578">
        <f>IF($A578="","",LEFT($E578,4)&amp;MID($E578,6,2)&amp;RIGHT($E578,2)&amp;$F578&amp;"|"&amp;"1"&amp;RIGHT("00000"&amp;573,5))</f>
        <v/>
      </c>
      <c r="C578">
        <f>IF($B578="","",COUNTIFS($A$6:$A$1005,$A578,$B$6:$B$1005,"&lt;"&amp;$B578)+COUNTIFS($N$6:$N$2005,$A578,$P$6:$P$2005,"&lt;"&amp;$B578)+1)</f>
        <v/>
      </c>
      <c r="D578">
        <f>IF($C578="","",$A578&amp;"|"&amp;RIGHT("000000"&amp;$C578,6))</f>
        <v/>
      </c>
      <c r="E578">
        <f>IF(Entry!$B581="","",IF(ISNUMBER(Entry!$B581),IF(AND(Entry!$B581&gt;=10000101,Entry!$B581&lt;=99991231),INT(Entry!$B581/10000)&amp;"/"&amp;RIGHT("00"&amp;INT(MOD(Entry!$B581,10000)/100),2)&amp;"/"&amp;RIGHT("00"&amp;MOD(Entry!$B581,100),2),"نامعتبر"),IF(LEN(Entry!$B581)=10,Entry!$B581,"نامعتبر")))</f>
        <v/>
      </c>
      <c r="F578">
        <f>IF(Entry!$B581="","",IF(Entry!$C581="","0000",IF(AND(ISNUMBER(Entry!$C581),Entry!$C581&gt;=0,Entry!$C581&lt;1),RIGHT("00"&amp;HOUR(Entry!$C581),2)&amp;RIGHT("00"&amp;MINUTE(Entry!$C581),2),IFERROR(RIGHT("00"&amp;VALUE(LEFT(Entry!$C581,FIND(":",Entry!$C581)-1)),2)&amp;RIGHT("00"&amp;VALUE(MID(Entry!$C581,FIND(":",Entry!$C581)+1,2)),2),"0000"))))</f>
        <v/>
      </c>
      <c r="G578">
        <f>IF($A578="","",Entry!$G581)</f>
        <v/>
      </c>
      <c r="H578">
        <f>IF($A578="","",IF(Entry!$H581="",0,Entry!$H581))</f>
        <v/>
      </c>
      <c r="I578">
        <f>IF($A578="","",IF(Entry!$I581="",0,Entry!$I581))</f>
        <v/>
      </c>
      <c r="J578">
        <f>IF($A578="","",ROUND($H578*$I578,0))</f>
        <v/>
      </c>
      <c r="K578">
        <f>IF($A578="","",Entry!$D581)</f>
        <v/>
      </c>
      <c r="L578">
        <f>IF($A578="","",Entry!$L581)</f>
        <v/>
      </c>
      <c r="N578">
        <f>IF(OR(Sync!$M578="",$Q578="",$Q578="نامعتبر"),"",Sync!$M578)</f>
        <v/>
      </c>
      <c r="O578">
        <f>IF($N578="","",$Q578)</f>
        <v/>
      </c>
      <c r="P578">
        <f>IF($N578="","",LEFT($Q578,4)&amp;MID($Q578,6,2)&amp;RIGHT($Q578,2)&amp;IF(Sync!$K578="","0000",IF(AND(ISNUMBER(Sync!$K578),Sync!$K578&gt;=0,Sync!$K578&lt;1),RIGHT("00"&amp;HOUR(Sync!$K578),2)&amp;RIGHT("00"&amp;MINUTE(Sync!$K578),2),IFERROR(RIGHT("00"&amp;VALUE(LEFT(Sync!$K578,FIND(":",Sync!$K578)-1)),2)&amp;RIGHT("00"&amp;VALUE(MID(Sync!$K578,FIND(":",Sync!$K578)+1,2)),2),"0000")))&amp;"|"&amp;"2"&amp;RIGHT("00000"&amp;573,5))</f>
        <v/>
      </c>
      <c r="Q578">
        <f>IF(Sync!$J578="","",IF(ISNUMBER(Sync!$J578),IF(AND(Sync!$J578&gt;=10000101,Sync!$J578&lt;=99991231),INT(Sync!$J578/10000)&amp;"/"&amp;RIGHT("00"&amp;INT(MOD(Sync!$J578,10000)/100),2)&amp;"/"&amp;RIGHT("00"&amp;MOD(Sync!$J578,100),2),"نامعتبر"),IF(LEN(Sync!$J578)=10,Sync!$J578,"نامعتبر")))</f>
        <v/>
      </c>
      <c r="R578">
        <f>IF($P578="","",COUNTIFS($N$6:$N$2005,$N578,$P$6:$P$2005,"&lt;"&amp;$P578)+COUNTIFS($A$6:$A$1005,$N578,$B$6:$B$1005,"&lt;"&amp;$P578)+1)</f>
        <v/>
      </c>
      <c r="S578">
        <f>IF($N578="","",$N578&amp;"|"&amp;RIGHT("000000"&amp;$R578,6))</f>
        <v/>
      </c>
      <c r="T578">
        <f>IF($N578="","",IF(Sync!$N578="",0,Sync!$N578))</f>
        <v/>
      </c>
      <c r="U578">
        <f>IF($N578="","",IF(Sync!$O578="",0,Sync!$O578))</f>
        <v/>
      </c>
      <c r="V578">
        <f>IF($N578="","",Sync!$L578)</f>
        <v/>
      </c>
      <c r="W578">
        <f>IF($N578="","",Sync!$P578)</f>
        <v/>
      </c>
      <c r="AA578">
        <f>IF($A578="","",IF(COUNTIF($A$6:$A578,$A578)=1,1,0))</f>
        <v/>
      </c>
      <c r="AB578">
        <f>SUM($AA$6:$AA578)</f>
        <v/>
      </c>
      <c r="AC578">
        <f>IFERROR(INDEX($A$6:$A$1005,MATCH(ROW()-5,$AB$6:$AB$1005,0)),"")</f>
        <v/>
      </c>
    </row>
    <row r="579">
      <c r="A579">
        <f>IF(OR(Entry!$B582="",Entry!$E582="",$E579="نامعتبر"),"",Entry!$E582)</f>
        <v/>
      </c>
      <c r="B579">
        <f>IF($A579="","",LEFT($E579,4)&amp;MID($E579,6,2)&amp;RIGHT($E579,2)&amp;$F579&amp;"|"&amp;"1"&amp;RIGHT("00000"&amp;574,5))</f>
        <v/>
      </c>
      <c r="C579">
        <f>IF($B579="","",COUNTIFS($A$6:$A$1005,$A579,$B$6:$B$1005,"&lt;"&amp;$B579)+COUNTIFS($N$6:$N$2005,$A579,$P$6:$P$2005,"&lt;"&amp;$B579)+1)</f>
        <v/>
      </c>
      <c r="D579">
        <f>IF($C579="","",$A579&amp;"|"&amp;RIGHT("000000"&amp;$C579,6))</f>
        <v/>
      </c>
      <c r="E579">
        <f>IF(Entry!$B582="","",IF(ISNUMBER(Entry!$B582),IF(AND(Entry!$B582&gt;=10000101,Entry!$B582&lt;=99991231),INT(Entry!$B582/10000)&amp;"/"&amp;RIGHT("00"&amp;INT(MOD(Entry!$B582,10000)/100),2)&amp;"/"&amp;RIGHT("00"&amp;MOD(Entry!$B582,100),2),"نامعتبر"),IF(LEN(Entry!$B582)=10,Entry!$B582,"نامعتبر")))</f>
        <v/>
      </c>
      <c r="F579">
        <f>IF(Entry!$B582="","",IF(Entry!$C582="","0000",IF(AND(ISNUMBER(Entry!$C582),Entry!$C582&gt;=0,Entry!$C582&lt;1),RIGHT("00"&amp;HOUR(Entry!$C582),2)&amp;RIGHT("00"&amp;MINUTE(Entry!$C582),2),IFERROR(RIGHT("00"&amp;VALUE(LEFT(Entry!$C582,FIND(":",Entry!$C582)-1)),2)&amp;RIGHT("00"&amp;VALUE(MID(Entry!$C582,FIND(":",Entry!$C582)+1,2)),2),"0000"))))</f>
        <v/>
      </c>
      <c r="G579">
        <f>IF($A579="","",Entry!$G582)</f>
        <v/>
      </c>
      <c r="H579">
        <f>IF($A579="","",IF(Entry!$H582="",0,Entry!$H582))</f>
        <v/>
      </c>
      <c r="I579">
        <f>IF($A579="","",IF(Entry!$I582="",0,Entry!$I582))</f>
        <v/>
      </c>
      <c r="J579">
        <f>IF($A579="","",ROUND($H579*$I579,0))</f>
        <v/>
      </c>
      <c r="K579">
        <f>IF($A579="","",Entry!$D582)</f>
        <v/>
      </c>
      <c r="L579">
        <f>IF($A579="","",Entry!$L582)</f>
        <v/>
      </c>
      <c r="N579">
        <f>IF(OR(Sync!$M579="",$Q579="",$Q579="نامعتبر"),"",Sync!$M579)</f>
        <v/>
      </c>
      <c r="O579">
        <f>IF($N579="","",$Q579)</f>
        <v/>
      </c>
      <c r="P579">
        <f>IF($N579="","",LEFT($Q579,4)&amp;MID($Q579,6,2)&amp;RIGHT($Q579,2)&amp;IF(Sync!$K579="","0000",IF(AND(ISNUMBER(Sync!$K579),Sync!$K579&gt;=0,Sync!$K579&lt;1),RIGHT("00"&amp;HOUR(Sync!$K579),2)&amp;RIGHT("00"&amp;MINUTE(Sync!$K579),2),IFERROR(RIGHT("00"&amp;VALUE(LEFT(Sync!$K579,FIND(":",Sync!$K579)-1)),2)&amp;RIGHT("00"&amp;VALUE(MID(Sync!$K579,FIND(":",Sync!$K579)+1,2)),2),"0000")))&amp;"|"&amp;"2"&amp;RIGHT("00000"&amp;574,5))</f>
        <v/>
      </c>
      <c r="Q579">
        <f>IF(Sync!$J579="","",IF(ISNUMBER(Sync!$J579),IF(AND(Sync!$J579&gt;=10000101,Sync!$J579&lt;=99991231),INT(Sync!$J579/10000)&amp;"/"&amp;RIGHT("00"&amp;INT(MOD(Sync!$J579,10000)/100),2)&amp;"/"&amp;RIGHT("00"&amp;MOD(Sync!$J579,100),2),"نامعتبر"),IF(LEN(Sync!$J579)=10,Sync!$J579,"نامعتبر")))</f>
        <v/>
      </c>
      <c r="R579">
        <f>IF($P579="","",COUNTIFS($N$6:$N$2005,$N579,$P$6:$P$2005,"&lt;"&amp;$P579)+COUNTIFS($A$6:$A$1005,$N579,$B$6:$B$1005,"&lt;"&amp;$P579)+1)</f>
        <v/>
      </c>
      <c r="S579">
        <f>IF($N579="","",$N579&amp;"|"&amp;RIGHT("000000"&amp;$R579,6))</f>
        <v/>
      </c>
      <c r="T579">
        <f>IF($N579="","",IF(Sync!$N579="",0,Sync!$N579))</f>
        <v/>
      </c>
      <c r="U579">
        <f>IF($N579="","",IF(Sync!$O579="",0,Sync!$O579))</f>
        <v/>
      </c>
      <c r="V579">
        <f>IF($N579="","",Sync!$L579)</f>
        <v/>
      </c>
      <c r="W579">
        <f>IF($N579="","",Sync!$P579)</f>
        <v/>
      </c>
      <c r="AA579">
        <f>IF($A579="","",IF(COUNTIF($A$6:$A579,$A579)=1,1,0))</f>
        <v/>
      </c>
      <c r="AB579">
        <f>SUM($AA$6:$AA579)</f>
        <v/>
      </c>
      <c r="AC579">
        <f>IFERROR(INDEX($A$6:$A$1005,MATCH(ROW()-5,$AB$6:$AB$1005,0)),"")</f>
        <v/>
      </c>
    </row>
    <row r="580">
      <c r="A580">
        <f>IF(OR(Entry!$B583="",Entry!$E583="",$E580="نامعتبر"),"",Entry!$E583)</f>
        <v/>
      </c>
      <c r="B580">
        <f>IF($A580="","",LEFT($E580,4)&amp;MID($E580,6,2)&amp;RIGHT($E580,2)&amp;$F580&amp;"|"&amp;"1"&amp;RIGHT("00000"&amp;575,5))</f>
        <v/>
      </c>
      <c r="C580">
        <f>IF($B580="","",COUNTIFS($A$6:$A$1005,$A580,$B$6:$B$1005,"&lt;"&amp;$B580)+COUNTIFS($N$6:$N$2005,$A580,$P$6:$P$2005,"&lt;"&amp;$B580)+1)</f>
        <v/>
      </c>
      <c r="D580">
        <f>IF($C580="","",$A580&amp;"|"&amp;RIGHT("000000"&amp;$C580,6))</f>
        <v/>
      </c>
      <c r="E580">
        <f>IF(Entry!$B583="","",IF(ISNUMBER(Entry!$B583),IF(AND(Entry!$B583&gt;=10000101,Entry!$B583&lt;=99991231),INT(Entry!$B583/10000)&amp;"/"&amp;RIGHT("00"&amp;INT(MOD(Entry!$B583,10000)/100),2)&amp;"/"&amp;RIGHT("00"&amp;MOD(Entry!$B583,100),2),"نامعتبر"),IF(LEN(Entry!$B583)=10,Entry!$B583,"نامعتبر")))</f>
        <v/>
      </c>
      <c r="F580">
        <f>IF(Entry!$B583="","",IF(Entry!$C583="","0000",IF(AND(ISNUMBER(Entry!$C583),Entry!$C583&gt;=0,Entry!$C583&lt;1),RIGHT("00"&amp;HOUR(Entry!$C583),2)&amp;RIGHT("00"&amp;MINUTE(Entry!$C583),2),IFERROR(RIGHT("00"&amp;VALUE(LEFT(Entry!$C583,FIND(":",Entry!$C583)-1)),2)&amp;RIGHT("00"&amp;VALUE(MID(Entry!$C583,FIND(":",Entry!$C583)+1,2)),2),"0000"))))</f>
        <v/>
      </c>
      <c r="G580">
        <f>IF($A580="","",Entry!$G583)</f>
        <v/>
      </c>
      <c r="H580">
        <f>IF($A580="","",IF(Entry!$H583="",0,Entry!$H583))</f>
        <v/>
      </c>
      <c r="I580">
        <f>IF($A580="","",IF(Entry!$I583="",0,Entry!$I583))</f>
        <v/>
      </c>
      <c r="J580">
        <f>IF($A580="","",ROUND($H580*$I580,0))</f>
        <v/>
      </c>
      <c r="K580">
        <f>IF($A580="","",Entry!$D583)</f>
        <v/>
      </c>
      <c r="L580">
        <f>IF($A580="","",Entry!$L583)</f>
        <v/>
      </c>
      <c r="N580">
        <f>IF(OR(Sync!$M580="",$Q580="",$Q580="نامعتبر"),"",Sync!$M580)</f>
        <v/>
      </c>
      <c r="O580">
        <f>IF($N580="","",$Q580)</f>
        <v/>
      </c>
      <c r="P580">
        <f>IF($N580="","",LEFT($Q580,4)&amp;MID($Q580,6,2)&amp;RIGHT($Q580,2)&amp;IF(Sync!$K580="","0000",IF(AND(ISNUMBER(Sync!$K580),Sync!$K580&gt;=0,Sync!$K580&lt;1),RIGHT("00"&amp;HOUR(Sync!$K580),2)&amp;RIGHT("00"&amp;MINUTE(Sync!$K580),2),IFERROR(RIGHT("00"&amp;VALUE(LEFT(Sync!$K580,FIND(":",Sync!$K580)-1)),2)&amp;RIGHT("00"&amp;VALUE(MID(Sync!$K580,FIND(":",Sync!$K580)+1,2)),2),"0000")))&amp;"|"&amp;"2"&amp;RIGHT("00000"&amp;575,5))</f>
        <v/>
      </c>
      <c r="Q580">
        <f>IF(Sync!$J580="","",IF(ISNUMBER(Sync!$J580),IF(AND(Sync!$J580&gt;=10000101,Sync!$J580&lt;=99991231),INT(Sync!$J580/10000)&amp;"/"&amp;RIGHT("00"&amp;INT(MOD(Sync!$J580,10000)/100),2)&amp;"/"&amp;RIGHT("00"&amp;MOD(Sync!$J580,100),2),"نامعتبر"),IF(LEN(Sync!$J580)=10,Sync!$J580,"نامعتبر")))</f>
        <v/>
      </c>
      <c r="R580">
        <f>IF($P580="","",COUNTIFS($N$6:$N$2005,$N580,$P$6:$P$2005,"&lt;"&amp;$P580)+COUNTIFS($A$6:$A$1005,$N580,$B$6:$B$1005,"&lt;"&amp;$P580)+1)</f>
        <v/>
      </c>
      <c r="S580">
        <f>IF($N580="","",$N580&amp;"|"&amp;RIGHT("000000"&amp;$R580,6))</f>
        <v/>
      </c>
      <c r="T580">
        <f>IF($N580="","",IF(Sync!$N580="",0,Sync!$N580))</f>
        <v/>
      </c>
      <c r="U580">
        <f>IF($N580="","",IF(Sync!$O580="",0,Sync!$O580))</f>
        <v/>
      </c>
      <c r="V580">
        <f>IF($N580="","",Sync!$L580)</f>
        <v/>
      </c>
      <c r="W580">
        <f>IF($N580="","",Sync!$P580)</f>
        <v/>
      </c>
      <c r="AA580">
        <f>IF($A580="","",IF(COUNTIF($A$6:$A580,$A580)=1,1,0))</f>
        <v/>
      </c>
      <c r="AB580">
        <f>SUM($AA$6:$AA580)</f>
        <v/>
      </c>
      <c r="AC580">
        <f>IFERROR(INDEX($A$6:$A$1005,MATCH(ROW()-5,$AB$6:$AB$1005,0)),"")</f>
        <v/>
      </c>
    </row>
    <row r="581">
      <c r="A581">
        <f>IF(OR(Entry!$B584="",Entry!$E584="",$E581="نامعتبر"),"",Entry!$E584)</f>
        <v/>
      </c>
      <c r="B581">
        <f>IF($A581="","",LEFT($E581,4)&amp;MID($E581,6,2)&amp;RIGHT($E581,2)&amp;$F581&amp;"|"&amp;"1"&amp;RIGHT("00000"&amp;576,5))</f>
        <v/>
      </c>
      <c r="C581">
        <f>IF($B581="","",COUNTIFS($A$6:$A$1005,$A581,$B$6:$B$1005,"&lt;"&amp;$B581)+COUNTIFS($N$6:$N$2005,$A581,$P$6:$P$2005,"&lt;"&amp;$B581)+1)</f>
        <v/>
      </c>
      <c r="D581">
        <f>IF($C581="","",$A581&amp;"|"&amp;RIGHT("000000"&amp;$C581,6))</f>
        <v/>
      </c>
      <c r="E581">
        <f>IF(Entry!$B584="","",IF(ISNUMBER(Entry!$B584),IF(AND(Entry!$B584&gt;=10000101,Entry!$B584&lt;=99991231),INT(Entry!$B584/10000)&amp;"/"&amp;RIGHT("00"&amp;INT(MOD(Entry!$B584,10000)/100),2)&amp;"/"&amp;RIGHT("00"&amp;MOD(Entry!$B584,100),2),"نامعتبر"),IF(LEN(Entry!$B584)=10,Entry!$B584,"نامعتبر")))</f>
        <v/>
      </c>
      <c r="F581">
        <f>IF(Entry!$B584="","",IF(Entry!$C584="","0000",IF(AND(ISNUMBER(Entry!$C584),Entry!$C584&gt;=0,Entry!$C584&lt;1),RIGHT("00"&amp;HOUR(Entry!$C584),2)&amp;RIGHT("00"&amp;MINUTE(Entry!$C584),2),IFERROR(RIGHT("00"&amp;VALUE(LEFT(Entry!$C584,FIND(":",Entry!$C584)-1)),2)&amp;RIGHT("00"&amp;VALUE(MID(Entry!$C584,FIND(":",Entry!$C584)+1,2)),2),"0000"))))</f>
        <v/>
      </c>
      <c r="G581">
        <f>IF($A581="","",Entry!$G584)</f>
        <v/>
      </c>
      <c r="H581">
        <f>IF($A581="","",IF(Entry!$H584="",0,Entry!$H584))</f>
        <v/>
      </c>
      <c r="I581">
        <f>IF($A581="","",IF(Entry!$I584="",0,Entry!$I584))</f>
        <v/>
      </c>
      <c r="J581">
        <f>IF($A581="","",ROUND($H581*$I581,0))</f>
        <v/>
      </c>
      <c r="K581">
        <f>IF($A581="","",Entry!$D584)</f>
        <v/>
      </c>
      <c r="L581">
        <f>IF($A581="","",Entry!$L584)</f>
        <v/>
      </c>
      <c r="N581">
        <f>IF(OR(Sync!$M581="",$Q581="",$Q581="نامعتبر"),"",Sync!$M581)</f>
        <v/>
      </c>
      <c r="O581">
        <f>IF($N581="","",$Q581)</f>
        <v/>
      </c>
      <c r="P581">
        <f>IF($N581="","",LEFT($Q581,4)&amp;MID($Q581,6,2)&amp;RIGHT($Q581,2)&amp;IF(Sync!$K581="","0000",IF(AND(ISNUMBER(Sync!$K581),Sync!$K581&gt;=0,Sync!$K581&lt;1),RIGHT("00"&amp;HOUR(Sync!$K581),2)&amp;RIGHT("00"&amp;MINUTE(Sync!$K581),2),IFERROR(RIGHT("00"&amp;VALUE(LEFT(Sync!$K581,FIND(":",Sync!$K581)-1)),2)&amp;RIGHT("00"&amp;VALUE(MID(Sync!$K581,FIND(":",Sync!$K581)+1,2)),2),"0000")))&amp;"|"&amp;"2"&amp;RIGHT("00000"&amp;576,5))</f>
        <v/>
      </c>
      <c r="Q581">
        <f>IF(Sync!$J581="","",IF(ISNUMBER(Sync!$J581),IF(AND(Sync!$J581&gt;=10000101,Sync!$J581&lt;=99991231),INT(Sync!$J581/10000)&amp;"/"&amp;RIGHT("00"&amp;INT(MOD(Sync!$J581,10000)/100),2)&amp;"/"&amp;RIGHT("00"&amp;MOD(Sync!$J581,100),2),"نامعتبر"),IF(LEN(Sync!$J581)=10,Sync!$J581,"نامعتبر")))</f>
        <v/>
      </c>
      <c r="R581">
        <f>IF($P581="","",COUNTIFS($N$6:$N$2005,$N581,$P$6:$P$2005,"&lt;"&amp;$P581)+COUNTIFS($A$6:$A$1005,$N581,$B$6:$B$1005,"&lt;"&amp;$P581)+1)</f>
        <v/>
      </c>
      <c r="S581">
        <f>IF($N581="","",$N581&amp;"|"&amp;RIGHT("000000"&amp;$R581,6))</f>
        <v/>
      </c>
      <c r="T581">
        <f>IF($N581="","",IF(Sync!$N581="",0,Sync!$N581))</f>
        <v/>
      </c>
      <c r="U581">
        <f>IF($N581="","",IF(Sync!$O581="",0,Sync!$O581))</f>
        <v/>
      </c>
      <c r="V581">
        <f>IF($N581="","",Sync!$L581)</f>
        <v/>
      </c>
      <c r="W581">
        <f>IF($N581="","",Sync!$P581)</f>
        <v/>
      </c>
      <c r="AA581">
        <f>IF($A581="","",IF(COUNTIF($A$6:$A581,$A581)=1,1,0))</f>
        <v/>
      </c>
      <c r="AB581">
        <f>SUM($AA$6:$AA581)</f>
        <v/>
      </c>
      <c r="AC581">
        <f>IFERROR(INDEX($A$6:$A$1005,MATCH(ROW()-5,$AB$6:$AB$1005,0)),"")</f>
        <v/>
      </c>
    </row>
    <row r="582">
      <c r="A582">
        <f>IF(OR(Entry!$B585="",Entry!$E585="",$E582="نامعتبر"),"",Entry!$E585)</f>
        <v/>
      </c>
      <c r="B582">
        <f>IF($A582="","",LEFT($E582,4)&amp;MID($E582,6,2)&amp;RIGHT($E582,2)&amp;$F582&amp;"|"&amp;"1"&amp;RIGHT("00000"&amp;577,5))</f>
        <v/>
      </c>
      <c r="C582">
        <f>IF($B582="","",COUNTIFS($A$6:$A$1005,$A582,$B$6:$B$1005,"&lt;"&amp;$B582)+COUNTIFS($N$6:$N$2005,$A582,$P$6:$P$2005,"&lt;"&amp;$B582)+1)</f>
        <v/>
      </c>
      <c r="D582">
        <f>IF($C582="","",$A582&amp;"|"&amp;RIGHT("000000"&amp;$C582,6))</f>
        <v/>
      </c>
      <c r="E582">
        <f>IF(Entry!$B585="","",IF(ISNUMBER(Entry!$B585),IF(AND(Entry!$B585&gt;=10000101,Entry!$B585&lt;=99991231),INT(Entry!$B585/10000)&amp;"/"&amp;RIGHT("00"&amp;INT(MOD(Entry!$B585,10000)/100),2)&amp;"/"&amp;RIGHT("00"&amp;MOD(Entry!$B585,100),2),"نامعتبر"),IF(LEN(Entry!$B585)=10,Entry!$B585,"نامعتبر")))</f>
        <v/>
      </c>
      <c r="F582">
        <f>IF(Entry!$B585="","",IF(Entry!$C585="","0000",IF(AND(ISNUMBER(Entry!$C585),Entry!$C585&gt;=0,Entry!$C585&lt;1),RIGHT("00"&amp;HOUR(Entry!$C585),2)&amp;RIGHT("00"&amp;MINUTE(Entry!$C585),2),IFERROR(RIGHT("00"&amp;VALUE(LEFT(Entry!$C585,FIND(":",Entry!$C585)-1)),2)&amp;RIGHT("00"&amp;VALUE(MID(Entry!$C585,FIND(":",Entry!$C585)+1,2)),2),"0000"))))</f>
        <v/>
      </c>
      <c r="G582">
        <f>IF($A582="","",Entry!$G585)</f>
        <v/>
      </c>
      <c r="H582">
        <f>IF($A582="","",IF(Entry!$H585="",0,Entry!$H585))</f>
        <v/>
      </c>
      <c r="I582">
        <f>IF($A582="","",IF(Entry!$I585="",0,Entry!$I585))</f>
        <v/>
      </c>
      <c r="J582">
        <f>IF($A582="","",ROUND($H582*$I582,0))</f>
        <v/>
      </c>
      <c r="K582">
        <f>IF($A582="","",Entry!$D585)</f>
        <v/>
      </c>
      <c r="L582">
        <f>IF($A582="","",Entry!$L585)</f>
        <v/>
      </c>
      <c r="N582">
        <f>IF(OR(Sync!$M582="",$Q582="",$Q582="نامعتبر"),"",Sync!$M582)</f>
        <v/>
      </c>
      <c r="O582">
        <f>IF($N582="","",$Q582)</f>
        <v/>
      </c>
      <c r="P582">
        <f>IF($N582="","",LEFT($Q582,4)&amp;MID($Q582,6,2)&amp;RIGHT($Q582,2)&amp;IF(Sync!$K582="","0000",IF(AND(ISNUMBER(Sync!$K582),Sync!$K582&gt;=0,Sync!$K582&lt;1),RIGHT("00"&amp;HOUR(Sync!$K582),2)&amp;RIGHT("00"&amp;MINUTE(Sync!$K582),2),IFERROR(RIGHT("00"&amp;VALUE(LEFT(Sync!$K582,FIND(":",Sync!$K582)-1)),2)&amp;RIGHT("00"&amp;VALUE(MID(Sync!$K582,FIND(":",Sync!$K582)+1,2)),2),"0000")))&amp;"|"&amp;"2"&amp;RIGHT("00000"&amp;577,5))</f>
        <v/>
      </c>
      <c r="Q582">
        <f>IF(Sync!$J582="","",IF(ISNUMBER(Sync!$J582),IF(AND(Sync!$J582&gt;=10000101,Sync!$J582&lt;=99991231),INT(Sync!$J582/10000)&amp;"/"&amp;RIGHT("00"&amp;INT(MOD(Sync!$J582,10000)/100),2)&amp;"/"&amp;RIGHT("00"&amp;MOD(Sync!$J582,100),2),"نامعتبر"),IF(LEN(Sync!$J582)=10,Sync!$J582,"نامعتبر")))</f>
        <v/>
      </c>
      <c r="R582">
        <f>IF($P582="","",COUNTIFS($N$6:$N$2005,$N582,$P$6:$P$2005,"&lt;"&amp;$P582)+COUNTIFS($A$6:$A$1005,$N582,$B$6:$B$1005,"&lt;"&amp;$P582)+1)</f>
        <v/>
      </c>
      <c r="S582">
        <f>IF($N582="","",$N582&amp;"|"&amp;RIGHT("000000"&amp;$R582,6))</f>
        <v/>
      </c>
      <c r="T582">
        <f>IF($N582="","",IF(Sync!$N582="",0,Sync!$N582))</f>
        <v/>
      </c>
      <c r="U582">
        <f>IF($N582="","",IF(Sync!$O582="",0,Sync!$O582))</f>
        <v/>
      </c>
      <c r="V582">
        <f>IF($N582="","",Sync!$L582)</f>
        <v/>
      </c>
      <c r="W582">
        <f>IF($N582="","",Sync!$P582)</f>
        <v/>
      </c>
      <c r="AA582">
        <f>IF($A582="","",IF(COUNTIF($A$6:$A582,$A582)=1,1,0))</f>
        <v/>
      </c>
      <c r="AB582">
        <f>SUM($AA$6:$AA582)</f>
        <v/>
      </c>
      <c r="AC582">
        <f>IFERROR(INDEX($A$6:$A$1005,MATCH(ROW()-5,$AB$6:$AB$1005,0)),"")</f>
        <v/>
      </c>
    </row>
    <row r="583">
      <c r="A583">
        <f>IF(OR(Entry!$B586="",Entry!$E586="",$E583="نامعتبر"),"",Entry!$E586)</f>
        <v/>
      </c>
      <c r="B583">
        <f>IF($A583="","",LEFT($E583,4)&amp;MID($E583,6,2)&amp;RIGHT($E583,2)&amp;$F583&amp;"|"&amp;"1"&amp;RIGHT("00000"&amp;578,5))</f>
        <v/>
      </c>
      <c r="C583">
        <f>IF($B583="","",COUNTIFS($A$6:$A$1005,$A583,$B$6:$B$1005,"&lt;"&amp;$B583)+COUNTIFS($N$6:$N$2005,$A583,$P$6:$P$2005,"&lt;"&amp;$B583)+1)</f>
        <v/>
      </c>
      <c r="D583">
        <f>IF($C583="","",$A583&amp;"|"&amp;RIGHT("000000"&amp;$C583,6))</f>
        <v/>
      </c>
      <c r="E583">
        <f>IF(Entry!$B586="","",IF(ISNUMBER(Entry!$B586),IF(AND(Entry!$B586&gt;=10000101,Entry!$B586&lt;=99991231),INT(Entry!$B586/10000)&amp;"/"&amp;RIGHT("00"&amp;INT(MOD(Entry!$B586,10000)/100),2)&amp;"/"&amp;RIGHT("00"&amp;MOD(Entry!$B586,100),2),"نامعتبر"),IF(LEN(Entry!$B586)=10,Entry!$B586,"نامعتبر")))</f>
        <v/>
      </c>
      <c r="F583">
        <f>IF(Entry!$B586="","",IF(Entry!$C586="","0000",IF(AND(ISNUMBER(Entry!$C586),Entry!$C586&gt;=0,Entry!$C586&lt;1),RIGHT("00"&amp;HOUR(Entry!$C586),2)&amp;RIGHT("00"&amp;MINUTE(Entry!$C586),2),IFERROR(RIGHT("00"&amp;VALUE(LEFT(Entry!$C586,FIND(":",Entry!$C586)-1)),2)&amp;RIGHT("00"&amp;VALUE(MID(Entry!$C586,FIND(":",Entry!$C586)+1,2)),2),"0000"))))</f>
        <v/>
      </c>
      <c r="G583">
        <f>IF($A583="","",Entry!$G586)</f>
        <v/>
      </c>
      <c r="H583">
        <f>IF($A583="","",IF(Entry!$H586="",0,Entry!$H586))</f>
        <v/>
      </c>
      <c r="I583">
        <f>IF($A583="","",IF(Entry!$I586="",0,Entry!$I586))</f>
        <v/>
      </c>
      <c r="J583">
        <f>IF($A583="","",ROUND($H583*$I583,0))</f>
        <v/>
      </c>
      <c r="K583">
        <f>IF($A583="","",Entry!$D586)</f>
        <v/>
      </c>
      <c r="L583">
        <f>IF($A583="","",Entry!$L586)</f>
        <v/>
      </c>
      <c r="N583">
        <f>IF(OR(Sync!$M583="",$Q583="",$Q583="نامعتبر"),"",Sync!$M583)</f>
        <v/>
      </c>
      <c r="O583">
        <f>IF($N583="","",$Q583)</f>
        <v/>
      </c>
      <c r="P583">
        <f>IF($N583="","",LEFT($Q583,4)&amp;MID($Q583,6,2)&amp;RIGHT($Q583,2)&amp;IF(Sync!$K583="","0000",IF(AND(ISNUMBER(Sync!$K583),Sync!$K583&gt;=0,Sync!$K583&lt;1),RIGHT("00"&amp;HOUR(Sync!$K583),2)&amp;RIGHT("00"&amp;MINUTE(Sync!$K583),2),IFERROR(RIGHT("00"&amp;VALUE(LEFT(Sync!$K583,FIND(":",Sync!$K583)-1)),2)&amp;RIGHT("00"&amp;VALUE(MID(Sync!$K583,FIND(":",Sync!$K583)+1,2)),2),"0000")))&amp;"|"&amp;"2"&amp;RIGHT("00000"&amp;578,5))</f>
        <v/>
      </c>
      <c r="Q583">
        <f>IF(Sync!$J583="","",IF(ISNUMBER(Sync!$J583),IF(AND(Sync!$J583&gt;=10000101,Sync!$J583&lt;=99991231),INT(Sync!$J583/10000)&amp;"/"&amp;RIGHT("00"&amp;INT(MOD(Sync!$J583,10000)/100),2)&amp;"/"&amp;RIGHT("00"&amp;MOD(Sync!$J583,100),2),"نامعتبر"),IF(LEN(Sync!$J583)=10,Sync!$J583,"نامعتبر")))</f>
        <v/>
      </c>
      <c r="R583">
        <f>IF($P583="","",COUNTIFS($N$6:$N$2005,$N583,$P$6:$P$2005,"&lt;"&amp;$P583)+COUNTIFS($A$6:$A$1005,$N583,$B$6:$B$1005,"&lt;"&amp;$P583)+1)</f>
        <v/>
      </c>
      <c r="S583">
        <f>IF($N583="","",$N583&amp;"|"&amp;RIGHT("000000"&amp;$R583,6))</f>
        <v/>
      </c>
      <c r="T583">
        <f>IF($N583="","",IF(Sync!$N583="",0,Sync!$N583))</f>
        <v/>
      </c>
      <c r="U583">
        <f>IF($N583="","",IF(Sync!$O583="",0,Sync!$O583))</f>
        <v/>
      </c>
      <c r="V583">
        <f>IF($N583="","",Sync!$L583)</f>
        <v/>
      </c>
      <c r="W583">
        <f>IF($N583="","",Sync!$P583)</f>
        <v/>
      </c>
      <c r="AA583">
        <f>IF($A583="","",IF(COUNTIF($A$6:$A583,$A583)=1,1,0))</f>
        <v/>
      </c>
      <c r="AB583">
        <f>SUM($AA$6:$AA583)</f>
        <v/>
      </c>
      <c r="AC583">
        <f>IFERROR(INDEX($A$6:$A$1005,MATCH(ROW()-5,$AB$6:$AB$1005,0)),"")</f>
        <v/>
      </c>
    </row>
    <row r="584">
      <c r="A584">
        <f>IF(OR(Entry!$B587="",Entry!$E587="",$E584="نامعتبر"),"",Entry!$E587)</f>
        <v/>
      </c>
      <c r="B584">
        <f>IF($A584="","",LEFT($E584,4)&amp;MID($E584,6,2)&amp;RIGHT($E584,2)&amp;$F584&amp;"|"&amp;"1"&amp;RIGHT("00000"&amp;579,5))</f>
        <v/>
      </c>
      <c r="C584">
        <f>IF($B584="","",COUNTIFS($A$6:$A$1005,$A584,$B$6:$B$1005,"&lt;"&amp;$B584)+COUNTIFS($N$6:$N$2005,$A584,$P$6:$P$2005,"&lt;"&amp;$B584)+1)</f>
        <v/>
      </c>
      <c r="D584">
        <f>IF($C584="","",$A584&amp;"|"&amp;RIGHT("000000"&amp;$C584,6))</f>
        <v/>
      </c>
      <c r="E584">
        <f>IF(Entry!$B587="","",IF(ISNUMBER(Entry!$B587),IF(AND(Entry!$B587&gt;=10000101,Entry!$B587&lt;=99991231),INT(Entry!$B587/10000)&amp;"/"&amp;RIGHT("00"&amp;INT(MOD(Entry!$B587,10000)/100),2)&amp;"/"&amp;RIGHT("00"&amp;MOD(Entry!$B587,100),2),"نامعتبر"),IF(LEN(Entry!$B587)=10,Entry!$B587,"نامعتبر")))</f>
        <v/>
      </c>
      <c r="F584">
        <f>IF(Entry!$B587="","",IF(Entry!$C587="","0000",IF(AND(ISNUMBER(Entry!$C587),Entry!$C587&gt;=0,Entry!$C587&lt;1),RIGHT("00"&amp;HOUR(Entry!$C587),2)&amp;RIGHT("00"&amp;MINUTE(Entry!$C587),2),IFERROR(RIGHT("00"&amp;VALUE(LEFT(Entry!$C587,FIND(":",Entry!$C587)-1)),2)&amp;RIGHT("00"&amp;VALUE(MID(Entry!$C587,FIND(":",Entry!$C587)+1,2)),2),"0000"))))</f>
        <v/>
      </c>
      <c r="G584">
        <f>IF($A584="","",Entry!$G587)</f>
        <v/>
      </c>
      <c r="H584">
        <f>IF($A584="","",IF(Entry!$H587="",0,Entry!$H587))</f>
        <v/>
      </c>
      <c r="I584">
        <f>IF($A584="","",IF(Entry!$I587="",0,Entry!$I587))</f>
        <v/>
      </c>
      <c r="J584">
        <f>IF($A584="","",ROUND($H584*$I584,0))</f>
        <v/>
      </c>
      <c r="K584">
        <f>IF($A584="","",Entry!$D587)</f>
        <v/>
      </c>
      <c r="L584">
        <f>IF($A584="","",Entry!$L587)</f>
        <v/>
      </c>
      <c r="N584">
        <f>IF(OR(Sync!$M584="",$Q584="",$Q584="نامعتبر"),"",Sync!$M584)</f>
        <v/>
      </c>
      <c r="O584">
        <f>IF($N584="","",$Q584)</f>
        <v/>
      </c>
      <c r="P584">
        <f>IF($N584="","",LEFT($Q584,4)&amp;MID($Q584,6,2)&amp;RIGHT($Q584,2)&amp;IF(Sync!$K584="","0000",IF(AND(ISNUMBER(Sync!$K584),Sync!$K584&gt;=0,Sync!$K584&lt;1),RIGHT("00"&amp;HOUR(Sync!$K584),2)&amp;RIGHT("00"&amp;MINUTE(Sync!$K584),2),IFERROR(RIGHT("00"&amp;VALUE(LEFT(Sync!$K584,FIND(":",Sync!$K584)-1)),2)&amp;RIGHT("00"&amp;VALUE(MID(Sync!$K584,FIND(":",Sync!$K584)+1,2)),2),"0000")))&amp;"|"&amp;"2"&amp;RIGHT("00000"&amp;579,5))</f>
        <v/>
      </c>
      <c r="Q584">
        <f>IF(Sync!$J584="","",IF(ISNUMBER(Sync!$J584),IF(AND(Sync!$J584&gt;=10000101,Sync!$J584&lt;=99991231),INT(Sync!$J584/10000)&amp;"/"&amp;RIGHT("00"&amp;INT(MOD(Sync!$J584,10000)/100),2)&amp;"/"&amp;RIGHT("00"&amp;MOD(Sync!$J584,100),2),"نامعتبر"),IF(LEN(Sync!$J584)=10,Sync!$J584,"نامعتبر")))</f>
        <v/>
      </c>
      <c r="R584">
        <f>IF($P584="","",COUNTIFS($N$6:$N$2005,$N584,$P$6:$P$2005,"&lt;"&amp;$P584)+COUNTIFS($A$6:$A$1005,$N584,$B$6:$B$1005,"&lt;"&amp;$P584)+1)</f>
        <v/>
      </c>
      <c r="S584">
        <f>IF($N584="","",$N584&amp;"|"&amp;RIGHT("000000"&amp;$R584,6))</f>
        <v/>
      </c>
      <c r="T584">
        <f>IF($N584="","",IF(Sync!$N584="",0,Sync!$N584))</f>
        <v/>
      </c>
      <c r="U584">
        <f>IF($N584="","",IF(Sync!$O584="",0,Sync!$O584))</f>
        <v/>
      </c>
      <c r="V584">
        <f>IF($N584="","",Sync!$L584)</f>
        <v/>
      </c>
      <c r="W584">
        <f>IF($N584="","",Sync!$P584)</f>
        <v/>
      </c>
      <c r="AA584">
        <f>IF($A584="","",IF(COUNTIF($A$6:$A584,$A584)=1,1,0))</f>
        <v/>
      </c>
      <c r="AB584">
        <f>SUM($AA$6:$AA584)</f>
        <v/>
      </c>
      <c r="AC584">
        <f>IFERROR(INDEX($A$6:$A$1005,MATCH(ROW()-5,$AB$6:$AB$1005,0)),"")</f>
        <v/>
      </c>
    </row>
    <row r="585">
      <c r="A585">
        <f>IF(OR(Entry!$B588="",Entry!$E588="",$E585="نامعتبر"),"",Entry!$E588)</f>
        <v/>
      </c>
      <c r="B585">
        <f>IF($A585="","",LEFT($E585,4)&amp;MID($E585,6,2)&amp;RIGHT($E585,2)&amp;$F585&amp;"|"&amp;"1"&amp;RIGHT("00000"&amp;580,5))</f>
        <v/>
      </c>
      <c r="C585">
        <f>IF($B585="","",COUNTIFS($A$6:$A$1005,$A585,$B$6:$B$1005,"&lt;"&amp;$B585)+COUNTIFS($N$6:$N$2005,$A585,$P$6:$P$2005,"&lt;"&amp;$B585)+1)</f>
        <v/>
      </c>
      <c r="D585">
        <f>IF($C585="","",$A585&amp;"|"&amp;RIGHT("000000"&amp;$C585,6))</f>
        <v/>
      </c>
      <c r="E585">
        <f>IF(Entry!$B588="","",IF(ISNUMBER(Entry!$B588),IF(AND(Entry!$B588&gt;=10000101,Entry!$B588&lt;=99991231),INT(Entry!$B588/10000)&amp;"/"&amp;RIGHT("00"&amp;INT(MOD(Entry!$B588,10000)/100),2)&amp;"/"&amp;RIGHT("00"&amp;MOD(Entry!$B588,100),2),"نامعتبر"),IF(LEN(Entry!$B588)=10,Entry!$B588,"نامعتبر")))</f>
        <v/>
      </c>
      <c r="F585">
        <f>IF(Entry!$B588="","",IF(Entry!$C588="","0000",IF(AND(ISNUMBER(Entry!$C588),Entry!$C588&gt;=0,Entry!$C588&lt;1),RIGHT("00"&amp;HOUR(Entry!$C588),2)&amp;RIGHT("00"&amp;MINUTE(Entry!$C588),2),IFERROR(RIGHT("00"&amp;VALUE(LEFT(Entry!$C588,FIND(":",Entry!$C588)-1)),2)&amp;RIGHT("00"&amp;VALUE(MID(Entry!$C588,FIND(":",Entry!$C588)+1,2)),2),"0000"))))</f>
        <v/>
      </c>
      <c r="G585">
        <f>IF($A585="","",Entry!$G588)</f>
        <v/>
      </c>
      <c r="H585">
        <f>IF($A585="","",IF(Entry!$H588="",0,Entry!$H588))</f>
        <v/>
      </c>
      <c r="I585">
        <f>IF($A585="","",IF(Entry!$I588="",0,Entry!$I588))</f>
        <v/>
      </c>
      <c r="J585">
        <f>IF($A585="","",ROUND($H585*$I585,0))</f>
        <v/>
      </c>
      <c r="K585">
        <f>IF($A585="","",Entry!$D588)</f>
        <v/>
      </c>
      <c r="L585">
        <f>IF($A585="","",Entry!$L588)</f>
        <v/>
      </c>
      <c r="N585">
        <f>IF(OR(Sync!$M585="",$Q585="",$Q585="نامعتبر"),"",Sync!$M585)</f>
        <v/>
      </c>
      <c r="O585">
        <f>IF($N585="","",$Q585)</f>
        <v/>
      </c>
      <c r="P585">
        <f>IF($N585="","",LEFT($Q585,4)&amp;MID($Q585,6,2)&amp;RIGHT($Q585,2)&amp;IF(Sync!$K585="","0000",IF(AND(ISNUMBER(Sync!$K585),Sync!$K585&gt;=0,Sync!$K585&lt;1),RIGHT("00"&amp;HOUR(Sync!$K585),2)&amp;RIGHT("00"&amp;MINUTE(Sync!$K585),2),IFERROR(RIGHT("00"&amp;VALUE(LEFT(Sync!$K585,FIND(":",Sync!$K585)-1)),2)&amp;RIGHT("00"&amp;VALUE(MID(Sync!$K585,FIND(":",Sync!$K585)+1,2)),2),"0000")))&amp;"|"&amp;"2"&amp;RIGHT("00000"&amp;580,5))</f>
        <v/>
      </c>
      <c r="Q585">
        <f>IF(Sync!$J585="","",IF(ISNUMBER(Sync!$J585),IF(AND(Sync!$J585&gt;=10000101,Sync!$J585&lt;=99991231),INT(Sync!$J585/10000)&amp;"/"&amp;RIGHT("00"&amp;INT(MOD(Sync!$J585,10000)/100),2)&amp;"/"&amp;RIGHT("00"&amp;MOD(Sync!$J585,100),2),"نامعتبر"),IF(LEN(Sync!$J585)=10,Sync!$J585,"نامعتبر")))</f>
        <v/>
      </c>
      <c r="R585">
        <f>IF($P585="","",COUNTIFS($N$6:$N$2005,$N585,$P$6:$P$2005,"&lt;"&amp;$P585)+COUNTIFS($A$6:$A$1005,$N585,$B$6:$B$1005,"&lt;"&amp;$P585)+1)</f>
        <v/>
      </c>
      <c r="S585">
        <f>IF($N585="","",$N585&amp;"|"&amp;RIGHT("000000"&amp;$R585,6))</f>
        <v/>
      </c>
      <c r="T585">
        <f>IF($N585="","",IF(Sync!$N585="",0,Sync!$N585))</f>
        <v/>
      </c>
      <c r="U585">
        <f>IF($N585="","",IF(Sync!$O585="",0,Sync!$O585))</f>
        <v/>
      </c>
      <c r="V585">
        <f>IF($N585="","",Sync!$L585)</f>
        <v/>
      </c>
      <c r="W585">
        <f>IF($N585="","",Sync!$P585)</f>
        <v/>
      </c>
      <c r="AA585">
        <f>IF($A585="","",IF(COUNTIF($A$6:$A585,$A585)=1,1,0))</f>
        <v/>
      </c>
      <c r="AB585">
        <f>SUM($AA$6:$AA585)</f>
        <v/>
      </c>
      <c r="AC585">
        <f>IFERROR(INDEX($A$6:$A$1005,MATCH(ROW()-5,$AB$6:$AB$1005,0)),"")</f>
        <v/>
      </c>
    </row>
    <row r="586">
      <c r="A586">
        <f>IF(OR(Entry!$B589="",Entry!$E589="",$E586="نامعتبر"),"",Entry!$E589)</f>
        <v/>
      </c>
      <c r="B586">
        <f>IF($A586="","",LEFT($E586,4)&amp;MID($E586,6,2)&amp;RIGHT($E586,2)&amp;$F586&amp;"|"&amp;"1"&amp;RIGHT("00000"&amp;581,5))</f>
        <v/>
      </c>
      <c r="C586">
        <f>IF($B586="","",COUNTIFS($A$6:$A$1005,$A586,$B$6:$B$1005,"&lt;"&amp;$B586)+COUNTIFS($N$6:$N$2005,$A586,$P$6:$P$2005,"&lt;"&amp;$B586)+1)</f>
        <v/>
      </c>
      <c r="D586">
        <f>IF($C586="","",$A586&amp;"|"&amp;RIGHT("000000"&amp;$C586,6))</f>
        <v/>
      </c>
      <c r="E586">
        <f>IF(Entry!$B589="","",IF(ISNUMBER(Entry!$B589),IF(AND(Entry!$B589&gt;=10000101,Entry!$B589&lt;=99991231),INT(Entry!$B589/10000)&amp;"/"&amp;RIGHT("00"&amp;INT(MOD(Entry!$B589,10000)/100),2)&amp;"/"&amp;RIGHT("00"&amp;MOD(Entry!$B589,100),2),"نامعتبر"),IF(LEN(Entry!$B589)=10,Entry!$B589,"نامعتبر")))</f>
        <v/>
      </c>
      <c r="F586">
        <f>IF(Entry!$B589="","",IF(Entry!$C589="","0000",IF(AND(ISNUMBER(Entry!$C589),Entry!$C589&gt;=0,Entry!$C589&lt;1),RIGHT("00"&amp;HOUR(Entry!$C589),2)&amp;RIGHT("00"&amp;MINUTE(Entry!$C589),2),IFERROR(RIGHT("00"&amp;VALUE(LEFT(Entry!$C589,FIND(":",Entry!$C589)-1)),2)&amp;RIGHT("00"&amp;VALUE(MID(Entry!$C589,FIND(":",Entry!$C589)+1,2)),2),"0000"))))</f>
        <v/>
      </c>
      <c r="G586">
        <f>IF($A586="","",Entry!$G589)</f>
        <v/>
      </c>
      <c r="H586">
        <f>IF($A586="","",IF(Entry!$H589="",0,Entry!$H589))</f>
        <v/>
      </c>
      <c r="I586">
        <f>IF($A586="","",IF(Entry!$I589="",0,Entry!$I589))</f>
        <v/>
      </c>
      <c r="J586">
        <f>IF($A586="","",ROUND($H586*$I586,0))</f>
        <v/>
      </c>
      <c r="K586">
        <f>IF($A586="","",Entry!$D589)</f>
        <v/>
      </c>
      <c r="L586">
        <f>IF($A586="","",Entry!$L589)</f>
        <v/>
      </c>
      <c r="N586">
        <f>IF(OR(Sync!$M586="",$Q586="",$Q586="نامعتبر"),"",Sync!$M586)</f>
        <v/>
      </c>
      <c r="O586">
        <f>IF($N586="","",$Q586)</f>
        <v/>
      </c>
      <c r="P586">
        <f>IF($N586="","",LEFT($Q586,4)&amp;MID($Q586,6,2)&amp;RIGHT($Q586,2)&amp;IF(Sync!$K586="","0000",IF(AND(ISNUMBER(Sync!$K586),Sync!$K586&gt;=0,Sync!$K586&lt;1),RIGHT("00"&amp;HOUR(Sync!$K586),2)&amp;RIGHT("00"&amp;MINUTE(Sync!$K586),2),IFERROR(RIGHT("00"&amp;VALUE(LEFT(Sync!$K586,FIND(":",Sync!$K586)-1)),2)&amp;RIGHT("00"&amp;VALUE(MID(Sync!$K586,FIND(":",Sync!$K586)+1,2)),2),"0000")))&amp;"|"&amp;"2"&amp;RIGHT("00000"&amp;581,5))</f>
        <v/>
      </c>
      <c r="Q586">
        <f>IF(Sync!$J586="","",IF(ISNUMBER(Sync!$J586),IF(AND(Sync!$J586&gt;=10000101,Sync!$J586&lt;=99991231),INT(Sync!$J586/10000)&amp;"/"&amp;RIGHT("00"&amp;INT(MOD(Sync!$J586,10000)/100),2)&amp;"/"&amp;RIGHT("00"&amp;MOD(Sync!$J586,100),2),"نامعتبر"),IF(LEN(Sync!$J586)=10,Sync!$J586,"نامعتبر")))</f>
        <v/>
      </c>
      <c r="R586">
        <f>IF($P586="","",COUNTIFS($N$6:$N$2005,$N586,$P$6:$P$2005,"&lt;"&amp;$P586)+COUNTIFS($A$6:$A$1005,$N586,$B$6:$B$1005,"&lt;"&amp;$P586)+1)</f>
        <v/>
      </c>
      <c r="S586">
        <f>IF($N586="","",$N586&amp;"|"&amp;RIGHT("000000"&amp;$R586,6))</f>
        <v/>
      </c>
      <c r="T586">
        <f>IF($N586="","",IF(Sync!$N586="",0,Sync!$N586))</f>
        <v/>
      </c>
      <c r="U586">
        <f>IF($N586="","",IF(Sync!$O586="",0,Sync!$O586))</f>
        <v/>
      </c>
      <c r="V586">
        <f>IF($N586="","",Sync!$L586)</f>
        <v/>
      </c>
      <c r="W586">
        <f>IF($N586="","",Sync!$P586)</f>
        <v/>
      </c>
      <c r="AA586">
        <f>IF($A586="","",IF(COUNTIF($A$6:$A586,$A586)=1,1,0))</f>
        <v/>
      </c>
      <c r="AB586">
        <f>SUM($AA$6:$AA586)</f>
        <v/>
      </c>
      <c r="AC586">
        <f>IFERROR(INDEX($A$6:$A$1005,MATCH(ROW()-5,$AB$6:$AB$1005,0)),"")</f>
        <v/>
      </c>
    </row>
    <row r="587">
      <c r="A587">
        <f>IF(OR(Entry!$B590="",Entry!$E590="",$E587="نامعتبر"),"",Entry!$E590)</f>
        <v/>
      </c>
      <c r="B587">
        <f>IF($A587="","",LEFT($E587,4)&amp;MID($E587,6,2)&amp;RIGHT($E587,2)&amp;$F587&amp;"|"&amp;"1"&amp;RIGHT("00000"&amp;582,5))</f>
        <v/>
      </c>
      <c r="C587">
        <f>IF($B587="","",COUNTIFS($A$6:$A$1005,$A587,$B$6:$B$1005,"&lt;"&amp;$B587)+COUNTIFS($N$6:$N$2005,$A587,$P$6:$P$2005,"&lt;"&amp;$B587)+1)</f>
        <v/>
      </c>
      <c r="D587">
        <f>IF($C587="","",$A587&amp;"|"&amp;RIGHT("000000"&amp;$C587,6))</f>
        <v/>
      </c>
      <c r="E587">
        <f>IF(Entry!$B590="","",IF(ISNUMBER(Entry!$B590),IF(AND(Entry!$B590&gt;=10000101,Entry!$B590&lt;=99991231),INT(Entry!$B590/10000)&amp;"/"&amp;RIGHT("00"&amp;INT(MOD(Entry!$B590,10000)/100),2)&amp;"/"&amp;RIGHT("00"&amp;MOD(Entry!$B590,100),2),"نامعتبر"),IF(LEN(Entry!$B590)=10,Entry!$B590,"نامعتبر")))</f>
        <v/>
      </c>
      <c r="F587">
        <f>IF(Entry!$B590="","",IF(Entry!$C590="","0000",IF(AND(ISNUMBER(Entry!$C590),Entry!$C590&gt;=0,Entry!$C590&lt;1),RIGHT("00"&amp;HOUR(Entry!$C590),2)&amp;RIGHT("00"&amp;MINUTE(Entry!$C590),2),IFERROR(RIGHT("00"&amp;VALUE(LEFT(Entry!$C590,FIND(":",Entry!$C590)-1)),2)&amp;RIGHT("00"&amp;VALUE(MID(Entry!$C590,FIND(":",Entry!$C590)+1,2)),2),"0000"))))</f>
        <v/>
      </c>
      <c r="G587">
        <f>IF($A587="","",Entry!$G590)</f>
        <v/>
      </c>
      <c r="H587">
        <f>IF($A587="","",IF(Entry!$H590="",0,Entry!$H590))</f>
        <v/>
      </c>
      <c r="I587">
        <f>IF($A587="","",IF(Entry!$I590="",0,Entry!$I590))</f>
        <v/>
      </c>
      <c r="J587">
        <f>IF($A587="","",ROUND($H587*$I587,0))</f>
        <v/>
      </c>
      <c r="K587">
        <f>IF($A587="","",Entry!$D590)</f>
        <v/>
      </c>
      <c r="L587">
        <f>IF($A587="","",Entry!$L590)</f>
        <v/>
      </c>
      <c r="N587">
        <f>IF(OR(Sync!$M587="",$Q587="",$Q587="نامعتبر"),"",Sync!$M587)</f>
        <v/>
      </c>
      <c r="O587">
        <f>IF($N587="","",$Q587)</f>
        <v/>
      </c>
      <c r="P587">
        <f>IF($N587="","",LEFT($Q587,4)&amp;MID($Q587,6,2)&amp;RIGHT($Q587,2)&amp;IF(Sync!$K587="","0000",IF(AND(ISNUMBER(Sync!$K587),Sync!$K587&gt;=0,Sync!$K587&lt;1),RIGHT("00"&amp;HOUR(Sync!$K587),2)&amp;RIGHT("00"&amp;MINUTE(Sync!$K587),2),IFERROR(RIGHT("00"&amp;VALUE(LEFT(Sync!$K587,FIND(":",Sync!$K587)-1)),2)&amp;RIGHT("00"&amp;VALUE(MID(Sync!$K587,FIND(":",Sync!$K587)+1,2)),2),"0000")))&amp;"|"&amp;"2"&amp;RIGHT("00000"&amp;582,5))</f>
        <v/>
      </c>
      <c r="Q587">
        <f>IF(Sync!$J587="","",IF(ISNUMBER(Sync!$J587),IF(AND(Sync!$J587&gt;=10000101,Sync!$J587&lt;=99991231),INT(Sync!$J587/10000)&amp;"/"&amp;RIGHT("00"&amp;INT(MOD(Sync!$J587,10000)/100),2)&amp;"/"&amp;RIGHT("00"&amp;MOD(Sync!$J587,100),2),"نامعتبر"),IF(LEN(Sync!$J587)=10,Sync!$J587,"نامعتبر")))</f>
        <v/>
      </c>
      <c r="R587">
        <f>IF($P587="","",COUNTIFS($N$6:$N$2005,$N587,$P$6:$P$2005,"&lt;"&amp;$P587)+COUNTIFS($A$6:$A$1005,$N587,$B$6:$B$1005,"&lt;"&amp;$P587)+1)</f>
        <v/>
      </c>
      <c r="S587">
        <f>IF($N587="","",$N587&amp;"|"&amp;RIGHT("000000"&amp;$R587,6))</f>
        <v/>
      </c>
      <c r="T587">
        <f>IF($N587="","",IF(Sync!$N587="",0,Sync!$N587))</f>
        <v/>
      </c>
      <c r="U587">
        <f>IF($N587="","",IF(Sync!$O587="",0,Sync!$O587))</f>
        <v/>
      </c>
      <c r="V587">
        <f>IF($N587="","",Sync!$L587)</f>
        <v/>
      </c>
      <c r="W587">
        <f>IF($N587="","",Sync!$P587)</f>
        <v/>
      </c>
      <c r="AA587">
        <f>IF($A587="","",IF(COUNTIF($A$6:$A587,$A587)=1,1,0))</f>
        <v/>
      </c>
      <c r="AB587">
        <f>SUM($AA$6:$AA587)</f>
        <v/>
      </c>
      <c r="AC587">
        <f>IFERROR(INDEX($A$6:$A$1005,MATCH(ROW()-5,$AB$6:$AB$1005,0)),"")</f>
        <v/>
      </c>
    </row>
    <row r="588">
      <c r="A588">
        <f>IF(OR(Entry!$B591="",Entry!$E591="",$E588="نامعتبر"),"",Entry!$E591)</f>
        <v/>
      </c>
      <c r="B588">
        <f>IF($A588="","",LEFT($E588,4)&amp;MID($E588,6,2)&amp;RIGHT($E588,2)&amp;$F588&amp;"|"&amp;"1"&amp;RIGHT("00000"&amp;583,5))</f>
        <v/>
      </c>
      <c r="C588">
        <f>IF($B588="","",COUNTIFS($A$6:$A$1005,$A588,$B$6:$B$1005,"&lt;"&amp;$B588)+COUNTIFS($N$6:$N$2005,$A588,$P$6:$P$2005,"&lt;"&amp;$B588)+1)</f>
        <v/>
      </c>
      <c r="D588">
        <f>IF($C588="","",$A588&amp;"|"&amp;RIGHT("000000"&amp;$C588,6))</f>
        <v/>
      </c>
      <c r="E588">
        <f>IF(Entry!$B591="","",IF(ISNUMBER(Entry!$B591),IF(AND(Entry!$B591&gt;=10000101,Entry!$B591&lt;=99991231),INT(Entry!$B591/10000)&amp;"/"&amp;RIGHT("00"&amp;INT(MOD(Entry!$B591,10000)/100),2)&amp;"/"&amp;RIGHT("00"&amp;MOD(Entry!$B591,100),2),"نامعتبر"),IF(LEN(Entry!$B591)=10,Entry!$B591,"نامعتبر")))</f>
        <v/>
      </c>
      <c r="F588">
        <f>IF(Entry!$B591="","",IF(Entry!$C591="","0000",IF(AND(ISNUMBER(Entry!$C591),Entry!$C591&gt;=0,Entry!$C591&lt;1),RIGHT("00"&amp;HOUR(Entry!$C591),2)&amp;RIGHT("00"&amp;MINUTE(Entry!$C591),2),IFERROR(RIGHT("00"&amp;VALUE(LEFT(Entry!$C591,FIND(":",Entry!$C591)-1)),2)&amp;RIGHT("00"&amp;VALUE(MID(Entry!$C591,FIND(":",Entry!$C591)+1,2)),2),"0000"))))</f>
        <v/>
      </c>
      <c r="G588">
        <f>IF($A588="","",Entry!$G591)</f>
        <v/>
      </c>
      <c r="H588">
        <f>IF($A588="","",IF(Entry!$H591="",0,Entry!$H591))</f>
        <v/>
      </c>
      <c r="I588">
        <f>IF($A588="","",IF(Entry!$I591="",0,Entry!$I591))</f>
        <v/>
      </c>
      <c r="J588">
        <f>IF($A588="","",ROUND($H588*$I588,0))</f>
        <v/>
      </c>
      <c r="K588">
        <f>IF($A588="","",Entry!$D591)</f>
        <v/>
      </c>
      <c r="L588">
        <f>IF($A588="","",Entry!$L591)</f>
        <v/>
      </c>
      <c r="N588">
        <f>IF(OR(Sync!$M588="",$Q588="",$Q588="نامعتبر"),"",Sync!$M588)</f>
        <v/>
      </c>
      <c r="O588">
        <f>IF($N588="","",$Q588)</f>
        <v/>
      </c>
      <c r="P588">
        <f>IF($N588="","",LEFT($Q588,4)&amp;MID($Q588,6,2)&amp;RIGHT($Q588,2)&amp;IF(Sync!$K588="","0000",IF(AND(ISNUMBER(Sync!$K588),Sync!$K588&gt;=0,Sync!$K588&lt;1),RIGHT("00"&amp;HOUR(Sync!$K588),2)&amp;RIGHT("00"&amp;MINUTE(Sync!$K588),2),IFERROR(RIGHT("00"&amp;VALUE(LEFT(Sync!$K588,FIND(":",Sync!$K588)-1)),2)&amp;RIGHT("00"&amp;VALUE(MID(Sync!$K588,FIND(":",Sync!$K588)+1,2)),2),"0000")))&amp;"|"&amp;"2"&amp;RIGHT("00000"&amp;583,5))</f>
        <v/>
      </c>
      <c r="Q588">
        <f>IF(Sync!$J588="","",IF(ISNUMBER(Sync!$J588),IF(AND(Sync!$J588&gt;=10000101,Sync!$J588&lt;=99991231),INT(Sync!$J588/10000)&amp;"/"&amp;RIGHT("00"&amp;INT(MOD(Sync!$J588,10000)/100),2)&amp;"/"&amp;RIGHT("00"&amp;MOD(Sync!$J588,100),2),"نامعتبر"),IF(LEN(Sync!$J588)=10,Sync!$J588,"نامعتبر")))</f>
        <v/>
      </c>
      <c r="R588">
        <f>IF($P588="","",COUNTIFS($N$6:$N$2005,$N588,$P$6:$P$2005,"&lt;"&amp;$P588)+COUNTIFS($A$6:$A$1005,$N588,$B$6:$B$1005,"&lt;"&amp;$P588)+1)</f>
        <v/>
      </c>
      <c r="S588">
        <f>IF($N588="","",$N588&amp;"|"&amp;RIGHT("000000"&amp;$R588,6))</f>
        <v/>
      </c>
      <c r="T588">
        <f>IF($N588="","",IF(Sync!$N588="",0,Sync!$N588))</f>
        <v/>
      </c>
      <c r="U588">
        <f>IF($N588="","",IF(Sync!$O588="",0,Sync!$O588))</f>
        <v/>
      </c>
      <c r="V588">
        <f>IF($N588="","",Sync!$L588)</f>
        <v/>
      </c>
      <c r="W588">
        <f>IF($N588="","",Sync!$P588)</f>
        <v/>
      </c>
      <c r="AA588">
        <f>IF($A588="","",IF(COUNTIF($A$6:$A588,$A588)=1,1,0))</f>
        <v/>
      </c>
      <c r="AB588">
        <f>SUM($AA$6:$AA588)</f>
        <v/>
      </c>
      <c r="AC588">
        <f>IFERROR(INDEX($A$6:$A$1005,MATCH(ROW()-5,$AB$6:$AB$1005,0)),"")</f>
        <v/>
      </c>
    </row>
    <row r="589">
      <c r="A589">
        <f>IF(OR(Entry!$B592="",Entry!$E592="",$E589="نامعتبر"),"",Entry!$E592)</f>
        <v/>
      </c>
      <c r="B589">
        <f>IF($A589="","",LEFT($E589,4)&amp;MID($E589,6,2)&amp;RIGHT($E589,2)&amp;$F589&amp;"|"&amp;"1"&amp;RIGHT("00000"&amp;584,5))</f>
        <v/>
      </c>
      <c r="C589">
        <f>IF($B589="","",COUNTIFS($A$6:$A$1005,$A589,$B$6:$B$1005,"&lt;"&amp;$B589)+COUNTIFS($N$6:$N$2005,$A589,$P$6:$P$2005,"&lt;"&amp;$B589)+1)</f>
        <v/>
      </c>
      <c r="D589">
        <f>IF($C589="","",$A589&amp;"|"&amp;RIGHT("000000"&amp;$C589,6))</f>
        <v/>
      </c>
      <c r="E589">
        <f>IF(Entry!$B592="","",IF(ISNUMBER(Entry!$B592),IF(AND(Entry!$B592&gt;=10000101,Entry!$B592&lt;=99991231),INT(Entry!$B592/10000)&amp;"/"&amp;RIGHT("00"&amp;INT(MOD(Entry!$B592,10000)/100),2)&amp;"/"&amp;RIGHT("00"&amp;MOD(Entry!$B592,100),2),"نامعتبر"),IF(LEN(Entry!$B592)=10,Entry!$B592,"نامعتبر")))</f>
        <v/>
      </c>
      <c r="F589">
        <f>IF(Entry!$B592="","",IF(Entry!$C592="","0000",IF(AND(ISNUMBER(Entry!$C592),Entry!$C592&gt;=0,Entry!$C592&lt;1),RIGHT("00"&amp;HOUR(Entry!$C592),2)&amp;RIGHT("00"&amp;MINUTE(Entry!$C592),2),IFERROR(RIGHT("00"&amp;VALUE(LEFT(Entry!$C592,FIND(":",Entry!$C592)-1)),2)&amp;RIGHT("00"&amp;VALUE(MID(Entry!$C592,FIND(":",Entry!$C592)+1,2)),2),"0000"))))</f>
        <v/>
      </c>
      <c r="G589">
        <f>IF($A589="","",Entry!$G592)</f>
        <v/>
      </c>
      <c r="H589">
        <f>IF($A589="","",IF(Entry!$H592="",0,Entry!$H592))</f>
        <v/>
      </c>
      <c r="I589">
        <f>IF($A589="","",IF(Entry!$I592="",0,Entry!$I592))</f>
        <v/>
      </c>
      <c r="J589">
        <f>IF($A589="","",ROUND($H589*$I589,0))</f>
        <v/>
      </c>
      <c r="K589">
        <f>IF($A589="","",Entry!$D592)</f>
        <v/>
      </c>
      <c r="L589">
        <f>IF($A589="","",Entry!$L592)</f>
        <v/>
      </c>
      <c r="N589">
        <f>IF(OR(Sync!$M589="",$Q589="",$Q589="نامعتبر"),"",Sync!$M589)</f>
        <v/>
      </c>
      <c r="O589">
        <f>IF($N589="","",$Q589)</f>
        <v/>
      </c>
      <c r="P589">
        <f>IF($N589="","",LEFT($Q589,4)&amp;MID($Q589,6,2)&amp;RIGHT($Q589,2)&amp;IF(Sync!$K589="","0000",IF(AND(ISNUMBER(Sync!$K589),Sync!$K589&gt;=0,Sync!$K589&lt;1),RIGHT("00"&amp;HOUR(Sync!$K589),2)&amp;RIGHT("00"&amp;MINUTE(Sync!$K589),2),IFERROR(RIGHT("00"&amp;VALUE(LEFT(Sync!$K589,FIND(":",Sync!$K589)-1)),2)&amp;RIGHT("00"&amp;VALUE(MID(Sync!$K589,FIND(":",Sync!$K589)+1,2)),2),"0000")))&amp;"|"&amp;"2"&amp;RIGHT("00000"&amp;584,5))</f>
        <v/>
      </c>
      <c r="Q589">
        <f>IF(Sync!$J589="","",IF(ISNUMBER(Sync!$J589),IF(AND(Sync!$J589&gt;=10000101,Sync!$J589&lt;=99991231),INT(Sync!$J589/10000)&amp;"/"&amp;RIGHT("00"&amp;INT(MOD(Sync!$J589,10000)/100),2)&amp;"/"&amp;RIGHT("00"&amp;MOD(Sync!$J589,100),2),"نامعتبر"),IF(LEN(Sync!$J589)=10,Sync!$J589,"نامعتبر")))</f>
        <v/>
      </c>
      <c r="R589">
        <f>IF($P589="","",COUNTIFS($N$6:$N$2005,$N589,$P$6:$P$2005,"&lt;"&amp;$P589)+COUNTIFS($A$6:$A$1005,$N589,$B$6:$B$1005,"&lt;"&amp;$P589)+1)</f>
        <v/>
      </c>
      <c r="S589">
        <f>IF($N589="","",$N589&amp;"|"&amp;RIGHT("000000"&amp;$R589,6))</f>
        <v/>
      </c>
      <c r="T589">
        <f>IF($N589="","",IF(Sync!$N589="",0,Sync!$N589))</f>
        <v/>
      </c>
      <c r="U589">
        <f>IF($N589="","",IF(Sync!$O589="",0,Sync!$O589))</f>
        <v/>
      </c>
      <c r="V589">
        <f>IF($N589="","",Sync!$L589)</f>
        <v/>
      </c>
      <c r="W589">
        <f>IF($N589="","",Sync!$P589)</f>
        <v/>
      </c>
      <c r="AA589">
        <f>IF($A589="","",IF(COUNTIF($A$6:$A589,$A589)=1,1,0))</f>
        <v/>
      </c>
      <c r="AB589">
        <f>SUM($AA$6:$AA589)</f>
        <v/>
      </c>
      <c r="AC589">
        <f>IFERROR(INDEX($A$6:$A$1005,MATCH(ROW()-5,$AB$6:$AB$1005,0)),"")</f>
        <v/>
      </c>
    </row>
    <row r="590">
      <c r="A590">
        <f>IF(OR(Entry!$B593="",Entry!$E593="",$E590="نامعتبر"),"",Entry!$E593)</f>
        <v/>
      </c>
      <c r="B590">
        <f>IF($A590="","",LEFT($E590,4)&amp;MID($E590,6,2)&amp;RIGHT($E590,2)&amp;$F590&amp;"|"&amp;"1"&amp;RIGHT("00000"&amp;585,5))</f>
        <v/>
      </c>
      <c r="C590">
        <f>IF($B590="","",COUNTIFS($A$6:$A$1005,$A590,$B$6:$B$1005,"&lt;"&amp;$B590)+COUNTIFS($N$6:$N$2005,$A590,$P$6:$P$2005,"&lt;"&amp;$B590)+1)</f>
        <v/>
      </c>
      <c r="D590">
        <f>IF($C590="","",$A590&amp;"|"&amp;RIGHT("000000"&amp;$C590,6))</f>
        <v/>
      </c>
      <c r="E590">
        <f>IF(Entry!$B593="","",IF(ISNUMBER(Entry!$B593),IF(AND(Entry!$B593&gt;=10000101,Entry!$B593&lt;=99991231),INT(Entry!$B593/10000)&amp;"/"&amp;RIGHT("00"&amp;INT(MOD(Entry!$B593,10000)/100),2)&amp;"/"&amp;RIGHT("00"&amp;MOD(Entry!$B593,100),2),"نامعتبر"),IF(LEN(Entry!$B593)=10,Entry!$B593,"نامعتبر")))</f>
        <v/>
      </c>
      <c r="F590">
        <f>IF(Entry!$B593="","",IF(Entry!$C593="","0000",IF(AND(ISNUMBER(Entry!$C593),Entry!$C593&gt;=0,Entry!$C593&lt;1),RIGHT("00"&amp;HOUR(Entry!$C593),2)&amp;RIGHT("00"&amp;MINUTE(Entry!$C593),2),IFERROR(RIGHT("00"&amp;VALUE(LEFT(Entry!$C593,FIND(":",Entry!$C593)-1)),2)&amp;RIGHT("00"&amp;VALUE(MID(Entry!$C593,FIND(":",Entry!$C593)+1,2)),2),"0000"))))</f>
        <v/>
      </c>
      <c r="G590">
        <f>IF($A590="","",Entry!$G593)</f>
        <v/>
      </c>
      <c r="H590">
        <f>IF($A590="","",IF(Entry!$H593="",0,Entry!$H593))</f>
        <v/>
      </c>
      <c r="I590">
        <f>IF($A590="","",IF(Entry!$I593="",0,Entry!$I593))</f>
        <v/>
      </c>
      <c r="J590">
        <f>IF($A590="","",ROUND($H590*$I590,0))</f>
        <v/>
      </c>
      <c r="K590">
        <f>IF($A590="","",Entry!$D593)</f>
        <v/>
      </c>
      <c r="L590">
        <f>IF($A590="","",Entry!$L593)</f>
        <v/>
      </c>
      <c r="N590">
        <f>IF(OR(Sync!$M590="",$Q590="",$Q590="نامعتبر"),"",Sync!$M590)</f>
        <v/>
      </c>
      <c r="O590">
        <f>IF($N590="","",$Q590)</f>
        <v/>
      </c>
      <c r="P590">
        <f>IF($N590="","",LEFT($Q590,4)&amp;MID($Q590,6,2)&amp;RIGHT($Q590,2)&amp;IF(Sync!$K590="","0000",IF(AND(ISNUMBER(Sync!$K590),Sync!$K590&gt;=0,Sync!$K590&lt;1),RIGHT("00"&amp;HOUR(Sync!$K590),2)&amp;RIGHT("00"&amp;MINUTE(Sync!$K590),2),IFERROR(RIGHT("00"&amp;VALUE(LEFT(Sync!$K590,FIND(":",Sync!$K590)-1)),2)&amp;RIGHT("00"&amp;VALUE(MID(Sync!$K590,FIND(":",Sync!$K590)+1,2)),2),"0000")))&amp;"|"&amp;"2"&amp;RIGHT("00000"&amp;585,5))</f>
        <v/>
      </c>
      <c r="Q590">
        <f>IF(Sync!$J590="","",IF(ISNUMBER(Sync!$J590),IF(AND(Sync!$J590&gt;=10000101,Sync!$J590&lt;=99991231),INT(Sync!$J590/10000)&amp;"/"&amp;RIGHT("00"&amp;INT(MOD(Sync!$J590,10000)/100),2)&amp;"/"&amp;RIGHT("00"&amp;MOD(Sync!$J590,100),2),"نامعتبر"),IF(LEN(Sync!$J590)=10,Sync!$J590,"نامعتبر")))</f>
        <v/>
      </c>
      <c r="R590">
        <f>IF($P590="","",COUNTIFS($N$6:$N$2005,$N590,$P$6:$P$2005,"&lt;"&amp;$P590)+COUNTIFS($A$6:$A$1005,$N590,$B$6:$B$1005,"&lt;"&amp;$P590)+1)</f>
        <v/>
      </c>
      <c r="S590">
        <f>IF($N590="","",$N590&amp;"|"&amp;RIGHT("000000"&amp;$R590,6))</f>
        <v/>
      </c>
      <c r="T590">
        <f>IF($N590="","",IF(Sync!$N590="",0,Sync!$N590))</f>
        <v/>
      </c>
      <c r="U590">
        <f>IF($N590="","",IF(Sync!$O590="",0,Sync!$O590))</f>
        <v/>
      </c>
      <c r="V590">
        <f>IF($N590="","",Sync!$L590)</f>
        <v/>
      </c>
      <c r="W590">
        <f>IF($N590="","",Sync!$P590)</f>
        <v/>
      </c>
      <c r="AA590">
        <f>IF($A590="","",IF(COUNTIF($A$6:$A590,$A590)=1,1,0))</f>
        <v/>
      </c>
      <c r="AB590">
        <f>SUM($AA$6:$AA590)</f>
        <v/>
      </c>
      <c r="AC590">
        <f>IFERROR(INDEX($A$6:$A$1005,MATCH(ROW()-5,$AB$6:$AB$1005,0)),"")</f>
        <v/>
      </c>
    </row>
    <row r="591">
      <c r="A591">
        <f>IF(OR(Entry!$B594="",Entry!$E594="",$E591="نامعتبر"),"",Entry!$E594)</f>
        <v/>
      </c>
      <c r="B591">
        <f>IF($A591="","",LEFT($E591,4)&amp;MID($E591,6,2)&amp;RIGHT($E591,2)&amp;$F591&amp;"|"&amp;"1"&amp;RIGHT("00000"&amp;586,5))</f>
        <v/>
      </c>
      <c r="C591">
        <f>IF($B591="","",COUNTIFS($A$6:$A$1005,$A591,$B$6:$B$1005,"&lt;"&amp;$B591)+COUNTIFS($N$6:$N$2005,$A591,$P$6:$P$2005,"&lt;"&amp;$B591)+1)</f>
        <v/>
      </c>
      <c r="D591">
        <f>IF($C591="","",$A591&amp;"|"&amp;RIGHT("000000"&amp;$C591,6))</f>
        <v/>
      </c>
      <c r="E591">
        <f>IF(Entry!$B594="","",IF(ISNUMBER(Entry!$B594),IF(AND(Entry!$B594&gt;=10000101,Entry!$B594&lt;=99991231),INT(Entry!$B594/10000)&amp;"/"&amp;RIGHT("00"&amp;INT(MOD(Entry!$B594,10000)/100),2)&amp;"/"&amp;RIGHT("00"&amp;MOD(Entry!$B594,100),2),"نامعتبر"),IF(LEN(Entry!$B594)=10,Entry!$B594,"نامعتبر")))</f>
        <v/>
      </c>
      <c r="F591">
        <f>IF(Entry!$B594="","",IF(Entry!$C594="","0000",IF(AND(ISNUMBER(Entry!$C594),Entry!$C594&gt;=0,Entry!$C594&lt;1),RIGHT("00"&amp;HOUR(Entry!$C594),2)&amp;RIGHT("00"&amp;MINUTE(Entry!$C594),2),IFERROR(RIGHT("00"&amp;VALUE(LEFT(Entry!$C594,FIND(":",Entry!$C594)-1)),2)&amp;RIGHT("00"&amp;VALUE(MID(Entry!$C594,FIND(":",Entry!$C594)+1,2)),2),"0000"))))</f>
        <v/>
      </c>
      <c r="G591">
        <f>IF($A591="","",Entry!$G594)</f>
        <v/>
      </c>
      <c r="H591">
        <f>IF($A591="","",IF(Entry!$H594="",0,Entry!$H594))</f>
        <v/>
      </c>
      <c r="I591">
        <f>IF($A591="","",IF(Entry!$I594="",0,Entry!$I594))</f>
        <v/>
      </c>
      <c r="J591">
        <f>IF($A591="","",ROUND($H591*$I591,0))</f>
        <v/>
      </c>
      <c r="K591">
        <f>IF($A591="","",Entry!$D594)</f>
        <v/>
      </c>
      <c r="L591">
        <f>IF($A591="","",Entry!$L594)</f>
        <v/>
      </c>
      <c r="N591">
        <f>IF(OR(Sync!$M591="",$Q591="",$Q591="نامعتبر"),"",Sync!$M591)</f>
        <v/>
      </c>
      <c r="O591">
        <f>IF($N591="","",$Q591)</f>
        <v/>
      </c>
      <c r="P591">
        <f>IF($N591="","",LEFT($Q591,4)&amp;MID($Q591,6,2)&amp;RIGHT($Q591,2)&amp;IF(Sync!$K591="","0000",IF(AND(ISNUMBER(Sync!$K591),Sync!$K591&gt;=0,Sync!$K591&lt;1),RIGHT("00"&amp;HOUR(Sync!$K591),2)&amp;RIGHT("00"&amp;MINUTE(Sync!$K591),2),IFERROR(RIGHT("00"&amp;VALUE(LEFT(Sync!$K591,FIND(":",Sync!$K591)-1)),2)&amp;RIGHT("00"&amp;VALUE(MID(Sync!$K591,FIND(":",Sync!$K591)+1,2)),2),"0000")))&amp;"|"&amp;"2"&amp;RIGHT("00000"&amp;586,5))</f>
        <v/>
      </c>
      <c r="Q591">
        <f>IF(Sync!$J591="","",IF(ISNUMBER(Sync!$J591),IF(AND(Sync!$J591&gt;=10000101,Sync!$J591&lt;=99991231),INT(Sync!$J591/10000)&amp;"/"&amp;RIGHT("00"&amp;INT(MOD(Sync!$J591,10000)/100),2)&amp;"/"&amp;RIGHT("00"&amp;MOD(Sync!$J591,100),2),"نامعتبر"),IF(LEN(Sync!$J591)=10,Sync!$J591,"نامعتبر")))</f>
        <v/>
      </c>
      <c r="R591">
        <f>IF($P591="","",COUNTIFS($N$6:$N$2005,$N591,$P$6:$P$2005,"&lt;"&amp;$P591)+COUNTIFS($A$6:$A$1005,$N591,$B$6:$B$1005,"&lt;"&amp;$P591)+1)</f>
        <v/>
      </c>
      <c r="S591">
        <f>IF($N591="","",$N591&amp;"|"&amp;RIGHT("000000"&amp;$R591,6))</f>
        <v/>
      </c>
      <c r="T591">
        <f>IF($N591="","",IF(Sync!$N591="",0,Sync!$N591))</f>
        <v/>
      </c>
      <c r="U591">
        <f>IF($N591="","",IF(Sync!$O591="",0,Sync!$O591))</f>
        <v/>
      </c>
      <c r="V591">
        <f>IF($N591="","",Sync!$L591)</f>
        <v/>
      </c>
      <c r="W591">
        <f>IF($N591="","",Sync!$P591)</f>
        <v/>
      </c>
      <c r="AA591">
        <f>IF($A591="","",IF(COUNTIF($A$6:$A591,$A591)=1,1,0))</f>
        <v/>
      </c>
      <c r="AB591">
        <f>SUM($AA$6:$AA591)</f>
        <v/>
      </c>
      <c r="AC591">
        <f>IFERROR(INDEX($A$6:$A$1005,MATCH(ROW()-5,$AB$6:$AB$1005,0)),"")</f>
        <v/>
      </c>
    </row>
    <row r="592">
      <c r="A592">
        <f>IF(OR(Entry!$B595="",Entry!$E595="",$E592="نامعتبر"),"",Entry!$E595)</f>
        <v/>
      </c>
      <c r="B592">
        <f>IF($A592="","",LEFT($E592,4)&amp;MID($E592,6,2)&amp;RIGHT($E592,2)&amp;$F592&amp;"|"&amp;"1"&amp;RIGHT("00000"&amp;587,5))</f>
        <v/>
      </c>
      <c r="C592">
        <f>IF($B592="","",COUNTIFS($A$6:$A$1005,$A592,$B$6:$B$1005,"&lt;"&amp;$B592)+COUNTIFS($N$6:$N$2005,$A592,$P$6:$P$2005,"&lt;"&amp;$B592)+1)</f>
        <v/>
      </c>
      <c r="D592">
        <f>IF($C592="","",$A592&amp;"|"&amp;RIGHT("000000"&amp;$C592,6))</f>
        <v/>
      </c>
      <c r="E592">
        <f>IF(Entry!$B595="","",IF(ISNUMBER(Entry!$B595),IF(AND(Entry!$B595&gt;=10000101,Entry!$B595&lt;=99991231),INT(Entry!$B595/10000)&amp;"/"&amp;RIGHT("00"&amp;INT(MOD(Entry!$B595,10000)/100),2)&amp;"/"&amp;RIGHT("00"&amp;MOD(Entry!$B595,100),2),"نامعتبر"),IF(LEN(Entry!$B595)=10,Entry!$B595,"نامعتبر")))</f>
        <v/>
      </c>
      <c r="F592">
        <f>IF(Entry!$B595="","",IF(Entry!$C595="","0000",IF(AND(ISNUMBER(Entry!$C595),Entry!$C595&gt;=0,Entry!$C595&lt;1),RIGHT("00"&amp;HOUR(Entry!$C595),2)&amp;RIGHT("00"&amp;MINUTE(Entry!$C595),2),IFERROR(RIGHT("00"&amp;VALUE(LEFT(Entry!$C595,FIND(":",Entry!$C595)-1)),2)&amp;RIGHT("00"&amp;VALUE(MID(Entry!$C595,FIND(":",Entry!$C595)+1,2)),2),"0000"))))</f>
        <v/>
      </c>
      <c r="G592">
        <f>IF($A592="","",Entry!$G595)</f>
        <v/>
      </c>
      <c r="H592">
        <f>IF($A592="","",IF(Entry!$H595="",0,Entry!$H595))</f>
        <v/>
      </c>
      <c r="I592">
        <f>IF($A592="","",IF(Entry!$I595="",0,Entry!$I595))</f>
        <v/>
      </c>
      <c r="J592">
        <f>IF($A592="","",ROUND($H592*$I592,0))</f>
        <v/>
      </c>
      <c r="K592">
        <f>IF($A592="","",Entry!$D595)</f>
        <v/>
      </c>
      <c r="L592">
        <f>IF($A592="","",Entry!$L595)</f>
        <v/>
      </c>
      <c r="N592">
        <f>IF(OR(Sync!$M592="",$Q592="",$Q592="نامعتبر"),"",Sync!$M592)</f>
        <v/>
      </c>
      <c r="O592">
        <f>IF($N592="","",$Q592)</f>
        <v/>
      </c>
      <c r="P592">
        <f>IF($N592="","",LEFT($Q592,4)&amp;MID($Q592,6,2)&amp;RIGHT($Q592,2)&amp;IF(Sync!$K592="","0000",IF(AND(ISNUMBER(Sync!$K592),Sync!$K592&gt;=0,Sync!$K592&lt;1),RIGHT("00"&amp;HOUR(Sync!$K592),2)&amp;RIGHT("00"&amp;MINUTE(Sync!$K592),2),IFERROR(RIGHT("00"&amp;VALUE(LEFT(Sync!$K592,FIND(":",Sync!$K592)-1)),2)&amp;RIGHT("00"&amp;VALUE(MID(Sync!$K592,FIND(":",Sync!$K592)+1,2)),2),"0000")))&amp;"|"&amp;"2"&amp;RIGHT("00000"&amp;587,5))</f>
        <v/>
      </c>
      <c r="Q592">
        <f>IF(Sync!$J592="","",IF(ISNUMBER(Sync!$J592),IF(AND(Sync!$J592&gt;=10000101,Sync!$J592&lt;=99991231),INT(Sync!$J592/10000)&amp;"/"&amp;RIGHT("00"&amp;INT(MOD(Sync!$J592,10000)/100),2)&amp;"/"&amp;RIGHT("00"&amp;MOD(Sync!$J592,100),2),"نامعتبر"),IF(LEN(Sync!$J592)=10,Sync!$J592,"نامعتبر")))</f>
        <v/>
      </c>
      <c r="R592">
        <f>IF($P592="","",COUNTIFS($N$6:$N$2005,$N592,$P$6:$P$2005,"&lt;"&amp;$P592)+COUNTIFS($A$6:$A$1005,$N592,$B$6:$B$1005,"&lt;"&amp;$P592)+1)</f>
        <v/>
      </c>
      <c r="S592">
        <f>IF($N592="","",$N592&amp;"|"&amp;RIGHT("000000"&amp;$R592,6))</f>
        <v/>
      </c>
      <c r="T592">
        <f>IF($N592="","",IF(Sync!$N592="",0,Sync!$N592))</f>
        <v/>
      </c>
      <c r="U592">
        <f>IF($N592="","",IF(Sync!$O592="",0,Sync!$O592))</f>
        <v/>
      </c>
      <c r="V592">
        <f>IF($N592="","",Sync!$L592)</f>
        <v/>
      </c>
      <c r="W592">
        <f>IF($N592="","",Sync!$P592)</f>
        <v/>
      </c>
      <c r="AA592">
        <f>IF($A592="","",IF(COUNTIF($A$6:$A592,$A592)=1,1,0))</f>
        <v/>
      </c>
      <c r="AB592">
        <f>SUM($AA$6:$AA592)</f>
        <v/>
      </c>
      <c r="AC592">
        <f>IFERROR(INDEX($A$6:$A$1005,MATCH(ROW()-5,$AB$6:$AB$1005,0)),"")</f>
        <v/>
      </c>
    </row>
    <row r="593">
      <c r="A593">
        <f>IF(OR(Entry!$B596="",Entry!$E596="",$E593="نامعتبر"),"",Entry!$E596)</f>
        <v/>
      </c>
      <c r="B593">
        <f>IF($A593="","",LEFT($E593,4)&amp;MID($E593,6,2)&amp;RIGHT($E593,2)&amp;$F593&amp;"|"&amp;"1"&amp;RIGHT("00000"&amp;588,5))</f>
        <v/>
      </c>
      <c r="C593">
        <f>IF($B593="","",COUNTIFS($A$6:$A$1005,$A593,$B$6:$B$1005,"&lt;"&amp;$B593)+COUNTIFS($N$6:$N$2005,$A593,$P$6:$P$2005,"&lt;"&amp;$B593)+1)</f>
        <v/>
      </c>
      <c r="D593">
        <f>IF($C593="","",$A593&amp;"|"&amp;RIGHT("000000"&amp;$C593,6))</f>
        <v/>
      </c>
      <c r="E593">
        <f>IF(Entry!$B596="","",IF(ISNUMBER(Entry!$B596),IF(AND(Entry!$B596&gt;=10000101,Entry!$B596&lt;=99991231),INT(Entry!$B596/10000)&amp;"/"&amp;RIGHT("00"&amp;INT(MOD(Entry!$B596,10000)/100),2)&amp;"/"&amp;RIGHT("00"&amp;MOD(Entry!$B596,100),2),"نامعتبر"),IF(LEN(Entry!$B596)=10,Entry!$B596,"نامعتبر")))</f>
        <v/>
      </c>
      <c r="F593">
        <f>IF(Entry!$B596="","",IF(Entry!$C596="","0000",IF(AND(ISNUMBER(Entry!$C596),Entry!$C596&gt;=0,Entry!$C596&lt;1),RIGHT("00"&amp;HOUR(Entry!$C596),2)&amp;RIGHT("00"&amp;MINUTE(Entry!$C596),2),IFERROR(RIGHT("00"&amp;VALUE(LEFT(Entry!$C596,FIND(":",Entry!$C596)-1)),2)&amp;RIGHT("00"&amp;VALUE(MID(Entry!$C596,FIND(":",Entry!$C596)+1,2)),2),"0000"))))</f>
        <v/>
      </c>
      <c r="G593">
        <f>IF($A593="","",Entry!$G596)</f>
        <v/>
      </c>
      <c r="H593">
        <f>IF($A593="","",IF(Entry!$H596="",0,Entry!$H596))</f>
        <v/>
      </c>
      <c r="I593">
        <f>IF($A593="","",IF(Entry!$I596="",0,Entry!$I596))</f>
        <v/>
      </c>
      <c r="J593">
        <f>IF($A593="","",ROUND($H593*$I593,0))</f>
        <v/>
      </c>
      <c r="K593">
        <f>IF($A593="","",Entry!$D596)</f>
        <v/>
      </c>
      <c r="L593">
        <f>IF($A593="","",Entry!$L596)</f>
        <v/>
      </c>
      <c r="N593">
        <f>IF(OR(Sync!$M593="",$Q593="",$Q593="نامعتبر"),"",Sync!$M593)</f>
        <v/>
      </c>
      <c r="O593">
        <f>IF($N593="","",$Q593)</f>
        <v/>
      </c>
      <c r="P593">
        <f>IF($N593="","",LEFT($Q593,4)&amp;MID($Q593,6,2)&amp;RIGHT($Q593,2)&amp;IF(Sync!$K593="","0000",IF(AND(ISNUMBER(Sync!$K593),Sync!$K593&gt;=0,Sync!$K593&lt;1),RIGHT("00"&amp;HOUR(Sync!$K593),2)&amp;RIGHT("00"&amp;MINUTE(Sync!$K593),2),IFERROR(RIGHT("00"&amp;VALUE(LEFT(Sync!$K593,FIND(":",Sync!$K593)-1)),2)&amp;RIGHT("00"&amp;VALUE(MID(Sync!$K593,FIND(":",Sync!$K593)+1,2)),2),"0000")))&amp;"|"&amp;"2"&amp;RIGHT("00000"&amp;588,5))</f>
        <v/>
      </c>
      <c r="Q593">
        <f>IF(Sync!$J593="","",IF(ISNUMBER(Sync!$J593),IF(AND(Sync!$J593&gt;=10000101,Sync!$J593&lt;=99991231),INT(Sync!$J593/10000)&amp;"/"&amp;RIGHT("00"&amp;INT(MOD(Sync!$J593,10000)/100),2)&amp;"/"&amp;RIGHT("00"&amp;MOD(Sync!$J593,100),2),"نامعتبر"),IF(LEN(Sync!$J593)=10,Sync!$J593,"نامعتبر")))</f>
        <v/>
      </c>
      <c r="R593">
        <f>IF($P593="","",COUNTIFS($N$6:$N$2005,$N593,$P$6:$P$2005,"&lt;"&amp;$P593)+COUNTIFS($A$6:$A$1005,$N593,$B$6:$B$1005,"&lt;"&amp;$P593)+1)</f>
        <v/>
      </c>
      <c r="S593">
        <f>IF($N593="","",$N593&amp;"|"&amp;RIGHT("000000"&amp;$R593,6))</f>
        <v/>
      </c>
      <c r="T593">
        <f>IF($N593="","",IF(Sync!$N593="",0,Sync!$N593))</f>
        <v/>
      </c>
      <c r="U593">
        <f>IF($N593="","",IF(Sync!$O593="",0,Sync!$O593))</f>
        <v/>
      </c>
      <c r="V593">
        <f>IF($N593="","",Sync!$L593)</f>
        <v/>
      </c>
      <c r="W593">
        <f>IF($N593="","",Sync!$P593)</f>
        <v/>
      </c>
      <c r="AA593">
        <f>IF($A593="","",IF(COUNTIF($A$6:$A593,$A593)=1,1,0))</f>
        <v/>
      </c>
      <c r="AB593">
        <f>SUM($AA$6:$AA593)</f>
        <v/>
      </c>
      <c r="AC593">
        <f>IFERROR(INDEX($A$6:$A$1005,MATCH(ROW()-5,$AB$6:$AB$1005,0)),"")</f>
        <v/>
      </c>
    </row>
    <row r="594">
      <c r="A594">
        <f>IF(OR(Entry!$B597="",Entry!$E597="",$E594="نامعتبر"),"",Entry!$E597)</f>
        <v/>
      </c>
      <c r="B594">
        <f>IF($A594="","",LEFT($E594,4)&amp;MID($E594,6,2)&amp;RIGHT($E594,2)&amp;$F594&amp;"|"&amp;"1"&amp;RIGHT("00000"&amp;589,5))</f>
        <v/>
      </c>
      <c r="C594">
        <f>IF($B594="","",COUNTIFS($A$6:$A$1005,$A594,$B$6:$B$1005,"&lt;"&amp;$B594)+COUNTIFS($N$6:$N$2005,$A594,$P$6:$P$2005,"&lt;"&amp;$B594)+1)</f>
        <v/>
      </c>
      <c r="D594">
        <f>IF($C594="","",$A594&amp;"|"&amp;RIGHT("000000"&amp;$C594,6))</f>
        <v/>
      </c>
      <c r="E594">
        <f>IF(Entry!$B597="","",IF(ISNUMBER(Entry!$B597),IF(AND(Entry!$B597&gt;=10000101,Entry!$B597&lt;=99991231),INT(Entry!$B597/10000)&amp;"/"&amp;RIGHT("00"&amp;INT(MOD(Entry!$B597,10000)/100),2)&amp;"/"&amp;RIGHT("00"&amp;MOD(Entry!$B597,100),2),"نامعتبر"),IF(LEN(Entry!$B597)=10,Entry!$B597,"نامعتبر")))</f>
        <v/>
      </c>
      <c r="F594">
        <f>IF(Entry!$B597="","",IF(Entry!$C597="","0000",IF(AND(ISNUMBER(Entry!$C597),Entry!$C597&gt;=0,Entry!$C597&lt;1),RIGHT("00"&amp;HOUR(Entry!$C597),2)&amp;RIGHT("00"&amp;MINUTE(Entry!$C597),2),IFERROR(RIGHT("00"&amp;VALUE(LEFT(Entry!$C597,FIND(":",Entry!$C597)-1)),2)&amp;RIGHT("00"&amp;VALUE(MID(Entry!$C597,FIND(":",Entry!$C597)+1,2)),2),"0000"))))</f>
        <v/>
      </c>
      <c r="G594">
        <f>IF($A594="","",Entry!$G597)</f>
        <v/>
      </c>
      <c r="H594">
        <f>IF($A594="","",IF(Entry!$H597="",0,Entry!$H597))</f>
        <v/>
      </c>
      <c r="I594">
        <f>IF($A594="","",IF(Entry!$I597="",0,Entry!$I597))</f>
        <v/>
      </c>
      <c r="J594">
        <f>IF($A594="","",ROUND($H594*$I594,0))</f>
        <v/>
      </c>
      <c r="K594">
        <f>IF($A594="","",Entry!$D597)</f>
        <v/>
      </c>
      <c r="L594">
        <f>IF($A594="","",Entry!$L597)</f>
        <v/>
      </c>
      <c r="N594">
        <f>IF(OR(Sync!$M594="",$Q594="",$Q594="نامعتبر"),"",Sync!$M594)</f>
        <v/>
      </c>
      <c r="O594">
        <f>IF($N594="","",$Q594)</f>
        <v/>
      </c>
      <c r="P594">
        <f>IF($N594="","",LEFT($Q594,4)&amp;MID($Q594,6,2)&amp;RIGHT($Q594,2)&amp;IF(Sync!$K594="","0000",IF(AND(ISNUMBER(Sync!$K594),Sync!$K594&gt;=0,Sync!$K594&lt;1),RIGHT("00"&amp;HOUR(Sync!$K594),2)&amp;RIGHT("00"&amp;MINUTE(Sync!$K594),2),IFERROR(RIGHT("00"&amp;VALUE(LEFT(Sync!$K594,FIND(":",Sync!$K594)-1)),2)&amp;RIGHT("00"&amp;VALUE(MID(Sync!$K594,FIND(":",Sync!$K594)+1,2)),2),"0000")))&amp;"|"&amp;"2"&amp;RIGHT("00000"&amp;589,5))</f>
        <v/>
      </c>
      <c r="Q594">
        <f>IF(Sync!$J594="","",IF(ISNUMBER(Sync!$J594),IF(AND(Sync!$J594&gt;=10000101,Sync!$J594&lt;=99991231),INT(Sync!$J594/10000)&amp;"/"&amp;RIGHT("00"&amp;INT(MOD(Sync!$J594,10000)/100),2)&amp;"/"&amp;RIGHT("00"&amp;MOD(Sync!$J594,100),2),"نامعتبر"),IF(LEN(Sync!$J594)=10,Sync!$J594,"نامعتبر")))</f>
        <v/>
      </c>
      <c r="R594">
        <f>IF($P594="","",COUNTIFS($N$6:$N$2005,$N594,$P$6:$P$2005,"&lt;"&amp;$P594)+COUNTIFS($A$6:$A$1005,$N594,$B$6:$B$1005,"&lt;"&amp;$P594)+1)</f>
        <v/>
      </c>
      <c r="S594">
        <f>IF($N594="","",$N594&amp;"|"&amp;RIGHT("000000"&amp;$R594,6))</f>
        <v/>
      </c>
      <c r="T594">
        <f>IF($N594="","",IF(Sync!$N594="",0,Sync!$N594))</f>
        <v/>
      </c>
      <c r="U594">
        <f>IF($N594="","",IF(Sync!$O594="",0,Sync!$O594))</f>
        <v/>
      </c>
      <c r="V594">
        <f>IF($N594="","",Sync!$L594)</f>
        <v/>
      </c>
      <c r="W594">
        <f>IF($N594="","",Sync!$P594)</f>
        <v/>
      </c>
      <c r="AA594">
        <f>IF($A594="","",IF(COUNTIF($A$6:$A594,$A594)=1,1,0))</f>
        <v/>
      </c>
      <c r="AB594">
        <f>SUM($AA$6:$AA594)</f>
        <v/>
      </c>
      <c r="AC594">
        <f>IFERROR(INDEX($A$6:$A$1005,MATCH(ROW()-5,$AB$6:$AB$1005,0)),"")</f>
        <v/>
      </c>
    </row>
    <row r="595">
      <c r="A595">
        <f>IF(OR(Entry!$B598="",Entry!$E598="",$E595="نامعتبر"),"",Entry!$E598)</f>
        <v/>
      </c>
      <c r="B595">
        <f>IF($A595="","",LEFT($E595,4)&amp;MID($E595,6,2)&amp;RIGHT($E595,2)&amp;$F595&amp;"|"&amp;"1"&amp;RIGHT("00000"&amp;590,5))</f>
        <v/>
      </c>
      <c r="C595">
        <f>IF($B595="","",COUNTIFS($A$6:$A$1005,$A595,$B$6:$B$1005,"&lt;"&amp;$B595)+COUNTIFS($N$6:$N$2005,$A595,$P$6:$P$2005,"&lt;"&amp;$B595)+1)</f>
        <v/>
      </c>
      <c r="D595">
        <f>IF($C595="","",$A595&amp;"|"&amp;RIGHT("000000"&amp;$C595,6))</f>
        <v/>
      </c>
      <c r="E595">
        <f>IF(Entry!$B598="","",IF(ISNUMBER(Entry!$B598),IF(AND(Entry!$B598&gt;=10000101,Entry!$B598&lt;=99991231),INT(Entry!$B598/10000)&amp;"/"&amp;RIGHT("00"&amp;INT(MOD(Entry!$B598,10000)/100),2)&amp;"/"&amp;RIGHT("00"&amp;MOD(Entry!$B598,100),2),"نامعتبر"),IF(LEN(Entry!$B598)=10,Entry!$B598,"نامعتبر")))</f>
        <v/>
      </c>
      <c r="F595">
        <f>IF(Entry!$B598="","",IF(Entry!$C598="","0000",IF(AND(ISNUMBER(Entry!$C598),Entry!$C598&gt;=0,Entry!$C598&lt;1),RIGHT("00"&amp;HOUR(Entry!$C598),2)&amp;RIGHT("00"&amp;MINUTE(Entry!$C598),2),IFERROR(RIGHT("00"&amp;VALUE(LEFT(Entry!$C598,FIND(":",Entry!$C598)-1)),2)&amp;RIGHT("00"&amp;VALUE(MID(Entry!$C598,FIND(":",Entry!$C598)+1,2)),2),"0000"))))</f>
        <v/>
      </c>
      <c r="G595">
        <f>IF($A595="","",Entry!$G598)</f>
        <v/>
      </c>
      <c r="H595">
        <f>IF($A595="","",IF(Entry!$H598="",0,Entry!$H598))</f>
        <v/>
      </c>
      <c r="I595">
        <f>IF($A595="","",IF(Entry!$I598="",0,Entry!$I598))</f>
        <v/>
      </c>
      <c r="J595">
        <f>IF($A595="","",ROUND($H595*$I595,0))</f>
        <v/>
      </c>
      <c r="K595">
        <f>IF($A595="","",Entry!$D598)</f>
        <v/>
      </c>
      <c r="L595">
        <f>IF($A595="","",Entry!$L598)</f>
        <v/>
      </c>
      <c r="N595">
        <f>IF(OR(Sync!$M595="",$Q595="",$Q595="نامعتبر"),"",Sync!$M595)</f>
        <v/>
      </c>
      <c r="O595">
        <f>IF($N595="","",$Q595)</f>
        <v/>
      </c>
      <c r="P595">
        <f>IF($N595="","",LEFT($Q595,4)&amp;MID($Q595,6,2)&amp;RIGHT($Q595,2)&amp;IF(Sync!$K595="","0000",IF(AND(ISNUMBER(Sync!$K595),Sync!$K595&gt;=0,Sync!$K595&lt;1),RIGHT("00"&amp;HOUR(Sync!$K595),2)&amp;RIGHT("00"&amp;MINUTE(Sync!$K595),2),IFERROR(RIGHT("00"&amp;VALUE(LEFT(Sync!$K595,FIND(":",Sync!$K595)-1)),2)&amp;RIGHT("00"&amp;VALUE(MID(Sync!$K595,FIND(":",Sync!$K595)+1,2)),2),"0000")))&amp;"|"&amp;"2"&amp;RIGHT("00000"&amp;590,5))</f>
        <v/>
      </c>
      <c r="Q595">
        <f>IF(Sync!$J595="","",IF(ISNUMBER(Sync!$J595),IF(AND(Sync!$J595&gt;=10000101,Sync!$J595&lt;=99991231),INT(Sync!$J595/10000)&amp;"/"&amp;RIGHT("00"&amp;INT(MOD(Sync!$J595,10000)/100),2)&amp;"/"&amp;RIGHT("00"&amp;MOD(Sync!$J595,100),2),"نامعتبر"),IF(LEN(Sync!$J595)=10,Sync!$J595,"نامعتبر")))</f>
        <v/>
      </c>
      <c r="R595">
        <f>IF($P595="","",COUNTIFS($N$6:$N$2005,$N595,$P$6:$P$2005,"&lt;"&amp;$P595)+COUNTIFS($A$6:$A$1005,$N595,$B$6:$B$1005,"&lt;"&amp;$P595)+1)</f>
        <v/>
      </c>
      <c r="S595">
        <f>IF($N595="","",$N595&amp;"|"&amp;RIGHT("000000"&amp;$R595,6))</f>
        <v/>
      </c>
      <c r="T595">
        <f>IF($N595="","",IF(Sync!$N595="",0,Sync!$N595))</f>
        <v/>
      </c>
      <c r="U595">
        <f>IF($N595="","",IF(Sync!$O595="",0,Sync!$O595))</f>
        <v/>
      </c>
      <c r="V595">
        <f>IF($N595="","",Sync!$L595)</f>
        <v/>
      </c>
      <c r="W595">
        <f>IF($N595="","",Sync!$P595)</f>
        <v/>
      </c>
      <c r="AA595">
        <f>IF($A595="","",IF(COUNTIF($A$6:$A595,$A595)=1,1,0))</f>
        <v/>
      </c>
      <c r="AB595">
        <f>SUM($AA$6:$AA595)</f>
        <v/>
      </c>
      <c r="AC595">
        <f>IFERROR(INDEX($A$6:$A$1005,MATCH(ROW()-5,$AB$6:$AB$1005,0)),"")</f>
        <v/>
      </c>
    </row>
    <row r="596">
      <c r="A596">
        <f>IF(OR(Entry!$B599="",Entry!$E599="",$E596="نامعتبر"),"",Entry!$E599)</f>
        <v/>
      </c>
      <c r="B596">
        <f>IF($A596="","",LEFT($E596,4)&amp;MID($E596,6,2)&amp;RIGHT($E596,2)&amp;$F596&amp;"|"&amp;"1"&amp;RIGHT("00000"&amp;591,5))</f>
        <v/>
      </c>
      <c r="C596">
        <f>IF($B596="","",COUNTIFS($A$6:$A$1005,$A596,$B$6:$B$1005,"&lt;"&amp;$B596)+COUNTIFS($N$6:$N$2005,$A596,$P$6:$P$2005,"&lt;"&amp;$B596)+1)</f>
        <v/>
      </c>
      <c r="D596">
        <f>IF($C596="","",$A596&amp;"|"&amp;RIGHT("000000"&amp;$C596,6))</f>
        <v/>
      </c>
      <c r="E596">
        <f>IF(Entry!$B599="","",IF(ISNUMBER(Entry!$B599),IF(AND(Entry!$B599&gt;=10000101,Entry!$B599&lt;=99991231),INT(Entry!$B599/10000)&amp;"/"&amp;RIGHT("00"&amp;INT(MOD(Entry!$B599,10000)/100),2)&amp;"/"&amp;RIGHT("00"&amp;MOD(Entry!$B599,100),2),"نامعتبر"),IF(LEN(Entry!$B599)=10,Entry!$B599,"نامعتبر")))</f>
        <v/>
      </c>
      <c r="F596">
        <f>IF(Entry!$B599="","",IF(Entry!$C599="","0000",IF(AND(ISNUMBER(Entry!$C599),Entry!$C599&gt;=0,Entry!$C599&lt;1),RIGHT("00"&amp;HOUR(Entry!$C599),2)&amp;RIGHT("00"&amp;MINUTE(Entry!$C599),2),IFERROR(RIGHT("00"&amp;VALUE(LEFT(Entry!$C599,FIND(":",Entry!$C599)-1)),2)&amp;RIGHT("00"&amp;VALUE(MID(Entry!$C599,FIND(":",Entry!$C599)+1,2)),2),"0000"))))</f>
        <v/>
      </c>
      <c r="G596">
        <f>IF($A596="","",Entry!$G599)</f>
        <v/>
      </c>
      <c r="H596">
        <f>IF($A596="","",IF(Entry!$H599="",0,Entry!$H599))</f>
        <v/>
      </c>
      <c r="I596">
        <f>IF($A596="","",IF(Entry!$I599="",0,Entry!$I599))</f>
        <v/>
      </c>
      <c r="J596">
        <f>IF($A596="","",ROUND($H596*$I596,0))</f>
        <v/>
      </c>
      <c r="K596">
        <f>IF($A596="","",Entry!$D599)</f>
        <v/>
      </c>
      <c r="L596">
        <f>IF($A596="","",Entry!$L599)</f>
        <v/>
      </c>
      <c r="N596">
        <f>IF(OR(Sync!$M596="",$Q596="",$Q596="نامعتبر"),"",Sync!$M596)</f>
        <v/>
      </c>
      <c r="O596">
        <f>IF($N596="","",$Q596)</f>
        <v/>
      </c>
      <c r="P596">
        <f>IF($N596="","",LEFT($Q596,4)&amp;MID($Q596,6,2)&amp;RIGHT($Q596,2)&amp;IF(Sync!$K596="","0000",IF(AND(ISNUMBER(Sync!$K596),Sync!$K596&gt;=0,Sync!$K596&lt;1),RIGHT("00"&amp;HOUR(Sync!$K596),2)&amp;RIGHT("00"&amp;MINUTE(Sync!$K596),2),IFERROR(RIGHT("00"&amp;VALUE(LEFT(Sync!$K596,FIND(":",Sync!$K596)-1)),2)&amp;RIGHT("00"&amp;VALUE(MID(Sync!$K596,FIND(":",Sync!$K596)+1,2)),2),"0000")))&amp;"|"&amp;"2"&amp;RIGHT("00000"&amp;591,5))</f>
        <v/>
      </c>
      <c r="Q596">
        <f>IF(Sync!$J596="","",IF(ISNUMBER(Sync!$J596),IF(AND(Sync!$J596&gt;=10000101,Sync!$J596&lt;=99991231),INT(Sync!$J596/10000)&amp;"/"&amp;RIGHT("00"&amp;INT(MOD(Sync!$J596,10000)/100),2)&amp;"/"&amp;RIGHT("00"&amp;MOD(Sync!$J596,100),2),"نامعتبر"),IF(LEN(Sync!$J596)=10,Sync!$J596,"نامعتبر")))</f>
        <v/>
      </c>
      <c r="R596">
        <f>IF($P596="","",COUNTIFS($N$6:$N$2005,$N596,$P$6:$P$2005,"&lt;"&amp;$P596)+COUNTIFS($A$6:$A$1005,$N596,$B$6:$B$1005,"&lt;"&amp;$P596)+1)</f>
        <v/>
      </c>
      <c r="S596">
        <f>IF($N596="","",$N596&amp;"|"&amp;RIGHT("000000"&amp;$R596,6))</f>
        <v/>
      </c>
      <c r="T596">
        <f>IF($N596="","",IF(Sync!$N596="",0,Sync!$N596))</f>
        <v/>
      </c>
      <c r="U596">
        <f>IF($N596="","",IF(Sync!$O596="",0,Sync!$O596))</f>
        <v/>
      </c>
      <c r="V596">
        <f>IF($N596="","",Sync!$L596)</f>
        <v/>
      </c>
      <c r="W596">
        <f>IF($N596="","",Sync!$P596)</f>
        <v/>
      </c>
      <c r="AA596">
        <f>IF($A596="","",IF(COUNTIF($A$6:$A596,$A596)=1,1,0))</f>
        <v/>
      </c>
      <c r="AB596">
        <f>SUM($AA$6:$AA596)</f>
        <v/>
      </c>
      <c r="AC596">
        <f>IFERROR(INDEX($A$6:$A$1005,MATCH(ROW()-5,$AB$6:$AB$1005,0)),"")</f>
        <v/>
      </c>
    </row>
    <row r="597">
      <c r="A597">
        <f>IF(OR(Entry!$B600="",Entry!$E600="",$E597="نامعتبر"),"",Entry!$E600)</f>
        <v/>
      </c>
      <c r="B597">
        <f>IF($A597="","",LEFT($E597,4)&amp;MID($E597,6,2)&amp;RIGHT($E597,2)&amp;$F597&amp;"|"&amp;"1"&amp;RIGHT("00000"&amp;592,5))</f>
        <v/>
      </c>
      <c r="C597">
        <f>IF($B597="","",COUNTIFS($A$6:$A$1005,$A597,$B$6:$B$1005,"&lt;"&amp;$B597)+COUNTIFS($N$6:$N$2005,$A597,$P$6:$P$2005,"&lt;"&amp;$B597)+1)</f>
        <v/>
      </c>
      <c r="D597">
        <f>IF($C597="","",$A597&amp;"|"&amp;RIGHT("000000"&amp;$C597,6))</f>
        <v/>
      </c>
      <c r="E597">
        <f>IF(Entry!$B600="","",IF(ISNUMBER(Entry!$B600),IF(AND(Entry!$B600&gt;=10000101,Entry!$B600&lt;=99991231),INT(Entry!$B600/10000)&amp;"/"&amp;RIGHT("00"&amp;INT(MOD(Entry!$B600,10000)/100),2)&amp;"/"&amp;RIGHT("00"&amp;MOD(Entry!$B600,100),2),"نامعتبر"),IF(LEN(Entry!$B600)=10,Entry!$B600,"نامعتبر")))</f>
        <v/>
      </c>
      <c r="F597">
        <f>IF(Entry!$B600="","",IF(Entry!$C600="","0000",IF(AND(ISNUMBER(Entry!$C600),Entry!$C600&gt;=0,Entry!$C600&lt;1),RIGHT("00"&amp;HOUR(Entry!$C600),2)&amp;RIGHT("00"&amp;MINUTE(Entry!$C600),2),IFERROR(RIGHT("00"&amp;VALUE(LEFT(Entry!$C600,FIND(":",Entry!$C600)-1)),2)&amp;RIGHT("00"&amp;VALUE(MID(Entry!$C600,FIND(":",Entry!$C600)+1,2)),2),"0000"))))</f>
        <v/>
      </c>
      <c r="G597">
        <f>IF($A597="","",Entry!$G600)</f>
        <v/>
      </c>
      <c r="H597">
        <f>IF($A597="","",IF(Entry!$H600="",0,Entry!$H600))</f>
        <v/>
      </c>
      <c r="I597">
        <f>IF($A597="","",IF(Entry!$I600="",0,Entry!$I600))</f>
        <v/>
      </c>
      <c r="J597">
        <f>IF($A597="","",ROUND($H597*$I597,0))</f>
        <v/>
      </c>
      <c r="K597">
        <f>IF($A597="","",Entry!$D600)</f>
        <v/>
      </c>
      <c r="L597">
        <f>IF($A597="","",Entry!$L600)</f>
        <v/>
      </c>
      <c r="N597">
        <f>IF(OR(Sync!$M597="",$Q597="",$Q597="نامعتبر"),"",Sync!$M597)</f>
        <v/>
      </c>
      <c r="O597">
        <f>IF($N597="","",$Q597)</f>
        <v/>
      </c>
      <c r="P597">
        <f>IF($N597="","",LEFT($Q597,4)&amp;MID($Q597,6,2)&amp;RIGHT($Q597,2)&amp;IF(Sync!$K597="","0000",IF(AND(ISNUMBER(Sync!$K597),Sync!$K597&gt;=0,Sync!$K597&lt;1),RIGHT("00"&amp;HOUR(Sync!$K597),2)&amp;RIGHT("00"&amp;MINUTE(Sync!$K597),2),IFERROR(RIGHT("00"&amp;VALUE(LEFT(Sync!$K597,FIND(":",Sync!$K597)-1)),2)&amp;RIGHT("00"&amp;VALUE(MID(Sync!$K597,FIND(":",Sync!$K597)+1,2)),2),"0000")))&amp;"|"&amp;"2"&amp;RIGHT("00000"&amp;592,5))</f>
        <v/>
      </c>
      <c r="Q597">
        <f>IF(Sync!$J597="","",IF(ISNUMBER(Sync!$J597),IF(AND(Sync!$J597&gt;=10000101,Sync!$J597&lt;=99991231),INT(Sync!$J597/10000)&amp;"/"&amp;RIGHT("00"&amp;INT(MOD(Sync!$J597,10000)/100),2)&amp;"/"&amp;RIGHT("00"&amp;MOD(Sync!$J597,100),2),"نامعتبر"),IF(LEN(Sync!$J597)=10,Sync!$J597,"نامعتبر")))</f>
        <v/>
      </c>
      <c r="R597">
        <f>IF($P597="","",COUNTIFS($N$6:$N$2005,$N597,$P$6:$P$2005,"&lt;"&amp;$P597)+COUNTIFS($A$6:$A$1005,$N597,$B$6:$B$1005,"&lt;"&amp;$P597)+1)</f>
        <v/>
      </c>
      <c r="S597">
        <f>IF($N597="","",$N597&amp;"|"&amp;RIGHT("000000"&amp;$R597,6))</f>
        <v/>
      </c>
      <c r="T597">
        <f>IF($N597="","",IF(Sync!$N597="",0,Sync!$N597))</f>
        <v/>
      </c>
      <c r="U597">
        <f>IF($N597="","",IF(Sync!$O597="",0,Sync!$O597))</f>
        <v/>
      </c>
      <c r="V597">
        <f>IF($N597="","",Sync!$L597)</f>
        <v/>
      </c>
      <c r="W597">
        <f>IF($N597="","",Sync!$P597)</f>
        <v/>
      </c>
      <c r="AA597">
        <f>IF($A597="","",IF(COUNTIF($A$6:$A597,$A597)=1,1,0))</f>
        <v/>
      </c>
      <c r="AB597">
        <f>SUM($AA$6:$AA597)</f>
        <v/>
      </c>
      <c r="AC597">
        <f>IFERROR(INDEX($A$6:$A$1005,MATCH(ROW()-5,$AB$6:$AB$1005,0)),"")</f>
        <v/>
      </c>
    </row>
    <row r="598">
      <c r="A598">
        <f>IF(OR(Entry!$B601="",Entry!$E601="",$E598="نامعتبر"),"",Entry!$E601)</f>
        <v/>
      </c>
      <c r="B598">
        <f>IF($A598="","",LEFT($E598,4)&amp;MID($E598,6,2)&amp;RIGHT($E598,2)&amp;$F598&amp;"|"&amp;"1"&amp;RIGHT("00000"&amp;593,5))</f>
        <v/>
      </c>
      <c r="C598">
        <f>IF($B598="","",COUNTIFS($A$6:$A$1005,$A598,$B$6:$B$1005,"&lt;"&amp;$B598)+COUNTIFS($N$6:$N$2005,$A598,$P$6:$P$2005,"&lt;"&amp;$B598)+1)</f>
        <v/>
      </c>
      <c r="D598">
        <f>IF($C598="","",$A598&amp;"|"&amp;RIGHT("000000"&amp;$C598,6))</f>
        <v/>
      </c>
      <c r="E598">
        <f>IF(Entry!$B601="","",IF(ISNUMBER(Entry!$B601),IF(AND(Entry!$B601&gt;=10000101,Entry!$B601&lt;=99991231),INT(Entry!$B601/10000)&amp;"/"&amp;RIGHT("00"&amp;INT(MOD(Entry!$B601,10000)/100),2)&amp;"/"&amp;RIGHT("00"&amp;MOD(Entry!$B601,100),2),"نامعتبر"),IF(LEN(Entry!$B601)=10,Entry!$B601,"نامعتبر")))</f>
        <v/>
      </c>
      <c r="F598">
        <f>IF(Entry!$B601="","",IF(Entry!$C601="","0000",IF(AND(ISNUMBER(Entry!$C601),Entry!$C601&gt;=0,Entry!$C601&lt;1),RIGHT("00"&amp;HOUR(Entry!$C601),2)&amp;RIGHT("00"&amp;MINUTE(Entry!$C601),2),IFERROR(RIGHT("00"&amp;VALUE(LEFT(Entry!$C601,FIND(":",Entry!$C601)-1)),2)&amp;RIGHT("00"&amp;VALUE(MID(Entry!$C601,FIND(":",Entry!$C601)+1,2)),2),"0000"))))</f>
        <v/>
      </c>
      <c r="G598">
        <f>IF($A598="","",Entry!$G601)</f>
        <v/>
      </c>
      <c r="H598">
        <f>IF($A598="","",IF(Entry!$H601="",0,Entry!$H601))</f>
        <v/>
      </c>
      <c r="I598">
        <f>IF($A598="","",IF(Entry!$I601="",0,Entry!$I601))</f>
        <v/>
      </c>
      <c r="J598">
        <f>IF($A598="","",ROUND($H598*$I598,0))</f>
        <v/>
      </c>
      <c r="K598">
        <f>IF($A598="","",Entry!$D601)</f>
        <v/>
      </c>
      <c r="L598">
        <f>IF($A598="","",Entry!$L601)</f>
        <v/>
      </c>
      <c r="N598">
        <f>IF(OR(Sync!$M598="",$Q598="",$Q598="نامعتبر"),"",Sync!$M598)</f>
        <v/>
      </c>
      <c r="O598">
        <f>IF($N598="","",$Q598)</f>
        <v/>
      </c>
      <c r="P598">
        <f>IF($N598="","",LEFT($Q598,4)&amp;MID($Q598,6,2)&amp;RIGHT($Q598,2)&amp;IF(Sync!$K598="","0000",IF(AND(ISNUMBER(Sync!$K598),Sync!$K598&gt;=0,Sync!$K598&lt;1),RIGHT("00"&amp;HOUR(Sync!$K598),2)&amp;RIGHT("00"&amp;MINUTE(Sync!$K598),2),IFERROR(RIGHT("00"&amp;VALUE(LEFT(Sync!$K598,FIND(":",Sync!$K598)-1)),2)&amp;RIGHT("00"&amp;VALUE(MID(Sync!$K598,FIND(":",Sync!$K598)+1,2)),2),"0000")))&amp;"|"&amp;"2"&amp;RIGHT("00000"&amp;593,5))</f>
        <v/>
      </c>
      <c r="Q598">
        <f>IF(Sync!$J598="","",IF(ISNUMBER(Sync!$J598),IF(AND(Sync!$J598&gt;=10000101,Sync!$J598&lt;=99991231),INT(Sync!$J598/10000)&amp;"/"&amp;RIGHT("00"&amp;INT(MOD(Sync!$J598,10000)/100),2)&amp;"/"&amp;RIGHT("00"&amp;MOD(Sync!$J598,100),2),"نامعتبر"),IF(LEN(Sync!$J598)=10,Sync!$J598,"نامعتبر")))</f>
        <v/>
      </c>
      <c r="R598">
        <f>IF($P598="","",COUNTIFS($N$6:$N$2005,$N598,$P$6:$P$2005,"&lt;"&amp;$P598)+COUNTIFS($A$6:$A$1005,$N598,$B$6:$B$1005,"&lt;"&amp;$P598)+1)</f>
        <v/>
      </c>
      <c r="S598">
        <f>IF($N598="","",$N598&amp;"|"&amp;RIGHT("000000"&amp;$R598,6))</f>
        <v/>
      </c>
      <c r="T598">
        <f>IF($N598="","",IF(Sync!$N598="",0,Sync!$N598))</f>
        <v/>
      </c>
      <c r="U598">
        <f>IF($N598="","",IF(Sync!$O598="",0,Sync!$O598))</f>
        <v/>
      </c>
      <c r="V598">
        <f>IF($N598="","",Sync!$L598)</f>
        <v/>
      </c>
      <c r="W598">
        <f>IF($N598="","",Sync!$P598)</f>
        <v/>
      </c>
      <c r="AA598">
        <f>IF($A598="","",IF(COUNTIF($A$6:$A598,$A598)=1,1,0))</f>
        <v/>
      </c>
      <c r="AB598">
        <f>SUM($AA$6:$AA598)</f>
        <v/>
      </c>
      <c r="AC598">
        <f>IFERROR(INDEX($A$6:$A$1005,MATCH(ROW()-5,$AB$6:$AB$1005,0)),"")</f>
        <v/>
      </c>
    </row>
    <row r="599">
      <c r="A599">
        <f>IF(OR(Entry!$B602="",Entry!$E602="",$E599="نامعتبر"),"",Entry!$E602)</f>
        <v/>
      </c>
      <c r="B599">
        <f>IF($A599="","",LEFT($E599,4)&amp;MID($E599,6,2)&amp;RIGHT($E599,2)&amp;$F599&amp;"|"&amp;"1"&amp;RIGHT("00000"&amp;594,5))</f>
        <v/>
      </c>
      <c r="C599">
        <f>IF($B599="","",COUNTIFS($A$6:$A$1005,$A599,$B$6:$B$1005,"&lt;"&amp;$B599)+COUNTIFS($N$6:$N$2005,$A599,$P$6:$P$2005,"&lt;"&amp;$B599)+1)</f>
        <v/>
      </c>
      <c r="D599">
        <f>IF($C599="","",$A599&amp;"|"&amp;RIGHT("000000"&amp;$C599,6))</f>
        <v/>
      </c>
      <c r="E599">
        <f>IF(Entry!$B602="","",IF(ISNUMBER(Entry!$B602),IF(AND(Entry!$B602&gt;=10000101,Entry!$B602&lt;=99991231),INT(Entry!$B602/10000)&amp;"/"&amp;RIGHT("00"&amp;INT(MOD(Entry!$B602,10000)/100),2)&amp;"/"&amp;RIGHT("00"&amp;MOD(Entry!$B602,100),2),"نامعتبر"),IF(LEN(Entry!$B602)=10,Entry!$B602,"نامعتبر")))</f>
        <v/>
      </c>
      <c r="F599">
        <f>IF(Entry!$B602="","",IF(Entry!$C602="","0000",IF(AND(ISNUMBER(Entry!$C602),Entry!$C602&gt;=0,Entry!$C602&lt;1),RIGHT("00"&amp;HOUR(Entry!$C602),2)&amp;RIGHT("00"&amp;MINUTE(Entry!$C602),2),IFERROR(RIGHT("00"&amp;VALUE(LEFT(Entry!$C602,FIND(":",Entry!$C602)-1)),2)&amp;RIGHT("00"&amp;VALUE(MID(Entry!$C602,FIND(":",Entry!$C602)+1,2)),2),"0000"))))</f>
        <v/>
      </c>
      <c r="G599">
        <f>IF($A599="","",Entry!$G602)</f>
        <v/>
      </c>
      <c r="H599">
        <f>IF($A599="","",IF(Entry!$H602="",0,Entry!$H602))</f>
        <v/>
      </c>
      <c r="I599">
        <f>IF($A599="","",IF(Entry!$I602="",0,Entry!$I602))</f>
        <v/>
      </c>
      <c r="J599">
        <f>IF($A599="","",ROUND($H599*$I599,0))</f>
        <v/>
      </c>
      <c r="K599">
        <f>IF($A599="","",Entry!$D602)</f>
        <v/>
      </c>
      <c r="L599">
        <f>IF($A599="","",Entry!$L602)</f>
        <v/>
      </c>
      <c r="N599">
        <f>IF(OR(Sync!$M599="",$Q599="",$Q599="نامعتبر"),"",Sync!$M599)</f>
        <v/>
      </c>
      <c r="O599">
        <f>IF($N599="","",$Q599)</f>
        <v/>
      </c>
      <c r="P599">
        <f>IF($N599="","",LEFT($Q599,4)&amp;MID($Q599,6,2)&amp;RIGHT($Q599,2)&amp;IF(Sync!$K599="","0000",IF(AND(ISNUMBER(Sync!$K599),Sync!$K599&gt;=0,Sync!$K599&lt;1),RIGHT("00"&amp;HOUR(Sync!$K599),2)&amp;RIGHT("00"&amp;MINUTE(Sync!$K599),2),IFERROR(RIGHT("00"&amp;VALUE(LEFT(Sync!$K599,FIND(":",Sync!$K599)-1)),2)&amp;RIGHT("00"&amp;VALUE(MID(Sync!$K599,FIND(":",Sync!$K599)+1,2)),2),"0000")))&amp;"|"&amp;"2"&amp;RIGHT("00000"&amp;594,5))</f>
        <v/>
      </c>
      <c r="Q599">
        <f>IF(Sync!$J599="","",IF(ISNUMBER(Sync!$J599),IF(AND(Sync!$J599&gt;=10000101,Sync!$J599&lt;=99991231),INT(Sync!$J599/10000)&amp;"/"&amp;RIGHT("00"&amp;INT(MOD(Sync!$J599,10000)/100),2)&amp;"/"&amp;RIGHT("00"&amp;MOD(Sync!$J599,100),2),"نامعتبر"),IF(LEN(Sync!$J599)=10,Sync!$J599,"نامعتبر")))</f>
        <v/>
      </c>
      <c r="R599">
        <f>IF($P599="","",COUNTIFS($N$6:$N$2005,$N599,$P$6:$P$2005,"&lt;"&amp;$P599)+COUNTIFS($A$6:$A$1005,$N599,$B$6:$B$1005,"&lt;"&amp;$P599)+1)</f>
        <v/>
      </c>
      <c r="S599">
        <f>IF($N599="","",$N599&amp;"|"&amp;RIGHT("000000"&amp;$R599,6))</f>
        <v/>
      </c>
      <c r="T599">
        <f>IF($N599="","",IF(Sync!$N599="",0,Sync!$N599))</f>
        <v/>
      </c>
      <c r="U599">
        <f>IF($N599="","",IF(Sync!$O599="",0,Sync!$O599))</f>
        <v/>
      </c>
      <c r="V599">
        <f>IF($N599="","",Sync!$L599)</f>
        <v/>
      </c>
      <c r="W599">
        <f>IF($N599="","",Sync!$P599)</f>
        <v/>
      </c>
      <c r="AA599">
        <f>IF($A599="","",IF(COUNTIF($A$6:$A599,$A599)=1,1,0))</f>
        <v/>
      </c>
      <c r="AB599">
        <f>SUM($AA$6:$AA599)</f>
        <v/>
      </c>
      <c r="AC599">
        <f>IFERROR(INDEX($A$6:$A$1005,MATCH(ROW()-5,$AB$6:$AB$1005,0)),"")</f>
        <v/>
      </c>
    </row>
    <row r="600">
      <c r="A600">
        <f>IF(OR(Entry!$B603="",Entry!$E603="",$E600="نامعتبر"),"",Entry!$E603)</f>
        <v/>
      </c>
      <c r="B600">
        <f>IF($A600="","",LEFT($E600,4)&amp;MID($E600,6,2)&amp;RIGHT($E600,2)&amp;$F600&amp;"|"&amp;"1"&amp;RIGHT("00000"&amp;595,5))</f>
        <v/>
      </c>
      <c r="C600">
        <f>IF($B600="","",COUNTIFS($A$6:$A$1005,$A600,$B$6:$B$1005,"&lt;"&amp;$B600)+COUNTIFS($N$6:$N$2005,$A600,$P$6:$P$2005,"&lt;"&amp;$B600)+1)</f>
        <v/>
      </c>
      <c r="D600">
        <f>IF($C600="","",$A600&amp;"|"&amp;RIGHT("000000"&amp;$C600,6))</f>
        <v/>
      </c>
      <c r="E600">
        <f>IF(Entry!$B603="","",IF(ISNUMBER(Entry!$B603),IF(AND(Entry!$B603&gt;=10000101,Entry!$B603&lt;=99991231),INT(Entry!$B603/10000)&amp;"/"&amp;RIGHT("00"&amp;INT(MOD(Entry!$B603,10000)/100),2)&amp;"/"&amp;RIGHT("00"&amp;MOD(Entry!$B603,100),2),"نامعتبر"),IF(LEN(Entry!$B603)=10,Entry!$B603,"نامعتبر")))</f>
        <v/>
      </c>
      <c r="F600">
        <f>IF(Entry!$B603="","",IF(Entry!$C603="","0000",IF(AND(ISNUMBER(Entry!$C603),Entry!$C603&gt;=0,Entry!$C603&lt;1),RIGHT("00"&amp;HOUR(Entry!$C603),2)&amp;RIGHT("00"&amp;MINUTE(Entry!$C603),2),IFERROR(RIGHT("00"&amp;VALUE(LEFT(Entry!$C603,FIND(":",Entry!$C603)-1)),2)&amp;RIGHT("00"&amp;VALUE(MID(Entry!$C603,FIND(":",Entry!$C603)+1,2)),2),"0000"))))</f>
        <v/>
      </c>
      <c r="G600">
        <f>IF($A600="","",Entry!$G603)</f>
        <v/>
      </c>
      <c r="H600">
        <f>IF($A600="","",IF(Entry!$H603="",0,Entry!$H603))</f>
        <v/>
      </c>
      <c r="I600">
        <f>IF($A600="","",IF(Entry!$I603="",0,Entry!$I603))</f>
        <v/>
      </c>
      <c r="J600">
        <f>IF($A600="","",ROUND($H600*$I600,0))</f>
        <v/>
      </c>
      <c r="K600">
        <f>IF($A600="","",Entry!$D603)</f>
        <v/>
      </c>
      <c r="L600">
        <f>IF($A600="","",Entry!$L603)</f>
        <v/>
      </c>
      <c r="N600">
        <f>IF(OR(Sync!$M600="",$Q600="",$Q600="نامعتبر"),"",Sync!$M600)</f>
        <v/>
      </c>
      <c r="O600">
        <f>IF($N600="","",$Q600)</f>
        <v/>
      </c>
      <c r="P600">
        <f>IF($N600="","",LEFT($Q600,4)&amp;MID($Q600,6,2)&amp;RIGHT($Q600,2)&amp;IF(Sync!$K600="","0000",IF(AND(ISNUMBER(Sync!$K600),Sync!$K600&gt;=0,Sync!$K600&lt;1),RIGHT("00"&amp;HOUR(Sync!$K600),2)&amp;RIGHT("00"&amp;MINUTE(Sync!$K600),2),IFERROR(RIGHT("00"&amp;VALUE(LEFT(Sync!$K600,FIND(":",Sync!$K600)-1)),2)&amp;RIGHT("00"&amp;VALUE(MID(Sync!$K600,FIND(":",Sync!$K600)+1,2)),2),"0000")))&amp;"|"&amp;"2"&amp;RIGHT("00000"&amp;595,5))</f>
        <v/>
      </c>
      <c r="Q600">
        <f>IF(Sync!$J600="","",IF(ISNUMBER(Sync!$J600),IF(AND(Sync!$J600&gt;=10000101,Sync!$J600&lt;=99991231),INT(Sync!$J600/10000)&amp;"/"&amp;RIGHT("00"&amp;INT(MOD(Sync!$J600,10000)/100),2)&amp;"/"&amp;RIGHT("00"&amp;MOD(Sync!$J600,100),2),"نامعتبر"),IF(LEN(Sync!$J600)=10,Sync!$J600,"نامعتبر")))</f>
        <v/>
      </c>
      <c r="R600">
        <f>IF($P600="","",COUNTIFS($N$6:$N$2005,$N600,$P$6:$P$2005,"&lt;"&amp;$P600)+COUNTIFS($A$6:$A$1005,$N600,$B$6:$B$1005,"&lt;"&amp;$P600)+1)</f>
        <v/>
      </c>
      <c r="S600">
        <f>IF($N600="","",$N600&amp;"|"&amp;RIGHT("000000"&amp;$R600,6))</f>
        <v/>
      </c>
      <c r="T600">
        <f>IF($N600="","",IF(Sync!$N600="",0,Sync!$N600))</f>
        <v/>
      </c>
      <c r="U600">
        <f>IF($N600="","",IF(Sync!$O600="",0,Sync!$O600))</f>
        <v/>
      </c>
      <c r="V600">
        <f>IF($N600="","",Sync!$L600)</f>
        <v/>
      </c>
      <c r="W600">
        <f>IF($N600="","",Sync!$P600)</f>
        <v/>
      </c>
      <c r="AA600">
        <f>IF($A600="","",IF(COUNTIF($A$6:$A600,$A600)=1,1,0))</f>
        <v/>
      </c>
      <c r="AB600">
        <f>SUM($AA$6:$AA600)</f>
        <v/>
      </c>
      <c r="AC600">
        <f>IFERROR(INDEX($A$6:$A$1005,MATCH(ROW()-5,$AB$6:$AB$1005,0)),"")</f>
        <v/>
      </c>
    </row>
    <row r="601">
      <c r="A601">
        <f>IF(OR(Entry!$B604="",Entry!$E604="",$E601="نامعتبر"),"",Entry!$E604)</f>
        <v/>
      </c>
      <c r="B601">
        <f>IF($A601="","",LEFT($E601,4)&amp;MID($E601,6,2)&amp;RIGHT($E601,2)&amp;$F601&amp;"|"&amp;"1"&amp;RIGHT("00000"&amp;596,5))</f>
        <v/>
      </c>
      <c r="C601">
        <f>IF($B601="","",COUNTIFS($A$6:$A$1005,$A601,$B$6:$B$1005,"&lt;"&amp;$B601)+COUNTIFS($N$6:$N$2005,$A601,$P$6:$P$2005,"&lt;"&amp;$B601)+1)</f>
        <v/>
      </c>
      <c r="D601">
        <f>IF($C601="","",$A601&amp;"|"&amp;RIGHT("000000"&amp;$C601,6))</f>
        <v/>
      </c>
      <c r="E601">
        <f>IF(Entry!$B604="","",IF(ISNUMBER(Entry!$B604),IF(AND(Entry!$B604&gt;=10000101,Entry!$B604&lt;=99991231),INT(Entry!$B604/10000)&amp;"/"&amp;RIGHT("00"&amp;INT(MOD(Entry!$B604,10000)/100),2)&amp;"/"&amp;RIGHT("00"&amp;MOD(Entry!$B604,100),2),"نامعتبر"),IF(LEN(Entry!$B604)=10,Entry!$B604,"نامعتبر")))</f>
        <v/>
      </c>
      <c r="F601">
        <f>IF(Entry!$B604="","",IF(Entry!$C604="","0000",IF(AND(ISNUMBER(Entry!$C604),Entry!$C604&gt;=0,Entry!$C604&lt;1),RIGHT("00"&amp;HOUR(Entry!$C604),2)&amp;RIGHT("00"&amp;MINUTE(Entry!$C604),2),IFERROR(RIGHT("00"&amp;VALUE(LEFT(Entry!$C604,FIND(":",Entry!$C604)-1)),2)&amp;RIGHT("00"&amp;VALUE(MID(Entry!$C604,FIND(":",Entry!$C604)+1,2)),2),"0000"))))</f>
        <v/>
      </c>
      <c r="G601">
        <f>IF($A601="","",Entry!$G604)</f>
        <v/>
      </c>
      <c r="H601">
        <f>IF($A601="","",IF(Entry!$H604="",0,Entry!$H604))</f>
        <v/>
      </c>
      <c r="I601">
        <f>IF($A601="","",IF(Entry!$I604="",0,Entry!$I604))</f>
        <v/>
      </c>
      <c r="J601">
        <f>IF($A601="","",ROUND($H601*$I601,0))</f>
        <v/>
      </c>
      <c r="K601">
        <f>IF($A601="","",Entry!$D604)</f>
        <v/>
      </c>
      <c r="L601">
        <f>IF($A601="","",Entry!$L604)</f>
        <v/>
      </c>
      <c r="N601">
        <f>IF(OR(Sync!$M601="",$Q601="",$Q601="نامعتبر"),"",Sync!$M601)</f>
        <v/>
      </c>
      <c r="O601">
        <f>IF($N601="","",$Q601)</f>
        <v/>
      </c>
      <c r="P601">
        <f>IF($N601="","",LEFT($Q601,4)&amp;MID($Q601,6,2)&amp;RIGHT($Q601,2)&amp;IF(Sync!$K601="","0000",IF(AND(ISNUMBER(Sync!$K601),Sync!$K601&gt;=0,Sync!$K601&lt;1),RIGHT("00"&amp;HOUR(Sync!$K601),2)&amp;RIGHT("00"&amp;MINUTE(Sync!$K601),2),IFERROR(RIGHT("00"&amp;VALUE(LEFT(Sync!$K601,FIND(":",Sync!$K601)-1)),2)&amp;RIGHT("00"&amp;VALUE(MID(Sync!$K601,FIND(":",Sync!$K601)+1,2)),2),"0000")))&amp;"|"&amp;"2"&amp;RIGHT("00000"&amp;596,5))</f>
        <v/>
      </c>
      <c r="Q601">
        <f>IF(Sync!$J601="","",IF(ISNUMBER(Sync!$J601),IF(AND(Sync!$J601&gt;=10000101,Sync!$J601&lt;=99991231),INT(Sync!$J601/10000)&amp;"/"&amp;RIGHT("00"&amp;INT(MOD(Sync!$J601,10000)/100),2)&amp;"/"&amp;RIGHT("00"&amp;MOD(Sync!$J601,100),2),"نامعتبر"),IF(LEN(Sync!$J601)=10,Sync!$J601,"نامعتبر")))</f>
        <v/>
      </c>
      <c r="R601">
        <f>IF($P601="","",COUNTIFS($N$6:$N$2005,$N601,$P$6:$P$2005,"&lt;"&amp;$P601)+COUNTIFS($A$6:$A$1005,$N601,$B$6:$B$1005,"&lt;"&amp;$P601)+1)</f>
        <v/>
      </c>
      <c r="S601">
        <f>IF($N601="","",$N601&amp;"|"&amp;RIGHT("000000"&amp;$R601,6))</f>
        <v/>
      </c>
      <c r="T601">
        <f>IF($N601="","",IF(Sync!$N601="",0,Sync!$N601))</f>
        <v/>
      </c>
      <c r="U601">
        <f>IF($N601="","",IF(Sync!$O601="",0,Sync!$O601))</f>
        <v/>
      </c>
      <c r="V601">
        <f>IF($N601="","",Sync!$L601)</f>
        <v/>
      </c>
      <c r="W601">
        <f>IF($N601="","",Sync!$P601)</f>
        <v/>
      </c>
      <c r="AA601">
        <f>IF($A601="","",IF(COUNTIF($A$6:$A601,$A601)=1,1,0))</f>
        <v/>
      </c>
      <c r="AB601">
        <f>SUM($AA$6:$AA601)</f>
        <v/>
      </c>
      <c r="AC601">
        <f>IFERROR(INDEX($A$6:$A$1005,MATCH(ROW()-5,$AB$6:$AB$1005,0)),"")</f>
        <v/>
      </c>
    </row>
    <row r="602">
      <c r="A602">
        <f>IF(OR(Entry!$B605="",Entry!$E605="",$E602="نامعتبر"),"",Entry!$E605)</f>
        <v/>
      </c>
      <c r="B602">
        <f>IF($A602="","",LEFT($E602,4)&amp;MID($E602,6,2)&amp;RIGHT($E602,2)&amp;$F602&amp;"|"&amp;"1"&amp;RIGHT("00000"&amp;597,5))</f>
        <v/>
      </c>
      <c r="C602">
        <f>IF($B602="","",COUNTIFS($A$6:$A$1005,$A602,$B$6:$B$1005,"&lt;"&amp;$B602)+COUNTIFS($N$6:$N$2005,$A602,$P$6:$P$2005,"&lt;"&amp;$B602)+1)</f>
        <v/>
      </c>
      <c r="D602">
        <f>IF($C602="","",$A602&amp;"|"&amp;RIGHT("000000"&amp;$C602,6))</f>
        <v/>
      </c>
      <c r="E602">
        <f>IF(Entry!$B605="","",IF(ISNUMBER(Entry!$B605),IF(AND(Entry!$B605&gt;=10000101,Entry!$B605&lt;=99991231),INT(Entry!$B605/10000)&amp;"/"&amp;RIGHT("00"&amp;INT(MOD(Entry!$B605,10000)/100),2)&amp;"/"&amp;RIGHT("00"&amp;MOD(Entry!$B605,100),2),"نامعتبر"),IF(LEN(Entry!$B605)=10,Entry!$B605,"نامعتبر")))</f>
        <v/>
      </c>
      <c r="F602">
        <f>IF(Entry!$B605="","",IF(Entry!$C605="","0000",IF(AND(ISNUMBER(Entry!$C605),Entry!$C605&gt;=0,Entry!$C605&lt;1),RIGHT("00"&amp;HOUR(Entry!$C605),2)&amp;RIGHT("00"&amp;MINUTE(Entry!$C605),2),IFERROR(RIGHT("00"&amp;VALUE(LEFT(Entry!$C605,FIND(":",Entry!$C605)-1)),2)&amp;RIGHT("00"&amp;VALUE(MID(Entry!$C605,FIND(":",Entry!$C605)+1,2)),2),"0000"))))</f>
        <v/>
      </c>
      <c r="G602">
        <f>IF($A602="","",Entry!$G605)</f>
        <v/>
      </c>
      <c r="H602">
        <f>IF($A602="","",IF(Entry!$H605="",0,Entry!$H605))</f>
        <v/>
      </c>
      <c r="I602">
        <f>IF($A602="","",IF(Entry!$I605="",0,Entry!$I605))</f>
        <v/>
      </c>
      <c r="J602">
        <f>IF($A602="","",ROUND($H602*$I602,0))</f>
        <v/>
      </c>
      <c r="K602">
        <f>IF($A602="","",Entry!$D605)</f>
        <v/>
      </c>
      <c r="L602">
        <f>IF($A602="","",Entry!$L605)</f>
        <v/>
      </c>
      <c r="N602">
        <f>IF(OR(Sync!$M602="",$Q602="",$Q602="نامعتبر"),"",Sync!$M602)</f>
        <v/>
      </c>
      <c r="O602">
        <f>IF($N602="","",$Q602)</f>
        <v/>
      </c>
      <c r="P602">
        <f>IF($N602="","",LEFT($Q602,4)&amp;MID($Q602,6,2)&amp;RIGHT($Q602,2)&amp;IF(Sync!$K602="","0000",IF(AND(ISNUMBER(Sync!$K602),Sync!$K602&gt;=0,Sync!$K602&lt;1),RIGHT("00"&amp;HOUR(Sync!$K602),2)&amp;RIGHT("00"&amp;MINUTE(Sync!$K602),2),IFERROR(RIGHT("00"&amp;VALUE(LEFT(Sync!$K602,FIND(":",Sync!$K602)-1)),2)&amp;RIGHT("00"&amp;VALUE(MID(Sync!$K602,FIND(":",Sync!$K602)+1,2)),2),"0000")))&amp;"|"&amp;"2"&amp;RIGHT("00000"&amp;597,5))</f>
        <v/>
      </c>
      <c r="Q602">
        <f>IF(Sync!$J602="","",IF(ISNUMBER(Sync!$J602),IF(AND(Sync!$J602&gt;=10000101,Sync!$J602&lt;=99991231),INT(Sync!$J602/10000)&amp;"/"&amp;RIGHT("00"&amp;INT(MOD(Sync!$J602,10000)/100),2)&amp;"/"&amp;RIGHT("00"&amp;MOD(Sync!$J602,100),2),"نامعتبر"),IF(LEN(Sync!$J602)=10,Sync!$J602,"نامعتبر")))</f>
        <v/>
      </c>
      <c r="R602">
        <f>IF($P602="","",COUNTIFS($N$6:$N$2005,$N602,$P$6:$P$2005,"&lt;"&amp;$P602)+COUNTIFS($A$6:$A$1005,$N602,$B$6:$B$1005,"&lt;"&amp;$P602)+1)</f>
        <v/>
      </c>
      <c r="S602">
        <f>IF($N602="","",$N602&amp;"|"&amp;RIGHT("000000"&amp;$R602,6))</f>
        <v/>
      </c>
      <c r="T602">
        <f>IF($N602="","",IF(Sync!$N602="",0,Sync!$N602))</f>
        <v/>
      </c>
      <c r="U602">
        <f>IF($N602="","",IF(Sync!$O602="",0,Sync!$O602))</f>
        <v/>
      </c>
      <c r="V602">
        <f>IF($N602="","",Sync!$L602)</f>
        <v/>
      </c>
      <c r="W602">
        <f>IF($N602="","",Sync!$P602)</f>
        <v/>
      </c>
      <c r="AA602">
        <f>IF($A602="","",IF(COUNTIF($A$6:$A602,$A602)=1,1,0))</f>
        <v/>
      </c>
      <c r="AB602">
        <f>SUM($AA$6:$AA602)</f>
        <v/>
      </c>
      <c r="AC602">
        <f>IFERROR(INDEX($A$6:$A$1005,MATCH(ROW()-5,$AB$6:$AB$1005,0)),"")</f>
        <v/>
      </c>
    </row>
    <row r="603">
      <c r="A603">
        <f>IF(OR(Entry!$B606="",Entry!$E606="",$E603="نامعتبر"),"",Entry!$E606)</f>
        <v/>
      </c>
      <c r="B603">
        <f>IF($A603="","",LEFT($E603,4)&amp;MID($E603,6,2)&amp;RIGHT($E603,2)&amp;$F603&amp;"|"&amp;"1"&amp;RIGHT("00000"&amp;598,5))</f>
        <v/>
      </c>
      <c r="C603">
        <f>IF($B603="","",COUNTIFS($A$6:$A$1005,$A603,$B$6:$B$1005,"&lt;"&amp;$B603)+COUNTIFS($N$6:$N$2005,$A603,$P$6:$P$2005,"&lt;"&amp;$B603)+1)</f>
        <v/>
      </c>
      <c r="D603">
        <f>IF($C603="","",$A603&amp;"|"&amp;RIGHT("000000"&amp;$C603,6))</f>
        <v/>
      </c>
      <c r="E603">
        <f>IF(Entry!$B606="","",IF(ISNUMBER(Entry!$B606),IF(AND(Entry!$B606&gt;=10000101,Entry!$B606&lt;=99991231),INT(Entry!$B606/10000)&amp;"/"&amp;RIGHT("00"&amp;INT(MOD(Entry!$B606,10000)/100),2)&amp;"/"&amp;RIGHT("00"&amp;MOD(Entry!$B606,100),2),"نامعتبر"),IF(LEN(Entry!$B606)=10,Entry!$B606,"نامعتبر")))</f>
        <v/>
      </c>
      <c r="F603">
        <f>IF(Entry!$B606="","",IF(Entry!$C606="","0000",IF(AND(ISNUMBER(Entry!$C606),Entry!$C606&gt;=0,Entry!$C606&lt;1),RIGHT("00"&amp;HOUR(Entry!$C606),2)&amp;RIGHT("00"&amp;MINUTE(Entry!$C606),2),IFERROR(RIGHT("00"&amp;VALUE(LEFT(Entry!$C606,FIND(":",Entry!$C606)-1)),2)&amp;RIGHT("00"&amp;VALUE(MID(Entry!$C606,FIND(":",Entry!$C606)+1,2)),2),"0000"))))</f>
        <v/>
      </c>
      <c r="G603">
        <f>IF($A603="","",Entry!$G606)</f>
        <v/>
      </c>
      <c r="H603">
        <f>IF($A603="","",IF(Entry!$H606="",0,Entry!$H606))</f>
        <v/>
      </c>
      <c r="I603">
        <f>IF($A603="","",IF(Entry!$I606="",0,Entry!$I606))</f>
        <v/>
      </c>
      <c r="J603">
        <f>IF($A603="","",ROUND($H603*$I603,0))</f>
        <v/>
      </c>
      <c r="K603">
        <f>IF($A603="","",Entry!$D606)</f>
        <v/>
      </c>
      <c r="L603">
        <f>IF($A603="","",Entry!$L606)</f>
        <v/>
      </c>
      <c r="N603">
        <f>IF(OR(Sync!$M603="",$Q603="",$Q603="نامعتبر"),"",Sync!$M603)</f>
        <v/>
      </c>
      <c r="O603">
        <f>IF($N603="","",$Q603)</f>
        <v/>
      </c>
      <c r="P603">
        <f>IF($N603="","",LEFT($Q603,4)&amp;MID($Q603,6,2)&amp;RIGHT($Q603,2)&amp;IF(Sync!$K603="","0000",IF(AND(ISNUMBER(Sync!$K603),Sync!$K603&gt;=0,Sync!$K603&lt;1),RIGHT("00"&amp;HOUR(Sync!$K603),2)&amp;RIGHT("00"&amp;MINUTE(Sync!$K603),2),IFERROR(RIGHT("00"&amp;VALUE(LEFT(Sync!$K603,FIND(":",Sync!$K603)-1)),2)&amp;RIGHT("00"&amp;VALUE(MID(Sync!$K603,FIND(":",Sync!$K603)+1,2)),2),"0000")))&amp;"|"&amp;"2"&amp;RIGHT("00000"&amp;598,5))</f>
        <v/>
      </c>
      <c r="Q603">
        <f>IF(Sync!$J603="","",IF(ISNUMBER(Sync!$J603),IF(AND(Sync!$J603&gt;=10000101,Sync!$J603&lt;=99991231),INT(Sync!$J603/10000)&amp;"/"&amp;RIGHT("00"&amp;INT(MOD(Sync!$J603,10000)/100),2)&amp;"/"&amp;RIGHT("00"&amp;MOD(Sync!$J603,100),2),"نامعتبر"),IF(LEN(Sync!$J603)=10,Sync!$J603,"نامعتبر")))</f>
        <v/>
      </c>
      <c r="R603">
        <f>IF($P603="","",COUNTIFS($N$6:$N$2005,$N603,$P$6:$P$2005,"&lt;"&amp;$P603)+COUNTIFS($A$6:$A$1005,$N603,$B$6:$B$1005,"&lt;"&amp;$P603)+1)</f>
        <v/>
      </c>
      <c r="S603">
        <f>IF($N603="","",$N603&amp;"|"&amp;RIGHT("000000"&amp;$R603,6))</f>
        <v/>
      </c>
      <c r="T603">
        <f>IF($N603="","",IF(Sync!$N603="",0,Sync!$N603))</f>
        <v/>
      </c>
      <c r="U603">
        <f>IF($N603="","",IF(Sync!$O603="",0,Sync!$O603))</f>
        <v/>
      </c>
      <c r="V603">
        <f>IF($N603="","",Sync!$L603)</f>
        <v/>
      </c>
      <c r="W603">
        <f>IF($N603="","",Sync!$P603)</f>
        <v/>
      </c>
      <c r="AA603">
        <f>IF($A603="","",IF(COUNTIF($A$6:$A603,$A603)=1,1,0))</f>
        <v/>
      </c>
      <c r="AB603">
        <f>SUM($AA$6:$AA603)</f>
        <v/>
      </c>
      <c r="AC603">
        <f>IFERROR(INDEX($A$6:$A$1005,MATCH(ROW()-5,$AB$6:$AB$1005,0)),"")</f>
        <v/>
      </c>
    </row>
    <row r="604">
      <c r="A604">
        <f>IF(OR(Entry!$B607="",Entry!$E607="",$E604="نامعتبر"),"",Entry!$E607)</f>
        <v/>
      </c>
      <c r="B604">
        <f>IF($A604="","",LEFT($E604,4)&amp;MID($E604,6,2)&amp;RIGHT($E604,2)&amp;$F604&amp;"|"&amp;"1"&amp;RIGHT("00000"&amp;599,5))</f>
        <v/>
      </c>
      <c r="C604">
        <f>IF($B604="","",COUNTIFS($A$6:$A$1005,$A604,$B$6:$B$1005,"&lt;"&amp;$B604)+COUNTIFS($N$6:$N$2005,$A604,$P$6:$P$2005,"&lt;"&amp;$B604)+1)</f>
        <v/>
      </c>
      <c r="D604">
        <f>IF($C604="","",$A604&amp;"|"&amp;RIGHT("000000"&amp;$C604,6))</f>
        <v/>
      </c>
      <c r="E604">
        <f>IF(Entry!$B607="","",IF(ISNUMBER(Entry!$B607),IF(AND(Entry!$B607&gt;=10000101,Entry!$B607&lt;=99991231),INT(Entry!$B607/10000)&amp;"/"&amp;RIGHT("00"&amp;INT(MOD(Entry!$B607,10000)/100),2)&amp;"/"&amp;RIGHT("00"&amp;MOD(Entry!$B607,100),2),"نامعتبر"),IF(LEN(Entry!$B607)=10,Entry!$B607,"نامعتبر")))</f>
        <v/>
      </c>
      <c r="F604">
        <f>IF(Entry!$B607="","",IF(Entry!$C607="","0000",IF(AND(ISNUMBER(Entry!$C607),Entry!$C607&gt;=0,Entry!$C607&lt;1),RIGHT("00"&amp;HOUR(Entry!$C607),2)&amp;RIGHT("00"&amp;MINUTE(Entry!$C607),2),IFERROR(RIGHT("00"&amp;VALUE(LEFT(Entry!$C607,FIND(":",Entry!$C607)-1)),2)&amp;RIGHT("00"&amp;VALUE(MID(Entry!$C607,FIND(":",Entry!$C607)+1,2)),2),"0000"))))</f>
        <v/>
      </c>
      <c r="G604">
        <f>IF($A604="","",Entry!$G607)</f>
        <v/>
      </c>
      <c r="H604">
        <f>IF($A604="","",IF(Entry!$H607="",0,Entry!$H607))</f>
        <v/>
      </c>
      <c r="I604">
        <f>IF($A604="","",IF(Entry!$I607="",0,Entry!$I607))</f>
        <v/>
      </c>
      <c r="J604">
        <f>IF($A604="","",ROUND($H604*$I604,0))</f>
        <v/>
      </c>
      <c r="K604">
        <f>IF($A604="","",Entry!$D607)</f>
        <v/>
      </c>
      <c r="L604">
        <f>IF($A604="","",Entry!$L607)</f>
        <v/>
      </c>
      <c r="N604">
        <f>IF(OR(Sync!$M604="",$Q604="",$Q604="نامعتبر"),"",Sync!$M604)</f>
        <v/>
      </c>
      <c r="O604">
        <f>IF($N604="","",$Q604)</f>
        <v/>
      </c>
      <c r="P604">
        <f>IF($N604="","",LEFT($Q604,4)&amp;MID($Q604,6,2)&amp;RIGHT($Q604,2)&amp;IF(Sync!$K604="","0000",IF(AND(ISNUMBER(Sync!$K604),Sync!$K604&gt;=0,Sync!$K604&lt;1),RIGHT("00"&amp;HOUR(Sync!$K604),2)&amp;RIGHT("00"&amp;MINUTE(Sync!$K604),2),IFERROR(RIGHT("00"&amp;VALUE(LEFT(Sync!$K604,FIND(":",Sync!$K604)-1)),2)&amp;RIGHT("00"&amp;VALUE(MID(Sync!$K604,FIND(":",Sync!$K604)+1,2)),2),"0000")))&amp;"|"&amp;"2"&amp;RIGHT("00000"&amp;599,5))</f>
        <v/>
      </c>
      <c r="Q604">
        <f>IF(Sync!$J604="","",IF(ISNUMBER(Sync!$J604),IF(AND(Sync!$J604&gt;=10000101,Sync!$J604&lt;=99991231),INT(Sync!$J604/10000)&amp;"/"&amp;RIGHT("00"&amp;INT(MOD(Sync!$J604,10000)/100),2)&amp;"/"&amp;RIGHT("00"&amp;MOD(Sync!$J604,100),2),"نامعتبر"),IF(LEN(Sync!$J604)=10,Sync!$J604,"نامعتبر")))</f>
        <v/>
      </c>
      <c r="R604">
        <f>IF($P604="","",COUNTIFS($N$6:$N$2005,$N604,$P$6:$P$2005,"&lt;"&amp;$P604)+COUNTIFS($A$6:$A$1005,$N604,$B$6:$B$1005,"&lt;"&amp;$P604)+1)</f>
        <v/>
      </c>
      <c r="S604">
        <f>IF($N604="","",$N604&amp;"|"&amp;RIGHT("000000"&amp;$R604,6))</f>
        <v/>
      </c>
      <c r="T604">
        <f>IF($N604="","",IF(Sync!$N604="",0,Sync!$N604))</f>
        <v/>
      </c>
      <c r="U604">
        <f>IF($N604="","",IF(Sync!$O604="",0,Sync!$O604))</f>
        <v/>
      </c>
      <c r="V604">
        <f>IF($N604="","",Sync!$L604)</f>
        <v/>
      </c>
      <c r="W604">
        <f>IF($N604="","",Sync!$P604)</f>
        <v/>
      </c>
      <c r="AA604">
        <f>IF($A604="","",IF(COUNTIF($A$6:$A604,$A604)=1,1,0))</f>
        <v/>
      </c>
      <c r="AB604">
        <f>SUM($AA$6:$AA604)</f>
        <v/>
      </c>
      <c r="AC604">
        <f>IFERROR(INDEX($A$6:$A$1005,MATCH(ROW()-5,$AB$6:$AB$1005,0)),"")</f>
        <v/>
      </c>
    </row>
    <row r="605">
      <c r="A605">
        <f>IF(OR(Entry!$B608="",Entry!$E608="",$E605="نامعتبر"),"",Entry!$E608)</f>
        <v/>
      </c>
      <c r="B605">
        <f>IF($A605="","",LEFT($E605,4)&amp;MID($E605,6,2)&amp;RIGHT($E605,2)&amp;$F605&amp;"|"&amp;"1"&amp;RIGHT("00000"&amp;600,5))</f>
        <v/>
      </c>
      <c r="C605">
        <f>IF($B605="","",COUNTIFS($A$6:$A$1005,$A605,$B$6:$B$1005,"&lt;"&amp;$B605)+COUNTIFS($N$6:$N$2005,$A605,$P$6:$P$2005,"&lt;"&amp;$B605)+1)</f>
        <v/>
      </c>
      <c r="D605">
        <f>IF($C605="","",$A605&amp;"|"&amp;RIGHT("000000"&amp;$C605,6))</f>
        <v/>
      </c>
      <c r="E605">
        <f>IF(Entry!$B608="","",IF(ISNUMBER(Entry!$B608),IF(AND(Entry!$B608&gt;=10000101,Entry!$B608&lt;=99991231),INT(Entry!$B608/10000)&amp;"/"&amp;RIGHT("00"&amp;INT(MOD(Entry!$B608,10000)/100),2)&amp;"/"&amp;RIGHT("00"&amp;MOD(Entry!$B608,100),2),"نامعتبر"),IF(LEN(Entry!$B608)=10,Entry!$B608,"نامعتبر")))</f>
        <v/>
      </c>
      <c r="F605">
        <f>IF(Entry!$B608="","",IF(Entry!$C608="","0000",IF(AND(ISNUMBER(Entry!$C608),Entry!$C608&gt;=0,Entry!$C608&lt;1),RIGHT("00"&amp;HOUR(Entry!$C608),2)&amp;RIGHT("00"&amp;MINUTE(Entry!$C608),2),IFERROR(RIGHT("00"&amp;VALUE(LEFT(Entry!$C608,FIND(":",Entry!$C608)-1)),2)&amp;RIGHT("00"&amp;VALUE(MID(Entry!$C608,FIND(":",Entry!$C608)+1,2)),2),"0000"))))</f>
        <v/>
      </c>
      <c r="G605">
        <f>IF($A605="","",Entry!$G608)</f>
        <v/>
      </c>
      <c r="H605">
        <f>IF($A605="","",IF(Entry!$H608="",0,Entry!$H608))</f>
        <v/>
      </c>
      <c r="I605">
        <f>IF($A605="","",IF(Entry!$I608="",0,Entry!$I608))</f>
        <v/>
      </c>
      <c r="J605">
        <f>IF($A605="","",ROUND($H605*$I605,0))</f>
        <v/>
      </c>
      <c r="K605">
        <f>IF($A605="","",Entry!$D608)</f>
        <v/>
      </c>
      <c r="L605">
        <f>IF($A605="","",Entry!$L608)</f>
        <v/>
      </c>
      <c r="N605">
        <f>IF(OR(Sync!$M605="",$Q605="",$Q605="نامعتبر"),"",Sync!$M605)</f>
        <v/>
      </c>
      <c r="O605">
        <f>IF($N605="","",$Q605)</f>
        <v/>
      </c>
      <c r="P605">
        <f>IF($N605="","",LEFT($Q605,4)&amp;MID($Q605,6,2)&amp;RIGHT($Q605,2)&amp;IF(Sync!$K605="","0000",IF(AND(ISNUMBER(Sync!$K605),Sync!$K605&gt;=0,Sync!$K605&lt;1),RIGHT("00"&amp;HOUR(Sync!$K605),2)&amp;RIGHT("00"&amp;MINUTE(Sync!$K605),2),IFERROR(RIGHT("00"&amp;VALUE(LEFT(Sync!$K605,FIND(":",Sync!$K605)-1)),2)&amp;RIGHT("00"&amp;VALUE(MID(Sync!$K605,FIND(":",Sync!$K605)+1,2)),2),"0000")))&amp;"|"&amp;"2"&amp;RIGHT("00000"&amp;600,5))</f>
        <v/>
      </c>
      <c r="Q605">
        <f>IF(Sync!$J605="","",IF(ISNUMBER(Sync!$J605),IF(AND(Sync!$J605&gt;=10000101,Sync!$J605&lt;=99991231),INT(Sync!$J605/10000)&amp;"/"&amp;RIGHT("00"&amp;INT(MOD(Sync!$J605,10000)/100),2)&amp;"/"&amp;RIGHT("00"&amp;MOD(Sync!$J605,100),2),"نامعتبر"),IF(LEN(Sync!$J605)=10,Sync!$J605,"نامعتبر")))</f>
        <v/>
      </c>
      <c r="R605">
        <f>IF($P605="","",COUNTIFS($N$6:$N$2005,$N605,$P$6:$P$2005,"&lt;"&amp;$P605)+COUNTIFS($A$6:$A$1005,$N605,$B$6:$B$1005,"&lt;"&amp;$P605)+1)</f>
        <v/>
      </c>
      <c r="S605">
        <f>IF($N605="","",$N605&amp;"|"&amp;RIGHT("000000"&amp;$R605,6))</f>
        <v/>
      </c>
      <c r="T605">
        <f>IF($N605="","",IF(Sync!$N605="",0,Sync!$N605))</f>
        <v/>
      </c>
      <c r="U605">
        <f>IF($N605="","",IF(Sync!$O605="",0,Sync!$O605))</f>
        <v/>
      </c>
      <c r="V605">
        <f>IF($N605="","",Sync!$L605)</f>
        <v/>
      </c>
      <c r="W605">
        <f>IF($N605="","",Sync!$P605)</f>
        <v/>
      </c>
      <c r="AA605">
        <f>IF($A605="","",IF(COUNTIF($A$6:$A605,$A605)=1,1,0))</f>
        <v/>
      </c>
      <c r="AB605">
        <f>SUM($AA$6:$AA605)</f>
        <v/>
      </c>
      <c r="AC605">
        <f>IFERROR(INDEX($A$6:$A$1005,MATCH(ROW()-5,$AB$6:$AB$1005,0)),"")</f>
        <v/>
      </c>
    </row>
    <row r="606">
      <c r="A606">
        <f>IF(OR(Entry!$B609="",Entry!$E609="",$E606="نامعتبر"),"",Entry!$E609)</f>
        <v/>
      </c>
      <c r="B606">
        <f>IF($A606="","",LEFT($E606,4)&amp;MID($E606,6,2)&amp;RIGHT($E606,2)&amp;$F606&amp;"|"&amp;"1"&amp;RIGHT("00000"&amp;601,5))</f>
        <v/>
      </c>
      <c r="C606">
        <f>IF($B606="","",COUNTIFS($A$6:$A$1005,$A606,$B$6:$B$1005,"&lt;"&amp;$B606)+COUNTIFS($N$6:$N$2005,$A606,$P$6:$P$2005,"&lt;"&amp;$B606)+1)</f>
        <v/>
      </c>
      <c r="D606">
        <f>IF($C606="","",$A606&amp;"|"&amp;RIGHT("000000"&amp;$C606,6))</f>
        <v/>
      </c>
      <c r="E606">
        <f>IF(Entry!$B609="","",IF(ISNUMBER(Entry!$B609),IF(AND(Entry!$B609&gt;=10000101,Entry!$B609&lt;=99991231),INT(Entry!$B609/10000)&amp;"/"&amp;RIGHT("00"&amp;INT(MOD(Entry!$B609,10000)/100),2)&amp;"/"&amp;RIGHT("00"&amp;MOD(Entry!$B609,100),2),"نامعتبر"),IF(LEN(Entry!$B609)=10,Entry!$B609,"نامعتبر")))</f>
        <v/>
      </c>
      <c r="F606">
        <f>IF(Entry!$B609="","",IF(Entry!$C609="","0000",IF(AND(ISNUMBER(Entry!$C609),Entry!$C609&gt;=0,Entry!$C609&lt;1),RIGHT("00"&amp;HOUR(Entry!$C609),2)&amp;RIGHT("00"&amp;MINUTE(Entry!$C609),2),IFERROR(RIGHT("00"&amp;VALUE(LEFT(Entry!$C609,FIND(":",Entry!$C609)-1)),2)&amp;RIGHT("00"&amp;VALUE(MID(Entry!$C609,FIND(":",Entry!$C609)+1,2)),2),"0000"))))</f>
        <v/>
      </c>
      <c r="G606">
        <f>IF($A606="","",Entry!$G609)</f>
        <v/>
      </c>
      <c r="H606">
        <f>IF($A606="","",IF(Entry!$H609="",0,Entry!$H609))</f>
        <v/>
      </c>
      <c r="I606">
        <f>IF($A606="","",IF(Entry!$I609="",0,Entry!$I609))</f>
        <v/>
      </c>
      <c r="J606">
        <f>IF($A606="","",ROUND($H606*$I606,0))</f>
        <v/>
      </c>
      <c r="K606">
        <f>IF($A606="","",Entry!$D609)</f>
        <v/>
      </c>
      <c r="L606">
        <f>IF($A606="","",Entry!$L609)</f>
        <v/>
      </c>
      <c r="N606">
        <f>IF(OR(Sync!$M606="",$Q606="",$Q606="نامعتبر"),"",Sync!$M606)</f>
        <v/>
      </c>
      <c r="O606">
        <f>IF($N606="","",$Q606)</f>
        <v/>
      </c>
      <c r="P606">
        <f>IF($N606="","",LEFT($Q606,4)&amp;MID($Q606,6,2)&amp;RIGHT($Q606,2)&amp;IF(Sync!$K606="","0000",IF(AND(ISNUMBER(Sync!$K606),Sync!$K606&gt;=0,Sync!$K606&lt;1),RIGHT("00"&amp;HOUR(Sync!$K606),2)&amp;RIGHT("00"&amp;MINUTE(Sync!$K606),2),IFERROR(RIGHT("00"&amp;VALUE(LEFT(Sync!$K606,FIND(":",Sync!$K606)-1)),2)&amp;RIGHT("00"&amp;VALUE(MID(Sync!$K606,FIND(":",Sync!$K606)+1,2)),2),"0000")))&amp;"|"&amp;"2"&amp;RIGHT("00000"&amp;601,5))</f>
        <v/>
      </c>
      <c r="Q606">
        <f>IF(Sync!$J606="","",IF(ISNUMBER(Sync!$J606),IF(AND(Sync!$J606&gt;=10000101,Sync!$J606&lt;=99991231),INT(Sync!$J606/10000)&amp;"/"&amp;RIGHT("00"&amp;INT(MOD(Sync!$J606,10000)/100),2)&amp;"/"&amp;RIGHT("00"&amp;MOD(Sync!$J606,100),2),"نامعتبر"),IF(LEN(Sync!$J606)=10,Sync!$J606,"نامعتبر")))</f>
        <v/>
      </c>
      <c r="R606">
        <f>IF($P606="","",COUNTIFS($N$6:$N$2005,$N606,$P$6:$P$2005,"&lt;"&amp;$P606)+COUNTIFS($A$6:$A$1005,$N606,$B$6:$B$1005,"&lt;"&amp;$P606)+1)</f>
        <v/>
      </c>
      <c r="S606">
        <f>IF($N606="","",$N606&amp;"|"&amp;RIGHT("000000"&amp;$R606,6))</f>
        <v/>
      </c>
      <c r="T606">
        <f>IF($N606="","",IF(Sync!$N606="",0,Sync!$N606))</f>
        <v/>
      </c>
      <c r="U606">
        <f>IF($N606="","",IF(Sync!$O606="",0,Sync!$O606))</f>
        <v/>
      </c>
      <c r="V606">
        <f>IF($N606="","",Sync!$L606)</f>
        <v/>
      </c>
      <c r="W606">
        <f>IF($N606="","",Sync!$P606)</f>
        <v/>
      </c>
      <c r="AA606">
        <f>IF($A606="","",IF(COUNTIF($A$6:$A606,$A606)=1,1,0))</f>
        <v/>
      </c>
      <c r="AB606">
        <f>SUM($AA$6:$AA606)</f>
        <v/>
      </c>
      <c r="AC606">
        <f>IFERROR(INDEX($A$6:$A$1005,MATCH(ROW()-5,$AB$6:$AB$1005,0)),"")</f>
        <v/>
      </c>
    </row>
    <row r="607">
      <c r="A607">
        <f>IF(OR(Entry!$B610="",Entry!$E610="",$E607="نامعتبر"),"",Entry!$E610)</f>
        <v/>
      </c>
      <c r="B607">
        <f>IF($A607="","",LEFT($E607,4)&amp;MID($E607,6,2)&amp;RIGHT($E607,2)&amp;$F607&amp;"|"&amp;"1"&amp;RIGHT("00000"&amp;602,5))</f>
        <v/>
      </c>
      <c r="C607">
        <f>IF($B607="","",COUNTIFS($A$6:$A$1005,$A607,$B$6:$B$1005,"&lt;"&amp;$B607)+COUNTIFS($N$6:$N$2005,$A607,$P$6:$P$2005,"&lt;"&amp;$B607)+1)</f>
        <v/>
      </c>
      <c r="D607">
        <f>IF($C607="","",$A607&amp;"|"&amp;RIGHT("000000"&amp;$C607,6))</f>
        <v/>
      </c>
      <c r="E607">
        <f>IF(Entry!$B610="","",IF(ISNUMBER(Entry!$B610),IF(AND(Entry!$B610&gt;=10000101,Entry!$B610&lt;=99991231),INT(Entry!$B610/10000)&amp;"/"&amp;RIGHT("00"&amp;INT(MOD(Entry!$B610,10000)/100),2)&amp;"/"&amp;RIGHT("00"&amp;MOD(Entry!$B610,100),2),"نامعتبر"),IF(LEN(Entry!$B610)=10,Entry!$B610,"نامعتبر")))</f>
        <v/>
      </c>
      <c r="F607">
        <f>IF(Entry!$B610="","",IF(Entry!$C610="","0000",IF(AND(ISNUMBER(Entry!$C610),Entry!$C610&gt;=0,Entry!$C610&lt;1),RIGHT("00"&amp;HOUR(Entry!$C610),2)&amp;RIGHT("00"&amp;MINUTE(Entry!$C610),2),IFERROR(RIGHT("00"&amp;VALUE(LEFT(Entry!$C610,FIND(":",Entry!$C610)-1)),2)&amp;RIGHT("00"&amp;VALUE(MID(Entry!$C610,FIND(":",Entry!$C610)+1,2)),2),"0000"))))</f>
        <v/>
      </c>
      <c r="G607">
        <f>IF($A607="","",Entry!$G610)</f>
        <v/>
      </c>
      <c r="H607">
        <f>IF($A607="","",IF(Entry!$H610="",0,Entry!$H610))</f>
        <v/>
      </c>
      <c r="I607">
        <f>IF($A607="","",IF(Entry!$I610="",0,Entry!$I610))</f>
        <v/>
      </c>
      <c r="J607">
        <f>IF($A607="","",ROUND($H607*$I607,0))</f>
        <v/>
      </c>
      <c r="K607">
        <f>IF($A607="","",Entry!$D610)</f>
        <v/>
      </c>
      <c r="L607">
        <f>IF($A607="","",Entry!$L610)</f>
        <v/>
      </c>
      <c r="N607">
        <f>IF(OR(Sync!$M607="",$Q607="",$Q607="نامعتبر"),"",Sync!$M607)</f>
        <v/>
      </c>
      <c r="O607">
        <f>IF($N607="","",$Q607)</f>
        <v/>
      </c>
      <c r="P607">
        <f>IF($N607="","",LEFT($Q607,4)&amp;MID($Q607,6,2)&amp;RIGHT($Q607,2)&amp;IF(Sync!$K607="","0000",IF(AND(ISNUMBER(Sync!$K607),Sync!$K607&gt;=0,Sync!$K607&lt;1),RIGHT("00"&amp;HOUR(Sync!$K607),2)&amp;RIGHT("00"&amp;MINUTE(Sync!$K607),2),IFERROR(RIGHT("00"&amp;VALUE(LEFT(Sync!$K607,FIND(":",Sync!$K607)-1)),2)&amp;RIGHT("00"&amp;VALUE(MID(Sync!$K607,FIND(":",Sync!$K607)+1,2)),2),"0000")))&amp;"|"&amp;"2"&amp;RIGHT("00000"&amp;602,5))</f>
        <v/>
      </c>
      <c r="Q607">
        <f>IF(Sync!$J607="","",IF(ISNUMBER(Sync!$J607),IF(AND(Sync!$J607&gt;=10000101,Sync!$J607&lt;=99991231),INT(Sync!$J607/10000)&amp;"/"&amp;RIGHT("00"&amp;INT(MOD(Sync!$J607,10000)/100),2)&amp;"/"&amp;RIGHT("00"&amp;MOD(Sync!$J607,100),2),"نامعتبر"),IF(LEN(Sync!$J607)=10,Sync!$J607,"نامعتبر")))</f>
        <v/>
      </c>
      <c r="R607">
        <f>IF($P607="","",COUNTIFS($N$6:$N$2005,$N607,$P$6:$P$2005,"&lt;"&amp;$P607)+COUNTIFS($A$6:$A$1005,$N607,$B$6:$B$1005,"&lt;"&amp;$P607)+1)</f>
        <v/>
      </c>
      <c r="S607">
        <f>IF($N607="","",$N607&amp;"|"&amp;RIGHT("000000"&amp;$R607,6))</f>
        <v/>
      </c>
      <c r="T607">
        <f>IF($N607="","",IF(Sync!$N607="",0,Sync!$N607))</f>
        <v/>
      </c>
      <c r="U607">
        <f>IF($N607="","",IF(Sync!$O607="",0,Sync!$O607))</f>
        <v/>
      </c>
      <c r="V607">
        <f>IF($N607="","",Sync!$L607)</f>
        <v/>
      </c>
      <c r="W607">
        <f>IF($N607="","",Sync!$P607)</f>
        <v/>
      </c>
      <c r="AA607">
        <f>IF($A607="","",IF(COUNTIF($A$6:$A607,$A607)=1,1,0))</f>
        <v/>
      </c>
      <c r="AB607">
        <f>SUM($AA$6:$AA607)</f>
        <v/>
      </c>
      <c r="AC607">
        <f>IFERROR(INDEX($A$6:$A$1005,MATCH(ROW()-5,$AB$6:$AB$1005,0)),"")</f>
        <v/>
      </c>
    </row>
    <row r="608">
      <c r="A608">
        <f>IF(OR(Entry!$B611="",Entry!$E611="",$E608="نامعتبر"),"",Entry!$E611)</f>
        <v/>
      </c>
      <c r="B608">
        <f>IF($A608="","",LEFT($E608,4)&amp;MID($E608,6,2)&amp;RIGHT($E608,2)&amp;$F608&amp;"|"&amp;"1"&amp;RIGHT("00000"&amp;603,5))</f>
        <v/>
      </c>
      <c r="C608">
        <f>IF($B608="","",COUNTIFS($A$6:$A$1005,$A608,$B$6:$B$1005,"&lt;"&amp;$B608)+COUNTIFS($N$6:$N$2005,$A608,$P$6:$P$2005,"&lt;"&amp;$B608)+1)</f>
        <v/>
      </c>
      <c r="D608">
        <f>IF($C608="","",$A608&amp;"|"&amp;RIGHT("000000"&amp;$C608,6))</f>
        <v/>
      </c>
      <c r="E608">
        <f>IF(Entry!$B611="","",IF(ISNUMBER(Entry!$B611),IF(AND(Entry!$B611&gt;=10000101,Entry!$B611&lt;=99991231),INT(Entry!$B611/10000)&amp;"/"&amp;RIGHT("00"&amp;INT(MOD(Entry!$B611,10000)/100),2)&amp;"/"&amp;RIGHT("00"&amp;MOD(Entry!$B611,100),2),"نامعتبر"),IF(LEN(Entry!$B611)=10,Entry!$B611,"نامعتبر")))</f>
        <v/>
      </c>
      <c r="F608">
        <f>IF(Entry!$B611="","",IF(Entry!$C611="","0000",IF(AND(ISNUMBER(Entry!$C611),Entry!$C611&gt;=0,Entry!$C611&lt;1),RIGHT("00"&amp;HOUR(Entry!$C611),2)&amp;RIGHT("00"&amp;MINUTE(Entry!$C611),2),IFERROR(RIGHT("00"&amp;VALUE(LEFT(Entry!$C611,FIND(":",Entry!$C611)-1)),2)&amp;RIGHT("00"&amp;VALUE(MID(Entry!$C611,FIND(":",Entry!$C611)+1,2)),2),"0000"))))</f>
        <v/>
      </c>
      <c r="G608">
        <f>IF($A608="","",Entry!$G611)</f>
        <v/>
      </c>
      <c r="H608">
        <f>IF($A608="","",IF(Entry!$H611="",0,Entry!$H611))</f>
        <v/>
      </c>
      <c r="I608">
        <f>IF($A608="","",IF(Entry!$I611="",0,Entry!$I611))</f>
        <v/>
      </c>
      <c r="J608">
        <f>IF($A608="","",ROUND($H608*$I608,0))</f>
        <v/>
      </c>
      <c r="K608">
        <f>IF($A608="","",Entry!$D611)</f>
        <v/>
      </c>
      <c r="L608">
        <f>IF($A608="","",Entry!$L611)</f>
        <v/>
      </c>
      <c r="N608">
        <f>IF(OR(Sync!$M608="",$Q608="",$Q608="نامعتبر"),"",Sync!$M608)</f>
        <v/>
      </c>
      <c r="O608">
        <f>IF($N608="","",$Q608)</f>
        <v/>
      </c>
      <c r="P608">
        <f>IF($N608="","",LEFT($Q608,4)&amp;MID($Q608,6,2)&amp;RIGHT($Q608,2)&amp;IF(Sync!$K608="","0000",IF(AND(ISNUMBER(Sync!$K608),Sync!$K608&gt;=0,Sync!$K608&lt;1),RIGHT("00"&amp;HOUR(Sync!$K608),2)&amp;RIGHT("00"&amp;MINUTE(Sync!$K608),2),IFERROR(RIGHT("00"&amp;VALUE(LEFT(Sync!$K608,FIND(":",Sync!$K608)-1)),2)&amp;RIGHT("00"&amp;VALUE(MID(Sync!$K608,FIND(":",Sync!$K608)+1,2)),2),"0000")))&amp;"|"&amp;"2"&amp;RIGHT("00000"&amp;603,5))</f>
        <v/>
      </c>
      <c r="Q608">
        <f>IF(Sync!$J608="","",IF(ISNUMBER(Sync!$J608),IF(AND(Sync!$J608&gt;=10000101,Sync!$J608&lt;=99991231),INT(Sync!$J608/10000)&amp;"/"&amp;RIGHT("00"&amp;INT(MOD(Sync!$J608,10000)/100),2)&amp;"/"&amp;RIGHT("00"&amp;MOD(Sync!$J608,100),2),"نامعتبر"),IF(LEN(Sync!$J608)=10,Sync!$J608,"نامعتبر")))</f>
        <v/>
      </c>
      <c r="R608">
        <f>IF($P608="","",COUNTIFS($N$6:$N$2005,$N608,$P$6:$P$2005,"&lt;"&amp;$P608)+COUNTIFS($A$6:$A$1005,$N608,$B$6:$B$1005,"&lt;"&amp;$P608)+1)</f>
        <v/>
      </c>
      <c r="S608">
        <f>IF($N608="","",$N608&amp;"|"&amp;RIGHT("000000"&amp;$R608,6))</f>
        <v/>
      </c>
      <c r="T608">
        <f>IF($N608="","",IF(Sync!$N608="",0,Sync!$N608))</f>
        <v/>
      </c>
      <c r="U608">
        <f>IF($N608="","",IF(Sync!$O608="",0,Sync!$O608))</f>
        <v/>
      </c>
      <c r="V608">
        <f>IF($N608="","",Sync!$L608)</f>
        <v/>
      </c>
      <c r="W608">
        <f>IF($N608="","",Sync!$P608)</f>
        <v/>
      </c>
      <c r="AA608">
        <f>IF($A608="","",IF(COUNTIF($A$6:$A608,$A608)=1,1,0))</f>
        <v/>
      </c>
      <c r="AB608">
        <f>SUM($AA$6:$AA608)</f>
        <v/>
      </c>
      <c r="AC608">
        <f>IFERROR(INDEX($A$6:$A$1005,MATCH(ROW()-5,$AB$6:$AB$1005,0)),"")</f>
        <v/>
      </c>
    </row>
    <row r="609">
      <c r="A609">
        <f>IF(OR(Entry!$B612="",Entry!$E612="",$E609="نامعتبر"),"",Entry!$E612)</f>
        <v/>
      </c>
      <c r="B609">
        <f>IF($A609="","",LEFT($E609,4)&amp;MID($E609,6,2)&amp;RIGHT($E609,2)&amp;$F609&amp;"|"&amp;"1"&amp;RIGHT("00000"&amp;604,5))</f>
        <v/>
      </c>
      <c r="C609">
        <f>IF($B609="","",COUNTIFS($A$6:$A$1005,$A609,$B$6:$B$1005,"&lt;"&amp;$B609)+COUNTIFS($N$6:$N$2005,$A609,$P$6:$P$2005,"&lt;"&amp;$B609)+1)</f>
        <v/>
      </c>
      <c r="D609">
        <f>IF($C609="","",$A609&amp;"|"&amp;RIGHT("000000"&amp;$C609,6))</f>
        <v/>
      </c>
      <c r="E609">
        <f>IF(Entry!$B612="","",IF(ISNUMBER(Entry!$B612),IF(AND(Entry!$B612&gt;=10000101,Entry!$B612&lt;=99991231),INT(Entry!$B612/10000)&amp;"/"&amp;RIGHT("00"&amp;INT(MOD(Entry!$B612,10000)/100),2)&amp;"/"&amp;RIGHT("00"&amp;MOD(Entry!$B612,100),2),"نامعتبر"),IF(LEN(Entry!$B612)=10,Entry!$B612,"نامعتبر")))</f>
        <v/>
      </c>
      <c r="F609">
        <f>IF(Entry!$B612="","",IF(Entry!$C612="","0000",IF(AND(ISNUMBER(Entry!$C612),Entry!$C612&gt;=0,Entry!$C612&lt;1),RIGHT("00"&amp;HOUR(Entry!$C612),2)&amp;RIGHT("00"&amp;MINUTE(Entry!$C612),2),IFERROR(RIGHT("00"&amp;VALUE(LEFT(Entry!$C612,FIND(":",Entry!$C612)-1)),2)&amp;RIGHT("00"&amp;VALUE(MID(Entry!$C612,FIND(":",Entry!$C612)+1,2)),2),"0000"))))</f>
        <v/>
      </c>
      <c r="G609">
        <f>IF($A609="","",Entry!$G612)</f>
        <v/>
      </c>
      <c r="H609">
        <f>IF($A609="","",IF(Entry!$H612="",0,Entry!$H612))</f>
        <v/>
      </c>
      <c r="I609">
        <f>IF($A609="","",IF(Entry!$I612="",0,Entry!$I612))</f>
        <v/>
      </c>
      <c r="J609">
        <f>IF($A609="","",ROUND($H609*$I609,0))</f>
        <v/>
      </c>
      <c r="K609">
        <f>IF($A609="","",Entry!$D612)</f>
        <v/>
      </c>
      <c r="L609">
        <f>IF($A609="","",Entry!$L612)</f>
        <v/>
      </c>
      <c r="N609">
        <f>IF(OR(Sync!$M609="",$Q609="",$Q609="نامعتبر"),"",Sync!$M609)</f>
        <v/>
      </c>
      <c r="O609">
        <f>IF($N609="","",$Q609)</f>
        <v/>
      </c>
      <c r="P609">
        <f>IF($N609="","",LEFT($Q609,4)&amp;MID($Q609,6,2)&amp;RIGHT($Q609,2)&amp;IF(Sync!$K609="","0000",IF(AND(ISNUMBER(Sync!$K609),Sync!$K609&gt;=0,Sync!$K609&lt;1),RIGHT("00"&amp;HOUR(Sync!$K609),2)&amp;RIGHT("00"&amp;MINUTE(Sync!$K609),2),IFERROR(RIGHT("00"&amp;VALUE(LEFT(Sync!$K609,FIND(":",Sync!$K609)-1)),2)&amp;RIGHT("00"&amp;VALUE(MID(Sync!$K609,FIND(":",Sync!$K609)+1,2)),2),"0000")))&amp;"|"&amp;"2"&amp;RIGHT("00000"&amp;604,5))</f>
        <v/>
      </c>
      <c r="Q609">
        <f>IF(Sync!$J609="","",IF(ISNUMBER(Sync!$J609),IF(AND(Sync!$J609&gt;=10000101,Sync!$J609&lt;=99991231),INT(Sync!$J609/10000)&amp;"/"&amp;RIGHT("00"&amp;INT(MOD(Sync!$J609,10000)/100),2)&amp;"/"&amp;RIGHT("00"&amp;MOD(Sync!$J609,100),2),"نامعتبر"),IF(LEN(Sync!$J609)=10,Sync!$J609,"نامعتبر")))</f>
        <v/>
      </c>
      <c r="R609">
        <f>IF($P609="","",COUNTIFS($N$6:$N$2005,$N609,$P$6:$P$2005,"&lt;"&amp;$P609)+COUNTIFS($A$6:$A$1005,$N609,$B$6:$B$1005,"&lt;"&amp;$P609)+1)</f>
        <v/>
      </c>
      <c r="S609">
        <f>IF($N609="","",$N609&amp;"|"&amp;RIGHT("000000"&amp;$R609,6))</f>
        <v/>
      </c>
      <c r="T609">
        <f>IF($N609="","",IF(Sync!$N609="",0,Sync!$N609))</f>
        <v/>
      </c>
      <c r="U609">
        <f>IF($N609="","",IF(Sync!$O609="",0,Sync!$O609))</f>
        <v/>
      </c>
      <c r="V609">
        <f>IF($N609="","",Sync!$L609)</f>
        <v/>
      </c>
      <c r="W609">
        <f>IF($N609="","",Sync!$P609)</f>
        <v/>
      </c>
      <c r="AA609">
        <f>IF($A609="","",IF(COUNTIF($A$6:$A609,$A609)=1,1,0))</f>
        <v/>
      </c>
      <c r="AB609">
        <f>SUM($AA$6:$AA609)</f>
        <v/>
      </c>
      <c r="AC609">
        <f>IFERROR(INDEX($A$6:$A$1005,MATCH(ROW()-5,$AB$6:$AB$1005,0)),"")</f>
        <v/>
      </c>
    </row>
    <row r="610">
      <c r="A610">
        <f>IF(OR(Entry!$B613="",Entry!$E613="",$E610="نامعتبر"),"",Entry!$E613)</f>
        <v/>
      </c>
      <c r="B610">
        <f>IF($A610="","",LEFT($E610,4)&amp;MID($E610,6,2)&amp;RIGHT($E610,2)&amp;$F610&amp;"|"&amp;"1"&amp;RIGHT("00000"&amp;605,5))</f>
        <v/>
      </c>
      <c r="C610">
        <f>IF($B610="","",COUNTIFS($A$6:$A$1005,$A610,$B$6:$B$1005,"&lt;"&amp;$B610)+COUNTIFS($N$6:$N$2005,$A610,$P$6:$P$2005,"&lt;"&amp;$B610)+1)</f>
        <v/>
      </c>
      <c r="D610">
        <f>IF($C610="","",$A610&amp;"|"&amp;RIGHT("000000"&amp;$C610,6))</f>
        <v/>
      </c>
      <c r="E610">
        <f>IF(Entry!$B613="","",IF(ISNUMBER(Entry!$B613),IF(AND(Entry!$B613&gt;=10000101,Entry!$B613&lt;=99991231),INT(Entry!$B613/10000)&amp;"/"&amp;RIGHT("00"&amp;INT(MOD(Entry!$B613,10000)/100),2)&amp;"/"&amp;RIGHT("00"&amp;MOD(Entry!$B613,100),2),"نامعتبر"),IF(LEN(Entry!$B613)=10,Entry!$B613,"نامعتبر")))</f>
        <v/>
      </c>
      <c r="F610">
        <f>IF(Entry!$B613="","",IF(Entry!$C613="","0000",IF(AND(ISNUMBER(Entry!$C613),Entry!$C613&gt;=0,Entry!$C613&lt;1),RIGHT("00"&amp;HOUR(Entry!$C613),2)&amp;RIGHT("00"&amp;MINUTE(Entry!$C613),2),IFERROR(RIGHT("00"&amp;VALUE(LEFT(Entry!$C613,FIND(":",Entry!$C613)-1)),2)&amp;RIGHT("00"&amp;VALUE(MID(Entry!$C613,FIND(":",Entry!$C613)+1,2)),2),"0000"))))</f>
        <v/>
      </c>
      <c r="G610">
        <f>IF($A610="","",Entry!$G613)</f>
        <v/>
      </c>
      <c r="H610">
        <f>IF($A610="","",IF(Entry!$H613="",0,Entry!$H613))</f>
        <v/>
      </c>
      <c r="I610">
        <f>IF($A610="","",IF(Entry!$I613="",0,Entry!$I613))</f>
        <v/>
      </c>
      <c r="J610">
        <f>IF($A610="","",ROUND($H610*$I610,0))</f>
        <v/>
      </c>
      <c r="K610">
        <f>IF($A610="","",Entry!$D613)</f>
        <v/>
      </c>
      <c r="L610">
        <f>IF($A610="","",Entry!$L613)</f>
        <v/>
      </c>
      <c r="N610">
        <f>IF(OR(Sync!$M610="",$Q610="",$Q610="نامعتبر"),"",Sync!$M610)</f>
        <v/>
      </c>
      <c r="O610">
        <f>IF($N610="","",$Q610)</f>
        <v/>
      </c>
      <c r="P610">
        <f>IF($N610="","",LEFT($Q610,4)&amp;MID($Q610,6,2)&amp;RIGHT($Q610,2)&amp;IF(Sync!$K610="","0000",IF(AND(ISNUMBER(Sync!$K610),Sync!$K610&gt;=0,Sync!$K610&lt;1),RIGHT("00"&amp;HOUR(Sync!$K610),2)&amp;RIGHT("00"&amp;MINUTE(Sync!$K610),2),IFERROR(RIGHT("00"&amp;VALUE(LEFT(Sync!$K610,FIND(":",Sync!$K610)-1)),2)&amp;RIGHT("00"&amp;VALUE(MID(Sync!$K610,FIND(":",Sync!$K610)+1,2)),2),"0000")))&amp;"|"&amp;"2"&amp;RIGHT("00000"&amp;605,5))</f>
        <v/>
      </c>
      <c r="Q610">
        <f>IF(Sync!$J610="","",IF(ISNUMBER(Sync!$J610),IF(AND(Sync!$J610&gt;=10000101,Sync!$J610&lt;=99991231),INT(Sync!$J610/10000)&amp;"/"&amp;RIGHT("00"&amp;INT(MOD(Sync!$J610,10000)/100),2)&amp;"/"&amp;RIGHT("00"&amp;MOD(Sync!$J610,100),2),"نامعتبر"),IF(LEN(Sync!$J610)=10,Sync!$J610,"نامعتبر")))</f>
        <v/>
      </c>
      <c r="R610">
        <f>IF($P610="","",COUNTIFS($N$6:$N$2005,$N610,$P$6:$P$2005,"&lt;"&amp;$P610)+COUNTIFS($A$6:$A$1005,$N610,$B$6:$B$1005,"&lt;"&amp;$P610)+1)</f>
        <v/>
      </c>
      <c r="S610">
        <f>IF($N610="","",$N610&amp;"|"&amp;RIGHT("000000"&amp;$R610,6))</f>
        <v/>
      </c>
      <c r="T610">
        <f>IF($N610="","",IF(Sync!$N610="",0,Sync!$N610))</f>
        <v/>
      </c>
      <c r="U610">
        <f>IF($N610="","",IF(Sync!$O610="",0,Sync!$O610))</f>
        <v/>
      </c>
      <c r="V610">
        <f>IF($N610="","",Sync!$L610)</f>
        <v/>
      </c>
      <c r="W610">
        <f>IF($N610="","",Sync!$P610)</f>
        <v/>
      </c>
      <c r="AA610">
        <f>IF($A610="","",IF(COUNTIF($A$6:$A610,$A610)=1,1,0))</f>
        <v/>
      </c>
      <c r="AB610">
        <f>SUM($AA$6:$AA610)</f>
        <v/>
      </c>
      <c r="AC610">
        <f>IFERROR(INDEX($A$6:$A$1005,MATCH(ROW()-5,$AB$6:$AB$1005,0)),"")</f>
        <v/>
      </c>
    </row>
    <row r="611">
      <c r="A611">
        <f>IF(OR(Entry!$B614="",Entry!$E614="",$E611="نامعتبر"),"",Entry!$E614)</f>
        <v/>
      </c>
      <c r="B611">
        <f>IF($A611="","",LEFT($E611,4)&amp;MID($E611,6,2)&amp;RIGHT($E611,2)&amp;$F611&amp;"|"&amp;"1"&amp;RIGHT("00000"&amp;606,5))</f>
        <v/>
      </c>
      <c r="C611">
        <f>IF($B611="","",COUNTIFS($A$6:$A$1005,$A611,$B$6:$B$1005,"&lt;"&amp;$B611)+COUNTIFS($N$6:$N$2005,$A611,$P$6:$P$2005,"&lt;"&amp;$B611)+1)</f>
        <v/>
      </c>
      <c r="D611">
        <f>IF($C611="","",$A611&amp;"|"&amp;RIGHT("000000"&amp;$C611,6))</f>
        <v/>
      </c>
      <c r="E611">
        <f>IF(Entry!$B614="","",IF(ISNUMBER(Entry!$B614),IF(AND(Entry!$B614&gt;=10000101,Entry!$B614&lt;=99991231),INT(Entry!$B614/10000)&amp;"/"&amp;RIGHT("00"&amp;INT(MOD(Entry!$B614,10000)/100),2)&amp;"/"&amp;RIGHT("00"&amp;MOD(Entry!$B614,100),2),"نامعتبر"),IF(LEN(Entry!$B614)=10,Entry!$B614,"نامعتبر")))</f>
        <v/>
      </c>
      <c r="F611">
        <f>IF(Entry!$B614="","",IF(Entry!$C614="","0000",IF(AND(ISNUMBER(Entry!$C614),Entry!$C614&gt;=0,Entry!$C614&lt;1),RIGHT("00"&amp;HOUR(Entry!$C614),2)&amp;RIGHT("00"&amp;MINUTE(Entry!$C614),2),IFERROR(RIGHT("00"&amp;VALUE(LEFT(Entry!$C614,FIND(":",Entry!$C614)-1)),2)&amp;RIGHT("00"&amp;VALUE(MID(Entry!$C614,FIND(":",Entry!$C614)+1,2)),2),"0000"))))</f>
        <v/>
      </c>
      <c r="G611">
        <f>IF($A611="","",Entry!$G614)</f>
        <v/>
      </c>
      <c r="H611">
        <f>IF($A611="","",IF(Entry!$H614="",0,Entry!$H614))</f>
        <v/>
      </c>
      <c r="I611">
        <f>IF($A611="","",IF(Entry!$I614="",0,Entry!$I614))</f>
        <v/>
      </c>
      <c r="J611">
        <f>IF($A611="","",ROUND($H611*$I611,0))</f>
        <v/>
      </c>
      <c r="K611">
        <f>IF($A611="","",Entry!$D614)</f>
        <v/>
      </c>
      <c r="L611">
        <f>IF($A611="","",Entry!$L614)</f>
        <v/>
      </c>
      <c r="N611">
        <f>IF(OR(Sync!$M611="",$Q611="",$Q611="نامعتبر"),"",Sync!$M611)</f>
        <v/>
      </c>
      <c r="O611">
        <f>IF($N611="","",$Q611)</f>
        <v/>
      </c>
      <c r="P611">
        <f>IF($N611="","",LEFT($Q611,4)&amp;MID($Q611,6,2)&amp;RIGHT($Q611,2)&amp;IF(Sync!$K611="","0000",IF(AND(ISNUMBER(Sync!$K611),Sync!$K611&gt;=0,Sync!$K611&lt;1),RIGHT("00"&amp;HOUR(Sync!$K611),2)&amp;RIGHT("00"&amp;MINUTE(Sync!$K611),2),IFERROR(RIGHT("00"&amp;VALUE(LEFT(Sync!$K611,FIND(":",Sync!$K611)-1)),2)&amp;RIGHT("00"&amp;VALUE(MID(Sync!$K611,FIND(":",Sync!$K611)+1,2)),2),"0000")))&amp;"|"&amp;"2"&amp;RIGHT("00000"&amp;606,5))</f>
        <v/>
      </c>
      <c r="Q611">
        <f>IF(Sync!$J611="","",IF(ISNUMBER(Sync!$J611),IF(AND(Sync!$J611&gt;=10000101,Sync!$J611&lt;=99991231),INT(Sync!$J611/10000)&amp;"/"&amp;RIGHT("00"&amp;INT(MOD(Sync!$J611,10000)/100),2)&amp;"/"&amp;RIGHT("00"&amp;MOD(Sync!$J611,100),2),"نامعتبر"),IF(LEN(Sync!$J611)=10,Sync!$J611,"نامعتبر")))</f>
        <v/>
      </c>
      <c r="R611">
        <f>IF($P611="","",COUNTIFS($N$6:$N$2005,$N611,$P$6:$P$2005,"&lt;"&amp;$P611)+COUNTIFS($A$6:$A$1005,$N611,$B$6:$B$1005,"&lt;"&amp;$P611)+1)</f>
        <v/>
      </c>
      <c r="S611">
        <f>IF($N611="","",$N611&amp;"|"&amp;RIGHT("000000"&amp;$R611,6))</f>
        <v/>
      </c>
      <c r="T611">
        <f>IF($N611="","",IF(Sync!$N611="",0,Sync!$N611))</f>
        <v/>
      </c>
      <c r="U611">
        <f>IF($N611="","",IF(Sync!$O611="",0,Sync!$O611))</f>
        <v/>
      </c>
      <c r="V611">
        <f>IF($N611="","",Sync!$L611)</f>
        <v/>
      </c>
      <c r="W611">
        <f>IF($N611="","",Sync!$P611)</f>
        <v/>
      </c>
      <c r="AA611">
        <f>IF($A611="","",IF(COUNTIF($A$6:$A611,$A611)=1,1,0))</f>
        <v/>
      </c>
      <c r="AB611">
        <f>SUM($AA$6:$AA611)</f>
        <v/>
      </c>
      <c r="AC611">
        <f>IFERROR(INDEX($A$6:$A$1005,MATCH(ROW()-5,$AB$6:$AB$1005,0)),"")</f>
        <v/>
      </c>
    </row>
    <row r="612">
      <c r="A612">
        <f>IF(OR(Entry!$B615="",Entry!$E615="",$E612="نامعتبر"),"",Entry!$E615)</f>
        <v/>
      </c>
      <c r="B612">
        <f>IF($A612="","",LEFT($E612,4)&amp;MID($E612,6,2)&amp;RIGHT($E612,2)&amp;$F612&amp;"|"&amp;"1"&amp;RIGHT("00000"&amp;607,5))</f>
        <v/>
      </c>
      <c r="C612">
        <f>IF($B612="","",COUNTIFS($A$6:$A$1005,$A612,$B$6:$B$1005,"&lt;"&amp;$B612)+COUNTIFS($N$6:$N$2005,$A612,$P$6:$P$2005,"&lt;"&amp;$B612)+1)</f>
        <v/>
      </c>
      <c r="D612">
        <f>IF($C612="","",$A612&amp;"|"&amp;RIGHT("000000"&amp;$C612,6))</f>
        <v/>
      </c>
      <c r="E612">
        <f>IF(Entry!$B615="","",IF(ISNUMBER(Entry!$B615),IF(AND(Entry!$B615&gt;=10000101,Entry!$B615&lt;=99991231),INT(Entry!$B615/10000)&amp;"/"&amp;RIGHT("00"&amp;INT(MOD(Entry!$B615,10000)/100),2)&amp;"/"&amp;RIGHT("00"&amp;MOD(Entry!$B615,100),2),"نامعتبر"),IF(LEN(Entry!$B615)=10,Entry!$B615,"نامعتبر")))</f>
        <v/>
      </c>
      <c r="F612">
        <f>IF(Entry!$B615="","",IF(Entry!$C615="","0000",IF(AND(ISNUMBER(Entry!$C615),Entry!$C615&gt;=0,Entry!$C615&lt;1),RIGHT("00"&amp;HOUR(Entry!$C615),2)&amp;RIGHT("00"&amp;MINUTE(Entry!$C615),2),IFERROR(RIGHT("00"&amp;VALUE(LEFT(Entry!$C615,FIND(":",Entry!$C615)-1)),2)&amp;RIGHT("00"&amp;VALUE(MID(Entry!$C615,FIND(":",Entry!$C615)+1,2)),2),"0000"))))</f>
        <v/>
      </c>
      <c r="G612">
        <f>IF($A612="","",Entry!$G615)</f>
        <v/>
      </c>
      <c r="H612">
        <f>IF($A612="","",IF(Entry!$H615="",0,Entry!$H615))</f>
        <v/>
      </c>
      <c r="I612">
        <f>IF($A612="","",IF(Entry!$I615="",0,Entry!$I615))</f>
        <v/>
      </c>
      <c r="J612">
        <f>IF($A612="","",ROUND($H612*$I612,0))</f>
        <v/>
      </c>
      <c r="K612">
        <f>IF($A612="","",Entry!$D615)</f>
        <v/>
      </c>
      <c r="L612">
        <f>IF($A612="","",Entry!$L615)</f>
        <v/>
      </c>
      <c r="N612">
        <f>IF(OR(Sync!$M612="",$Q612="",$Q612="نامعتبر"),"",Sync!$M612)</f>
        <v/>
      </c>
      <c r="O612">
        <f>IF($N612="","",$Q612)</f>
        <v/>
      </c>
      <c r="P612">
        <f>IF($N612="","",LEFT($Q612,4)&amp;MID($Q612,6,2)&amp;RIGHT($Q612,2)&amp;IF(Sync!$K612="","0000",IF(AND(ISNUMBER(Sync!$K612),Sync!$K612&gt;=0,Sync!$K612&lt;1),RIGHT("00"&amp;HOUR(Sync!$K612),2)&amp;RIGHT("00"&amp;MINUTE(Sync!$K612),2),IFERROR(RIGHT("00"&amp;VALUE(LEFT(Sync!$K612,FIND(":",Sync!$K612)-1)),2)&amp;RIGHT("00"&amp;VALUE(MID(Sync!$K612,FIND(":",Sync!$K612)+1,2)),2),"0000")))&amp;"|"&amp;"2"&amp;RIGHT("00000"&amp;607,5))</f>
        <v/>
      </c>
      <c r="Q612">
        <f>IF(Sync!$J612="","",IF(ISNUMBER(Sync!$J612),IF(AND(Sync!$J612&gt;=10000101,Sync!$J612&lt;=99991231),INT(Sync!$J612/10000)&amp;"/"&amp;RIGHT("00"&amp;INT(MOD(Sync!$J612,10000)/100),2)&amp;"/"&amp;RIGHT("00"&amp;MOD(Sync!$J612,100),2),"نامعتبر"),IF(LEN(Sync!$J612)=10,Sync!$J612,"نامعتبر")))</f>
        <v/>
      </c>
      <c r="R612">
        <f>IF($P612="","",COUNTIFS($N$6:$N$2005,$N612,$P$6:$P$2005,"&lt;"&amp;$P612)+COUNTIFS($A$6:$A$1005,$N612,$B$6:$B$1005,"&lt;"&amp;$P612)+1)</f>
        <v/>
      </c>
      <c r="S612">
        <f>IF($N612="","",$N612&amp;"|"&amp;RIGHT("000000"&amp;$R612,6))</f>
        <v/>
      </c>
      <c r="T612">
        <f>IF($N612="","",IF(Sync!$N612="",0,Sync!$N612))</f>
        <v/>
      </c>
      <c r="U612">
        <f>IF($N612="","",IF(Sync!$O612="",0,Sync!$O612))</f>
        <v/>
      </c>
      <c r="V612">
        <f>IF($N612="","",Sync!$L612)</f>
        <v/>
      </c>
      <c r="W612">
        <f>IF($N612="","",Sync!$P612)</f>
        <v/>
      </c>
      <c r="AA612">
        <f>IF($A612="","",IF(COUNTIF($A$6:$A612,$A612)=1,1,0))</f>
        <v/>
      </c>
      <c r="AB612">
        <f>SUM($AA$6:$AA612)</f>
        <v/>
      </c>
      <c r="AC612">
        <f>IFERROR(INDEX($A$6:$A$1005,MATCH(ROW()-5,$AB$6:$AB$1005,0)),"")</f>
        <v/>
      </c>
    </row>
    <row r="613">
      <c r="A613">
        <f>IF(OR(Entry!$B616="",Entry!$E616="",$E613="نامعتبر"),"",Entry!$E616)</f>
        <v/>
      </c>
      <c r="B613">
        <f>IF($A613="","",LEFT($E613,4)&amp;MID($E613,6,2)&amp;RIGHT($E613,2)&amp;$F613&amp;"|"&amp;"1"&amp;RIGHT("00000"&amp;608,5))</f>
        <v/>
      </c>
      <c r="C613">
        <f>IF($B613="","",COUNTIFS($A$6:$A$1005,$A613,$B$6:$B$1005,"&lt;"&amp;$B613)+COUNTIFS($N$6:$N$2005,$A613,$P$6:$P$2005,"&lt;"&amp;$B613)+1)</f>
        <v/>
      </c>
      <c r="D613">
        <f>IF($C613="","",$A613&amp;"|"&amp;RIGHT("000000"&amp;$C613,6))</f>
        <v/>
      </c>
      <c r="E613">
        <f>IF(Entry!$B616="","",IF(ISNUMBER(Entry!$B616),IF(AND(Entry!$B616&gt;=10000101,Entry!$B616&lt;=99991231),INT(Entry!$B616/10000)&amp;"/"&amp;RIGHT("00"&amp;INT(MOD(Entry!$B616,10000)/100),2)&amp;"/"&amp;RIGHT("00"&amp;MOD(Entry!$B616,100),2),"نامعتبر"),IF(LEN(Entry!$B616)=10,Entry!$B616,"نامعتبر")))</f>
        <v/>
      </c>
      <c r="F613">
        <f>IF(Entry!$B616="","",IF(Entry!$C616="","0000",IF(AND(ISNUMBER(Entry!$C616),Entry!$C616&gt;=0,Entry!$C616&lt;1),RIGHT("00"&amp;HOUR(Entry!$C616),2)&amp;RIGHT("00"&amp;MINUTE(Entry!$C616),2),IFERROR(RIGHT("00"&amp;VALUE(LEFT(Entry!$C616,FIND(":",Entry!$C616)-1)),2)&amp;RIGHT("00"&amp;VALUE(MID(Entry!$C616,FIND(":",Entry!$C616)+1,2)),2),"0000"))))</f>
        <v/>
      </c>
      <c r="G613">
        <f>IF($A613="","",Entry!$G616)</f>
        <v/>
      </c>
      <c r="H613">
        <f>IF($A613="","",IF(Entry!$H616="",0,Entry!$H616))</f>
        <v/>
      </c>
      <c r="I613">
        <f>IF($A613="","",IF(Entry!$I616="",0,Entry!$I616))</f>
        <v/>
      </c>
      <c r="J613">
        <f>IF($A613="","",ROUND($H613*$I613,0))</f>
        <v/>
      </c>
      <c r="K613">
        <f>IF($A613="","",Entry!$D616)</f>
        <v/>
      </c>
      <c r="L613">
        <f>IF($A613="","",Entry!$L616)</f>
        <v/>
      </c>
      <c r="N613">
        <f>IF(OR(Sync!$M613="",$Q613="",$Q613="نامعتبر"),"",Sync!$M613)</f>
        <v/>
      </c>
      <c r="O613">
        <f>IF($N613="","",$Q613)</f>
        <v/>
      </c>
      <c r="P613">
        <f>IF($N613="","",LEFT($Q613,4)&amp;MID($Q613,6,2)&amp;RIGHT($Q613,2)&amp;IF(Sync!$K613="","0000",IF(AND(ISNUMBER(Sync!$K613),Sync!$K613&gt;=0,Sync!$K613&lt;1),RIGHT("00"&amp;HOUR(Sync!$K613),2)&amp;RIGHT("00"&amp;MINUTE(Sync!$K613),2),IFERROR(RIGHT("00"&amp;VALUE(LEFT(Sync!$K613,FIND(":",Sync!$K613)-1)),2)&amp;RIGHT("00"&amp;VALUE(MID(Sync!$K613,FIND(":",Sync!$K613)+1,2)),2),"0000")))&amp;"|"&amp;"2"&amp;RIGHT("00000"&amp;608,5))</f>
        <v/>
      </c>
      <c r="Q613">
        <f>IF(Sync!$J613="","",IF(ISNUMBER(Sync!$J613),IF(AND(Sync!$J613&gt;=10000101,Sync!$J613&lt;=99991231),INT(Sync!$J613/10000)&amp;"/"&amp;RIGHT("00"&amp;INT(MOD(Sync!$J613,10000)/100),2)&amp;"/"&amp;RIGHT("00"&amp;MOD(Sync!$J613,100),2),"نامعتبر"),IF(LEN(Sync!$J613)=10,Sync!$J613,"نامعتبر")))</f>
        <v/>
      </c>
      <c r="R613">
        <f>IF($P613="","",COUNTIFS($N$6:$N$2005,$N613,$P$6:$P$2005,"&lt;"&amp;$P613)+COUNTIFS($A$6:$A$1005,$N613,$B$6:$B$1005,"&lt;"&amp;$P613)+1)</f>
        <v/>
      </c>
      <c r="S613">
        <f>IF($N613="","",$N613&amp;"|"&amp;RIGHT("000000"&amp;$R613,6))</f>
        <v/>
      </c>
      <c r="T613">
        <f>IF($N613="","",IF(Sync!$N613="",0,Sync!$N613))</f>
        <v/>
      </c>
      <c r="U613">
        <f>IF($N613="","",IF(Sync!$O613="",0,Sync!$O613))</f>
        <v/>
      </c>
      <c r="V613">
        <f>IF($N613="","",Sync!$L613)</f>
        <v/>
      </c>
      <c r="W613">
        <f>IF($N613="","",Sync!$P613)</f>
        <v/>
      </c>
      <c r="AA613">
        <f>IF($A613="","",IF(COUNTIF($A$6:$A613,$A613)=1,1,0))</f>
        <v/>
      </c>
      <c r="AB613">
        <f>SUM($AA$6:$AA613)</f>
        <v/>
      </c>
      <c r="AC613">
        <f>IFERROR(INDEX($A$6:$A$1005,MATCH(ROW()-5,$AB$6:$AB$1005,0)),"")</f>
        <v/>
      </c>
    </row>
    <row r="614">
      <c r="A614">
        <f>IF(OR(Entry!$B617="",Entry!$E617="",$E614="نامعتبر"),"",Entry!$E617)</f>
        <v/>
      </c>
      <c r="B614">
        <f>IF($A614="","",LEFT($E614,4)&amp;MID($E614,6,2)&amp;RIGHT($E614,2)&amp;$F614&amp;"|"&amp;"1"&amp;RIGHT("00000"&amp;609,5))</f>
        <v/>
      </c>
      <c r="C614">
        <f>IF($B614="","",COUNTIFS($A$6:$A$1005,$A614,$B$6:$B$1005,"&lt;"&amp;$B614)+COUNTIFS($N$6:$N$2005,$A614,$P$6:$P$2005,"&lt;"&amp;$B614)+1)</f>
        <v/>
      </c>
      <c r="D614">
        <f>IF($C614="","",$A614&amp;"|"&amp;RIGHT("000000"&amp;$C614,6))</f>
        <v/>
      </c>
      <c r="E614">
        <f>IF(Entry!$B617="","",IF(ISNUMBER(Entry!$B617),IF(AND(Entry!$B617&gt;=10000101,Entry!$B617&lt;=99991231),INT(Entry!$B617/10000)&amp;"/"&amp;RIGHT("00"&amp;INT(MOD(Entry!$B617,10000)/100),2)&amp;"/"&amp;RIGHT("00"&amp;MOD(Entry!$B617,100),2),"نامعتبر"),IF(LEN(Entry!$B617)=10,Entry!$B617,"نامعتبر")))</f>
        <v/>
      </c>
      <c r="F614">
        <f>IF(Entry!$B617="","",IF(Entry!$C617="","0000",IF(AND(ISNUMBER(Entry!$C617),Entry!$C617&gt;=0,Entry!$C617&lt;1),RIGHT("00"&amp;HOUR(Entry!$C617),2)&amp;RIGHT("00"&amp;MINUTE(Entry!$C617),2),IFERROR(RIGHT("00"&amp;VALUE(LEFT(Entry!$C617,FIND(":",Entry!$C617)-1)),2)&amp;RIGHT("00"&amp;VALUE(MID(Entry!$C617,FIND(":",Entry!$C617)+1,2)),2),"0000"))))</f>
        <v/>
      </c>
      <c r="G614">
        <f>IF($A614="","",Entry!$G617)</f>
        <v/>
      </c>
      <c r="H614">
        <f>IF($A614="","",IF(Entry!$H617="",0,Entry!$H617))</f>
        <v/>
      </c>
      <c r="I614">
        <f>IF($A614="","",IF(Entry!$I617="",0,Entry!$I617))</f>
        <v/>
      </c>
      <c r="J614">
        <f>IF($A614="","",ROUND($H614*$I614,0))</f>
        <v/>
      </c>
      <c r="K614">
        <f>IF($A614="","",Entry!$D617)</f>
        <v/>
      </c>
      <c r="L614">
        <f>IF($A614="","",Entry!$L617)</f>
        <v/>
      </c>
      <c r="N614">
        <f>IF(OR(Sync!$M614="",$Q614="",$Q614="نامعتبر"),"",Sync!$M614)</f>
        <v/>
      </c>
      <c r="O614">
        <f>IF($N614="","",$Q614)</f>
        <v/>
      </c>
      <c r="P614">
        <f>IF($N614="","",LEFT($Q614,4)&amp;MID($Q614,6,2)&amp;RIGHT($Q614,2)&amp;IF(Sync!$K614="","0000",IF(AND(ISNUMBER(Sync!$K614),Sync!$K614&gt;=0,Sync!$K614&lt;1),RIGHT("00"&amp;HOUR(Sync!$K614),2)&amp;RIGHT("00"&amp;MINUTE(Sync!$K614),2),IFERROR(RIGHT("00"&amp;VALUE(LEFT(Sync!$K614,FIND(":",Sync!$K614)-1)),2)&amp;RIGHT("00"&amp;VALUE(MID(Sync!$K614,FIND(":",Sync!$K614)+1,2)),2),"0000")))&amp;"|"&amp;"2"&amp;RIGHT("00000"&amp;609,5))</f>
        <v/>
      </c>
      <c r="Q614">
        <f>IF(Sync!$J614="","",IF(ISNUMBER(Sync!$J614),IF(AND(Sync!$J614&gt;=10000101,Sync!$J614&lt;=99991231),INT(Sync!$J614/10000)&amp;"/"&amp;RIGHT("00"&amp;INT(MOD(Sync!$J614,10000)/100),2)&amp;"/"&amp;RIGHT("00"&amp;MOD(Sync!$J614,100),2),"نامعتبر"),IF(LEN(Sync!$J614)=10,Sync!$J614,"نامعتبر")))</f>
        <v/>
      </c>
      <c r="R614">
        <f>IF($P614="","",COUNTIFS($N$6:$N$2005,$N614,$P$6:$P$2005,"&lt;"&amp;$P614)+COUNTIFS($A$6:$A$1005,$N614,$B$6:$B$1005,"&lt;"&amp;$P614)+1)</f>
        <v/>
      </c>
      <c r="S614">
        <f>IF($N614="","",$N614&amp;"|"&amp;RIGHT("000000"&amp;$R614,6))</f>
        <v/>
      </c>
      <c r="T614">
        <f>IF($N614="","",IF(Sync!$N614="",0,Sync!$N614))</f>
        <v/>
      </c>
      <c r="U614">
        <f>IF($N614="","",IF(Sync!$O614="",0,Sync!$O614))</f>
        <v/>
      </c>
      <c r="V614">
        <f>IF($N614="","",Sync!$L614)</f>
        <v/>
      </c>
      <c r="W614">
        <f>IF($N614="","",Sync!$P614)</f>
        <v/>
      </c>
      <c r="AA614">
        <f>IF($A614="","",IF(COUNTIF($A$6:$A614,$A614)=1,1,0))</f>
        <v/>
      </c>
      <c r="AB614">
        <f>SUM($AA$6:$AA614)</f>
        <v/>
      </c>
      <c r="AC614">
        <f>IFERROR(INDEX($A$6:$A$1005,MATCH(ROW()-5,$AB$6:$AB$1005,0)),"")</f>
        <v/>
      </c>
    </row>
    <row r="615">
      <c r="A615">
        <f>IF(OR(Entry!$B618="",Entry!$E618="",$E615="نامعتبر"),"",Entry!$E618)</f>
        <v/>
      </c>
      <c r="B615">
        <f>IF($A615="","",LEFT($E615,4)&amp;MID($E615,6,2)&amp;RIGHT($E615,2)&amp;$F615&amp;"|"&amp;"1"&amp;RIGHT("00000"&amp;610,5))</f>
        <v/>
      </c>
      <c r="C615">
        <f>IF($B615="","",COUNTIFS($A$6:$A$1005,$A615,$B$6:$B$1005,"&lt;"&amp;$B615)+COUNTIFS($N$6:$N$2005,$A615,$P$6:$P$2005,"&lt;"&amp;$B615)+1)</f>
        <v/>
      </c>
      <c r="D615">
        <f>IF($C615="","",$A615&amp;"|"&amp;RIGHT("000000"&amp;$C615,6))</f>
        <v/>
      </c>
      <c r="E615">
        <f>IF(Entry!$B618="","",IF(ISNUMBER(Entry!$B618),IF(AND(Entry!$B618&gt;=10000101,Entry!$B618&lt;=99991231),INT(Entry!$B618/10000)&amp;"/"&amp;RIGHT("00"&amp;INT(MOD(Entry!$B618,10000)/100),2)&amp;"/"&amp;RIGHT("00"&amp;MOD(Entry!$B618,100),2),"نامعتبر"),IF(LEN(Entry!$B618)=10,Entry!$B618,"نامعتبر")))</f>
        <v/>
      </c>
      <c r="F615">
        <f>IF(Entry!$B618="","",IF(Entry!$C618="","0000",IF(AND(ISNUMBER(Entry!$C618),Entry!$C618&gt;=0,Entry!$C618&lt;1),RIGHT("00"&amp;HOUR(Entry!$C618),2)&amp;RIGHT("00"&amp;MINUTE(Entry!$C618),2),IFERROR(RIGHT("00"&amp;VALUE(LEFT(Entry!$C618,FIND(":",Entry!$C618)-1)),2)&amp;RIGHT("00"&amp;VALUE(MID(Entry!$C618,FIND(":",Entry!$C618)+1,2)),2),"0000"))))</f>
        <v/>
      </c>
      <c r="G615">
        <f>IF($A615="","",Entry!$G618)</f>
        <v/>
      </c>
      <c r="H615">
        <f>IF($A615="","",IF(Entry!$H618="",0,Entry!$H618))</f>
        <v/>
      </c>
      <c r="I615">
        <f>IF($A615="","",IF(Entry!$I618="",0,Entry!$I618))</f>
        <v/>
      </c>
      <c r="J615">
        <f>IF($A615="","",ROUND($H615*$I615,0))</f>
        <v/>
      </c>
      <c r="K615">
        <f>IF($A615="","",Entry!$D618)</f>
        <v/>
      </c>
      <c r="L615">
        <f>IF($A615="","",Entry!$L618)</f>
        <v/>
      </c>
      <c r="N615">
        <f>IF(OR(Sync!$M615="",$Q615="",$Q615="نامعتبر"),"",Sync!$M615)</f>
        <v/>
      </c>
      <c r="O615">
        <f>IF($N615="","",$Q615)</f>
        <v/>
      </c>
      <c r="P615">
        <f>IF($N615="","",LEFT($Q615,4)&amp;MID($Q615,6,2)&amp;RIGHT($Q615,2)&amp;IF(Sync!$K615="","0000",IF(AND(ISNUMBER(Sync!$K615),Sync!$K615&gt;=0,Sync!$K615&lt;1),RIGHT("00"&amp;HOUR(Sync!$K615),2)&amp;RIGHT("00"&amp;MINUTE(Sync!$K615),2),IFERROR(RIGHT("00"&amp;VALUE(LEFT(Sync!$K615,FIND(":",Sync!$K615)-1)),2)&amp;RIGHT("00"&amp;VALUE(MID(Sync!$K615,FIND(":",Sync!$K615)+1,2)),2),"0000")))&amp;"|"&amp;"2"&amp;RIGHT("00000"&amp;610,5))</f>
        <v/>
      </c>
      <c r="Q615">
        <f>IF(Sync!$J615="","",IF(ISNUMBER(Sync!$J615),IF(AND(Sync!$J615&gt;=10000101,Sync!$J615&lt;=99991231),INT(Sync!$J615/10000)&amp;"/"&amp;RIGHT("00"&amp;INT(MOD(Sync!$J615,10000)/100),2)&amp;"/"&amp;RIGHT("00"&amp;MOD(Sync!$J615,100),2),"نامعتبر"),IF(LEN(Sync!$J615)=10,Sync!$J615,"نامعتبر")))</f>
        <v/>
      </c>
      <c r="R615">
        <f>IF($P615="","",COUNTIFS($N$6:$N$2005,$N615,$P$6:$P$2005,"&lt;"&amp;$P615)+COUNTIFS($A$6:$A$1005,$N615,$B$6:$B$1005,"&lt;"&amp;$P615)+1)</f>
        <v/>
      </c>
      <c r="S615">
        <f>IF($N615="","",$N615&amp;"|"&amp;RIGHT("000000"&amp;$R615,6))</f>
        <v/>
      </c>
      <c r="T615">
        <f>IF($N615="","",IF(Sync!$N615="",0,Sync!$N615))</f>
        <v/>
      </c>
      <c r="U615">
        <f>IF($N615="","",IF(Sync!$O615="",0,Sync!$O615))</f>
        <v/>
      </c>
      <c r="V615">
        <f>IF($N615="","",Sync!$L615)</f>
        <v/>
      </c>
      <c r="W615">
        <f>IF($N615="","",Sync!$P615)</f>
        <v/>
      </c>
      <c r="AA615">
        <f>IF($A615="","",IF(COUNTIF($A$6:$A615,$A615)=1,1,0))</f>
        <v/>
      </c>
      <c r="AB615">
        <f>SUM($AA$6:$AA615)</f>
        <v/>
      </c>
      <c r="AC615">
        <f>IFERROR(INDEX($A$6:$A$1005,MATCH(ROW()-5,$AB$6:$AB$1005,0)),"")</f>
        <v/>
      </c>
    </row>
    <row r="616">
      <c r="A616">
        <f>IF(OR(Entry!$B619="",Entry!$E619="",$E616="نامعتبر"),"",Entry!$E619)</f>
        <v/>
      </c>
      <c r="B616">
        <f>IF($A616="","",LEFT($E616,4)&amp;MID($E616,6,2)&amp;RIGHT($E616,2)&amp;$F616&amp;"|"&amp;"1"&amp;RIGHT("00000"&amp;611,5))</f>
        <v/>
      </c>
      <c r="C616">
        <f>IF($B616="","",COUNTIFS($A$6:$A$1005,$A616,$B$6:$B$1005,"&lt;"&amp;$B616)+COUNTIFS($N$6:$N$2005,$A616,$P$6:$P$2005,"&lt;"&amp;$B616)+1)</f>
        <v/>
      </c>
      <c r="D616">
        <f>IF($C616="","",$A616&amp;"|"&amp;RIGHT("000000"&amp;$C616,6))</f>
        <v/>
      </c>
      <c r="E616">
        <f>IF(Entry!$B619="","",IF(ISNUMBER(Entry!$B619),IF(AND(Entry!$B619&gt;=10000101,Entry!$B619&lt;=99991231),INT(Entry!$B619/10000)&amp;"/"&amp;RIGHT("00"&amp;INT(MOD(Entry!$B619,10000)/100),2)&amp;"/"&amp;RIGHT("00"&amp;MOD(Entry!$B619,100),2),"نامعتبر"),IF(LEN(Entry!$B619)=10,Entry!$B619,"نامعتبر")))</f>
        <v/>
      </c>
      <c r="F616">
        <f>IF(Entry!$B619="","",IF(Entry!$C619="","0000",IF(AND(ISNUMBER(Entry!$C619),Entry!$C619&gt;=0,Entry!$C619&lt;1),RIGHT("00"&amp;HOUR(Entry!$C619),2)&amp;RIGHT("00"&amp;MINUTE(Entry!$C619),2),IFERROR(RIGHT("00"&amp;VALUE(LEFT(Entry!$C619,FIND(":",Entry!$C619)-1)),2)&amp;RIGHT("00"&amp;VALUE(MID(Entry!$C619,FIND(":",Entry!$C619)+1,2)),2),"0000"))))</f>
        <v/>
      </c>
      <c r="G616">
        <f>IF($A616="","",Entry!$G619)</f>
        <v/>
      </c>
      <c r="H616">
        <f>IF($A616="","",IF(Entry!$H619="",0,Entry!$H619))</f>
        <v/>
      </c>
      <c r="I616">
        <f>IF($A616="","",IF(Entry!$I619="",0,Entry!$I619))</f>
        <v/>
      </c>
      <c r="J616">
        <f>IF($A616="","",ROUND($H616*$I616,0))</f>
        <v/>
      </c>
      <c r="K616">
        <f>IF($A616="","",Entry!$D619)</f>
        <v/>
      </c>
      <c r="L616">
        <f>IF($A616="","",Entry!$L619)</f>
        <v/>
      </c>
      <c r="N616">
        <f>IF(OR(Sync!$M616="",$Q616="",$Q616="نامعتبر"),"",Sync!$M616)</f>
        <v/>
      </c>
      <c r="O616">
        <f>IF($N616="","",$Q616)</f>
        <v/>
      </c>
      <c r="P616">
        <f>IF($N616="","",LEFT($Q616,4)&amp;MID($Q616,6,2)&amp;RIGHT($Q616,2)&amp;IF(Sync!$K616="","0000",IF(AND(ISNUMBER(Sync!$K616),Sync!$K616&gt;=0,Sync!$K616&lt;1),RIGHT("00"&amp;HOUR(Sync!$K616),2)&amp;RIGHT("00"&amp;MINUTE(Sync!$K616),2),IFERROR(RIGHT("00"&amp;VALUE(LEFT(Sync!$K616,FIND(":",Sync!$K616)-1)),2)&amp;RIGHT("00"&amp;VALUE(MID(Sync!$K616,FIND(":",Sync!$K616)+1,2)),2),"0000")))&amp;"|"&amp;"2"&amp;RIGHT("00000"&amp;611,5))</f>
        <v/>
      </c>
      <c r="Q616">
        <f>IF(Sync!$J616="","",IF(ISNUMBER(Sync!$J616),IF(AND(Sync!$J616&gt;=10000101,Sync!$J616&lt;=99991231),INT(Sync!$J616/10000)&amp;"/"&amp;RIGHT("00"&amp;INT(MOD(Sync!$J616,10000)/100),2)&amp;"/"&amp;RIGHT("00"&amp;MOD(Sync!$J616,100),2),"نامعتبر"),IF(LEN(Sync!$J616)=10,Sync!$J616,"نامعتبر")))</f>
        <v/>
      </c>
      <c r="R616">
        <f>IF($P616="","",COUNTIFS($N$6:$N$2005,$N616,$P$6:$P$2005,"&lt;"&amp;$P616)+COUNTIFS($A$6:$A$1005,$N616,$B$6:$B$1005,"&lt;"&amp;$P616)+1)</f>
        <v/>
      </c>
      <c r="S616">
        <f>IF($N616="","",$N616&amp;"|"&amp;RIGHT("000000"&amp;$R616,6))</f>
        <v/>
      </c>
      <c r="T616">
        <f>IF($N616="","",IF(Sync!$N616="",0,Sync!$N616))</f>
        <v/>
      </c>
      <c r="U616">
        <f>IF($N616="","",IF(Sync!$O616="",0,Sync!$O616))</f>
        <v/>
      </c>
      <c r="V616">
        <f>IF($N616="","",Sync!$L616)</f>
        <v/>
      </c>
      <c r="W616">
        <f>IF($N616="","",Sync!$P616)</f>
        <v/>
      </c>
      <c r="AA616">
        <f>IF($A616="","",IF(COUNTIF($A$6:$A616,$A616)=1,1,0))</f>
        <v/>
      </c>
      <c r="AB616">
        <f>SUM($AA$6:$AA616)</f>
        <v/>
      </c>
      <c r="AC616">
        <f>IFERROR(INDEX($A$6:$A$1005,MATCH(ROW()-5,$AB$6:$AB$1005,0)),"")</f>
        <v/>
      </c>
    </row>
    <row r="617">
      <c r="A617">
        <f>IF(OR(Entry!$B620="",Entry!$E620="",$E617="نامعتبر"),"",Entry!$E620)</f>
        <v/>
      </c>
      <c r="B617">
        <f>IF($A617="","",LEFT($E617,4)&amp;MID($E617,6,2)&amp;RIGHT($E617,2)&amp;$F617&amp;"|"&amp;"1"&amp;RIGHT("00000"&amp;612,5))</f>
        <v/>
      </c>
      <c r="C617">
        <f>IF($B617="","",COUNTIFS($A$6:$A$1005,$A617,$B$6:$B$1005,"&lt;"&amp;$B617)+COUNTIFS($N$6:$N$2005,$A617,$P$6:$P$2005,"&lt;"&amp;$B617)+1)</f>
        <v/>
      </c>
      <c r="D617">
        <f>IF($C617="","",$A617&amp;"|"&amp;RIGHT("000000"&amp;$C617,6))</f>
        <v/>
      </c>
      <c r="E617">
        <f>IF(Entry!$B620="","",IF(ISNUMBER(Entry!$B620),IF(AND(Entry!$B620&gt;=10000101,Entry!$B620&lt;=99991231),INT(Entry!$B620/10000)&amp;"/"&amp;RIGHT("00"&amp;INT(MOD(Entry!$B620,10000)/100),2)&amp;"/"&amp;RIGHT("00"&amp;MOD(Entry!$B620,100),2),"نامعتبر"),IF(LEN(Entry!$B620)=10,Entry!$B620,"نامعتبر")))</f>
        <v/>
      </c>
      <c r="F617">
        <f>IF(Entry!$B620="","",IF(Entry!$C620="","0000",IF(AND(ISNUMBER(Entry!$C620),Entry!$C620&gt;=0,Entry!$C620&lt;1),RIGHT("00"&amp;HOUR(Entry!$C620),2)&amp;RIGHT("00"&amp;MINUTE(Entry!$C620),2),IFERROR(RIGHT("00"&amp;VALUE(LEFT(Entry!$C620,FIND(":",Entry!$C620)-1)),2)&amp;RIGHT("00"&amp;VALUE(MID(Entry!$C620,FIND(":",Entry!$C620)+1,2)),2),"0000"))))</f>
        <v/>
      </c>
      <c r="G617">
        <f>IF($A617="","",Entry!$G620)</f>
        <v/>
      </c>
      <c r="H617">
        <f>IF($A617="","",IF(Entry!$H620="",0,Entry!$H620))</f>
        <v/>
      </c>
      <c r="I617">
        <f>IF($A617="","",IF(Entry!$I620="",0,Entry!$I620))</f>
        <v/>
      </c>
      <c r="J617">
        <f>IF($A617="","",ROUND($H617*$I617,0))</f>
        <v/>
      </c>
      <c r="K617">
        <f>IF($A617="","",Entry!$D620)</f>
        <v/>
      </c>
      <c r="L617">
        <f>IF($A617="","",Entry!$L620)</f>
        <v/>
      </c>
      <c r="N617">
        <f>IF(OR(Sync!$M617="",$Q617="",$Q617="نامعتبر"),"",Sync!$M617)</f>
        <v/>
      </c>
      <c r="O617">
        <f>IF($N617="","",$Q617)</f>
        <v/>
      </c>
      <c r="P617">
        <f>IF($N617="","",LEFT($Q617,4)&amp;MID($Q617,6,2)&amp;RIGHT($Q617,2)&amp;IF(Sync!$K617="","0000",IF(AND(ISNUMBER(Sync!$K617),Sync!$K617&gt;=0,Sync!$K617&lt;1),RIGHT("00"&amp;HOUR(Sync!$K617),2)&amp;RIGHT("00"&amp;MINUTE(Sync!$K617),2),IFERROR(RIGHT("00"&amp;VALUE(LEFT(Sync!$K617,FIND(":",Sync!$K617)-1)),2)&amp;RIGHT("00"&amp;VALUE(MID(Sync!$K617,FIND(":",Sync!$K617)+1,2)),2),"0000")))&amp;"|"&amp;"2"&amp;RIGHT("00000"&amp;612,5))</f>
        <v/>
      </c>
      <c r="Q617">
        <f>IF(Sync!$J617="","",IF(ISNUMBER(Sync!$J617),IF(AND(Sync!$J617&gt;=10000101,Sync!$J617&lt;=99991231),INT(Sync!$J617/10000)&amp;"/"&amp;RIGHT("00"&amp;INT(MOD(Sync!$J617,10000)/100),2)&amp;"/"&amp;RIGHT("00"&amp;MOD(Sync!$J617,100),2),"نامعتبر"),IF(LEN(Sync!$J617)=10,Sync!$J617,"نامعتبر")))</f>
        <v/>
      </c>
      <c r="R617">
        <f>IF($P617="","",COUNTIFS($N$6:$N$2005,$N617,$P$6:$P$2005,"&lt;"&amp;$P617)+COUNTIFS($A$6:$A$1005,$N617,$B$6:$B$1005,"&lt;"&amp;$P617)+1)</f>
        <v/>
      </c>
      <c r="S617">
        <f>IF($N617="","",$N617&amp;"|"&amp;RIGHT("000000"&amp;$R617,6))</f>
        <v/>
      </c>
      <c r="T617">
        <f>IF($N617="","",IF(Sync!$N617="",0,Sync!$N617))</f>
        <v/>
      </c>
      <c r="U617">
        <f>IF($N617="","",IF(Sync!$O617="",0,Sync!$O617))</f>
        <v/>
      </c>
      <c r="V617">
        <f>IF($N617="","",Sync!$L617)</f>
        <v/>
      </c>
      <c r="W617">
        <f>IF($N617="","",Sync!$P617)</f>
        <v/>
      </c>
      <c r="AA617">
        <f>IF($A617="","",IF(COUNTIF($A$6:$A617,$A617)=1,1,0))</f>
        <v/>
      </c>
      <c r="AB617">
        <f>SUM($AA$6:$AA617)</f>
        <v/>
      </c>
      <c r="AC617">
        <f>IFERROR(INDEX($A$6:$A$1005,MATCH(ROW()-5,$AB$6:$AB$1005,0)),"")</f>
        <v/>
      </c>
    </row>
    <row r="618">
      <c r="A618">
        <f>IF(OR(Entry!$B621="",Entry!$E621="",$E618="نامعتبر"),"",Entry!$E621)</f>
        <v/>
      </c>
      <c r="B618">
        <f>IF($A618="","",LEFT($E618,4)&amp;MID($E618,6,2)&amp;RIGHT($E618,2)&amp;$F618&amp;"|"&amp;"1"&amp;RIGHT("00000"&amp;613,5))</f>
        <v/>
      </c>
      <c r="C618">
        <f>IF($B618="","",COUNTIFS($A$6:$A$1005,$A618,$B$6:$B$1005,"&lt;"&amp;$B618)+COUNTIFS($N$6:$N$2005,$A618,$P$6:$P$2005,"&lt;"&amp;$B618)+1)</f>
        <v/>
      </c>
      <c r="D618">
        <f>IF($C618="","",$A618&amp;"|"&amp;RIGHT("000000"&amp;$C618,6))</f>
        <v/>
      </c>
      <c r="E618">
        <f>IF(Entry!$B621="","",IF(ISNUMBER(Entry!$B621),IF(AND(Entry!$B621&gt;=10000101,Entry!$B621&lt;=99991231),INT(Entry!$B621/10000)&amp;"/"&amp;RIGHT("00"&amp;INT(MOD(Entry!$B621,10000)/100),2)&amp;"/"&amp;RIGHT("00"&amp;MOD(Entry!$B621,100),2),"نامعتبر"),IF(LEN(Entry!$B621)=10,Entry!$B621,"نامعتبر")))</f>
        <v/>
      </c>
      <c r="F618">
        <f>IF(Entry!$B621="","",IF(Entry!$C621="","0000",IF(AND(ISNUMBER(Entry!$C621),Entry!$C621&gt;=0,Entry!$C621&lt;1),RIGHT("00"&amp;HOUR(Entry!$C621),2)&amp;RIGHT("00"&amp;MINUTE(Entry!$C621),2),IFERROR(RIGHT("00"&amp;VALUE(LEFT(Entry!$C621,FIND(":",Entry!$C621)-1)),2)&amp;RIGHT("00"&amp;VALUE(MID(Entry!$C621,FIND(":",Entry!$C621)+1,2)),2),"0000"))))</f>
        <v/>
      </c>
      <c r="G618">
        <f>IF($A618="","",Entry!$G621)</f>
        <v/>
      </c>
      <c r="H618">
        <f>IF($A618="","",IF(Entry!$H621="",0,Entry!$H621))</f>
        <v/>
      </c>
      <c r="I618">
        <f>IF($A618="","",IF(Entry!$I621="",0,Entry!$I621))</f>
        <v/>
      </c>
      <c r="J618">
        <f>IF($A618="","",ROUND($H618*$I618,0))</f>
        <v/>
      </c>
      <c r="K618">
        <f>IF($A618="","",Entry!$D621)</f>
        <v/>
      </c>
      <c r="L618">
        <f>IF($A618="","",Entry!$L621)</f>
        <v/>
      </c>
      <c r="N618">
        <f>IF(OR(Sync!$M618="",$Q618="",$Q618="نامعتبر"),"",Sync!$M618)</f>
        <v/>
      </c>
      <c r="O618">
        <f>IF($N618="","",$Q618)</f>
        <v/>
      </c>
      <c r="P618">
        <f>IF($N618="","",LEFT($Q618,4)&amp;MID($Q618,6,2)&amp;RIGHT($Q618,2)&amp;IF(Sync!$K618="","0000",IF(AND(ISNUMBER(Sync!$K618),Sync!$K618&gt;=0,Sync!$K618&lt;1),RIGHT("00"&amp;HOUR(Sync!$K618),2)&amp;RIGHT("00"&amp;MINUTE(Sync!$K618),2),IFERROR(RIGHT("00"&amp;VALUE(LEFT(Sync!$K618,FIND(":",Sync!$K618)-1)),2)&amp;RIGHT("00"&amp;VALUE(MID(Sync!$K618,FIND(":",Sync!$K618)+1,2)),2),"0000")))&amp;"|"&amp;"2"&amp;RIGHT("00000"&amp;613,5))</f>
        <v/>
      </c>
      <c r="Q618">
        <f>IF(Sync!$J618="","",IF(ISNUMBER(Sync!$J618),IF(AND(Sync!$J618&gt;=10000101,Sync!$J618&lt;=99991231),INT(Sync!$J618/10000)&amp;"/"&amp;RIGHT("00"&amp;INT(MOD(Sync!$J618,10000)/100),2)&amp;"/"&amp;RIGHT("00"&amp;MOD(Sync!$J618,100),2),"نامعتبر"),IF(LEN(Sync!$J618)=10,Sync!$J618,"نامعتبر")))</f>
        <v/>
      </c>
      <c r="R618">
        <f>IF($P618="","",COUNTIFS($N$6:$N$2005,$N618,$P$6:$P$2005,"&lt;"&amp;$P618)+COUNTIFS($A$6:$A$1005,$N618,$B$6:$B$1005,"&lt;"&amp;$P618)+1)</f>
        <v/>
      </c>
      <c r="S618">
        <f>IF($N618="","",$N618&amp;"|"&amp;RIGHT("000000"&amp;$R618,6))</f>
        <v/>
      </c>
      <c r="T618">
        <f>IF($N618="","",IF(Sync!$N618="",0,Sync!$N618))</f>
        <v/>
      </c>
      <c r="U618">
        <f>IF($N618="","",IF(Sync!$O618="",0,Sync!$O618))</f>
        <v/>
      </c>
      <c r="V618">
        <f>IF($N618="","",Sync!$L618)</f>
        <v/>
      </c>
      <c r="W618">
        <f>IF($N618="","",Sync!$P618)</f>
        <v/>
      </c>
      <c r="AA618">
        <f>IF($A618="","",IF(COUNTIF($A$6:$A618,$A618)=1,1,0))</f>
        <v/>
      </c>
      <c r="AB618">
        <f>SUM($AA$6:$AA618)</f>
        <v/>
      </c>
      <c r="AC618">
        <f>IFERROR(INDEX($A$6:$A$1005,MATCH(ROW()-5,$AB$6:$AB$1005,0)),"")</f>
        <v/>
      </c>
    </row>
    <row r="619">
      <c r="A619">
        <f>IF(OR(Entry!$B622="",Entry!$E622="",$E619="نامعتبر"),"",Entry!$E622)</f>
        <v/>
      </c>
      <c r="B619">
        <f>IF($A619="","",LEFT($E619,4)&amp;MID($E619,6,2)&amp;RIGHT($E619,2)&amp;$F619&amp;"|"&amp;"1"&amp;RIGHT("00000"&amp;614,5))</f>
        <v/>
      </c>
      <c r="C619">
        <f>IF($B619="","",COUNTIFS($A$6:$A$1005,$A619,$B$6:$B$1005,"&lt;"&amp;$B619)+COUNTIFS($N$6:$N$2005,$A619,$P$6:$P$2005,"&lt;"&amp;$B619)+1)</f>
        <v/>
      </c>
      <c r="D619">
        <f>IF($C619="","",$A619&amp;"|"&amp;RIGHT("000000"&amp;$C619,6))</f>
        <v/>
      </c>
      <c r="E619">
        <f>IF(Entry!$B622="","",IF(ISNUMBER(Entry!$B622),IF(AND(Entry!$B622&gt;=10000101,Entry!$B622&lt;=99991231),INT(Entry!$B622/10000)&amp;"/"&amp;RIGHT("00"&amp;INT(MOD(Entry!$B622,10000)/100),2)&amp;"/"&amp;RIGHT("00"&amp;MOD(Entry!$B622,100),2),"نامعتبر"),IF(LEN(Entry!$B622)=10,Entry!$B622,"نامعتبر")))</f>
        <v/>
      </c>
      <c r="F619">
        <f>IF(Entry!$B622="","",IF(Entry!$C622="","0000",IF(AND(ISNUMBER(Entry!$C622),Entry!$C622&gt;=0,Entry!$C622&lt;1),RIGHT("00"&amp;HOUR(Entry!$C622),2)&amp;RIGHT("00"&amp;MINUTE(Entry!$C622),2),IFERROR(RIGHT("00"&amp;VALUE(LEFT(Entry!$C622,FIND(":",Entry!$C622)-1)),2)&amp;RIGHT("00"&amp;VALUE(MID(Entry!$C622,FIND(":",Entry!$C622)+1,2)),2),"0000"))))</f>
        <v/>
      </c>
      <c r="G619">
        <f>IF($A619="","",Entry!$G622)</f>
        <v/>
      </c>
      <c r="H619">
        <f>IF($A619="","",IF(Entry!$H622="",0,Entry!$H622))</f>
        <v/>
      </c>
      <c r="I619">
        <f>IF($A619="","",IF(Entry!$I622="",0,Entry!$I622))</f>
        <v/>
      </c>
      <c r="J619">
        <f>IF($A619="","",ROUND($H619*$I619,0))</f>
        <v/>
      </c>
      <c r="K619">
        <f>IF($A619="","",Entry!$D622)</f>
        <v/>
      </c>
      <c r="L619">
        <f>IF($A619="","",Entry!$L622)</f>
        <v/>
      </c>
      <c r="N619">
        <f>IF(OR(Sync!$M619="",$Q619="",$Q619="نامعتبر"),"",Sync!$M619)</f>
        <v/>
      </c>
      <c r="O619">
        <f>IF($N619="","",$Q619)</f>
        <v/>
      </c>
      <c r="P619">
        <f>IF($N619="","",LEFT($Q619,4)&amp;MID($Q619,6,2)&amp;RIGHT($Q619,2)&amp;IF(Sync!$K619="","0000",IF(AND(ISNUMBER(Sync!$K619),Sync!$K619&gt;=0,Sync!$K619&lt;1),RIGHT("00"&amp;HOUR(Sync!$K619),2)&amp;RIGHT("00"&amp;MINUTE(Sync!$K619),2),IFERROR(RIGHT("00"&amp;VALUE(LEFT(Sync!$K619,FIND(":",Sync!$K619)-1)),2)&amp;RIGHT("00"&amp;VALUE(MID(Sync!$K619,FIND(":",Sync!$K619)+1,2)),2),"0000")))&amp;"|"&amp;"2"&amp;RIGHT("00000"&amp;614,5))</f>
        <v/>
      </c>
      <c r="Q619">
        <f>IF(Sync!$J619="","",IF(ISNUMBER(Sync!$J619),IF(AND(Sync!$J619&gt;=10000101,Sync!$J619&lt;=99991231),INT(Sync!$J619/10000)&amp;"/"&amp;RIGHT("00"&amp;INT(MOD(Sync!$J619,10000)/100),2)&amp;"/"&amp;RIGHT("00"&amp;MOD(Sync!$J619,100),2),"نامعتبر"),IF(LEN(Sync!$J619)=10,Sync!$J619,"نامعتبر")))</f>
        <v/>
      </c>
      <c r="R619">
        <f>IF($P619="","",COUNTIFS($N$6:$N$2005,$N619,$P$6:$P$2005,"&lt;"&amp;$P619)+COUNTIFS($A$6:$A$1005,$N619,$B$6:$B$1005,"&lt;"&amp;$P619)+1)</f>
        <v/>
      </c>
      <c r="S619">
        <f>IF($N619="","",$N619&amp;"|"&amp;RIGHT("000000"&amp;$R619,6))</f>
        <v/>
      </c>
      <c r="T619">
        <f>IF($N619="","",IF(Sync!$N619="",0,Sync!$N619))</f>
        <v/>
      </c>
      <c r="U619">
        <f>IF($N619="","",IF(Sync!$O619="",0,Sync!$O619))</f>
        <v/>
      </c>
      <c r="V619">
        <f>IF($N619="","",Sync!$L619)</f>
        <v/>
      </c>
      <c r="W619">
        <f>IF($N619="","",Sync!$P619)</f>
        <v/>
      </c>
      <c r="AA619">
        <f>IF($A619="","",IF(COUNTIF($A$6:$A619,$A619)=1,1,0))</f>
        <v/>
      </c>
      <c r="AB619">
        <f>SUM($AA$6:$AA619)</f>
        <v/>
      </c>
      <c r="AC619">
        <f>IFERROR(INDEX($A$6:$A$1005,MATCH(ROW()-5,$AB$6:$AB$1005,0)),"")</f>
        <v/>
      </c>
    </row>
    <row r="620">
      <c r="A620">
        <f>IF(OR(Entry!$B623="",Entry!$E623="",$E620="نامعتبر"),"",Entry!$E623)</f>
        <v/>
      </c>
      <c r="B620">
        <f>IF($A620="","",LEFT($E620,4)&amp;MID($E620,6,2)&amp;RIGHT($E620,2)&amp;$F620&amp;"|"&amp;"1"&amp;RIGHT("00000"&amp;615,5))</f>
        <v/>
      </c>
      <c r="C620">
        <f>IF($B620="","",COUNTIFS($A$6:$A$1005,$A620,$B$6:$B$1005,"&lt;"&amp;$B620)+COUNTIFS($N$6:$N$2005,$A620,$P$6:$P$2005,"&lt;"&amp;$B620)+1)</f>
        <v/>
      </c>
      <c r="D620">
        <f>IF($C620="","",$A620&amp;"|"&amp;RIGHT("000000"&amp;$C620,6))</f>
        <v/>
      </c>
      <c r="E620">
        <f>IF(Entry!$B623="","",IF(ISNUMBER(Entry!$B623),IF(AND(Entry!$B623&gt;=10000101,Entry!$B623&lt;=99991231),INT(Entry!$B623/10000)&amp;"/"&amp;RIGHT("00"&amp;INT(MOD(Entry!$B623,10000)/100),2)&amp;"/"&amp;RIGHT("00"&amp;MOD(Entry!$B623,100),2),"نامعتبر"),IF(LEN(Entry!$B623)=10,Entry!$B623,"نامعتبر")))</f>
        <v/>
      </c>
      <c r="F620">
        <f>IF(Entry!$B623="","",IF(Entry!$C623="","0000",IF(AND(ISNUMBER(Entry!$C623),Entry!$C623&gt;=0,Entry!$C623&lt;1),RIGHT("00"&amp;HOUR(Entry!$C623),2)&amp;RIGHT("00"&amp;MINUTE(Entry!$C623),2),IFERROR(RIGHT("00"&amp;VALUE(LEFT(Entry!$C623,FIND(":",Entry!$C623)-1)),2)&amp;RIGHT("00"&amp;VALUE(MID(Entry!$C623,FIND(":",Entry!$C623)+1,2)),2),"0000"))))</f>
        <v/>
      </c>
      <c r="G620">
        <f>IF($A620="","",Entry!$G623)</f>
        <v/>
      </c>
      <c r="H620">
        <f>IF($A620="","",IF(Entry!$H623="",0,Entry!$H623))</f>
        <v/>
      </c>
      <c r="I620">
        <f>IF($A620="","",IF(Entry!$I623="",0,Entry!$I623))</f>
        <v/>
      </c>
      <c r="J620">
        <f>IF($A620="","",ROUND($H620*$I620,0))</f>
        <v/>
      </c>
      <c r="K620">
        <f>IF($A620="","",Entry!$D623)</f>
        <v/>
      </c>
      <c r="L620">
        <f>IF($A620="","",Entry!$L623)</f>
        <v/>
      </c>
      <c r="N620">
        <f>IF(OR(Sync!$M620="",$Q620="",$Q620="نامعتبر"),"",Sync!$M620)</f>
        <v/>
      </c>
      <c r="O620">
        <f>IF($N620="","",$Q620)</f>
        <v/>
      </c>
      <c r="P620">
        <f>IF($N620="","",LEFT($Q620,4)&amp;MID($Q620,6,2)&amp;RIGHT($Q620,2)&amp;IF(Sync!$K620="","0000",IF(AND(ISNUMBER(Sync!$K620),Sync!$K620&gt;=0,Sync!$K620&lt;1),RIGHT("00"&amp;HOUR(Sync!$K620),2)&amp;RIGHT("00"&amp;MINUTE(Sync!$K620),2),IFERROR(RIGHT("00"&amp;VALUE(LEFT(Sync!$K620,FIND(":",Sync!$K620)-1)),2)&amp;RIGHT("00"&amp;VALUE(MID(Sync!$K620,FIND(":",Sync!$K620)+1,2)),2),"0000")))&amp;"|"&amp;"2"&amp;RIGHT("00000"&amp;615,5))</f>
        <v/>
      </c>
      <c r="Q620">
        <f>IF(Sync!$J620="","",IF(ISNUMBER(Sync!$J620),IF(AND(Sync!$J620&gt;=10000101,Sync!$J620&lt;=99991231),INT(Sync!$J620/10000)&amp;"/"&amp;RIGHT("00"&amp;INT(MOD(Sync!$J620,10000)/100),2)&amp;"/"&amp;RIGHT("00"&amp;MOD(Sync!$J620,100),2),"نامعتبر"),IF(LEN(Sync!$J620)=10,Sync!$J620,"نامعتبر")))</f>
        <v/>
      </c>
      <c r="R620">
        <f>IF($P620="","",COUNTIFS($N$6:$N$2005,$N620,$P$6:$P$2005,"&lt;"&amp;$P620)+COUNTIFS($A$6:$A$1005,$N620,$B$6:$B$1005,"&lt;"&amp;$P620)+1)</f>
        <v/>
      </c>
      <c r="S620">
        <f>IF($N620="","",$N620&amp;"|"&amp;RIGHT("000000"&amp;$R620,6))</f>
        <v/>
      </c>
      <c r="T620">
        <f>IF($N620="","",IF(Sync!$N620="",0,Sync!$N620))</f>
        <v/>
      </c>
      <c r="U620">
        <f>IF($N620="","",IF(Sync!$O620="",0,Sync!$O620))</f>
        <v/>
      </c>
      <c r="V620">
        <f>IF($N620="","",Sync!$L620)</f>
        <v/>
      </c>
      <c r="W620">
        <f>IF($N620="","",Sync!$P620)</f>
        <v/>
      </c>
      <c r="AA620">
        <f>IF($A620="","",IF(COUNTIF($A$6:$A620,$A620)=1,1,0))</f>
        <v/>
      </c>
      <c r="AB620">
        <f>SUM($AA$6:$AA620)</f>
        <v/>
      </c>
      <c r="AC620">
        <f>IFERROR(INDEX($A$6:$A$1005,MATCH(ROW()-5,$AB$6:$AB$1005,0)),"")</f>
        <v/>
      </c>
    </row>
    <row r="621">
      <c r="A621">
        <f>IF(OR(Entry!$B624="",Entry!$E624="",$E621="نامعتبر"),"",Entry!$E624)</f>
        <v/>
      </c>
      <c r="B621">
        <f>IF($A621="","",LEFT($E621,4)&amp;MID($E621,6,2)&amp;RIGHT($E621,2)&amp;$F621&amp;"|"&amp;"1"&amp;RIGHT("00000"&amp;616,5))</f>
        <v/>
      </c>
      <c r="C621">
        <f>IF($B621="","",COUNTIFS($A$6:$A$1005,$A621,$B$6:$B$1005,"&lt;"&amp;$B621)+COUNTIFS($N$6:$N$2005,$A621,$P$6:$P$2005,"&lt;"&amp;$B621)+1)</f>
        <v/>
      </c>
      <c r="D621">
        <f>IF($C621="","",$A621&amp;"|"&amp;RIGHT("000000"&amp;$C621,6))</f>
        <v/>
      </c>
      <c r="E621">
        <f>IF(Entry!$B624="","",IF(ISNUMBER(Entry!$B624),IF(AND(Entry!$B624&gt;=10000101,Entry!$B624&lt;=99991231),INT(Entry!$B624/10000)&amp;"/"&amp;RIGHT("00"&amp;INT(MOD(Entry!$B624,10000)/100),2)&amp;"/"&amp;RIGHT("00"&amp;MOD(Entry!$B624,100),2),"نامعتبر"),IF(LEN(Entry!$B624)=10,Entry!$B624,"نامعتبر")))</f>
        <v/>
      </c>
      <c r="F621">
        <f>IF(Entry!$B624="","",IF(Entry!$C624="","0000",IF(AND(ISNUMBER(Entry!$C624),Entry!$C624&gt;=0,Entry!$C624&lt;1),RIGHT("00"&amp;HOUR(Entry!$C624),2)&amp;RIGHT("00"&amp;MINUTE(Entry!$C624),2),IFERROR(RIGHT("00"&amp;VALUE(LEFT(Entry!$C624,FIND(":",Entry!$C624)-1)),2)&amp;RIGHT("00"&amp;VALUE(MID(Entry!$C624,FIND(":",Entry!$C624)+1,2)),2),"0000"))))</f>
        <v/>
      </c>
      <c r="G621">
        <f>IF($A621="","",Entry!$G624)</f>
        <v/>
      </c>
      <c r="H621">
        <f>IF($A621="","",IF(Entry!$H624="",0,Entry!$H624))</f>
        <v/>
      </c>
      <c r="I621">
        <f>IF($A621="","",IF(Entry!$I624="",0,Entry!$I624))</f>
        <v/>
      </c>
      <c r="J621">
        <f>IF($A621="","",ROUND($H621*$I621,0))</f>
        <v/>
      </c>
      <c r="K621">
        <f>IF($A621="","",Entry!$D624)</f>
        <v/>
      </c>
      <c r="L621">
        <f>IF($A621="","",Entry!$L624)</f>
        <v/>
      </c>
      <c r="N621">
        <f>IF(OR(Sync!$M621="",$Q621="",$Q621="نامعتبر"),"",Sync!$M621)</f>
        <v/>
      </c>
      <c r="O621">
        <f>IF($N621="","",$Q621)</f>
        <v/>
      </c>
      <c r="P621">
        <f>IF($N621="","",LEFT($Q621,4)&amp;MID($Q621,6,2)&amp;RIGHT($Q621,2)&amp;IF(Sync!$K621="","0000",IF(AND(ISNUMBER(Sync!$K621),Sync!$K621&gt;=0,Sync!$K621&lt;1),RIGHT("00"&amp;HOUR(Sync!$K621),2)&amp;RIGHT("00"&amp;MINUTE(Sync!$K621),2),IFERROR(RIGHT("00"&amp;VALUE(LEFT(Sync!$K621,FIND(":",Sync!$K621)-1)),2)&amp;RIGHT("00"&amp;VALUE(MID(Sync!$K621,FIND(":",Sync!$K621)+1,2)),2),"0000")))&amp;"|"&amp;"2"&amp;RIGHT("00000"&amp;616,5))</f>
        <v/>
      </c>
      <c r="Q621">
        <f>IF(Sync!$J621="","",IF(ISNUMBER(Sync!$J621),IF(AND(Sync!$J621&gt;=10000101,Sync!$J621&lt;=99991231),INT(Sync!$J621/10000)&amp;"/"&amp;RIGHT("00"&amp;INT(MOD(Sync!$J621,10000)/100),2)&amp;"/"&amp;RIGHT("00"&amp;MOD(Sync!$J621,100),2),"نامعتبر"),IF(LEN(Sync!$J621)=10,Sync!$J621,"نامعتبر")))</f>
        <v/>
      </c>
      <c r="R621">
        <f>IF($P621="","",COUNTIFS($N$6:$N$2005,$N621,$P$6:$P$2005,"&lt;"&amp;$P621)+COUNTIFS($A$6:$A$1005,$N621,$B$6:$B$1005,"&lt;"&amp;$P621)+1)</f>
        <v/>
      </c>
      <c r="S621">
        <f>IF($N621="","",$N621&amp;"|"&amp;RIGHT("000000"&amp;$R621,6))</f>
        <v/>
      </c>
      <c r="T621">
        <f>IF($N621="","",IF(Sync!$N621="",0,Sync!$N621))</f>
        <v/>
      </c>
      <c r="U621">
        <f>IF($N621="","",IF(Sync!$O621="",0,Sync!$O621))</f>
        <v/>
      </c>
      <c r="V621">
        <f>IF($N621="","",Sync!$L621)</f>
        <v/>
      </c>
      <c r="W621">
        <f>IF($N621="","",Sync!$P621)</f>
        <v/>
      </c>
      <c r="AA621">
        <f>IF($A621="","",IF(COUNTIF($A$6:$A621,$A621)=1,1,0))</f>
        <v/>
      </c>
      <c r="AB621">
        <f>SUM($AA$6:$AA621)</f>
        <v/>
      </c>
      <c r="AC621">
        <f>IFERROR(INDEX($A$6:$A$1005,MATCH(ROW()-5,$AB$6:$AB$1005,0)),"")</f>
        <v/>
      </c>
    </row>
    <row r="622">
      <c r="A622">
        <f>IF(OR(Entry!$B625="",Entry!$E625="",$E622="نامعتبر"),"",Entry!$E625)</f>
        <v/>
      </c>
      <c r="B622">
        <f>IF($A622="","",LEFT($E622,4)&amp;MID($E622,6,2)&amp;RIGHT($E622,2)&amp;$F622&amp;"|"&amp;"1"&amp;RIGHT("00000"&amp;617,5))</f>
        <v/>
      </c>
      <c r="C622">
        <f>IF($B622="","",COUNTIFS($A$6:$A$1005,$A622,$B$6:$B$1005,"&lt;"&amp;$B622)+COUNTIFS($N$6:$N$2005,$A622,$P$6:$P$2005,"&lt;"&amp;$B622)+1)</f>
        <v/>
      </c>
      <c r="D622">
        <f>IF($C622="","",$A622&amp;"|"&amp;RIGHT("000000"&amp;$C622,6))</f>
        <v/>
      </c>
      <c r="E622">
        <f>IF(Entry!$B625="","",IF(ISNUMBER(Entry!$B625),IF(AND(Entry!$B625&gt;=10000101,Entry!$B625&lt;=99991231),INT(Entry!$B625/10000)&amp;"/"&amp;RIGHT("00"&amp;INT(MOD(Entry!$B625,10000)/100),2)&amp;"/"&amp;RIGHT("00"&amp;MOD(Entry!$B625,100),2),"نامعتبر"),IF(LEN(Entry!$B625)=10,Entry!$B625,"نامعتبر")))</f>
        <v/>
      </c>
      <c r="F622">
        <f>IF(Entry!$B625="","",IF(Entry!$C625="","0000",IF(AND(ISNUMBER(Entry!$C625),Entry!$C625&gt;=0,Entry!$C625&lt;1),RIGHT("00"&amp;HOUR(Entry!$C625),2)&amp;RIGHT("00"&amp;MINUTE(Entry!$C625),2),IFERROR(RIGHT("00"&amp;VALUE(LEFT(Entry!$C625,FIND(":",Entry!$C625)-1)),2)&amp;RIGHT("00"&amp;VALUE(MID(Entry!$C625,FIND(":",Entry!$C625)+1,2)),2),"0000"))))</f>
        <v/>
      </c>
      <c r="G622">
        <f>IF($A622="","",Entry!$G625)</f>
        <v/>
      </c>
      <c r="H622">
        <f>IF($A622="","",IF(Entry!$H625="",0,Entry!$H625))</f>
        <v/>
      </c>
      <c r="I622">
        <f>IF($A622="","",IF(Entry!$I625="",0,Entry!$I625))</f>
        <v/>
      </c>
      <c r="J622">
        <f>IF($A622="","",ROUND($H622*$I622,0))</f>
        <v/>
      </c>
      <c r="K622">
        <f>IF($A622="","",Entry!$D625)</f>
        <v/>
      </c>
      <c r="L622">
        <f>IF($A622="","",Entry!$L625)</f>
        <v/>
      </c>
      <c r="N622">
        <f>IF(OR(Sync!$M622="",$Q622="",$Q622="نامعتبر"),"",Sync!$M622)</f>
        <v/>
      </c>
      <c r="O622">
        <f>IF($N622="","",$Q622)</f>
        <v/>
      </c>
      <c r="P622">
        <f>IF($N622="","",LEFT($Q622,4)&amp;MID($Q622,6,2)&amp;RIGHT($Q622,2)&amp;IF(Sync!$K622="","0000",IF(AND(ISNUMBER(Sync!$K622),Sync!$K622&gt;=0,Sync!$K622&lt;1),RIGHT("00"&amp;HOUR(Sync!$K622),2)&amp;RIGHT("00"&amp;MINUTE(Sync!$K622),2),IFERROR(RIGHT("00"&amp;VALUE(LEFT(Sync!$K622,FIND(":",Sync!$K622)-1)),2)&amp;RIGHT("00"&amp;VALUE(MID(Sync!$K622,FIND(":",Sync!$K622)+1,2)),2),"0000")))&amp;"|"&amp;"2"&amp;RIGHT("00000"&amp;617,5))</f>
        <v/>
      </c>
      <c r="Q622">
        <f>IF(Sync!$J622="","",IF(ISNUMBER(Sync!$J622),IF(AND(Sync!$J622&gt;=10000101,Sync!$J622&lt;=99991231),INT(Sync!$J622/10000)&amp;"/"&amp;RIGHT("00"&amp;INT(MOD(Sync!$J622,10000)/100),2)&amp;"/"&amp;RIGHT("00"&amp;MOD(Sync!$J622,100),2),"نامعتبر"),IF(LEN(Sync!$J622)=10,Sync!$J622,"نامعتبر")))</f>
        <v/>
      </c>
      <c r="R622">
        <f>IF($P622="","",COUNTIFS($N$6:$N$2005,$N622,$P$6:$P$2005,"&lt;"&amp;$P622)+COUNTIFS($A$6:$A$1005,$N622,$B$6:$B$1005,"&lt;"&amp;$P622)+1)</f>
        <v/>
      </c>
      <c r="S622">
        <f>IF($N622="","",$N622&amp;"|"&amp;RIGHT("000000"&amp;$R622,6))</f>
        <v/>
      </c>
      <c r="T622">
        <f>IF($N622="","",IF(Sync!$N622="",0,Sync!$N622))</f>
        <v/>
      </c>
      <c r="U622">
        <f>IF($N622="","",IF(Sync!$O622="",0,Sync!$O622))</f>
        <v/>
      </c>
      <c r="V622">
        <f>IF($N622="","",Sync!$L622)</f>
        <v/>
      </c>
      <c r="W622">
        <f>IF($N622="","",Sync!$P622)</f>
        <v/>
      </c>
      <c r="AA622">
        <f>IF($A622="","",IF(COUNTIF($A$6:$A622,$A622)=1,1,0))</f>
        <v/>
      </c>
      <c r="AB622">
        <f>SUM($AA$6:$AA622)</f>
        <v/>
      </c>
      <c r="AC622">
        <f>IFERROR(INDEX($A$6:$A$1005,MATCH(ROW()-5,$AB$6:$AB$1005,0)),"")</f>
        <v/>
      </c>
    </row>
    <row r="623">
      <c r="A623">
        <f>IF(OR(Entry!$B626="",Entry!$E626="",$E623="نامعتبر"),"",Entry!$E626)</f>
        <v/>
      </c>
      <c r="B623">
        <f>IF($A623="","",LEFT($E623,4)&amp;MID($E623,6,2)&amp;RIGHT($E623,2)&amp;$F623&amp;"|"&amp;"1"&amp;RIGHT("00000"&amp;618,5))</f>
        <v/>
      </c>
      <c r="C623">
        <f>IF($B623="","",COUNTIFS($A$6:$A$1005,$A623,$B$6:$B$1005,"&lt;"&amp;$B623)+COUNTIFS($N$6:$N$2005,$A623,$P$6:$P$2005,"&lt;"&amp;$B623)+1)</f>
        <v/>
      </c>
      <c r="D623">
        <f>IF($C623="","",$A623&amp;"|"&amp;RIGHT("000000"&amp;$C623,6))</f>
        <v/>
      </c>
      <c r="E623">
        <f>IF(Entry!$B626="","",IF(ISNUMBER(Entry!$B626),IF(AND(Entry!$B626&gt;=10000101,Entry!$B626&lt;=99991231),INT(Entry!$B626/10000)&amp;"/"&amp;RIGHT("00"&amp;INT(MOD(Entry!$B626,10000)/100),2)&amp;"/"&amp;RIGHT("00"&amp;MOD(Entry!$B626,100),2),"نامعتبر"),IF(LEN(Entry!$B626)=10,Entry!$B626,"نامعتبر")))</f>
        <v/>
      </c>
      <c r="F623">
        <f>IF(Entry!$B626="","",IF(Entry!$C626="","0000",IF(AND(ISNUMBER(Entry!$C626),Entry!$C626&gt;=0,Entry!$C626&lt;1),RIGHT("00"&amp;HOUR(Entry!$C626),2)&amp;RIGHT("00"&amp;MINUTE(Entry!$C626),2),IFERROR(RIGHT("00"&amp;VALUE(LEFT(Entry!$C626,FIND(":",Entry!$C626)-1)),2)&amp;RIGHT("00"&amp;VALUE(MID(Entry!$C626,FIND(":",Entry!$C626)+1,2)),2),"0000"))))</f>
        <v/>
      </c>
      <c r="G623">
        <f>IF($A623="","",Entry!$G626)</f>
        <v/>
      </c>
      <c r="H623">
        <f>IF($A623="","",IF(Entry!$H626="",0,Entry!$H626))</f>
        <v/>
      </c>
      <c r="I623">
        <f>IF($A623="","",IF(Entry!$I626="",0,Entry!$I626))</f>
        <v/>
      </c>
      <c r="J623">
        <f>IF($A623="","",ROUND($H623*$I623,0))</f>
        <v/>
      </c>
      <c r="K623">
        <f>IF($A623="","",Entry!$D626)</f>
        <v/>
      </c>
      <c r="L623">
        <f>IF($A623="","",Entry!$L626)</f>
        <v/>
      </c>
      <c r="N623">
        <f>IF(OR(Sync!$M623="",$Q623="",$Q623="نامعتبر"),"",Sync!$M623)</f>
        <v/>
      </c>
      <c r="O623">
        <f>IF($N623="","",$Q623)</f>
        <v/>
      </c>
      <c r="P623">
        <f>IF($N623="","",LEFT($Q623,4)&amp;MID($Q623,6,2)&amp;RIGHT($Q623,2)&amp;IF(Sync!$K623="","0000",IF(AND(ISNUMBER(Sync!$K623),Sync!$K623&gt;=0,Sync!$K623&lt;1),RIGHT("00"&amp;HOUR(Sync!$K623),2)&amp;RIGHT("00"&amp;MINUTE(Sync!$K623),2),IFERROR(RIGHT("00"&amp;VALUE(LEFT(Sync!$K623,FIND(":",Sync!$K623)-1)),2)&amp;RIGHT("00"&amp;VALUE(MID(Sync!$K623,FIND(":",Sync!$K623)+1,2)),2),"0000")))&amp;"|"&amp;"2"&amp;RIGHT("00000"&amp;618,5))</f>
        <v/>
      </c>
      <c r="Q623">
        <f>IF(Sync!$J623="","",IF(ISNUMBER(Sync!$J623),IF(AND(Sync!$J623&gt;=10000101,Sync!$J623&lt;=99991231),INT(Sync!$J623/10000)&amp;"/"&amp;RIGHT("00"&amp;INT(MOD(Sync!$J623,10000)/100),2)&amp;"/"&amp;RIGHT("00"&amp;MOD(Sync!$J623,100),2),"نامعتبر"),IF(LEN(Sync!$J623)=10,Sync!$J623,"نامعتبر")))</f>
        <v/>
      </c>
      <c r="R623">
        <f>IF($P623="","",COUNTIFS($N$6:$N$2005,$N623,$P$6:$P$2005,"&lt;"&amp;$P623)+COUNTIFS($A$6:$A$1005,$N623,$B$6:$B$1005,"&lt;"&amp;$P623)+1)</f>
        <v/>
      </c>
      <c r="S623">
        <f>IF($N623="","",$N623&amp;"|"&amp;RIGHT("000000"&amp;$R623,6))</f>
        <v/>
      </c>
      <c r="T623">
        <f>IF($N623="","",IF(Sync!$N623="",0,Sync!$N623))</f>
        <v/>
      </c>
      <c r="U623">
        <f>IF($N623="","",IF(Sync!$O623="",0,Sync!$O623))</f>
        <v/>
      </c>
      <c r="V623">
        <f>IF($N623="","",Sync!$L623)</f>
        <v/>
      </c>
      <c r="W623">
        <f>IF($N623="","",Sync!$P623)</f>
        <v/>
      </c>
      <c r="AA623">
        <f>IF($A623="","",IF(COUNTIF($A$6:$A623,$A623)=1,1,0))</f>
        <v/>
      </c>
      <c r="AB623">
        <f>SUM($AA$6:$AA623)</f>
        <v/>
      </c>
      <c r="AC623">
        <f>IFERROR(INDEX($A$6:$A$1005,MATCH(ROW()-5,$AB$6:$AB$1005,0)),"")</f>
        <v/>
      </c>
    </row>
    <row r="624">
      <c r="A624">
        <f>IF(OR(Entry!$B627="",Entry!$E627="",$E624="نامعتبر"),"",Entry!$E627)</f>
        <v/>
      </c>
      <c r="B624">
        <f>IF($A624="","",LEFT($E624,4)&amp;MID($E624,6,2)&amp;RIGHT($E624,2)&amp;$F624&amp;"|"&amp;"1"&amp;RIGHT("00000"&amp;619,5))</f>
        <v/>
      </c>
      <c r="C624">
        <f>IF($B624="","",COUNTIFS($A$6:$A$1005,$A624,$B$6:$B$1005,"&lt;"&amp;$B624)+COUNTIFS($N$6:$N$2005,$A624,$P$6:$P$2005,"&lt;"&amp;$B624)+1)</f>
        <v/>
      </c>
      <c r="D624">
        <f>IF($C624="","",$A624&amp;"|"&amp;RIGHT("000000"&amp;$C624,6))</f>
        <v/>
      </c>
      <c r="E624">
        <f>IF(Entry!$B627="","",IF(ISNUMBER(Entry!$B627),IF(AND(Entry!$B627&gt;=10000101,Entry!$B627&lt;=99991231),INT(Entry!$B627/10000)&amp;"/"&amp;RIGHT("00"&amp;INT(MOD(Entry!$B627,10000)/100),2)&amp;"/"&amp;RIGHT("00"&amp;MOD(Entry!$B627,100),2),"نامعتبر"),IF(LEN(Entry!$B627)=10,Entry!$B627,"نامعتبر")))</f>
        <v/>
      </c>
      <c r="F624">
        <f>IF(Entry!$B627="","",IF(Entry!$C627="","0000",IF(AND(ISNUMBER(Entry!$C627),Entry!$C627&gt;=0,Entry!$C627&lt;1),RIGHT("00"&amp;HOUR(Entry!$C627),2)&amp;RIGHT("00"&amp;MINUTE(Entry!$C627),2),IFERROR(RIGHT("00"&amp;VALUE(LEFT(Entry!$C627,FIND(":",Entry!$C627)-1)),2)&amp;RIGHT("00"&amp;VALUE(MID(Entry!$C627,FIND(":",Entry!$C627)+1,2)),2),"0000"))))</f>
        <v/>
      </c>
      <c r="G624">
        <f>IF($A624="","",Entry!$G627)</f>
        <v/>
      </c>
      <c r="H624">
        <f>IF($A624="","",IF(Entry!$H627="",0,Entry!$H627))</f>
        <v/>
      </c>
      <c r="I624">
        <f>IF($A624="","",IF(Entry!$I627="",0,Entry!$I627))</f>
        <v/>
      </c>
      <c r="J624">
        <f>IF($A624="","",ROUND($H624*$I624,0))</f>
        <v/>
      </c>
      <c r="K624">
        <f>IF($A624="","",Entry!$D627)</f>
        <v/>
      </c>
      <c r="L624">
        <f>IF($A624="","",Entry!$L627)</f>
        <v/>
      </c>
      <c r="N624">
        <f>IF(OR(Sync!$M624="",$Q624="",$Q624="نامعتبر"),"",Sync!$M624)</f>
        <v/>
      </c>
      <c r="O624">
        <f>IF($N624="","",$Q624)</f>
        <v/>
      </c>
      <c r="P624">
        <f>IF($N624="","",LEFT($Q624,4)&amp;MID($Q624,6,2)&amp;RIGHT($Q624,2)&amp;IF(Sync!$K624="","0000",IF(AND(ISNUMBER(Sync!$K624),Sync!$K624&gt;=0,Sync!$K624&lt;1),RIGHT("00"&amp;HOUR(Sync!$K624),2)&amp;RIGHT("00"&amp;MINUTE(Sync!$K624),2),IFERROR(RIGHT("00"&amp;VALUE(LEFT(Sync!$K624,FIND(":",Sync!$K624)-1)),2)&amp;RIGHT("00"&amp;VALUE(MID(Sync!$K624,FIND(":",Sync!$K624)+1,2)),2),"0000")))&amp;"|"&amp;"2"&amp;RIGHT("00000"&amp;619,5))</f>
        <v/>
      </c>
      <c r="Q624">
        <f>IF(Sync!$J624="","",IF(ISNUMBER(Sync!$J624),IF(AND(Sync!$J624&gt;=10000101,Sync!$J624&lt;=99991231),INT(Sync!$J624/10000)&amp;"/"&amp;RIGHT("00"&amp;INT(MOD(Sync!$J624,10000)/100),2)&amp;"/"&amp;RIGHT("00"&amp;MOD(Sync!$J624,100),2),"نامعتبر"),IF(LEN(Sync!$J624)=10,Sync!$J624,"نامعتبر")))</f>
        <v/>
      </c>
      <c r="R624">
        <f>IF($P624="","",COUNTIFS($N$6:$N$2005,$N624,$P$6:$P$2005,"&lt;"&amp;$P624)+COUNTIFS($A$6:$A$1005,$N624,$B$6:$B$1005,"&lt;"&amp;$P624)+1)</f>
        <v/>
      </c>
      <c r="S624">
        <f>IF($N624="","",$N624&amp;"|"&amp;RIGHT("000000"&amp;$R624,6))</f>
        <v/>
      </c>
      <c r="T624">
        <f>IF($N624="","",IF(Sync!$N624="",0,Sync!$N624))</f>
        <v/>
      </c>
      <c r="U624">
        <f>IF($N624="","",IF(Sync!$O624="",0,Sync!$O624))</f>
        <v/>
      </c>
      <c r="V624">
        <f>IF($N624="","",Sync!$L624)</f>
        <v/>
      </c>
      <c r="W624">
        <f>IF($N624="","",Sync!$P624)</f>
        <v/>
      </c>
      <c r="AA624">
        <f>IF($A624="","",IF(COUNTIF($A$6:$A624,$A624)=1,1,0))</f>
        <v/>
      </c>
      <c r="AB624">
        <f>SUM($AA$6:$AA624)</f>
        <v/>
      </c>
      <c r="AC624">
        <f>IFERROR(INDEX($A$6:$A$1005,MATCH(ROW()-5,$AB$6:$AB$1005,0)),"")</f>
        <v/>
      </c>
    </row>
    <row r="625">
      <c r="A625">
        <f>IF(OR(Entry!$B628="",Entry!$E628="",$E625="نامعتبر"),"",Entry!$E628)</f>
        <v/>
      </c>
      <c r="B625">
        <f>IF($A625="","",LEFT($E625,4)&amp;MID($E625,6,2)&amp;RIGHT($E625,2)&amp;$F625&amp;"|"&amp;"1"&amp;RIGHT("00000"&amp;620,5))</f>
        <v/>
      </c>
      <c r="C625">
        <f>IF($B625="","",COUNTIFS($A$6:$A$1005,$A625,$B$6:$B$1005,"&lt;"&amp;$B625)+COUNTIFS($N$6:$N$2005,$A625,$P$6:$P$2005,"&lt;"&amp;$B625)+1)</f>
        <v/>
      </c>
      <c r="D625">
        <f>IF($C625="","",$A625&amp;"|"&amp;RIGHT("000000"&amp;$C625,6))</f>
        <v/>
      </c>
      <c r="E625">
        <f>IF(Entry!$B628="","",IF(ISNUMBER(Entry!$B628),IF(AND(Entry!$B628&gt;=10000101,Entry!$B628&lt;=99991231),INT(Entry!$B628/10000)&amp;"/"&amp;RIGHT("00"&amp;INT(MOD(Entry!$B628,10000)/100),2)&amp;"/"&amp;RIGHT("00"&amp;MOD(Entry!$B628,100),2),"نامعتبر"),IF(LEN(Entry!$B628)=10,Entry!$B628,"نامعتبر")))</f>
        <v/>
      </c>
      <c r="F625">
        <f>IF(Entry!$B628="","",IF(Entry!$C628="","0000",IF(AND(ISNUMBER(Entry!$C628),Entry!$C628&gt;=0,Entry!$C628&lt;1),RIGHT("00"&amp;HOUR(Entry!$C628),2)&amp;RIGHT("00"&amp;MINUTE(Entry!$C628),2),IFERROR(RIGHT("00"&amp;VALUE(LEFT(Entry!$C628,FIND(":",Entry!$C628)-1)),2)&amp;RIGHT("00"&amp;VALUE(MID(Entry!$C628,FIND(":",Entry!$C628)+1,2)),2),"0000"))))</f>
        <v/>
      </c>
      <c r="G625">
        <f>IF($A625="","",Entry!$G628)</f>
        <v/>
      </c>
      <c r="H625">
        <f>IF($A625="","",IF(Entry!$H628="",0,Entry!$H628))</f>
        <v/>
      </c>
      <c r="I625">
        <f>IF($A625="","",IF(Entry!$I628="",0,Entry!$I628))</f>
        <v/>
      </c>
      <c r="J625">
        <f>IF($A625="","",ROUND($H625*$I625,0))</f>
        <v/>
      </c>
      <c r="K625">
        <f>IF($A625="","",Entry!$D628)</f>
        <v/>
      </c>
      <c r="L625">
        <f>IF($A625="","",Entry!$L628)</f>
        <v/>
      </c>
      <c r="N625">
        <f>IF(OR(Sync!$M625="",$Q625="",$Q625="نامعتبر"),"",Sync!$M625)</f>
        <v/>
      </c>
      <c r="O625">
        <f>IF($N625="","",$Q625)</f>
        <v/>
      </c>
      <c r="P625">
        <f>IF($N625="","",LEFT($Q625,4)&amp;MID($Q625,6,2)&amp;RIGHT($Q625,2)&amp;IF(Sync!$K625="","0000",IF(AND(ISNUMBER(Sync!$K625),Sync!$K625&gt;=0,Sync!$K625&lt;1),RIGHT("00"&amp;HOUR(Sync!$K625),2)&amp;RIGHT("00"&amp;MINUTE(Sync!$K625),2),IFERROR(RIGHT("00"&amp;VALUE(LEFT(Sync!$K625,FIND(":",Sync!$K625)-1)),2)&amp;RIGHT("00"&amp;VALUE(MID(Sync!$K625,FIND(":",Sync!$K625)+1,2)),2),"0000")))&amp;"|"&amp;"2"&amp;RIGHT("00000"&amp;620,5))</f>
        <v/>
      </c>
      <c r="Q625">
        <f>IF(Sync!$J625="","",IF(ISNUMBER(Sync!$J625),IF(AND(Sync!$J625&gt;=10000101,Sync!$J625&lt;=99991231),INT(Sync!$J625/10000)&amp;"/"&amp;RIGHT("00"&amp;INT(MOD(Sync!$J625,10000)/100),2)&amp;"/"&amp;RIGHT("00"&amp;MOD(Sync!$J625,100),2),"نامعتبر"),IF(LEN(Sync!$J625)=10,Sync!$J625,"نامعتبر")))</f>
        <v/>
      </c>
      <c r="R625">
        <f>IF($P625="","",COUNTIFS($N$6:$N$2005,$N625,$P$6:$P$2005,"&lt;"&amp;$P625)+COUNTIFS($A$6:$A$1005,$N625,$B$6:$B$1005,"&lt;"&amp;$P625)+1)</f>
        <v/>
      </c>
      <c r="S625">
        <f>IF($N625="","",$N625&amp;"|"&amp;RIGHT("000000"&amp;$R625,6))</f>
        <v/>
      </c>
      <c r="T625">
        <f>IF($N625="","",IF(Sync!$N625="",0,Sync!$N625))</f>
        <v/>
      </c>
      <c r="U625">
        <f>IF($N625="","",IF(Sync!$O625="",0,Sync!$O625))</f>
        <v/>
      </c>
      <c r="V625">
        <f>IF($N625="","",Sync!$L625)</f>
        <v/>
      </c>
      <c r="W625">
        <f>IF($N625="","",Sync!$P625)</f>
        <v/>
      </c>
      <c r="AA625">
        <f>IF($A625="","",IF(COUNTIF($A$6:$A625,$A625)=1,1,0))</f>
        <v/>
      </c>
      <c r="AB625">
        <f>SUM($AA$6:$AA625)</f>
        <v/>
      </c>
      <c r="AC625">
        <f>IFERROR(INDEX($A$6:$A$1005,MATCH(ROW()-5,$AB$6:$AB$1005,0)),"")</f>
        <v/>
      </c>
    </row>
    <row r="626">
      <c r="A626">
        <f>IF(OR(Entry!$B629="",Entry!$E629="",$E626="نامعتبر"),"",Entry!$E629)</f>
        <v/>
      </c>
      <c r="B626">
        <f>IF($A626="","",LEFT($E626,4)&amp;MID($E626,6,2)&amp;RIGHT($E626,2)&amp;$F626&amp;"|"&amp;"1"&amp;RIGHT("00000"&amp;621,5))</f>
        <v/>
      </c>
      <c r="C626">
        <f>IF($B626="","",COUNTIFS($A$6:$A$1005,$A626,$B$6:$B$1005,"&lt;"&amp;$B626)+COUNTIFS($N$6:$N$2005,$A626,$P$6:$P$2005,"&lt;"&amp;$B626)+1)</f>
        <v/>
      </c>
      <c r="D626">
        <f>IF($C626="","",$A626&amp;"|"&amp;RIGHT("000000"&amp;$C626,6))</f>
        <v/>
      </c>
      <c r="E626">
        <f>IF(Entry!$B629="","",IF(ISNUMBER(Entry!$B629),IF(AND(Entry!$B629&gt;=10000101,Entry!$B629&lt;=99991231),INT(Entry!$B629/10000)&amp;"/"&amp;RIGHT("00"&amp;INT(MOD(Entry!$B629,10000)/100),2)&amp;"/"&amp;RIGHT("00"&amp;MOD(Entry!$B629,100),2),"نامعتبر"),IF(LEN(Entry!$B629)=10,Entry!$B629,"نامعتبر")))</f>
        <v/>
      </c>
      <c r="F626">
        <f>IF(Entry!$B629="","",IF(Entry!$C629="","0000",IF(AND(ISNUMBER(Entry!$C629),Entry!$C629&gt;=0,Entry!$C629&lt;1),RIGHT("00"&amp;HOUR(Entry!$C629),2)&amp;RIGHT("00"&amp;MINUTE(Entry!$C629),2),IFERROR(RIGHT("00"&amp;VALUE(LEFT(Entry!$C629,FIND(":",Entry!$C629)-1)),2)&amp;RIGHT("00"&amp;VALUE(MID(Entry!$C629,FIND(":",Entry!$C629)+1,2)),2),"0000"))))</f>
        <v/>
      </c>
      <c r="G626">
        <f>IF($A626="","",Entry!$G629)</f>
        <v/>
      </c>
      <c r="H626">
        <f>IF($A626="","",IF(Entry!$H629="",0,Entry!$H629))</f>
        <v/>
      </c>
      <c r="I626">
        <f>IF($A626="","",IF(Entry!$I629="",0,Entry!$I629))</f>
        <v/>
      </c>
      <c r="J626">
        <f>IF($A626="","",ROUND($H626*$I626,0))</f>
        <v/>
      </c>
      <c r="K626">
        <f>IF($A626="","",Entry!$D629)</f>
        <v/>
      </c>
      <c r="L626">
        <f>IF($A626="","",Entry!$L629)</f>
        <v/>
      </c>
      <c r="N626">
        <f>IF(OR(Sync!$M626="",$Q626="",$Q626="نامعتبر"),"",Sync!$M626)</f>
        <v/>
      </c>
      <c r="O626">
        <f>IF($N626="","",$Q626)</f>
        <v/>
      </c>
      <c r="P626">
        <f>IF($N626="","",LEFT($Q626,4)&amp;MID($Q626,6,2)&amp;RIGHT($Q626,2)&amp;IF(Sync!$K626="","0000",IF(AND(ISNUMBER(Sync!$K626),Sync!$K626&gt;=0,Sync!$K626&lt;1),RIGHT("00"&amp;HOUR(Sync!$K626),2)&amp;RIGHT("00"&amp;MINUTE(Sync!$K626),2),IFERROR(RIGHT("00"&amp;VALUE(LEFT(Sync!$K626,FIND(":",Sync!$K626)-1)),2)&amp;RIGHT("00"&amp;VALUE(MID(Sync!$K626,FIND(":",Sync!$K626)+1,2)),2),"0000")))&amp;"|"&amp;"2"&amp;RIGHT("00000"&amp;621,5))</f>
        <v/>
      </c>
      <c r="Q626">
        <f>IF(Sync!$J626="","",IF(ISNUMBER(Sync!$J626),IF(AND(Sync!$J626&gt;=10000101,Sync!$J626&lt;=99991231),INT(Sync!$J626/10000)&amp;"/"&amp;RIGHT("00"&amp;INT(MOD(Sync!$J626,10000)/100),2)&amp;"/"&amp;RIGHT("00"&amp;MOD(Sync!$J626,100),2),"نامعتبر"),IF(LEN(Sync!$J626)=10,Sync!$J626,"نامعتبر")))</f>
        <v/>
      </c>
      <c r="R626">
        <f>IF($P626="","",COUNTIFS($N$6:$N$2005,$N626,$P$6:$P$2005,"&lt;"&amp;$P626)+COUNTIFS($A$6:$A$1005,$N626,$B$6:$B$1005,"&lt;"&amp;$P626)+1)</f>
        <v/>
      </c>
      <c r="S626">
        <f>IF($N626="","",$N626&amp;"|"&amp;RIGHT("000000"&amp;$R626,6))</f>
        <v/>
      </c>
      <c r="T626">
        <f>IF($N626="","",IF(Sync!$N626="",0,Sync!$N626))</f>
        <v/>
      </c>
      <c r="U626">
        <f>IF($N626="","",IF(Sync!$O626="",0,Sync!$O626))</f>
        <v/>
      </c>
      <c r="V626">
        <f>IF($N626="","",Sync!$L626)</f>
        <v/>
      </c>
      <c r="W626">
        <f>IF($N626="","",Sync!$P626)</f>
        <v/>
      </c>
      <c r="AA626">
        <f>IF($A626="","",IF(COUNTIF($A$6:$A626,$A626)=1,1,0))</f>
        <v/>
      </c>
      <c r="AB626">
        <f>SUM($AA$6:$AA626)</f>
        <v/>
      </c>
      <c r="AC626">
        <f>IFERROR(INDEX($A$6:$A$1005,MATCH(ROW()-5,$AB$6:$AB$1005,0)),"")</f>
        <v/>
      </c>
    </row>
    <row r="627">
      <c r="A627">
        <f>IF(OR(Entry!$B630="",Entry!$E630="",$E627="نامعتبر"),"",Entry!$E630)</f>
        <v/>
      </c>
      <c r="B627">
        <f>IF($A627="","",LEFT($E627,4)&amp;MID($E627,6,2)&amp;RIGHT($E627,2)&amp;$F627&amp;"|"&amp;"1"&amp;RIGHT("00000"&amp;622,5))</f>
        <v/>
      </c>
      <c r="C627">
        <f>IF($B627="","",COUNTIFS($A$6:$A$1005,$A627,$B$6:$B$1005,"&lt;"&amp;$B627)+COUNTIFS($N$6:$N$2005,$A627,$P$6:$P$2005,"&lt;"&amp;$B627)+1)</f>
        <v/>
      </c>
      <c r="D627">
        <f>IF($C627="","",$A627&amp;"|"&amp;RIGHT("000000"&amp;$C627,6))</f>
        <v/>
      </c>
      <c r="E627">
        <f>IF(Entry!$B630="","",IF(ISNUMBER(Entry!$B630),IF(AND(Entry!$B630&gt;=10000101,Entry!$B630&lt;=99991231),INT(Entry!$B630/10000)&amp;"/"&amp;RIGHT("00"&amp;INT(MOD(Entry!$B630,10000)/100),2)&amp;"/"&amp;RIGHT("00"&amp;MOD(Entry!$B630,100),2),"نامعتبر"),IF(LEN(Entry!$B630)=10,Entry!$B630,"نامعتبر")))</f>
        <v/>
      </c>
      <c r="F627">
        <f>IF(Entry!$B630="","",IF(Entry!$C630="","0000",IF(AND(ISNUMBER(Entry!$C630),Entry!$C630&gt;=0,Entry!$C630&lt;1),RIGHT("00"&amp;HOUR(Entry!$C630),2)&amp;RIGHT("00"&amp;MINUTE(Entry!$C630),2),IFERROR(RIGHT("00"&amp;VALUE(LEFT(Entry!$C630,FIND(":",Entry!$C630)-1)),2)&amp;RIGHT("00"&amp;VALUE(MID(Entry!$C630,FIND(":",Entry!$C630)+1,2)),2),"0000"))))</f>
        <v/>
      </c>
      <c r="G627">
        <f>IF($A627="","",Entry!$G630)</f>
        <v/>
      </c>
      <c r="H627">
        <f>IF($A627="","",IF(Entry!$H630="",0,Entry!$H630))</f>
        <v/>
      </c>
      <c r="I627">
        <f>IF($A627="","",IF(Entry!$I630="",0,Entry!$I630))</f>
        <v/>
      </c>
      <c r="J627">
        <f>IF($A627="","",ROUND($H627*$I627,0))</f>
        <v/>
      </c>
      <c r="K627">
        <f>IF($A627="","",Entry!$D630)</f>
        <v/>
      </c>
      <c r="L627">
        <f>IF($A627="","",Entry!$L630)</f>
        <v/>
      </c>
      <c r="N627">
        <f>IF(OR(Sync!$M627="",$Q627="",$Q627="نامعتبر"),"",Sync!$M627)</f>
        <v/>
      </c>
      <c r="O627">
        <f>IF($N627="","",$Q627)</f>
        <v/>
      </c>
      <c r="P627">
        <f>IF($N627="","",LEFT($Q627,4)&amp;MID($Q627,6,2)&amp;RIGHT($Q627,2)&amp;IF(Sync!$K627="","0000",IF(AND(ISNUMBER(Sync!$K627),Sync!$K627&gt;=0,Sync!$K627&lt;1),RIGHT("00"&amp;HOUR(Sync!$K627),2)&amp;RIGHT("00"&amp;MINUTE(Sync!$K627),2),IFERROR(RIGHT("00"&amp;VALUE(LEFT(Sync!$K627,FIND(":",Sync!$K627)-1)),2)&amp;RIGHT("00"&amp;VALUE(MID(Sync!$K627,FIND(":",Sync!$K627)+1,2)),2),"0000")))&amp;"|"&amp;"2"&amp;RIGHT("00000"&amp;622,5))</f>
        <v/>
      </c>
      <c r="Q627">
        <f>IF(Sync!$J627="","",IF(ISNUMBER(Sync!$J627),IF(AND(Sync!$J627&gt;=10000101,Sync!$J627&lt;=99991231),INT(Sync!$J627/10000)&amp;"/"&amp;RIGHT("00"&amp;INT(MOD(Sync!$J627,10000)/100),2)&amp;"/"&amp;RIGHT("00"&amp;MOD(Sync!$J627,100),2),"نامعتبر"),IF(LEN(Sync!$J627)=10,Sync!$J627,"نامعتبر")))</f>
        <v/>
      </c>
      <c r="R627">
        <f>IF($P627="","",COUNTIFS($N$6:$N$2005,$N627,$P$6:$P$2005,"&lt;"&amp;$P627)+COUNTIFS($A$6:$A$1005,$N627,$B$6:$B$1005,"&lt;"&amp;$P627)+1)</f>
        <v/>
      </c>
      <c r="S627">
        <f>IF($N627="","",$N627&amp;"|"&amp;RIGHT("000000"&amp;$R627,6))</f>
        <v/>
      </c>
      <c r="T627">
        <f>IF($N627="","",IF(Sync!$N627="",0,Sync!$N627))</f>
        <v/>
      </c>
      <c r="U627">
        <f>IF($N627="","",IF(Sync!$O627="",0,Sync!$O627))</f>
        <v/>
      </c>
      <c r="V627">
        <f>IF($N627="","",Sync!$L627)</f>
        <v/>
      </c>
      <c r="W627">
        <f>IF($N627="","",Sync!$P627)</f>
        <v/>
      </c>
      <c r="AA627">
        <f>IF($A627="","",IF(COUNTIF($A$6:$A627,$A627)=1,1,0))</f>
        <v/>
      </c>
      <c r="AB627">
        <f>SUM($AA$6:$AA627)</f>
        <v/>
      </c>
      <c r="AC627">
        <f>IFERROR(INDEX($A$6:$A$1005,MATCH(ROW()-5,$AB$6:$AB$1005,0)),"")</f>
        <v/>
      </c>
    </row>
    <row r="628">
      <c r="A628">
        <f>IF(OR(Entry!$B631="",Entry!$E631="",$E628="نامعتبر"),"",Entry!$E631)</f>
        <v/>
      </c>
      <c r="B628">
        <f>IF($A628="","",LEFT($E628,4)&amp;MID($E628,6,2)&amp;RIGHT($E628,2)&amp;$F628&amp;"|"&amp;"1"&amp;RIGHT("00000"&amp;623,5))</f>
        <v/>
      </c>
      <c r="C628">
        <f>IF($B628="","",COUNTIFS($A$6:$A$1005,$A628,$B$6:$B$1005,"&lt;"&amp;$B628)+COUNTIFS($N$6:$N$2005,$A628,$P$6:$P$2005,"&lt;"&amp;$B628)+1)</f>
        <v/>
      </c>
      <c r="D628">
        <f>IF($C628="","",$A628&amp;"|"&amp;RIGHT("000000"&amp;$C628,6))</f>
        <v/>
      </c>
      <c r="E628">
        <f>IF(Entry!$B631="","",IF(ISNUMBER(Entry!$B631),IF(AND(Entry!$B631&gt;=10000101,Entry!$B631&lt;=99991231),INT(Entry!$B631/10000)&amp;"/"&amp;RIGHT("00"&amp;INT(MOD(Entry!$B631,10000)/100),2)&amp;"/"&amp;RIGHT("00"&amp;MOD(Entry!$B631,100),2),"نامعتبر"),IF(LEN(Entry!$B631)=10,Entry!$B631,"نامعتبر")))</f>
        <v/>
      </c>
      <c r="F628">
        <f>IF(Entry!$B631="","",IF(Entry!$C631="","0000",IF(AND(ISNUMBER(Entry!$C631),Entry!$C631&gt;=0,Entry!$C631&lt;1),RIGHT("00"&amp;HOUR(Entry!$C631),2)&amp;RIGHT("00"&amp;MINUTE(Entry!$C631),2),IFERROR(RIGHT("00"&amp;VALUE(LEFT(Entry!$C631,FIND(":",Entry!$C631)-1)),2)&amp;RIGHT("00"&amp;VALUE(MID(Entry!$C631,FIND(":",Entry!$C631)+1,2)),2),"0000"))))</f>
        <v/>
      </c>
      <c r="G628">
        <f>IF($A628="","",Entry!$G631)</f>
        <v/>
      </c>
      <c r="H628">
        <f>IF($A628="","",IF(Entry!$H631="",0,Entry!$H631))</f>
        <v/>
      </c>
      <c r="I628">
        <f>IF($A628="","",IF(Entry!$I631="",0,Entry!$I631))</f>
        <v/>
      </c>
      <c r="J628">
        <f>IF($A628="","",ROUND($H628*$I628,0))</f>
        <v/>
      </c>
      <c r="K628">
        <f>IF($A628="","",Entry!$D631)</f>
        <v/>
      </c>
      <c r="L628">
        <f>IF($A628="","",Entry!$L631)</f>
        <v/>
      </c>
      <c r="N628">
        <f>IF(OR(Sync!$M628="",$Q628="",$Q628="نامعتبر"),"",Sync!$M628)</f>
        <v/>
      </c>
      <c r="O628">
        <f>IF($N628="","",$Q628)</f>
        <v/>
      </c>
      <c r="P628">
        <f>IF($N628="","",LEFT($Q628,4)&amp;MID($Q628,6,2)&amp;RIGHT($Q628,2)&amp;IF(Sync!$K628="","0000",IF(AND(ISNUMBER(Sync!$K628),Sync!$K628&gt;=0,Sync!$K628&lt;1),RIGHT("00"&amp;HOUR(Sync!$K628),2)&amp;RIGHT("00"&amp;MINUTE(Sync!$K628),2),IFERROR(RIGHT("00"&amp;VALUE(LEFT(Sync!$K628,FIND(":",Sync!$K628)-1)),2)&amp;RIGHT("00"&amp;VALUE(MID(Sync!$K628,FIND(":",Sync!$K628)+1,2)),2),"0000")))&amp;"|"&amp;"2"&amp;RIGHT("00000"&amp;623,5))</f>
        <v/>
      </c>
      <c r="Q628">
        <f>IF(Sync!$J628="","",IF(ISNUMBER(Sync!$J628),IF(AND(Sync!$J628&gt;=10000101,Sync!$J628&lt;=99991231),INT(Sync!$J628/10000)&amp;"/"&amp;RIGHT("00"&amp;INT(MOD(Sync!$J628,10000)/100),2)&amp;"/"&amp;RIGHT("00"&amp;MOD(Sync!$J628,100),2),"نامعتبر"),IF(LEN(Sync!$J628)=10,Sync!$J628,"نامعتبر")))</f>
        <v/>
      </c>
      <c r="R628">
        <f>IF($P628="","",COUNTIFS($N$6:$N$2005,$N628,$P$6:$P$2005,"&lt;"&amp;$P628)+COUNTIFS($A$6:$A$1005,$N628,$B$6:$B$1005,"&lt;"&amp;$P628)+1)</f>
        <v/>
      </c>
      <c r="S628">
        <f>IF($N628="","",$N628&amp;"|"&amp;RIGHT("000000"&amp;$R628,6))</f>
        <v/>
      </c>
      <c r="T628">
        <f>IF($N628="","",IF(Sync!$N628="",0,Sync!$N628))</f>
        <v/>
      </c>
      <c r="U628">
        <f>IF($N628="","",IF(Sync!$O628="",0,Sync!$O628))</f>
        <v/>
      </c>
      <c r="V628">
        <f>IF($N628="","",Sync!$L628)</f>
        <v/>
      </c>
      <c r="W628">
        <f>IF($N628="","",Sync!$P628)</f>
        <v/>
      </c>
      <c r="AA628">
        <f>IF($A628="","",IF(COUNTIF($A$6:$A628,$A628)=1,1,0))</f>
        <v/>
      </c>
      <c r="AB628">
        <f>SUM($AA$6:$AA628)</f>
        <v/>
      </c>
      <c r="AC628">
        <f>IFERROR(INDEX($A$6:$A$1005,MATCH(ROW()-5,$AB$6:$AB$1005,0)),"")</f>
        <v/>
      </c>
    </row>
    <row r="629">
      <c r="A629">
        <f>IF(OR(Entry!$B632="",Entry!$E632="",$E629="نامعتبر"),"",Entry!$E632)</f>
        <v/>
      </c>
      <c r="B629">
        <f>IF($A629="","",LEFT($E629,4)&amp;MID($E629,6,2)&amp;RIGHT($E629,2)&amp;$F629&amp;"|"&amp;"1"&amp;RIGHT("00000"&amp;624,5))</f>
        <v/>
      </c>
      <c r="C629">
        <f>IF($B629="","",COUNTIFS($A$6:$A$1005,$A629,$B$6:$B$1005,"&lt;"&amp;$B629)+COUNTIFS($N$6:$N$2005,$A629,$P$6:$P$2005,"&lt;"&amp;$B629)+1)</f>
        <v/>
      </c>
      <c r="D629">
        <f>IF($C629="","",$A629&amp;"|"&amp;RIGHT("000000"&amp;$C629,6))</f>
        <v/>
      </c>
      <c r="E629">
        <f>IF(Entry!$B632="","",IF(ISNUMBER(Entry!$B632),IF(AND(Entry!$B632&gt;=10000101,Entry!$B632&lt;=99991231),INT(Entry!$B632/10000)&amp;"/"&amp;RIGHT("00"&amp;INT(MOD(Entry!$B632,10000)/100),2)&amp;"/"&amp;RIGHT("00"&amp;MOD(Entry!$B632,100),2),"نامعتبر"),IF(LEN(Entry!$B632)=10,Entry!$B632,"نامعتبر")))</f>
        <v/>
      </c>
      <c r="F629">
        <f>IF(Entry!$B632="","",IF(Entry!$C632="","0000",IF(AND(ISNUMBER(Entry!$C632),Entry!$C632&gt;=0,Entry!$C632&lt;1),RIGHT("00"&amp;HOUR(Entry!$C632),2)&amp;RIGHT("00"&amp;MINUTE(Entry!$C632),2),IFERROR(RIGHT("00"&amp;VALUE(LEFT(Entry!$C632,FIND(":",Entry!$C632)-1)),2)&amp;RIGHT("00"&amp;VALUE(MID(Entry!$C632,FIND(":",Entry!$C632)+1,2)),2),"0000"))))</f>
        <v/>
      </c>
      <c r="G629">
        <f>IF($A629="","",Entry!$G632)</f>
        <v/>
      </c>
      <c r="H629">
        <f>IF($A629="","",IF(Entry!$H632="",0,Entry!$H632))</f>
        <v/>
      </c>
      <c r="I629">
        <f>IF($A629="","",IF(Entry!$I632="",0,Entry!$I632))</f>
        <v/>
      </c>
      <c r="J629">
        <f>IF($A629="","",ROUND($H629*$I629,0))</f>
        <v/>
      </c>
      <c r="K629">
        <f>IF($A629="","",Entry!$D632)</f>
        <v/>
      </c>
      <c r="L629">
        <f>IF($A629="","",Entry!$L632)</f>
        <v/>
      </c>
      <c r="N629">
        <f>IF(OR(Sync!$M629="",$Q629="",$Q629="نامعتبر"),"",Sync!$M629)</f>
        <v/>
      </c>
      <c r="O629">
        <f>IF($N629="","",$Q629)</f>
        <v/>
      </c>
      <c r="P629">
        <f>IF($N629="","",LEFT($Q629,4)&amp;MID($Q629,6,2)&amp;RIGHT($Q629,2)&amp;IF(Sync!$K629="","0000",IF(AND(ISNUMBER(Sync!$K629),Sync!$K629&gt;=0,Sync!$K629&lt;1),RIGHT("00"&amp;HOUR(Sync!$K629),2)&amp;RIGHT("00"&amp;MINUTE(Sync!$K629),2),IFERROR(RIGHT("00"&amp;VALUE(LEFT(Sync!$K629,FIND(":",Sync!$K629)-1)),2)&amp;RIGHT("00"&amp;VALUE(MID(Sync!$K629,FIND(":",Sync!$K629)+1,2)),2),"0000")))&amp;"|"&amp;"2"&amp;RIGHT("00000"&amp;624,5))</f>
        <v/>
      </c>
      <c r="Q629">
        <f>IF(Sync!$J629="","",IF(ISNUMBER(Sync!$J629),IF(AND(Sync!$J629&gt;=10000101,Sync!$J629&lt;=99991231),INT(Sync!$J629/10000)&amp;"/"&amp;RIGHT("00"&amp;INT(MOD(Sync!$J629,10000)/100),2)&amp;"/"&amp;RIGHT("00"&amp;MOD(Sync!$J629,100),2),"نامعتبر"),IF(LEN(Sync!$J629)=10,Sync!$J629,"نامعتبر")))</f>
        <v/>
      </c>
      <c r="R629">
        <f>IF($P629="","",COUNTIFS($N$6:$N$2005,$N629,$P$6:$P$2005,"&lt;"&amp;$P629)+COUNTIFS($A$6:$A$1005,$N629,$B$6:$B$1005,"&lt;"&amp;$P629)+1)</f>
        <v/>
      </c>
      <c r="S629">
        <f>IF($N629="","",$N629&amp;"|"&amp;RIGHT("000000"&amp;$R629,6))</f>
        <v/>
      </c>
      <c r="T629">
        <f>IF($N629="","",IF(Sync!$N629="",0,Sync!$N629))</f>
        <v/>
      </c>
      <c r="U629">
        <f>IF($N629="","",IF(Sync!$O629="",0,Sync!$O629))</f>
        <v/>
      </c>
      <c r="V629">
        <f>IF($N629="","",Sync!$L629)</f>
        <v/>
      </c>
      <c r="W629">
        <f>IF($N629="","",Sync!$P629)</f>
        <v/>
      </c>
      <c r="AA629">
        <f>IF($A629="","",IF(COUNTIF($A$6:$A629,$A629)=1,1,0))</f>
        <v/>
      </c>
      <c r="AB629">
        <f>SUM($AA$6:$AA629)</f>
        <v/>
      </c>
      <c r="AC629">
        <f>IFERROR(INDEX($A$6:$A$1005,MATCH(ROW()-5,$AB$6:$AB$1005,0)),"")</f>
        <v/>
      </c>
    </row>
    <row r="630">
      <c r="A630">
        <f>IF(OR(Entry!$B633="",Entry!$E633="",$E630="نامعتبر"),"",Entry!$E633)</f>
        <v/>
      </c>
      <c r="B630">
        <f>IF($A630="","",LEFT($E630,4)&amp;MID($E630,6,2)&amp;RIGHT($E630,2)&amp;$F630&amp;"|"&amp;"1"&amp;RIGHT("00000"&amp;625,5))</f>
        <v/>
      </c>
      <c r="C630">
        <f>IF($B630="","",COUNTIFS($A$6:$A$1005,$A630,$B$6:$B$1005,"&lt;"&amp;$B630)+COUNTIFS($N$6:$N$2005,$A630,$P$6:$P$2005,"&lt;"&amp;$B630)+1)</f>
        <v/>
      </c>
      <c r="D630">
        <f>IF($C630="","",$A630&amp;"|"&amp;RIGHT("000000"&amp;$C630,6))</f>
        <v/>
      </c>
      <c r="E630">
        <f>IF(Entry!$B633="","",IF(ISNUMBER(Entry!$B633),IF(AND(Entry!$B633&gt;=10000101,Entry!$B633&lt;=99991231),INT(Entry!$B633/10000)&amp;"/"&amp;RIGHT("00"&amp;INT(MOD(Entry!$B633,10000)/100),2)&amp;"/"&amp;RIGHT("00"&amp;MOD(Entry!$B633,100),2),"نامعتبر"),IF(LEN(Entry!$B633)=10,Entry!$B633,"نامعتبر")))</f>
        <v/>
      </c>
      <c r="F630">
        <f>IF(Entry!$B633="","",IF(Entry!$C633="","0000",IF(AND(ISNUMBER(Entry!$C633),Entry!$C633&gt;=0,Entry!$C633&lt;1),RIGHT("00"&amp;HOUR(Entry!$C633),2)&amp;RIGHT("00"&amp;MINUTE(Entry!$C633),2),IFERROR(RIGHT("00"&amp;VALUE(LEFT(Entry!$C633,FIND(":",Entry!$C633)-1)),2)&amp;RIGHT("00"&amp;VALUE(MID(Entry!$C633,FIND(":",Entry!$C633)+1,2)),2),"0000"))))</f>
        <v/>
      </c>
      <c r="G630">
        <f>IF($A630="","",Entry!$G633)</f>
        <v/>
      </c>
      <c r="H630">
        <f>IF($A630="","",IF(Entry!$H633="",0,Entry!$H633))</f>
        <v/>
      </c>
      <c r="I630">
        <f>IF($A630="","",IF(Entry!$I633="",0,Entry!$I633))</f>
        <v/>
      </c>
      <c r="J630">
        <f>IF($A630="","",ROUND($H630*$I630,0))</f>
        <v/>
      </c>
      <c r="K630">
        <f>IF($A630="","",Entry!$D633)</f>
        <v/>
      </c>
      <c r="L630">
        <f>IF($A630="","",Entry!$L633)</f>
        <v/>
      </c>
      <c r="N630">
        <f>IF(OR(Sync!$M630="",$Q630="",$Q630="نامعتبر"),"",Sync!$M630)</f>
        <v/>
      </c>
      <c r="O630">
        <f>IF($N630="","",$Q630)</f>
        <v/>
      </c>
      <c r="P630">
        <f>IF($N630="","",LEFT($Q630,4)&amp;MID($Q630,6,2)&amp;RIGHT($Q630,2)&amp;IF(Sync!$K630="","0000",IF(AND(ISNUMBER(Sync!$K630),Sync!$K630&gt;=0,Sync!$K630&lt;1),RIGHT("00"&amp;HOUR(Sync!$K630),2)&amp;RIGHT("00"&amp;MINUTE(Sync!$K630),2),IFERROR(RIGHT("00"&amp;VALUE(LEFT(Sync!$K630,FIND(":",Sync!$K630)-1)),2)&amp;RIGHT("00"&amp;VALUE(MID(Sync!$K630,FIND(":",Sync!$K630)+1,2)),2),"0000")))&amp;"|"&amp;"2"&amp;RIGHT("00000"&amp;625,5))</f>
        <v/>
      </c>
      <c r="Q630">
        <f>IF(Sync!$J630="","",IF(ISNUMBER(Sync!$J630),IF(AND(Sync!$J630&gt;=10000101,Sync!$J630&lt;=99991231),INT(Sync!$J630/10000)&amp;"/"&amp;RIGHT("00"&amp;INT(MOD(Sync!$J630,10000)/100),2)&amp;"/"&amp;RIGHT("00"&amp;MOD(Sync!$J630,100),2),"نامعتبر"),IF(LEN(Sync!$J630)=10,Sync!$J630,"نامعتبر")))</f>
        <v/>
      </c>
      <c r="R630">
        <f>IF($P630="","",COUNTIFS($N$6:$N$2005,$N630,$P$6:$P$2005,"&lt;"&amp;$P630)+COUNTIFS($A$6:$A$1005,$N630,$B$6:$B$1005,"&lt;"&amp;$P630)+1)</f>
        <v/>
      </c>
      <c r="S630">
        <f>IF($N630="","",$N630&amp;"|"&amp;RIGHT("000000"&amp;$R630,6))</f>
        <v/>
      </c>
      <c r="T630">
        <f>IF($N630="","",IF(Sync!$N630="",0,Sync!$N630))</f>
        <v/>
      </c>
      <c r="U630">
        <f>IF($N630="","",IF(Sync!$O630="",0,Sync!$O630))</f>
        <v/>
      </c>
      <c r="V630">
        <f>IF($N630="","",Sync!$L630)</f>
        <v/>
      </c>
      <c r="W630">
        <f>IF($N630="","",Sync!$P630)</f>
        <v/>
      </c>
      <c r="AA630">
        <f>IF($A630="","",IF(COUNTIF($A$6:$A630,$A630)=1,1,0))</f>
        <v/>
      </c>
      <c r="AB630">
        <f>SUM($AA$6:$AA630)</f>
        <v/>
      </c>
      <c r="AC630">
        <f>IFERROR(INDEX($A$6:$A$1005,MATCH(ROW()-5,$AB$6:$AB$1005,0)),"")</f>
        <v/>
      </c>
    </row>
    <row r="631">
      <c r="A631">
        <f>IF(OR(Entry!$B634="",Entry!$E634="",$E631="نامعتبر"),"",Entry!$E634)</f>
        <v/>
      </c>
      <c r="B631">
        <f>IF($A631="","",LEFT($E631,4)&amp;MID($E631,6,2)&amp;RIGHT($E631,2)&amp;$F631&amp;"|"&amp;"1"&amp;RIGHT("00000"&amp;626,5))</f>
        <v/>
      </c>
      <c r="C631">
        <f>IF($B631="","",COUNTIFS($A$6:$A$1005,$A631,$B$6:$B$1005,"&lt;"&amp;$B631)+COUNTIFS($N$6:$N$2005,$A631,$P$6:$P$2005,"&lt;"&amp;$B631)+1)</f>
        <v/>
      </c>
      <c r="D631">
        <f>IF($C631="","",$A631&amp;"|"&amp;RIGHT("000000"&amp;$C631,6))</f>
        <v/>
      </c>
      <c r="E631">
        <f>IF(Entry!$B634="","",IF(ISNUMBER(Entry!$B634),IF(AND(Entry!$B634&gt;=10000101,Entry!$B634&lt;=99991231),INT(Entry!$B634/10000)&amp;"/"&amp;RIGHT("00"&amp;INT(MOD(Entry!$B634,10000)/100),2)&amp;"/"&amp;RIGHT("00"&amp;MOD(Entry!$B634,100),2),"نامعتبر"),IF(LEN(Entry!$B634)=10,Entry!$B634,"نامعتبر")))</f>
        <v/>
      </c>
      <c r="F631">
        <f>IF(Entry!$B634="","",IF(Entry!$C634="","0000",IF(AND(ISNUMBER(Entry!$C634),Entry!$C634&gt;=0,Entry!$C634&lt;1),RIGHT("00"&amp;HOUR(Entry!$C634),2)&amp;RIGHT("00"&amp;MINUTE(Entry!$C634),2),IFERROR(RIGHT("00"&amp;VALUE(LEFT(Entry!$C634,FIND(":",Entry!$C634)-1)),2)&amp;RIGHT("00"&amp;VALUE(MID(Entry!$C634,FIND(":",Entry!$C634)+1,2)),2),"0000"))))</f>
        <v/>
      </c>
      <c r="G631">
        <f>IF($A631="","",Entry!$G634)</f>
        <v/>
      </c>
      <c r="H631">
        <f>IF($A631="","",IF(Entry!$H634="",0,Entry!$H634))</f>
        <v/>
      </c>
      <c r="I631">
        <f>IF($A631="","",IF(Entry!$I634="",0,Entry!$I634))</f>
        <v/>
      </c>
      <c r="J631">
        <f>IF($A631="","",ROUND($H631*$I631,0))</f>
        <v/>
      </c>
      <c r="K631">
        <f>IF($A631="","",Entry!$D634)</f>
        <v/>
      </c>
      <c r="L631">
        <f>IF($A631="","",Entry!$L634)</f>
        <v/>
      </c>
      <c r="N631">
        <f>IF(OR(Sync!$M631="",$Q631="",$Q631="نامعتبر"),"",Sync!$M631)</f>
        <v/>
      </c>
      <c r="O631">
        <f>IF($N631="","",$Q631)</f>
        <v/>
      </c>
      <c r="P631">
        <f>IF($N631="","",LEFT($Q631,4)&amp;MID($Q631,6,2)&amp;RIGHT($Q631,2)&amp;IF(Sync!$K631="","0000",IF(AND(ISNUMBER(Sync!$K631),Sync!$K631&gt;=0,Sync!$K631&lt;1),RIGHT("00"&amp;HOUR(Sync!$K631),2)&amp;RIGHT("00"&amp;MINUTE(Sync!$K631),2),IFERROR(RIGHT("00"&amp;VALUE(LEFT(Sync!$K631,FIND(":",Sync!$K631)-1)),2)&amp;RIGHT("00"&amp;VALUE(MID(Sync!$K631,FIND(":",Sync!$K631)+1,2)),2),"0000")))&amp;"|"&amp;"2"&amp;RIGHT("00000"&amp;626,5))</f>
        <v/>
      </c>
      <c r="Q631">
        <f>IF(Sync!$J631="","",IF(ISNUMBER(Sync!$J631),IF(AND(Sync!$J631&gt;=10000101,Sync!$J631&lt;=99991231),INT(Sync!$J631/10000)&amp;"/"&amp;RIGHT("00"&amp;INT(MOD(Sync!$J631,10000)/100),2)&amp;"/"&amp;RIGHT("00"&amp;MOD(Sync!$J631,100),2),"نامعتبر"),IF(LEN(Sync!$J631)=10,Sync!$J631,"نامعتبر")))</f>
        <v/>
      </c>
      <c r="R631">
        <f>IF($P631="","",COUNTIFS($N$6:$N$2005,$N631,$P$6:$P$2005,"&lt;"&amp;$P631)+COUNTIFS($A$6:$A$1005,$N631,$B$6:$B$1005,"&lt;"&amp;$P631)+1)</f>
        <v/>
      </c>
      <c r="S631">
        <f>IF($N631="","",$N631&amp;"|"&amp;RIGHT("000000"&amp;$R631,6))</f>
        <v/>
      </c>
      <c r="T631">
        <f>IF($N631="","",IF(Sync!$N631="",0,Sync!$N631))</f>
        <v/>
      </c>
      <c r="U631">
        <f>IF($N631="","",IF(Sync!$O631="",0,Sync!$O631))</f>
        <v/>
      </c>
      <c r="V631">
        <f>IF($N631="","",Sync!$L631)</f>
        <v/>
      </c>
      <c r="W631">
        <f>IF($N631="","",Sync!$P631)</f>
        <v/>
      </c>
      <c r="AA631">
        <f>IF($A631="","",IF(COUNTIF($A$6:$A631,$A631)=1,1,0))</f>
        <v/>
      </c>
      <c r="AB631">
        <f>SUM($AA$6:$AA631)</f>
        <v/>
      </c>
      <c r="AC631">
        <f>IFERROR(INDEX($A$6:$A$1005,MATCH(ROW()-5,$AB$6:$AB$1005,0)),"")</f>
        <v/>
      </c>
    </row>
    <row r="632">
      <c r="A632">
        <f>IF(OR(Entry!$B635="",Entry!$E635="",$E632="نامعتبر"),"",Entry!$E635)</f>
        <v/>
      </c>
      <c r="B632">
        <f>IF($A632="","",LEFT($E632,4)&amp;MID($E632,6,2)&amp;RIGHT($E632,2)&amp;$F632&amp;"|"&amp;"1"&amp;RIGHT("00000"&amp;627,5))</f>
        <v/>
      </c>
      <c r="C632">
        <f>IF($B632="","",COUNTIFS($A$6:$A$1005,$A632,$B$6:$B$1005,"&lt;"&amp;$B632)+COUNTIFS($N$6:$N$2005,$A632,$P$6:$P$2005,"&lt;"&amp;$B632)+1)</f>
        <v/>
      </c>
      <c r="D632">
        <f>IF($C632="","",$A632&amp;"|"&amp;RIGHT("000000"&amp;$C632,6))</f>
        <v/>
      </c>
      <c r="E632">
        <f>IF(Entry!$B635="","",IF(ISNUMBER(Entry!$B635),IF(AND(Entry!$B635&gt;=10000101,Entry!$B635&lt;=99991231),INT(Entry!$B635/10000)&amp;"/"&amp;RIGHT("00"&amp;INT(MOD(Entry!$B635,10000)/100),2)&amp;"/"&amp;RIGHT("00"&amp;MOD(Entry!$B635,100),2),"نامعتبر"),IF(LEN(Entry!$B635)=10,Entry!$B635,"نامعتبر")))</f>
        <v/>
      </c>
      <c r="F632">
        <f>IF(Entry!$B635="","",IF(Entry!$C635="","0000",IF(AND(ISNUMBER(Entry!$C635),Entry!$C635&gt;=0,Entry!$C635&lt;1),RIGHT("00"&amp;HOUR(Entry!$C635),2)&amp;RIGHT("00"&amp;MINUTE(Entry!$C635),2),IFERROR(RIGHT("00"&amp;VALUE(LEFT(Entry!$C635,FIND(":",Entry!$C635)-1)),2)&amp;RIGHT("00"&amp;VALUE(MID(Entry!$C635,FIND(":",Entry!$C635)+1,2)),2),"0000"))))</f>
        <v/>
      </c>
      <c r="G632">
        <f>IF($A632="","",Entry!$G635)</f>
        <v/>
      </c>
      <c r="H632">
        <f>IF($A632="","",IF(Entry!$H635="",0,Entry!$H635))</f>
        <v/>
      </c>
      <c r="I632">
        <f>IF($A632="","",IF(Entry!$I635="",0,Entry!$I635))</f>
        <v/>
      </c>
      <c r="J632">
        <f>IF($A632="","",ROUND($H632*$I632,0))</f>
        <v/>
      </c>
      <c r="K632">
        <f>IF($A632="","",Entry!$D635)</f>
        <v/>
      </c>
      <c r="L632">
        <f>IF($A632="","",Entry!$L635)</f>
        <v/>
      </c>
      <c r="N632">
        <f>IF(OR(Sync!$M632="",$Q632="",$Q632="نامعتبر"),"",Sync!$M632)</f>
        <v/>
      </c>
      <c r="O632">
        <f>IF($N632="","",$Q632)</f>
        <v/>
      </c>
      <c r="P632">
        <f>IF($N632="","",LEFT($Q632,4)&amp;MID($Q632,6,2)&amp;RIGHT($Q632,2)&amp;IF(Sync!$K632="","0000",IF(AND(ISNUMBER(Sync!$K632),Sync!$K632&gt;=0,Sync!$K632&lt;1),RIGHT("00"&amp;HOUR(Sync!$K632),2)&amp;RIGHT("00"&amp;MINUTE(Sync!$K632),2),IFERROR(RIGHT("00"&amp;VALUE(LEFT(Sync!$K632,FIND(":",Sync!$K632)-1)),2)&amp;RIGHT("00"&amp;VALUE(MID(Sync!$K632,FIND(":",Sync!$K632)+1,2)),2),"0000")))&amp;"|"&amp;"2"&amp;RIGHT("00000"&amp;627,5))</f>
        <v/>
      </c>
      <c r="Q632">
        <f>IF(Sync!$J632="","",IF(ISNUMBER(Sync!$J632),IF(AND(Sync!$J632&gt;=10000101,Sync!$J632&lt;=99991231),INT(Sync!$J632/10000)&amp;"/"&amp;RIGHT("00"&amp;INT(MOD(Sync!$J632,10000)/100),2)&amp;"/"&amp;RIGHT("00"&amp;MOD(Sync!$J632,100),2),"نامعتبر"),IF(LEN(Sync!$J632)=10,Sync!$J632,"نامعتبر")))</f>
        <v/>
      </c>
      <c r="R632">
        <f>IF($P632="","",COUNTIFS($N$6:$N$2005,$N632,$P$6:$P$2005,"&lt;"&amp;$P632)+COUNTIFS($A$6:$A$1005,$N632,$B$6:$B$1005,"&lt;"&amp;$P632)+1)</f>
        <v/>
      </c>
      <c r="S632">
        <f>IF($N632="","",$N632&amp;"|"&amp;RIGHT("000000"&amp;$R632,6))</f>
        <v/>
      </c>
      <c r="T632">
        <f>IF($N632="","",IF(Sync!$N632="",0,Sync!$N632))</f>
        <v/>
      </c>
      <c r="U632">
        <f>IF($N632="","",IF(Sync!$O632="",0,Sync!$O632))</f>
        <v/>
      </c>
      <c r="V632">
        <f>IF($N632="","",Sync!$L632)</f>
        <v/>
      </c>
      <c r="W632">
        <f>IF($N632="","",Sync!$P632)</f>
        <v/>
      </c>
      <c r="AA632">
        <f>IF($A632="","",IF(COUNTIF($A$6:$A632,$A632)=1,1,0))</f>
        <v/>
      </c>
      <c r="AB632">
        <f>SUM($AA$6:$AA632)</f>
        <v/>
      </c>
      <c r="AC632">
        <f>IFERROR(INDEX($A$6:$A$1005,MATCH(ROW()-5,$AB$6:$AB$1005,0)),"")</f>
        <v/>
      </c>
    </row>
    <row r="633">
      <c r="A633">
        <f>IF(OR(Entry!$B636="",Entry!$E636="",$E633="نامعتبر"),"",Entry!$E636)</f>
        <v/>
      </c>
      <c r="B633">
        <f>IF($A633="","",LEFT($E633,4)&amp;MID($E633,6,2)&amp;RIGHT($E633,2)&amp;$F633&amp;"|"&amp;"1"&amp;RIGHT("00000"&amp;628,5))</f>
        <v/>
      </c>
      <c r="C633">
        <f>IF($B633="","",COUNTIFS($A$6:$A$1005,$A633,$B$6:$B$1005,"&lt;"&amp;$B633)+COUNTIFS($N$6:$N$2005,$A633,$P$6:$P$2005,"&lt;"&amp;$B633)+1)</f>
        <v/>
      </c>
      <c r="D633">
        <f>IF($C633="","",$A633&amp;"|"&amp;RIGHT("000000"&amp;$C633,6))</f>
        <v/>
      </c>
      <c r="E633">
        <f>IF(Entry!$B636="","",IF(ISNUMBER(Entry!$B636),IF(AND(Entry!$B636&gt;=10000101,Entry!$B636&lt;=99991231),INT(Entry!$B636/10000)&amp;"/"&amp;RIGHT("00"&amp;INT(MOD(Entry!$B636,10000)/100),2)&amp;"/"&amp;RIGHT("00"&amp;MOD(Entry!$B636,100),2),"نامعتبر"),IF(LEN(Entry!$B636)=10,Entry!$B636,"نامعتبر")))</f>
        <v/>
      </c>
      <c r="F633">
        <f>IF(Entry!$B636="","",IF(Entry!$C636="","0000",IF(AND(ISNUMBER(Entry!$C636),Entry!$C636&gt;=0,Entry!$C636&lt;1),RIGHT("00"&amp;HOUR(Entry!$C636),2)&amp;RIGHT("00"&amp;MINUTE(Entry!$C636),2),IFERROR(RIGHT("00"&amp;VALUE(LEFT(Entry!$C636,FIND(":",Entry!$C636)-1)),2)&amp;RIGHT("00"&amp;VALUE(MID(Entry!$C636,FIND(":",Entry!$C636)+1,2)),2),"0000"))))</f>
        <v/>
      </c>
      <c r="G633">
        <f>IF($A633="","",Entry!$G636)</f>
        <v/>
      </c>
      <c r="H633">
        <f>IF($A633="","",IF(Entry!$H636="",0,Entry!$H636))</f>
        <v/>
      </c>
      <c r="I633">
        <f>IF($A633="","",IF(Entry!$I636="",0,Entry!$I636))</f>
        <v/>
      </c>
      <c r="J633">
        <f>IF($A633="","",ROUND($H633*$I633,0))</f>
        <v/>
      </c>
      <c r="K633">
        <f>IF($A633="","",Entry!$D636)</f>
        <v/>
      </c>
      <c r="L633">
        <f>IF($A633="","",Entry!$L636)</f>
        <v/>
      </c>
      <c r="N633">
        <f>IF(OR(Sync!$M633="",$Q633="",$Q633="نامعتبر"),"",Sync!$M633)</f>
        <v/>
      </c>
      <c r="O633">
        <f>IF($N633="","",$Q633)</f>
        <v/>
      </c>
      <c r="P633">
        <f>IF($N633="","",LEFT($Q633,4)&amp;MID($Q633,6,2)&amp;RIGHT($Q633,2)&amp;IF(Sync!$K633="","0000",IF(AND(ISNUMBER(Sync!$K633),Sync!$K633&gt;=0,Sync!$K633&lt;1),RIGHT("00"&amp;HOUR(Sync!$K633),2)&amp;RIGHT("00"&amp;MINUTE(Sync!$K633),2),IFERROR(RIGHT("00"&amp;VALUE(LEFT(Sync!$K633,FIND(":",Sync!$K633)-1)),2)&amp;RIGHT("00"&amp;VALUE(MID(Sync!$K633,FIND(":",Sync!$K633)+1,2)),2),"0000")))&amp;"|"&amp;"2"&amp;RIGHT("00000"&amp;628,5))</f>
        <v/>
      </c>
      <c r="Q633">
        <f>IF(Sync!$J633="","",IF(ISNUMBER(Sync!$J633),IF(AND(Sync!$J633&gt;=10000101,Sync!$J633&lt;=99991231),INT(Sync!$J633/10000)&amp;"/"&amp;RIGHT("00"&amp;INT(MOD(Sync!$J633,10000)/100),2)&amp;"/"&amp;RIGHT("00"&amp;MOD(Sync!$J633,100),2),"نامعتبر"),IF(LEN(Sync!$J633)=10,Sync!$J633,"نامعتبر")))</f>
        <v/>
      </c>
      <c r="R633">
        <f>IF($P633="","",COUNTIFS($N$6:$N$2005,$N633,$P$6:$P$2005,"&lt;"&amp;$P633)+COUNTIFS($A$6:$A$1005,$N633,$B$6:$B$1005,"&lt;"&amp;$P633)+1)</f>
        <v/>
      </c>
      <c r="S633">
        <f>IF($N633="","",$N633&amp;"|"&amp;RIGHT("000000"&amp;$R633,6))</f>
        <v/>
      </c>
      <c r="T633">
        <f>IF($N633="","",IF(Sync!$N633="",0,Sync!$N633))</f>
        <v/>
      </c>
      <c r="U633">
        <f>IF($N633="","",IF(Sync!$O633="",0,Sync!$O633))</f>
        <v/>
      </c>
      <c r="V633">
        <f>IF($N633="","",Sync!$L633)</f>
        <v/>
      </c>
      <c r="W633">
        <f>IF($N633="","",Sync!$P633)</f>
        <v/>
      </c>
      <c r="AA633">
        <f>IF($A633="","",IF(COUNTIF($A$6:$A633,$A633)=1,1,0))</f>
        <v/>
      </c>
      <c r="AB633">
        <f>SUM($AA$6:$AA633)</f>
        <v/>
      </c>
      <c r="AC633">
        <f>IFERROR(INDEX($A$6:$A$1005,MATCH(ROW()-5,$AB$6:$AB$1005,0)),"")</f>
        <v/>
      </c>
    </row>
    <row r="634">
      <c r="A634">
        <f>IF(OR(Entry!$B637="",Entry!$E637="",$E634="نامعتبر"),"",Entry!$E637)</f>
        <v/>
      </c>
      <c r="B634">
        <f>IF($A634="","",LEFT($E634,4)&amp;MID($E634,6,2)&amp;RIGHT($E634,2)&amp;$F634&amp;"|"&amp;"1"&amp;RIGHT("00000"&amp;629,5))</f>
        <v/>
      </c>
      <c r="C634">
        <f>IF($B634="","",COUNTIFS($A$6:$A$1005,$A634,$B$6:$B$1005,"&lt;"&amp;$B634)+COUNTIFS($N$6:$N$2005,$A634,$P$6:$P$2005,"&lt;"&amp;$B634)+1)</f>
        <v/>
      </c>
      <c r="D634">
        <f>IF($C634="","",$A634&amp;"|"&amp;RIGHT("000000"&amp;$C634,6))</f>
        <v/>
      </c>
      <c r="E634">
        <f>IF(Entry!$B637="","",IF(ISNUMBER(Entry!$B637),IF(AND(Entry!$B637&gt;=10000101,Entry!$B637&lt;=99991231),INT(Entry!$B637/10000)&amp;"/"&amp;RIGHT("00"&amp;INT(MOD(Entry!$B637,10000)/100),2)&amp;"/"&amp;RIGHT("00"&amp;MOD(Entry!$B637,100),2),"نامعتبر"),IF(LEN(Entry!$B637)=10,Entry!$B637,"نامعتبر")))</f>
        <v/>
      </c>
      <c r="F634">
        <f>IF(Entry!$B637="","",IF(Entry!$C637="","0000",IF(AND(ISNUMBER(Entry!$C637),Entry!$C637&gt;=0,Entry!$C637&lt;1),RIGHT("00"&amp;HOUR(Entry!$C637),2)&amp;RIGHT("00"&amp;MINUTE(Entry!$C637),2),IFERROR(RIGHT("00"&amp;VALUE(LEFT(Entry!$C637,FIND(":",Entry!$C637)-1)),2)&amp;RIGHT("00"&amp;VALUE(MID(Entry!$C637,FIND(":",Entry!$C637)+1,2)),2),"0000"))))</f>
        <v/>
      </c>
      <c r="G634">
        <f>IF($A634="","",Entry!$G637)</f>
        <v/>
      </c>
      <c r="H634">
        <f>IF($A634="","",IF(Entry!$H637="",0,Entry!$H637))</f>
        <v/>
      </c>
      <c r="I634">
        <f>IF($A634="","",IF(Entry!$I637="",0,Entry!$I637))</f>
        <v/>
      </c>
      <c r="J634">
        <f>IF($A634="","",ROUND($H634*$I634,0))</f>
        <v/>
      </c>
      <c r="K634">
        <f>IF($A634="","",Entry!$D637)</f>
        <v/>
      </c>
      <c r="L634">
        <f>IF($A634="","",Entry!$L637)</f>
        <v/>
      </c>
      <c r="N634">
        <f>IF(OR(Sync!$M634="",$Q634="",$Q634="نامعتبر"),"",Sync!$M634)</f>
        <v/>
      </c>
      <c r="O634">
        <f>IF($N634="","",$Q634)</f>
        <v/>
      </c>
      <c r="P634">
        <f>IF($N634="","",LEFT($Q634,4)&amp;MID($Q634,6,2)&amp;RIGHT($Q634,2)&amp;IF(Sync!$K634="","0000",IF(AND(ISNUMBER(Sync!$K634),Sync!$K634&gt;=0,Sync!$K634&lt;1),RIGHT("00"&amp;HOUR(Sync!$K634),2)&amp;RIGHT("00"&amp;MINUTE(Sync!$K634),2),IFERROR(RIGHT("00"&amp;VALUE(LEFT(Sync!$K634,FIND(":",Sync!$K634)-1)),2)&amp;RIGHT("00"&amp;VALUE(MID(Sync!$K634,FIND(":",Sync!$K634)+1,2)),2),"0000")))&amp;"|"&amp;"2"&amp;RIGHT("00000"&amp;629,5))</f>
        <v/>
      </c>
      <c r="Q634">
        <f>IF(Sync!$J634="","",IF(ISNUMBER(Sync!$J634),IF(AND(Sync!$J634&gt;=10000101,Sync!$J634&lt;=99991231),INT(Sync!$J634/10000)&amp;"/"&amp;RIGHT("00"&amp;INT(MOD(Sync!$J634,10000)/100),2)&amp;"/"&amp;RIGHT("00"&amp;MOD(Sync!$J634,100),2),"نامعتبر"),IF(LEN(Sync!$J634)=10,Sync!$J634,"نامعتبر")))</f>
        <v/>
      </c>
      <c r="R634">
        <f>IF($P634="","",COUNTIFS($N$6:$N$2005,$N634,$P$6:$P$2005,"&lt;"&amp;$P634)+COUNTIFS($A$6:$A$1005,$N634,$B$6:$B$1005,"&lt;"&amp;$P634)+1)</f>
        <v/>
      </c>
      <c r="S634">
        <f>IF($N634="","",$N634&amp;"|"&amp;RIGHT("000000"&amp;$R634,6))</f>
        <v/>
      </c>
      <c r="T634">
        <f>IF($N634="","",IF(Sync!$N634="",0,Sync!$N634))</f>
        <v/>
      </c>
      <c r="U634">
        <f>IF($N634="","",IF(Sync!$O634="",0,Sync!$O634))</f>
        <v/>
      </c>
      <c r="V634">
        <f>IF($N634="","",Sync!$L634)</f>
        <v/>
      </c>
      <c r="W634">
        <f>IF($N634="","",Sync!$P634)</f>
        <v/>
      </c>
      <c r="AA634">
        <f>IF($A634="","",IF(COUNTIF($A$6:$A634,$A634)=1,1,0))</f>
        <v/>
      </c>
      <c r="AB634">
        <f>SUM($AA$6:$AA634)</f>
        <v/>
      </c>
      <c r="AC634">
        <f>IFERROR(INDEX($A$6:$A$1005,MATCH(ROW()-5,$AB$6:$AB$1005,0)),"")</f>
        <v/>
      </c>
    </row>
    <row r="635">
      <c r="A635">
        <f>IF(OR(Entry!$B638="",Entry!$E638="",$E635="نامعتبر"),"",Entry!$E638)</f>
        <v/>
      </c>
      <c r="B635">
        <f>IF($A635="","",LEFT($E635,4)&amp;MID($E635,6,2)&amp;RIGHT($E635,2)&amp;$F635&amp;"|"&amp;"1"&amp;RIGHT("00000"&amp;630,5))</f>
        <v/>
      </c>
      <c r="C635">
        <f>IF($B635="","",COUNTIFS($A$6:$A$1005,$A635,$B$6:$B$1005,"&lt;"&amp;$B635)+COUNTIFS($N$6:$N$2005,$A635,$P$6:$P$2005,"&lt;"&amp;$B635)+1)</f>
        <v/>
      </c>
      <c r="D635">
        <f>IF($C635="","",$A635&amp;"|"&amp;RIGHT("000000"&amp;$C635,6))</f>
        <v/>
      </c>
      <c r="E635">
        <f>IF(Entry!$B638="","",IF(ISNUMBER(Entry!$B638),IF(AND(Entry!$B638&gt;=10000101,Entry!$B638&lt;=99991231),INT(Entry!$B638/10000)&amp;"/"&amp;RIGHT("00"&amp;INT(MOD(Entry!$B638,10000)/100),2)&amp;"/"&amp;RIGHT("00"&amp;MOD(Entry!$B638,100),2),"نامعتبر"),IF(LEN(Entry!$B638)=10,Entry!$B638,"نامعتبر")))</f>
        <v/>
      </c>
      <c r="F635">
        <f>IF(Entry!$B638="","",IF(Entry!$C638="","0000",IF(AND(ISNUMBER(Entry!$C638),Entry!$C638&gt;=0,Entry!$C638&lt;1),RIGHT("00"&amp;HOUR(Entry!$C638),2)&amp;RIGHT("00"&amp;MINUTE(Entry!$C638),2),IFERROR(RIGHT("00"&amp;VALUE(LEFT(Entry!$C638,FIND(":",Entry!$C638)-1)),2)&amp;RIGHT("00"&amp;VALUE(MID(Entry!$C638,FIND(":",Entry!$C638)+1,2)),2),"0000"))))</f>
        <v/>
      </c>
      <c r="G635">
        <f>IF($A635="","",Entry!$G638)</f>
        <v/>
      </c>
      <c r="H635">
        <f>IF($A635="","",IF(Entry!$H638="",0,Entry!$H638))</f>
        <v/>
      </c>
      <c r="I635">
        <f>IF($A635="","",IF(Entry!$I638="",0,Entry!$I638))</f>
        <v/>
      </c>
      <c r="J635">
        <f>IF($A635="","",ROUND($H635*$I635,0))</f>
        <v/>
      </c>
      <c r="K635">
        <f>IF($A635="","",Entry!$D638)</f>
        <v/>
      </c>
      <c r="L635">
        <f>IF($A635="","",Entry!$L638)</f>
        <v/>
      </c>
      <c r="N635">
        <f>IF(OR(Sync!$M635="",$Q635="",$Q635="نامعتبر"),"",Sync!$M635)</f>
        <v/>
      </c>
      <c r="O635">
        <f>IF($N635="","",$Q635)</f>
        <v/>
      </c>
      <c r="P635">
        <f>IF($N635="","",LEFT($Q635,4)&amp;MID($Q635,6,2)&amp;RIGHT($Q635,2)&amp;IF(Sync!$K635="","0000",IF(AND(ISNUMBER(Sync!$K635),Sync!$K635&gt;=0,Sync!$K635&lt;1),RIGHT("00"&amp;HOUR(Sync!$K635),2)&amp;RIGHT("00"&amp;MINUTE(Sync!$K635),2),IFERROR(RIGHT("00"&amp;VALUE(LEFT(Sync!$K635,FIND(":",Sync!$K635)-1)),2)&amp;RIGHT("00"&amp;VALUE(MID(Sync!$K635,FIND(":",Sync!$K635)+1,2)),2),"0000")))&amp;"|"&amp;"2"&amp;RIGHT("00000"&amp;630,5))</f>
        <v/>
      </c>
      <c r="Q635">
        <f>IF(Sync!$J635="","",IF(ISNUMBER(Sync!$J635),IF(AND(Sync!$J635&gt;=10000101,Sync!$J635&lt;=99991231),INT(Sync!$J635/10000)&amp;"/"&amp;RIGHT("00"&amp;INT(MOD(Sync!$J635,10000)/100),2)&amp;"/"&amp;RIGHT("00"&amp;MOD(Sync!$J635,100),2),"نامعتبر"),IF(LEN(Sync!$J635)=10,Sync!$J635,"نامعتبر")))</f>
        <v/>
      </c>
      <c r="R635">
        <f>IF($P635="","",COUNTIFS($N$6:$N$2005,$N635,$P$6:$P$2005,"&lt;"&amp;$P635)+COUNTIFS($A$6:$A$1005,$N635,$B$6:$B$1005,"&lt;"&amp;$P635)+1)</f>
        <v/>
      </c>
      <c r="S635">
        <f>IF($N635="","",$N635&amp;"|"&amp;RIGHT("000000"&amp;$R635,6))</f>
        <v/>
      </c>
      <c r="T635">
        <f>IF($N635="","",IF(Sync!$N635="",0,Sync!$N635))</f>
        <v/>
      </c>
      <c r="U635">
        <f>IF($N635="","",IF(Sync!$O635="",0,Sync!$O635))</f>
        <v/>
      </c>
      <c r="V635">
        <f>IF($N635="","",Sync!$L635)</f>
        <v/>
      </c>
      <c r="W635">
        <f>IF($N635="","",Sync!$P635)</f>
        <v/>
      </c>
      <c r="AA635">
        <f>IF($A635="","",IF(COUNTIF($A$6:$A635,$A635)=1,1,0))</f>
        <v/>
      </c>
      <c r="AB635">
        <f>SUM($AA$6:$AA635)</f>
        <v/>
      </c>
      <c r="AC635">
        <f>IFERROR(INDEX($A$6:$A$1005,MATCH(ROW()-5,$AB$6:$AB$1005,0)),"")</f>
        <v/>
      </c>
    </row>
    <row r="636">
      <c r="A636">
        <f>IF(OR(Entry!$B639="",Entry!$E639="",$E636="نامعتبر"),"",Entry!$E639)</f>
        <v/>
      </c>
      <c r="B636">
        <f>IF($A636="","",LEFT($E636,4)&amp;MID($E636,6,2)&amp;RIGHT($E636,2)&amp;$F636&amp;"|"&amp;"1"&amp;RIGHT("00000"&amp;631,5))</f>
        <v/>
      </c>
      <c r="C636">
        <f>IF($B636="","",COUNTIFS($A$6:$A$1005,$A636,$B$6:$B$1005,"&lt;"&amp;$B636)+COUNTIFS($N$6:$N$2005,$A636,$P$6:$P$2005,"&lt;"&amp;$B636)+1)</f>
        <v/>
      </c>
      <c r="D636">
        <f>IF($C636="","",$A636&amp;"|"&amp;RIGHT("000000"&amp;$C636,6))</f>
        <v/>
      </c>
      <c r="E636">
        <f>IF(Entry!$B639="","",IF(ISNUMBER(Entry!$B639),IF(AND(Entry!$B639&gt;=10000101,Entry!$B639&lt;=99991231),INT(Entry!$B639/10000)&amp;"/"&amp;RIGHT("00"&amp;INT(MOD(Entry!$B639,10000)/100),2)&amp;"/"&amp;RIGHT("00"&amp;MOD(Entry!$B639,100),2),"نامعتبر"),IF(LEN(Entry!$B639)=10,Entry!$B639,"نامعتبر")))</f>
        <v/>
      </c>
      <c r="F636">
        <f>IF(Entry!$B639="","",IF(Entry!$C639="","0000",IF(AND(ISNUMBER(Entry!$C639),Entry!$C639&gt;=0,Entry!$C639&lt;1),RIGHT("00"&amp;HOUR(Entry!$C639),2)&amp;RIGHT("00"&amp;MINUTE(Entry!$C639),2),IFERROR(RIGHT("00"&amp;VALUE(LEFT(Entry!$C639,FIND(":",Entry!$C639)-1)),2)&amp;RIGHT("00"&amp;VALUE(MID(Entry!$C639,FIND(":",Entry!$C639)+1,2)),2),"0000"))))</f>
        <v/>
      </c>
      <c r="G636">
        <f>IF($A636="","",Entry!$G639)</f>
        <v/>
      </c>
      <c r="H636">
        <f>IF($A636="","",IF(Entry!$H639="",0,Entry!$H639))</f>
        <v/>
      </c>
      <c r="I636">
        <f>IF($A636="","",IF(Entry!$I639="",0,Entry!$I639))</f>
        <v/>
      </c>
      <c r="J636">
        <f>IF($A636="","",ROUND($H636*$I636,0))</f>
        <v/>
      </c>
      <c r="K636">
        <f>IF($A636="","",Entry!$D639)</f>
        <v/>
      </c>
      <c r="L636">
        <f>IF($A636="","",Entry!$L639)</f>
        <v/>
      </c>
      <c r="N636">
        <f>IF(OR(Sync!$M636="",$Q636="",$Q636="نامعتبر"),"",Sync!$M636)</f>
        <v/>
      </c>
      <c r="O636">
        <f>IF($N636="","",$Q636)</f>
        <v/>
      </c>
      <c r="P636">
        <f>IF($N636="","",LEFT($Q636,4)&amp;MID($Q636,6,2)&amp;RIGHT($Q636,2)&amp;IF(Sync!$K636="","0000",IF(AND(ISNUMBER(Sync!$K636),Sync!$K636&gt;=0,Sync!$K636&lt;1),RIGHT("00"&amp;HOUR(Sync!$K636),2)&amp;RIGHT("00"&amp;MINUTE(Sync!$K636),2),IFERROR(RIGHT("00"&amp;VALUE(LEFT(Sync!$K636,FIND(":",Sync!$K636)-1)),2)&amp;RIGHT("00"&amp;VALUE(MID(Sync!$K636,FIND(":",Sync!$K636)+1,2)),2),"0000")))&amp;"|"&amp;"2"&amp;RIGHT("00000"&amp;631,5))</f>
        <v/>
      </c>
      <c r="Q636">
        <f>IF(Sync!$J636="","",IF(ISNUMBER(Sync!$J636),IF(AND(Sync!$J636&gt;=10000101,Sync!$J636&lt;=99991231),INT(Sync!$J636/10000)&amp;"/"&amp;RIGHT("00"&amp;INT(MOD(Sync!$J636,10000)/100),2)&amp;"/"&amp;RIGHT("00"&amp;MOD(Sync!$J636,100),2),"نامعتبر"),IF(LEN(Sync!$J636)=10,Sync!$J636,"نامعتبر")))</f>
        <v/>
      </c>
      <c r="R636">
        <f>IF($P636="","",COUNTIFS($N$6:$N$2005,$N636,$P$6:$P$2005,"&lt;"&amp;$P636)+COUNTIFS($A$6:$A$1005,$N636,$B$6:$B$1005,"&lt;"&amp;$P636)+1)</f>
        <v/>
      </c>
      <c r="S636">
        <f>IF($N636="","",$N636&amp;"|"&amp;RIGHT("000000"&amp;$R636,6))</f>
        <v/>
      </c>
      <c r="T636">
        <f>IF($N636="","",IF(Sync!$N636="",0,Sync!$N636))</f>
        <v/>
      </c>
      <c r="U636">
        <f>IF($N636="","",IF(Sync!$O636="",0,Sync!$O636))</f>
        <v/>
      </c>
      <c r="V636">
        <f>IF($N636="","",Sync!$L636)</f>
        <v/>
      </c>
      <c r="W636">
        <f>IF($N636="","",Sync!$P636)</f>
        <v/>
      </c>
      <c r="AA636">
        <f>IF($A636="","",IF(COUNTIF($A$6:$A636,$A636)=1,1,0))</f>
        <v/>
      </c>
      <c r="AB636">
        <f>SUM($AA$6:$AA636)</f>
        <v/>
      </c>
      <c r="AC636">
        <f>IFERROR(INDEX($A$6:$A$1005,MATCH(ROW()-5,$AB$6:$AB$1005,0)),"")</f>
        <v/>
      </c>
    </row>
    <row r="637">
      <c r="A637">
        <f>IF(OR(Entry!$B640="",Entry!$E640="",$E637="نامعتبر"),"",Entry!$E640)</f>
        <v/>
      </c>
      <c r="B637">
        <f>IF($A637="","",LEFT($E637,4)&amp;MID($E637,6,2)&amp;RIGHT($E637,2)&amp;$F637&amp;"|"&amp;"1"&amp;RIGHT("00000"&amp;632,5))</f>
        <v/>
      </c>
      <c r="C637">
        <f>IF($B637="","",COUNTIFS($A$6:$A$1005,$A637,$B$6:$B$1005,"&lt;"&amp;$B637)+COUNTIFS($N$6:$N$2005,$A637,$P$6:$P$2005,"&lt;"&amp;$B637)+1)</f>
        <v/>
      </c>
      <c r="D637">
        <f>IF($C637="","",$A637&amp;"|"&amp;RIGHT("000000"&amp;$C637,6))</f>
        <v/>
      </c>
      <c r="E637">
        <f>IF(Entry!$B640="","",IF(ISNUMBER(Entry!$B640),IF(AND(Entry!$B640&gt;=10000101,Entry!$B640&lt;=99991231),INT(Entry!$B640/10000)&amp;"/"&amp;RIGHT("00"&amp;INT(MOD(Entry!$B640,10000)/100),2)&amp;"/"&amp;RIGHT("00"&amp;MOD(Entry!$B640,100),2),"نامعتبر"),IF(LEN(Entry!$B640)=10,Entry!$B640,"نامعتبر")))</f>
        <v/>
      </c>
      <c r="F637">
        <f>IF(Entry!$B640="","",IF(Entry!$C640="","0000",IF(AND(ISNUMBER(Entry!$C640),Entry!$C640&gt;=0,Entry!$C640&lt;1),RIGHT("00"&amp;HOUR(Entry!$C640),2)&amp;RIGHT("00"&amp;MINUTE(Entry!$C640),2),IFERROR(RIGHT("00"&amp;VALUE(LEFT(Entry!$C640,FIND(":",Entry!$C640)-1)),2)&amp;RIGHT("00"&amp;VALUE(MID(Entry!$C640,FIND(":",Entry!$C640)+1,2)),2),"0000"))))</f>
        <v/>
      </c>
      <c r="G637">
        <f>IF($A637="","",Entry!$G640)</f>
        <v/>
      </c>
      <c r="H637">
        <f>IF($A637="","",IF(Entry!$H640="",0,Entry!$H640))</f>
        <v/>
      </c>
      <c r="I637">
        <f>IF($A637="","",IF(Entry!$I640="",0,Entry!$I640))</f>
        <v/>
      </c>
      <c r="J637">
        <f>IF($A637="","",ROUND($H637*$I637,0))</f>
        <v/>
      </c>
      <c r="K637">
        <f>IF($A637="","",Entry!$D640)</f>
        <v/>
      </c>
      <c r="L637">
        <f>IF($A637="","",Entry!$L640)</f>
        <v/>
      </c>
      <c r="N637">
        <f>IF(OR(Sync!$M637="",$Q637="",$Q637="نامعتبر"),"",Sync!$M637)</f>
        <v/>
      </c>
      <c r="O637">
        <f>IF($N637="","",$Q637)</f>
        <v/>
      </c>
      <c r="P637">
        <f>IF($N637="","",LEFT($Q637,4)&amp;MID($Q637,6,2)&amp;RIGHT($Q637,2)&amp;IF(Sync!$K637="","0000",IF(AND(ISNUMBER(Sync!$K637),Sync!$K637&gt;=0,Sync!$K637&lt;1),RIGHT("00"&amp;HOUR(Sync!$K637),2)&amp;RIGHT("00"&amp;MINUTE(Sync!$K637),2),IFERROR(RIGHT("00"&amp;VALUE(LEFT(Sync!$K637,FIND(":",Sync!$K637)-1)),2)&amp;RIGHT("00"&amp;VALUE(MID(Sync!$K637,FIND(":",Sync!$K637)+1,2)),2),"0000")))&amp;"|"&amp;"2"&amp;RIGHT("00000"&amp;632,5))</f>
        <v/>
      </c>
      <c r="Q637">
        <f>IF(Sync!$J637="","",IF(ISNUMBER(Sync!$J637),IF(AND(Sync!$J637&gt;=10000101,Sync!$J637&lt;=99991231),INT(Sync!$J637/10000)&amp;"/"&amp;RIGHT("00"&amp;INT(MOD(Sync!$J637,10000)/100),2)&amp;"/"&amp;RIGHT("00"&amp;MOD(Sync!$J637,100),2),"نامعتبر"),IF(LEN(Sync!$J637)=10,Sync!$J637,"نامعتبر")))</f>
        <v/>
      </c>
      <c r="R637">
        <f>IF($P637="","",COUNTIFS($N$6:$N$2005,$N637,$P$6:$P$2005,"&lt;"&amp;$P637)+COUNTIFS($A$6:$A$1005,$N637,$B$6:$B$1005,"&lt;"&amp;$P637)+1)</f>
        <v/>
      </c>
      <c r="S637">
        <f>IF($N637="","",$N637&amp;"|"&amp;RIGHT("000000"&amp;$R637,6))</f>
        <v/>
      </c>
      <c r="T637">
        <f>IF($N637="","",IF(Sync!$N637="",0,Sync!$N637))</f>
        <v/>
      </c>
      <c r="U637">
        <f>IF($N637="","",IF(Sync!$O637="",0,Sync!$O637))</f>
        <v/>
      </c>
      <c r="V637">
        <f>IF($N637="","",Sync!$L637)</f>
        <v/>
      </c>
      <c r="W637">
        <f>IF($N637="","",Sync!$P637)</f>
        <v/>
      </c>
      <c r="AA637">
        <f>IF($A637="","",IF(COUNTIF($A$6:$A637,$A637)=1,1,0))</f>
        <v/>
      </c>
      <c r="AB637">
        <f>SUM($AA$6:$AA637)</f>
        <v/>
      </c>
      <c r="AC637">
        <f>IFERROR(INDEX($A$6:$A$1005,MATCH(ROW()-5,$AB$6:$AB$1005,0)),"")</f>
        <v/>
      </c>
    </row>
    <row r="638">
      <c r="A638">
        <f>IF(OR(Entry!$B641="",Entry!$E641="",$E638="نامعتبر"),"",Entry!$E641)</f>
        <v/>
      </c>
      <c r="B638">
        <f>IF($A638="","",LEFT($E638,4)&amp;MID($E638,6,2)&amp;RIGHT($E638,2)&amp;$F638&amp;"|"&amp;"1"&amp;RIGHT("00000"&amp;633,5))</f>
        <v/>
      </c>
      <c r="C638">
        <f>IF($B638="","",COUNTIFS($A$6:$A$1005,$A638,$B$6:$B$1005,"&lt;"&amp;$B638)+COUNTIFS($N$6:$N$2005,$A638,$P$6:$P$2005,"&lt;"&amp;$B638)+1)</f>
        <v/>
      </c>
      <c r="D638">
        <f>IF($C638="","",$A638&amp;"|"&amp;RIGHT("000000"&amp;$C638,6))</f>
        <v/>
      </c>
      <c r="E638">
        <f>IF(Entry!$B641="","",IF(ISNUMBER(Entry!$B641),IF(AND(Entry!$B641&gt;=10000101,Entry!$B641&lt;=99991231),INT(Entry!$B641/10000)&amp;"/"&amp;RIGHT("00"&amp;INT(MOD(Entry!$B641,10000)/100),2)&amp;"/"&amp;RIGHT("00"&amp;MOD(Entry!$B641,100),2),"نامعتبر"),IF(LEN(Entry!$B641)=10,Entry!$B641,"نامعتبر")))</f>
        <v/>
      </c>
      <c r="F638">
        <f>IF(Entry!$B641="","",IF(Entry!$C641="","0000",IF(AND(ISNUMBER(Entry!$C641),Entry!$C641&gt;=0,Entry!$C641&lt;1),RIGHT("00"&amp;HOUR(Entry!$C641),2)&amp;RIGHT("00"&amp;MINUTE(Entry!$C641),2),IFERROR(RIGHT("00"&amp;VALUE(LEFT(Entry!$C641,FIND(":",Entry!$C641)-1)),2)&amp;RIGHT("00"&amp;VALUE(MID(Entry!$C641,FIND(":",Entry!$C641)+1,2)),2),"0000"))))</f>
        <v/>
      </c>
      <c r="G638">
        <f>IF($A638="","",Entry!$G641)</f>
        <v/>
      </c>
      <c r="H638">
        <f>IF($A638="","",IF(Entry!$H641="",0,Entry!$H641))</f>
        <v/>
      </c>
      <c r="I638">
        <f>IF($A638="","",IF(Entry!$I641="",0,Entry!$I641))</f>
        <v/>
      </c>
      <c r="J638">
        <f>IF($A638="","",ROUND($H638*$I638,0))</f>
        <v/>
      </c>
      <c r="K638">
        <f>IF($A638="","",Entry!$D641)</f>
        <v/>
      </c>
      <c r="L638">
        <f>IF($A638="","",Entry!$L641)</f>
        <v/>
      </c>
      <c r="N638">
        <f>IF(OR(Sync!$M638="",$Q638="",$Q638="نامعتبر"),"",Sync!$M638)</f>
        <v/>
      </c>
      <c r="O638">
        <f>IF($N638="","",$Q638)</f>
        <v/>
      </c>
      <c r="P638">
        <f>IF($N638="","",LEFT($Q638,4)&amp;MID($Q638,6,2)&amp;RIGHT($Q638,2)&amp;IF(Sync!$K638="","0000",IF(AND(ISNUMBER(Sync!$K638),Sync!$K638&gt;=0,Sync!$K638&lt;1),RIGHT("00"&amp;HOUR(Sync!$K638),2)&amp;RIGHT("00"&amp;MINUTE(Sync!$K638),2),IFERROR(RIGHT("00"&amp;VALUE(LEFT(Sync!$K638,FIND(":",Sync!$K638)-1)),2)&amp;RIGHT("00"&amp;VALUE(MID(Sync!$K638,FIND(":",Sync!$K638)+1,2)),2),"0000")))&amp;"|"&amp;"2"&amp;RIGHT("00000"&amp;633,5))</f>
        <v/>
      </c>
      <c r="Q638">
        <f>IF(Sync!$J638="","",IF(ISNUMBER(Sync!$J638),IF(AND(Sync!$J638&gt;=10000101,Sync!$J638&lt;=99991231),INT(Sync!$J638/10000)&amp;"/"&amp;RIGHT("00"&amp;INT(MOD(Sync!$J638,10000)/100),2)&amp;"/"&amp;RIGHT("00"&amp;MOD(Sync!$J638,100),2),"نامعتبر"),IF(LEN(Sync!$J638)=10,Sync!$J638,"نامعتبر")))</f>
        <v/>
      </c>
      <c r="R638">
        <f>IF($P638="","",COUNTIFS($N$6:$N$2005,$N638,$P$6:$P$2005,"&lt;"&amp;$P638)+COUNTIFS($A$6:$A$1005,$N638,$B$6:$B$1005,"&lt;"&amp;$P638)+1)</f>
        <v/>
      </c>
      <c r="S638">
        <f>IF($N638="","",$N638&amp;"|"&amp;RIGHT("000000"&amp;$R638,6))</f>
        <v/>
      </c>
      <c r="T638">
        <f>IF($N638="","",IF(Sync!$N638="",0,Sync!$N638))</f>
        <v/>
      </c>
      <c r="U638">
        <f>IF($N638="","",IF(Sync!$O638="",0,Sync!$O638))</f>
        <v/>
      </c>
      <c r="V638">
        <f>IF($N638="","",Sync!$L638)</f>
        <v/>
      </c>
      <c r="W638">
        <f>IF($N638="","",Sync!$P638)</f>
        <v/>
      </c>
      <c r="AA638">
        <f>IF($A638="","",IF(COUNTIF($A$6:$A638,$A638)=1,1,0))</f>
        <v/>
      </c>
      <c r="AB638">
        <f>SUM($AA$6:$AA638)</f>
        <v/>
      </c>
      <c r="AC638">
        <f>IFERROR(INDEX($A$6:$A$1005,MATCH(ROW()-5,$AB$6:$AB$1005,0)),"")</f>
        <v/>
      </c>
    </row>
    <row r="639">
      <c r="A639">
        <f>IF(OR(Entry!$B642="",Entry!$E642="",$E639="نامعتبر"),"",Entry!$E642)</f>
        <v/>
      </c>
      <c r="B639">
        <f>IF($A639="","",LEFT($E639,4)&amp;MID($E639,6,2)&amp;RIGHT($E639,2)&amp;$F639&amp;"|"&amp;"1"&amp;RIGHT("00000"&amp;634,5))</f>
        <v/>
      </c>
      <c r="C639">
        <f>IF($B639="","",COUNTIFS($A$6:$A$1005,$A639,$B$6:$B$1005,"&lt;"&amp;$B639)+COUNTIFS($N$6:$N$2005,$A639,$P$6:$P$2005,"&lt;"&amp;$B639)+1)</f>
        <v/>
      </c>
      <c r="D639">
        <f>IF($C639="","",$A639&amp;"|"&amp;RIGHT("000000"&amp;$C639,6))</f>
        <v/>
      </c>
      <c r="E639">
        <f>IF(Entry!$B642="","",IF(ISNUMBER(Entry!$B642),IF(AND(Entry!$B642&gt;=10000101,Entry!$B642&lt;=99991231),INT(Entry!$B642/10000)&amp;"/"&amp;RIGHT("00"&amp;INT(MOD(Entry!$B642,10000)/100),2)&amp;"/"&amp;RIGHT("00"&amp;MOD(Entry!$B642,100),2),"نامعتبر"),IF(LEN(Entry!$B642)=10,Entry!$B642,"نامعتبر")))</f>
        <v/>
      </c>
      <c r="F639">
        <f>IF(Entry!$B642="","",IF(Entry!$C642="","0000",IF(AND(ISNUMBER(Entry!$C642),Entry!$C642&gt;=0,Entry!$C642&lt;1),RIGHT("00"&amp;HOUR(Entry!$C642),2)&amp;RIGHT("00"&amp;MINUTE(Entry!$C642),2),IFERROR(RIGHT("00"&amp;VALUE(LEFT(Entry!$C642,FIND(":",Entry!$C642)-1)),2)&amp;RIGHT("00"&amp;VALUE(MID(Entry!$C642,FIND(":",Entry!$C642)+1,2)),2),"0000"))))</f>
        <v/>
      </c>
      <c r="G639">
        <f>IF($A639="","",Entry!$G642)</f>
        <v/>
      </c>
      <c r="H639">
        <f>IF($A639="","",IF(Entry!$H642="",0,Entry!$H642))</f>
        <v/>
      </c>
      <c r="I639">
        <f>IF($A639="","",IF(Entry!$I642="",0,Entry!$I642))</f>
        <v/>
      </c>
      <c r="J639">
        <f>IF($A639="","",ROUND($H639*$I639,0))</f>
        <v/>
      </c>
      <c r="K639">
        <f>IF($A639="","",Entry!$D642)</f>
        <v/>
      </c>
      <c r="L639">
        <f>IF($A639="","",Entry!$L642)</f>
        <v/>
      </c>
      <c r="N639">
        <f>IF(OR(Sync!$M639="",$Q639="",$Q639="نامعتبر"),"",Sync!$M639)</f>
        <v/>
      </c>
      <c r="O639">
        <f>IF($N639="","",$Q639)</f>
        <v/>
      </c>
      <c r="P639">
        <f>IF($N639="","",LEFT($Q639,4)&amp;MID($Q639,6,2)&amp;RIGHT($Q639,2)&amp;IF(Sync!$K639="","0000",IF(AND(ISNUMBER(Sync!$K639),Sync!$K639&gt;=0,Sync!$K639&lt;1),RIGHT("00"&amp;HOUR(Sync!$K639),2)&amp;RIGHT("00"&amp;MINUTE(Sync!$K639),2),IFERROR(RIGHT("00"&amp;VALUE(LEFT(Sync!$K639,FIND(":",Sync!$K639)-1)),2)&amp;RIGHT("00"&amp;VALUE(MID(Sync!$K639,FIND(":",Sync!$K639)+1,2)),2),"0000")))&amp;"|"&amp;"2"&amp;RIGHT("00000"&amp;634,5))</f>
        <v/>
      </c>
      <c r="Q639">
        <f>IF(Sync!$J639="","",IF(ISNUMBER(Sync!$J639),IF(AND(Sync!$J639&gt;=10000101,Sync!$J639&lt;=99991231),INT(Sync!$J639/10000)&amp;"/"&amp;RIGHT("00"&amp;INT(MOD(Sync!$J639,10000)/100),2)&amp;"/"&amp;RIGHT("00"&amp;MOD(Sync!$J639,100),2),"نامعتبر"),IF(LEN(Sync!$J639)=10,Sync!$J639,"نامعتبر")))</f>
        <v/>
      </c>
      <c r="R639">
        <f>IF($P639="","",COUNTIFS($N$6:$N$2005,$N639,$P$6:$P$2005,"&lt;"&amp;$P639)+COUNTIFS($A$6:$A$1005,$N639,$B$6:$B$1005,"&lt;"&amp;$P639)+1)</f>
        <v/>
      </c>
      <c r="S639">
        <f>IF($N639="","",$N639&amp;"|"&amp;RIGHT("000000"&amp;$R639,6))</f>
        <v/>
      </c>
      <c r="T639">
        <f>IF($N639="","",IF(Sync!$N639="",0,Sync!$N639))</f>
        <v/>
      </c>
      <c r="U639">
        <f>IF($N639="","",IF(Sync!$O639="",0,Sync!$O639))</f>
        <v/>
      </c>
      <c r="V639">
        <f>IF($N639="","",Sync!$L639)</f>
        <v/>
      </c>
      <c r="W639">
        <f>IF($N639="","",Sync!$P639)</f>
        <v/>
      </c>
      <c r="AA639">
        <f>IF($A639="","",IF(COUNTIF($A$6:$A639,$A639)=1,1,0))</f>
        <v/>
      </c>
      <c r="AB639">
        <f>SUM($AA$6:$AA639)</f>
        <v/>
      </c>
      <c r="AC639">
        <f>IFERROR(INDEX($A$6:$A$1005,MATCH(ROW()-5,$AB$6:$AB$1005,0)),"")</f>
        <v/>
      </c>
    </row>
    <row r="640">
      <c r="A640">
        <f>IF(OR(Entry!$B643="",Entry!$E643="",$E640="نامعتبر"),"",Entry!$E643)</f>
        <v/>
      </c>
      <c r="B640">
        <f>IF($A640="","",LEFT($E640,4)&amp;MID($E640,6,2)&amp;RIGHT($E640,2)&amp;$F640&amp;"|"&amp;"1"&amp;RIGHT("00000"&amp;635,5))</f>
        <v/>
      </c>
      <c r="C640">
        <f>IF($B640="","",COUNTIFS($A$6:$A$1005,$A640,$B$6:$B$1005,"&lt;"&amp;$B640)+COUNTIFS($N$6:$N$2005,$A640,$P$6:$P$2005,"&lt;"&amp;$B640)+1)</f>
        <v/>
      </c>
      <c r="D640">
        <f>IF($C640="","",$A640&amp;"|"&amp;RIGHT("000000"&amp;$C640,6))</f>
        <v/>
      </c>
      <c r="E640">
        <f>IF(Entry!$B643="","",IF(ISNUMBER(Entry!$B643),IF(AND(Entry!$B643&gt;=10000101,Entry!$B643&lt;=99991231),INT(Entry!$B643/10000)&amp;"/"&amp;RIGHT("00"&amp;INT(MOD(Entry!$B643,10000)/100),2)&amp;"/"&amp;RIGHT("00"&amp;MOD(Entry!$B643,100),2),"نامعتبر"),IF(LEN(Entry!$B643)=10,Entry!$B643,"نامعتبر")))</f>
        <v/>
      </c>
      <c r="F640">
        <f>IF(Entry!$B643="","",IF(Entry!$C643="","0000",IF(AND(ISNUMBER(Entry!$C643),Entry!$C643&gt;=0,Entry!$C643&lt;1),RIGHT("00"&amp;HOUR(Entry!$C643),2)&amp;RIGHT("00"&amp;MINUTE(Entry!$C643),2),IFERROR(RIGHT("00"&amp;VALUE(LEFT(Entry!$C643,FIND(":",Entry!$C643)-1)),2)&amp;RIGHT("00"&amp;VALUE(MID(Entry!$C643,FIND(":",Entry!$C643)+1,2)),2),"0000"))))</f>
        <v/>
      </c>
      <c r="G640">
        <f>IF($A640="","",Entry!$G643)</f>
        <v/>
      </c>
      <c r="H640">
        <f>IF($A640="","",IF(Entry!$H643="",0,Entry!$H643))</f>
        <v/>
      </c>
      <c r="I640">
        <f>IF($A640="","",IF(Entry!$I643="",0,Entry!$I643))</f>
        <v/>
      </c>
      <c r="J640">
        <f>IF($A640="","",ROUND($H640*$I640,0))</f>
        <v/>
      </c>
      <c r="K640">
        <f>IF($A640="","",Entry!$D643)</f>
        <v/>
      </c>
      <c r="L640">
        <f>IF($A640="","",Entry!$L643)</f>
        <v/>
      </c>
      <c r="N640">
        <f>IF(OR(Sync!$M640="",$Q640="",$Q640="نامعتبر"),"",Sync!$M640)</f>
        <v/>
      </c>
      <c r="O640">
        <f>IF($N640="","",$Q640)</f>
        <v/>
      </c>
      <c r="P640">
        <f>IF($N640="","",LEFT($Q640,4)&amp;MID($Q640,6,2)&amp;RIGHT($Q640,2)&amp;IF(Sync!$K640="","0000",IF(AND(ISNUMBER(Sync!$K640),Sync!$K640&gt;=0,Sync!$K640&lt;1),RIGHT("00"&amp;HOUR(Sync!$K640),2)&amp;RIGHT("00"&amp;MINUTE(Sync!$K640),2),IFERROR(RIGHT("00"&amp;VALUE(LEFT(Sync!$K640,FIND(":",Sync!$K640)-1)),2)&amp;RIGHT("00"&amp;VALUE(MID(Sync!$K640,FIND(":",Sync!$K640)+1,2)),2),"0000")))&amp;"|"&amp;"2"&amp;RIGHT("00000"&amp;635,5))</f>
        <v/>
      </c>
      <c r="Q640">
        <f>IF(Sync!$J640="","",IF(ISNUMBER(Sync!$J640),IF(AND(Sync!$J640&gt;=10000101,Sync!$J640&lt;=99991231),INT(Sync!$J640/10000)&amp;"/"&amp;RIGHT("00"&amp;INT(MOD(Sync!$J640,10000)/100),2)&amp;"/"&amp;RIGHT("00"&amp;MOD(Sync!$J640,100),2),"نامعتبر"),IF(LEN(Sync!$J640)=10,Sync!$J640,"نامعتبر")))</f>
        <v/>
      </c>
      <c r="R640">
        <f>IF($P640="","",COUNTIFS($N$6:$N$2005,$N640,$P$6:$P$2005,"&lt;"&amp;$P640)+COUNTIFS($A$6:$A$1005,$N640,$B$6:$B$1005,"&lt;"&amp;$P640)+1)</f>
        <v/>
      </c>
      <c r="S640">
        <f>IF($N640="","",$N640&amp;"|"&amp;RIGHT("000000"&amp;$R640,6))</f>
        <v/>
      </c>
      <c r="T640">
        <f>IF($N640="","",IF(Sync!$N640="",0,Sync!$N640))</f>
        <v/>
      </c>
      <c r="U640">
        <f>IF($N640="","",IF(Sync!$O640="",0,Sync!$O640))</f>
        <v/>
      </c>
      <c r="V640">
        <f>IF($N640="","",Sync!$L640)</f>
        <v/>
      </c>
      <c r="W640">
        <f>IF($N640="","",Sync!$P640)</f>
        <v/>
      </c>
      <c r="AA640">
        <f>IF($A640="","",IF(COUNTIF($A$6:$A640,$A640)=1,1,0))</f>
        <v/>
      </c>
      <c r="AB640">
        <f>SUM($AA$6:$AA640)</f>
        <v/>
      </c>
      <c r="AC640">
        <f>IFERROR(INDEX($A$6:$A$1005,MATCH(ROW()-5,$AB$6:$AB$1005,0)),"")</f>
        <v/>
      </c>
    </row>
    <row r="641">
      <c r="A641">
        <f>IF(OR(Entry!$B644="",Entry!$E644="",$E641="نامعتبر"),"",Entry!$E644)</f>
        <v/>
      </c>
      <c r="B641">
        <f>IF($A641="","",LEFT($E641,4)&amp;MID($E641,6,2)&amp;RIGHT($E641,2)&amp;$F641&amp;"|"&amp;"1"&amp;RIGHT("00000"&amp;636,5))</f>
        <v/>
      </c>
      <c r="C641">
        <f>IF($B641="","",COUNTIFS($A$6:$A$1005,$A641,$B$6:$B$1005,"&lt;"&amp;$B641)+COUNTIFS($N$6:$N$2005,$A641,$P$6:$P$2005,"&lt;"&amp;$B641)+1)</f>
        <v/>
      </c>
      <c r="D641">
        <f>IF($C641="","",$A641&amp;"|"&amp;RIGHT("000000"&amp;$C641,6))</f>
        <v/>
      </c>
      <c r="E641">
        <f>IF(Entry!$B644="","",IF(ISNUMBER(Entry!$B644),IF(AND(Entry!$B644&gt;=10000101,Entry!$B644&lt;=99991231),INT(Entry!$B644/10000)&amp;"/"&amp;RIGHT("00"&amp;INT(MOD(Entry!$B644,10000)/100),2)&amp;"/"&amp;RIGHT("00"&amp;MOD(Entry!$B644,100),2),"نامعتبر"),IF(LEN(Entry!$B644)=10,Entry!$B644,"نامعتبر")))</f>
        <v/>
      </c>
      <c r="F641">
        <f>IF(Entry!$B644="","",IF(Entry!$C644="","0000",IF(AND(ISNUMBER(Entry!$C644),Entry!$C644&gt;=0,Entry!$C644&lt;1),RIGHT("00"&amp;HOUR(Entry!$C644),2)&amp;RIGHT("00"&amp;MINUTE(Entry!$C644),2),IFERROR(RIGHT("00"&amp;VALUE(LEFT(Entry!$C644,FIND(":",Entry!$C644)-1)),2)&amp;RIGHT("00"&amp;VALUE(MID(Entry!$C644,FIND(":",Entry!$C644)+1,2)),2),"0000"))))</f>
        <v/>
      </c>
      <c r="G641">
        <f>IF($A641="","",Entry!$G644)</f>
        <v/>
      </c>
      <c r="H641">
        <f>IF($A641="","",IF(Entry!$H644="",0,Entry!$H644))</f>
        <v/>
      </c>
      <c r="I641">
        <f>IF($A641="","",IF(Entry!$I644="",0,Entry!$I644))</f>
        <v/>
      </c>
      <c r="J641">
        <f>IF($A641="","",ROUND($H641*$I641,0))</f>
        <v/>
      </c>
      <c r="K641">
        <f>IF($A641="","",Entry!$D644)</f>
        <v/>
      </c>
      <c r="L641">
        <f>IF($A641="","",Entry!$L644)</f>
        <v/>
      </c>
      <c r="N641">
        <f>IF(OR(Sync!$M641="",$Q641="",$Q641="نامعتبر"),"",Sync!$M641)</f>
        <v/>
      </c>
      <c r="O641">
        <f>IF($N641="","",$Q641)</f>
        <v/>
      </c>
      <c r="P641">
        <f>IF($N641="","",LEFT($Q641,4)&amp;MID($Q641,6,2)&amp;RIGHT($Q641,2)&amp;IF(Sync!$K641="","0000",IF(AND(ISNUMBER(Sync!$K641),Sync!$K641&gt;=0,Sync!$K641&lt;1),RIGHT("00"&amp;HOUR(Sync!$K641),2)&amp;RIGHT("00"&amp;MINUTE(Sync!$K641),2),IFERROR(RIGHT("00"&amp;VALUE(LEFT(Sync!$K641,FIND(":",Sync!$K641)-1)),2)&amp;RIGHT("00"&amp;VALUE(MID(Sync!$K641,FIND(":",Sync!$K641)+1,2)),2),"0000")))&amp;"|"&amp;"2"&amp;RIGHT("00000"&amp;636,5))</f>
        <v/>
      </c>
      <c r="Q641">
        <f>IF(Sync!$J641="","",IF(ISNUMBER(Sync!$J641),IF(AND(Sync!$J641&gt;=10000101,Sync!$J641&lt;=99991231),INT(Sync!$J641/10000)&amp;"/"&amp;RIGHT("00"&amp;INT(MOD(Sync!$J641,10000)/100),2)&amp;"/"&amp;RIGHT("00"&amp;MOD(Sync!$J641,100),2),"نامعتبر"),IF(LEN(Sync!$J641)=10,Sync!$J641,"نامعتبر")))</f>
        <v/>
      </c>
      <c r="R641">
        <f>IF($P641="","",COUNTIFS($N$6:$N$2005,$N641,$P$6:$P$2005,"&lt;"&amp;$P641)+COUNTIFS($A$6:$A$1005,$N641,$B$6:$B$1005,"&lt;"&amp;$P641)+1)</f>
        <v/>
      </c>
      <c r="S641">
        <f>IF($N641="","",$N641&amp;"|"&amp;RIGHT("000000"&amp;$R641,6))</f>
        <v/>
      </c>
      <c r="T641">
        <f>IF($N641="","",IF(Sync!$N641="",0,Sync!$N641))</f>
        <v/>
      </c>
      <c r="U641">
        <f>IF($N641="","",IF(Sync!$O641="",0,Sync!$O641))</f>
        <v/>
      </c>
      <c r="V641">
        <f>IF($N641="","",Sync!$L641)</f>
        <v/>
      </c>
      <c r="W641">
        <f>IF($N641="","",Sync!$P641)</f>
        <v/>
      </c>
      <c r="AA641">
        <f>IF($A641="","",IF(COUNTIF($A$6:$A641,$A641)=1,1,0))</f>
        <v/>
      </c>
      <c r="AB641">
        <f>SUM($AA$6:$AA641)</f>
        <v/>
      </c>
      <c r="AC641">
        <f>IFERROR(INDEX($A$6:$A$1005,MATCH(ROW()-5,$AB$6:$AB$1005,0)),"")</f>
        <v/>
      </c>
    </row>
    <row r="642">
      <c r="A642">
        <f>IF(OR(Entry!$B645="",Entry!$E645="",$E642="نامعتبر"),"",Entry!$E645)</f>
        <v/>
      </c>
      <c r="B642">
        <f>IF($A642="","",LEFT($E642,4)&amp;MID($E642,6,2)&amp;RIGHT($E642,2)&amp;$F642&amp;"|"&amp;"1"&amp;RIGHT("00000"&amp;637,5))</f>
        <v/>
      </c>
      <c r="C642">
        <f>IF($B642="","",COUNTIFS($A$6:$A$1005,$A642,$B$6:$B$1005,"&lt;"&amp;$B642)+COUNTIFS($N$6:$N$2005,$A642,$P$6:$P$2005,"&lt;"&amp;$B642)+1)</f>
        <v/>
      </c>
      <c r="D642">
        <f>IF($C642="","",$A642&amp;"|"&amp;RIGHT("000000"&amp;$C642,6))</f>
        <v/>
      </c>
      <c r="E642">
        <f>IF(Entry!$B645="","",IF(ISNUMBER(Entry!$B645),IF(AND(Entry!$B645&gt;=10000101,Entry!$B645&lt;=99991231),INT(Entry!$B645/10000)&amp;"/"&amp;RIGHT("00"&amp;INT(MOD(Entry!$B645,10000)/100),2)&amp;"/"&amp;RIGHT("00"&amp;MOD(Entry!$B645,100),2),"نامعتبر"),IF(LEN(Entry!$B645)=10,Entry!$B645,"نامعتبر")))</f>
        <v/>
      </c>
      <c r="F642">
        <f>IF(Entry!$B645="","",IF(Entry!$C645="","0000",IF(AND(ISNUMBER(Entry!$C645),Entry!$C645&gt;=0,Entry!$C645&lt;1),RIGHT("00"&amp;HOUR(Entry!$C645),2)&amp;RIGHT("00"&amp;MINUTE(Entry!$C645),2),IFERROR(RIGHT("00"&amp;VALUE(LEFT(Entry!$C645,FIND(":",Entry!$C645)-1)),2)&amp;RIGHT("00"&amp;VALUE(MID(Entry!$C645,FIND(":",Entry!$C645)+1,2)),2),"0000"))))</f>
        <v/>
      </c>
      <c r="G642">
        <f>IF($A642="","",Entry!$G645)</f>
        <v/>
      </c>
      <c r="H642">
        <f>IF($A642="","",IF(Entry!$H645="",0,Entry!$H645))</f>
        <v/>
      </c>
      <c r="I642">
        <f>IF($A642="","",IF(Entry!$I645="",0,Entry!$I645))</f>
        <v/>
      </c>
      <c r="J642">
        <f>IF($A642="","",ROUND($H642*$I642,0))</f>
        <v/>
      </c>
      <c r="K642">
        <f>IF($A642="","",Entry!$D645)</f>
        <v/>
      </c>
      <c r="L642">
        <f>IF($A642="","",Entry!$L645)</f>
        <v/>
      </c>
      <c r="N642">
        <f>IF(OR(Sync!$M642="",$Q642="",$Q642="نامعتبر"),"",Sync!$M642)</f>
        <v/>
      </c>
      <c r="O642">
        <f>IF($N642="","",$Q642)</f>
        <v/>
      </c>
      <c r="P642">
        <f>IF($N642="","",LEFT($Q642,4)&amp;MID($Q642,6,2)&amp;RIGHT($Q642,2)&amp;IF(Sync!$K642="","0000",IF(AND(ISNUMBER(Sync!$K642),Sync!$K642&gt;=0,Sync!$K642&lt;1),RIGHT("00"&amp;HOUR(Sync!$K642),2)&amp;RIGHT("00"&amp;MINUTE(Sync!$K642),2),IFERROR(RIGHT("00"&amp;VALUE(LEFT(Sync!$K642,FIND(":",Sync!$K642)-1)),2)&amp;RIGHT("00"&amp;VALUE(MID(Sync!$K642,FIND(":",Sync!$K642)+1,2)),2),"0000")))&amp;"|"&amp;"2"&amp;RIGHT("00000"&amp;637,5))</f>
        <v/>
      </c>
      <c r="Q642">
        <f>IF(Sync!$J642="","",IF(ISNUMBER(Sync!$J642),IF(AND(Sync!$J642&gt;=10000101,Sync!$J642&lt;=99991231),INT(Sync!$J642/10000)&amp;"/"&amp;RIGHT("00"&amp;INT(MOD(Sync!$J642,10000)/100),2)&amp;"/"&amp;RIGHT("00"&amp;MOD(Sync!$J642,100),2),"نامعتبر"),IF(LEN(Sync!$J642)=10,Sync!$J642,"نامعتبر")))</f>
        <v/>
      </c>
      <c r="R642">
        <f>IF($P642="","",COUNTIFS($N$6:$N$2005,$N642,$P$6:$P$2005,"&lt;"&amp;$P642)+COUNTIFS($A$6:$A$1005,$N642,$B$6:$B$1005,"&lt;"&amp;$P642)+1)</f>
        <v/>
      </c>
      <c r="S642">
        <f>IF($N642="","",$N642&amp;"|"&amp;RIGHT("000000"&amp;$R642,6))</f>
        <v/>
      </c>
      <c r="T642">
        <f>IF($N642="","",IF(Sync!$N642="",0,Sync!$N642))</f>
        <v/>
      </c>
      <c r="U642">
        <f>IF($N642="","",IF(Sync!$O642="",0,Sync!$O642))</f>
        <v/>
      </c>
      <c r="V642">
        <f>IF($N642="","",Sync!$L642)</f>
        <v/>
      </c>
      <c r="W642">
        <f>IF($N642="","",Sync!$P642)</f>
        <v/>
      </c>
      <c r="AA642">
        <f>IF($A642="","",IF(COUNTIF($A$6:$A642,$A642)=1,1,0))</f>
        <v/>
      </c>
      <c r="AB642">
        <f>SUM($AA$6:$AA642)</f>
        <v/>
      </c>
      <c r="AC642">
        <f>IFERROR(INDEX($A$6:$A$1005,MATCH(ROW()-5,$AB$6:$AB$1005,0)),"")</f>
        <v/>
      </c>
    </row>
    <row r="643">
      <c r="A643">
        <f>IF(OR(Entry!$B646="",Entry!$E646="",$E643="نامعتبر"),"",Entry!$E646)</f>
        <v/>
      </c>
      <c r="B643">
        <f>IF($A643="","",LEFT($E643,4)&amp;MID($E643,6,2)&amp;RIGHT($E643,2)&amp;$F643&amp;"|"&amp;"1"&amp;RIGHT("00000"&amp;638,5))</f>
        <v/>
      </c>
      <c r="C643">
        <f>IF($B643="","",COUNTIFS($A$6:$A$1005,$A643,$B$6:$B$1005,"&lt;"&amp;$B643)+COUNTIFS($N$6:$N$2005,$A643,$P$6:$P$2005,"&lt;"&amp;$B643)+1)</f>
        <v/>
      </c>
      <c r="D643">
        <f>IF($C643="","",$A643&amp;"|"&amp;RIGHT("000000"&amp;$C643,6))</f>
        <v/>
      </c>
      <c r="E643">
        <f>IF(Entry!$B646="","",IF(ISNUMBER(Entry!$B646),IF(AND(Entry!$B646&gt;=10000101,Entry!$B646&lt;=99991231),INT(Entry!$B646/10000)&amp;"/"&amp;RIGHT("00"&amp;INT(MOD(Entry!$B646,10000)/100),2)&amp;"/"&amp;RIGHT("00"&amp;MOD(Entry!$B646,100),2),"نامعتبر"),IF(LEN(Entry!$B646)=10,Entry!$B646,"نامعتبر")))</f>
        <v/>
      </c>
      <c r="F643">
        <f>IF(Entry!$B646="","",IF(Entry!$C646="","0000",IF(AND(ISNUMBER(Entry!$C646),Entry!$C646&gt;=0,Entry!$C646&lt;1),RIGHT("00"&amp;HOUR(Entry!$C646),2)&amp;RIGHT("00"&amp;MINUTE(Entry!$C646),2),IFERROR(RIGHT("00"&amp;VALUE(LEFT(Entry!$C646,FIND(":",Entry!$C646)-1)),2)&amp;RIGHT("00"&amp;VALUE(MID(Entry!$C646,FIND(":",Entry!$C646)+1,2)),2),"0000"))))</f>
        <v/>
      </c>
      <c r="G643">
        <f>IF($A643="","",Entry!$G646)</f>
        <v/>
      </c>
      <c r="H643">
        <f>IF($A643="","",IF(Entry!$H646="",0,Entry!$H646))</f>
        <v/>
      </c>
      <c r="I643">
        <f>IF($A643="","",IF(Entry!$I646="",0,Entry!$I646))</f>
        <v/>
      </c>
      <c r="J643">
        <f>IF($A643="","",ROUND($H643*$I643,0))</f>
        <v/>
      </c>
      <c r="K643">
        <f>IF($A643="","",Entry!$D646)</f>
        <v/>
      </c>
      <c r="L643">
        <f>IF($A643="","",Entry!$L646)</f>
        <v/>
      </c>
      <c r="N643">
        <f>IF(OR(Sync!$M643="",$Q643="",$Q643="نامعتبر"),"",Sync!$M643)</f>
        <v/>
      </c>
      <c r="O643">
        <f>IF($N643="","",$Q643)</f>
        <v/>
      </c>
      <c r="P643">
        <f>IF($N643="","",LEFT($Q643,4)&amp;MID($Q643,6,2)&amp;RIGHT($Q643,2)&amp;IF(Sync!$K643="","0000",IF(AND(ISNUMBER(Sync!$K643),Sync!$K643&gt;=0,Sync!$K643&lt;1),RIGHT("00"&amp;HOUR(Sync!$K643),2)&amp;RIGHT("00"&amp;MINUTE(Sync!$K643),2),IFERROR(RIGHT("00"&amp;VALUE(LEFT(Sync!$K643,FIND(":",Sync!$K643)-1)),2)&amp;RIGHT("00"&amp;VALUE(MID(Sync!$K643,FIND(":",Sync!$K643)+1,2)),2),"0000")))&amp;"|"&amp;"2"&amp;RIGHT("00000"&amp;638,5))</f>
        <v/>
      </c>
      <c r="Q643">
        <f>IF(Sync!$J643="","",IF(ISNUMBER(Sync!$J643),IF(AND(Sync!$J643&gt;=10000101,Sync!$J643&lt;=99991231),INT(Sync!$J643/10000)&amp;"/"&amp;RIGHT("00"&amp;INT(MOD(Sync!$J643,10000)/100),2)&amp;"/"&amp;RIGHT("00"&amp;MOD(Sync!$J643,100),2),"نامعتبر"),IF(LEN(Sync!$J643)=10,Sync!$J643,"نامعتبر")))</f>
        <v/>
      </c>
      <c r="R643">
        <f>IF($P643="","",COUNTIFS($N$6:$N$2005,$N643,$P$6:$P$2005,"&lt;"&amp;$P643)+COUNTIFS($A$6:$A$1005,$N643,$B$6:$B$1005,"&lt;"&amp;$P643)+1)</f>
        <v/>
      </c>
      <c r="S643">
        <f>IF($N643="","",$N643&amp;"|"&amp;RIGHT("000000"&amp;$R643,6))</f>
        <v/>
      </c>
      <c r="T643">
        <f>IF($N643="","",IF(Sync!$N643="",0,Sync!$N643))</f>
        <v/>
      </c>
      <c r="U643">
        <f>IF($N643="","",IF(Sync!$O643="",0,Sync!$O643))</f>
        <v/>
      </c>
      <c r="V643">
        <f>IF($N643="","",Sync!$L643)</f>
        <v/>
      </c>
      <c r="W643">
        <f>IF($N643="","",Sync!$P643)</f>
        <v/>
      </c>
      <c r="AA643">
        <f>IF($A643="","",IF(COUNTIF($A$6:$A643,$A643)=1,1,0))</f>
        <v/>
      </c>
      <c r="AB643">
        <f>SUM($AA$6:$AA643)</f>
        <v/>
      </c>
      <c r="AC643">
        <f>IFERROR(INDEX($A$6:$A$1005,MATCH(ROW()-5,$AB$6:$AB$1005,0)),"")</f>
        <v/>
      </c>
    </row>
    <row r="644">
      <c r="A644">
        <f>IF(OR(Entry!$B647="",Entry!$E647="",$E644="نامعتبر"),"",Entry!$E647)</f>
        <v/>
      </c>
      <c r="B644">
        <f>IF($A644="","",LEFT($E644,4)&amp;MID($E644,6,2)&amp;RIGHT($E644,2)&amp;$F644&amp;"|"&amp;"1"&amp;RIGHT("00000"&amp;639,5))</f>
        <v/>
      </c>
      <c r="C644">
        <f>IF($B644="","",COUNTIFS($A$6:$A$1005,$A644,$B$6:$B$1005,"&lt;"&amp;$B644)+COUNTIFS($N$6:$N$2005,$A644,$P$6:$P$2005,"&lt;"&amp;$B644)+1)</f>
        <v/>
      </c>
      <c r="D644">
        <f>IF($C644="","",$A644&amp;"|"&amp;RIGHT("000000"&amp;$C644,6))</f>
        <v/>
      </c>
      <c r="E644">
        <f>IF(Entry!$B647="","",IF(ISNUMBER(Entry!$B647),IF(AND(Entry!$B647&gt;=10000101,Entry!$B647&lt;=99991231),INT(Entry!$B647/10000)&amp;"/"&amp;RIGHT("00"&amp;INT(MOD(Entry!$B647,10000)/100),2)&amp;"/"&amp;RIGHT("00"&amp;MOD(Entry!$B647,100),2),"نامعتبر"),IF(LEN(Entry!$B647)=10,Entry!$B647,"نامعتبر")))</f>
        <v/>
      </c>
      <c r="F644">
        <f>IF(Entry!$B647="","",IF(Entry!$C647="","0000",IF(AND(ISNUMBER(Entry!$C647),Entry!$C647&gt;=0,Entry!$C647&lt;1),RIGHT("00"&amp;HOUR(Entry!$C647),2)&amp;RIGHT("00"&amp;MINUTE(Entry!$C647),2),IFERROR(RIGHT("00"&amp;VALUE(LEFT(Entry!$C647,FIND(":",Entry!$C647)-1)),2)&amp;RIGHT("00"&amp;VALUE(MID(Entry!$C647,FIND(":",Entry!$C647)+1,2)),2),"0000"))))</f>
        <v/>
      </c>
      <c r="G644">
        <f>IF($A644="","",Entry!$G647)</f>
        <v/>
      </c>
      <c r="H644">
        <f>IF($A644="","",IF(Entry!$H647="",0,Entry!$H647))</f>
        <v/>
      </c>
      <c r="I644">
        <f>IF($A644="","",IF(Entry!$I647="",0,Entry!$I647))</f>
        <v/>
      </c>
      <c r="J644">
        <f>IF($A644="","",ROUND($H644*$I644,0))</f>
        <v/>
      </c>
      <c r="K644">
        <f>IF($A644="","",Entry!$D647)</f>
        <v/>
      </c>
      <c r="L644">
        <f>IF($A644="","",Entry!$L647)</f>
        <v/>
      </c>
      <c r="N644">
        <f>IF(OR(Sync!$M644="",$Q644="",$Q644="نامعتبر"),"",Sync!$M644)</f>
        <v/>
      </c>
      <c r="O644">
        <f>IF($N644="","",$Q644)</f>
        <v/>
      </c>
      <c r="P644">
        <f>IF($N644="","",LEFT($Q644,4)&amp;MID($Q644,6,2)&amp;RIGHT($Q644,2)&amp;IF(Sync!$K644="","0000",IF(AND(ISNUMBER(Sync!$K644),Sync!$K644&gt;=0,Sync!$K644&lt;1),RIGHT("00"&amp;HOUR(Sync!$K644),2)&amp;RIGHT("00"&amp;MINUTE(Sync!$K644),2),IFERROR(RIGHT("00"&amp;VALUE(LEFT(Sync!$K644,FIND(":",Sync!$K644)-1)),2)&amp;RIGHT("00"&amp;VALUE(MID(Sync!$K644,FIND(":",Sync!$K644)+1,2)),2),"0000")))&amp;"|"&amp;"2"&amp;RIGHT("00000"&amp;639,5))</f>
        <v/>
      </c>
      <c r="Q644">
        <f>IF(Sync!$J644="","",IF(ISNUMBER(Sync!$J644),IF(AND(Sync!$J644&gt;=10000101,Sync!$J644&lt;=99991231),INT(Sync!$J644/10000)&amp;"/"&amp;RIGHT("00"&amp;INT(MOD(Sync!$J644,10000)/100),2)&amp;"/"&amp;RIGHT("00"&amp;MOD(Sync!$J644,100),2),"نامعتبر"),IF(LEN(Sync!$J644)=10,Sync!$J644,"نامعتبر")))</f>
        <v/>
      </c>
      <c r="R644">
        <f>IF($P644="","",COUNTIFS($N$6:$N$2005,$N644,$P$6:$P$2005,"&lt;"&amp;$P644)+COUNTIFS($A$6:$A$1005,$N644,$B$6:$B$1005,"&lt;"&amp;$P644)+1)</f>
        <v/>
      </c>
      <c r="S644">
        <f>IF($N644="","",$N644&amp;"|"&amp;RIGHT("000000"&amp;$R644,6))</f>
        <v/>
      </c>
      <c r="T644">
        <f>IF($N644="","",IF(Sync!$N644="",0,Sync!$N644))</f>
        <v/>
      </c>
      <c r="U644">
        <f>IF($N644="","",IF(Sync!$O644="",0,Sync!$O644))</f>
        <v/>
      </c>
      <c r="V644">
        <f>IF($N644="","",Sync!$L644)</f>
        <v/>
      </c>
      <c r="W644">
        <f>IF($N644="","",Sync!$P644)</f>
        <v/>
      </c>
      <c r="AA644">
        <f>IF($A644="","",IF(COUNTIF($A$6:$A644,$A644)=1,1,0))</f>
        <v/>
      </c>
      <c r="AB644">
        <f>SUM($AA$6:$AA644)</f>
        <v/>
      </c>
      <c r="AC644">
        <f>IFERROR(INDEX($A$6:$A$1005,MATCH(ROW()-5,$AB$6:$AB$1005,0)),"")</f>
        <v/>
      </c>
    </row>
    <row r="645">
      <c r="A645">
        <f>IF(OR(Entry!$B648="",Entry!$E648="",$E645="نامعتبر"),"",Entry!$E648)</f>
        <v/>
      </c>
      <c r="B645">
        <f>IF($A645="","",LEFT($E645,4)&amp;MID($E645,6,2)&amp;RIGHT($E645,2)&amp;$F645&amp;"|"&amp;"1"&amp;RIGHT("00000"&amp;640,5))</f>
        <v/>
      </c>
      <c r="C645">
        <f>IF($B645="","",COUNTIFS($A$6:$A$1005,$A645,$B$6:$B$1005,"&lt;"&amp;$B645)+COUNTIFS($N$6:$N$2005,$A645,$P$6:$P$2005,"&lt;"&amp;$B645)+1)</f>
        <v/>
      </c>
      <c r="D645">
        <f>IF($C645="","",$A645&amp;"|"&amp;RIGHT("000000"&amp;$C645,6))</f>
        <v/>
      </c>
      <c r="E645">
        <f>IF(Entry!$B648="","",IF(ISNUMBER(Entry!$B648),IF(AND(Entry!$B648&gt;=10000101,Entry!$B648&lt;=99991231),INT(Entry!$B648/10000)&amp;"/"&amp;RIGHT("00"&amp;INT(MOD(Entry!$B648,10000)/100),2)&amp;"/"&amp;RIGHT("00"&amp;MOD(Entry!$B648,100),2),"نامعتبر"),IF(LEN(Entry!$B648)=10,Entry!$B648,"نامعتبر")))</f>
        <v/>
      </c>
      <c r="F645">
        <f>IF(Entry!$B648="","",IF(Entry!$C648="","0000",IF(AND(ISNUMBER(Entry!$C648),Entry!$C648&gt;=0,Entry!$C648&lt;1),RIGHT("00"&amp;HOUR(Entry!$C648),2)&amp;RIGHT("00"&amp;MINUTE(Entry!$C648),2),IFERROR(RIGHT("00"&amp;VALUE(LEFT(Entry!$C648,FIND(":",Entry!$C648)-1)),2)&amp;RIGHT("00"&amp;VALUE(MID(Entry!$C648,FIND(":",Entry!$C648)+1,2)),2),"0000"))))</f>
        <v/>
      </c>
      <c r="G645">
        <f>IF($A645="","",Entry!$G648)</f>
        <v/>
      </c>
      <c r="H645">
        <f>IF($A645="","",IF(Entry!$H648="",0,Entry!$H648))</f>
        <v/>
      </c>
      <c r="I645">
        <f>IF($A645="","",IF(Entry!$I648="",0,Entry!$I648))</f>
        <v/>
      </c>
      <c r="J645">
        <f>IF($A645="","",ROUND($H645*$I645,0))</f>
        <v/>
      </c>
      <c r="K645">
        <f>IF($A645="","",Entry!$D648)</f>
        <v/>
      </c>
      <c r="L645">
        <f>IF($A645="","",Entry!$L648)</f>
        <v/>
      </c>
      <c r="N645">
        <f>IF(OR(Sync!$M645="",$Q645="",$Q645="نامعتبر"),"",Sync!$M645)</f>
        <v/>
      </c>
      <c r="O645">
        <f>IF($N645="","",$Q645)</f>
        <v/>
      </c>
      <c r="P645">
        <f>IF($N645="","",LEFT($Q645,4)&amp;MID($Q645,6,2)&amp;RIGHT($Q645,2)&amp;IF(Sync!$K645="","0000",IF(AND(ISNUMBER(Sync!$K645),Sync!$K645&gt;=0,Sync!$K645&lt;1),RIGHT("00"&amp;HOUR(Sync!$K645),2)&amp;RIGHT("00"&amp;MINUTE(Sync!$K645),2),IFERROR(RIGHT("00"&amp;VALUE(LEFT(Sync!$K645,FIND(":",Sync!$K645)-1)),2)&amp;RIGHT("00"&amp;VALUE(MID(Sync!$K645,FIND(":",Sync!$K645)+1,2)),2),"0000")))&amp;"|"&amp;"2"&amp;RIGHT("00000"&amp;640,5))</f>
        <v/>
      </c>
      <c r="Q645">
        <f>IF(Sync!$J645="","",IF(ISNUMBER(Sync!$J645),IF(AND(Sync!$J645&gt;=10000101,Sync!$J645&lt;=99991231),INT(Sync!$J645/10000)&amp;"/"&amp;RIGHT("00"&amp;INT(MOD(Sync!$J645,10000)/100),2)&amp;"/"&amp;RIGHT("00"&amp;MOD(Sync!$J645,100),2),"نامعتبر"),IF(LEN(Sync!$J645)=10,Sync!$J645,"نامعتبر")))</f>
        <v/>
      </c>
      <c r="R645">
        <f>IF($P645="","",COUNTIFS($N$6:$N$2005,$N645,$P$6:$P$2005,"&lt;"&amp;$P645)+COUNTIFS($A$6:$A$1005,$N645,$B$6:$B$1005,"&lt;"&amp;$P645)+1)</f>
        <v/>
      </c>
      <c r="S645">
        <f>IF($N645="","",$N645&amp;"|"&amp;RIGHT("000000"&amp;$R645,6))</f>
        <v/>
      </c>
      <c r="T645">
        <f>IF($N645="","",IF(Sync!$N645="",0,Sync!$N645))</f>
        <v/>
      </c>
      <c r="U645">
        <f>IF($N645="","",IF(Sync!$O645="",0,Sync!$O645))</f>
        <v/>
      </c>
      <c r="V645">
        <f>IF($N645="","",Sync!$L645)</f>
        <v/>
      </c>
      <c r="W645">
        <f>IF($N645="","",Sync!$P645)</f>
        <v/>
      </c>
      <c r="AA645">
        <f>IF($A645="","",IF(COUNTIF($A$6:$A645,$A645)=1,1,0))</f>
        <v/>
      </c>
      <c r="AB645">
        <f>SUM($AA$6:$AA645)</f>
        <v/>
      </c>
      <c r="AC645">
        <f>IFERROR(INDEX($A$6:$A$1005,MATCH(ROW()-5,$AB$6:$AB$1005,0)),"")</f>
        <v/>
      </c>
    </row>
    <row r="646">
      <c r="A646">
        <f>IF(OR(Entry!$B649="",Entry!$E649="",$E646="نامعتبر"),"",Entry!$E649)</f>
        <v/>
      </c>
      <c r="B646">
        <f>IF($A646="","",LEFT($E646,4)&amp;MID($E646,6,2)&amp;RIGHT($E646,2)&amp;$F646&amp;"|"&amp;"1"&amp;RIGHT("00000"&amp;641,5))</f>
        <v/>
      </c>
      <c r="C646">
        <f>IF($B646="","",COUNTIFS($A$6:$A$1005,$A646,$B$6:$B$1005,"&lt;"&amp;$B646)+COUNTIFS($N$6:$N$2005,$A646,$P$6:$P$2005,"&lt;"&amp;$B646)+1)</f>
        <v/>
      </c>
      <c r="D646">
        <f>IF($C646="","",$A646&amp;"|"&amp;RIGHT("000000"&amp;$C646,6))</f>
        <v/>
      </c>
      <c r="E646">
        <f>IF(Entry!$B649="","",IF(ISNUMBER(Entry!$B649),IF(AND(Entry!$B649&gt;=10000101,Entry!$B649&lt;=99991231),INT(Entry!$B649/10000)&amp;"/"&amp;RIGHT("00"&amp;INT(MOD(Entry!$B649,10000)/100),2)&amp;"/"&amp;RIGHT("00"&amp;MOD(Entry!$B649,100),2),"نامعتبر"),IF(LEN(Entry!$B649)=10,Entry!$B649,"نامعتبر")))</f>
        <v/>
      </c>
      <c r="F646">
        <f>IF(Entry!$B649="","",IF(Entry!$C649="","0000",IF(AND(ISNUMBER(Entry!$C649),Entry!$C649&gt;=0,Entry!$C649&lt;1),RIGHT("00"&amp;HOUR(Entry!$C649),2)&amp;RIGHT("00"&amp;MINUTE(Entry!$C649),2),IFERROR(RIGHT("00"&amp;VALUE(LEFT(Entry!$C649,FIND(":",Entry!$C649)-1)),2)&amp;RIGHT("00"&amp;VALUE(MID(Entry!$C649,FIND(":",Entry!$C649)+1,2)),2),"0000"))))</f>
        <v/>
      </c>
      <c r="G646">
        <f>IF($A646="","",Entry!$G649)</f>
        <v/>
      </c>
      <c r="H646">
        <f>IF($A646="","",IF(Entry!$H649="",0,Entry!$H649))</f>
        <v/>
      </c>
      <c r="I646">
        <f>IF($A646="","",IF(Entry!$I649="",0,Entry!$I649))</f>
        <v/>
      </c>
      <c r="J646">
        <f>IF($A646="","",ROUND($H646*$I646,0))</f>
        <v/>
      </c>
      <c r="K646">
        <f>IF($A646="","",Entry!$D649)</f>
        <v/>
      </c>
      <c r="L646">
        <f>IF($A646="","",Entry!$L649)</f>
        <v/>
      </c>
      <c r="N646">
        <f>IF(OR(Sync!$M646="",$Q646="",$Q646="نامعتبر"),"",Sync!$M646)</f>
        <v/>
      </c>
      <c r="O646">
        <f>IF($N646="","",$Q646)</f>
        <v/>
      </c>
      <c r="P646">
        <f>IF($N646="","",LEFT($Q646,4)&amp;MID($Q646,6,2)&amp;RIGHT($Q646,2)&amp;IF(Sync!$K646="","0000",IF(AND(ISNUMBER(Sync!$K646),Sync!$K646&gt;=0,Sync!$K646&lt;1),RIGHT("00"&amp;HOUR(Sync!$K646),2)&amp;RIGHT("00"&amp;MINUTE(Sync!$K646),2),IFERROR(RIGHT("00"&amp;VALUE(LEFT(Sync!$K646,FIND(":",Sync!$K646)-1)),2)&amp;RIGHT("00"&amp;VALUE(MID(Sync!$K646,FIND(":",Sync!$K646)+1,2)),2),"0000")))&amp;"|"&amp;"2"&amp;RIGHT("00000"&amp;641,5))</f>
        <v/>
      </c>
      <c r="Q646">
        <f>IF(Sync!$J646="","",IF(ISNUMBER(Sync!$J646),IF(AND(Sync!$J646&gt;=10000101,Sync!$J646&lt;=99991231),INT(Sync!$J646/10000)&amp;"/"&amp;RIGHT("00"&amp;INT(MOD(Sync!$J646,10000)/100),2)&amp;"/"&amp;RIGHT("00"&amp;MOD(Sync!$J646,100),2),"نامعتبر"),IF(LEN(Sync!$J646)=10,Sync!$J646,"نامعتبر")))</f>
        <v/>
      </c>
      <c r="R646">
        <f>IF($P646="","",COUNTIFS($N$6:$N$2005,$N646,$P$6:$P$2005,"&lt;"&amp;$P646)+COUNTIFS($A$6:$A$1005,$N646,$B$6:$B$1005,"&lt;"&amp;$P646)+1)</f>
        <v/>
      </c>
      <c r="S646">
        <f>IF($N646="","",$N646&amp;"|"&amp;RIGHT("000000"&amp;$R646,6))</f>
        <v/>
      </c>
      <c r="T646">
        <f>IF($N646="","",IF(Sync!$N646="",0,Sync!$N646))</f>
        <v/>
      </c>
      <c r="U646">
        <f>IF($N646="","",IF(Sync!$O646="",0,Sync!$O646))</f>
        <v/>
      </c>
      <c r="V646">
        <f>IF($N646="","",Sync!$L646)</f>
        <v/>
      </c>
      <c r="W646">
        <f>IF($N646="","",Sync!$P646)</f>
        <v/>
      </c>
      <c r="AA646">
        <f>IF($A646="","",IF(COUNTIF($A$6:$A646,$A646)=1,1,0))</f>
        <v/>
      </c>
      <c r="AB646">
        <f>SUM($AA$6:$AA646)</f>
        <v/>
      </c>
      <c r="AC646">
        <f>IFERROR(INDEX($A$6:$A$1005,MATCH(ROW()-5,$AB$6:$AB$1005,0)),"")</f>
        <v/>
      </c>
    </row>
    <row r="647">
      <c r="A647">
        <f>IF(OR(Entry!$B650="",Entry!$E650="",$E647="نامعتبر"),"",Entry!$E650)</f>
        <v/>
      </c>
      <c r="B647">
        <f>IF($A647="","",LEFT($E647,4)&amp;MID($E647,6,2)&amp;RIGHT($E647,2)&amp;$F647&amp;"|"&amp;"1"&amp;RIGHT("00000"&amp;642,5))</f>
        <v/>
      </c>
      <c r="C647">
        <f>IF($B647="","",COUNTIFS($A$6:$A$1005,$A647,$B$6:$B$1005,"&lt;"&amp;$B647)+COUNTIFS($N$6:$N$2005,$A647,$P$6:$P$2005,"&lt;"&amp;$B647)+1)</f>
        <v/>
      </c>
      <c r="D647">
        <f>IF($C647="","",$A647&amp;"|"&amp;RIGHT("000000"&amp;$C647,6))</f>
        <v/>
      </c>
      <c r="E647">
        <f>IF(Entry!$B650="","",IF(ISNUMBER(Entry!$B650),IF(AND(Entry!$B650&gt;=10000101,Entry!$B650&lt;=99991231),INT(Entry!$B650/10000)&amp;"/"&amp;RIGHT("00"&amp;INT(MOD(Entry!$B650,10000)/100),2)&amp;"/"&amp;RIGHT("00"&amp;MOD(Entry!$B650,100),2),"نامعتبر"),IF(LEN(Entry!$B650)=10,Entry!$B650,"نامعتبر")))</f>
        <v/>
      </c>
      <c r="F647">
        <f>IF(Entry!$B650="","",IF(Entry!$C650="","0000",IF(AND(ISNUMBER(Entry!$C650),Entry!$C650&gt;=0,Entry!$C650&lt;1),RIGHT("00"&amp;HOUR(Entry!$C650),2)&amp;RIGHT("00"&amp;MINUTE(Entry!$C650),2),IFERROR(RIGHT("00"&amp;VALUE(LEFT(Entry!$C650,FIND(":",Entry!$C650)-1)),2)&amp;RIGHT("00"&amp;VALUE(MID(Entry!$C650,FIND(":",Entry!$C650)+1,2)),2),"0000"))))</f>
        <v/>
      </c>
      <c r="G647">
        <f>IF($A647="","",Entry!$G650)</f>
        <v/>
      </c>
      <c r="H647">
        <f>IF($A647="","",IF(Entry!$H650="",0,Entry!$H650))</f>
        <v/>
      </c>
      <c r="I647">
        <f>IF($A647="","",IF(Entry!$I650="",0,Entry!$I650))</f>
        <v/>
      </c>
      <c r="J647">
        <f>IF($A647="","",ROUND($H647*$I647,0))</f>
        <v/>
      </c>
      <c r="K647">
        <f>IF($A647="","",Entry!$D650)</f>
        <v/>
      </c>
      <c r="L647">
        <f>IF($A647="","",Entry!$L650)</f>
        <v/>
      </c>
      <c r="N647">
        <f>IF(OR(Sync!$M647="",$Q647="",$Q647="نامعتبر"),"",Sync!$M647)</f>
        <v/>
      </c>
      <c r="O647">
        <f>IF($N647="","",$Q647)</f>
        <v/>
      </c>
      <c r="P647">
        <f>IF($N647="","",LEFT($Q647,4)&amp;MID($Q647,6,2)&amp;RIGHT($Q647,2)&amp;IF(Sync!$K647="","0000",IF(AND(ISNUMBER(Sync!$K647),Sync!$K647&gt;=0,Sync!$K647&lt;1),RIGHT("00"&amp;HOUR(Sync!$K647),2)&amp;RIGHT("00"&amp;MINUTE(Sync!$K647),2),IFERROR(RIGHT("00"&amp;VALUE(LEFT(Sync!$K647,FIND(":",Sync!$K647)-1)),2)&amp;RIGHT("00"&amp;VALUE(MID(Sync!$K647,FIND(":",Sync!$K647)+1,2)),2),"0000")))&amp;"|"&amp;"2"&amp;RIGHT("00000"&amp;642,5))</f>
        <v/>
      </c>
      <c r="Q647">
        <f>IF(Sync!$J647="","",IF(ISNUMBER(Sync!$J647),IF(AND(Sync!$J647&gt;=10000101,Sync!$J647&lt;=99991231),INT(Sync!$J647/10000)&amp;"/"&amp;RIGHT("00"&amp;INT(MOD(Sync!$J647,10000)/100),2)&amp;"/"&amp;RIGHT("00"&amp;MOD(Sync!$J647,100),2),"نامعتبر"),IF(LEN(Sync!$J647)=10,Sync!$J647,"نامعتبر")))</f>
        <v/>
      </c>
      <c r="R647">
        <f>IF($P647="","",COUNTIFS($N$6:$N$2005,$N647,$P$6:$P$2005,"&lt;"&amp;$P647)+COUNTIFS($A$6:$A$1005,$N647,$B$6:$B$1005,"&lt;"&amp;$P647)+1)</f>
        <v/>
      </c>
      <c r="S647">
        <f>IF($N647="","",$N647&amp;"|"&amp;RIGHT("000000"&amp;$R647,6))</f>
        <v/>
      </c>
      <c r="T647">
        <f>IF($N647="","",IF(Sync!$N647="",0,Sync!$N647))</f>
        <v/>
      </c>
      <c r="U647">
        <f>IF($N647="","",IF(Sync!$O647="",0,Sync!$O647))</f>
        <v/>
      </c>
      <c r="V647">
        <f>IF($N647="","",Sync!$L647)</f>
        <v/>
      </c>
      <c r="W647">
        <f>IF($N647="","",Sync!$P647)</f>
        <v/>
      </c>
      <c r="AA647">
        <f>IF($A647="","",IF(COUNTIF($A$6:$A647,$A647)=1,1,0))</f>
        <v/>
      </c>
      <c r="AB647">
        <f>SUM($AA$6:$AA647)</f>
        <v/>
      </c>
      <c r="AC647">
        <f>IFERROR(INDEX($A$6:$A$1005,MATCH(ROW()-5,$AB$6:$AB$1005,0)),"")</f>
        <v/>
      </c>
    </row>
    <row r="648">
      <c r="A648">
        <f>IF(OR(Entry!$B651="",Entry!$E651="",$E648="نامعتبر"),"",Entry!$E651)</f>
        <v/>
      </c>
      <c r="B648">
        <f>IF($A648="","",LEFT($E648,4)&amp;MID($E648,6,2)&amp;RIGHT($E648,2)&amp;$F648&amp;"|"&amp;"1"&amp;RIGHT("00000"&amp;643,5))</f>
        <v/>
      </c>
      <c r="C648">
        <f>IF($B648="","",COUNTIFS($A$6:$A$1005,$A648,$B$6:$B$1005,"&lt;"&amp;$B648)+COUNTIFS($N$6:$N$2005,$A648,$P$6:$P$2005,"&lt;"&amp;$B648)+1)</f>
        <v/>
      </c>
      <c r="D648">
        <f>IF($C648="","",$A648&amp;"|"&amp;RIGHT("000000"&amp;$C648,6))</f>
        <v/>
      </c>
      <c r="E648">
        <f>IF(Entry!$B651="","",IF(ISNUMBER(Entry!$B651),IF(AND(Entry!$B651&gt;=10000101,Entry!$B651&lt;=99991231),INT(Entry!$B651/10000)&amp;"/"&amp;RIGHT("00"&amp;INT(MOD(Entry!$B651,10000)/100),2)&amp;"/"&amp;RIGHT("00"&amp;MOD(Entry!$B651,100),2),"نامعتبر"),IF(LEN(Entry!$B651)=10,Entry!$B651,"نامعتبر")))</f>
        <v/>
      </c>
      <c r="F648">
        <f>IF(Entry!$B651="","",IF(Entry!$C651="","0000",IF(AND(ISNUMBER(Entry!$C651),Entry!$C651&gt;=0,Entry!$C651&lt;1),RIGHT("00"&amp;HOUR(Entry!$C651),2)&amp;RIGHT("00"&amp;MINUTE(Entry!$C651),2),IFERROR(RIGHT("00"&amp;VALUE(LEFT(Entry!$C651,FIND(":",Entry!$C651)-1)),2)&amp;RIGHT("00"&amp;VALUE(MID(Entry!$C651,FIND(":",Entry!$C651)+1,2)),2),"0000"))))</f>
        <v/>
      </c>
      <c r="G648">
        <f>IF($A648="","",Entry!$G651)</f>
        <v/>
      </c>
      <c r="H648">
        <f>IF($A648="","",IF(Entry!$H651="",0,Entry!$H651))</f>
        <v/>
      </c>
      <c r="I648">
        <f>IF($A648="","",IF(Entry!$I651="",0,Entry!$I651))</f>
        <v/>
      </c>
      <c r="J648">
        <f>IF($A648="","",ROUND($H648*$I648,0))</f>
        <v/>
      </c>
      <c r="K648">
        <f>IF($A648="","",Entry!$D651)</f>
        <v/>
      </c>
      <c r="L648">
        <f>IF($A648="","",Entry!$L651)</f>
        <v/>
      </c>
      <c r="N648">
        <f>IF(OR(Sync!$M648="",$Q648="",$Q648="نامعتبر"),"",Sync!$M648)</f>
        <v/>
      </c>
      <c r="O648">
        <f>IF($N648="","",$Q648)</f>
        <v/>
      </c>
      <c r="P648">
        <f>IF($N648="","",LEFT($Q648,4)&amp;MID($Q648,6,2)&amp;RIGHT($Q648,2)&amp;IF(Sync!$K648="","0000",IF(AND(ISNUMBER(Sync!$K648),Sync!$K648&gt;=0,Sync!$K648&lt;1),RIGHT("00"&amp;HOUR(Sync!$K648),2)&amp;RIGHT("00"&amp;MINUTE(Sync!$K648),2),IFERROR(RIGHT("00"&amp;VALUE(LEFT(Sync!$K648,FIND(":",Sync!$K648)-1)),2)&amp;RIGHT("00"&amp;VALUE(MID(Sync!$K648,FIND(":",Sync!$K648)+1,2)),2),"0000")))&amp;"|"&amp;"2"&amp;RIGHT("00000"&amp;643,5))</f>
        <v/>
      </c>
      <c r="Q648">
        <f>IF(Sync!$J648="","",IF(ISNUMBER(Sync!$J648),IF(AND(Sync!$J648&gt;=10000101,Sync!$J648&lt;=99991231),INT(Sync!$J648/10000)&amp;"/"&amp;RIGHT("00"&amp;INT(MOD(Sync!$J648,10000)/100),2)&amp;"/"&amp;RIGHT("00"&amp;MOD(Sync!$J648,100),2),"نامعتبر"),IF(LEN(Sync!$J648)=10,Sync!$J648,"نامعتبر")))</f>
        <v/>
      </c>
      <c r="R648">
        <f>IF($P648="","",COUNTIFS($N$6:$N$2005,$N648,$P$6:$P$2005,"&lt;"&amp;$P648)+COUNTIFS($A$6:$A$1005,$N648,$B$6:$B$1005,"&lt;"&amp;$P648)+1)</f>
        <v/>
      </c>
      <c r="S648">
        <f>IF($N648="","",$N648&amp;"|"&amp;RIGHT("000000"&amp;$R648,6))</f>
        <v/>
      </c>
      <c r="T648">
        <f>IF($N648="","",IF(Sync!$N648="",0,Sync!$N648))</f>
        <v/>
      </c>
      <c r="U648">
        <f>IF($N648="","",IF(Sync!$O648="",0,Sync!$O648))</f>
        <v/>
      </c>
      <c r="V648">
        <f>IF($N648="","",Sync!$L648)</f>
        <v/>
      </c>
      <c r="W648">
        <f>IF($N648="","",Sync!$P648)</f>
        <v/>
      </c>
      <c r="AA648">
        <f>IF($A648="","",IF(COUNTIF($A$6:$A648,$A648)=1,1,0))</f>
        <v/>
      </c>
      <c r="AB648">
        <f>SUM($AA$6:$AA648)</f>
        <v/>
      </c>
      <c r="AC648">
        <f>IFERROR(INDEX($A$6:$A$1005,MATCH(ROW()-5,$AB$6:$AB$1005,0)),"")</f>
        <v/>
      </c>
    </row>
    <row r="649">
      <c r="A649">
        <f>IF(OR(Entry!$B652="",Entry!$E652="",$E649="نامعتبر"),"",Entry!$E652)</f>
        <v/>
      </c>
      <c r="B649">
        <f>IF($A649="","",LEFT($E649,4)&amp;MID($E649,6,2)&amp;RIGHT($E649,2)&amp;$F649&amp;"|"&amp;"1"&amp;RIGHT("00000"&amp;644,5))</f>
        <v/>
      </c>
      <c r="C649">
        <f>IF($B649="","",COUNTIFS($A$6:$A$1005,$A649,$B$6:$B$1005,"&lt;"&amp;$B649)+COUNTIFS($N$6:$N$2005,$A649,$P$6:$P$2005,"&lt;"&amp;$B649)+1)</f>
        <v/>
      </c>
      <c r="D649">
        <f>IF($C649="","",$A649&amp;"|"&amp;RIGHT("000000"&amp;$C649,6))</f>
        <v/>
      </c>
      <c r="E649">
        <f>IF(Entry!$B652="","",IF(ISNUMBER(Entry!$B652),IF(AND(Entry!$B652&gt;=10000101,Entry!$B652&lt;=99991231),INT(Entry!$B652/10000)&amp;"/"&amp;RIGHT("00"&amp;INT(MOD(Entry!$B652,10000)/100),2)&amp;"/"&amp;RIGHT("00"&amp;MOD(Entry!$B652,100),2),"نامعتبر"),IF(LEN(Entry!$B652)=10,Entry!$B652,"نامعتبر")))</f>
        <v/>
      </c>
      <c r="F649">
        <f>IF(Entry!$B652="","",IF(Entry!$C652="","0000",IF(AND(ISNUMBER(Entry!$C652),Entry!$C652&gt;=0,Entry!$C652&lt;1),RIGHT("00"&amp;HOUR(Entry!$C652),2)&amp;RIGHT("00"&amp;MINUTE(Entry!$C652),2),IFERROR(RIGHT("00"&amp;VALUE(LEFT(Entry!$C652,FIND(":",Entry!$C652)-1)),2)&amp;RIGHT("00"&amp;VALUE(MID(Entry!$C652,FIND(":",Entry!$C652)+1,2)),2),"0000"))))</f>
        <v/>
      </c>
      <c r="G649">
        <f>IF($A649="","",Entry!$G652)</f>
        <v/>
      </c>
      <c r="H649">
        <f>IF($A649="","",IF(Entry!$H652="",0,Entry!$H652))</f>
        <v/>
      </c>
      <c r="I649">
        <f>IF($A649="","",IF(Entry!$I652="",0,Entry!$I652))</f>
        <v/>
      </c>
      <c r="J649">
        <f>IF($A649="","",ROUND($H649*$I649,0))</f>
        <v/>
      </c>
      <c r="K649">
        <f>IF($A649="","",Entry!$D652)</f>
        <v/>
      </c>
      <c r="L649">
        <f>IF($A649="","",Entry!$L652)</f>
        <v/>
      </c>
      <c r="N649">
        <f>IF(OR(Sync!$M649="",$Q649="",$Q649="نامعتبر"),"",Sync!$M649)</f>
        <v/>
      </c>
      <c r="O649">
        <f>IF($N649="","",$Q649)</f>
        <v/>
      </c>
      <c r="P649">
        <f>IF($N649="","",LEFT($Q649,4)&amp;MID($Q649,6,2)&amp;RIGHT($Q649,2)&amp;IF(Sync!$K649="","0000",IF(AND(ISNUMBER(Sync!$K649),Sync!$K649&gt;=0,Sync!$K649&lt;1),RIGHT("00"&amp;HOUR(Sync!$K649),2)&amp;RIGHT("00"&amp;MINUTE(Sync!$K649),2),IFERROR(RIGHT("00"&amp;VALUE(LEFT(Sync!$K649,FIND(":",Sync!$K649)-1)),2)&amp;RIGHT("00"&amp;VALUE(MID(Sync!$K649,FIND(":",Sync!$K649)+1,2)),2),"0000")))&amp;"|"&amp;"2"&amp;RIGHT("00000"&amp;644,5))</f>
        <v/>
      </c>
      <c r="Q649">
        <f>IF(Sync!$J649="","",IF(ISNUMBER(Sync!$J649),IF(AND(Sync!$J649&gt;=10000101,Sync!$J649&lt;=99991231),INT(Sync!$J649/10000)&amp;"/"&amp;RIGHT("00"&amp;INT(MOD(Sync!$J649,10000)/100),2)&amp;"/"&amp;RIGHT("00"&amp;MOD(Sync!$J649,100),2),"نامعتبر"),IF(LEN(Sync!$J649)=10,Sync!$J649,"نامعتبر")))</f>
        <v/>
      </c>
      <c r="R649">
        <f>IF($P649="","",COUNTIFS($N$6:$N$2005,$N649,$P$6:$P$2005,"&lt;"&amp;$P649)+COUNTIFS($A$6:$A$1005,$N649,$B$6:$B$1005,"&lt;"&amp;$P649)+1)</f>
        <v/>
      </c>
      <c r="S649">
        <f>IF($N649="","",$N649&amp;"|"&amp;RIGHT("000000"&amp;$R649,6))</f>
        <v/>
      </c>
      <c r="T649">
        <f>IF($N649="","",IF(Sync!$N649="",0,Sync!$N649))</f>
        <v/>
      </c>
      <c r="U649">
        <f>IF($N649="","",IF(Sync!$O649="",0,Sync!$O649))</f>
        <v/>
      </c>
      <c r="V649">
        <f>IF($N649="","",Sync!$L649)</f>
        <v/>
      </c>
      <c r="W649">
        <f>IF($N649="","",Sync!$P649)</f>
        <v/>
      </c>
      <c r="AA649">
        <f>IF($A649="","",IF(COUNTIF($A$6:$A649,$A649)=1,1,0))</f>
        <v/>
      </c>
      <c r="AB649">
        <f>SUM($AA$6:$AA649)</f>
        <v/>
      </c>
      <c r="AC649">
        <f>IFERROR(INDEX($A$6:$A$1005,MATCH(ROW()-5,$AB$6:$AB$1005,0)),"")</f>
        <v/>
      </c>
    </row>
    <row r="650">
      <c r="A650">
        <f>IF(OR(Entry!$B653="",Entry!$E653="",$E650="نامعتبر"),"",Entry!$E653)</f>
        <v/>
      </c>
      <c r="B650">
        <f>IF($A650="","",LEFT($E650,4)&amp;MID($E650,6,2)&amp;RIGHT($E650,2)&amp;$F650&amp;"|"&amp;"1"&amp;RIGHT("00000"&amp;645,5))</f>
        <v/>
      </c>
      <c r="C650">
        <f>IF($B650="","",COUNTIFS($A$6:$A$1005,$A650,$B$6:$B$1005,"&lt;"&amp;$B650)+COUNTIFS($N$6:$N$2005,$A650,$P$6:$P$2005,"&lt;"&amp;$B650)+1)</f>
        <v/>
      </c>
      <c r="D650">
        <f>IF($C650="","",$A650&amp;"|"&amp;RIGHT("000000"&amp;$C650,6))</f>
        <v/>
      </c>
      <c r="E650">
        <f>IF(Entry!$B653="","",IF(ISNUMBER(Entry!$B653),IF(AND(Entry!$B653&gt;=10000101,Entry!$B653&lt;=99991231),INT(Entry!$B653/10000)&amp;"/"&amp;RIGHT("00"&amp;INT(MOD(Entry!$B653,10000)/100),2)&amp;"/"&amp;RIGHT("00"&amp;MOD(Entry!$B653,100),2),"نامعتبر"),IF(LEN(Entry!$B653)=10,Entry!$B653,"نامعتبر")))</f>
        <v/>
      </c>
      <c r="F650">
        <f>IF(Entry!$B653="","",IF(Entry!$C653="","0000",IF(AND(ISNUMBER(Entry!$C653),Entry!$C653&gt;=0,Entry!$C653&lt;1),RIGHT("00"&amp;HOUR(Entry!$C653),2)&amp;RIGHT("00"&amp;MINUTE(Entry!$C653),2),IFERROR(RIGHT("00"&amp;VALUE(LEFT(Entry!$C653,FIND(":",Entry!$C653)-1)),2)&amp;RIGHT("00"&amp;VALUE(MID(Entry!$C653,FIND(":",Entry!$C653)+1,2)),2),"0000"))))</f>
        <v/>
      </c>
      <c r="G650">
        <f>IF($A650="","",Entry!$G653)</f>
        <v/>
      </c>
      <c r="H650">
        <f>IF($A650="","",IF(Entry!$H653="",0,Entry!$H653))</f>
        <v/>
      </c>
      <c r="I650">
        <f>IF($A650="","",IF(Entry!$I653="",0,Entry!$I653))</f>
        <v/>
      </c>
      <c r="J650">
        <f>IF($A650="","",ROUND($H650*$I650,0))</f>
        <v/>
      </c>
      <c r="K650">
        <f>IF($A650="","",Entry!$D653)</f>
        <v/>
      </c>
      <c r="L650">
        <f>IF($A650="","",Entry!$L653)</f>
        <v/>
      </c>
      <c r="N650">
        <f>IF(OR(Sync!$M650="",$Q650="",$Q650="نامعتبر"),"",Sync!$M650)</f>
        <v/>
      </c>
      <c r="O650">
        <f>IF($N650="","",$Q650)</f>
        <v/>
      </c>
      <c r="P650">
        <f>IF($N650="","",LEFT($Q650,4)&amp;MID($Q650,6,2)&amp;RIGHT($Q650,2)&amp;IF(Sync!$K650="","0000",IF(AND(ISNUMBER(Sync!$K650),Sync!$K650&gt;=0,Sync!$K650&lt;1),RIGHT("00"&amp;HOUR(Sync!$K650),2)&amp;RIGHT("00"&amp;MINUTE(Sync!$K650),2),IFERROR(RIGHT("00"&amp;VALUE(LEFT(Sync!$K650,FIND(":",Sync!$K650)-1)),2)&amp;RIGHT("00"&amp;VALUE(MID(Sync!$K650,FIND(":",Sync!$K650)+1,2)),2),"0000")))&amp;"|"&amp;"2"&amp;RIGHT("00000"&amp;645,5))</f>
        <v/>
      </c>
      <c r="Q650">
        <f>IF(Sync!$J650="","",IF(ISNUMBER(Sync!$J650),IF(AND(Sync!$J650&gt;=10000101,Sync!$J650&lt;=99991231),INT(Sync!$J650/10000)&amp;"/"&amp;RIGHT("00"&amp;INT(MOD(Sync!$J650,10000)/100),2)&amp;"/"&amp;RIGHT("00"&amp;MOD(Sync!$J650,100),2),"نامعتبر"),IF(LEN(Sync!$J650)=10,Sync!$J650,"نامعتبر")))</f>
        <v/>
      </c>
      <c r="R650">
        <f>IF($P650="","",COUNTIFS($N$6:$N$2005,$N650,$P$6:$P$2005,"&lt;"&amp;$P650)+COUNTIFS($A$6:$A$1005,$N650,$B$6:$B$1005,"&lt;"&amp;$P650)+1)</f>
        <v/>
      </c>
      <c r="S650">
        <f>IF($N650="","",$N650&amp;"|"&amp;RIGHT("000000"&amp;$R650,6))</f>
        <v/>
      </c>
      <c r="T650">
        <f>IF($N650="","",IF(Sync!$N650="",0,Sync!$N650))</f>
        <v/>
      </c>
      <c r="U650">
        <f>IF($N650="","",IF(Sync!$O650="",0,Sync!$O650))</f>
        <v/>
      </c>
      <c r="V650">
        <f>IF($N650="","",Sync!$L650)</f>
        <v/>
      </c>
      <c r="W650">
        <f>IF($N650="","",Sync!$P650)</f>
        <v/>
      </c>
      <c r="AA650">
        <f>IF($A650="","",IF(COUNTIF($A$6:$A650,$A650)=1,1,0))</f>
        <v/>
      </c>
      <c r="AB650">
        <f>SUM($AA$6:$AA650)</f>
        <v/>
      </c>
      <c r="AC650">
        <f>IFERROR(INDEX($A$6:$A$1005,MATCH(ROW()-5,$AB$6:$AB$1005,0)),"")</f>
        <v/>
      </c>
    </row>
    <row r="651">
      <c r="A651">
        <f>IF(OR(Entry!$B654="",Entry!$E654="",$E651="نامعتبر"),"",Entry!$E654)</f>
        <v/>
      </c>
      <c r="B651">
        <f>IF($A651="","",LEFT($E651,4)&amp;MID($E651,6,2)&amp;RIGHT($E651,2)&amp;$F651&amp;"|"&amp;"1"&amp;RIGHT("00000"&amp;646,5))</f>
        <v/>
      </c>
      <c r="C651">
        <f>IF($B651="","",COUNTIFS($A$6:$A$1005,$A651,$B$6:$B$1005,"&lt;"&amp;$B651)+COUNTIFS($N$6:$N$2005,$A651,$P$6:$P$2005,"&lt;"&amp;$B651)+1)</f>
        <v/>
      </c>
      <c r="D651">
        <f>IF($C651="","",$A651&amp;"|"&amp;RIGHT("000000"&amp;$C651,6))</f>
        <v/>
      </c>
      <c r="E651">
        <f>IF(Entry!$B654="","",IF(ISNUMBER(Entry!$B654),IF(AND(Entry!$B654&gt;=10000101,Entry!$B654&lt;=99991231),INT(Entry!$B654/10000)&amp;"/"&amp;RIGHT("00"&amp;INT(MOD(Entry!$B654,10000)/100),2)&amp;"/"&amp;RIGHT("00"&amp;MOD(Entry!$B654,100),2),"نامعتبر"),IF(LEN(Entry!$B654)=10,Entry!$B654,"نامعتبر")))</f>
        <v/>
      </c>
      <c r="F651">
        <f>IF(Entry!$B654="","",IF(Entry!$C654="","0000",IF(AND(ISNUMBER(Entry!$C654),Entry!$C654&gt;=0,Entry!$C654&lt;1),RIGHT("00"&amp;HOUR(Entry!$C654),2)&amp;RIGHT("00"&amp;MINUTE(Entry!$C654),2),IFERROR(RIGHT("00"&amp;VALUE(LEFT(Entry!$C654,FIND(":",Entry!$C654)-1)),2)&amp;RIGHT("00"&amp;VALUE(MID(Entry!$C654,FIND(":",Entry!$C654)+1,2)),2),"0000"))))</f>
        <v/>
      </c>
      <c r="G651">
        <f>IF($A651="","",Entry!$G654)</f>
        <v/>
      </c>
      <c r="H651">
        <f>IF($A651="","",IF(Entry!$H654="",0,Entry!$H654))</f>
        <v/>
      </c>
      <c r="I651">
        <f>IF($A651="","",IF(Entry!$I654="",0,Entry!$I654))</f>
        <v/>
      </c>
      <c r="J651">
        <f>IF($A651="","",ROUND($H651*$I651,0))</f>
        <v/>
      </c>
      <c r="K651">
        <f>IF($A651="","",Entry!$D654)</f>
        <v/>
      </c>
      <c r="L651">
        <f>IF($A651="","",Entry!$L654)</f>
        <v/>
      </c>
      <c r="N651">
        <f>IF(OR(Sync!$M651="",$Q651="",$Q651="نامعتبر"),"",Sync!$M651)</f>
        <v/>
      </c>
      <c r="O651">
        <f>IF($N651="","",$Q651)</f>
        <v/>
      </c>
      <c r="P651">
        <f>IF($N651="","",LEFT($Q651,4)&amp;MID($Q651,6,2)&amp;RIGHT($Q651,2)&amp;IF(Sync!$K651="","0000",IF(AND(ISNUMBER(Sync!$K651),Sync!$K651&gt;=0,Sync!$K651&lt;1),RIGHT("00"&amp;HOUR(Sync!$K651),2)&amp;RIGHT("00"&amp;MINUTE(Sync!$K651),2),IFERROR(RIGHT("00"&amp;VALUE(LEFT(Sync!$K651,FIND(":",Sync!$K651)-1)),2)&amp;RIGHT("00"&amp;VALUE(MID(Sync!$K651,FIND(":",Sync!$K651)+1,2)),2),"0000")))&amp;"|"&amp;"2"&amp;RIGHT("00000"&amp;646,5))</f>
        <v/>
      </c>
      <c r="Q651">
        <f>IF(Sync!$J651="","",IF(ISNUMBER(Sync!$J651),IF(AND(Sync!$J651&gt;=10000101,Sync!$J651&lt;=99991231),INT(Sync!$J651/10000)&amp;"/"&amp;RIGHT("00"&amp;INT(MOD(Sync!$J651,10000)/100),2)&amp;"/"&amp;RIGHT("00"&amp;MOD(Sync!$J651,100),2),"نامعتبر"),IF(LEN(Sync!$J651)=10,Sync!$J651,"نامعتبر")))</f>
        <v/>
      </c>
      <c r="R651">
        <f>IF($P651="","",COUNTIFS($N$6:$N$2005,$N651,$P$6:$P$2005,"&lt;"&amp;$P651)+COUNTIFS($A$6:$A$1005,$N651,$B$6:$B$1005,"&lt;"&amp;$P651)+1)</f>
        <v/>
      </c>
      <c r="S651">
        <f>IF($N651="","",$N651&amp;"|"&amp;RIGHT("000000"&amp;$R651,6))</f>
        <v/>
      </c>
      <c r="T651">
        <f>IF($N651="","",IF(Sync!$N651="",0,Sync!$N651))</f>
        <v/>
      </c>
      <c r="U651">
        <f>IF($N651="","",IF(Sync!$O651="",0,Sync!$O651))</f>
        <v/>
      </c>
      <c r="V651">
        <f>IF($N651="","",Sync!$L651)</f>
        <v/>
      </c>
      <c r="W651">
        <f>IF($N651="","",Sync!$P651)</f>
        <v/>
      </c>
      <c r="AA651">
        <f>IF($A651="","",IF(COUNTIF($A$6:$A651,$A651)=1,1,0))</f>
        <v/>
      </c>
      <c r="AB651">
        <f>SUM($AA$6:$AA651)</f>
        <v/>
      </c>
      <c r="AC651">
        <f>IFERROR(INDEX($A$6:$A$1005,MATCH(ROW()-5,$AB$6:$AB$1005,0)),"")</f>
        <v/>
      </c>
    </row>
    <row r="652">
      <c r="A652">
        <f>IF(OR(Entry!$B655="",Entry!$E655="",$E652="نامعتبر"),"",Entry!$E655)</f>
        <v/>
      </c>
      <c r="B652">
        <f>IF($A652="","",LEFT($E652,4)&amp;MID($E652,6,2)&amp;RIGHT($E652,2)&amp;$F652&amp;"|"&amp;"1"&amp;RIGHT("00000"&amp;647,5))</f>
        <v/>
      </c>
      <c r="C652">
        <f>IF($B652="","",COUNTIFS($A$6:$A$1005,$A652,$B$6:$B$1005,"&lt;"&amp;$B652)+COUNTIFS($N$6:$N$2005,$A652,$P$6:$P$2005,"&lt;"&amp;$B652)+1)</f>
        <v/>
      </c>
      <c r="D652">
        <f>IF($C652="","",$A652&amp;"|"&amp;RIGHT("000000"&amp;$C652,6))</f>
        <v/>
      </c>
      <c r="E652">
        <f>IF(Entry!$B655="","",IF(ISNUMBER(Entry!$B655),IF(AND(Entry!$B655&gt;=10000101,Entry!$B655&lt;=99991231),INT(Entry!$B655/10000)&amp;"/"&amp;RIGHT("00"&amp;INT(MOD(Entry!$B655,10000)/100),2)&amp;"/"&amp;RIGHT("00"&amp;MOD(Entry!$B655,100),2),"نامعتبر"),IF(LEN(Entry!$B655)=10,Entry!$B655,"نامعتبر")))</f>
        <v/>
      </c>
      <c r="F652">
        <f>IF(Entry!$B655="","",IF(Entry!$C655="","0000",IF(AND(ISNUMBER(Entry!$C655),Entry!$C655&gt;=0,Entry!$C655&lt;1),RIGHT("00"&amp;HOUR(Entry!$C655),2)&amp;RIGHT("00"&amp;MINUTE(Entry!$C655),2),IFERROR(RIGHT("00"&amp;VALUE(LEFT(Entry!$C655,FIND(":",Entry!$C655)-1)),2)&amp;RIGHT("00"&amp;VALUE(MID(Entry!$C655,FIND(":",Entry!$C655)+1,2)),2),"0000"))))</f>
        <v/>
      </c>
      <c r="G652">
        <f>IF($A652="","",Entry!$G655)</f>
        <v/>
      </c>
      <c r="H652">
        <f>IF($A652="","",IF(Entry!$H655="",0,Entry!$H655))</f>
        <v/>
      </c>
      <c r="I652">
        <f>IF($A652="","",IF(Entry!$I655="",0,Entry!$I655))</f>
        <v/>
      </c>
      <c r="J652">
        <f>IF($A652="","",ROUND($H652*$I652,0))</f>
        <v/>
      </c>
      <c r="K652">
        <f>IF($A652="","",Entry!$D655)</f>
        <v/>
      </c>
      <c r="L652">
        <f>IF($A652="","",Entry!$L655)</f>
        <v/>
      </c>
      <c r="N652">
        <f>IF(OR(Sync!$M652="",$Q652="",$Q652="نامعتبر"),"",Sync!$M652)</f>
        <v/>
      </c>
      <c r="O652">
        <f>IF($N652="","",$Q652)</f>
        <v/>
      </c>
      <c r="P652">
        <f>IF($N652="","",LEFT($Q652,4)&amp;MID($Q652,6,2)&amp;RIGHT($Q652,2)&amp;IF(Sync!$K652="","0000",IF(AND(ISNUMBER(Sync!$K652),Sync!$K652&gt;=0,Sync!$K652&lt;1),RIGHT("00"&amp;HOUR(Sync!$K652),2)&amp;RIGHT("00"&amp;MINUTE(Sync!$K652),2),IFERROR(RIGHT("00"&amp;VALUE(LEFT(Sync!$K652,FIND(":",Sync!$K652)-1)),2)&amp;RIGHT("00"&amp;VALUE(MID(Sync!$K652,FIND(":",Sync!$K652)+1,2)),2),"0000")))&amp;"|"&amp;"2"&amp;RIGHT("00000"&amp;647,5))</f>
        <v/>
      </c>
      <c r="Q652">
        <f>IF(Sync!$J652="","",IF(ISNUMBER(Sync!$J652),IF(AND(Sync!$J652&gt;=10000101,Sync!$J652&lt;=99991231),INT(Sync!$J652/10000)&amp;"/"&amp;RIGHT("00"&amp;INT(MOD(Sync!$J652,10000)/100),2)&amp;"/"&amp;RIGHT("00"&amp;MOD(Sync!$J652,100),2),"نامعتبر"),IF(LEN(Sync!$J652)=10,Sync!$J652,"نامعتبر")))</f>
        <v/>
      </c>
      <c r="R652">
        <f>IF($P652="","",COUNTIFS($N$6:$N$2005,$N652,$P$6:$P$2005,"&lt;"&amp;$P652)+COUNTIFS($A$6:$A$1005,$N652,$B$6:$B$1005,"&lt;"&amp;$P652)+1)</f>
        <v/>
      </c>
      <c r="S652">
        <f>IF($N652="","",$N652&amp;"|"&amp;RIGHT("000000"&amp;$R652,6))</f>
        <v/>
      </c>
      <c r="T652">
        <f>IF($N652="","",IF(Sync!$N652="",0,Sync!$N652))</f>
        <v/>
      </c>
      <c r="U652">
        <f>IF($N652="","",IF(Sync!$O652="",0,Sync!$O652))</f>
        <v/>
      </c>
      <c r="V652">
        <f>IF($N652="","",Sync!$L652)</f>
        <v/>
      </c>
      <c r="W652">
        <f>IF($N652="","",Sync!$P652)</f>
        <v/>
      </c>
      <c r="AA652">
        <f>IF($A652="","",IF(COUNTIF($A$6:$A652,$A652)=1,1,0))</f>
        <v/>
      </c>
      <c r="AB652">
        <f>SUM($AA$6:$AA652)</f>
        <v/>
      </c>
      <c r="AC652">
        <f>IFERROR(INDEX($A$6:$A$1005,MATCH(ROW()-5,$AB$6:$AB$1005,0)),"")</f>
        <v/>
      </c>
    </row>
    <row r="653">
      <c r="A653">
        <f>IF(OR(Entry!$B656="",Entry!$E656="",$E653="نامعتبر"),"",Entry!$E656)</f>
        <v/>
      </c>
      <c r="B653">
        <f>IF($A653="","",LEFT($E653,4)&amp;MID($E653,6,2)&amp;RIGHT($E653,2)&amp;$F653&amp;"|"&amp;"1"&amp;RIGHT("00000"&amp;648,5))</f>
        <v/>
      </c>
      <c r="C653">
        <f>IF($B653="","",COUNTIFS($A$6:$A$1005,$A653,$B$6:$B$1005,"&lt;"&amp;$B653)+COUNTIFS($N$6:$N$2005,$A653,$P$6:$P$2005,"&lt;"&amp;$B653)+1)</f>
        <v/>
      </c>
      <c r="D653">
        <f>IF($C653="","",$A653&amp;"|"&amp;RIGHT("000000"&amp;$C653,6))</f>
        <v/>
      </c>
      <c r="E653">
        <f>IF(Entry!$B656="","",IF(ISNUMBER(Entry!$B656),IF(AND(Entry!$B656&gt;=10000101,Entry!$B656&lt;=99991231),INT(Entry!$B656/10000)&amp;"/"&amp;RIGHT("00"&amp;INT(MOD(Entry!$B656,10000)/100),2)&amp;"/"&amp;RIGHT("00"&amp;MOD(Entry!$B656,100),2),"نامعتبر"),IF(LEN(Entry!$B656)=10,Entry!$B656,"نامعتبر")))</f>
        <v/>
      </c>
      <c r="F653">
        <f>IF(Entry!$B656="","",IF(Entry!$C656="","0000",IF(AND(ISNUMBER(Entry!$C656),Entry!$C656&gt;=0,Entry!$C656&lt;1),RIGHT("00"&amp;HOUR(Entry!$C656),2)&amp;RIGHT("00"&amp;MINUTE(Entry!$C656),2),IFERROR(RIGHT("00"&amp;VALUE(LEFT(Entry!$C656,FIND(":",Entry!$C656)-1)),2)&amp;RIGHT("00"&amp;VALUE(MID(Entry!$C656,FIND(":",Entry!$C656)+1,2)),2),"0000"))))</f>
        <v/>
      </c>
      <c r="G653">
        <f>IF($A653="","",Entry!$G656)</f>
        <v/>
      </c>
      <c r="H653">
        <f>IF($A653="","",IF(Entry!$H656="",0,Entry!$H656))</f>
        <v/>
      </c>
      <c r="I653">
        <f>IF($A653="","",IF(Entry!$I656="",0,Entry!$I656))</f>
        <v/>
      </c>
      <c r="J653">
        <f>IF($A653="","",ROUND($H653*$I653,0))</f>
        <v/>
      </c>
      <c r="K653">
        <f>IF($A653="","",Entry!$D656)</f>
        <v/>
      </c>
      <c r="L653">
        <f>IF($A653="","",Entry!$L656)</f>
        <v/>
      </c>
      <c r="N653">
        <f>IF(OR(Sync!$M653="",$Q653="",$Q653="نامعتبر"),"",Sync!$M653)</f>
        <v/>
      </c>
      <c r="O653">
        <f>IF($N653="","",$Q653)</f>
        <v/>
      </c>
      <c r="P653">
        <f>IF($N653="","",LEFT($Q653,4)&amp;MID($Q653,6,2)&amp;RIGHT($Q653,2)&amp;IF(Sync!$K653="","0000",IF(AND(ISNUMBER(Sync!$K653),Sync!$K653&gt;=0,Sync!$K653&lt;1),RIGHT("00"&amp;HOUR(Sync!$K653),2)&amp;RIGHT("00"&amp;MINUTE(Sync!$K653),2),IFERROR(RIGHT("00"&amp;VALUE(LEFT(Sync!$K653,FIND(":",Sync!$K653)-1)),2)&amp;RIGHT("00"&amp;VALUE(MID(Sync!$K653,FIND(":",Sync!$K653)+1,2)),2),"0000")))&amp;"|"&amp;"2"&amp;RIGHT("00000"&amp;648,5))</f>
        <v/>
      </c>
      <c r="Q653">
        <f>IF(Sync!$J653="","",IF(ISNUMBER(Sync!$J653),IF(AND(Sync!$J653&gt;=10000101,Sync!$J653&lt;=99991231),INT(Sync!$J653/10000)&amp;"/"&amp;RIGHT("00"&amp;INT(MOD(Sync!$J653,10000)/100),2)&amp;"/"&amp;RIGHT("00"&amp;MOD(Sync!$J653,100),2),"نامعتبر"),IF(LEN(Sync!$J653)=10,Sync!$J653,"نامعتبر")))</f>
        <v/>
      </c>
      <c r="R653">
        <f>IF($P653="","",COUNTIFS($N$6:$N$2005,$N653,$P$6:$P$2005,"&lt;"&amp;$P653)+COUNTIFS($A$6:$A$1005,$N653,$B$6:$B$1005,"&lt;"&amp;$P653)+1)</f>
        <v/>
      </c>
      <c r="S653">
        <f>IF($N653="","",$N653&amp;"|"&amp;RIGHT("000000"&amp;$R653,6))</f>
        <v/>
      </c>
      <c r="T653">
        <f>IF($N653="","",IF(Sync!$N653="",0,Sync!$N653))</f>
        <v/>
      </c>
      <c r="U653">
        <f>IF($N653="","",IF(Sync!$O653="",0,Sync!$O653))</f>
        <v/>
      </c>
      <c r="V653">
        <f>IF($N653="","",Sync!$L653)</f>
        <v/>
      </c>
      <c r="W653">
        <f>IF($N653="","",Sync!$P653)</f>
        <v/>
      </c>
      <c r="AA653">
        <f>IF($A653="","",IF(COUNTIF($A$6:$A653,$A653)=1,1,0))</f>
        <v/>
      </c>
      <c r="AB653">
        <f>SUM($AA$6:$AA653)</f>
        <v/>
      </c>
      <c r="AC653">
        <f>IFERROR(INDEX($A$6:$A$1005,MATCH(ROW()-5,$AB$6:$AB$1005,0)),"")</f>
        <v/>
      </c>
    </row>
    <row r="654">
      <c r="A654">
        <f>IF(OR(Entry!$B657="",Entry!$E657="",$E654="نامعتبر"),"",Entry!$E657)</f>
        <v/>
      </c>
      <c r="B654">
        <f>IF($A654="","",LEFT($E654,4)&amp;MID($E654,6,2)&amp;RIGHT($E654,2)&amp;$F654&amp;"|"&amp;"1"&amp;RIGHT("00000"&amp;649,5))</f>
        <v/>
      </c>
      <c r="C654">
        <f>IF($B654="","",COUNTIFS($A$6:$A$1005,$A654,$B$6:$B$1005,"&lt;"&amp;$B654)+COUNTIFS($N$6:$N$2005,$A654,$P$6:$P$2005,"&lt;"&amp;$B654)+1)</f>
        <v/>
      </c>
      <c r="D654">
        <f>IF($C654="","",$A654&amp;"|"&amp;RIGHT("000000"&amp;$C654,6))</f>
        <v/>
      </c>
      <c r="E654">
        <f>IF(Entry!$B657="","",IF(ISNUMBER(Entry!$B657),IF(AND(Entry!$B657&gt;=10000101,Entry!$B657&lt;=99991231),INT(Entry!$B657/10000)&amp;"/"&amp;RIGHT("00"&amp;INT(MOD(Entry!$B657,10000)/100),2)&amp;"/"&amp;RIGHT("00"&amp;MOD(Entry!$B657,100),2),"نامعتبر"),IF(LEN(Entry!$B657)=10,Entry!$B657,"نامعتبر")))</f>
        <v/>
      </c>
      <c r="F654">
        <f>IF(Entry!$B657="","",IF(Entry!$C657="","0000",IF(AND(ISNUMBER(Entry!$C657),Entry!$C657&gt;=0,Entry!$C657&lt;1),RIGHT("00"&amp;HOUR(Entry!$C657),2)&amp;RIGHT("00"&amp;MINUTE(Entry!$C657),2),IFERROR(RIGHT("00"&amp;VALUE(LEFT(Entry!$C657,FIND(":",Entry!$C657)-1)),2)&amp;RIGHT("00"&amp;VALUE(MID(Entry!$C657,FIND(":",Entry!$C657)+1,2)),2),"0000"))))</f>
        <v/>
      </c>
      <c r="G654">
        <f>IF($A654="","",Entry!$G657)</f>
        <v/>
      </c>
      <c r="H654">
        <f>IF($A654="","",IF(Entry!$H657="",0,Entry!$H657))</f>
        <v/>
      </c>
      <c r="I654">
        <f>IF($A654="","",IF(Entry!$I657="",0,Entry!$I657))</f>
        <v/>
      </c>
      <c r="J654">
        <f>IF($A654="","",ROUND($H654*$I654,0))</f>
        <v/>
      </c>
      <c r="K654">
        <f>IF($A654="","",Entry!$D657)</f>
        <v/>
      </c>
      <c r="L654">
        <f>IF($A654="","",Entry!$L657)</f>
        <v/>
      </c>
      <c r="N654">
        <f>IF(OR(Sync!$M654="",$Q654="",$Q654="نامعتبر"),"",Sync!$M654)</f>
        <v/>
      </c>
      <c r="O654">
        <f>IF($N654="","",$Q654)</f>
        <v/>
      </c>
      <c r="P654">
        <f>IF($N654="","",LEFT($Q654,4)&amp;MID($Q654,6,2)&amp;RIGHT($Q654,2)&amp;IF(Sync!$K654="","0000",IF(AND(ISNUMBER(Sync!$K654),Sync!$K654&gt;=0,Sync!$K654&lt;1),RIGHT("00"&amp;HOUR(Sync!$K654),2)&amp;RIGHT("00"&amp;MINUTE(Sync!$K654),2),IFERROR(RIGHT("00"&amp;VALUE(LEFT(Sync!$K654,FIND(":",Sync!$K654)-1)),2)&amp;RIGHT("00"&amp;VALUE(MID(Sync!$K654,FIND(":",Sync!$K654)+1,2)),2),"0000")))&amp;"|"&amp;"2"&amp;RIGHT("00000"&amp;649,5))</f>
        <v/>
      </c>
      <c r="Q654">
        <f>IF(Sync!$J654="","",IF(ISNUMBER(Sync!$J654),IF(AND(Sync!$J654&gt;=10000101,Sync!$J654&lt;=99991231),INT(Sync!$J654/10000)&amp;"/"&amp;RIGHT("00"&amp;INT(MOD(Sync!$J654,10000)/100),2)&amp;"/"&amp;RIGHT("00"&amp;MOD(Sync!$J654,100),2),"نامعتبر"),IF(LEN(Sync!$J654)=10,Sync!$J654,"نامعتبر")))</f>
        <v/>
      </c>
      <c r="R654">
        <f>IF($P654="","",COUNTIFS($N$6:$N$2005,$N654,$P$6:$P$2005,"&lt;"&amp;$P654)+COUNTIFS($A$6:$A$1005,$N654,$B$6:$B$1005,"&lt;"&amp;$P654)+1)</f>
        <v/>
      </c>
      <c r="S654">
        <f>IF($N654="","",$N654&amp;"|"&amp;RIGHT("000000"&amp;$R654,6))</f>
        <v/>
      </c>
      <c r="T654">
        <f>IF($N654="","",IF(Sync!$N654="",0,Sync!$N654))</f>
        <v/>
      </c>
      <c r="U654">
        <f>IF($N654="","",IF(Sync!$O654="",0,Sync!$O654))</f>
        <v/>
      </c>
      <c r="V654">
        <f>IF($N654="","",Sync!$L654)</f>
        <v/>
      </c>
      <c r="W654">
        <f>IF($N654="","",Sync!$P654)</f>
        <v/>
      </c>
      <c r="AA654">
        <f>IF($A654="","",IF(COUNTIF($A$6:$A654,$A654)=1,1,0))</f>
        <v/>
      </c>
      <c r="AB654">
        <f>SUM($AA$6:$AA654)</f>
        <v/>
      </c>
      <c r="AC654">
        <f>IFERROR(INDEX($A$6:$A$1005,MATCH(ROW()-5,$AB$6:$AB$1005,0)),"")</f>
        <v/>
      </c>
    </row>
    <row r="655">
      <c r="A655">
        <f>IF(OR(Entry!$B658="",Entry!$E658="",$E655="نامعتبر"),"",Entry!$E658)</f>
        <v/>
      </c>
      <c r="B655">
        <f>IF($A655="","",LEFT($E655,4)&amp;MID($E655,6,2)&amp;RIGHT($E655,2)&amp;$F655&amp;"|"&amp;"1"&amp;RIGHT("00000"&amp;650,5))</f>
        <v/>
      </c>
      <c r="C655">
        <f>IF($B655="","",COUNTIFS($A$6:$A$1005,$A655,$B$6:$B$1005,"&lt;"&amp;$B655)+COUNTIFS($N$6:$N$2005,$A655,$P$6:$P$2005,"&lt;"&amp;$B655)+1)</f>
        <v/>
      </c>
      <c r="D655">
        <f>IF($C655="","",$A655&amp;"|"&amp;RIGHT("000000"&amp;$C655,6))</f>
        <v/>
      </c>
      <c r="E655">
        <f>IF(Entry!$B658="","",IF(ISNUMBER(Entry!$B658),IF(AND(Entry!$B658&gt;=10000101,Entry!$B658&lt;=99991231),INT(Entry!$B658/10000)&amp;"/"&amp;RIGHT("00"&amp;INT(MOD(Entry!$B658,10000)/100),2)&amp;"/"&amp;RIGHT("00"&amp;MOD(Entry!$B658,100),2),"نامعتبر"),IF(LEN(Entry!$B658)=10,Entry!$B658,"نامعتبر")))</f>
        <v/>
      </c>
      <c r="F655">
        <f>IF(Entry!$B658="","",IF(Entry!$C658="","0000",IF(AND(ISNUMBER(Entry!$C658),Entry!$C658&gt;=0,Entry!$C658&lt;1),RIGHT("00"&amp;HOUR(Entry!$C658),2)&amp;RIGHT("00"&amp;MINUTE(Entry!$C658),2),IFERROR(RIGHT("00"&amp;VALUE(LEFT(Entry!$C658,FIND(":",Entry!$C658)-1)),2)&amp;RIGHT("00"&amp;VALUE(MID(Entry!$C658,FIND(":",Entry!$C658)+1,2)),2),"0000"))))</f>
        <v/>
      </c>
      <c r="G655">
        <f>IF($A655="","",Entry!$G658)</f>
        <v/>
      </c>
      <c r="H655">
        <f>IF($A655="","",IF(Entry!$H658="",0,Entry!$H658))</f>
        <v/>
      </c>
      <c r="I655">
        <f>IF($A655="","",IF(Entry!$I658="",0,Entry!$I658))</f>
        <v/>
      </c>
      <c r="J655">
        <f>IF($A655="","",ROUND($H655*$I655,0))</f>
        <v/>
      </c>
      <c r="K655">
        <f>IF($A655="","",Entry!$D658)</f>
        <v/>
      </c>
      <c r="L655">
        <f>IF($A655="","",Entry!$L658)</f>
        <v/>
      </c>
      <c r="N655">
        <f>IF(OR(Sync!$M655="",$Q655="",$Q655="نامعتبر"),"",Sync!$M655)</f>
        <v/>
      </c>
      <c r="O655">
        <f>IF($N655="","",$Q655)</f>
        <v/>
      </c>
      <c r="P655">
        <f>IF($N655="","",LEFT($Q655,4)&amp;MID($Q655,6,2)&amp;RIGHT($Q655,2)&amp;IF(Sync!$K655="","0000",IF(AND(ISNUMBER(Sync!$K655),Sync!$K655&gt;=0,Sync!$K655&lt;1),RIGHT("00"&amp;HOUR(Sync!$K655),2)&amp;RIGHT("00"&amp;MINUTE(Sync!$K655),2),IFERROR(RIGHT("00"&amp;VALUE(LEFT(Sync!$K655,FIND(":",Sync!$K655)-1)),2)&amp;RIGHT("00"&amp;VALUE(MID(Sync!$K655,FIND(":",Sync!$K655)+1,2)),2),"0000")))&amp;"|"&amp;"2"&amp;RIGHT("00000"&amp;650,5))</f>
        <v/>
      </c>
      <c r="Q655">
        <f>IF(Sync!$J655="","",IF(ISNUMBER(Sync!$J655),IF(AND(Sync!$J655&gt;=10000101,Sync!$J655&lt;=99991231),INT(Sync!$J655/10000)&amp;"/"&amp;RIGHT("00"&amp;INT(MOD(Sync!$J655,10000)/100),2)&amp;"/"&amp;RIGHT("00"&amp;MOD(Sync!$J655,100),2),"نامعتبر"),IF(LEN(Sync!$J655)=10,Sync!$J655,"نامعتبر")))</f>
        <v/>
      </c>
      <c r="R655">
        <f>IF($P655="","",COUNTIFS($N$6:$N$2005,$N655,$P$6:$P$2005,"&lt;"&amp;$P655)+COUNTIFS($A$6:$A$1005,$N655,$B$6:$B$1005,"&lt;"&amp;$P655)+1)</f>
        <v/>
      </c>
      <c r="S655">
        <f>IF($N655="","",$N655&amp;"|"&amp;RIGHT("000000"&amp;$R655,6))</f>
        <v/>
      </c>
      <c r="T655">
        <f>IF($N655="","",IF(Sync!$N655="",0,Sync!$N655))</f>
        <v/>
      </c>
      <c r="U655">
        <f>IF($N655="","",IF(Sync!$O655="",0,Sync!$O655))</f>
        <v/>
      </c>
      <c r="V655">
        <f>IF($N655="","",Sync!$L655)</f>
        <v/>
      </c>
      <c r="W655">
        <f>IF($N655="","",Sync!$P655)</f>
        <v/>
      </c>
      <c r="AA655">
        <f>IF($A655="","",IF(COUNTIF($A$6:$A655,$A655)=1,1,0))</f>
        <v/>
      </c>
      <c r="AB655">
        <f>SUM($AA$6:$AA655)</f>
        <v/>
      </c>
      <c r="AC655">
        <f>IFERROR(INDEX($A$6:$A$1005,MATCH(ROW()-5,$AB$6:$AB$1005,0)),"")</f>
        <v/>
      </c>
    </row>
    <row r="656">
      <c r="A656">
        <f>IF(OR(Entry!$B659="",Entry!$E659="",$E656="نامعتبر"),"",Entry!$E659)</f>
        <v/>
      </c>
      <c r="B656">
        <f>IF($A656="","",LEFT($E656,4)&amp;MID($E656,6,2)&amp;RIGHT($E656,2)&amp;$F656&amp;"|"&amp;"1"&amp;RIGHT("00000"&amp;651,5))</f>
        <v/>
      </c>
      <c r="C656">
        <f>IF($B656="","",COUNTIFS($A$6:$A$1005,$A656,$B$6:$B$1005,"&lt;"&amp;$B656)+COUNTIFS($N$6:$N$2005,$A656,$P$6:$P$2005,"&lt;"&amp;$B656)+1)</f>
        <v/>
      </c>
      <c r="D656">
        <f>IF($C656="","",$A656&amp;"|"&amp;RIGHT("000000"&amp;$C656,6))</f>
        <v/>
      </c>
      <c r="E656">
        <f>IF(Entry!$B659="","",IF(ISNUMBER(Entry!$B659),IF(AND(Entry!$B659&gt;=10000101,Entry!$B659&lt;=99991231),INT(Entry!$B659/10000)&amp;"/"&amp;RIGHT("00"&amp;INT(MOD(Entry!$B659,10000)/100),2)&amp;"/"&amp;RIGHT("00"&amp;MOD(Entry!$B659,100),2),"نامعتبر"),IF(LEN(Entry!$B659)=10,Entry!$B659,"نامعتبر")))</f>
        <v/>
      </c>
      <c r="F656">
        <f>IF(Entry!$B659="","",IF(Entry!$C659="","0000",IF(AND(ISNUMBER(Entry!$C659),Entry!$C659&gt;=0,Entry!$C659&lt;1),RIGHT("00"&amp;HOUR(Entry!$C659),2)&amp;RIGHT("00"&amp;MINUTE(Entry!$C659),2),IFERROR(RIGHT("00"&amp;VALUE(LEFT(Entry!$C659,FIND(":",Entry!$C659)-1)),2)&amp;RIGHT("00"&amp;VALUE(MID(Entry!$C659,FIND(":",Entry!$C659)+1,2)),2),"0000"))))</f>
        <v/>
      </c>
      <c r="G656">
        <f>IF($A656="","",Entry!$G659)</f>
        <v/>
      </c>
      <c r="H656">
        <f>IF($A656="","",IF(Entry!$H659="",0,Entry!$H659))</f>
        <v/>
      </c>
      <c r="I656">
        <f>IF($A656="","",IF(Entry!$I659="",0,Entry!$I659))</f>
        <v/>
      </c>
      <c r="J656">
        <f>IF($A656="","",ROUND($H656*$I656,0))</f>
        <v/>
      </c>
      <c r="K656">
        <f>IF($A656="","",Entry!$D659)</f>
        <v/>
      </c>
      <c r="L656">
        <f>IF($A656="","",Entry!$L659)</f>
        <v/>
      </c>
      <c r="N656">
        <f>IF(OR(Sync!$M656="",$Q656="",$Q656="نامعتبر"),"",Sync!$M656)</f>
        <v/>
      </c>
      <c r="O656">
        <f>IF($N656="","",$Q656)</f>
        <v/>
      </c>
      <c r="P656">
        <f>IF($N656="","",LEFT($Q656,4)&amp;MID($Q656,6,2)&amp;RIGHT($Q656,2)&amp;IF(Sync!$K656="","0000",IF(AND(ISNUMBER(Sync!$K656),Sync!$K656&gt;=0,Sync!$K656&lt;1),RIGHT("00"&amp;HOUR(Sync!$K656),2)&amp;RIGHT("00"&amp;MINUTE(Sync!$K656),2),IFERROR(RIGHT("00"&amp;VALUE(LEFT(Sync!$K656,FIND(":",Sync!$K656)-1)),2)&amp;RIGHT("00"&amp;VALUE(MID(Sync!$K656,FIND(":",Sync!$K656)+1,2)),2),"0000")))&amp;"|"&amp;"2"&amp;RIGHT("00000"&amp;651,5))</f>
        <v/>
      </c>
      <c r="Q656">
        <f>IF(Sync!$J656="","",IF(ISNUMBER(Sync!$J656),IF(AND(Sync!$J656&gt;=10000101,Sync!$J656&lt;=99991231),INT(Sync!$J656/10000)&amp;"/"&amp;RIGHT("00"&amp;INT(MOD(Sync!$J656,10000)/100),2)&amp;"/"&amp;RIGHT("00"&amp;MOD(Sync!$J656,100),2),"نامعتبر"),IF(LEN(Sync!$J656)=10,Sync!$J656,"نامعتبر")))</f>
        <v/>
      </c>
      <c r="R656">
        <f>IF($P656="","",COUNTIFS($N$6:$N$2005,$N656,$P$6:$P$2005,"&lt;"&amp;$P656)+COUNTIFS($A$6:$A$1005,$N656,$B$6:$B$1005,"&lt;"&amp;$P656)+1)</f>
        <v/>
      </c>
      <c r="S656">
        <f>IF($N656="","",$N656&amp;"|"&amp;RIGHT("000000"&amp;$R656,6))</f>
        <v/>
      </c>
      <c r="T656">
        <f>IF($N656="","",IF(Sync!$N656="",0,Sync!$N656))</f>
        <v/>
      </c>
      <c r="U656">
        <f>IF($N656="","",IF(Sync!$O656="",0,Sync!$O656))</f>
        <v/>
      </c>
      <c r="V656">
        <f>IF($N656="","",Sync!$L656)</f>
        <v/>
      </c>
      <c r="W656">
        <f>IF($N656="","",Sync!$P656)</f>
        <v/>
      </c>
      <c r="AA656">
        <f>IF($A656="","",IF(COUNTIF($A$6:$A656,$A656)=1,1,0))</f>
        <v/>
      </c>
      <c r="AB656">
        <f>SUM($AA$6:$AA656)</f>
        <v/>
      </c>
      <c r="AC656">
        <f>IFERROR(INDEX($A$6:$A$1005,MATCH(ROW()-5,$AB$6:$AB$1005,0)),"")</f>
        <v/>
      </c>
    </row>
    <row r="657">
      <c r="A657">
        <f>IF(OR(Entry!$B660="",Entry!$E660="",$E657="نامعتبر"),"",Entry!$E660)</f>
        <v/>
      </c>
      <c r="B657">
        <f>IF($A657="","",LEFT($E657,4)&amp;MID($E657,6,2)&amp;RIGHT($E657,2)&amp;$F657&amp;"|"&amp;"1"&amp;RIGHT("00000"&amp;652,5))</f>
        <v/>
      </c>
      <c r="C657">
        <f>IF($B657="","",COUNTIFS($A$6:$A$1005,$A657,$B$6:$B$1005,"&lt;"&amp;$B657)+COUNTIFS($N$6:$N$2005,$A657,$P$6:$P$2005,"&lt;"&amp;$B657)+1)</f>
        <v/>
      </c>
      <c r="D657">
        <f>IF($C657="","",$A657&amp;"|"&amp;RIGHT("000000"&amp;$C657,6))</f>
        <v/>
      </c>
      <c r="E657">
        <f>IF(Entry!$B660="","",IF(ISNUMBER(Entry!$B660),IF(AND(Entry!$B660&gt;=10000101,Entry!$B660&lt;=99991231),INT(Entry!$B660/10000)&amp;"/"&amp;RIGHT("00"&amp;INT(MOD(Entry!$B660,10000)/100),2)&amp;"/"&amp;RIGHT("00"&amp;MOD(Entry!$B660,100),2),"نامعتبر"),IF(LEN(Entry!$B660)=10,Entry!$B660,"نامعتبر")))</f>
        <v/>
      </c>
      <c r="F657">
        <f>IF(Entry!$B660="","",IF(Entry!$C660="","0000",IF(AND(ISNUMBER(Entry!$C660),Entry!$C660&gt;=0,Entry!$C660&lt;1),RIGHT("00"&amp;HOUR(Entry!$C660),2)&amp;RIGHT("00"&amp;MINUTE(Entry!$C660),2),IFERROR(RIGHT("00"&amp;VALUE(LEFT(Entry!$C660,FIND(":",Entry!$C660)-1)),2)&amp;RIGHT("00"&amp;VALUE(MID(Entry!$C660,FIND(":",Entry!$C660)+1,2)),2),"0000"))))</f>
        <v/>
      </c>
      <c r="G657">
        <f>IF($A657="","",Entry!$G660)</f>
        <v/>
      </c>
      <c r="H657">
        <f>IF($A657="","",IF(Entry!$H660="",0,Entry!$H660))</f>
        <v/>
      </c>
      <c r="I657">
        <f>IF($A657="","",IF(Entry!$I660="",0,Entry!$I660))</f>
        <v/>
      </c>
      <c r="J657">
        <f>IF($A657="","",ROUND($H657*$I657,0))</f>
        <v/>
      </c>
      <c r="K657">
        <f>IF($A657="","",Entry!$D660)</f>
        <v/>
      </c>
      <c r="L657">
        <f>IF($A657="","",Entry!$L660)</f>
        <v/>
      </c>
      <c r="N657">
        <f>IF(OR(Sync!$M657="",$Q657="",$Q657="نامعتبر"),"",Sync!$M657)</f>
        <v/>
      </c>
      <c r="O657">
        <f>IF($N657="","",$Q657)</f>
        <v/>
      </c>
      <c r="P657">
        <f>IF($N657="","",LEFT($Q657,4)&amp;MID($Q657,6,2)&amp;RIGHT($Q657,2)&amp;IF(Sync!$K657="","0000",IF(AND(ISNUMBER(Sync!$K657),Sync!$K657&gt;=0,Sync!$K657&lt;1),RIGHT("00"&amp;HOUR(Sync!$K657),2)&amp;RIGHT("00"&amp;MINUTE(Sync!$K657),2),IFERROR(RIGHT("00"&amp;VALUE(LEFT(Sync!$K657,FIND(":",Sync!$K657)-1)),2)&amp;RIGHT("00"&amp;VALUE(MID(Sync!$K657,FIND(":",Sync!$K657)+1,2)),2),"0000")))&amp;"|"&amp;"2"&amp;RIGHT("00000"&amp;652,5))</f>
        <v/>
      </c>
      <c r="Q657">
        <f>IF(Sync!$J657="","",IF(ISNUMBER(Sync!$J657),IF(AND(Sync!$J657&gt;=10000101,Sync!$J657&lt;=99991231),INT(Sync!$J657/10000)&amp;"/"&amp;RIGHT("00"&amp;INT(MOD(Sync!$J657,10000)/100),2)&amp;"/"&amp;RIGHT("00"&amp;MOD(Sync!$J657,100),2),"نامعتبر"),IF(LEN(Sync!$J657)=10,Sync!$J657,"نامعتبر")))</f>
        <v/>
      </c>
      <c r="R657">
        <f>IF($P657="","",COUNTIFS($N$6:$N$2005,$N657,$P$6:$P$2005,"&lt;"&amp;$P657)+COUNTIFS($A$6:$A$1005,$N657,$B$6:$B$1005,"&lt;"&amp;$P657)+1)</f>
        <v/>
      </c>
      <c r="S657">
        <f>IF($N657="","",$N657&amp;"|"&amp;RIGHT("000000"&amp;$R657,6))</f>
        <v/>
      </c>
      <c r="T657">
        <f>IF($N657="","",IF(Sync!$N657="",0,Sync!$N657))</f>
        <v/>
      </c>
      <c r="U657">
        <f>IF($N657="","",IF(Sync!$O657="",0,Sync!$O657))</f>
        <v/>
      </c>
      <c r="V657">
        <f>IF($N657="","",Sync!$L657)</f>
        <v/>
      </c>
      <c r="W657">
        <f>IF($N657="","",Sync!$P657)</f>
        <v/>
      </c>
      <c r="AA657">
        <f>IF($A657="","",IF(COUNTIF($A$6:$A657,$A657)=1,1,0))</f>
        <v/>
      </c>
      <c r="AB657">
        <f>SUM($AA$6:$AA657)</f>
        <v/>
      </c>
      <c r="AC657">
        <f>IFERROR(INDEX($A$6:$A$1005,MATCH(ROW()-5,$AB$6:$AB$1005,0)),"")</f>
        <v/>
      </c>
    </row>
    <row r="658">
      <c r="A658">
        <f>IF(OR(Entry!$B661="",Entry!$E661="",$E658="نامعتبر"),"",Entry!$E661)</f>
        <v/>
      </c>
      <c r="B658">
        <f>IF($A658="","",LEFT($E658,4)&amp;MID($E658,6,2)&amp;RIGHT($E658,2)&amp;$F658&amp;"|"&amp;"1"&amp;RIGHT("00000"&amp;653,5))</f>
        <v/>
      </c>
      <c r="C658">
        <f>IF($B658="","",COUNTIFS($A$6:$A$1005,$A658,$B$6:$B$1005,"&lt;"&amp;$B658)+COUNTIFS($N$6:$N$2005,$A658,$P$6:$P$2005,"&lt;"&amp;$B658)+1)</f>
        <v/>
      </c>
      <c r="D658">
        <f>IF($C658="","",$A658&amp;"|"&amp;RIGHT("000000"&amp;$C658,6))</f>
        <v/>
      </c>
      <c r="E658">
        <f>IF(Entry!$B661="","",IF(ISNUMBER(Entry!$B661),IF(AND(Entry!$B661&gt;=10000101,Entry!$B661&lt;=99991231),INT(Entry!$B661/10000)&amp;"/"&amp;RIGHT("00"&amp;INT(MOD(Entry!$B661,10000)/100),2)&amp;"/"&amp;RIGHT("00"&amp;MOD(Entry!$B661,100),2),"نامعتبر"),IF(LEN(Entry!$B661)=10,Entry!$B661,"نامعتبر")))</f>
        <v/>
      </c>
      <c r="F658">
        <f>IF(Entry!$B661="","",IF(Entry!$C661="","0000",IF(AND(ISNUMBER(Entry!$C661),Entry!$C661&gt;=0,Entry!$C661&lt;1),RIGHT("00"&amp;HOUR(Entry!$C661),2)&amp;RIGHT("00"&amp;MINUTE(Entry!$C661),2),IFERROR(RIGHT("00"&amp;VALUE(LEFT(Entry!$C661,FIND(":",Entry!$C661)-1)),2)&amp;RIGHT("00"&amp;VALUE(MID(Entry!$C661,FIND(":",Entry!$C661)+1,2)),2),"0000"))))</f>
        <v/>
      </c>
      <c r="G658">
        <f>IF($A658="","",Entry!$G661)</f>
        <v/>
      </c>
      <c r="H658">
        <f>IF($A658="","",IF(Entry!$H661="",0,Entry!$H661))</f>
        <v/>
      </c>
      <c r="I658">
        <f>IF($A658="","",IF(Entry!$I661="",0,Entry!$I661))</f>
        <v/>
      </c>
      <c r="J658">
        <f>IF($A658="","",ROUND($H658*$I658,0))</f>
        <v/>
      </c>
      <c r="K658">
        <f>IF($A658="","",Entry!$D661)</f>
        <v/>
      </c>
      <c r="L658">
        <f>IF($A658="","",Entry!$L661)</f>
        <v/>
      </c>
      <c r="N658">
        <f>IF(OR(Sync!$M658="",$Q658="",$Q658="نامعتبر"),"",Sync!$M658)</f>
        <v/>
      </c>
      <c r="O658">
        <f>IF($N658="","",$Q658)</f>
        <v/>
      </c>
      <c r="P658">
        <f>IF($N658="","",LEFT($Q658,4)&amp;MID($Q658,6,2)&amp;RIGHT($Q658,2)&amp;IF(Sync!$K658="","0000",IF(AND(ISNUMBER(Sync!$K658),Sync!$K658&gt;=0,Sync!$K658&lt;1),RIGHT("00"&amp;HOUR(Sync!$K658),2)&amp;RIGHT("00"&amp;MINUTE(Sync!$K658),2),IFERROR(RIGHT("00"&amp;VALUE(LEFT(Sync!$K658,FIND(":",Sync!$K658)-1)),2)&amp;RIGHT("00"&amp;VALUE(MID(Sync!$K658,FIND(":",Sync!$K658)+1,2)),2),"0000")))&amp;"|"&amp;"2"&amp;RIGHT("00000"&amp;653,5))</f>
        <v/>
      </c>
      <c r="Q658">
        <f>IF(Sync!$J658="","",IF(ISNUMBER(Sync!$J658),IF(AND(Sync!$J658&gt;=10000101,Sync!$J658&lt;=99991231),INT(Sync!$J658/10000)&amp;"/"&amp;RIGHT("00"&amp;INT(MOD(Sync!$J658,10000)/100),2)&amp;"/"&amp;RIGHT("00"&amp;MOD(Sync!$J658,100),2),"نامعتبر"),IF(LEN(Sync!$J658)=10,Sync!$J658,"نامعتبر")))</f>
        <v/>
      </c>
      <c r="R658">
        <f>IF($P658="","",COUNTIFS($N$6:$N$2005,$N658,$P$6:$P$2005,"&lt;"&amp;$P658)+COUNTIFS($A$6:$A$1005,$N658,$B$6:$B$1005,"&lt;"&amp;$P658)+1)</f>
        <v/>
      </c>
      <c r="S658">
        <f>IF($N658="","",$N658&amp;"|"&amp;RIGHT("000000"&amp;$R658,6))</f>
        <v/>
      </c>
      <c r="T658">
        <f>IF($N658="","",IF(Sync!$N658="",0,Sync!$N658))</f>
        <v/>
      </c>
      <c r="U658">
        <f>IF($N658="","",IF(Sync!$O658="",0,Sync!$O658))</f>
        <v/>
      </c>
      <c r="V658">
        <f>IF($N658="","",Sync!$L658)</f>
        <v/>
      </c>
      <c r="W658">
        <f>IF($N658="","",Sync!$P658)</f>
        <v/>
      </c>
      <c r="AA658">
        <f>IF($A658="","",IF(COUNTIF($A$6:$A658,$A658)=1,1,0))</f>
        <v/>
      </c>
      <c r="AB658">
        <f>SUM($AA$6:$AA658)</f>
        <v/>
      </c>
      <c r="AC658">
        <f>IFERROR(INDEX($A$6:$A$1005,MATCH(ROW()-5,$AB$6:$AB$1005,0)),"")</f>
        <v/>
      </c>
    </row>
    <row r="659">
      <c r="A659">
        <f>IF(OR(Entry!$B662="",Entry!$E662="",$E659="نامعتبر"),"",Entry!$E662)</f>
        <v/>
      </c>
      <c r="B659">
        <f>IF($A659="","",LEFT($E659,4)&amp;MID($E659,6,2)&amp;RIGHT($E659,2)&amp;$F659&amp;"|"&amp;"1"&amp;RIGHT("00000"&amp;654,5))</f>
        <v/>
      </c>
      <c r="C659">
        <f>IF($B659="","",COUNTIFS($A$6:$A$1005,$A659,$B$6:$B$1005,"&lt;"&amp;$B659)+COUNTIFS($N$6:$N$2005,$A659,$P$6:$P$2005,"&lt;"&amp;$B659)+1)</f>
        <v/>
      </c>
      <c r="D659">
        <f>IF($C659="","",$A659&amp;"|"&amp;RIGHT("000000"&amp;$C659,6))</f>
        <v/>
      </c>
      <c r="E659">
        <f>IF(Entry!$B662="","",IF(ISNUMBER(Entry!$B662),IF(AND(Entry!$B662&gt;=10000101,Entry!$B662&lt;=99991231),INT(Entry!$B662/10000)&amp;"/"&amp;RIGHT("00"&amp;INT(MOD(Entry!$B662,10000)/100),2)&amp;"/"&amp;RIGHT("00"&amp;MOD(Entry!$B662,100),2),"نامعتبر"),IF(LEN(Entry!$B662)=10,Entry!$B662,"نامعتبر")))</f>
        <v/>
      </c>
      <c r="F659">
        <f>IF(Entry!$B662="","",IF(Entry!$C662="","0000",IF(AND(ISNUMBER(Entry!$C662),Entry!$C662&gt;=0,Entry!$C662&lt;1),RIGHT("00"&amp;HOUR(Entry!$C662),2)&amp;RIGHT("00"&amp;MINUTE(Entry!$C662),2),IFERROR(RIGHT("00"&amp;VALUE(LEFT(Entry!$C662,FIND(":",Entry!$C662)-1)),2)&amp;RIGHT("00"&amp;VALUE(MID(Entry!$C662,FIND(":",Entry!$C662)+1,2)),2),"0000"))))</f>
        <v/>
      </c>
      <c r="G659">
        <f>IF($A659="","",Entry!$G662)</f>
        <v/>
      </c>
      <c r="H659">
        <f>IF($A659="","",IF(Entry!$H662="",0,Entry!$H662))</f>
        <v/>
      </c>
      <c r="I659">
        <f>IF($A659="","",IF(Entry!$I662="",0,Entry!$I662))</f>
        <v/>
      </c>
      <c r="J659">
        <f>IF($A659="","",ROUND($H659*$I659,0))</f>
        <v/>
      </c>
      <c r="K659">
        <f>IF($A659="","",Entry!$D662)</f>
        <v/>
      </c>
      <c r="L659">
        <f>IF($A659="","",Entry!$L662)</f>
        <v/>
      </c>
      <c r="N659">
        <f>IF(OR(Sync!$M659="",$Q659="",$Q659="نامعتبر"),"",Sync!$M659)</f>
        <v/>
      </c>
      <c r="O659">
        <f>IF($N659="","",$Q659)</f>
        <v/>
      </c>
      <c r="P659">
        <f>IF($N659="","",LEFT($Q659,4)&amp;MID($Q659,6,2)&amp;RIGHT($Q659,2)&amp;IF(Sync!$K659="","0000",IF(AND(ISNUMBER(Sync!$K659),Sync!$K659&gt;=0,Sync!$K659&lt;1),RIGHT("00"&amp;HOUR(Sync!$K659),2)&amp;RIGHT("00"&amp;MINUTE(Sync!$K659),2),IFERROR(RIGHT("00"&amp;VALUE(LEFT(Sync!$K659,FIND(":",Sync!$K659)-1)),2)&amp;RIGHT("00"&amp;VALUE(MID(Sync!$K659,FIND(":",Sync!$K659)+1,2)),2),"0000")))&amp;"|"&amp;"2"&amp;RIGHT("00000"&amp;654,5))</f>
        <v/>
      </c>
      <c r="Q659">
        <f>IF(Sync!$J659="","",IF(ISNUMBER(Sync!$J659),IF(AND(Sync!$J659&gt;=10000101,Sync!$J659&lt;=99991231),INT(Sync!$J659/10000)&amp;"/"&amp;RIGHT("00"&amp;INT(MOD(Sync!$J659,10000)/100),2)&amp;"/"&amp;RIGHT("00"&amp;MOD(Sync!$J659,100),2),"نامعتبر"),IF(LEN(Sync!$J659)=10,Sync!$J659,"نامعتبر")))</f>
        <v/>
      </c>
      <c r="R659">
        <f>IF($P659="","",COUNTIFS($N$6:$N$2005,$N659,$P$6:$P$2005,"&lt;"&amp;$P659)+COUNTIFS($A$6:$A$1005,$N659,$B$6:$B$1005,"&lt;"&amp;$P659)+1)</f>
        <v/>
      </c>
      <c r="S659">
        <f>IF($N659="","",$N659&amp;"|"&amp;RIGHT("000000"&amp;$R659,6))</f>
        <v/>
      </c>
      <c r="T659">
        <f>IF($N659="","",IF(Sync!$N659="",0,Sync!$N659))</f>
        <v/>
      </c>
      <c r="U659">
        <f>IF($N659="","",IF(Sync!$O659="",0,Sync!$O659))</f>
        <v/>
      </c>
      <c r="V659">
        <f>IF($N659="","",Sync!$L659)</f>
        <v/>
      </c>
      <c r="W659">
        <f>IF($N659="","",Sync!$P659)</f>
        <v/>
      </c>
      <c r="AA659">
        <f>IF($A659="","",IF(COUNTIF($A$6:$A659,$A659)=1,1,0))</f>
        <v/>
      </c>
      <c r="AB659">
        <f>SUM($AA$6:$AA659)</f>
        <v/>
      </c>
      <c r="AC659">
        <f>IFERROR(INDEX($A$6:$A$1005,MATCH(ROW()-5,$AB$6:$AB$1005,0)),"")</f>
        <v/>
      </c>
    </row>
    <row r="660">
      <c r="A660">
        <f>IF(OR(Entry!$B663="",Entry!$E663="",$E660="نامعتبر"),"",Entry!$E663)</f>
        <v/>
      </c>
      <c r="B660">
        <f>IF($A660="","",LEFT($E660,4)&amp;MID($E660,6,2)&amp;RIGHT($E660,2)&amp;$F660&amp;"|"&amp;"1"&amp;RIGHT("00000"&amp;655,5))</f>
        <v/>
      </c>
      <c r="C660">
        <f>IF($B660="","",COUNTIFS($A$6:$A$1005,$A660,$B$6:$B$1005,"&lt;"&amp;$B660)+COUNTIFS($N$6:$N$2005,$A660,$P$6:$P$2005,"&lt;"&amp;$B660)+1)</f>
        <v/>
      </c>
      <c r="D660">
        <f>IF($C660="","",$A660&amp;"|"&amp;RIGHT("000000"&amp;$C660,6))</f>
        <v/>
      </c>
      <c r="E660">
        <f>IF(Entry!$B663="","",IF(ISNUMBER(Entry!$B663),IF(AND(Entry!$B663&gt;=10000101,Entry!$B663&lt;=99991231),INT(Entry!$B663/10000)&amp;"/"&amp;RIGHT("00"&amp;INT(MOD(Entry!$B663,10000)/100),2)&amp;"/"&amp;RIGHT("00"&amp;MOD(Entry!$B663,100),2),"نامعتبر"),IF(LEN(Entry!$B663)=10,Entry!$B663,"نامعتبر")))</f>
        <v/>
      </c>
      <c r="F660">
        <f>IF(Entry!$B663="","",IF(Entry!$C663="","0000",IF(AND(ISNUMBER(Entry!$C663),Entry!$C663&gt;=0,Entry!$C663&lt;1),RIGHT("00"&amp;HOUR(Entry!$C663),2)&amp;RIGHT("00"&amp;MINUTE(Entry!$C663),2),IFERROR(RIGHT("00"&amp;VALUE(LEFT(Entry!$C663,FIND(":",Entry!$C663)-1)),2)&amp;RIGHT("00"&amp;VALUE(MID(Entry!$C663,FIND(":",Entry!$C663)+1,2)),2),"0000"))))</f>
        <v/>
      </c>
      <c r="G660">
        <f>IF($A660="","",Entry!$G663)</f>
        <v/>
      </c>
      <c r="H660">
        <f>IF($A660="","",IF(Entry!$H663="",0,Entry!$H663))</f>
        <v/>
      </c>
      <c r="I660">
        <f>IF($A660="","",IF(Entry!$I663="",0,Entry!$I663))</f>
        <v/>
      </c>
      <c r="J660">
        <f>IF($A660="","",ROUND($H660*$I660,0))</f>
        <v/>
      </c>
      <c r="K660">
        <f>IF($A660="","",Entry!$D663)</f>
        <v/>
      </c>
      <c r="L660">
        <f>IF($A660="","",Entry!$L663)</f>
        <v/>
      </c>
      <c r="N660">
        <f>IF(OR(Sync!$M660="",$Q660="",$Q660="نامعتبر"),"",Sync!$M660)</f>
        <v/>
      </c>
      <c r="O660">
        <f>IF($N660="","",$Q660)</f>
        <v/>
      </c>
      <c r="P660">
        <f>IF($N660="","",LEFT($Q660,4)&amp;MID($Q660,6,2)&amp;RIGHT($Q660,2)&amp;IF(Sync!$K660="","0000",IF(AND(ISNUMBER(Sync!$K660),Sync!$K660&gt;=0,Sync!$K660&lt;1),RIGHT("00"&amp;HOUR(Sync!$K660),2)&amp;RIGHT("00"&amp;MINUTE(Sync!$K660),2),IFERROR(RIGHT("00"&amp;VALUE(LEFT(Sync!$K660,FIND(":",Sync!$K660)-1)),2)&amp;RIGHT("00"&amp;VALUE(MID(Sync!$K660,FIND(":",Sync!$K660)+1,2)),2),"0000")))&amp;"|"&amp;"2"&amp;RIGHT("00000"&amp;655,5))</f>
        <v/>
      </c>
      <c r="Q660">
        <f>IF(Sync!$J660="","",IF(ISNUMBER(Sync!$J660),IF(AND(Sync!$J660&gt;=10000101,Sync!$J660&lt;=99991231),INT(Sync!$J660/10000)&amp;"/"&amp;RIGHT("00"&amp;INT(MOD(Sync!$J660,10000)/100),2)&amp;"/"&amp;RIGHT("00"&amp;MOD(Sync!$J660,100),2),"نامعتبر"),IF(LEN(Sync!$J660)=10,Sync!$J660,"نامعتبر")))</f>
        <v/>
      </c>
      <c r="R660">
        <f>IF($P660="","",COUNTIFS($N$6:$N$2005,$N660,$P$6:$P$2005,"&lt;"&amp;$P660)+COUNTIFS($A$6:$A$1005,$N660,$B$6:$B$1005,"&lt;"&amp;$P660)+1)</f>
        <v/>
      </c>
      <c r="S660">
        <f>IF($N660="","",$N660&amp;"|"&amp;RIGHT("000000"&amp;$R660,6))</f>
        <v/>
      </c>
      <c r="T660">
        <f>IF($N660="","",IF(Sync!$N660="",0,Sync!$N660))</f>
        <v/>
      </c>
      <c r="U660">
        <f>IF($N660="","",IF(Sync!$O660="",0,Sync!$O660))</f>
        <v/>
      </c>
      <c r="V660">
        <f>IF($N660="","",Sync!$L660)</f>
        <v/>
      </c>
      <c r="W660">
        <f>IF($N660="","",Sync!$P660)</f>
        <v/>
      </c>
      <c r="AA660">
        <f>IF($A660="","",IF(COUNTIF($A$6:$A660,$A660)=1,1,0))</f>
        <v/>
      </c>
      <c r="AB660">
        <f>SUM($AA$6:$AA660)</f>
        <v/>
      </c>
      <c r="AC660">
        <f>IFERROR(INDEX($A$6:$A$1005,MATCH(ROW()-5,$AB$6:$AB$1005,0)),"")</f>
        <v/>
      </c>
    </row>
    <row r="661">
      <c r="A661">
        <f>IF(OR(Entry!$B664="",Entry!$E664="",$E661="نامعتبر"),"",Entry!$E664)</f>
        <v/>
      </c>
      <c r="B661">
        <f>IF($A661="","",LEFT($E661,4)&amp;MID($E661,6,2)&amp;RIGHT($E661,2)&amp;$F661&amp;"|"&amp;"1"&amp;RIGHT("00000"&amp;656,5))</f>
        <v/>
      </c>
      <c r="C661">
        <f>IF($B661="","",COUNTIFS($A$6:$A$1005,$A661,$B$6:$B$1005,"&lt;"&amp;$B661)+COUNTIFS($N$6:$N$2005,$A661,$P$6:$P$2005,"&lt;"&amp;$B661)+1)</f>
        <v/>
      </c>
      <c r="D661">
        <f>IF($C661="","",$A661&amp;"|"&amp;RIGHT("000000"&amp;$C661,6))</f>
        <v/>
      </c>
      <c r="E661">
        <f>IF(Entry!$B664="","",IF(ISNUMBER(Entry!$B664),IF(AND(Entry!$B664&gt;=10000101,Entry!$B664&lt;=99991231),INT(Entry!$B664/10000)&amp;"/"&amp;RIGHT("00"&amp;INT(MOD(Entry!$B664,10000)/100),2)&amp;"/"&amp;RIGHT("00"&amp;MOD(Entry!$B664,100),2),"نامعتبر"),IF(LEN(Entry!$B664)=10,Entry!$B664,"نامعتبر")))</f>
        <v/>
      </c>
      <c r="F661">
        <f>IF(Entry!$B664="","",IF(Entry!$C664="","0000",IF(AND(ISNUMBER(Entry!$C664),Entry!$C664&gt;=0,Entry!$C664&lt;1),RIGHT("00"&amp;HOUR(Entry!$C664),2)&amp;RIGHT("00"&amp;MINUTE(Entry!$C664),2),IFERROR(RIGHT("00"&amp;VALUE(LEFT(Entry!$C664,FIND(":",Entry!$C664)-1)),2)&amp;RIGHT("00"&amp;VALUE(MID(Entry!$C664,FIND(":",Entry!$C664)+1,2)),2),"0000"))))</f>
        <v/>
      </c>
      <c r="G661">
        <f>IF($A661="","",Entry!$G664)</f>
        <v/>
      </c>
      <c r="H661">
        <f>IF($A661="","",IF(Entry!$H664="",0,Entry!$H664))</f>
        <v/>
      </c>
      <c r="I661">
        <f>IF($A661="","",IF(Entry!$I664="",0,Entry!$I664))</f>
        <v/>
      </c>
      <c r="J661">
        <f>IF($A661="","",ROUND($H661*$I661,0))</f>
        <v/>
      </c>
      <c r="K661">
        <f>IF($A661="","",Entry!$D664)</f>
        <v/>
      </c>
      <c r="L661">
        <f>IF($A661="","",Entry!$L664)</f>
        <v/>
      </c>
      <c r="N661">
        <f>IF(OR(Sync!$M661="",$Q661="",$Q661="نامعتبر"),"",Sync!$M661)</f>
        <v/>
      </c>
      <c r="O661">
        <f>IF($N661="","",$Q661)</f>
        <v/>
      </c>
      <c r="P661">
        <f>IF($N661="","",LEFT($Q661,4)&amp;MID($Q661,6,2)&amp;RIGHT($Q661,2)&amp;IF(Sync!$K661="","0000",IF(AND(ISNUMBER(Sync!$K661),Sync!$K661&gt;=0,Sync!$K661&lt;1),RIGHT("00"&amp;HOUR(Sync!$K661),2)&amp;RIGHT("00"&amp;MINUTE(Sync!$K661),2),IFERROR(RIGHT("00"&amp;VALUE(LEFT(Sync!$K661,FIND(":",Sync!$K661)-1)),2)&amp;RIGHT("00"&amp;VALUE(MID(Sync!$K661,FIND(":",Sync!$K661)+1,2)),2),"0000")))&amp;"|"&amp;"2"&amp;RIGHT("00000"&amp;656,5))</f>
        <v/>
      </c>
      <c r="Q661">
        <f>IF(Sync!$J661="","",IF(ISNUMBER(Sync!$J661),IF(AND(Sync!$J661&gt;=10000101,Sync!$J661&lt;=99991231),INT(Sync!$J661/10000)&amp;"/"&amp;RIGHT("00"&amp;INT(MOD(Sync!$J661,10000)/100),2)&amp;"/"&amp;RIGHT("00"&amp;MOD(Sync!$J661,100),2),"نامعتبر"),IF(LEN(Sync!$J661)=10,Sync!$J661,"نامعتبر")))</f>
        <v/>
      </c>
      <c r="R661">
        <f>IF($P661="","",COUNTIFS($N$6:$N$2005,$N661,$P$6:$P$2005,"&lt;"&amp;$P661)+COUNTIFS($A$6:$A$1005,$N661,$B$6:$B$1005,"&lt;"&amp;$P661)+1)</f>
        <v/>
      </c>
      <c r="S661">
        <f>IF($N661="","",$N661&amp;"|"&amp;RIGHT("000000"&amp;$R661,6))</f>
        <v/>
      </c>
      <c r="T661">
        <f>IF($N661="","",IF(Sync!$N661="",0,Sync!$N661))</f>
        <v/>
      </c>
      <c r="U661">
        <f>IF($N661="","",IF(Sync!$O661="",0,Sync!$O661))</f>
        <v/>
      </c>
      <c r="V661">
        <f>IF($N661="","",Sync!$L661)</f>
        <v/>
      </c>
      <c r="W661">
        <f>IF($N661="","",Sync!$P661)</f>
        <v/>
      </c>
      <c r="AA661">
        <f>IF($A661="","",IF(COUNTIF($A$6:$A661,$A661)=1,1,0))</f>
        <v/>
      </c>
      <c r="AB661">
        <f>SUM($AA$6:$AA661)</f>
        <v/>
      </c>
      <c r="AC661">
        <f>IFERROR(INDEX($A$6:$A$1005,MATCH(ROW()-5,$AB$6:$AB$1005,0)),"")</f>
        <v/>
      </c>
    </row>
    <row r="662">
      <c r="A662">
        <f>IF(OR(Entry!$B665="",Entry!$E665="",$E662="نامعتبر"),"",Entry!$E665)</f>
        <v/>
      </c>
      <c r="B662">
        <f>IF($A662="","",LEFT($E662,4)&amp;MID($E662,6,2)&amp;RIGHT($E662,2)&amp;$F662&amp;"|"&amp;"1"&amp;RIGHT("00000"&amp;657,5))</f>
        <v/>
      </c>
      <c r="C662">
        <f>IF($B662="","",COUNTIFS($A$6:$A$1005,$A662,$B$6:$B$1005,"&lt;"&amp;$B662)+COUNTIFS($N$6:$N$2005,$A662,$P$6:$P$2005,"&lt;"&amp;$B662)+1)</f>
        <v/>
      </c>
      <c r="D662">
        <f>IF($C662="","",$A662&amp;"|"&amp;RIGHT("000000"&amp;$C662,6))</f>
        <v/>
      </c>
      <c r="E662">
        <f>IF(Entry!$B665="","",IF(ISNUMBER(Entry!$B665),IF(AND(Entry!$B665&gt;=10000101,Entry!$B665&lt;=99991231),INT(Entry!$B665/10000)&amp;"/"&amp;RIGHT("00"&amp;INT(MOD(Entry!$B665,10000)/100),2)&amp;"/"&amp;RIGHT("00"&amp;MOD(Entry!$B665,100),2),"نامعتبر"),IF(LEN(Entry!$B665)=10,Entry!$B665,"نامعتبر")))</f>
        <v/>
      </c>
      <c r="F662">
        <f>IF(Entry!$B665="","",IF(Entry!$C665="","0000",IF(AND(ISNUMBER(Entry!$C665),Entry!$C665&gt;=0,Entry!$C665&lt;1),RIGHT("00"&amp;HOUR(Entry!$C665),2)&amp;RIGHT("00"&amp;MINUTE(Entry!$C665),2),IFERROR(RIGHT("00"&amp;VALUE(LEFT(Entry!$C665,FIND(":",Entry!$C665)-1)),2)&amp;RIGHT("00"&amp;VALUE(MID(Entry!$C665,FIND(":",Entry!$C665)+1,2)),2),"0000"))))</f>
        <v/>
      </c>
      <c r="G662">
        <f>IF($A662="","",Entry!$G665)</f>
        <v/>
      </c>
      <c r="H662">
        <f>IF($A662="","",IF(Entry!$H665="",0,Entry!$H665))</f>
        <v/>
      </c>
      <c r="I662">
        <f>IF($A662="","",IF(Entry!$I665="",0,Entry!$I665))</f>
        <v/>
      </c>
      <c r="J662">
        <f>IF($A662="","",ROUND($H662*$I662,0))</f>
        <v/>
      </c>
      <c r="K662">
        <f>IF($A662="","",Entry!$D665)</f>
        <v/>
      </c>
      <c r="L662">
        <f>IF($A662="","",Entry!$L665)</f>
        <v/>
      </c>
      <c r="N662">
        <f>IF(OR(Sync!$M662="",$Q662="",$Q662="نامعتبر"),"",Sync!$M662)</f>
        <v/>
      </c>
      <c r="O662">
        <f>IF($N662="","",$Q662)</f>
        <v/>
      </c>
      <c r="P662">
        <f>IF($N662="","",LEFT($Q662,4)&amp;MID($Q662,6,2)&amp;RIGHT($Q662,2)&amp;IF(Sync!$K662="","0000",IF(AND(ISNUMBER(Sync!$K662),Sync!$K662&gt;=0,Sync!$K662&lt;1),RIGHT("00"&amp;HOUR(Sync!$K662),2)&amp;RIGHT("00"&amp;MINUTE(Sync!$K662),2),IFERROR(RIGHT("00"&amp;VALUE(LEFT(Sync!$K662,FIND(":",Sync!$K662)-1)),2)&amp;RIGHT("00"&amp;VALUE(MID(Sync!$K662,FIND(":",Sync!$K662)+1,2)),2),"0000")))&amp;"|"&amp;"2"&amp;RIGHT("00000"&amp;657,5))</f>
        <v/>
      </c>
      <c r="Q662">
        <f>IF(Sync!$J662="","",IF(ISNUMBER(Sync!$J662),IF(AND(Sync!$J662&gt;=10000101,Sync!$J662&lt;=99991231),INT(Sync!$J662/10000)&amp;"/"&amp;RIGHT("00"&amp;INT(MOD(Sync!$J662,10000)/100),2)&amp;"/"&amp;RIGHT("00"&amp;MOD(Sync!$J662,100),2),"نامعتبر"),IF(LEN(Sync!$J662)=10,Sync!$J662,"نامعتبر")))</f>
        <v/>
      </c>
      <c r="R662">
        <f>IF($P662="","",COUNTIFS($N$6:$N$2005,$N662,$P$6:$P$2005,"&lt;"&amp;$P662)+COUNTIFS($A$6:$A$1005,$N662,$B$6:$B$1005,"&lt;"&amp;$P662)+1)</f>
        <v/>
      </c>
      <c r="S662">
        <f>IF($N662="","",$N662&amp;"|"&amp;RIGHT("000000"&amp;$R662,6))</f>
        <v/>
      </c>
      <c r="T662">
        <f>IF($N662="","",IF(Sync!$N662="",0,Sync!$N662))</f>
        <v/>
      </c>
      <c r="U662">
        <f>IF($N662="","",IF(Sync!$O662="",0,Sync!$O662))</f>
        <v/>
      </c>
      <c r="V662">
        <f>IF($N662="","",Sync!$L662)</f>
        <v/>
      </c>
      <c r="W662">
        <f>IF($N662="","",Sync!$P662)</f>
        <v/>
      </c>
      <c r="AA662">
        <f>IF($A662="","",IF(COUNTIF($A$6:$A662,$A662)=1,1,0))</f>
        <v/>
      </c>
      <c r="AB662">
        <f>SUM($AA$6:$AA662)</f>
        <v/>
      </c>
      <c r="AC662">
        <f>IFERROR(INDEX($A$6:$A$1005,MATCH(ROW()-5,$AB$6:$AB$1005,0)),"")</f>
        <v/>
      </c>
    </row>
    <row r="663">
      <c r="A663">
        <f>IF(OR(Entry!$B666="",Entry!$E666="",$E663="نامعتبر"),"",Entry!$E666)</f>
        <v/>
      </c>
      <c r="B663">
        <f>IF($A663="","",LEFT($E663,4)&amp;MID($E663,6,2)&amp;RIGHT($E663,2)&amp;$F663&amp;"|"&amp;"1"&amp;RIGHT("00000"&amp;658,5))</f>
        <v/>
      </c>
      <c r="C663">
        <f>IF($B663="","",COUNTIFS($A$6:$A$1005,$A663,$B$6:$B$1005,"&lt;"&amp;$B663)+COUNTIFS($N$6:$N$2005,$A663,$P$6:$P$2005,"&lt;"&amp;$B663)+1)</f>
        <v/>
      </c>
      <c r="D663">
        <f>IF($C663="","",$A663&amp;"|"&amp;RIGHT("000000"&amp;$C663,6))</f>
        <v/>
      </c>
      <c r="E663">
        <f>IF(Entry!$B666="","",IF(ISNUMBER(Entry!$B666),IF(AND(Entry!$B666&gt;=10000101,Entry!$B666&lt;=99991231),INT(Entry!$B666/10000)&amp;"/"&amp;RIGHT("00"&amp;INT(MOD(Entry!$B666,10000)/100),2)&amp;"/"&amp;RIGHT("00"&amp;MOD(Entry!$B666,100),2),"نامعتبر"),IF(LEN(Entry!$B666)=10,Entry!$B666,"نامعتبر")))</f>
        <v/>
      </c>
      <c r="F663">
        <f>IF(Entry!$B666="","",IF(Entry!$C666="","0000",IF(AND(ISNUMBER(Entry!$C666),Entry!$C666&gt;=0,Entry!$C666&lt;1),RIGHT("00"&amp;HOUR(Entry!$C666),2)&amp;RIGHT("00"&amp;MINUTE(Entry!$C666),2),IFERROR(RIGHT("00"&amp;VALUE(LEFT(Entry!$C666,FIND(":",Entry!$C666)-1)),2)&amp;RIGHT("00"&amp;VALUE(MID(Entry!$C666,FIND(":",Entry!$C666)+1,2)),2),"0000"))))</f>
        <v/>
      </c>
      <c r="G663">
        <f>IF($A663="","",Entry!$G666)</f>
        <v/>
      </c>
      <c r="H663">
        <f>IF($A663="","",IF(Entry!$H666="",0,Entry!$H666))</f>
        <v/>
      </c>
      <c r="I663">
        <f>IF($A663="","",IF(Entry!$I666="",0,Entry!$I666))</f>
        <v/>
      </c>
      <c r="J663">
        <f>IF($A663="","",ROUND($H663*$I663,0))</f>
        <v/>
      </c>
      <c r="K663">
        <f>IF($A663="","",Entry!$D666)</f>
        <v/>
      </c>
      <c r="L663">
        <f>IF($A663="","",Entry!$L666)</f>
        <v/>
      </c>
      <c r="N663">
        <f>IF(OR(Sync!$M663="",$Q663="",$Q663="نامعتبر"),"",Sync!$M663)</f>
        <v/>
      </c>
      <c r="O663">
        <f>IF($N663="","",$Q663)</f>
        <v/>
      </c>
      <c r="P663">
        <f>IF($N663="","",LEFT($Q663,4)&amp;MID($Q663,6,2)&amp;RIGHT($Q663,2)&amp;IF(Sync!$K663="","0000",IF(AND(ISNUMBER(Sync!$K663),Sync!$K663&gt;=0,Sync!$K663&lt;1),RIGHT("00"&amp;HOUR(Sync!$K663),2)&amp;RIGHT("00"&amp;MINUTE(Sync!$K663),2),IFERROR(RIGHT("00"&amp;VALUE(LEFT(Sync!$K663,FIND(":",Sync!$K663)-1)),2)&amp;RIGHT("00"&amp;VALUE(MID(Sync!$K663,FIND(":",Sync!$K663)+1,2)),2),"0000")))&amp;"|"&amp;"2"&amp;RIGHT("00000"&amp;658,5))</f>
        <v/>
      </c>
      <c r="Q663">
        <f>IF(Sync!$J663="","",IF(ISNUMBER(Sync!$J663),IF(AND(Sync!$J663&gt;=10000101,Sync!$J663&lt;=99991231),INT(Sync!$J663/10000)&amp;"/"&amp;RIGHT("00"&amp;INT(MOD(Sync!$J663,10000)/100),2)&amp;"/"&amp;RIGHT("00"&amp;MOD(Sync!$J663,100),2),"نامعتبر"),IF(LEN(Sync!$J663)=10,Sync!$J663,"نامعتبر")))</f>
        <v/>
      </c>
      <c r="R663">
        <f>IF($P663="","",COUNTIFS($N$6:$N$2005,$N663,$P$6:$P$2005,"&lt;"&amp;$P663)+COUNTIFS($A$6:$A$1005,$N663,$B$6:$B$1005,"&lt;"&amp;$P663)+1)</f>
        <v/>
      </c>
      <c r="S663">
        <f>IF($N663="","",$N663&amp;"|"&amp;RIGHT("000000"&amp;$R663,6))</f>
        <v/>
      </c>
      <c r="T663">
        <f>IF($N663="","",IF(Sync!$N663="",0,Sync!$N663))</f>
        <v/>
      </c>
      <c r="U663">
        <f>IF($N663="","",IF(Sync!$O663="",0,Sync!$O663))</f>
        <v/>
      </c>
      <c r="V663">
        <f>IF($N663="","",Sync!$L663)</f>
        <v/>
      </c>
      <c r="W663">
        <f>IF($N663="","",Sync!$P663)</f>
        <v/>
      </c>
      <c r="AA663">
        <f>IF($A663="","",IF(COUNTIF($A$6:$A663,$A663)=1,1,0))</f>
        <v/>
      </c>
      <c r="AB663">
        <f>SUM($AA$6:$AA663)</f>
        <v/>
      </c>
      <c r="AC663">
        <f>IFERROR(INDEX($A$6:$A$1005,MATCH(ROW()-5,$AB$6:$AB$1005,0)),"")</f>
        <v/>
      </c>
    </row>
    <row r="664">
      <c r="A664">
        <f>IF(OR(Entry!$B667="",Entry!$E667="",$E664="نامعتبر"),"",Entry!$E667)</f>
        <v/>
      </c>
      <c r="B664">
        <f>IF($A664="","",LEFT($E664,4)&amp;MID($E664,6,2)&amp;RIGHT($E664,2)&amp;$F664&amp;"|"&amp;"1"&amp;RIGHT("00000"&amp;659,5))</f>
        <v/>
      </c>
      <c r="C664">
        <f>IF($B664="","",COUNTIFS($A$6:$A$1005,$A664,$B$6:$B$1005,"&lt;"&amp;$B664)+COUNTIFS($N$6:$N$2005,$A664,$P$6:$P$2005,"&lt;"&amp;$B664)+1)</f>
        <v/>
      </c>
      <c r="D664">
        <f>IF($C664="","",$A664&amp;"|"&amp;RIGHT("000000"&amp;$C664,6))</f>
        <v/>
      </c>
      <c r="E664">
        <f>IF(Entry!$B667="","",IF(ISNUMBER(Entry!$B667),IF(AND(Entry!$B667&gt;=10000101,Entry!$B667&lt;=99991231),INT(Entry!$B667/10000)&amp;"/"&amp;RIGHT("00"&amp;INT(MOD(Entry!$B667,10000)/100),2)&amp;"/"&amp;RIGHT("00"&amp;MOD(Entry!$B667,100),2),"نامعتبر"),IF(LEN(Entry!$B667)=10,Entry!$B667,"نامعتبر")))</f>
        <v/>
      </c>
      <c r="F664">
        <f>IF(Entry!$B667="","",IF(Entry!$C667="","0000",IF(AND(ISNUMBER(Entry!$C667),Entry!$C667&gt;=0,Entry!$C667&lt;1),RIGHT("00"&amp;HOUR(Entry!$C667),2)&amp;RIGHT("00"&amp;MINUTE(Entry!$C667),2),IFERROR(RIGHT("00"&amp;VALUE(LEFT(Entry!$C667,FIND(":",Entry!$C667)-1)),2)&amp;RIGHT("00"&amp;VALUE(MID(Entry!$C667,FIND(":",Entry!$C667)+1,2)),2),"0000"))))</f>
        <v/>
      </c>
      <c r="G664">
        <f>IF($A664="","",Entry!$G667)</f>
        <v/>
      </c>
      <c r="H664">
        <f>IF($A664="","",IF(Entry!$H667="",0,Entry!$H667))</f>
        <v/>
      </c>
      <c r="I664">
        <f>IF($A664="","",IF(Entry!$I667="",0,Entry!$I667))</f>
        <v/>
      </c>
      <c r="J664">
        <f>IF($A664="","",ROUND($H664*$I664,0))</f>
        <v/>
      </c>
      <c r="K664">
        <f>IF($A664="","",Entry!$D667)</f>
        <v/>
      </c>
      <c r="L664">
        <f>IF($A664="","",Entry!$L667)</f>
        <v/>
      </c>
      <c r="N664">
        <f>IF(OR(Sync!$M664="",$Q664="",$Q664="نامعتبر"),"",Sync!$M664)</f>
        <v/>
      </c>
      <c r="O664">
        <f>IF($N664="","",$Q664)</f>
        <v/>
      </c>
      <c r="P664">
        <f>IF($N664="","",LEFT($Q664,4)&amp;MID($Q664,6,2)&amp;RIGHT($Q664,2)&amp;IF(Sync!$K664="","0000",IF(AND(ISNUMBER(Sync!$K664),Sync!$K664&gt;=0,Sync!$K664&lt;1),RIGHT("00"&amp;HOUR(Sync!$K664),2)&amp;RIGHT("00"&amp;MINUTE(Sync!$K664),2),IFERROR(RIGHT("00"&amp;VALUE(LEFT(Sync!$K664,FIND(":",Sync!$K664)-1)),2)&amp;RIGHT("00"&amp;VALUE(MID(Sync!$K664,FIND(":",Sync!$K664)+1,2)),2),"0000")))&amp;"|"&amp;"2"&amp;RIGHT("00000"&amp;659,5))</f>
        <v/>
      </c>
      <c r="Q664">
        <f>IF(Sync!$J664="","",IF(ISNUMBER(Sync!$J664),IF(AND(Sync!$J664&gt;=10000101,Sync!$J664&lt;=99991231),INT(Sync!$J664/10000)&amp;"/"&amp;RIGHT("00"&amp;INT(MOD(Sync!$J664,10000)/100),2)&amp;"/"&amp;RIGHT("00"&amp;MOD(Sync!$J664,100),2),"نامعتبر"),IF(LEN(Sync!$J664)=10,Sync!$J664,"نامعتبر")))</f>
        <v/>
      </c>
      <c r="R664">
        <f>IF($P664="","",COUNTIFS($N$6:$N$2005,$N664,$P$6:$P$2005,"&lt;"&amp;$P664)+COUNTIFS($A$6:$A$1005,$N664,$B$6:$B$1005,"&lt;"&amp;$P664)+1)</f>
        <v/>
      </c>
      <c r="S664">
        <f>IF($N664="","",$N664&amp;"|"&amp;RIGHT("000000"&amp;$R664,6))</f>
        <v/>
      </c>
      <c r="T664">
        <f>IF($N664="","",IF(Sync!$N664="",0,Sync!$N664))</f>
        <v/>
      </c>
      <c r="U664">
        <f>IF($N664="","",IF(Sync!$O664="",0,Sync!$O664))</f>
        <v/>
      </c>
      <c r="V664">
        <f>IF($N664="","",Sync!$L664)</f>
        <v/>
      </c>
      <c r="W664">
        <f>IF($N664="","",Sync!$P664)</f>
        <v/>
      </c>
      <c r="AA664">
        <f>IF($A664="","",IF(COUNTIF($A$6:$A664,$A664)=1,1,0))</f>
        <v/>
      </c>
      <c r="AB664">
        <f>SUM($AA$6:$AA664)</f>
        <v/>
      </c>
      <c r="AC664">
        <f>IFERROR(INDEX($A$6:$A$1005,MATCH(ROW()-5,$AB$6:$AB$1005,0)),"")</f>
        <v/>
      </c>
    </row>
    <row r="665">
      <c r="A665">
        <f>IF(OR(Entry!$B668="",Entry!$E668="",$E665="نامعتبر"),"",Entry!$E668)</f>
        <v/>
      </c>
      <c r="B665">
        <f>IF($A665="","",LEFT($E665,4)&amp;MID($E665,6,2)&amp;RIGHT($E665,2)&amp;$F665&amp;"|"&amp;"1"&amp;RIGHT("00000"&amp;660,5))</f>
        <v/>
      </c>
      <c r="C665">
        <f>IF($B665="","",COUNTIFS($A$6:$A$1005,$A665,$B$6:$B$1005,"&lt;"&amp;$B665)+COUNTIFS($N$6:$N$2005,$A665,$P$6:$P$2005,"&lt;"&amp;$B665)+1)</f>
        <v/>
      </c>
      <c r="D665">
        <f>IF($C665="","",$A665&amp;"|"&amp;RIGHT("000000"&amp;$C665,6))</f>
        <v/>
      </c>
      <c r="E665">
        <f>IF(Entry!$B668="","",IF(ISNUMBER(Entry!$B668),IF(AND(Entry!$B668&gt;=10000101,Entry!$B668&lt;=99991231),INT(Entry!$B668/10000)&amp;"/"&amp;RIGHT("00"&amp;INT(MOD(Entry!$B668,10000)/100),2)&amp;"/"&amp;RIGHT("00"&amp;MOD(Entry!$B668,100),2),"نامعتبر"),IF(LEN(Entry!$B668)=10,Entry!$B668,"نامعتبر")))</f>
        <v/>
      </c>
      <c r="F665">
        <f>IF(Entry!$B668="","",IF(Entry!$C668="","0000",IF(AND(ISNUMBER(Entry!$C668),Entry!$C668&gt;=0,Entry!$C668&lt;1),RIGHT("00"&amp;HOUR(Entry!$C668),2)&amp;RIGHT("00"&amp;MINUTE(Entry!$C668),2),IFERROR(RIGHT("00"&amp;VALUE(LEFT(Entry!$C668,FIND(":",Entry!$C668)-1)),2)&amp;RIGHT("00"&amp;VALUE(MID(Entry!$C668,FIND(":",Entry!$C668)+1,2)),2),"0000"))))</f>
        <v/>
      </c>
      <c r="G665">
        <f>IF($A665="","",Entry!$G668)</f>
        <v/>
      </c>
      <c r="H665">
        <f>IF($A665="","",IF(Entry!$H668="",0,Entry!$H668))</f>
        <v/>
      </c>
      <c r="I665">
        <f>IF($A665="","",IF(Entry!$I668="",0,Entry!$I668))</f>
        <v/>
      </c>
      <c r="J665">
        <f>IF($A665="","",ROUND($H665*$I665,0))</f>
        <v/>
      </c>
      <c r="K665">
        <f>IF($A665="","",Entry!$D668)</f>
        <v/>
      </c>
      <c r="L665">
        <f>IF($A665="","",Entry!$L668)</f>
        <v/>
      </c>
      <c r="N665">
        <f>IF(OR(Sync!$M665="",$Q665="",$Q665="نامعتبر"),"",Sync!$M665)</f>
        <v/>
      </c>
      <c r="O665">
        <f>IF($N665="","",$Q665)</f>
        <v/>
      </c>
      <c r="P665">
        <f>IF($N665="","",LEFT($Q665,4)&amp;MID($Q665,6,2)&amp;RIGHT($Q665,2)&amp;IF(Sync!$K665="","0000",IF(AND(ISNUMBER(Sync!$K665),Sync!$K665&gt;=0,Sync!$K665&lt;1),RIGHT("00"&amp;HOUR(Sync!$K665),2)&amp;RIGHT("00"&amp;MINUTE(Sync!$K665),2),IFERROR(RIGHT("00"&amp;VALUE(LEFT(Sync!$K665,FIND(":",Sync!$K665)-1)),2)&amp;RIGHT("00"&amp;VALUE(MID(Sync!$K665,FIND(":",Sync!$K665)+1,2)),2),"0000")))&amp;"|"&amp;"2"&amp;RIGHT("00000"&amp;660,5))</f>
        <v/>
      </c>
      <c r="Q665">
        <f>IF(Sync!$J665="","",IF(ISNUMBER(Sync!$J665),IF(AND(Sync!$J665&gt;=10000101,Sync!$J665&lt;=99991231),INT(Sync!$J665/10000)&amp;"/"&amp;RIGHT("00"&amp;INT(MOD(Sync!$J665,10000)/100),2)&amp;"/"&amp;RIGHT("00"&amp;MOD(Sync!$J665,100),2),"نامعتبر"),IF(LEN(Sync!$J665)=10,Sync!$J665,"نامعتبر")))</f>
        <v/>
      </c>
      <c r="R665">
        <f>IF($P665="","",COUNTIFS($N$6:$N$2005,$N665,$P$6:$P$2005,"&lt;"&amp;$P665)+COUNTIFS($A$6:$A$1005,$N665,$B$6:$B$1005,"&lt;"&amp;$P665)+1)</f>
        <v/>
      </c>
      <c r="S665">
        <f>IF($N665="","",$N665&amp;"|"&amp;RIGHT("000000"&amp;$R665,6))</f>
        <v/>
      </c>
      <c r="T665">
        <f>IF($N665="","",IF(Sync!$N665="",0,Sync!$N665))</f>
        <v/>
      </c>
      <c r="U665">
        <f>IF($N665="","",IF(Sync!$O665="",0,Sync!$O665))</f>
        <v/>
      </c>
      <c r="V665">
        <f>IF($N665="","",Sync!$L665)</f>
        <v/>
      </c>
      <c r="W665">
        <f>IF($N665="","",Sync!$P665)</f>
        <v/>
      </c>
      <c r="AA665">
        <f>IF($A665="","",IF(COUNTIF($A$6:$A665,$A665)=1,1,0))</f>
        <v/>
      </c>
      <c r="AB665">
        <f>SUM($AA$6:$AA665)</f>
        <v/>
      </c>
      <c r="AC665">
        <f>IFERROR(INDEX($A$6:$A$1005,MATCH(ROW()-5,$AB$6:$AB$1005,0)),"")</f>
        <v/>
      </c>
    </row>
    <row r="666">
      <c r="A666">
        <f>IF(OR(Entry!$B669="",Entry!$E669="",$E666="نامعتبر"),"",Entry!$E669)</f>
        <v/>
      </c>
      <c r="B666">
        <f>IF($A666="","",LEFT($E666,4)&amp;MID($E666,6,2)&amp;RIGHT($E666,2)&amp;$F666&amp;"|"&amp;"1"&amp;RIGHT("00000"&amp;661,5))</f>
        <v/>
      </c>
      <c r="C666">
        <f>IF($B666="","",COUNTIFS($A$6:$A$1005,$A666,$B$6:$B$1005,"&lt;"&amp;$B666)+COUNTIFS($N$6:$N$2005,$A666,$P$6:$P$2005,"&lt;"&amp;$B666)+1)</f>
        <v/>
      </c>
      <c r="D666">
        <f>IF($C666="","",$A666&amp;"|"&amp;RIGHT("000000"&amp;$C666,6))</f>
        <v/>
      </c>
      <c r="E666">
        <f>IF(Entry!$B669="","",IF(ISNUMBER(Entry!$B669),IF(AND(Entry!$B669&gt;=10000101,Entry!$B669&lt;=99991231),INT(Entry!$B669/10000)&amp;"/"&amp;RIGHT("00"&amp;INT(MOD(Entry!$B669,10000)/100),2)&amp;"/"&amp;RIGHT("00"&amp;MOD(Entry!$B669,100),2),"نامعتبر"),IF(LEN(Entry!$B669)=10,Entry!$B669,"نامعتبر")))</f>
        <v/>
      </c>
      <c r="F666">
        <f>IF(Entry!$B669="","",IF(Entry!$C669="","0000",IF(AND(ISNUMBER(Entry!$C669),Entry!$C669&gt;=0,Entry!$C669&lt;1),RIGHT("00"&amp;HOUR(Entry!$C669),2)&amp;RIGHT("00"&amp;MINUTE(Entry!$C669),2),IFERROR(RIGHT("00"&amp;VALUE(LEFT(Entry!$C669,FIND(":",Entry!$C669)-1)),2)&amp;RIGHT("00"&amp;VALUE(MID(Entry!$C669,FIND(":",Entry!$C669)+1,2)),2),"0000"))))</f>
        <v/>
      </c>
      <c r="G666">
        <f>IF($A666="","",Entry!$G669)</f>
        <v/>
      </c>
      <c r="H666">
        <f>IF($A666="","",IF(Entry!$H669="",0,Entry!$H669))</f>
        <v/>
      </c>
      <c r="I666">
        <f>IF($A666="","",IF(Entry!$I669="",0,Entry!$I669))</f>
        <v/>
      </c>
      <c r="J666">
        <f>IF($A666="","",ROUND($H666*$I666,0))</f>
        <v/>
      </c>
      <c r="K666">
        <f>IF($A666="","",Entry!$D669)</f>
        <v/>
      </c>
      <c r="L666">
        <f>IF($A666="","",Entry!$L669)</f>
        <v/>
      </c>
      <c r="N666">
        <f>IF(OR(Sync!$M666="",$Q666="",$Q666="نامعتبر"),"",Sync!$M666)</f>
        <v/>
      </c>
      <c r="O666">
        <f>IF($N666="","",$Q666)</f>
        <v/>
      </c>
      <c r="P666">
        <f>IF($N666="","",LEFT($Q666,4)&amp;MID($Q666,6,2)&amp;RIGHT($Q666,2)&amp;IF(Sync!$K666="","0000",IF(AND(ISNUMBER(Sync!$K666),Sync!$K666&gt;=0,Sync!$K666&lt;1),RIGHT("00"&amp;HOUR(Sync!$K666),2)&amp;RIGHT("00"&amp;MINUTE(Sync!$K666),2),IFERROR(RIGHT("00"&amp;VALUE(LEFT(Sync!$K666,FIND(":",Sync!$K666)-1)),2)&amp;RIGHT("00"&amp;VALUE(MID(Sync!$K666,FIND(":",Sync!$K666)+1,2)),2),"0000")))&amp;"|"&amp;"2"&amp;RIGHT("00000"&amp;661,5))</f>
        <v/>
      </c>
      <c r="Q666">
        <f>IF(Sync!$J666="","",IF(ISNUMBER(Sync!$J666),IF(AND(Sync!$J666&gt;=10000101,Sync!$J666&lt;=99991231),INT(Sync!$J666/10000)&amp;"/"&amp;RIGHT("00"&amp;INT(MOD(Sync!$J666,10000)/100),2)&amp;"/"&amp;RIGHT("00"&amp;MOD(Sync!$J666,100),2),"نامعتبر"),IF(LEN(Sync!$J666)=10,Sync!$J666,"نامعتبر")))</f>
        <v/>
      </c>
      <c r="R666">
        <f>IF($P666="","",COUNTIFS($N$6:$N$2005,$N666,$P$6:$P$2005,"&lt;"&amp;$P666)+COUNTIFS($A$6:$A$1005,$N666,$B$6:$B$1005,"&lt;"&amp;$P666)+1)</f>
        <v/>
      </c>
      <c r="S666">
        <f>IF($N666="","",$N666&amp;"|"&amp;RIGHT("000000"&amp;$R666,6))</f>
        <v/>
      </c>
      <c r="T666">
        <f>IF($N666="","",IF(Sync!$N666="",0,Sync!$N666))</f>
        <v/>
      </c>
      <c r="U666">
        <f>IF($N666="","",IF(Sync!$O666="",0,Sync!$O666))</f>
        <v/>
      </c>
      <c r="V666">
        <f>IF($N666="","",Sync!$L666)</f>
        <v/>
      </c>
      <c r="W666">
        <f>IF($N666="","",Sync!$P666)</f>
        <v/>
      </c>
      <c r="AA666">
        <f>IF($A666="","",IF(COUNTIF($A$6:$A666,$A666)=1,1,0))</f>
        <v/>
      </c>
      <c r="AB666">
        <f>SUM($AA$6:$AA666)</f>
        <v/>
      </c>
      <c r="AC666">
        <f>IFERROR(INDEX($A$6:$A$1005,MATCH(ROW()-5,$AB$6:$AB$1005,0)),"")</f>
        <v/>
      </c>
    </row>
    <row r="667">
      <c r="A667">
        <f>IF(OR(Entry!$B670="",Entry!$E670="",$E667="نامعتبر"),"",Entry!$E670)</f>
        <v/>
      </c>
      <c r="B667">
        <f>IF($A667="","",LEFT($E667,4)&amp;MID($E667,6,2)&amp;RIGHT($E667,2)&amp;$F667&amp;"|"&amp;"1"&amp;RIGHT("00000"&amp;662,5))</f>
        <v/>
      </c>
      <c r="C667">
        <f>IF($B667="","",COUNTIFS($A$6:$A$1005,$A667,$B$6:$B$1005,"&lt;"&amp;$B667)+COUNTIFS($N$6:$N$2005,$A667,$P$6:$P$2005,"&lt;"&amp;$B667)+1)</f>
        <v/>
      </c>
      <c r="D667">
        <f>IF($C667="","",$A667&amp;"|"&amp;RIGHT("000000"&amp;$C667,6))</f>
        <v/>
      </c>
      <c r="E667">
        <f>IF(Entry!$B670="","",IF(ISNUMBER(Entry!$B670),IF(AND(Entry!$B670&gt;=10000101,Entry!$B670&lt;=99991231),INT(Entry!$B670/10000)&amp;"/"&amp;RIGHT("00"&amp;INT(MOD(Entry!$B670,10000)/100),2)&amp;"/"&amp;RIGHT("00"&amp;MOD(Entry!$B670,100),2),"نامعتبر"),IF(LEN(Entry!$B670)=10,Entry!$B670,"نامعتبر")))</f>
        <v/>
      </c>
      <c r="F667">
        <f>IF(Entry!$B670="","",IF(Entry!$C670="","0000",IF(AND(ISNUMBER(Entry!$C670),Entry!$C670&gt;=0,Entry!$C670&lt;1),RIGHT("00"&amp;HOUR(Entry!$C670),2)&amp;RIGHT("00"&amp;MINUTE(Entry!$C670),2),IFERROR(RIGHT("00"&amp;VALUE(LEFT(Entry!$C670,FIND(":",Entry!$C670)-1)),2)&amp;RIGHT("00"&amp;VALUE(MID(Entry!$C670,FIND(":",Entry!$C670)+1,2)),2),"0000"))))</f>
        <v/>
      </c>
      <c r="G667">
        <f>IF($A667="","",Entry!$G670)</f>
        <v/>
      </c>
      <c r="H667">
        <f>IF($A667="","",IF(Entry!$H670="",0,Entry!$H670))</f>
        <v/>
      </c>
      <c r="I667">
        <f>IF($A667="","",IF(Entry!$I670="",0,Entry!$I670))</f>
        <v/>
      </c>
      <c r="J667">
        <f>IF($A667="","",ROUND($H667*$I667,0))</f>
        <v/>
      </c>
      <c r="K667">
        <f>IF($A667="","",Entry!$D670)</f>
        <v/>
      </c>
      <c r="L667">
        <f>IF($A667="","",Entry!$L670)</f>
        <v/>
      </c>
      <c r="N667">
        <f>IF(OR(Sync!$M667="",$Q667="",$Q667="نامعتبر"),"",Sync!$M667)</f>
        <v/>
      </c>
      <c r="O667">
        <f>IF($N667="","",$Q667)</f>
        <v/>
      </c>
      <c r="P667">
        <f>IF($N667="","",LEFT($Q667,4)&amp;MID($Q667,6,2)&amp;RIGHT($Q667,2)&amp;IF(Sync!$K667="","0000",IF(AND(ISNUMBER(Sync!$K667),Sync!$K667&gt;=0,Sync!$K667&lt;1),RIGHT("00"&amp;HOUR(Sync!$K667),2)&amp;RIGHT("00"&amp;MINUTE(Sync!$K667),2),IFERROR(RIGHT("00"&amp;VALUE(LEFT(Sync!$K667,FIND(":",Sync!$K667)-1)),2)&amp;RIGHT("00"&amp;VALUE(MID(Sync!$K667,FIND(":",Sync!$K667)+1,2)),2),"0000")))&amp;"|"&amp;"2"&amp;RIGHT("00000"&amp;662,5))</f>
        <v/>
      </c>
      <c r="Q667">
        <f>IF(Sync!$J667="","",IF(ISNUMBER(Sync!$J667),IF(AND(Sync!$J667&gt;=10000101,Sync!$J667&lt;=99991231),INT(Sync!$J667/10000)&amp;"/"&amp;RIGHT("00"&amp;INT(MOD(Sync!$J667,10000)/100),2)&amp;"/"&amp;RIGHT("00"&amp;MOD(Sync!$J667,100),2),"نامعتبر"),IF(LEN(Sync!$J667)=10,Sync!$J667,"نامعتبر")))</f>
        <v/>
      </c>
      <c r="R667">
        <f>IF($P667="","",COUNTIFS($N$6:$N$2005,$N667,$P$6:$P$2005,"&lt;"&amp;$P667)+COUNTIFS($A$6:$A$1005,$N667,$B$6:$B$1005,"&lt;"&amp;$P667)+1)</f>
        <v/>
      </c>
      <c r="S667">
        <f>IF($N667="","",$N667&amp;"|"&amp;RIGHT("000000"&amp;$R667,6))</f>
        <v/>
      </c>
      <c r="T667">
        <f>IF($N667="","",IF(Sync!$N667="",0,Sync!$N667))</f>
        <v/>
      </c>
      <c r="U667">
        <f>IF($N667="","",IF(Sync!$O667="",0,Sync!$O667))</f>
        <v/>
      </c>
      <c r="V667">
        <f>IF($N667="","",Sync!$L667)</f>
        <v/>
      </c>
      <c r="W667">
        <f>IF($N667="","",Sync!$P667)</f>
        <v/>
      </c>
      <c r="AA667">
        <f>IF($A667="","",IF(COUNTIF($A$6:$A667,$A667)=1,1,0))</f>
        <v/>
      </c>
      <c r="AB667">
        <f>SUM($AA$6:$AA667)</f>
        <v/>
      </c>
      <c r="AC667">
        <f>IFERROR(INDEX($A$6:$A$1005,MATCH(ROW()-5,$AB$6:$AB$1005,0)),"")</f>
        <v/>
      </c>
    </row>
    <row r="668">
      <c r="A668">
        <f>IF(OR(Entry!$B671="",Entry!$E671="",$E668="نامعتبر"),"",Entry!$E671)</f>
        <v/>
      </c>
      <c r="B668">
        <f>IF($A668="","",LEFT($E668,4)&amp;MID($E668,6,2)&amp;RIGHT($E668,2)&amp;$F668&amp;"|"&amp;"1"&amp;RIGHT("00000"&amp;663,5))</f>
        <v/>
      </c>
      <c r="C668">
        <f>IF($B668="","",COUNTIFS($A$6:$A$1005,$A668,$B$6:$B$1005,"&lt;"&amp;$B668)+COUNTIFS($N$6:$N$2005,$A668,$P$6:$P$2005,"&lt;"&amp;$B668)+1)</f>
        <v/>
      </c>
      <c r="D668">
        <f>IF($C668="","",$A668&amp;"|"&amp;RIGHT("000000"&amp;$C668,6))</f>
        <v/>
      </c>
      <c r="E668">
        <f>IF(Entry!$B671="","",IF(ISNUMBER(Entry!$B671),IF(AND(Entry!$B671&gt;=10000101,Entry!$B671&lt;=99991231),INT(Entry!$B671/10000)&amp;"/"&amp;RIGHT("00"&amp;INT(MOD(Entry!$B671,10000)/100),2)&amp;"/"&amp;RIGHT("00"&amp;MOD(Entry!$B671,100),2),"نامعتبر"),IF(LEN(Entry!$B671)=10,Entry!$B671,"نامعتبر")))</f>
        <v/>
      </c>
      <c r="F668">
        <f>IF(Entry!$B671="","",IF(Entry!$C671="","0000",IF(AND(ISNUMBER(Entry!$C671),Entry!$C671&gt;=0,Entry!$C671&lt;1),RIGHT("00"&amp;HOUR(Entry!$C671),2)&amp;RIGHT("00"&amp;MINUTE(Entry!$C671),2),IFERROR(RIGHT("00"&amp;VALUE(LEFT(Entry!$C671,FIND(":",Entry!$C671)-1)),2)&amp;RIGHT("00"&amp;VALUE(MID(Entry!$C671,FIND(":",Entry!$C671)+1,2)),2),"0000"))))</f>
        <v/>
      </c>
      <c r="G668">
        <f>IF($A668="","",Entry!$G671)</f>
        <v/>
      </c>
      <c r="H668">
        <f>IF($A668="","",IF(Entry!$H671="",0,Entry!$H671))</f>
        <v/>
      </c>
      <c r="I668">
        <f>IF($A668="","",IF(Entry!$I671="",0,Entry!$I671))</f>
        <v/>
      </c>
      <c r="J668">
        <f>IF($A668="","",ROUND($H668*$I668,0))</f>
        <v/>
      </c>
      <c r="K668">
        <f>IF($A668="","",Entry!$D671)</f>
        <v/>
      </c>
      <c r="L668">
        <f>IF($A668="","",Entry!$L671)</f>
        <v/>
      </c>
      <c r="N668">
        <f>IF(OR(Sync!$M668="",$Q668="",$Q668="نامعتبر"),"",Sync!$M668)</f>
        <v/>
      </c>
      <c r="O668">
        <f>IF($N668="","",$Q668)</f>
        <v/>
      </c>
      <c r="P668">
        <f>IF($N668="","",LEFT($Q668,4)&amp;MID($Q668,6,2)&amp;RIGHT($Q668,2)&amp;IF(Sync!$K668="","0000",IF(AND(ISNUMBER(Sync!$K668),Sync!$K668&gt;=0,Sync!$K668&lt;1),RIGHT("00"&amp;HOUR(Sync!$K668),2)&amp;RIGHT("00"&amp;MINUTE(Sync!$K668),2),IFERROR(RIGHT("00"&amp;VALUE(LEFT(Sync!$K668,FIND(":",Sync!$K668)-1)),2)&amp;RIGHT("00"&amp;VALUE(MID(Sync!$K668,FIND(":",Sync!$K668)+1,2)),2),"0000")))&amp;"|"&amp;"2"&amp;RIGHT("00000"&amp;663,5))</f>
        <v/>
      </c>
      <c r="Q668">
        <f>IF(Sync!$J668="","",IF(ISNUMBER(Sync!$J668),IF(AND(Sync!$J668&gt;=10000101,Sync!$J668&lt;=99991231),INT(Sync!$J668/10000)&amp;"/"&amp;RIGHT("00"&amp;INT(MOD(Sync!$J668,10000)/100),2)&amp;"/"&amp;RIGHT("00"&amp;MOD(Sync!$J668,100),2),"نامعتبر"),IF(LEN(Sync!$J668)=10,Sync!$J668,"نامعتبر")))</f>
        <v/>
      </c>
      <c r="R668">
        <f>IF($P668="","",COUNTIFS($N$6:$N$2005,$N668,$P$6:$P$2005,"&lt;"&amp;$P668)+COUNTIFS($A$6:$A$1005,$N668,$B$6:$B$1005,"&lt;"&amp;$P668)+1)</f>
        <v/>
      </c>
      <c r="S668">
        <f>IF($N668="","",$N668&amp;"|"&amp;RIGHT("000000"&amp;$R668,6))</f>
        <v/>
      </c>
      <c r="T668">
        <f>IF($N668="","",IF(Sync!$N668="",0,Sync!$N668))</f>
        <v/>
      </c>
      <c r="U668">
        <f>IF($N668="","",IF(Sync!$O668="",0,Sync!$O668))</f>
        <v/>
      </c>
      <c r="V668">
        <f>IF($N668="","",Sync!$L668)</f>
        <v/>
      </c>
      <c r="W668">
        <f>IF($N668="","",Sync!$P668)</f>
        <v/>
      </c>
      <c r="AA668">
        <f>IF($A668="","",IF(COUNTIF($A$6:$A668,$A668)=1,1,0))</f>
        <v/>
      </c>
      <c r="AB668">
        <f>SUM($AA$6:$AA668)</f>
        <v/>
      </c>
      <c r="AC668">
        <f>IFERROR(INDEX($A$6:$A$1005,MATCH(ROW()-5,$AB$6:$AB$1005,0)),"")</f>
        <v/>
      </c>
    </row>
    <row r="669">
      <c r="A669">
        <f>IF(OR(Entry!$B672="",Entry!$E672="",$E669="نامعتبر"),"",Entry!$E672)</f>
        <v/>
      </c>
      <c r="B669">
        <f>IF($A669="","",LEFT($E669,4)&amp;MID($E669,6,2)&amp;RIGHT($E669,2)&amp;$F669&amp;"|"&amp;"1"&amp;RIGHT("00000"&amp;664,5))</f>
        <v/>
      </c>
      <c r="C669">
        <f>IF($B669="","",COUNTIFS($A$6:$A$1005,$A669,$B$6:$B$1005,"&lt;"&amp;$B669)+COUNTIFS($N$6:$N$2005,$A669,$P$6:$P$2005,"&lt;"&amp;$B669)+1)</f>
        <v/>
      </c>
      <c r="D669">
        <f>IF($C669="","",$A669&amp;"|"&amp;RIGHT("000000"&amp;$C669,6))</f>
        <v/>
      </c>
      <c r="E669">
        <f>IF(Entry!$B672="","",IF(ISNUMBER(Entry!$B672),IF(AND(Entry!$B672&gt;=10000101,Entry!$B672&lt;=99991231),INT(Entry!$B672/10000)&amp;"/"&amp;RIGHT("00"&amp;INT(MOD(Entry!$B672,10000)/100),2)&amp;"/"&amp;RIGHT("00"&amp;MOD(Entry!$B672,100),2),"نامعتبر"),IF(LEN(Entry!$B672)=10,Entry!$B672,"نامعتبر")))</f>
        <v/>
      </c>
      <c r="F669">
        <f>IF(Entry!$B672="","",IF(Entry!$C672="","0000",IF(AND(ISNUMBER(Entry!$C672),Entry!$C672&gt;=0,Entry!$C672&lt;1),RIGHT("00"&amp;HOUR(Entry!$C672),2)&amp;RIGHT("00"&amp;MINUTE(Entry!$C672),2),IFERROR(RIGHT("00"&amp;VALUE(LEFT(Entry!$C672,FIND(":",Entry!$C672)-1)),2)&amp;RIGHT("00"&amp;VALUE(MID(Entry!$C672,FIND(":",Entry!$C672)+1,2)),2),"0000"))))</f>
        <v/>
      </c>
      <c r="G669">
        <f>IF($A669="","",Entry!$G672)</f>
        <v/>
      </c>
      <c r="H669">
        <f>IF($A669="","",IF(Entry!$H672="",0,Entry!$H672))</f>
        <v/>
      </c>
      <c r="I669">
        <f>IF($A669="","",IF(Entry!$I672="",0,Entry!$I672))</f>
        <v/>
      </c>
      <c r="J669">
        <f>IF($A669="","",ROUND($H669*$I669,0))</f>
        <v/>
      </c>
      <c r="K669">
        <f>IF($A669="","",Entry!$D672)</f>
        <v/>
      </c>
      <c r="L669">
        <f>IF($A669="","",Entry!$L672)</f>
        <v/>
      </c>
      <c r="N669">
        <f>IF(OR(Sync!$M669="",$Q669="",$Q669="نامعتبر"),"",Sync!$M669)</f>
        <v/>
      </c>
      <c r="O669">
        <f>IF($N669="","",$Q669)</f>
        <v/>
      </c>
      <c r="P669">
        <f>IF($N669="","",LEFT($Q669,4)&amp;MID($Q669,6,2)&amp;RIGHT($Q669,2)&amp;IF(Sync!$K669="","0000",IF(AND(ISNUMBER(Sync!$K669),Sync!$K669&gt;=0,Sync!$K669&lt;1),RIGHT("00"&amp;HOUR(Sync!$K669),2)&amp;RIGHT("00"&amp;MINUTE(Sync!$K669),2),IFERROR(RIGHT("00"&amp;VALUE(LEFT(Sync!$K669,FIND(":",Sync!$K669)-1)),2)&amp;RIGHT("00"&amp;VALUE(MID(Sync!$K669,FIND(":",Sync!$K669)+1,2)),2),"0000")))&amp;"|"&amp;"2"&amp;RIGHT("00000"&amp;664,5))</f>
        <v/>
      </c>
      <c r="Q669">
        <f>IF(Sync!$J669="","",IF(ISNUMBER(Sync!$J669),IF(AND(Sync!$J669&gt;=10000101,Sync!$J669&lt;=99991231),INT(Sync!$J669/10000)&amp;"/"&amp;RIGHT("00"&amp;INT(MOD(Sync!$J669,10000)/100),2)&amp;"/"&amp;RIGHT("00"&amp;MOD(Sync!$J669,100),2),"نامعتبر"),IF(LEN(Sync!$J669)=10,Sync!$J669,"نامعتبر")))</f>
        <v/>
      </c>
      <c r="R669">
        <f>IF($P669="","",COUNTIFS($N$6:$N$2005,$N669,$P$6:$P$2005,"&lt;"&amp;$P669)+COUNTIFS($A$6:$A$1005,$N669,$B$6:$B$1005,"&lt;"&amp;$P669)+1)</f>
        <v/>
      </c>
      <c r="S669">
        <f>IF($N669="","",$N669&amp;"|"&amp;RIGHT("000000"&amp;$R669,6))</f>
        <v/>
      </c>
      <c r="T669">
        <f>IF($N669="","",IF(Sync!$N669="",0,Sync!$N669))</f>
        <v/>
      </c>
      <c r="U669">
        <f>IF($N669="","",IF(Sync!$O669="",0,Sync!$O669))</f>
        <v/>
      </c>
      <c r="V669">
        <f>IF($N669="","",Sync!$L669)</f>
        <v/>
      </c>
      <c r="W669">
        <f>IF($N669="","",Sync!$P669)</f>
        <v/>
      </c>
      <c r="AA669">
        <f>IF($A669="","",IF(COUNTIF($A$6:$A669,$A669)=1,1,0))</f>
        <v/>
      </c>
      <c r="AB669">
        <f>SUM($AA$6:$AA669)</f>
        <v/>
      </c>
      <c r="AC669">
        <f>IFERROR(INDEX($A$6:$A$1005,MATCH(ROW()-5,$AB$6:$AB$1005,0)),"")</f>
        <v/>
      </c>
    </row>
    <row r="670">
      <c r="A670">
        <f>IF(OR(Entry!$B673="",Entry!$E673="",$E670="نامعتبر"),"",Entry!$E673)</f>
        <v/>
      </c>
      <c r="B670">
        <f>IF($A670="","",LEFT($E670,4)&amp;MID($E670,6,2)&amp;RIGHT($E670,2)&amp;$F670&amp;"|"&amp;"1"&amp;RIGHT("00000"&amp;665,5))</f>
        <v/>
      </c>
      <c r="C670">
        <f>IF($B670="","",COUNTIFS($A$6:$A$1005,$A670,$B$6:$B$1005,"&lt;"&amp;$B670)+COUNTIFS($N$6:$N$2005,$A670,$P$6:$P$2005,"&lt;"&amp;$B670)+1)</f>
        <v/>
      </c>
      <c r="D670">
        <f>IF($C670="","",$A670&amp;"|"&amp;RIGHT("000000"&amp;$C670,6))</f>
        <v/>
      </c>
      <c r="E670">
        <f>IF(Entry!$B673="","",IF(ISNUMBER(Entry!$B673),IF(AND(Entry!$B673&gt;=10000101,Entry!$B673&lt;=99991231),INT(Entry!$B673/10000)&amp;"/"&amp;RIGHT("00"&amp;INT(MOD(Entry!$B673,10000)/100),2)&amp;"/"&amp;RIGHT("00"&amp;MOD(Entry!$B673,100),2),"نامعتبر"),IF(LEN(Entry!$B673)=10,Entry!$B673,"نامعتبر")))</f>
        <v/>
      </c>
      <c r="F670">
        <f>IF(Entry!$B673="","",IF(Entry!$C673="","0000",IF(AND(ISNUMBER(Entry!$C673),Entry!$C673&gt;=0,Entry!$C673&lt;1),RIGHT("00"&amp;HOUR(Entry!$C673),2)&amp;RIGHT("00"&amp;MINUTE(Entry!$C673),2),IFERROR(RIGHT("00"&amp;VALUE(LEFT(Entry!$C673,FIND(":",Entry!$C673)-1)),2)&amp;RIGHT("00"&amp;VALUE(MID(Entry!$C673,FIND(":",Entry!$C673)+1,2)),2),"0000"))))</f>
        <v/>
      </c>
      <c r="G670">
        <f>IF($A670="","",Entry!$G673)</f>
        <v/>
      </c>
      <c r="H670">
        <f>IF($A670="","",IF(Entry!$H673="",0,Entry!$H673))</f>
        <v/>
      </c>
      <c r="I670">
        <f>IF($A670="","",IF(Entry!$I673="",0,Entry!$I673))</f>
        <v/>
      </c>
      <c r="J670">
        <f>IF($A670="","",ROUND($H670*$I670,0))</f>
        <v/>
      </c>
      <c r="K670">
        <f>IF($A670="","",Entry!$D673)</f>
        <v/>
      </c>
      <c r="L670">
        <f>IF($A670="","",Entry!$L673)</f>
        <v/>
      </c>
      <c r="N670">
        <f>IF(OR(Sync!$M670="",$Q670="",$Q670="نامعتبر"),"",Sync!$M670)</f>
        <v/>
      </c>
      <c r="O670">
        <f>IF($N670="","",$Q670)</f>
        <v/>
      </c>
      <c r="P670">
        <f>IF($N670="","",LEFT($Q670,4)&amp;MID($Q670,6,2)&amp;RIGHT($Q670,2)&amp;IF(Sync!$K670="","0000",IF(AND(ISNUMBER(Sync!$K670),Sync!$K670&gt;=0,Sync!$K670&lt;1),RIGHT("00"&amp;HOUR(Sync!$K670),2)&amp;RIGHT("00"&amp;MINUTE(Sync!$K670),2),IFERROR(RIGHT("00"&amp;VALUE(LEFT(Sync!$K670,FIND(":",Sync!$K670)-1)),2)&amp;RIGHT("00"&amp;VALUE(MID(Sync!$K670,FIND(":",Sync!$K670)+1,2)),2),"0000")))&amp;"|"&amp;"2"&amp;RIGHT("00000"&amp;665,5))</f>
        <v/>
      </c>
      <c r="Q670">
        <f>IF(Sync!$J670="","",IF(ISNUMBER(Sync!$J670),IF(AND(Sync!$J670&gt;=10000101,Sync!$J670&lt;=99991231),INT(Sync!$J670/10000)&amp;"/"&amp;RIGHT("00"&amp;INT(MOD(Sync!$J670,10000)/100),2)&amp;"/"&amp;RIGHT("00"&amp;MOD(Sync!$J670,100),2),"نامعتبر"),IF(LEN(Sync!$J670)=10,Sync!$J670,"نامعتبر")))</f>
        <v/>
      </c>
      <c r="R670">
        <f>IF($P670="","",COUNTIFS($N$6:$N$2005,$N670,$P$6:$P$2005,"&lt;"&amp;$P670)+COUNTIFS($A$6:$A$1005,$N670,$B$6:$B$1005,"&lt;"&amp;$P670)+1)</f>
        <v/>
      </c>
      <c r="S670">
        <f>IF($N670="","",$N670&amp;"|"&amp;RIGHT("000000"&amp;$R670,6))</f>
        <v/>
      </c>
      <c r="T670">
        <f>IF($N670="","",IF(Sync!$N670="",0,Sync!$N670))</f>
        <v/>
      </c>
      <c r="U670">
        <f>IF($N670="","",IF(Sync!$O670="",0,Sync!$O670))</f>
        <v/>
      </c>
      <c r="V670">
        <f>IF($N670="","",Sync!$L670)</f>
        <v/>
      </c>
      <c r="W670">
        <f>IF($N670="","",Sync!$P670)</f>
        <v/>
      </c>
      <c r="AA670">
        <f>IF($A670="","",IF(COUNTIF($A$6:$A670,$A670)=1,1,0))</f>
        <v/>
      </c>
      <c r="AB670">
        <f>SUM($AA$6:$AA670)</f>
        <v/>
      </c>
      <c r="AC670">
        <f>IFERROR(INDEX($A$6:$A$1005,MATCH(ROW()-5,$AB$6:$AB$1005,0)),"")</f>
        <v/>
      </c>
    </row>
    <row r="671">
      <c r="A671">
        <f>IF(OR(Entry!$B674="",Entry!$E674="",$E671="نامعتبر"),"",Entry!$E674)</f>
        <v/>
      </c>
      <c r="B671">
        <f>IF($A671="","",LEFT($E671,4)&amp;MID($E671,6,2)&amp;RIGHT($E671,2)&amp;$F671&amp;"|"&amp;"1"&amp;RIGHT("00000"&amp;666,5))</f>
        <v/>
      </c>
      <c r="C671">
        <f>IF($B671="","",COUNTIFS($A$6:$A$1005,$A671,$B$6:$B$1005,"&lt;"&amp;$B671)+COUNTIFS($N$6:$N$2005,$A671,$P$6:$P$2005,"&lt;"&amp;$B671)+1)</f>
        <v/>
      </c>
      <c r="D671">
        <f>IF($C671="","",$A671&amp;"|"&amp;RIGHT("000000"&amp;$C671,6))</f>
        <v/>
      </c>
      <c r="E671">
        <f>IF(Entry!$B674="","",IF(ISNUMBER(Entry!$B674),IF(AND(Entry!$B674&gt;=10000101,Entry!$B674&lt;=99991231),INT(Entry!$B674/10000)&amp;"/"&amp;RIGHT("00"&amp;INT(MOD(Entry!$B674,10000)/100),2)&amp;"/"&amp;RIGHT("00"&amp;MOD(Entry!$B674,100),2),"نامعتبر"),IF(LEN(Entry!$B674)=10,Entry!$B674,"نامعتبر")))</f>
        <v/>
      </c>
      <c r="F671">
        <f>IF(Entry!$B674="","",IF(Entry!$C674="","0000",IF(AND(ISNUMBER(Entry!$C674),Entry!$C674&gt;=0,Entry!$C674&lt;1),RIGHT("00"&amp;HOUR(Entry!$C674),2)&amp;RIGHT("00"&amp;MINUTE(Entry!$C674),2),IFERROR(RIGHT("00"&amp;VALUE(LEFT(Entry!$C674,FIND(":",Entry!$C674)-1)),2)&amp;RIGHT("00"&amp;VALUE(MID(Entry!$C674,FIND(":",Entry!$C674)+1,2)),2),"0000"))))</f>
        <v/>
      </c>
      <c r="G671">
        <f>IF($A671="","",Entry!$G674)</f>
        <v/>
      </c>
      <c r="H671">
        <f>IF($A671="","",IF(Entry!$H674="",0,Entry!$H674))</f>
        <v/>
      </c>
      <c r="I671">
        <f>IF($A671="","",IF(Entry!$I674="",0,Entry!$I674))</f>
        <v/>
      </c>
      <c r="J671">
        <f>IF($A671="","",ROUND($H671*$I671,0))</f>
        <v/>
      </c>
      <c r="K671">
        <f>IF($A671="","",Entry!$D674)</f>
        <v/>
      </c>
      <c r="L671">
        <f>IF($A671="","",Entry!$L674)</f>
        <v/>
      </c>
      <c r="N671">
        <f>IF(OR(Sync!$M671="",$Q671="",$Q671="نامعتبر"),"",Sync!$M671)</f>
        <v/>
      </c>
      <c r="O671">
        <f>IF($N671="","",$Q671)</f>
        <v/>
      </c>
      <c r="P671">
        <f>IF($N671="","",LEFT($Q671,4)&amp;MID($Q671,6,2)&amp;RIGHT($Q671,2)&amp;IF(Sync!$K671="","0000",IF(AND(ISNUMBER(Sync!$K671),Sync!$K671&gt;=0,Sync!$K671&lt;1),RIGHT("00"&amp;HOUR(Sync!$K671),2)&amp;RIGHT("00"&amp;MINUTE(Sync!$K671),2),IFERROR(RIGHT("00"&amp;VALUE(LEFT(Sync!$K671,FIND(":",Sync!$K671)-1)),2)&amp;RIGHT("00"&amp;VALUE(MID(Sync!$K671,FIND(":",Sync!$K671)+1,2)),2),"0000")))&amp;"|"&amp;"2"&amp;RIGHT("00000"&amp;666,5))</f>
        <v/>
      </c>
      <c r="Q671">
        <f>IF(Sync!$J671="","",IF(ISNUMBER(Sync!$J671),IF(AND(Sync!$J671&gt;=10000101,Sync!$J671&lt;=99991231),INT(Sync!$J671/10000)&amp;"/"&amp;RIGHT("00"&amp;INT(MOD(Sync!$J671,10000)/100),2)&amp;"/"&amp;RIGHT("00"&amp;MOD(Sync!$J671,100),2),"نامعتبر"),IF(LEN(Sync!$J671)=10,Sync!$J671,"نامعتبر")))</f>
        <v/>
      </c>
      <c r="R671">
        <f>IF($P671="","",COUNTIFS($N$6:$N$2005,$N671,$P$6:$P$2005,"&lt;"&amp;$P671)+COUNTIFS($A$6:$A$1005,$N671,$B$6:$B$1005,"&lt;"&amp;$P671)+1)</f>
        <v/>
      </c>
      <c r="S671">
        <f>IF($N671="","",$N671&amp;"|"&amp;RIGHT("000000"&amp;$R671,6))</f>
        <v/>
      </c>
      <c r="T671">
        <f>IF($N671="","",IF(Sync!$N671="",0,Sync!$N671))</f>
        <v/>
      </c>
      <c r="U671">
        <f>IF($N671="","",IF(Sync!$O671="",0,Sync!$O671))</f>
        <v/>
      </c>
      <c r="V671">
        <f>IF($N671="","",Sync!$L671)</f>
        <v/>
      </c>
      <c r="W671">
        <f>IF($N671="","",Sync!$P671)</f>
        <v/>
      </c>
      <c r="AA671">
        <f>IF($A671="","",IF(COUNTIF($A$6:$A671,$A671)=1,1,0))</f>
        <v/>
      </c>
      <c r="AB671">
        <f>SUM($AA$6:$AA671)</f>
        <v/>
      </c>
      <c r="AC671">
        <f>IFERROR(INDEX($A$6:$A$1005,MATCH(ROW()-5,$AB$6:$AB$1005,0)),"")</f>
        <v/>
      </c>
    </row>
    <row r="672">
      <c r="A672">
        <f>IF(OR(Entry!$B675="",Entry!$E675="",$E672="نامعتبر"),"",Entry!$E675)</f>
        <v/>
      </c>
      <c r="B672">
        <f>IF($A672="","",LEFT($E672,4)&amp;MID($E672,6,2)&amp;RIGHT($E672,2)&amp;$F672&amp;"|"&amp;"1"&amp;RIGHT("00000"&amp;667,5))</f>
        <v/>
      </c>
      <c r="C672">
        <f>IF($B672="","",COUNTIFS($A$6:$A$1005,$A672,$B$6:$B$1005,"&lt;"&amp;$B672)+COUNTIFS($N$6:$N$2005,$A672,$P$6:$P$2005,"&lt;"&amp;$B672)+1)</f>
        <v/>
      </c>
      <c r="D672">
        <f>IF($C672="","",$A672&amp;"|"&amp;RIGHT("000000"&amp;$C672,6))</f>
        <v/>
      </c>
      <c r="E672">
        <f>IF(Entry!$B675="","",IF(ISNUMBER(Entry!$B675),IF(AND(Entry!$B675&gt;=10000101,Entry!$B675&lt;=99991231),INT(Entry!$B675/10000)&amp;"/"&amp;RIGHT("00"&amp;INT(MOD(Entry!$B675,10000)/100),2)&amp;"/"&amp;RIGHT("00"&amp;MOD(Entry!$B675,100),2),"نامعتبر"),IF(LEN(Entry!$B675)=10,Entry!$B675,"نامعتبر")))</f>
        <v/>
      </c>
      <c r="F672">
        <f>IF(Entry!$B675="","",IF(Entry!$C675="","0000",IF(AND(ISNUMBER(Entry!$C675),Entry!$C675&gt;=0,Entry!$C675&lt;1),RIGHT("00"&amp;HOUR(Entry!$C675),2)&amp;RIGHT("00"&amp;MINUTE(Entry!$C675),2),IFERROR(RIGHT("00"&amp;VALUE(LEFT(Entry!$C675,FIND(":",Entry!$C675)-1)),2)&amp;RIGHT("00"&amp;VALUE(MID(Entry!$C675,FIND(":",Entry!$C675)+1,2)),2),"0000"))))</f>
        <v/>
      </c>
      <c r="G672">
        <f>IF($A672="","",Entry!$G675)</f>
        <v/>
      </c>
      <c r="H672">
        <f>IF($A672="","",IF(Entry!$H675="",0,Entry!$H675))</f>
        <v/>
      </c>
      <c r="I672">
        <f>IF($A672="","",IF(Entry!$I675="",0,Entry!$I675))</f>
        <v/>
      </c>
      <c r="J672">
        <f>IF($A672="","",ROUND($H672*$I672,0))</f>
        <v/>
      </c>
      <c r="K672">
        <f>IF($A672="","",Entry!$D675)</f>
        <v/>
      </c>
      <c r="L672">
        <f>IF($A672="","",Entry!$L675)</f>
        <v/>
      </c>
      <c r="N672">
        <f>IF(OR(Sync!$M672="",$Q672="",$Q672="نامعتبر"),"",Sync!$M672)</f>
        <v/>
      </c>
      <c r="O672">
        <f>IF($N672="","",$Q672)</f>
        <v/>
      </c>
      <c r="P672">
        <f>IF($N672="","",LEFT($Q672,4)&amp;MID($Q672,6,2)&amp;RIGHT($Q672,2)&amp;IF(Sync!$K672="","0000",IF(AND(ISNUMBER(Sync!$K672),Sync!$K672&gt;=0,Sync!$K672&lt;1),RIGHT("00"&amp;HOUR(Sync!$K672),2)&amp;RIGHT("00"&amp;MINUTE(Sync!$K672),2),IFERROR(RIGHT("00"&amp;VALUE(LEFT(Sync!$K672,FIND(":",Sync!$K672)-1)),2)&amp;RIGHT("00"&amp;VALUE(MID(Sync!$K672,FIND(":",Sync!$K672)+1,2)),2),"0000")))&amp;"|"&amp;"2"&amp;RIGHT("00000"&amp;667,5))</f>
        <v/>
      </c>
      <c r="Q672">
        <f>IF(Sync!$J672="","",IF(ISNUMBER(Sync!$J672),IF(AND(Sync!$J672&gt;=10000101,Sync!$J672&lt;=99991231),INT(Sync!$J672/10000)&amp;"/"&amp;RIGHT("00"&amp;INT(MOD(Sync!$J672,10000)/100),2)&amp;"/"&amp;RIGHT("00"&amp;MOD(Sync!$J672,100),2),"نامعتبر"),IF(LEN(Sync!$J672)=10,Sync!$J672,"نامعتبر")))</f>
        <v/>
      </c>
      <c r="R672">
        <f>IF($P672="","",COUNTIFS($N$6:$N$2005,$N672,$P$6:$P$2005,"&lt;"&amp;$P672)+COUNTIFS($A$6:$A$1005,$N672,$B$6:$B$1005,"&lt;"&amp;$P672)+1)</f>
        <v/>
      </c>
      <c r="S672">
        <f>IF($N672="","",$N672&amp;"|"&amp;RIGHT("000000"&amp;$R672,6))</f>
        <v/>
      </c>
      <c r="T672">
        <f>IF($N672="","",IF(Sync!$N672="",0,Sync!$N672))</f>
        <v/>
      </c>
      <c r="U672">
        <f>IF($N672="","",IF(Sync!$O672="",0,Sync!$O672))</f>
        <v/>
      </c>
      <c r="V672">
        <f>IF($N672="","",Sync!$L672)</f>
        <v/>
      </c>
      <c r="W672">
        <f>IF($N672="","",Sync!$P672)</f>
        <v/>
      </c>
      <c r="AA672">
        <f>IF($A672="","",IF(COUNTIF($A$6:$A672,$A672)=1,1,0))</f>
        <v/>
      </c>
      <c r="AB672">
        <f>SUM($AA$6:$AA672)</f>
        <v/>
      </c>
      <c r="AC672">
        <f>IFERROR(INDEX($A$6:$A$1005,MATCH(ROW()-5,$AB$6:$AB$1005,0)),"")</f>
        <v/>
      </c>
    </row>
    <row r="673">
      <c r="A673">
        <f>IF(OR(Entry!$B676="",Entry!$E676="",$E673="نامعتبر"),"",Entry!$E676)</f>
        <v/>
      </c>
      <c r="B673">
        <f>IF($A673="","",LEFT($E673,4)&amp;MID($E673,6,2)&amp;RIGHT($E673,2)&amp;$F673&amp;"|"&amp;"1"&amp;RIGHT("00000"&amp;668,5))</f>
        <v/>
      </c>
      <c r="C673">
        <f>IF($B673="","",COUNTIFS($A$6:$A$1005,$A673,$B$6:$B$1005,"&lt;"&amp;$B673)+COUNTIFS($N$6:$N$2005,$A673,$P$6:$P$2005,"&lt;"&amp;$B673)+1)</f>
        <v/>
      </c>
      <c r="D673">
        <f>IF($C673="","",$A673&amp;"|"&amp;RIGHT("000000"&amp;$C673,6))</f>
        <v/>
      </c>
      <c r="E673">
        <f>IF(Entry!$B676="","",IF(ISNUMBER(Entry!$B676),IF(AND(Entry!$B676&gt;=10000101,Entry!$B676&lt;=99991231),INT(Entry!$B676/10000)&amp;"/"&amp;RIGHT("00"&amp;INT(MOD(Entry!$B676,10000)/100),2)&amp;"/"&amp;RIGHT("00"&amp;MOD(Entry!$B676,100),2),"نامعتبر"),IF(LEN(Entry!$B676)=10,Entry!$B676,"نامعتبر")))</f>
        <v/>
      </c>
      <c r="F673">
        <f>IF(Entry!$B676="","",IF(Entry!$C676="","0000",IF(AND(ISNUMBER(Entry!$C676),Entry!$C676&gt;=0,Entry!$C676&lt;1),RIGHT("00"&amp;HOUR(Entry!$C676),2)&amp;RIGHT("00"&amp;MINUTE(Entry!$C676),2),IFERROR(RIGHT("00"&amp;VALUE(LEFT(Entry!$C676,FIND(":",Entry!$C676)-1)),2)&amp;RIGHT("00"&amp;VALUE(MID(Entry!$C676,FIND(":",Entry!$C676)+1,2)),2),"0000"))))</f>
        <v/>
      </c>
      <c r="G673">
        <f>IF($A673="","",Entry!$G676)</f>
        <v/>
      </c>
      <c r="H673">
        <f>IF($A673="","",IF(Entry!$H676="",0,Entry!$H676))</f>
        <v/>
      </c>
      <c r="I673">
        <f>IF($A673="","",IF(Entry!$I676="",0,Entry!$I676))</f>
        <v/>
      </c>
      <c r="J673">
        <f>IF($A673="","",ROUND($H673*$I673,0))</f>
        <v/>
      </c>
      <c r="K673">
        <f>IF($A673="","",Entry!$D676)</f>
        <v/>
      </c>
      <c r="L673">
        <f>IF($A673="","",Entry!$L676)</f>
        <v/>
      </c>
      <c r="N673">
        <f>IF(OR(Sync!$M673="",$Q673="",$Q673="نامعتبر"),"",Sync!$M673)</f>
        <v/>
      </c>
      <c r="O673">
        <f>IF($N673="","",$Q673)</f>
        <v/>
      </c>
      <c r="P673">
        <f>IF($N673="","",LEFT($Q673,4)&amp;MID($Q673,6,2)&amp;RIGHT($Q673,2)&amp;IF(Sync!$K673="","0000",IF(AND(ISNUMBER(Sync!$K673),Sync!$K673&gt;=0,Sync!$K673&lt;1),RIGHT("00"&amp;HOUR(Sync!$K673),2)&amp;RIGHT("00"&amp;MINUTE(Sync!$K673),2),IFERROR(RIGHT("00"&amp;VALUE(LEFT(Sync!$K673,FIND(":",Sync!$K673)-1)),2)&amp;RIGHT("00"&amp;VALUE(MID(Sync!$K673,FIND(":",Sync!$K673)+1,2)),2),"0000")))&amp;"|"&amp;"2"&amp;RIGHT("00000"&amp;668,5))</f>
        <v/>
      </c>
      <c r="Q673">
        <f>IF(Sync!$J673="","",IF(ISNUMBER(Sync!$J673),IF(AND(Sync!$J673&gt;=10000101,Sync!$J673&lt;=99991231),INT(Sync!$J673/10000)&amp;"/"&amp;RIGHT("00"&amp;INT(MOD(Sync!$J673,10000)/100),2)&amp;"/"&amp;RIGHT("00"&amp;MOD(Sync!$J673,100),2),"نامعتبر"),IF(LEN(Sync!$J673)=10,Sync!$J673,"نامعتبر")))</f>
        <v/>
      </c>
      <c r="R673">
        <f>IF($P673="","",COUNTIFS($N$6:$N$2005,$N673,$P$6:$P$2005,"&lt;"&amp;$P673)+COUNTIFS($A$6:$A$1005,$N673,$B$6:$B$1005,"&lt;"&amp;$P673)+1)</f>
        <v/>
      </c>
      <c r="S673">
        <f>IF($N673="","",$N673&amp;"|"&amp;RIGHT("000000"&amp;$R673,6))</f>
        <v/>
      </c>
      <c r="T673">
        <f>IF($N673="","",IF(Sync!$N673="",0,Sync!$N673))</f>
        <v/>
      </c>
      <c r="U673">
        <f>IF($N673="","",IF(Sync!$O673="",0,Sync!$O673))</f>
        <v/>
      </c>
      <c r="V673">
        <f>IF($N673="","",Sync!$L673)</f>
        <v/>
      </c>
      <c r="W673">
        <f>IF($N673="","",Sync!$P673)</f>
        <v/>
      </c>
      <c r="AA673">
        <f>IF($A673="","",IF(COUNTIF($A$6:$A673,$A673)=1,1,0))</f>
        <v/>
      </c>
      <c r="AB673">
        <f>SUM($AA$6:$AA673)</f>
        <v/>
      </c>
      <c r="AC673">
        <f>IFERROR(INDEX($A$6:$A$1005,MATCH(ROW()-5,$AB$6:$AB$1005,0)),"")</f>
        <v/>
      </c>
    </row>
    <row r="674">
      <c r="A674">
        <f>IF(OR(Entry!$B677="",Entry!$E677="",$E674="نامعتبر"),"",Entry!$E677)</f>
        <v/>
      </c>
      <c r="B674">
        <f>IF($A674="","",LEFT($E674,4)&amp;MID($E674,6,2)&amp;RIGHT($E674,2)&amp;$F674&amp;"|"&amp;"1"&amp;RIGHT("00000"&amp;669,5))</f>
        <v/>
      </c>
      <c r="C674">
        <f>IF($B674="","",COUNTIFS($A$6:$A$1005,$A674,$B$6:$B$1005,"&lt;"&amp;$B674)+COUNTIFS($N$6:$N$2005,$A674,$P$6:$P$2005,"&lt;"&amp;$B674)+1)</f>
        <v/>
      </c>
      <c r="D674">
        <f>IF($C674="","",$A674&amp;"|"&amp;RIGHT("000000"&amp;$C674,6))</f>
        <v/>
      </c>
      <c r="E674">
        <f>IF(Entry!$B677="","",IF(ISNUMBER(Entry!$B677),IF(AND(Entry!$B677&gt;=10000101,Entry!$B677&lt;=99991231),INT(Entry!$B677/10000)&amp;"/"&amp;RIGHT("00"&amp;INT(MOD(Entry!$B677,10000)/100),2)&amp;"/"&amp;RIGHT("00"&amp;MOD(Entry!$B677,100),2),"نامعتبر"),IF(LEN(Entry!$B677)=10,Entry!$B677,"نامعتبر")))</f>
        <v/>
      </c>
      <c r="F674">
        <f>IF(Entry!$B677="","",IF(Entry!$C677="","0000",IF(AND(ISNUMBER(Entry!$C677),Entry!$C677&gt;=0,Entry!$C677&lt;1),RIGHT("00"&amp;HOUR(Entry!$C677),2)&amp;RIGHT("00"&amp;MINUTE(Entry!$C677),2),IFERROR(RIGHT("00"&amp;VALUE(LEFT(Entry!$C677,FIND(":",Entry!$C677)-1)),2)&amp;RIGHT("00"&amp;VALUE(MID(Entry!$C677,FIND(":",Entry!$C677)+1,2)),2),"0000"))))</f>
        <v/>
      </c>
      <c r="G674">
        <f>IF($A674="","",Entry!$G677)</f>
        <v/>
      </c>
      <c r="H674">
        <f>IF($A674="","",IF(Entry!$H677="",0,Entry!$H677))</f>
        <v/>
      </c>
      <c r="I674">
        <f>IF($A674="","",IF(Entry!$I677="",0,Entry!$I677))</f>
        <v/>
      </c>
      <c r="J674">
        <f>IF($A674="","",ROUND($H674*$I674,0))</f>
        <v/>
      </c>
      <c r="K674">
        <f>IF($A674="","",Entry!$D677)</f>
        <v/>
      </c>
      <c r="L674">
        <f>IF($A674="","",Entry!$L677)</f>
        <v/>
      </c>
      <c r="N674">
        <f>IF(OR(Sync!$M674="",$Q674="",$Q674="نامعتبر"),"",Sync!$M674)</f>
        <v/>
      </c>
      <c r="O674">
        <f>IF($N674="","",$Q674)</f>
        <v/>
      </c>
      <c r="P674">
        <f>IF($N674="","",LEFT($Q674,4)&amp;MID($Q674,6,2)&amp;RIGHT($Q674,2)&amp;IF(Sync!$K674="","0000",IF(AND(ISNUMBER(Sync!$K674),Sync!$K674&gt;=0,Sync!$K674&lt;1),RIGHT("00"&amp;HOUR(Sync!$K674),2)&amp;RIGHT("00"&amp;MINUTE(Sync!$K674),2),IFERROR(RIGHT("00"&amp;VALUE(LEFT(Sync!$K674,FIND(":",Sync!$K674)-1)),2)&amp;RIGHT("00"&amp;VALUE(MID(Sync!$K674,FIND(":",Sync!$K674)+1,2)),2),"0000")))&amp;"|"&amp;"2"&amp;RIGHT("00000"&amp;669,5))</f>
        <v/>
      </c>
      <c r="Q674">
        <f>IF(Sync!$J674="","",IF(ISNUMBER(Sync!$J674),IF(AND(Sync!$J674&gt;=10000101,Sync!$J674&lt;=99991231),INT(Sync!$J674/10000)&amp;"/"&amp;RIGHT("00"&amp;INT(MOD(Sync!$J674,10000)/100),2)&amp;"/"&amp;RIGHT("00"&amp;MOD(Sync!$J674,100),2),"نامعتبر"),IF(LEN(Sync!$J674)=10,Sync!$J674,"نامعتبر")))</f>
        <v/>
      </c>
      <c r="R674">
        <f>IF($P674="","",COUNTIFS($N$6:$N$2005,$N674,$P$6:$P$2005,"&lt;"&amp;$P674)+COUNTIFS($A$6:$A$1005,$N674,$B$6:$B$1005,"&lt;"&amp;$P674)+1)</f>
        <v/>
      </c>
      <c r="S674">
        <f>IF($N674="","",$N674&amp;"|"&amp;RIGHT("000000"&amp;$R674,6))</f>
        <v/>
      </c>
      <c r="T674">
        <f>IF($N674="","",IF(Sync!$N674="",0,Sync!$N674))</f>
        <v/>
      </c>
      <c r="U674">
        <f>IF($N674="","",IF(Sync!$O674="",0,Sync!$O674))</f>
        <v/>
      </c>
      <c r="V674">
        <f>IF($N674="","",Sync!$L674)</f>
        <v/>
      </c>
      <c r="W674">
        <f>IF($N674="","",Sync!$P674)</f>
        <v/>
      </c>
      <c r="AA674">
        <f>IF($A674="","",IF(COUNTIF($A$6:$A674,$A674)=1,1,0))</f>
        <v/>
      </c>
      <c r="AB674">
        <f>SUM($AA$6:$AA674)</f>
        <v/>
      </c>
      <c r="AC674">
        <f>IFERROR(INDEX($A$6:$A$1005,MATCH(ROW()-5,$AB$6:$AB$1005,0)),"")</f>
        <v/>
      </c>
    </row>
    <row r="675">
      <c r="A675">
        <f>IF(OR(Entry!$B678="",Entry!$E678="",$E675="نامعتبر"),"",Entry!$E678)</f>
        <v/>
      </c>
      <c r="B675">
        <f>IF($A675="","",LEFT($E675,4)&amp;MID($E675,6,2)&amp;RIGHT($E675,2)&amp;$F675&amp;"|"&amp;"1"&amp;RIGHT("00000"&amp;670,5))</f>
        <v/>
      </c>
      <c r="C675">
        <f>IF($B675="","",COUNTIFS($A$6:$A$1005,$A675,$B$6:$B$1005,"&lt;"&amp;$B675)+COUNTIFS($N$6:$N$2005,$A675,$P$6:$P$2005,"&lt;"&amp;$B675)+1)</f>
        <v/>
      </c>
      <c r="D675">
        <f>IF($C675="","",$A675&amp;"|"&amp;RIGHT("000000"&amp;$C675,6))</f>
        <v/>
      </c>
      <c r="E675">
        <f>IF(Entry!$B678="","",IF(ISNUMBER(Entry!$B678),IF(AND(Entry!$B678&gt;=10000101,Entry!$B678&lt;=99991231),INT(Entry!$B678/10000)&amp;"/"&amp;RIGHT("00"&amp;INT(MOD(Entry!$B678,10000)/100),2)&amp;"/"&amp;RIGHT("00"&amp;MOD(Entry!$B678,100),2),"نامعتبر"),IF(LEN(Entry!$B678)=10,Entry!$B678,"نامعتبر")))</f>
        <v/>
      </c>
      <c r="F675">
        <f>IF(Entry!$B678="","",IF(Entry!$C678="","0000",IF(AND(ISNUMBER(Entry!$C678),Entry!$C678&gt;=0,Entry!$C678&lt;1),RIGHT("00"&amp;HOUR(Entry!$C678),2)&amp;RIGHT("00"&amp;MINUTE(Entry!$C678),2),IFERROR(RIGHT("00"&amp;VALUE(LEFT(Entry!$C678,FIND(":",Entry!$C678)-1)),2)&amp;RIGHT("00"&amp;VALUE(MID(Entry!$C678,FIND(":",Entry!$C678)+1,2)),2),"0000"))))</f>
        <v/>
      </c>
      <c r="G675">
        <f>IF($A675="","",Entry!$G678)</f>
        <v/>
      </c>
      <c r="H675">
        <f>IF($A675="","",IF(Entry!$H678="",0,Entry!$H678))</f>
        <v/>
      </c>
      <c r="I675">
        <f>IF($A675="","",IF(Entry!$I678="",0,Entry!$I678))</f>
        <v/>
      </c>
      <c r="J675">
        <f>IF($A675="","",ROUND($H675*$I675,0))</f>
        <v/>
      </c>
      <c r="K675">
        <f>IF($A675="","",Entry!$D678)</f>
        <v/>
      </c>
      <c r="L675">
        <f>IF($A675="","",Entry!$L678)</f>
        <v/>
      </c>
      <c r="N675">
        <f>IF(OR(Sync!$M675="",$Q675="",$Q675="نامعتبر"),"",Sync!$M675)</f>
        <v/>
      </c>
      <c r="O675">
        <f>IF($N675="","",$Q675)</f>
        <v/>
      </c>
      <c r="P675">
        <f>IF($N675="","",LEFT($Q675,4)&amp;MID($Q675,6,2)&amp;RIGHT($Q675,2)&amp;IF(Sync!$K675="","0000",IF(AND(ISNUMBER(Sync!$K675),Sync!$K675&gt;=0,Sync!$K675&lt;1),RIGHT("00"&amp;HOUR(Sync!$K675),2)&amp;RIGHT("00"&amp;MINUTE(Sync!$K675),2),IFERROR(RIGHT("00"&amp;VALUE(LEFT(Sync!$K675,FIND(":",Sync!$K675)-1)),2)&amp;RIGHT("00"&amp;VALUE(MID(Sync!$K675,FIND(":",Sync!$K675)+1,2)),2),"0000")))&amp;"|"&amp;"2"&amp;RIGHT("00000"&amp;670,5))</f>
        <v/>
      </c>
      <c r="Q675">
        <f>IF(Sync!$J675="","",IF(ISNUMBER(Sync!$J675),IF(AND(Sync!$J675&gt;=10000101,Sync!$J675&lt;=99991231),INT(Sync!$J675/10000)&amp;"/"&amp;RIGHT("00"&amp;INT(MOD(Sync!$J675,10000)/100),2)&amp;"/"&amp;RIGHT("00"&amp;MOD(Sync!$J675,100),2),"نامعتبر"),IF(LEN(Sync!$J675)=10,Sync!$J675,"نامعتبر")))</f>
        <v/>
      </c>
      <c r="R675">
        <f>IF($P675="","",COUNTIFS($N$6:$N$2005,$N675,$P$6:$P$2005,"&lt;"&amp;$P675)+COUNTIFS($A$6:$A$1005,$N675,$B$6:$B$1005,"&lt;"&amp;$P675)+1)</f>
        <v/>
      </c>
      <c r="S675">
        <f>IF($N675="","",$N675&amp;"|"&amp;RIGHT("000000"&amp;$R675,6))</f>
        <v/>
      </c>
      <c r="T675">
        <f>IF($N675="","",IF(Sync!$N675="",0,Sync!$N675))</f>
        <v/>
      </c>
      <c r="U675">
        <f>IF($N675="","",IF(Sync!$O675="",0,Sync!$O675))</f>
        <v/>
      </c>
      <c r="V675">
        <f>IF($N675="","",Sync!$L675)</f>
        <v/>
      </c>
      <c r="W675">
        <f>IF($N675="","",Sync!$P675)</f>
        <v/>
      </c>
      <c r="AA675">
        <f>IF($A675="","",IF(COUNTIF($A$6:$A675,$A675)=1,1,0))</f>
        <v/>
      </c>
      <c r="AB675">
        <f>SUM($AA$6:$AA675)</f>
        <v/>
      </c>
      <c r="AC675">
        <f>IFERROR(INDEX($A$6:$A$1005,MATCH(ROW()-5,$AB$6:$AB$1005,0)),"")</f>
        <v/>
      </c>
    </row>
    <row r="676">
      <c r="A676">
        <f>IF(OR(Entry!$B679="",Entry!$E679="",$E676="نامعتبر"),"",Entry!$E679)</f>
        <v/>
      </c>
      <c r="B676">
        <f>IF($A676="","",LEFT($E676,4)&amp;MID($E676,6,2)&amp;RIGHT($E676,2)&amp;$F676&amp;"|"&amp;"1"&amp;RIGHT("00000"&amp;671,5))</f>
        <v/>
      </c>
      <c r="C676">
        <f>IF($B676="","",COUNTIFS($A$6:$A$1005,$A676,$B$6:$B$1005,"&lt;"&amp;$B676)+COUNTIFS($N$6:$N$2005,$A676,$P$6:$P$2005,"&lt;"&amp;$B676)+1)</f>
        <v/>
      </c>
      <c r="D676">
        <f>IF($C676="","",$A676&amp;"|"&amp;RIGHT("000000"&amp;$C676,6))</f>
        <v/>
      </c>
      <c r="E676">
        <f>IF(Entry!$B679="","",IF(ISNUMBER(Entry!$B679),IF(AND(Entry!$B679&gt;=10000101,Entry!$B679&lt;=99991231),INT(Entry!$B679/10000)&amp;"/"&amp;RIGHT("00"&amp;INT(MOD(Entry!$B679,10000)/100),2)&amp;"/"&amp;RIGHT("00"&amp;MOD(Entry!$B679,100),2),"نامعتبر"),IF(LEN(Entry!$B679)=10,Entry!$B679,"نامعتبر")))</f>
        <v/>
      </c>
      <c r="F676">
        <f>IF(Entry!$B679="","",IF(Entry!$C679="","0000",IF(AND(ISNUMBER(Entry!$C679),Entry!$C679&gt;=0,Entry!$C679&lt;1),RIGHT("00"&amp;HOUR(Entry!$C679),2)&amp;RIGHT("00"&amp;MINUTE(Entry!$C679),2),IFERROR(RIGHT("00"&amp;VALUE(LEFT(Entry!$C679,FIND(":",Entry!$C679)-1)),2)&amp;RIGHT("00"&amp;VALUE(MID(Entry!$C679,FIND(":",Entry!$C679)+1,2)),2),"0000"))))</f>
        <v/>
      </c>
      <c r="G676">
        <f>IF($A676="","",Entry!$G679)</f>
        <v/>
      </c>
      <c r="H676">
        <f>IF($A676="","",IF(Entry!$H679="",0,Entry!$H679))</f>
        <v/>
      </c>
      <c r="I676">
        <f>IF($A676="","",IF(Entry!$I679="",0,Entry!$I679))</f>
        <v/>
      </c>
      <c r="J676">
        <f>IF($A676="","",ROUND($H676*$I676,0))</f>
        <v/>
      </c>
      <c r="K676">
        <f>IF($A676="","",Entry!$D679)</f>
        <v/>
      </c>
      <c r="L676">
        <f>IF($A676="","",Entry!$L679)</f>
        <v/>
      </c>
      <c r="N676">
        <f>IF(OR(Sync!$M676="",$Q676="",$Q676="نامعتبر"),"",Sync!$M676)</f>
        <v/>
      </c>
      <c r="O676">
        <f>IF($N676="","",$Q676)</f>
        <v/>
      </c>
      <c r="P676">
        <f>IF($N676="","",LEFT($Q676,4)&amp;MID($Q676,6,2)&amp;RIGHT($Q676,2)&amp;IF(Sync!$K676="","0000",IF(AND(ISNUMBER(Sync!$K676),Sync!$K676&gt;=0,Sync!$K676&lt;1),RIGHT("00"&amp;HOUR(Sync!$K676),2)&amp;RIGHT("00"&amp;MINUTE(Sync!$K676),2),IFERROR(RIGHT("00"&amp;VALUE(LEFT(Sync!$K676,FIND(":",Sync!$K676)-1)),2)&amp;RIGHT("00"&amp;VALUE(MID(Sync!$K676,FIND(":",Sync!$K676)+1,2)),2),"0000")))&amp;"|"&amp;"2"&amp;RIGHT("00000"&amp;671,5))</f>
        <v/>
      </c>
      <c r="Q676">
        <f>IF(Sync!$J676="","",IF(ISNUMBER(Sync!$J676),IF(AND(Sync!$J676&gt;=10000101,Sync!$J676&lt;=99991231),INT(Sync!$J676/10000)&amp;"/"&amp;RIGHT("00"&amp;INT(MOD(Sync!$J676,10000)/100),2)&amp;"/"&amp;RIGHT("00"&amp;MOD(Sync!$J676,100),2),"نامعتبر"),IF(LEN(Sync!$J676)=10,Sync!$J676,"نامعتبر")))</f>
        <v/>
      </c>
      <c r="R676">
        <f>IF($P676="","",COUNTIFS($N$6:$N$2005,$N676,$P$6:$P$2005,"&lt;"&amp;$P676)+COUNTIFS($A$6:$A$1005,$N676,$B$6:$B$1005,"&lt;"&amp;$P676)+1)</f>
        <v/>
      </c>
      <c r="S676">
        <f>IF($N676="","",$N676&amp;"|"&amp;RIGHT("000000"&amp;$R676,6))</f>
        <v/>
      </c>
      <c r="T676">
        <f>IF($N676="","",IF(Sync!$N676="",0,Sync!$N676))</f>
        <v/>
      </c>
      <c r="U676">
        <f>IF($N676="","",IF(Sync!$O676="",0,Sync!$O676))</f>
        <v/>
      </c>
      <c r="V676">
        <f>IF($N676="","",Sync!$L676)</f>
        <v/>
      </c>
      <c r="W676">
        <f>IF($N676="","",Sync!$P676)</f>
        <v/>
      </c>
      <c r="AA676">
        <f>IF($A676="","",IF(COUNTIF($A$6:$A676,$A676)=1,1,0))</f>
        <v/>
      </c>
      <c r="AB676">
        <f>SUM($AA$6:$AA676)</f>
        <v/>
      </c>
      <c r="AC676">
        <f>IFERROR(INDEX($A$6:$A$1005,MATCH(ROW()-5,$AB$6:$AB$1005,0)),"")</f>
        <v/>
      </c>
    </row>
    <row r="677">
      <c r="A677">
        <f>IF(OR(Entry!$B680="",Entry!$E680="",$E677="نامعتبر"),"",Entry!$E680)</f>
        <v/>
      </c>
      <c r="B677">
        <f>IF($A677="","",LEFT($E677,4)&amp;MID($E677,6,2)&amp;RIGHT($E677,2)&amp;$F677&amp;"|"&amp;"1"&amp;RIGHT("00000"&amp;672,5))</f>
        <v/>
      </c>
      <c r="C677">
        <f>IF($B677="","",COUNTIFS($A$6:$A$1005,$A677,$B$6:$B$1005,"&lt;"&amp;$B677)+COUNTIFS($N$6:$N$2005,$A677,$P$6:$P$2005,"&lt;"&amp;$B677)+1)</f>
        <v/>
      </c>
      <c r="D677">
        <f>IF($C677="","",$A677&amp;"|"&amp;RIGHT("000000"&amp;$C677,6))</f>
        <v/>
      </c>
      <c r="E677">
        <f>IF(Entry!$B680="","",IF(ISNUMBER(Entry!$B680),IF(AND(Entry!$B680&gt;=10000101,Entry!$B680&lt;=99991231),INT(Entry!$B680/10000)&amp;"/"&amp;RIGHT("00"&amp;INT(MOD(Entry!$B680,10000)/100),2)&amp;"/"&amp;RIGHT("00"&amp;MOD(Entry!$B680,100),2),"نامعتبر"),IF(LEN(Entry!$B680)=10,Entry!$B680,"نامعتبر")))</f>
        <v/>
      </c>
      <c r="F677">
        <f>IF(Entry!$B680="","",IF(Entry!$C680="","0000",IF(AND(ISNUMBER(Entry!$C680),Entry!$C680&gt;=0,Entry!$C680&lt;1),RIGHT("00"&amp;HOUR(Entry!$C680),2)&amp;RIGHT("00"&amp;MINUTE(Entry!$C680),2),IFERROR(RIGHT("00"&amp;VALUE(LEFT(Entry!$C680,FIND(":",Entry!$C680)-1)),2)&amp;RIGHT("00"&amp;VALUE(MID(Entry!$C680,FIND(":",Entry!$C680)+1,2)),2),"0000"))))</f>
        <v/>
      </c>
      <c r="G677">
        <f>IF($A677="","",Entry!$G680)</f>
        <v/>
      </c>
      <c r="H677">
        <f>IF($A677="","",IF(Entry!$H680="",0,Entry!$H680))</f>
        <v/>
      </c>
      <c r="I677">
        <f>IF($A677="","",IF(Entry!$I680="",0,Entry!$I680))</f>
        <v/>
      </c>
      <c r="J677">
        <f>IF($A677="","",ROUND($H677*$I677,0))</f>
        <v/>
      </c>
      <c r="K677">
        <f>IF($A677="","",Entry!$D680)</f>
        <v/>
      </c>
      <c r="L677">
        <f>IF($A677="","",Entry!$L680)</f>
        <v/>
      </c>
      <c r="N677">
        <f>IF(OR(Sync!$M677="",$Q677="",$Q677="نامعتبر"),"",Sync!$M677)</f>
        <v/>
      </c>
      <c r="O677">
        <f>IF($N677="","",$Q677)</f>
        <v/>
      </c>
      <c r="P677">
        <f>IF($N677="","",LEFT($Q677,4)&amp;MID($Q677,6,2)&amp;RIGHT($Q677,2)&amp;IF(Sync!$K677="","0000",IF(AND(ISNUMBER(Sync!$K677),Sync!$K677&gt;=0,Sync!$K677&lt;1),RIGHT("00"&amp;HOUR(Sync!$K677),2)&amp;RIGHT("00"&amp;MINUTE(Sync!$K677),2),IFERROR(RIGHT("00"&amp;VALUE(LEFT(Sync!$K677,FIND(":",Sync!$K677)-1)),2)&amp;RIGHT("00"&amp;VALUE(MID(Sync!$K677,FIND(":",Sync!$K677)+1,2)),2),"0000")))&amp;"|"&amp;"2"&amp;RIGHT("00000"&amp;672,5))</f>
        <v/>
      </c>
      <c r="Q677">
        <f>IF(Sync!$J677="","",IF(ISNUMBER(Sync!$J677),IF(AND(Sync!$J677&gt;=10000101,Sync!$J677&lt;=99991231),INT(Sync!$J677/10000)&amp;"/"&amp;RIGHT("00"&amp;INT(MOD(Sync!$J677,10000)/100),2)&amp;"/"&amp;RIGHT("00"&amp;MOD(Sync!$J677,100),2),"نامعتبر"),IF(LEN(Sync!$J677)=10,Sync!$J677,"نامعتبر")))</f>
        <v/>
      </c>
      <c r="R677">
        <f>IF($P677="","",COUNTIFS($N$6:$N$2005,$N677,$P$6:$P$2005,"&lt;"&amp;$P677)+COUNTIFS($A$6:$A$1005,$N677,$B$6:$B$1005,"&lt;"&amp;$P677)+1)</f>
        <v/>
      </c>
      <c r="S677">
        <f>IF($N677="","",$N677&amp;"|"&amp;RIGHT("000000"&amp;$R677,6))</f>
        <v/>
      </c>
      <c r="T677">
        <f>IF($N677="","",IF(Sync!$N677="",0,Sync!$N677))</f>
        <v/>
      </c>
      <c r="U677">
        <f>IF($N677="","",IF(Sync!$O677="",0,Sync!$O677))</f>
        <v/>
      </c>
      <c r="V677">
        <f>IF($N677="","",Sync!$L677)</f>
        <v/>
      </c>
      <c r="W677">
        <f>IF($N677="","",Sync!$P677)</f>
        <v/>
      </c>
      <c r="AA677">
        <f>IF($A677="","",IF(COUNTIF($A$6:$A677,$A677)=1,1,0))</f>
        <v/>
      </c>
      <c r="AB677">
        <f>SUM($AA$6:$AA677)</f>
        <v/>
      </c>
      <c r="AC677">
        <f>IFERROR(INDEX($A$6:$A$1005,MATCH(ROW()-5,$AB$6:$AB$1005,0)),"")</f>
        <v/>
      </c>
    </row>
    <row r="678">
      <c r="A678">
        <f>IF(OR(Entry!$B681="",Entry!$E681="",$E678="نامعتبر"),"",Entry!$E681)</f>
        <v/>
      </c>
      <c r="B678">
        <f>IF($A678="","",LEFT($E678,4)&amp;MID($E678,6,2)&amp;RIGHT($E678,2)&amp;$F678&amp;"|"&amp;"1"&amp;RIGHT("00000"&amp;673,5))</f>
        <v/>
      </c>
      <c r="C678">
        <f>IF($B678="","",COUNTIFS($A$6:$A$1005,$A678,$B$6:$B$1005,"&lt;"&amp;$B678)+COUNTIFS($N$6:$N$2005,$A678,$P$6:$P$2005,"&lt;"&amp;$B678)+1)</f>
        <v/>
      </c>
      <c r="D678">
        <f>IF($C678="","",$A678&amp;"|"&amp;RIGHT("000000"&amp;$C678,6))</f>
        <v/>
      </c>
      <c r="E678">
        <f>IF(Entry!$B681="","",IF(ISNUMBER(Entry!$B681),IF(AND(Entry!$B681&gt;=10000101,Entry!$B681&lt;=99991231),INT(Entry!$B681/10000)&amp;"/"&amp;RIGHT("00"&amp;INT(MOD(Entry!$B681,10000)/100),2)&amp;"/"&amp;RIGHT("00"&amp;MOD(Entry!$B681,100),2),"نامعتبر"),IF(LEN(Entry!$B681)=10,Entry!$B681,"نامعتبر")))</f>
        <v/>
      </c>
      <c r="F678">
        <f>IF(Entry!$B681="","",IF(Entry!$C681="","0000",IF(AND(ISNUMBER(Entry!$C681),Entry!$C681&gt;=0,Entry!$C681&lt;1),RIGHT("00"&amp;HOUR(Entry!$C681),2)&amp;RIGHT("00"&amp;MINUTE(Entry!$C681),2),IFERROR(RIGHT("00"&amp;VALUE(LEFT(Entry!$C681,FIND(":",Entry!$C681)-1)),2)&amp;RIGHT("00"&amp;VALUE(MID(Entry!$C681,FIND(":",Entry!$C681)+1,2)),2),"0000"))))</f>
        <v/>
      </c>
      <c r="G678">
        <f>IF($A678="","",Entry!$G681)</f>
        <v/>
      </c>
      <c r="H678">
        <f>IF($A678="","",IF(Entry!$H681="",0,Entry!$H681))</f>
        <v/>
      </c>
      <c r="I678">
        <f>IF($A678="","",IF(Entry!$I681="",0,Entry!$I681))</f>
        <v/>
      </c>
      <c r="J678">
        <f>IF($A678="","",ROUND($H678*$I678,0))</f>
        <v/>
      </c>
      <c r="K678">
        <f>IF($A678="","",Entry!$D681)</f>
        <v/>
      </c>
      <c r="L678">
        <f>IF($A678="","",Entry!$L681)</f>
        <v/>
      </c>
      <c r="N678">
        <f>IF(OR(Sync!$M678="",$Q678="",$Q678="نامعتبر"),"",Sync!$M678)</f>
        <v/>
      </c>
      <c r="O678">
        <f>IF($N678="","",$Q678)</f>
        <v/>
      </c>
      <c r="P678">
        <f>IF($N678="","",LEFT($Q678,4)&amp;MID($Q678,6,2)&amp;RIGHT($Q678,2)&amp;IF(Sync!$K678="","0000",IF(AND(ISNUMBER(Sync!$K678),Sync!$K678&gt;=0,Sync!$K678&lt;1),RIGHT("00"&amp;HOUR(Sync!$K678),2)&amp;RIGHT("00"&amp;MINUTE(Sync!$K678),2),IFERROR(RIGHT("00"&amp;VALUE(LEFT(Sync!$K678,FIND(":",Sync!$K678)-1)),2)&amp;RIGHT("00"&amp;VALUE(MID(Sync!$K678,FIND(":",Sync!$K678)+1,2)),2),"0000")))&amp;"|"&amp;"2"&amp;RIGHT("00000"&amp;673,5))</f>
        <v/>
      </c>
      <c r="Q678">
        <f>IF(Sync!$J678="","",IF(ISNUMBER(Sync!$J678),IF(AND(Sync!$J678&gt;=10000101,Sync!$J678&lt;=99991231),INT(Sync!$J678/10000)&amp;"/"&amp;RIGHT("00"&amp;INT(MOD(Sync!$J678,10000)/100),2)&amp;"/"&amp;RIGHT("00"&amp;MOD(Sync!$J678,100),2),"نامعتبر"),IF(LEN(Sync!$J678)=10,Sync!$J678,"نامعتبر")))</f>
        <v/>
      </c>
      <c r="R678">
        <f>IF($P678="","",COUNTIFS($N$6:$N$2005,$N678,$P$6:$P$2005,"&lt;"&amp;$P678)+COUNTIFS($A$6:$A$1005,$N678,$B$6:$B$1005,"&lt;"&amp;$P678)+1)</f>
        <v/>
      </c>
      <c r="S678">
        <f>IF($N678="","",$N678&amp;"|"&amp;RIGHT("000000"&amp;$R678,6))</f>
        <v/>
      </c>
      <c r="T678">
        <f>IF($N678="","",IF(Sync!$N678="",0,Sync!$N678))</f>
        <v/>
      </c>
      <c r="U678">
        <f>IF($N678="","",IF(Sync!$O678="",0,Sync!$O678))</f>
        <v/>
      </c>
      <c r="V678">
        <f>IF($N678="","",Sync!$L678)</f>
        <v/>
      </c>
      <c r="W678">
        <f>IF($N678="","",Sync!$P678)</f>
        <v/>
      </c>
      <c r="AA678">
        <f>IF($A678="","",IF(COUNTIF($A$6:$A678,$A678)=1,1,0))</f>
        <v/>
      </c>
      <c r="AB678">
        <f>SUM($AA$6:$AA678)</f>
        <v/>
      </c>
      <c r="AC678">
        <f>IFERROR(INDEX($A$6:$A$1005,MATCH(ROW()-5,$AB$6:$AB$1005,0)),"")</f>
        <v/>
      </c>
    </row>
    <row r="679">
      <c r="A679">
        <f>IF(OR(Entry!$B682="",Entry!$E682="",$E679="نامعتبر"),"",Entry!$E682)</f>
        <v/>
      </c>
      <c r="B679">
        <f>IF($A679="","",LEFT($E679,4)&amp;MID($E679,6,2)&amp;RIGHT($E679,2)&amp;$F679&amp;"|"&amp;"1"&amp;RIGHT("00000"&amp;674,5))</f>
        <v/>
      </c>
      <c r="C679">
        <f>IF($B679="","",COUNTIFS($A$6:$A$1005,$A679,$B$6:$B$1005,"&lt;"&amp;$B679)+COUNTIFS($N$6:$N$2005,$A679,$P$6:$P$2005,"&lt;"&amp;$B679)+1)</f>
        <v/>
      </c>
      <c r="D679">
        <f>IF($C679="","",$A679&amp;"|"&amp;RIGHT("000000"&amp;$C679,6))</f>
        <v/>
      </c>
      <c r="E679">
        <f>IF(Entry!$B682="","",IF(ISNUMBER(Entry!$B682),IF(AND(Entry!$B682&gt;=10000101,Entry!$B682&lt;=99991231),INT(Entry!$B682/10000)&amp;"/"&amp;RIGHT("00"&amp;INT(MOD(Entry!$B682,10000)/100),2)&amp;"/"&amp;RIGHT("00"&amp;MOD(Entry!$B682,100),2),"نامعتبر"),IF(LEN(Entry!$B682)=10,Entry!$B682,"نامعتبر")))</f>
        <v/>
      </c>
      <c r="F679">
        <f>IF(Entry!$B682="","",IF(Entry!$C682="","0000",IF(AND(ISNUMBER(Entry!$C682),Entry!$C682&gt;=0,Entry!$C682&lt;1),RIGHT("00"&amp;HOUR(Entry!$C682),2)&amp;RIGHT("00"&amp;MINUTE(Entry!$C682),2),IFERROR(RIGHT("00"&amp;VALUE(LEFT(Entry!$C682,FIND(":",Entry!$C682)-1)),2)&amp;RIGHT("00"&amp;VALUE(MID(Entry!$C682,FIND(":",Entry!$C682)+1,2)),2),"0000"))))</f>
        <v/>
      </c>
      <c r="G679">
        <f>IF($A679="","",Entry!$G682)</f>
        <v/>
      </c>
      <c r="H679">
        <f>IF($A679="","",IF(Entry!$H682="",0,Entry!$H682))</f>
        <v/>
      </c>
      <c r="I679">
        <f>IF($A679="","",IF(Entry!$I682="",0,Entry!$I682))</f>
        <v/>
      </c>
      <c r="J679">
        <f>IF($A679="","",ROUND($H679*$I679,0))</f>
        <v/>
      </c>
      <c r="K679">
        <f>IF($A679="","",Entry!$D682)</f>
        <v/>
      </c>
      <c r="L679">
        <f>IF($A679="","",Entry!$L682)</f>
        <v/>
      </c>
      <c r="N679">
        <f>IF(OR(Sync!$M679="",$Q679="",$Q679="نامعتبر"),"",Sync!$M679)</f>
        <v/>
      </c>
      <c r="O679">
        <f>IF($N679="","",$Q679)</f>
        <v/>
      </c>
      <c r="P679">
        <f>IF($N679="","",LEFT($Q679,4)&amp;MID($Q679,6,2)&amp;RIGHT($Q679,2)&amp;IF(Sync!$K679="","0000",IF(AND(ISNUMBER(Sync!$K679),Sync!$K679&gt;=0,Sync!$K679&lt;1),RIGHT("00"&amp;HOUR(Sync!$K679),2)&amp;RIGHT("00"&amp;MINUTE(Sync!$K679),2),IFERROR(RIGHT("00"&amp;VALUE(LEFT(Sync!$K679,FIND(":",Sync!$K679)-1)),2)&amp;RIGHT("00"&amp;VALUE(MID(Sync!$K679,FIND(":",Sync!$K679)+1,2)),2),"0000")))&amp;"|"&amp;"2"&amp;RIGHT("00000"&amp;674,5))</f>
        <v/>
      </c>
      <c r="Q679">
        <f>IF(Sync!$J679="","",IF(ISNUMBER(Sync!$J679),IF(AND(Sync!$J679&gt;=10000101,Sync!$J679&lt;=99991231),INT(Sync!$J679/10000)&amp;"/"&amp;RIGHT("00"&amp;INT(MOD(Sync!$J679,10000)/100),2)&amp;"/"&amp;RIGHT("00"&amp;MOD(Sync!$J679,100),2),"نامعتبر"),IF(LEN(Sync!$J679)=10,Sync!$J679,"نامعتبر")))</f>
        <v/>
      </c>
      <c r="R679">
        <f>IF($P679="","",COUNTIFS($N$6:$N$2005,$N679,$P$6:$P$2005,"&lt;"&amp;$P679)+COUNTIFS($A$6:$A$1005,$N679,$B$6:$B$1005,"&lt;"&amp;$P679)+1)</f>
        <v/>
      </c>
      <c r="S679">
        <f>IF($N679="","",$N679&amp;"|"&amp;RIGHT("000000"&amp;$R679,6))</f>
        <v/>
      </c>
      <c r="T679">
        <f>IF($N679="","",IF(Sync!$N679="",0,Sync!$N679))</f>
        <v/>
      </c>
      <c r="U679">
        <f>IF($N679="","",IF(Sync!$O679="",0,Sync!$O679))</f>
        <v/>
      </c>
      <c r="V679">
        <f>IF($N679="","",Sync!$L679)</f>
        <v/>
      </c>
      <c r="W679">
        <f>IF($N679="","",Sync!$P679)</f>
        <v/>
      </c>
      <c r="AA679">
        <f>IF($A679="","",IF(COUNTIF($A$6:$A679,$A679)=1,1,0))</f>
        <v/>
      </c>
      <c r="AB679">
        <f>SUM($AA$6:$AA679)</f>
        <v/>
      </c>
      <c r="AC679">
        <f>IFERROR(INDEX($A$6:$A$1005,MATCH(ROW()-5,$AB$6:$AB$1005,0)),"")</f>
        <v/>
      </c>
    </row>
    <row r="680">
      <c r="A680">
        <f>IF(OR(Entry!$B683="",Entry!$E683="",$E680="نامعتبر"),"",Entry!$E683)</f>
        <v/>
      </c>
      <c r="B680">
        <f>IF($A680="","",LEFT($E680,4)&amp;MID($E680,6,2)&amp;RIGHT($E680,2)&amp;$F680&amp;"|"&amp;"1"&amp;RIGHT("00000"&amp;675,5))</f>
        <v/>
      </c>
      <c r="C680">
        <f>IF($B680="","",COUNTIFS($A$6:$A$1005,$A680,$B$6:$B$1005,"&lt;"&amp;$B680)+COUNTIFS($N$6:$N$2005,$A680,$P$6:$P$2005,"&lt;"&amp;$B680)+1)</f>
        <v/>
      </c>
      <c r="D680">
        <f>IF($C680="","",$A680&amp;"|"&amp;RIGHT("000000"&amp;$C680,6))</f>
        <v/>
      </c>
      <c r="E680">
        <f>IF(Entry!$B683="","",IF(ISNUMBER(Entry!$B683),IF(AND(Entry!$B683&gt;=10000101,Entry!$B683&lt;=99991231),INT(Entry!$B683/10000)&amp;"/"&amp;RIGHT("00"&amp;INT(MOD(Entry!$B683,10000)/100),2)&amp;"/"&amp;RIGHT("00"&amp;MOD(Entry!$B683,100),2),"نامعتبر"),IF(LEN(Entry!$B683)=10,Entry!$B683,"نامعتبر")))</f>
        <v/>
      </c>
      <c r="F680">
        <f>IF(Entry!$B683="","",IF(Entry!$C683="","0000",IF(AND(ISNUMBER(Entry!$C683),Entry!$C683&gt;=0,Entry!$C683&lt;1),RIGHT("00"&amp;HOUR(Entry!$C683),2)&amp;RIGHT("00"&amp;MINUTE(Entry!$C683),2),IFERROR(RIGHT("00"&amp;VALUE(LEFT(Entry!$C683,FIND(":",Entry!$C683)-1)),2)&amp;RIGHT("00"&amp;VALUE(MID(Entry!$C683,FIND(":",Entry!$C683)+1,2)),2),"0000"))))</f>
        <v/>
      </c>
      <c r="G680">
        <f>IF($A680="","",Entry!$G683)</f>
        <v/>
      </c>
      <c r="H680">
        <f>IF($A680="","",IF(Entry!$H683="",0,Entry!$H683))</f>
        <v/>
      </c>
      <c r="I680">
        <f>IF($A680="","",IF(Entry!$I683="",0,Entry!$I683))</f>
        <v/>
      </c>
      <c r="J680">
        <f>IF($A680="","",ROUND($H680*$I680,0))</f>
        <v/>
      </c>
      <c r="K680">
        <f>IF($A680="","",Entry!$D683)</f>
        <v/>
      </c>
      <c r="L680">
        <f>IF($A680="","",Entry!$L683)</f>
        <v/>
      </c>
      <c r="N680">
        <f>IF(OR(Sync!$M680="",$Q680="",$Q680="نامعتبر"),"",Sync!$M680)</f>
        <v/>
      </c>
      <c r="O680">
        <f>IF($N680="","",$Q680)</f>
        <v/>
      </c>
      <c r="P680">
        <f>IF($N680="","",LEFT($Q680,4)&amp;MID($Q680,6,2)&amp;RIGHT($Q680,2)&amp;IF(Sync!$K680="","0000",IF(AND(ISNUMBER(Sync!$K680),Sync!$K680&gt;=0,Sync!$K680&lt;1),RIGHT("00"&amp;HOUR(Sync!$K680),2)&amp;RIGHT("00"&amp;MINUTE(Sync!$K680),2),IFERROR(RIGHT("00"&amp;VALUE(LEFT(Sync!$K680,FIND(":",Sync!$K680)-1)),2)&amp;RIGHT("00"&amp;VALUE(MID(Sync!$K680,FIND(":",Sync!$K680)+1,2)),2),"0000")))&amp;"|"&amp;"2"&amp;RIGHT("00000"&amp;675,5))</f>
        <v/>
      </c>
      <c r="Q680">
        <f>IF(Sync!$J680="","",IF(ISNUMBER(Sync!$J680),IF(AND(Sync!$J680&gt;=10000101,Sync!$J680&lt;=99991231),INT(Sync!$J680/10000)&amp;"/"&amp;RIGHT("00"&amp;INT(MOD(Sync!$J680,10000)/100),2)&amp;"/"&amp;RIGHT("00"&amp;MOD(Sync!$J680,100),2),"نامعتبر"),IF(LEN(Sync!$J680)=10,Sync!$J680,"نامعتبر")))</f>
        <v/>
      </c>
      <c r="R680">
        <f>IF($P680="","",COUNTIFS($N$6:$N$2005,$N680,$P$6:$P$2005,"&lt;"&amp;$P680)+COUNTIFS($A$6:$A$1005,$N680,$B$6:$B$1005,"&lt;"&amp;$P680)+1)</f>
        <v/>
      </c>
      <c r="S680">
        <f>IF($N680="","",$N680&amp;"|"&amp;RIGHT("000000"&amp;$R680,6))</f>
        <v/>
      </c>
      <c r="T680">
        <f>IF($N680="","",IF(Sync!$N680="",0,Sync!$N680))</f>
        <v/>
      </c>
      <c r="U680">
        <f>IF($N680="","",IF(Sync!$O680="",0,Sync!$O680))</f>
        <v/>
      </c>
      <c r="V680">
        <f>IF($N680="","",Sync!$L680)</f>
        <v/>
      </c>
      <c r="W680">
        <f>IF($N680="","",Sync!$P680)</f>
        <v/>
      </c>
      <c r="AA680">
        <f>IF($A680="","",IF(COUNTIF($A$6:$A680,$A680)=1,1,0))</f>
        <v/>
      </c>
      <c r="AB680">
        <f>SUM($AA$6:$AA680)</f>
        <v/>
      </c>
      <c r="AC680">
        <f>IFERROR(INDEX($A$6:$A$1005,MATCH(ROW()-5,$AB$6:$AB$1005,0)),"")</f>
        <v/>
      </c>
    </row>
    <row r="681">
      <c r="A681">
        <f>IF(OR(Entry!$B684="",Entry!$E684="",$E681="نامعتبر"),"",Entry!$E684)</f>
        <v/>
      </c>
      <c r="B681">
        <f>IF($A681="","",LEFT($E681,4)&amp;MID($E681,6,2)&amp;RIGHT($E681,2)&amp;$F681&amp;"|"&amp;"1"&amp;RIGHT("00000"&amp;676,5))</f>
        <v/>
      </c>
      <c r="C681">
        <f>IF($B681="","",COUNTIFS($A$6:$A$1005,$A681,$B$6:$B$1005,"&lt;"&amp;$B681)+COUNTIFS($N$6:$N$2005,$A681,$P$6:$P$2005,"&lt;"&amp;$B681)+1)</f>
        <v/>
      </c>
      <c r="D681">
        <f>IF($C681="","",$A681&amp;"|"&amp;RIGHT("000000"&amp;$C681,6))</f>
        <v/>
      </c>
      <c r="E681">
        <f>IF(Entry!$B684="","",IF(ISNUMBER(Entry!$B684),IF(AND(Entry!$B684&gt;=10000101,Entry!$B684&lt;=99991231),INT(Entry!$B684/10000)&amp;"/"&amp;RIGHT("00"&amp;INT(MOD(Entry!$B684,10000)/100),2)&amp;"/"&amp;RIGHT("00"&amp;MOD(Entry!$B684,100),2),"نامعتبر"),IF(LEN(Entry!$B684)=10,Entry!$B684,"نامعتبر")))</f>
        <v/>
      </c>
      <c r="F681">
        <f>IF(Entry!$B684="","",IF(Entry!$C684="","0000",IF(AND(ISNUMBER(Entry!$C684),Entry!$C684&gt;=0,Entry!$C684&lt;1),RIGHT("00"&amp;HOUR(Entry!$C684),2)&amp;RIGHT("00"&amp;MINUTE(Entry!$C684),2),IFERROR(RIGHT("00"&amp;VALUE(LEFT(Entry!$C684,FIND(":",Entry!$C684)-1)),2)&amp;RIGHT("00"&amp;VALUE(MID(Entry!$C684,FIND(":",Entry!$C684)+1,2)),2),"0000"))))</f>
        <v/>
      </c>
      <c r="G681">
        <f>IF($A681="","",Entry!$G684)</f>
        <v/>
      </c>
      <c r="H681">
        <f>IF($A681="","",IF(Entry!$H684="",0,Entry!$H684))</f>
        <v/>
      </c>
      <c r="I681">
        <f>IF($A681="","",IF(Entry!$I684="",0,Entry!$I684))</f>
        <v/>
      </c>
      <c r="J681">
        <f>IF($A681="","",ROUND($H681*$I681,0))</f>
        <v/>
      </c>
      <c r="K681">
        <f>IF($A681="","",Entry!$D684)</f>
        <v/>
      </c>
      <c r="L681">
        <f>IF($A681="","",Entry!$L684)</f>
        <v/>
      </c>
      <c r="N681">
        <f>IF(OR(Sync!$M681="",$Q681="",$Q681="نامعتبر"),"",Sync!$M681)</f>
        <v/>
      </c>
      <c r="O681">
        <f>IF($N681="","",$Q681)</f>
        <v/>
      </c>
      <c r="P681">
        <f>IF($N681="","",LEFT($Q681,4)&amp;MID($Q681,6,2)&amp;RIGHT($Q681,2)&amp;IF(Sync!$K681="","0000",IF(AND(ISNUMBER(Sync!$K681),Sync!$K681&gt;=0,Sync!$K681&lt;1),RIGHT("00"&amp;HOUR(Sync!$K681),2)&amp;RIGHT("00"&amp;MINUTE(Sync!$K681),2),IFERROR(RIGHT("00"&amp;VALUE(LEFT(Sync!$K681,FIND(":",Sync!$K681)-1)),2)&amp;RIGHT("00"&amp;VALUE(MID(Sync!$K681,FIND(":",Sync!$K681)+1,2)),2),"0000")))&amp;"|"&amp;"2"&amp;RIGHT("00000"&amp;676,5))</f>
        <v/>
      </c>
      <c r="Q681">
        <f>IF(Sync!$J681="","",IF(ISNUMBER(Sync!$J681),IF(AND(Sync!$J681&gt;=10000101,Sync!$J681&lt;=99991231),INT(Sync!$J681/10000)&amp;"/"&amp;RIGHT("00"&amp;INT(MOD(Sync!$J681,10000)/100),2)&amp;"/"&amp;RIGHT("00"&amp;MOD(Sync!$J681,100),2),"نامعتبر"),IF(LEN(Sync!$J681)=10,Sync!$J681,"نامعتبر")))</f>
        <v/>
      </c>
      <c r="R681">
        <f>IF($P681="","",COUNTIFS($N$6:$N$2005,$N681,$P$6:$P$2005,"&lt;"&amp;$P681)+COUNTIFS($A$6:$A$1005,$N681,$B$6:$B$1005,"&lt;"&amp;$P681)+1)</f>
        <v/>
      </c>
      <c r="S681">
        <f>IF($N681="","",$N681&amp;"|"&amp;RIGHT("000000"&amp;$R681,6))</f>
        <v/>
      </c>
      <c r="T681">
        <f>IF($N681="","",IF(Sync!$N681="",0,Sync!$N681))</f>
        <v/>
      </c>
      <c r="U681">
        <f>IF($N681="","",IF(Sync!$O681="",0,Sync!$O681))</f>
        <v/>
      </c>
      <c r="V681">
        <f>IF($N681="","",Sync!$L681)</f>
        <v/>
      </c>
      <c r="W681">
        <f>IF($N681="","",Sync!$P681)</f>
        <v/>
      </c>
      <c r="AA681">
        <f>IF($A681="","",IF(COUNTIF($A$6:$A681,$A681)=1,1,0))</f>
        <v/>
      </c>
      <c r="AB681">
        <f>SUM($AA$6:$AA681)</f>
        <v/>
      </c>
      <c r="AC681">
        <f>IFERROR(INDEX($A$6:$A$1005,MATCH(ROW()-5,$AB$6:$AB$1005,0)),"")</f>
        <v/>
      </c>
    </row>
    <row r="682">
      <c r="A682">
        <f>IF(OR(Entry!$B685="",Entry!$E685="",$E682="نامعتبر"),"",Entry!$E685)</f>
        <v/>
      </c>
      <c r="B682">
        <f>IF($A682="","",LEFT($E682,4)&amp;MID($E682,6,2)&amp;RIGHT($E682,2)&amp;$F682&amp;"|"&amp;"1"&amp;RIGHT("00000"&amp;677,5))</f>
        <v/>
      </c>
      <c r="C682">
        <f>IF($B682="","",COUNTIFS($A$6:$A$1005,$A682,$B$6:$B$1005,"&lt;"&amp;$B682)+COUNTIFS($N$6:$N$2005,$A682,$P$6:$P$2005,"&lt;"&amp;$B682)+1)</f>
        <v/>
      </c>
      <c r="D682">
        <f>IF($C682="","",$A682&amp;"|"&amp;RIGHT("000000"&amp;$C682,6))</f>
        <v/>
      </c>
      <c r="E682">
        <f>IF(Entry!$B685="","",IF(ISNUMBER(Entry!$B685),IF(AND(Entry!$B685&gt;=10000101,Entry!$B685&lt;=99991231),INT(Entry!$B685/10000)&amp;"/"&amp;RIGHT("00"&amp;INT(MOD(Entry!$B685,10000)/100),2)&amp;"/"&amp;RIGHT("00"&amp;MOD(Entry!$B685,100),2),"نامعتبر"),IF(LEN(Entry!$B685)=10,Entry!$B685,"نامعتبر")))</f>
        <v/>
      </c>
      <c r="F682">
        <f>IF(Entry!$B685="","",IF(Entry!$C685="","0000",IF(AND(ISNUMBER(Entry!$C685),Entry!$C685&gt;=0,Entry!$C685&lt;1),RIGHT("00"&amp;HOUR(Entry!$C685),2)&amp;RIGHT("00"&amp;MINUTE(Entry!$C685),2),IFERROR(RIGHT("00"&amp;VALUE(LEFT(Entry!$C685,FIND(":",Entry!$C685)-1)),2)&amp;RIGHT("00"&amp;VALUE(MID(Entry!$C685,FIND(":",Entry!$C685)+1,2)),2),"0000"))))</f>
        <v/>
      </c>
      <c r="G682">
        <f>IF($A682="","",Entry!$G685)</f>
        <v/>
      </c>
      <c r="H682">
        <f>IF($A682="","",IF(Entry!$H685="",0,Entry!$H685))</f>
        <v/>
      </c>
      <c r="I682">
        <f>IF($A682="","",IF(Entry!$I685="",0,Entry!$I685))</f>
        <v/>
      </c>
      <c r="J682">
        <f>IF($A682="","",ROUND($H682*$I682,0))</f>
        <v/>
      </c>
      <c r="K682">
        <f>IF($A682="","",Entry!$D685)</f>
        <v/>
      </c>
      <c r="L682">
        <f>IF($A682="","",Entry!$L685)</f>
        <v/>
      </c>
      <c r="N682">
        <f>IF(OR(Sync!$M682="",$Q682="",$Q682="نامعتبر"),"",Sync!$M682)</f>
        <v/>
      </c>
      <c r="O682">
        <f>IF($N682="","",$Q682)</f>
        <v/>
      </c>
      <c r="P682">
        <f>IF($N682="","",LEFT($Q682,4)&amp;MID($Q682,6,2)&amp;RIGHT($Q682,2)&amp;IF(Sync!$K682="","0000",IF(AND(ISNUMBER(Sync!$K682),Sync!$K682&gt;=0,Sync!$K682&lt;1),RIGHT("00"&amp;HOUR(Sync!$K682),2)&amp;RIGHT("00"&amp;MINUTE(Sync!$K682),2),IFERROR(RIGHT("00"&amp;VALUE(LEFT(Sync!$K682,FIND(":",Sync!$K682)-1)),2)&amp;RIGHT("00"&amp;VALUE(MID(Sync!$K682,FIND(":",Sync!$K682)+1,2)),2),"0000")))&amp;"|"&amp;"2"&amp;RIGHT("00000"&amp;677,5))</f>
        <v/>
      </c>
      <c r="Q682">
        <f>IF(Sync!$J682="","",IF(ISNUMBER(Sync!$J682),IF(AND(Sync!$J682&gt;=10000101,Sync!$J682&lt;=99991231),INT(Sync!$J682/10000)&amp;"/"&amp;RIGHT("00"&amp;INT(MOD(Sync!$J682,10000)/100),2)&amp;"/"&amp;RIGHT("00"&amp;MOD(Sync!$J682,100),2),"نامعتبر"),IF(LEN(Sync!$J682)=10,Sync!$J682,"نامعتبر")))</f>
        <v/>
      </c>
      <c r="R682">
        <f>IF($P682="","",COUNTIFS($N$6:$N$2005,$N682,$P$6:$P$2005,"&lt;"&amp;$P682)+COUNTIFS($A$6:$A$1005,$N682,$B$6:$B$1005,"&lt;"&amp;$P682)+1)</f>
        <v/>
      </c>
      <c r="S682">
        <f>IF($N682="","",$N682&amp;"|"&amp;RIGHT("000000"&amp;$R682,6))</f>
        <v/>
      </c>
      <c r="T682">
        <f>IF($N682="","",IF(Sync!$N682="",0,Sync!$N682))</f>
        <v/>
      </c>
      <c r="U682">
        <f>IF($N682="","",IF(Sync!$O682="",0,Sync!$O682))</f>
        <v/>
      </c>
      <c r="V682">
        <f>IF($N682="","",Sync!$L682)</f>
        <v/>
      </c>
      <c r="W682">
        <f>IF($N682="","",Sync!$P682)</f>
        <v/>
      </c>
      <c r="AA682">
        <f>IF($A682="","",IF(COUNTIF($A$6:$A682,$A682)=1,1,0))</f>
        <v/>
      </c>
      <c r="AB682">
        <f>SUM($AA$6:$AA682)</f>
        <v/>
      </c>
      <c r="AC682">
        <f>IFERROR(INDEX($A$6:$A$1005,MATCH(ROW()-5,$AB$6:$AB$1005,0)),"")</f>
        <v/>
      </c>
    </row>
    <row r="683">
      <c r="A683">
        <f>IF(OR(Entry!$B686="",Entry!$E686="",$E683="نامعتبر"),"",Entry!$E686)</f>
        <v/>
      </c>
      <c r="B683">
        <f>IF($A683="","",LEFT($E683,4)&amp;MID($E683,6,2)&amp;RIGHT($E683,2)&amp;$F683&amp;"|"&amp;"1"&amp;RIGHT("00000"&amp;678,5))</f>
        <v/>
      </c>
      <c r="C683">
        <f>IF($B683="","",COUNTIFS($A$6:$A$1005,$A683,$B$6:$B$1005,"&lt;"&amp;$B683)+COUNTIFS($N$6:$N$2005,$A683,$P$6:$P$2005,"&lt;"&amp;$B683)+1)</f>
        <v/>
      </c>
      <c r="D683">
        <f>IF($C683="","",$A683&amp;"|"&amp;RIGHT("000000"&amp;$C683,6))</f>
        <v/>
      </c>
      <c r="E683">
        <f>IF(Entry!$B686="","",IF(ISNUMBER(Entry!$B686),IF(AND(Entry!$B686&gt;=10000101,Entry!$B686&lt;=99991231),INT(Entry!$B686/10000)&amp;"/"&amp;RIGHT("00"&amp;INT(MOD(Entry!$B686,10000)/100),2)&amp;"/"&amp;RIGHT("00"&amp;MOD(Entry!$B686,100),2),"نامعتبر"),IF(LEN(Entry!$B686)=10,Entry!$B686,"نامعتبر")))</f>
        <v/>
      </c>
      <c r="F683">
        <f>IF(Entry!$B686="","",IF(Entry!$C686="","0000",IF(AND(ISNUMBER(Entry!$C686),Entry!$C686&gt;=0,Entry!$C686&lt;1),RIGHT("00"&amp;HOUR(Entry!$C686),2)&amp;RIGHT("00"&amp;MINUTE(Entry!$C686),2),IFERROR(RIGHT("00"&amp;VALUE(LEFT(Entry!$C686,FIND(":",Entry!$C686)-1)),2)&amp;RIGHT("00"&amp;VALUE(MID(Entry!$C686,FIND(":",Entry!$C686)+1,2)),2),"0000"))))</f>
        <v/>
      </c>
      <c r="G683">
        <f>IF($A683="","",Entry!$G686)</f>
        <v/>
      </c>
      <c r="H683">
        <f>IF($A683="","",IF(Entry!$H686="",0,Entry!$H686))</f>
        <v/>
      </c>
      <c r="I683">
        <f>IF($A683="","",IF(Entry!$I686="",0,Entry!$I686))</f>
        <v/>
      </c>
      <c r="J683">
        <f>IF($A683="","",ROUND($H683*$I683,0))</f>
        <v/>
      </c>
      <c r="K683">
        <f>IF($A683="","",Entry!$D686)</f>
        <v/>
      </c>
      <c r="L683">
        <f>IF($A683="","",Entry!$L686)</f>
        <v/>
      </c>
      <c r="N683">
        <f>IF(OR(Sync!$M683="",$Q683="",$Q683="نامعتبر"),"",Sync!$M683)</f>
        <v/>
      </c>
      <c r="O683">
        <f>IF($N683="","",$Q683)</f>
        <v/>
      </c>
      <c r="P683">
        <f>IF($N683="","",LEFT($Q683,4)&amp;MID($Q683,6,2)&amp;RIGHT($Q683,2)&amp;IF(Sync!$K683="","0000",IF(AND(ISNUMBER(Sync!$K683),Sync!$K683&gt;=0,Sync!$K683&lt;1),RIGHT("00"&amp;HOUR(Sync!$K683),2)&amp;RIGHT("00"&amp;MINUTE(Sync!$K683),2),IFERROR(RIGHT("00"&amp;VALUE(LEFT(Sync!$K683,FIND(":",Sync!$K683)-1)),2)&amp;RIGHT("00"&amp;VALUE(MID(Sync!$K683,FIND(":",Sync!$K683)+1,2)),2),"0000")))&amp;"|"&amp;"2"&amp;RIGHT("00000"&amp;678,5))</f>
        <v/>
      </c>
      <c r="Q683">
        <f>IF(Sync!$J683="","",IF(ISNUMBER(Sync!$J683),IF(AND(Sync!$J683&gt;=10000101,Sync!$J683&lt;=99991231),INT(Sync!$J683/10000)&amp;"/"&amp;RIGHT("00"&amp;INT(MOD(Sync!$J683,10000)/100),2)&amp;"/"&amp;RIGHT("00"&amp;MOD(Sync!$J683,100),2),"نامعتبر"),IF(LEN(Sync!$J683)=10,Sync!$J683,"نامعتبر")))</f>
        <v/>
      </c>
      <c r="R683">
        <f>IF($P683="","",COUNTIFS($N$6:$N$2005,$N683,$P$6:$P$2005,"&lt;"&amp;$P683)+COUNTIFS($A$6:$A$1005,$N683,$B$6:$B$1005,"&lt;"&amp;$P683)+1)</f>
        <v/>
      </c>
      <c r="S683">
        <f>IF($N683="","",$N683&amp;"|"&amp;RIGHT("000000"&amp;$R683,6))</f>
        <v/>
      </c>
      <c r="T683">
        <f>IF($N683="","",IF(Sync!$N683="",0,Sync!$N683))</f>
        <v/>
      </c>
      <c r="U683">
        <f>IF($N683="","",IF(Sync!$O683="",0,Sync!$O683))</f>
        <v/>
      </c>
      <c r="V683">
        <f>IF($N683="","",Sync!$L683)</f>
        <v/>
      </c>
      <c r="W683">
        <f>IF($N683="","",Sync!$P683)</f>
        <v/>
      </c>
      <c r="AA683">
        <f>IF($A683="","",IF(COUNTIF($A$6:$A683,$A683)=1,1,0))</f>
        <v/>
      </c>
      <c r="AB683">
        <f>SUM($AA$6:$AA683)</f>
        <v/>
      </c>
      <c r="AC683">
        <f>IFERROR(INDEX($A$6:$A$1005,MATCH(ROW()-5,$AB$6:$AB$1005,0)),"")</f>
        <v/>
      </c>
    </row>
    <row r="684">
      <c r="A684">
        <f>IF(OR(Entry!$B687="",Entry!$E687="",$E684="نامعتبر"),"",Entry!$E687)</f>
        <v/>
      </c>
      <c r="B684">
        <f>IF($A684="","",LEFT($E684,4)&amp;MID($E684,6,2)&amp;RIGHT($E684,2)&amp;$F684&amp;"|"&amp;"1"&amp;RIGHT("00000"&amp;679,5))</f>
        <v/>
      </c>
      <c r="C684">
        <f>IF($B684="","",COUNTIFS($A$6:$A$1005,$A684,$B$6:$B$1005,"&lt;"&amp;$B684)+COUNTIFS($N$6:$N$2005,$A684,$P$6:$P$2005,"&lt;"&amp;$B684)+1)</f>
        <v/>
      </c>
      <c r="D684">
        <f>IF($C684="","",$A684&amp;"|"&amp;RIGHT("000000"&amp;$C684,6))</f>
        <v/>
      </c>
      <c r="E684">
        <f>IF(Entry!$B687="","",IF(ISNUMBER(Entry!$B687),IF(AND(Entry!$B687&gt;=10000101,Entry!$B687&lt;=99991231),INT(Entry!$B687/10000)&amp;"/"&amp;RIGHT("00"&amp;INT(MOD(Entry!$B687,10000)/100),2)&amp;"/"&amp;RIGHT("00"&amp;MOD(Entry!$B687,100),2),"نامعتبر"),IF(LEN(Entry!$B687)=10,Entry!$B687,"نامعتبر")))</f>
        <v/>
      </c>
      <c r="F684">
        <f>IF(Entry!$B687="","",IF(Entry!$C687="","0000",IF(AND(ISNUMBER(Entry!$C687),Entry!$C687&gt;=0,Entry!$C687&lt;1),RIGHT("00"&amp;HOUR(Entry!$C687),2)&amp;RIGHT("00"&amp;MINUTE(Entry!$C687),2),IFERROR(RIGHT("00"&amp;VALUE(LEFT(Entry!$C687,FIND(":",Entry!$C687)-1)),2)&amp;RIGHT("00"&amp;VALUE(MID(Entry!$C687,FIND(":",Entry!$C687)+1,2)),2),"0000"))))</f>
        <v/>
      </c>
      <c r="G684">
        <f>IF($A684="","",Entry!$G687)</f>
        <v/>
      </c>
      <c r="H684">
        <f>IF($A684="","",IF(Entry!$H687="",0,Entry!$H687))</f>
        <v/>
      </c>
      <c r="I684">
        <f>IF($A684="","",IF(Entry!$I687="",0,Entry!$I687))</f>
        <v/>
      </c>
      <c r="J684">
        <f>IF($A684="","",ROUND($H684*$I684,0))</f>
        <v/>
      </c>
      <c r="K684">
        <f>IF($A684="","",Entry!$D687)</f>
        <v/>
      </c>
      <c r="L684">
        <f>IF($A684="","",Entry!$L687)</f>
        <v/>
      </c>
      <c r="N684">
        <f>IF(OR(Sync!$M684="",$Q684="",$Q684="نامعتبر"),"",Sync!$M684)</f>
        <v/>
      </c>
      <c r="O684">
        <f>IF($N684="","",$Q684)</f>
        <v/>
      </c>
      <c r="P684">
        <f>IF($N684="","",LEFT($Q684,4)&amp;MID($Q684,6,2)&amp;RIGHT($Q684,2)&amp;IF(Sync!$K684="","0000",IF(AND(ISNUMBER(Sync!$K684),Sync!$K684&gt;=0,Sync!$K684&lt;1),RIGHT("00"&amp;HOUR(Sync!$K684),2)&amp;RIGHT("00"&amp;MINUTE(Sync!$K684),2),IFERROR(RIGHT("00"&amp;VALUE(LEFT(Sync!$K684,FIND(":",Sync!$K684)-1)),2)&amp;RIGHT("00"&amp;VALUE(MID(Sync!$K684,FIND(":",Sync!$K684)+1,2)),2),"0000")))&amp;"|"&amp;"2"&amp;RIGHT("00000"&amp;679,5))</f>
        <v/>
      </c>
      <c r="Q684">
        <f>IF(Sync!$J684="","",IF(ISNUMBER(Sync!$J684),IF(AND(Sync!$J684&gt;=10000101,Sync!$J684&lt;=99991231),INT(Sync!$J684/10000)&amp;"/"&amp;RIGHT("00"&amp;INT(MOD(Sync!$J684,10000)/100),2)&amp;"/"&amp;RIGHT("00"&amp;MOD(Sync!$J684,100),2),"نامعتبر"),IF(LEN(Sync!$J684)=10,Sync!$J684,"نامعتبر")))</f>
        <v/>
      </c>
      <c r="R684">
        <f>IF($P684="","",COUNTIFS($N$6:$N$2005,$N684,$P$6:$P$2005,"&lt;"&amp;$P684)+COUNTIFS($A$6:$A$1005,$N684,$B$6:$B$1005,"&lt;"&amp;$P684)+1)</f>
        <v/>
      </c>
      <c r="S684">
        <f>IF($N684="","",$N684&amp;"|"&amp;RIGHT("000000"&amp;$R684,6))</f>
        <v/>
      </c>
      <c r="T684">
        <f>IF($N684="","",IF(Sync!$N684="",0,Sync!$N684))</f>
        <v/>
      </c>
      <c r="U684">
        <f>IF($N684="","",IF(Sync!$O684="",0,Sync!$O684))</f>
        <v/>
      </c>
      <c r="V684">
        <f>IF($N684="","",Sync!$L684)</f>
        <v/>
      </c>
      <c r="W684">
        <f>IF($N684="","",Sync!$P684)</f>
        <v/>
      </c>
      <c r="AA684">
        <f>IF($A684="","",IF(COUNTIF($A$6:$A684,$A684)=1,1,0))</f>
        <v/>
      </c>
      <c r="AB684">
        <f>SUM($AA$6:$AA684)</f>
        <v/>
      </c>
      <c r="AC684">
        <f>IFERROR(INDEX($A$6:$A$1005,MATCH(ROW()-5,$AB$6:$AB$1005,0)),"")</f>
        <v/>
      </c>
    </row>
    <row r="685">
      <c r="A685">
        <f>IF(OR(Entry!$B688="",Entry!$E688="",$E685="نامعتبر"),"",Entry!$E688)</f>
        <v/>
      </c>
      <c r="B685">
        <f>IF($A685="","",LEFT($E685,4)&amp;MID($E685,6,2)&amp;RIGHT($E685,2)&amp;$F685&amp;"|"&amp;"1"&amp;RIGHT("00000"&amp;680,5))</f>
        <v/>
      </c>
      <c r="C685">
        <f>IF($B685="","",COUNTIFS($A$6:$A$1005,$A685,$B$6:$B$1005,"&lt;"&amp;$B685)+COUNTIFS($N$6:$N$2005,$A685,$P$6:$P$2005,"&lt;"&amp;$B685)+1)</f>
        <v/>
      </c>
      <c r="D685">
        <f>IF($C685="","",$A685&amp;"|"&amp;RIGHT("000000"&amp;$C685,6))</f>
        <v/>
      </c>
      <c r="E685">
        <f>IF(Entry!$B688="","",IF(ISNUMBER(Entry!$B688),IF(AND(Entry!$B688&gt;=10000101,Entry!$B688&lt;=99991231),INT(Entry!$B688/10000)&amp;"/"&amp;RIGHT("00"&amp;INT(MOD(Entry!$B688,10000)/100),2)&amp;"/"&amp;RIGHT("00"&amp;MOD(Entry!$B688,100),2),"نامعتبر"),IF(LEN(Entry!$B688)=10,Entry!$B688,"نامعتبر")))</f>
        <v/>
      </c>
      <c r="F685">
        <f>IF(Entry!$B688="","",IF(Entry!$C688="","0000",IF(AND(ISNUMBER(Entry!$C688),Entry!$C688&gt;=0,Entry!$C688&lt;1),RIGHT("00"&amp;HOUR(Entry!$C688),2)&amp;RIGHT("00"&amp;MINUTE(Entry!$C688),2),IFERROR(RIGHT("00"&amp;VALUE(LEFT(Entry!$C688,FIND(":",Entry!$C688)-1)),2)&amp;RIGHT("00"&amp;VALUE(MID(Entry!$C688,FIND(":",Entry!$C688)+1,2)),2),"0000"))))</f>
        <v/>
      </c>
      <c r="G685">
        <f>IF($A685="","",Entry!$G688)</f>
        <v/>
      </c>
      <c r="H685">
        <f>IF($A685="","",IF(Entry!$H688="",0,Entry!$H688))</f>
        <v/>
      </c>
      <c r="I685">
        <f>IF($A685="","",IF(Entry!$I688="",0,Entry!$I688))</f>
        <v/>
      </c>
      <c r="J685">
        <f>IF($A685="","",ROUND($H685*$I685,0))</f>
        <v/>
      </c>
      <c r="K685">
        <f>IF($A685="","",Entry!$D688)</f>
        <v/>
      </c>
      <c r="L685">
        <f>IF($A685="","",Entry!$L688)</f>
        <v/>
      </c>
      <c r="N685">
        <f>IF(OR(Sync!$M685="",$Q685="",$Q685="نامعتبر"),"",Sync!$M685)</f>
        <v/>
      </c>
      <c r="O685">
        <f>IF($N685="","",$Q685)</f>
        <v/>
      </c>
      <c r="P685">
        <f>IF($N685="","",LEFT($Q685,4)&amp;MID($Q685,6,2)&amp;RIGHT($Q685,2)&amp;IF(Sync!$K685="","0000",IF(AND(ISNUMBER(Sync!$K685),Sync!$K685&gt;=0,Sync!$K685&lt;1),RIGHT("00"&amp;HOUR(Sync!$K685),2)&amp;RIGHT("00"&amp;MINUTE(Sync!$K685),2),IFERROR(RIGHT("00"&amp;VALUE(LEFT(Sync!$K685,FIND(":",Sync!$K685)-1)),2)&amp;RIGHT("00"&amp;VALUE(MID(Sync!$K685,FIND(":",Sync!$K685)+1,2)),2),"0000")))&amp;"|"&amp;"2"&amp;RIGHT("00000"&amp;680,5))</f>
        <v/>
      </c>
      <c r="Q685">
        <f>IF(Sync!$J685="","",IF(ISNUMBER(Sync!$J685),IF(AND(Sync!$J685&gt;=10000101,Sync!$J685&lt;=99991231),INT(Sync!$J685/10000)&amp;"/"&amp;RIGHT("00"&amp;INT(MOD(Sync!$J685,10000)/100),2)&amp;"/"&amp;RIGHT("00"&amp;MOD(Sync!$J685,100),2),"نامعتبر"),IF(LEN(Sync!$J685)=10,Sync!$J685,"نامعتبر")))</f>
        <v/>
      </c>
      <c r="R685">
        <f>IF($P685="","",COUNTIFS($N$6:$N$2005,$N685,$P$6:$P$2005,"&lt;"&amp;$P685)+COUNTIFS($A$6:$A$1005,$N685,$B$6:$B$1005,"&lt;"&amp;$P685)+1)</f>
        <v/>
      </c>
      <c r="S685">
        <f>IF($N685="","",$N685&amp;"|"&amp;RIGHT("000000"&amp;$R685,6))</f>
        <v/>
      </c>
      <c r="T685">
        <f>IF($N685="","",IF(Sync!$N685="",0,Sync!$N685))</f>
        <v/>
      </c>
      <c r="U685">
        <f>IF($N685="","",IF(Sync!$O685="",0,Sync!$O685))</f>
        <v/>
      </c>
      <c r="V685">
        <f>IF($N685="","",Sync!$L685)</f>
        <v/>
      </c>
      <c r="W685">
        <f>IF($N685="","",Sync!$P685)</f>
        <v/>
      </c>
      <c r="AA685">
        <f>IF($A685="","",IF(COUNTIF($A$6:$A685,$A685)=1,1,0))</f>
        <v/>
      </c>
      <c r="AB685">
        <f>SUM($AA$6:$AA685)</f>
        <v/>
      </c>
      <c r="AC685">
        <f>IFERROR(INDEX($A$6:$A$1005,MATCH(ROW()-5,$AB$6:$AB$1005,0)),"")</f>
        <v/>
      </c>
    </row>
    <row r="686">
      <c r="A686">
        <f>IF(OR(Entry!$B689="",Entry!$E689="",$E686="نامعتبر"),"",Entry!$E689)</f>
        <v/>
      </c>
      <c r="B686">
        <f>IF($A686="","",LEFT($E686,4)&amp;MID($E686,6,2)&amp;RIGHT($E686,2)&amp;$F686&amp;"|"&amp;"1"&amp;RIGHT("00000"&amp;681,5))</f>
        <v/>
      </c>
      <c r="C686">
        <f>IF($B686="","",COUNTIFS($A$6:$A$1005,$A686,$B$6:$B$1005,"&lt;"&amp;$B686)+COUNTIFS($N$6:$N$2005,$A686,$P$6:$P$2005,"&lt;"&amp;$B686)+1)</f>
        <v/>
      </c>
      <c r="D686">
        <f>IF($C686="","",$A686&amp;"|"&amp;RIGHT("000000"&amp;$C686,6))</f>
        <v/>
      </c>
      <c r="E686">
        <f>IF(Entry!$B689="","",IF(ISNUMBER(Entry!$B689),IF(AND(Entry!$B689&gt;=10000101,Entry!$B689&lt;=99991231),INT(Entry!$B689/10000)&amp;"/"&amp;RIGHT("00"&amp;INT(MOD(Entry!$B689,10000)/100),2)&amp;"/"&amp;RIGHT("00"&amp;MOD(Entry!$B689,100),2),"نامعتبر"),IF(LEN(Entry!$B689)=10,Entry!$B689,"نامعتبر")))</f>
        <v/>
      </c>
      <c r="F686">
        <f>IF(Entry!$B689="","",IF(Entry!$C689="","0000",IF(AND(ISNUMBER(Entry!$C689),Entry!$C689&gt;=0,Entry!$C689&lt;1),RIGHT("00"&amp;HOUR(Entry!$C689),2)&amp;RIGHT("00"&amp;MINUTE(Entry!$C689),2),IFERROR(RIGHT("00"&amp;VALUE(LEFT(Entry!$C689,FIND(":",Entry!$C689)-1)),2)&amp;RIGHT("00"&amp;VALUE(MID(Entry!$C689,FIND(":",Entry!$C689)+1,2)),2),"0000"))))</f>
        <v/>
      </c>
      <c r="G686">
        <f>IF($A686="","",Entry!$G689)</f>
        <v/>
      </c>
      <c r="H686">
        <f>IF($A686="","",IF(Entry!$H689="",0,Entry!$H689))</f>
        <v/>
      </c>
      <c r="I686">
        <f>IF($A686="","",IF(Entry!$I689="",0,Entry!$I689))</f>
        <v/>
      </c>
      <c r="J686">
        <f>IF($A686="","",ROUND($H686*$I686,0))</f>
        <v/>
      </c>
      <c r="K686">
        <f>IF($A686="","",Entry!$D689)</f>
        <v/>
      </c>
      <c r="L686">
        <f>IF($A686="","",Entry!$L689)</f>
        <v/>
      </c>
      <c r="N686">
        <f>IF(OR(Sync!$M686="",$Q686="",$Q686="نامعتبر"),"",Sync!$M686)</f>
        <v/>
      </c>
      <c r="O686">
        <f>IF($N686="","",$Q686)</f>
        <v/>
      </c>
      <c r="P686">
        <f>IF($N686="","",LEFT($Q686,4)&amp;MID($Q686,6,2)&amp;RIGHT($Q686,2)&amp;IF(Sync!$K686="","0000",IF(AND(ISNUMBER(Sync!$K686),Sync!$K686&gt;=0,Sync!$K686&lt;1),RIGHT("00"&amp;HOUR(Sync!$K686),2)&amp;RIGHT("00"&amp;MINUTE(Sync!$K686),2),IFERROR(RIGHT("00"&amp;VALUE(LEFT(Sync!$K686,FIND(":",Sync!$K686)-1)),2)&amp;RIGHT("00"&amp;VALUE(MID(Sync!$K686,FIND(":",Sync!$K686)+1,2)),2),"0000")))&amp;"|"&amp;"2"&amp;RIGHT("00000"&amp;681,5))</f>
        <v/>
      </c>
      <c r="Q686">
        <f>IF(Sync!$J686="","",IF(ISNUMBER(Sync!$J686),IF(AND(Sync!$J686&gt;=10000101,Sync!$J686&lt;=99991231),INT(Sync!$J686/10000)&amp;"/"&amp;RIGHT("00"&amp;INT(MOD(Sync!$J686,10000)/100),2)&amp;"/"&amp;RIGHT("00"&amp;MOD(Sync!$J686,100),2),"نامعتبر"),IF(LEN(Sync!$J686)=10,Sync!$J686,"نامعتبر")))</f>
        <v/>
      </c>
      <c r="R686">
        <f>IF($P686="","",COUNTIFS($N$6:$N$2005,$N686,$P$6:$P$2005,"&lt;"&amp;$P686)+COUNTIFS($A$6:$A$1005,$N686,$B$6:$B$1005,"&lt;"&amp;$P686)+1)</f>
        <v/>
      </c>
      <c r="S686">
        <f>IF($N686="","",$N686&amp;"|"&amp;RIGHT("000000"&amp;$R686,6))</f>
        <v/>
      </c>
      <c r="T686">
        <f>IF($N686="","",IF(Sync!$N686="",0,Sync!$N686))</f>
        <v/>
      </c>
      <c r="U686">
        <f>IF($N686="","",IF(Sync!$O686="",0,Sync!$O686))</f>
        <v/>
      </c>
      <c r="V686">
        <f>IF($N686="","",Sync!$L686)</f>
        <v/>
      </c>
      <c r="W686">
        <f>IF($N686="","",Sync!$P686)</f>
        <v/>
      </c>
      <c r="AA686">
        <f>IF($A686="","",IF(COUNTIF($A$6:$A686,$A686)=1,1,0))</f>
        <v/>
      </c>
      <c r="AB686">
        <f>SUM($AA$6:$AA686)</f>
        <v/>
      </c>
      <c r="AC686">
        <f>IFERROR(INDEX($A$6:$A$1005,MATCH(ROW()-5,$AB$6:$AB$1005,0)),"")</f>
        <v/>
      </c>
    </row>
    <row r="687">
      <c r="A687">
        <f>IF(OR(Entry!$B690="",Entry!$E690="",$E687="نامعتبر"),"",Entry!$E690)</f>
        <v/>
      </c>
      <c r="B687">
        <f>IF($A687="","",LEFT($E687,4)&amp;MID($E687,6,2)&amp;RIGHT($E687,2)&amp;$F687&amp;"|"&amp;"1"&amp;RIGHT("00000"&amp;682,5))</f>
        <v/>
      </c>
      <c r="C687">
        <f>IF($B687="","",COUNTIFS($A$6:$A$1005,$A687,$B$6:$B$1005,"&lt;"&amp;$B687)+COUNTIFS($N$6:$N$2005,$A687,$P$6:$P$2005,"&lt;"&amp;$B687)+1)</f>
        <v/>
      </c>
      <c r="D687">
        <f>IF($C687="","",$A687&amp;"|"&amp;RIGHT("000000"&amp;$C687,6))</f>
        <v/>
      </c>
      <c r="E687">
        <f>IF(Entry!$B690="","",IF(ISNUMBER(Entry!$B690),IF(AND(Entry!$B690&gt;=10000101,Entry!$B690&lt;=99991231),INT(Entry!$B690/10000)&amp;"/"&amp;RIGHT("00"&amp;INT(MOD(Entry!$B690,10000)/100),2)&amp;"/"&amp;RIGHT("00"&amp;MOD(Entry!$B690,100),2),"نامعتبر"),IF(LEN(Entry!$B690)=10,Entry!$B690,"نامعتبر")))</f>
        <v/>
      </c>
      <c r="F687">
        <f>IF(Entry!$B690="","",IF(Entry!$C690="","0000",IF(AND(ISNUMBER(Entry!$C690),Entry!$C690&gt;=0,Entry!$C690&lt;1),RIGHT("00"&amp;HOUR(Entry!$C690),2)&amp;RIGHT("00"&amp;MINUTE(Entry!$C690),2),IFERROR(RIGHT("00"&amp;VALUE(LEFT(Entry!$C690,FIND(":",Entry!$C690)-1)),2)&amp;RIGHT("00"&amp;VALUE(MID(Entry!$C690,FIND(":",Entry!$C690)+1,2)),2),"0000"))))</f>
        <v/>
      </c>
      <c r="G687">
        <f>IF($A687="","",Entry!$G690)</f>
        <v/>
      </c>
      <c r="H687">
        <f>IF($A687="","",IF(Entry!$H690="",0,Entry!$H690))</f>
        <v/>
      </c>
      <c r="I687">
        <f>IF($A687="","",IF(Entry!$I690="",0,Entry!$I690))</f>
        <v/>
      </c>
      <c r="J687">
        <f>IF($A687="","",ROUND($H687*$I687,0))</f>
        <v/>
      </c>
      <c r="K687">
        <f>IF($A687="","",Entry!$D690)</f>
        <v/>
      </c>
      <c r="L687">
        <f>IF($A687="","",Entry!$L690)</f>
        <v/>
      </c>
      <c r="N687">
        <f>IF(OR(Sync!$M687="",$Q687="",$Q687="نامعتبر"),"",Sync!$M687)</f>
        <v/>
      </c>
      <c r="O687">
        <f>IF($N687="","",$Q687)</f>
        <v/>
      </c>
      <c r="P687">
        <f>IF($N687="","",LEFT($Q687,4)&amp;MID($Q687,6,2)&amp;RIGHT($Q687,2)&amp;IF(Sync!$K687="","0000",IF(AND(ISNUMBER(Sync!$K687),Sync!$K687&gt;=0,Sync!$K687&lt;1),RIGHT("00"&amp;HOUR(Sync!$K687),2)&amp;RIGHT("00"&amp;MINUTE(Sync!$K687),2),IFERROR(RIGHT("00"&amp;VALUE(LEFT(Sync!$K687,FIND(":",Sync!$K687)-1)),2)&amp;RIGHT("00"&amp;VALUE(MID(Sync!$K687,FIND(":",Sync!$K687)+1,2)),2),"0000")))&amp;"|"&amp;"2"&amp;RIGHT("00000"&amp;682,5))</f>
        <v/>
      </c>
      <c r="Q687">
        <f>IF(Sync!$J687="","",IF(ISNUMBER(Sync!$J687),IF(AND(Sync!$J687&gt;=10000101,Sync!$J687&lt;=99991231),INT(Sync!$J687/10000)&amp;"/"&amp;RIGHT("00"&amp;INT(MOD(Sync!$J687,10000)/100),2)&amp;"/"&amp;RIGHT("00"&amp;MOD(Sync!$J687,100),2),"نامعتبر"),IF(LEN(Sync!$J687)=10,Sync!$J687,"نامعتبر")))</f>
        <v/>
      </c>
      <c r="R687">
        <f>IF($P687="","",COUNTIFS($N$6:$N$2005,$N687,$P$6:$P$2005,"&lt;"&amp;$P687)+COUNTIFS($A$6:$A$1005,$N687,$B$6:$B$1005,"&lt;"&amp;$P687)+1)</f>
        <v/>
      </c>
      <c r="S687">
        <f>IF($N687="","",$N687&amp;"|"&amp;RIGHT("000000"&amp;$R687,6))</f>
        <v/>
      </c>
      <c r="T687">
        <f>IF($N687="","",IF(Sync!$N687="",0,Sync!$N687))</f>
        <v/>
      </c>
      <c r="U687">
        <f>IF($N687="","",IF(Sync!$O687="",0,Sync!$O687))</f>
        <v/>
      </c>
      <c r="V687">
        <f>IF($N687="","",Sync!$L687)</f>
        <v/>
      </c>
      <c r="W687">
        <f>IF($N687="","",Sync!$P687)</f>
        <v/>
      </c>
      <c r="AA687">
        <f>IF($A687="","",IF(COUNTIF($A$6:$A687,$A687)=1,1,0))</f>
        <v/>
      </c>
      <c r="AB687">
        <f>SUM($AA$6:$AA687)</f>
        <v/>
      </c>
      <c r="AC687">
        <f>IFERROR(INDEX($A$6:$A$1005,MATCH(ROW()-5,$AB$6:$AB$1005,0)),"")</f>
        <v/>
      </c>
    </row>
    <row r="688">
      <c r="A688">
        <f>IF(OR(Entry!$B691="",Entry!$E691="",$E688="نامعتبر"),"",Entry!$E691)</f>
        <v/>
      </c>
      <c r="B688">
        <f>IF($A688="","",LEFT($E688,4)&amp;MID($E688,6,2)&amp;RIGHT($E688,2)&amp;$F688&amp;"|"&amp;"1"&amp;RIGHT("00000"&amp;683,5))</f>
        <v/>
      </c>
      <c r="C688">
        <f>IF($B688="","",COUNTIFS($A$6:$A$1005,$A688,$B$6:$B$1005,"&lt;"&amp;$B688)+COUNTIFS($N$6:$N$2005,$A688,$P$6:$P$2005,"&lt;"&amp;$B688)+1)</f>
        <v/>
      </c>
      <c r="D688">
        <f>IF($C688="","",$A688&amp;"|"&amp;RIGHT("000000"&amp;$C688,6))</f>
        <v/>
      </c>
      <c r="E688">
        <f>IF(Entry!$B691="","",IF(ISNUMBER(Entry!$B691),IF(AND(Entry!$B691&gt;=10000101,Entry!$B691&lt;=99991231),INT(Entry!$B691/10000)&amp;"/"&amp;RIGHT("00"&amp;INT(MOD(Entry!$B691,10000)/100),2)&amp;"/"&amp;RIGHT("00"&amp;MOD(Entry!$B691,100),2),"نامعتبر"),IF(LEN(Entry!$B691)=10,Entry!$B691,"نامعتبر")))</f>
        <v/>
      </c>
      <c r="F688">
        <f>IF(Entry!$B691="","",IF(Entry!$C691="","0000",IF(AND(ISNUMBER(Entry!$C691),Entry!$C691&gt;=0,Entry!$C691&lt;1),RIGHT("00"&amp;HOUR(Entry!$C691),2)&amp;RIGHT("00"&amp;MINUTE(Entry!$C691),2),IFERROR(RIGHT("00"&amp;VALUE(LEFT(Entry!$C691,FIND(":",Entry!$C691)-1)),2)&amp;RIGHT("00"&amp;VALUE(MID(Entry!$C691,FIND(":",Entry!$C691)+1,2)),2),"0000"))))</f>
        <v/>
      </c>
      <c r="G688">
        <f>IF($A688="","",Entry!$G691)</f>
        <v/>
      </c>
      <c r="H688">
        <f>IF($A688="","",IF(Entry!$H691="",0,Entry!$H691))</f>
        <v/>
      </c>
      <c r="I688">
        <f>IF($A688="","",IF(Entry!$I691="",0,Entry!$I691))</f>
        <v/>
      </c>
      <c r="J688">
        <f>IF($A688="","",ROUND($H688*$I688,0))</f>
        <v/>
      </c>
      <c r="K688">
        <f>IF($A688="","",Entry!$D691)</f>
        <v/>
      </c>
      <c r="L688">
        <f>IF($A688="","",Entry!$L691)</f>
        <v/>
      </c>
      <c r="N688">
        <f>IF(OR(Sync!$M688="",$Q688="",$Q688="نامعتبر"),"",Sync!$M688)</f>
        <v/>
      </c>
      <c r="O688">
        <f>IF($N688="","",$Q688)</f>
        <v/>
      </c>
      <c r="P688">
        <f>IF($N688="","",LEFT($Q688,4)&amp;MID($Q688,6,2)&amp;RIGHT($Q688,2)&amp;IF(Sync!$K688="","0000",IF(AND(ISNUMBER(Sync!$K688),Sync!$K688&gt;=0,Sync!$K688&lt;1),RIGHT("00"&amp;HOUR(Sync!$K688),2)&amp;RIGHT("00"&amp;MINUTE(Sync!$K688),2),IFERROR(RIGHT("00"&amp;VALUE(LEFT(Sync!$K688,FIND(":",Sync!$K688)-1)),2)&amp;RIGHT("00"&amp;VALUE(MID(Sync!$K688,FIND(":",Sync!$K688)+1,2)),2),"0000")))&amp;"|"&amp;"2"&amp;RIGHT("00000"&amp;683,5))</f>
        <v/>
      </c>
      <c r="Q688">
        <f>IF(Sync!$J688="","",IF(ISNUMBER(Sync!$J688),IF(AND(Sync!$J688&gt;=10000101,Sync!$J688&lt;=99991231),INT(Sync!$J688/10000)&amp;"/"&amp;RIGHT("00"&amp;INT(MOD(Sync!$J688,10000)/100),2)&amp;"/"&amp;RIGHT("00"&amp;MOD(Sync!$J688,100),2),"نامعتبر"),IF(LEN(Sync!$J688)=10,Sync!$J688,"نامعتبر")))</f>
        <v/>
      </c>
      <c r="R688">
        <f>IF($P688="","",COUNTIFS($N$6:$N$2005,$N688,$P$6:$P$2005,"&lt;"&amp;$P688)+COUNTIFS($A$6:$A$1005,$N688,$B$6:$B$1005,"&lt;"&amp;$P688)+1)</f>
        <v/>
      </c>
      <c r="S688">
        <f>IF($N688="","",$N688&amp;"|"&amp;RIGHT("000000"&amp;$R688,6))</f>
        <v/>
      </c>
      <c r="T688">
        <f>IF($N688="","",IF(Sync!$N688="",0,Sync!$N688))</f>
        <v/>
      </c>
      <c r="U688">
        <f>IF($N688="","",IF(Sync!$O688="",0,Sync!$O688))</f>
        <v/>
      </c>
      <c r="V688">
        <f>IF($N688="","",Sync!$L688)</f>
        <v/>
      </c>
      <c r="W688">
        <f>IF($N688="","",Sync!$P688)</f>
        <v/>
      </c>
      <c r="AA688">
        <f>IF($A688="","",IF(COUNTIF($A$6:$A688,$A688)=1,1,0))</f>
        <v/>
      </c>
      <c r="AB688">
        <f>SUM($AA$6:$AA688)</f>
        <v/>
      </c>
      <c r="AC688">
        <f>IFERROR(INDEX($A$6:$A$1005,MATCH(ROW()-5,$AB$6:$AB$1005,0)),"")</f>
        <v/>
      </c>
    </row>
    <row r="689">
      <c r="A689">
        <f>IF(OR(Entry!$B692="",Entry!$E692="",$E689="نامعتبر"),"",Entry!$E692)</f>
        <v/>
      </c>
      <c r="B689">
        <f>IF($A689="","",LEFT($E689,4)&amp;MID($E689,6,2)&amp;RIGHT($E689,2)&amp;$F689&amp;"|"&amp;"1"&amp;RIGHT("00000"&amp;684,5))</f>
        <v/>
      </c>
      <c r="C689">
        <f>IF($B689="","",COUNTIFS($A$6:$A$1005,$A689,$B$6:$B$1005,"&lt;"&amp;$B689)+COUNTIFS($N$6:$N$2005,$A689,$P$6:$P$2005,"&lt;"&amp;$B689)+1)</f>
        <v/>
      </c>
      <c r="D689">
        <f>IF($C689="","",$A689&amp;"|"&amp;RIGHT("000000"&amp;$C689,6))</f>
        <v/>
      </c>
      <c r="E689">
        <f>IF(Entry!$B692="","",IF(ISNUMBER(Entry!$B692),IF(AND(Entry!$B692&gt;=10000101,Entry!$B692&lt;=99991231),INT(Entry!$B692/10000)&amp;"/"&amp;RIGHT("00"&amp;INT(MOD(Entry!$B692,10000)/100),2)&amp;"/"&amp;RIGHT("00"&amp;MOD(Entry!$B692,100),2),"نامعتبر"),IF(LEN(Entry!$B692)=10,Entry!$B692,"نامعتبر")))</f>
        <v/>
      </c>
      <c r="F689">
        <f>IF(Entry!$B692="","",IF(Entry!$C692="","0000",IF(AND(ISNUMBER(Entry!$C692),Entry!$C692&gt;=0,Entry!$C692&lt;1),RIGHT("00"&amp;HOUR(Entry!$C692),2)&amp;RIGHT("00"&amp;MINUTE(Entry!$C692),2),IFERROR(RIGHT("00"&amp;VALUE(LEFT(Entry!$C692,FIND(":",Entry!$C692)-1)),2)&amp;RIGHT("00"&amp;VALUE(MID(Entry!$C692,FIND(":",Entry!$C692)+1,2)),2),"0000"))))</f>
        <v/>
      </c>
      <c r="G689">
        <f>IF($A689="","",Entry!$G692)</f>
        <v/>
      </c>
      <c r="H689">
        <f>IF($A689="","",IF(Entry!$H692="",0,Entry!$H692))</f>
        <v/>
      </c>
      <c r="I689">
        <f>IF($A689="","",IF(Entry!$I692="",0,Entry!$I692))</f>
        <v/>
      </c>
      <c r="J689">
        <f>IF($A689="","",ROUND($H689*$I689,0))</f>
        <v/>
      </c>
      <c r="K689">
        <f>IF($A689="","",Entry!$D692)</f>
        <v/>
      </c>
      <c r="L689">
        <f>IF($A689="","",Entry!$L692)</f>
        <v/>
      </c>
      <c r="N689">
        <f>IF(OR(Sync!$M689="",$Q689="",$Q689="نامعتبر"),"",Sync!$M689)</f>
        <v/>
      </c>
      <c r="O689">
        <f>IF($N689="","",$Q689)</f>
        <v/>
      </c>
      <c r="P689">
        <f>IF($N689="","",LEFT($Q689,4)&amp;MID($Q689,6,2)&amp;RIGHT($Q689,2)&amp;IF(Sync!$K689="","0000",IF(AND(ISNUMBER(Sync!$K689),Sync!$K689&gt;=0,Sync!$K689&lt;1),RIGHT("00"&amp;HOUR(Sync!$K689),2)&amp;RIGHT("00"&amp;MINUTE(Sync!$K689),2),IFERROR(RIGHT("00"&amp;VALUE(LEFT(Sync!$K689,FIND(":",Sync!$K689)-1)),2)&amp;RIGHT("00"&amp;VALUE(MID(Sync!$K689,FIND(":",Sync!$K689)+1,2)),2),"0000")))&amp;"|"&amp;"2"&amp;RIGHT("00000"&amp;684,5))</f>
        <v/>
      </c>
      <c r="Q689">
        <f>IF(Sync!$J689="","",IF(ISNUMBER(Sync!$J689),IF(AND(Sync!$J689&gt;=10000101,Sync!$J689&lt;=99991231),INT(Sync!$J689/10000)&amp;"/"&amp;RIGHT("00"&amp;INT(MOD(Sync!$J689,10000)/100),2)&amp;"/"&amp;RIGHT("00"&amp;MOD(Sync!$J689,100),2),"نامعتبر"),IF(LEN(Sync!$J689)=10,Sync!$J689,"نامعتبر")))</f>
        <v/>
      </c>
      <c r="R689">
        <f>IF($P689="","",COUNTIFS($N$6:$N$2005,$N689,$P$6:$P$2005,"&lt;"&amp;$P689)+COUNTIFS($A$6:$A$1005,$N689,$B$6:$B$1005,"&lt;"&amp;$P689)+1)</f>
        <v/>
      </c>
      <c r="S689">
        <f>IF($N689="","",$N689&amp;"|"&amp;RIGHT("000000"&amp;$R689,6))</f>
        <v/>
      </c>
      <c r="T689">
        <f>IF($N689="","",IF(Sync!$N689="",0,Sync!$N689))</f>
        <v/>
      </c>
      <c r="U689">
        <f>IF($N689="","",IF(Sync!$O689="",0,Sync!$O689))</f>
        <v/>
      </c>
      <c r="V689">
        <f>IF($N689="","",Sync!$L689)</f>
        <v/>
      </c>
      <c r="W689">
        <f>IF($N689="","",Sync!$P689)</f>
        <v/>
      </c>
      <c r="AA689">
        <f>IF($A689="","",IF(COUNTIF($A$6:$A689,$A689)=1,1,0))</f>
        <v/>
      </c>
      <c r="AB689">
        <f>SUM($AA$6:$AA689)</f>
        <v/>
      </c>
      <c r="AC689">
        <f>IFERROR(INDEX($A$6:$A$1005,MATCH(ROW()-5,$AB$6:$AB$1005,0)),"")</f>
        <v/>
      </c>
    </row>
    <row r="690">
      <c r="A690">
        <f>IF(OR(Entry!$B693="",Entry!$E693="",$E690="نامعتبر"),"",Entry!$E693)</f>
        <v/>
      </c>
      <c r="B690">
        <f>IF($A690="","",LEFT($E690,4)&amp;MID($E690,6,2)&amp;RIGHT($E690,2)&amp;$F690&amp;"|"&amp;"1"&amp;RIGHT("00000"&amp;685,5))</f>
        <v/>
      </c>
      <c r="C690">
        <f>IF($B690="","",COUNTIFS($A$6:$A$1005,$A690,$B$6:$B$1005,"&lt;"&amp;$B690)+COUNTIFS($N$6:$N$2005,$A690,$P$6:$P$2005,"&lt;"&amp;$B690)+1)</f>
        <v/>
      </c>
      <c r="D690">
        <f>IF($C690="","",$A690&amp;"|"&amp;RIGHT("000000"&amp;$C690,6))</f>
        <v/>
      </c>
      <c r="E690">
        <f>IF(Entry!$B693="","",IF(ISNUMBER(Entry!$B693),IF(AND(Entry!$B693&gt;=10000101,Entry!$B693&lt;=99991231),INT(Entry!$B693/10000)&amp;"/"&amp;RIGHT("00"&amp;INT(MOD(Entry!$B693,10000)/100),2)&amp;"/"&amp;RIGHT("00"&amp;MOD(Entry!$B693,100),2),"نامعتبر"),IF(LEN(Entry!$B693)=10,Entry!$B693,"نامعتبر")))</f>
        <v/>
      </c>
      <c r="F690">
        <f>IF(Entry!$B693="","",IF(Entry!$C693="","0000",IF(AND(ISNUMBER(Entry!$C693),Entry!$C693&gt;=0,Entry!$C693&lt;1),RIGHT("00"&amp;HOUR(Entry!$C693),2)&amp;RIGHT("00"&amp;MINUTE(Entry!$C693),2),IFERROR(RIGHT("00"&amp;VALUE(LEFT(Entry!$C693,FIND(":",Entry!$C693)-1)),2)&amp;RIGHT("00"&amp;VALUE(MID(Entry!$C693,FIND(":",Entry!$C693)+1,2)),2),"0000"))))</f>
        <v/>
      </c>
      <c r="G690">
        <f>IF($A690="","",Entry!$G693)</f>
        <v/>
      </c>
      <c r="H690">
        <f>IF($A690="","",IF(Entry!$H693="",0,Entry!$H693))</f>
        <v/>
      </c>
      <c r="I690">
        <f>IF($A690="","",IF(Entry!$I693="",0,Entry!$I693))</f>
        <v/>
      </c>
      <c r="J690">
        <f>IF($A690="","",ROUND($H690*$I690,0))</f>
        <v/>
      </c>
      <c r="K690">
        <f>IF($A690="","",Entry!$D693)</f>
        <v/>
      </c>
      <c r="L690">
        <f>IF($A690="","",Entry!$L693)</f>
        <v/>
      </c>
      <c r="N690">
        <f>IF(OR(Sync!$M690="",$Q690="",$Q690="نامعتبر"),"",Sync!$M690)</f>
        <v/>
      </c>
      <c r="O690">
        <f>IF($N690="","",$Q690)</f>
        <v/>
      </c>
      <c r="P690">
        <f>IF($N690="","",LEFT($Q690,4)&amp;MID($Q690,6,2)&amp;RIGHT($Q690,2)&amp;IF(Sync!$K690="","0000",IF(AND(ISNUMBER(Sync!$K690),Sync!$K690&gt;=0,Sync!$K690&lt;1),RIGHT("00"&amp;HOUR(Sync!$K690),2)&amp;RIGHT("00"&amp;MINUTE(Sync!$K690),2),IFERROR(RIGHT("00"&amp;VALUE(LEFT(Sync!$K690,FIND(":",Sync!$K690)-1)),2)&amp;RIGHT("00"&amp;VALUE(MID(Sync!$K690,FIND(":",Sync!$K690)+1,2)),2),"0000")))&amp;"|"&amp;"2"&amp;RIGHT("00000"&amp;685,5))</f>
        <v/>
      </c>
      <c r="Q690">
        <f>IF(Sync!$J690="","",IF(ISNUMBER(Sync!$J690),IF(AND(Sync!$J690&gt;=10000101,Sync!$J690&lt;=99991231),INT(Sync!$J690/10000)&amp;"/"&amp;RIGHT("00"&amp;INT(MOD(Sync!$J690,10000)/100),2)&amp;"/"&amp;RIGHT("00"&amp;MOD(Sync!$J690,100),2),"نامعتبر"),IF(LEN(Sync!$J690)=10,Sync!$J690,"نامعتبر")))</f>
        <v/>
      </c>
      <c r="R690">
        <f>IF($P690="","",COUNTIFS($N$6:$N$2005,$N690,$P$6:$P$2005,"&lt;"&amp;$P690)+COUNTIFS($A$6:$A$1005,$N690,$B$6:$B$1005,"&lt;"&amp;$P690)+1)</f>
        <v/>
      </c>
      <c r="S690">
        <f>IF($N690="","",$N690&amp;"|"&amp;RIGHT("000000"&amp;$R690,6))</f>
        <v/>
      </c>
      <c r="T690">
        <f>IF($N690="","",IF(Sync!$N690="",0,Sync!$N690))</f>
        <v/>
      </c>
      <c r="U690">
        <f>IF($N690="","",IF(Sync!$O690="",0,Sync!$O690))</f>
        <v/>
      </c>
      <c r="V690">
        <f>IF($N690="","",Sync!$L690)</f>
        <v/>
      </c>
      <c r="W690">
        <f>IF($N690="","",Sync!$P690)</f>
        <v/>
      </c>
      <c r="AA690">
        <f>IF($A690="","",IF(COUNTIF($A$6:$A690,$A690)=1,1,0))</f>
        <v/>
      </c>
      <c r="AB690">
        <f>SUM($AA$6:$AA690)</f>
        <v/>
      </c>
      <c r="AC690">
        <f>IFERROR(INDEX($A$6:$A$1005,MATCH(ROW()-5,$AB$6:$AB$1005,0)),"")</f>
        <v/>
      </c>
    </row>
    <row r="691">
      <c r="A691">
        <f>IF(OR(Entry!$B694="",Entry!$E694="",$E691="نامعتبر"),"",Entry!$E694)</f>
        <v/>
      </c>
      <c r="B691">
        <f>IF($A691="","",LEFT($E691,4)&amp;MID($E691,6,2)&amp;RIGHT($E691,2)&amp;$F691&amp;"|"&amp;"1"&amp;RIGHT("00000"&amp;686,5))</f>
        <v/>
      </c>
      <c r="C691">
        <f>IF($B691="","",COUNTIFS($A$6:$A$1005,$A691,$B$6:$B$1005,"&lt;"&amp;$B691)+COUNTIFS($N$6:$N$2005,$A691,$P$6:$P$2005,"&lt;"&amp;$B691)+1)</f>
        <v/>
      </c>
      <c r="D691">
        <f>IF($C691="","",$A691&amp;"|"&amp;RIGHT("000000"&amp;$C691,6))</f>
        <v/>
      </c>
      <c r="E691">
        <f>IF(Entry!$B694="","",IF(ISNUMBER(Entry!$B694),IF(AND(Entry!$B694&gt;=10000101,Entry!$B694&lt;=99991231),INT(Entry!$B694/10000)&amp;"/"&amp;RIGHT("00"&amp;INT(MOD(Entry!$B694,10000)/100),2)&amp;"/"&amp;RIGHT("00"&amp;MOD(Entry!$B694,100),2),"نامعتبر"),IF(LEN(Entry!$B694)=10,Entry!$B694,"نامعتبر")))</f>
        <v/>
      </c>
      <c r="F691">
        <f>IF(Entry!$B694="","",IF(Entry!$C694="","0000",IF(AND(ISNUMBER(Entry!$C694),Entry!$C694&gt;=0,Entry!$C694&lt;1),RIGHT("00"&amp;HOUR(Entry!$C694),2)&amp;RIGHT("00"&amp;MINUTE(Entry!$C694),2),IFERROR(RIGHT("00"&amp;VALUE(LEFT(Entry!$C694,FIND(":",Entry!$C694)-1)),2)&amp;RIGHT("00"&amp;VALUE(MID(Entry!$C694,FIND(":",Entry!$C694)+1,2)),2),"0000"))))</f>
        <v/>
      </c>
      <c r="G691">
        <f>IF($A691="","",Entry!$G694)</f>
        <v/>
      </c>
      <c r="H691">
        <f>IF($A691="","",IF(Entry!$H694="",0,Entry!$H694))</f>
        <v/>
      </c>
      <c r="I691">
        <f>IF($A691="","",IF(Entry!$I694="",0,Entry!$I694))</f>
        <v/>
      </c>
      <c r="J691">
        <f>IF($A691="","",ROUND($H691*$I691,0))</f>
        <v/>
      </c>
      <c r="K691">
        <f>IF($A691="","",Entry!$D694)</f>
        <v/>
      </c>
      <c r="L691">
        <f>IF($A691="","",Entry!$L694)</f>
        <v/>
      </c>
      <c r="N691">
        <f>IF(OR(Sync!$M691="",$Q691="",$Q691="نامعتبر"),"",Sync!$M691)</f>
        <v/>
      </c>
      <c r="O691">
        <f>IF($N691="","",$Q691)</f>
        <v/>
      </c>
      <c r="P691">
        <f>IF($N691="","",LEFT($Q691,4)&amp;MID($Q691,6,2)&amp;RIGHT($Q691,2)&amp;IF(Sync!$K691="","0000",IF(AND(ISNUMBER(Sync!$K691),Sync!$K691&gt;=0,Sync!$K691&lt;1),RIGHT("00"&amp;HOUR(Sync!$K691),2)&amp;RIGHT("00"&amp;MINUTE(Sync!$K691),2),IFERROR(RIGHT("00"&amp;VALUE(LEFT(Sync!$K691,FIND(":",Sync!$K691)-1)),2)&amp;RIGHT("00"&amp;VALUE(MID(Sync!$K691,FIND(":",Sync!$K691)+1,2)),2),"0000")))&amp;"|"&amp;"2"&amp;RIGHT("00000"&amp;686,5))</f>
        <v/>
      </c>
      <c r="Q691">
        <f>IF(Sync!$J691="","",IF(ISNUMBER(Sync!$J691),IF(AND(Sync!$J691&gt;=10000101,Sync!$J691&lt;=99991231),INT(Sync!$J691/10000)&amp;"/"&amp;RIGHT("00"&amp;INT(MOD(Sync!$J691,10000)/100),2)&amp;"/"&amp;RIGHT("00"&amp;MOD(Sync!$J691,100),2),"نامعتبر"),IF(LEN(Sync!$J691)=10,Sync!$J691,"نامعتبر")))</f>
        <v/>
      </c>
      <c r="R691">
        <f>IF($P691="","",COUNTIFS($N$6:$N$2005,$N691,$P$6:$P$2005,"&lt;"&amp;$P691)+COUNTIFS($A$6:$A$1005,$N691,$B$6:$B$1005,"&lt;"&amp;$P691)+1)</f>
        <v/>
      </c>
      <c r="S691">
        <f>IF($N691="","",$N691&amp;"|"&amp;RIGHT("000000"&amp;$R691,6))</f>
        <v/>
      </c>
      <c r="T691">
        <f>IF($N691="","",IF(Sync!$N691="",0,Sync!$N691))</f>
        <v/>
      </c>
      <c r="U691">
        <f>IF($N691="","",IF(Sync!$O691="",0,Sync!$O691))</f>
        <v/>
      </c>
      <c r="V691">
        <f>IF($N691="","",Sync!$L691)</f>
        <v/>
      </c>
      <c r="W691">
        <f>IF($N691="","",Sync!$P691)</f>
        <v/>
      </c>
      <c r="AA691">
        <f>IF($A691="","",IF(COUNTIF($A$6:$A691,$A691)=1,1,0))</f>
        <v/>
      </c>
      <c r="AB691">
        <f>SUM($AA$6:$AA691)</f>
        <v/>
      </c>
      <c r="AC691">
        <f>IFERROR(INDEX($A$6:$A$1005,MATCH(ROW()-5,$AB$6:$AB$1005,0)),"")</f>
        <v/>
      </c>
    </row>
    <row r="692">
      <c r="A692">
        <f>IF(OR(Entry!$B695="",Entry!$E695="",$E692="نامعتبر"),"",Entry!$E695)</f>
        <v/>
      </c>
      <c r="B692">
        <f>IF($A692="","",LEFT($E692,4)&amp;MID($E692,6,2)&amp;RIGHT($E692,2)&amp;$F692&amp;"|"&amp;"1"&amp;RIGHT("00000"&amp;687,5))</f>
        <v/>
      </c>
      <c r="C692">
        <f>IF($B692="","",COUNTIFS($A$6:$A$1005,$A692,$B$6:$B$1005,"&lt;"&amp;$B692)+COUNTIFS($N$6:$N$2005,$A692,$P$6:$P$2005,"&lt;"&amp;$B692)+1)</f>
        <v/>
      </c>
      <c r="D692">
        <f>IF($C692="","",$A692&amp;"|"&amp;RIGHT("000000"&amp;$C692,6))</f>
        <v/>
      </c>
      <c r="E692">
        <f>IF(Entry!$B695="","",IF(ISNUMBER(Entry!$B695),IF(AND(Entry!$B695&gt;=10000101,Entry!$B695&lt;=99991231),INT(Entry!$B695/10000)&amp;"/"&amp;RIGHT("00"&amp;INT(MOD(Entry!$B695,10000)/100),2)&amp;"/"&amp;RIGHT("00"&amp;MOD(Entry!$B695,100),2),"نامعتبر"),IF(LEN(Entry!$B695)=10,Entry!$B695,"نامعتبر")))</f>
        <v/>
      </c>
      <c r="F692">
        <f>IF(Entry!$B695="","",IF(Entry!$C695="","0000",IF(AND(ISNUMBER(Entry!$C695),Entry!$C695&gt;=0,Entry!$C695&lt;1),RIGHT("00"&amp;HOUR(Entry!$C695),2)&amp;RIGHT("00"&amp;MINUTE(Entry!$C695),2),IFERROR(RIGHT("00"&amp;VALUE(LEFT(Entry!$C695,FIND(":",Entry!$C695)-1)),2)&amp;RIGHT("00"&amp;VALUE(MID(Entry!$C695,FIND(":",Entry!$C695)+1,2)),2),"0000"))))</f>
        <v/>
      </c>
      <c r="G692">
        <f>IF($A692="","",Entry!$G695)</f>
        <v/>
      </c>
      <c r="H692">
        <f>IF($A692="","",IF(Entry!$H695="",0,Entry!$H695))</f>
        <v/>
      </c>
      <c r="I692">
        <f>IF($A692="","",IF(Entry!$I695="",0,Entry!$I695))</f>
        <v/>
      </c>
      <c r="J692">
        <f>IF($A692="","",ROUND($H692*$I692,0))</f>
        <v/>
      </c>
      <c r="K692">
        <f>IF($A692="","",Entry!$D695)</f>
        <v/>
      </c>
      <c r="L692">
        <f>IF($A692="","",Entry!$L695)</f>
        <v/>
      </c>
      <c r="N692">
        <f>IF(OR(Sync!$M692="",$Q692="",$Q692="نامعتبر"),"",Sync!$M692)</f>
        <v/>
      </c>
      <c r="O692">
        <f>IF($N692="","",$Q692)</f>
        <v/>
      </c>
      <c r="P692">
        <f>IF($N692="","",LEFT($Q692,4)&amp;MID($Q692,6,2)&amp;RIGHT($Q692,2)&amp;IF(Sync!$K692="","0000",IF(AND(ISNUMBER(Sync!$K692),Sync!$K692&gt;=0,Sync!$K692&lt;1),RIGHT("00"&amp;HOUR(Sync!$K692),2)&amp;RIGHT("00"&amp;MINUTE(Sync!$K692),2),IFERROR(RIGHT("00"&amp;VALUE(LEFT(Sync!$K692,FIND(":",Sync!$K692)-1)),2)&amp;RIGHT("00"&amp;VALUE(MID(Sync!$K692,FIND(":",Sync!$K692)+1,2)),2),"0000")))&amp;"|"&amp;"2"&amp;RIGHT("00000"&amp;687,5))</f>
        <v/>
      </c>
      <c r="Q692">
        <f>IF(Sync!$J692="","",IF(ISNUMBER(Sync!$J692),IF(AND(Sync!$J692&gt;=10000101,Sync!$J692&lt;=99991231),INT(Sync!$J692/10000)&amp;"/"&amp;RIGHT("00"&amp;INT(MOD(Sync!$J692,10000)/100),2)&amp;"/"&amp;RIGHT("00"&amp;MOD(Sync!$J692,100),2),"نامعتبر"),IF(LEN(Sync!$J692)=10,Sync!$J692,"نامعتبر")))</f>
        <v/>
      </c>
      <c r="R692">
        <f>IF($P692="","",COUNTIFS($N$6:$N$2005,$N692,$P$6:$P$2005,"&lt;"&amp;$P692)+COUNTIFS($A$6:$A$1005,$N692,$B$6:$B$1005,"&lt;"&amp;$P692)+1)</f>
        <v/>
      </c>
      <c r="S692">
        <f>IF($N692="","",$N692&amp;"|"&amp;RIGHT("000000"&amp;$R692,6))</f>
        <v/>
      </c>
      <c r="T692">
        <f>IF($N692="","",IF(Sync!$N692="",0,Sync!$N692))</f>
        <v/>
      </c>
      <c r="U692">
        <f>IF($N692="","",IF(Sync!$O692="",0,Sync!$O692))</f>
        <v/>
      </c>
      <c r="V692">
        <f>IF($N692="","",Sync!$L692)</f>
        <v/>
      </c>
      <c r="W692">
        <f>IF($N692="","",Sync!$P692)</f>
        <v/>
      </c>
      <c r="AA692">
        <f>IF($A692="","",IF(COUNTIF($A$6:$A692,$A692)=1,1,0))</f>
        <v/>
      </c>
      <c r="AB692">
        <f>SUM($AA$6:$AA692)</f>
        <v/>
      </c>
      <c r="AC692">
        <f>IFERROR(INDEX($A$6:$A$1005,MATCH(ROW()-5,$AB$6:$AB$1005,0)),"")</f>
        <v/>
      </c>
    </row>
    <row r="693">
      <c r="A693">
        <f>IF(OR(Entry!$B696="",Entry!$E696="",$E693="نامعتبر"),"",Entry!$E696)</f>
        <v/>
      </c>
      <c r="B693">
        <f>IF($A693="","",LEFT($E693,4)&amp;MID($E693,6,2)&amp;RIGHT($E693,2)&amp;$F693&amp;"|"&amp;"1"&amp;RIGHT("00000"&amp;688,5))</f>
        <v/>
      </c>
      <c r="C693">
        <f>IF($B693="","",COUNTIFS($A$6:$A$1005,$A693,$B$6:$B$1005,"&lt;"&amp;$B693)+COUNTIFS($N$6:$N$2005,$A693,$P$6:$P$2005,"&lt;"&amp;$B693)+1)</f>
        <v/>
      </c>
      <c r="D693">
        <f>IF($C693="","",$A693&amp;"|"&amp;RIGHT("000000"&amp;$C693,6))</f>
        <v/>
      </c>
      <c r="E693">
        <f>IF(Entry!$B696="","",IF(ISNUMBER(Entry!$B696),IF(AND(Entry!$B696&gt;=10000101,Entry!$B696&lt;=99991231),INT(Entry!$B696/10000)&amp;"/"&amp;RIGHT("00"&amp;INT(MOD(Entry!$B696,10000)/100),2)&amp;"/"&amp;RIGHT("00"&amp;MOD(Entry!$B696,100),2),"نامعتبر"),IF(LEN(Entry!$B696)=10,Entry!$B696,"نامعتبر")))</f>
        <v/>
      </c>
      <c r="F693">
        <f>IF(Entry!$B696="","",IF(Entry!$C696="","0000",IF(AND(ISNUMBER(Entry!$C696),Entry!$C696&gt;=0,Entry!$C696&lt;1),RIGHT("00"&amp;HOUR(Entry!$C696),2)&amp;RIGHT("00"&amp;MINUTE(Entry!$C696),2),IFERROR(RIGHT("00"&amp;VALUE(LEFT(Entry!$C696,FIND(":",Entry!$C696)-1)),2)&amp;RIGHT("00"&amp;VALUE(MID(Entry!$C696,FIND(":",Entry!$C696)+1,2)),2),"0000"))))</f>
        <v/>
      </c>
      <c r="G693">
        <f>IF($A693="","",Entry!$G696)</f>
        <v/>
      </c>
      <c r="H693">
        <f>IF($A693="","",IF(Entry!$H696="",0,Entry!$H696))</f>
        <v/>
      </c>
      <c r="I693">
        <f>IF($A693="","",IF(Entry!$I696="",0,Entry!$I696))</f>
        <v/>
      </c>
      <c r="J693">
        <f>IF($A693="","",ROUND($H693*$I693,0))</f>
        <v/>
      </c>
      <c r="K693">
        <f>IF($A693="","",Entry!$D696)</f>
        <v/>
      </c>
      <c r="L693">
        <f>IF($A693="","",Entry!$L696)</f>
        <v/>
      </c>
      <c r="N693">
        <f>IF(OR(Sync!$M693="",$Q693="",$Q693="نامعتبر"),"",Sync!$M693)</f>
        <v/>
      </c>
      <c r="O693">
        <f>IF($N693="","",$Q693)</f>
        <v/>
      </c>
      <c r="P693">
        <f>IF($N693="","",LEFT($Q693,4)&amp;MID($Q693,6,2)&amp;RIGHT($Q693,2)&amp;IF(Sync!$K693="","0000",IF(AND(ISNUMBER(Sync!$K693),Sync!$K693&gt;=0,Sync!$K693&lt;1),RIGHT("00"&amp;HOUR(Sync!$K693),2)&amp;RIGHT("00"&amp;MINUTE(Sync!$K693),2),IFERROR(RIGHT("00"&amp;VALUE(LEFT(Sync!$K693,FIND(":",Sync!$K693)-1)),2)&amp;RIGHT("00"&amp;VALUE(MID(Sync!$K693,FIND(":",Sync!$K693)+1,2)),2),"0000")))&amp;"|"&amp;"2"&amp;RIGHT("00000"&amp;688,5))</f>
        <v/>
      </c>
      <c r="Q693">
        <f>IF(Sync!$J693="","",IF(ISNUMBER(Sync!$J693),IF(AND(Sync!$J693&gt;=10000101,Sync!$J693&lt;=99991231),INT(Sync!$J693/10000)&amp;"/"&amp;RIGHT("00"&amp;INT(MOD(Sync!$J693,10000)/100),2)&amp;"/"&amp;RIGHT("00"&amp;MOD(Sync!$J693,100),2),"نامعتبر"),IF(LEN(Sync!$J693)=10,Sync!$J693,"نامعتبر")))</f>
        <v/>
      </c>
      <c r="R693">
        <f>IF($P693="","",COUNTIFS($N$6:$N$2005,$N693,$P$6:$P$2005,"&lt;"&amp;$P693)+COUNTIFS($A$6:$A$1005,$N693,$B$6:$B$1005,"&lt;"&amp;$P693)+1)</f>
        <v/>
      </c>
      <c r="S693">
        <f>IF($N693="","",$N693&amp;"|"&amp;RIGHT("000000"&amp;$R693,6))</f>
        <v/>
      </c>
      <c r="T693">
        <f>IF($N693="","",IF(Sync!$N693="",0,Sync!$N693))</f>
        <v/>
      </c>
      <c r="U693">
        <f>IF($N693="","",IF(Sync!$O693="",0,Sync!$O693))</f>
        <v/>
      </c>
      <c r="V693">
        <f>IF($N693="","",Sync!$L693)</f>
        <v/>
      </c>
      <c r="W693">
        <f>IF($N693="","",Sync!$P693)</f>
        <v/>
      </c>
      <c r="AA693">
        <f>IF($A693="","",IF(COUNTIF($A$6:$A693,$A693)=1,1,0))</f>
        <v/>
      </c>
      <c r="AB693">
        <f>SUM($AA$6:$AA693)</f>
        <v/>
      </c>
      <c r="AC693">
        <f>IFERROR(INDEX($A$6:$A$1005,MATCH(ROW()-5,$AB$6:$AB$1005,0)),"")</f>
        <v/>
      </c>
    </row>
    <row r="694">
      <c r="A694">
        <f>IF(OR(Entry!$B697="",Entry!$E697="",$E694="نامعتبر"),"",Entry!$E697)</f>
        <v/>
      </c>
      <c r="B694">
        <f>IF($A694="","",LEFT($E694,4)&amp;MID($E694,6,2)&amp;RIGHT($E694,2)&amp;$F694&amp;"|"&amp;"1"&amp;RIGHT("00000"&amp;689,5))</f>
        <v/>
      </c>
      <c r="C694">
        <f>IF($B694="","",COUNTIFS($A$6:$A$1005,$A694,$B$6:$B$1005,"&lt;"&amp;$B694)+COUNTIFS($N$6:$N$2005,$A694,$P$6:$P$2005,"&lt;"&amp;$B694)+1)</f>
        <v/>
      </c>
      <c r="D694">
        <f>IF($C694="","",$A694&amp;"|"&amp;RIGHT("000000"&amp;$C694,6))</f>
        <v/>
      </c>
      <c r="E694">
        <f>IF(Entry!$B697="","",IF(ISNUMBER(Entry!$B697),IF(AND(Entry!$B697&gt;=10000101,Entry!$B697&lt;=99991231),INT(Entry!$B697/10000)&amp;"/"&amp;RIGHT("00"&amp;INT(MOD(Entry!$B697,10000)/100),2)&amp;"/"&amp;RIGHT("00"&amp;MOD(Entry!$B697,100),2),"نامعتبر"),IF(LEN(Entry!$B697)=10,Entry!$B697,"نامعتبر")))</f>
        <v/>
      </c>
      <c r="F694">
        <f>IF(Entry!$B697="","",IF(Entry!$C697="","0000",IF(AND(ISNUMBER(Entry!$C697),Entry!$C697&gt;=0,Entry!$C697&lt;1),RIGHT("00"&amp;HOUR(Entry!$C697),2)&amp;RIGHT("00"&amp;MINUTE(Entry!$C697),2),IFERROR(RIGHT("00"&amp;VALUE(LEFT(Entry!$C697,FIND(":",Entry!$C697)-1)),2)&amp;RIGHT("00"&amp;VALUE(MID(Entry!$C697,FIND(":",Entry!$C697)+1,2)),2),"0000"))))</f>
        <v/>
      </c>
      <c r="G694">
        <f>IF($A694="","",Entry!$G697)</f>
        <v/>
      </c>
      <c r="H694">
        <f>IF($A694="","",IF(Entry!$H697="",0,Entry!$H697))</f>
        <v/>
      </c>
      <c r="I694">
        <f>IF($A694="","",IF(Entry!$I697="",0,Entry!$I697))</f>
        <v/>
      </c>
      <c r="J694">
        <f>IF($A694="","",ROUND($H694*$I694,0))</f>
        <v/>
      </c>
      <c r="K694">
        <f>IF($A694="","",Entry!$D697)</f>
        <v/>
      </c>
      <c r="L694">
        <f>IF($A694="","",Entry!$L697)</f>
        <v/>
      </c>
      <c r="N694">
        <f>IF(OR(Sync!$M694="",$Q694="",$Q694="نامعتبر"),"",Sync!$M694)</f>
        <v/>
      </c>
      <c r="O694">
        <f>IF($N694="","",$Q694)</f>
        <v/>
      </c>
      <c r="P694">
        <f>IF($N694="","",LEFT($Q694,4)&amp;MID($Q694,6,2)&amp;RIGHT($Q694,2)&amp;IF(Sync!$K694="","0000",IF(AND(ISNUMBER(Sync!$K694),Sync!$K694&gt;=0,Sync!$K694&lt;1),RIGHT("00"&amp;HOUR(Sync!$K694),2)&amp;RIGHT("00"&amp;MINUTE(Sync!$K694),2),IFERROR(RIGHT("00"&amp;VALUE(LEFT(Sync!$K694,FIND(":",Sync!$K694)-1)),2)&amp;RIGHT("00"&amp;VALUE(MID(Sync!$K694,FIND(":",Sync!$K694)+1,2)),2),"0000")))&amp;"|"&amp;"2"&amp;RIGHT("00000"&amp;689,5))</f>
        <v/>
      </c>
      <c r="Q694">
        <f>IF(Sync!$J694="","",IF(ISNUMBER(Sync!$J694),IF(AND(Sync!$J694&gt;=10000101,Sync!$J694&lt;=99991231),INT(Sync!$J694/10000)&amp;"/"&amp;RIGHT("00"&amp;INT(MOD(Sync!$J694,10000)/100),2)&amp;"/"&amp;RIGHT("00"&amp;MOD(Sync!$J694,100),2),"نامعتبر"),IF(LEN(Sync!$J694)=10,Sync!$J694,"نامعتبر")))</f>
        <v/>
      </c>
      <c r="R694">
        <f>IF($P694="","",COUNTIFS($N$6:$N$2005,$N694,$P$6:$P$2005,"&lt;"&amp;$P694)+COUNTIFS($A$6:$A$1005,$N694,$B$6:$B$1005,"&lt;"&amp;$P694)+1)</f>
        <v/>
      </c>
      <c r="S694">
        <f>IF($N694="","",$N694&amp;"|"&amp;RIGHT("000000"&amp;$R694,6))</f>
        <v/>
      </c>
      <c r="T694">
        <f>IF($N694="","",IF(Sync!$N694="",0,Sync!$N694))</f>
        <v/>
      </c>
      <c r="U694">
        <f>IF($N694="","",IF(Sync!$O694="",0,Sync!$O694))</f>
        <v/>
      </c>
      <c r="V694">
        <f>IF($N694="","",Sync!$L694)</f>
        <v/>
      </c>
      <c r="W694">
        <f>IF($N694="","",Sync!$P694)</f>
        <v/>
      </c>
      <c r="AA694">
        <f>IF($A694="","",IF(COUNTIF($A$6:$A694,$A694)=1,1,0))</f>
        <v/>
      </c>
      <c r="AB694">
        <f>SUM($AA$6:$AA694)</f>
        <v/>
      </c>
      <c r="AC694">
        <f>IFERROR(INDEX($A$6:$A$1005,MATCH(ROW()-5,$AB$6:$AB$1005,0)),"")</f>
        <v/>
      </c>
    </row>
    <row r="695">
      <c r="A695">
        <f>IF(OR(Entry!$B698="",Entry!$E698="",$E695="نامعتبر"),"",Entry!$E698)</f>
        <v/>
      </c>
      <c r="B695">
        <f>IF($A695="","",LEFT($E695,4)&amp;MID($E695,6,2)&amp;RIGHT($E695,2)&amp;$F695&amp;"|"&amp;"1"&amp;RIGHT("00000"&amp;690,5))</f>
        <v/>
      </c>
      <c r="C695">
        <f>IF($B695="","",COUNTIFS($A$6:$A$1005,$A695,$B$6:$B$1005,"&lt;"&amp;$B695)+COUNTIFS($N$6:$N$2005,$A695,$P$6:$P$2005,"&lt;"&amp;$B695)+1)</f>
        <v/>
      </c>
      <c r="D695">
        <f>IF($C695="","",$A695&amp;"|"&amp;RIGHT("000000"&amp;$C695,6))</f>
        <v/>
      </c>
      <c r="E695">
        <f>IF(Entry!$B698="","",IF(ISNUMBER(Entry!$B698),IF(AND(Entry!$B698&gt;=10000101,Entry!$B698&lt;=99991231),INT(Entry!$B698/10000)&amp;"/"&amp;RIGHT("00"&amp;INT(MOD(Entry!$B698,10000)/100),2)&amp;"/"&amp;RIGHT("00"&amp;MOD(Entry!$B698,100),2),"نامعتبر"),IF(LEN(Entry!$B698)=10,Entry!$B698,"نامعتبر")))</f>
        <v/>
      </c>
      <c r="F695">
        <f>IF(Entry!$B698="","",IF(Entry!$C698="","0000",IF(AND(ISNUMBER(Entry!$C698),Entry!$C698&gt;=0,Entry!$C698&lt;1),RIGHT("00"&amp;HOUR(Entry!$C698),2)&amp;RIGHT("00"&amp;MINUTE(Entry!$C698),2),IFERROR(RIGHT("00"&amp;VALUE(LEFT(Entry!$C698,FIND(":",Entry!$C698)-1)),2)&amp;RIGHT("00"&amp;VALUE(MID(Entry!$C698,FIND(":",Entry!$C698)+1,2)),2),"0000"))))</f>
        <v/>
      </c>
      <c r="G695">
        <f>IF($A695="","",Entry!$G698)</f>
        <v/>
      </c>
      <c r="H695">
        <f>IF($A695="","",IF(Entry!$H698="",0,Entry!$H698))</f>
        <v/>
      </c>
      <c r="I695">
        <f>IF($A695="","",IF(Entry!$I698="",0,Entry!$I698))</f>
        <v/>
      </c>
      <c r="J695">
        <f>IF($A695="","",ROUND($H695*$I695,0))</f>
        <v/>
      </c>
      <c r="K695">
        <f>IF($A695="","",Entry!$D698)</f>
        <v/>
      </c>
      <c r="L695">
        <f>IF($A695="","",Entry!$L698)</f>
        <v/>
      </c>
      <c r="N695">
        <f>IF(OR(Sync!$M695="",$Q695="",$Q695="نامعتبر"),"",Sync!$M695)</f>
        <v/>
      </c>
      <c r="O695">
        <f>IF($N695="","",$Q695)</f>
        <v/>
      </c>
      <c r="P695">
        <f>IF($N695="","",LEFT($Q695,4)&amp;MID($Q695,6,2)&amp;RIGHT($Q695,2)&amp;IF(Sync!$K695="","0000",IF(AND(ISNUMBER(Sync!$K695),Sync!$K695&gt;=0,Sync!$K695&lt;1),RIGHT("00"&amp;HOUR(Sync!$K695),2)&amp;RIGHT("00"&amp;MINUTE(Sync!$K695),2),IFERROR(RIGHT("00"&amp;VALUE(LEFT(Sync!$K695,FIND(":",Sync!$K695)-1)),2)&amp;RIGHT("00"&amp;VALUE(MID(Sync!$K695,FIND(":",Sync!$K695)+1,2)),2),"0000")))&amp;"|"&amp;"2"&amp;RIGHT("00000"&amp;690,5))</f>
        <v/>
      </c>
      <c r="Q695">
        <f>IF(Sync!$J695="","",IF(ISNUMBER(Sync!$J695),IF(AND(Sync!$J695&gt;=10000101,Sync!$J695&lt;=99991231),INT(Sync!$J695/10000)&amp;"/"&amp;RIGHT("00"&amp;INT(MOD(Sync!$J695,10000)/100),2)&amp;"/"&amp;RIGHT("00"&amp;MOD(Sync!$J695,100),2),"نامعتبر"),IF(LEN(Sync!$J695)=10,Sync!$J695,"نامعتبر")))</f>
        <v/>
      </c>
      <c r="R695">
        <f>IF($P695="","",COUNTIFS($N$6:$N$2005,$N695,$P$6:$P$2005,"&lt;"&amp;$P695)+COUNTIFS($A$6:$A$1005,$N695,$B$6:$B$1005,"&lt;"&amp;$P695)+1)</f>
        <v/>
      </c>
      <c r="S695">
        <f>IF($N695="","",$N695&amp;"|"&amp;RIGHT("000000"&amp;$R695,6))</f>
        <v/>
      </c>
      <c r="T695">
        <f>IF($N695="","",IF(Sync!$N695="",0,Sync!$N695))</f>
        <v/>
      </c>
      <c r="U695">
        <f>IF($N695="","",IF(Sync!$O695="",0,Sync!$O695))</f>
        <v/>
      </c>
      <c r="V695">
        <f>IF($N695="","",Sync!$L695)</f>
        <v/>
      </c>
      <c r="W695">
        <f>IF($N695="","",Sync!$P695)</f>
        <v/>
      </c>
      <c r="AA695">
        <f>IF($A695="","",IF(COUNTIF($A$6:$A695,$A695)=1,1,0))</f>
        <v/>
      </c>
      <c r="AB695">
        <f>SUM($AA$6:$AA695)</f>
        <v/>
      </c>
      <c r="AC695">
        <f>IFERROR(INDEX($A$6:$A$1005,MATCH(ROW()-5,$AB$6:$AB$1005,0)),"")</f>
        <v/>
      </c>
    </row>
    <row r="696">
      <c r="A696">
        <f>IF(OR(Entry!$B699="",Entry!$E699="",$E696="نامعتبر"),"",Entry!$E699)</f>
        <v/>
      </c>
      <c r="B696">
        <f>IF($A696="","",LEFT($E696,4)&amp;MID($E696,6,2)&amp;RIGHT($E696,2)&amp;$F696&amp;"|"&amp;"1"&amp;RIGHT("00000"&amp;691,5))</f>
        <v/>
      </c>
      <c r="C696">
        <f>IF($B696="","",COUNTIFS($A$6:$A$1005,$A696,$B$6:$B$1005,"&lt;"&amp;$B696)+COUNTIFS($N$6:$N$2005,$A696,$P$6:$P$2005,"&lt;"&amp;$B696)+1)</f>
        <v/>
      </c>
      <c r="D696">
        <f>IF($C696="","",$A696&amp;"|"&amp;RIGHT("000000"&amp;$C696,6))</f>
        <v/>
      </c>
      <c r="E696">
        <f>IF(Entry!$B699="","",IF(ISNUMBER(Entry!$B699),IF(AND(Entry!$B699&gt;=10000101,Entry!$B699&lt;=99991231),INT(Entry!$B699/10000)&amp;"/"&amp;RIGHT("00"&amp;INT(MOD(Entry!$B699,10000)/100),2)&amp;"/"&amp;RIGHT("00"&amp;MOD(Entry!$B699,100),2),"نامعتبر"),IF(LEN(Entry!$B699)=10,Entry!$B699,"نامعتبر")))</f>
        <v/>
      </c>
      <c r="F696">
        <f>IF(Entry!$B699="","",IF(Entry!$C699="","0000",IF(AND(ISNUMBER(Entry!$C699),Entry!$C699&gt;=0,Entry!$C699&lt;1),RIGHT("00"&amp;HOUR(Entry!$C699),2)&amp;RIGHT("00"&amp;MINUTE(Entry!$C699),2),IFERROR(RIGHT("00"&amp;VALUE(LEFT(Entry!$C699,FIND(":",Entry!$C699)-1)),2)&amp;RIGHT("00"&amp;VALUE(MID(Entry!$C699,FIND(":",Entry!$C699)+1,2)),2),"0000"))))</f>
        <v/>
      </c>
      <c r="G696">
        <f>IF($A696="","",Entry!$G699)</f>
        <v/>
      </c>
      <c r="H696">
        <f>IF($A696="","",IF(Entry!$H699="",0,Entry!$H699))</f>
        <v/>
      </c>
      <c r="I696">
        <f>IF($A696="","",IF(Entry!$I699="",0,Entry!$I699))</f>
        <v/>
      </c>
      <c r="J696">
        <f>IF($A696="","",ROUND($H696*$I696,0))</f>
        <v/>
      </c>
      <c r="K696">
        <f>IF($A696="","",Entry!$D699)</f>
        <v/>
      </c>
      <c r="L696">
        <f>IF($A696="","",Entry!$L699)</f>
        <v/>
      </c>
      <c r="N696">
        <f>IF(OR(Sync!$M696="",$Q696="",$Q696="نامعتبر"),"",Sync!$M696)</f>
        <v/>
      </c>
      <c r="O696">
        <f>IF($N696="","",$Q696)</f>
        <v/>
      </c>
      <c r="P696">
        <f>IF($N696="","",LEFT($Q696,4)&amp;MID($Q696,6,2)&amp;RIGHT($Q696,2)&amp;IF(Sync!$K696="","0000",IF(AND(ISNUMBER(Sync!$K696),Sync!$K696&gt;=0,Sync!$K696&lt;1),RIGHT("00"&amp;HOUR(Sync!$K696),2)&amp;RIGHT("00"&amp;MINUTE(Sync!$K696),2),IFERROR(RIGHT("00"&amp;VALUE(LEFT(Sync!$K696,FIND(":",Sync!$K696)-1)),2)&amp;RIGHT("00"&amp;VALUE(MID(Sync!$K696,FIND(":",Sync!$K696)+1,2)),2),"0000")))&amp;"|"&amp;"2"&amp;RIGHT("00000"&amp;691,5))</f>
        <v/>
      </c>
      <c r="Q696">
        <f>IF(Sync!$J696="","",IF(ISNUMBER(Sync!$J696),IF(AND(Sync!$J696&gt;=10000101,Sync!$J696&lt;=99991231),INT(Sync!$J696/10000)&amp;"/"&amp;RIGHT("00"&amp;INT(MOD(Sync!$J696,10000)/100),2)&amp;"/"&amp;RIGHT("00"&amp;MOD(Sync!$J696,100),2),"نامعتبر"),IF(LEN(Sync!$J696)=10,Sync!$J696,"نامعتبر")))</f>
        <v/>
      </c>
      <c r="R696">
        <f>IF($P696="","",COUNTIFS($N$6:$N$2005,$N696,$P$6:$P$2005,"&lt;"&amp;$P696)+COUNTIFS($A$6:$A$1005,$N696,$B$6:$B$1005,"&lt;"&amp;$P696)+1)</f>
        <v/>
      </c>
      <c r="S696">
        <f>IF($N696="","",$N696&amp;"|"&amp;RIGHT("000000"&amp;$R696,6))</f>
        <v/>
      </c>
      <c r="T696">
        <f>IF($N696="","",IF(Sync!$N696="",0,Sync!$N696))</f>
        <v/>
      </c>
      <c r="U696">
        <f>IF($N696="","",IF(Sync!$O696="",0,Sync!$O696))</f>
        <v/>
      </c>
      <c r="V696">
        <f>IF($N696="","",Sync!$L696)</f>
        <v/>
      </c>
      <c r="W696">
        <f>IF($N696="","",Sync!$P696)</f>
        <v/>
      </c>
      <c r="AA696">
        <f>IF($A696="","",IF(COUNTIF($A$6:$A696,$A696)=1,1,0))</f>
        <v/>
      </c>
      <c r="AB696">
        <f>SUM($AA$6:$AA696)</f>
        <v/>
      </c>
      <c r="AC696">
        <f>IFERROR(INDEX($A$6:$A$1005,MATCH(ROW()-5,$AB$6:$AB$1005,0)),"")</f>
        <v/>
      </c>
    </row>
    <row r="697">
      <c r="A697">
        <f>IF(OR(Entry!$B700="",Entry!$E700="",$E697="نامعتبر"),"",Entry!$E700)</f>
        <v/>
      </c>
      <c r="B697">
        <f>IF($A697="","",LEFT($E697,4)&amp;MID($E697,6,2)&amp;RIGHT($E697,2)&amp;$F697&amp;"|"&amp;"1"&amp;RIGHT("00000"&amp;692,5))</f>
        <v/>
      </c>
      <c r="C697">
        <f>IF($B697="","",COUNTIFS($A$6:$A$1005,$A697,$B$6:$B$1005,"&lt;"&amp;$B697)+COUNTIFS($N$6:$N$2005,$A697,$P$6:$P$2005,"&lt;"&amp;$B697)+1)</f>
        <v/>
      </c>
      <c r="D697">
        <f>IF($C697="","",$A697&amp;"|"&amp;RIGHT("000000"&amp;$C697,6))</f>
        <v/>
      </c>
      <c r="E697">
        <f>IF(Entry!$B700="","",IF(ISNUMBER(Entry!$B700),IF(AND(Entry!$B700&gt;=10000101,Entry!$B700&lt;=99991231),INT(Entry!$B700/10000)&amp;"/"&amp;RIGHT("00"&amp;INT(MOD(Entry!$B700,10000)/100),2)&amp;"/"&amp;RIGHT("00"&amp;MOD(Entry!$B700,100),2),"نامعتبر"),IF(LEN(Entry!$B700)=10,Entry!$B700,"نامعتبر")))</f>
        <v/>
      </c>
      <c r="F697">
        <f>IF(Entry!$B700="","",IF(Entry!$C700="","0000",IF(AND(ISNUMBER(Entry!$C700),Entry!$C700&gt;=0,Entry!$C700&lt;1),RIGHT("00"&amp;HOUR(Entry!$C700),2)&amp;RIGHT("00"&amp;MINUTE(Entry!$C700),2),IFERROR(RIGHT("00"&amp;VALUE(LEFT(Entry!$C700,FIND(":",Entry!$C700)-1)),2)&amp;RIGHT("00"&amp;VALUE(MID(Entry!$C700,FIND(":",Entry!$C700)+1,2)),2),"0000"))))</f>
        <v/>
      </c>
      <c r="G697">
        <f>IF($A697="","",Entry!$G700)</f>
        <v/>
      </c>
      <c r="H697">
        <f>IF($A697="","",IF(Entry!$H700="",0,Entry!$H700))</f>
        <v/>
      </c>
      <c r="I697">
        <f>IF($A697="","",IF(Entry!$I700="",0,Entry!$I700))</f>
        <v/>
      </c>
      <c r="J697">
        <f>IF($A697="","",ROUND($H697*$I697,0))</f>
        <v/>
      </c>
      <c r="K697">
        <f>IF($A697="","",Entry!$D700)</f>
        <v/>
      </c>
      <c r="L697">
        <f>IF($A697="","",Entry!$L700)</f>
        <v/>
      </c>
      <c r="N697">
        <f>IF(OR(Sync!$M697="",$Q697="",$Q697="نامعتبر"),"",Sync!$M697)</f>
        <v/>
      </c>
      <c r="O697">
        <f>IF($N697="","",$Q697)</f>
        <v/>
      </c>
      <c r="P697">
        <f>IF($N697="","",LEFT($Q697,4)&amp;MID($Q697,6,2)&amp;RIGHT($Q697,2)&amp;IF(Sync!$K697="","0000",IF(AND(ISNUMBER(Sync!$K697),Sync!$K697&gt;=0,Sync!$K697&lt;1),RIGHT("00"&amp;HOUR(Sync!$K697),2)&amp;RIGHT("00"&amp;MINUTE(Sync!$K697),2),IFERROR(RIGHT("00"&amp;VALUE(LEFT(Sync!$K697,FIND(":",Sync!$K697)-1)),2)&amp;RIGHT("00"&amp;VALUE(MID(Sync!$K697,FIND(":",Sync!$K697)+1,2)),2),"0000")))&amp;"|"&amp;"2"&amp;RIGHT("00000"&amp;692,5))</f>
        <v/>
      </c>
      <c r="Q697">
        <f>IF(Sync!$J697="","",IF(ISNUMBER(Sync!$J697),IF(AND(Sync!$J697&gt;=10000101,Sync!$J697&lt;=99991231),INT(Sync!$J697/10000)&amp;"/"&amp;RIGHT("00"&amp;INT(MOD(Sync!$J697,10000)/100),2)&amp;"/"&amp;RIGHT("00"&amp;MOD(Sync!$J697,100),2),"نامعتبر"),IF(LEN(Sync!$J697)=10,Sync!$J697,"نامعتبر")))</f>
        <v/>
      </c>
      <c r="R697">
        <f>IF($P697="","",COUNTIFS($N$6:$N$2005,$N697,$P$6:$P$2005,"&lt;"&amp;$P697)+COUNTIFS($A$6:$A$1005,$N697,$B$6:$B$1005,"&lt;"&amp;$P697)+1)</f>
        <v/>
      </c>
      <c r="S697">
        <f>IF($N697="","",$N697&amp;"|"&amp;RIGHT("000000"&amp;$R697,6))</f>
        <v/>
      </c>
      <c r="T697">
        <f>IF($N697="","",IF(Sync!$N697="",0,Sync!$N697))</f>
        <v/>
      </c>
      <c r="U697">
        <f>IF($N697="","",IF(Sync!$O697="",0,Sync!$O697))</f>
        <v/>
      </c>
      <c r="V697">
        <f>IF($N697="","",Sync!$L697)</f>
        <v/>
      </c>
      <c r="W697">
        <f>IF($N697="","",Sync!$P697)</f>
        <v/>
      </c>
      <c r="AA697">
        <f>IF($A697="","",IF(COUNTIF($A$6:$A697,$A697)=1,1,0))</f>
        <v/>
      </c>
      <c r="AB697">
        <f>SUM($AA$6:$AA697)</f>
        <v/>
      </c>
      <c r="AC697">
        <f>IFERROR(INDEX($A$6:$A$1005,MATCH(ROW()-5,$AB$6:$AB$1005,0)),"")</f>
        <v/>
      </c>
    </row>
    <row r="698">
      <c r="A698">
        <f>IF(OR(Entry!$B701="",Entry!$E701="",$E698="نامعتبر"),"",Entry!$E701)</f>
        <v/>
      </c>
      <c r="B698">
        <f>IF($A698="","",LEFT($E698,4)&amp;MID($E698,6,2)&amp;RIGHT($E698,2)&amp;$F698&amp;"|"&amp;"1"&amp;RIGHT("00000"&amp;693,5))</f>
        <v/>
      </c>
      <c r="C698">
        <f>IF($B698="","",COUNTIFS($A$6:$A$1005,$A698,$B$6:$B$1005,"&lt;"&amp;$B698)+COUNTIFS($N$6:$N$2005,$A698,$P$6:$P$2005,"&lt;"&amp;$B698)+1)</f>
        <v/>
      </c>
      <c r="D698">
        <f>IF($C698="","",$A698&amp;"|"&amp;RIGHT("000000"&amp;$C698,6))</f>
        <v/>
      </c>
      <c r="E698">
        <f>IF(Entry!$B701="","",IF(ISNUMBER(Entry!$B701),IF(AND(Entry!$B701&gt;=10000101,Entry!$B701&lt;=99991231),INT(Entry!$B701/10000)&amp;"/"&amp;RIGHT("00"&amp;INT(MOD(Entry!$B701,10000)/100),2)&amp;"/"&amp;RIGHT("00"&amp;MOD(Entry!$B701,100),2),"نامعتبر"),IF(LEN(Entry!$B701)=10,Entry!$B701,"نامعتبر")))</f>
        <v/>
      </c>
      <c r="F698">
        <f>IF(Entry!$B701="","",IF(Entry!$C701="","0000",IF(AND(ISNUMBER(Entry!$C701),Entry!$C701&gt;=0,Entry!$C701&lt;1),RIGHT("00"&amp;HOUR(Entry!$C701),2)&amp;RIGHT("00"&amp;MINUTE(Entry!$C701),2),IFERROR(RIGHT("00"&amp;VALUE(LEFT(Entry!$C701,FIND(":",Entry!$C701)-1)),2)&amp;RIGHT("00"&amp;VALUE(MID(Entry!$C701,FIND(":",Entry!$C701)+1,2)),2),"0000"))))</f>
        <v/>
      </c>
      <c r="G698">
        <f>IF($A698="","",Entry!$G701)</f>
        <v/>
      </c>
      <c r="H698">
        <f>IF($A698="","",IF(Entry!$H701="",0,Entry!$H701))</f>
        <v/>
      </c>
      <c r="I698">
        <f>IF($A698="","",IF(Entry!$I701="",0,Entry!$I701))</f>
        <v/>
      </c>
      <c r="J698">
        <f>IF($A698="","",ROUND($H698*$I698,0))</f>
        <v/>
      </c>
      <c r="K698">
        <f>IF($A698="","",Entry!$D701)</f>
        <v/>
      </c>
      <c r="L698">
        <f>IF($A698="","",Entry!$L701)</f>
        <v/>
      </c>
      <c r="N698">
        <f>IF(OR(Sync!$M698="",$Q698="",$Q698="نامعتبر"),"",Sync!$M698)</f>
        <v/>
      </c>
      <c r="O698">
        <f>IF($N698="","",$Q698)</f>
        <v/>
      </c>
      <c r="P698">
        <f>IF($N698="","",LEFT($Q698,4)&amp;MID($Q698,6,2)&amp;RIGHT($Q698,2)&amp;IF(Sync!$K698="","0000",IF(AND(ISNUMBER(Sync!$K698),Sync!$K698&gt;=0,Sync!$K698&lt;1),RIGHT("00"&amp;HOUR(Sync!$K698),2)&amp;RIGHT("00"&amp;MINUTE(Sync!$K698),2),IFERROR(RIGHT("00"&amp;VALUE(LEFT(Sync!$K698,FIND(":",Sync!$K698)-1)),2)&amp;RIGHT("00"&amp;VALUE(MID(Sync!$K698,FIND(":",Sync!$K698)+1,2)),2),"0000")))&amp;"|"&amp;"2"&amp;RIGHT("00000"&amp;693,5))</f>
        <v/>
      </c>
      <c r="Q698">
        <f>IF(Sync!$J698="","",IF(ISNUMBER(Sync!$J698),IF(AND(Sync!$J698&gt;=10000101,Sync!$J698&lt;=99991231),INT(Sync!$J698/10000)&amp;"/"&amp;RIGHT("00"&amp;INT(MOD(Sync!$J698,10000)/100),2)&amp;"/"&amp;RIGHT("00"&amp;MOD(Sync!$J698,100),2),"نامعتبر"),IF(LEN(Sync!$J698)=10,Sync!$J698,"نامعتبر")))</f>
        <v/>
      </c>
      <c r="R698">
        <f>IF($P698="","",COUNTIFS($N$6:$N$2005,$N698,$P$6:$P$2005,"&lt;"&amp;$P698)+COUNTIFS($A$6:$A$1005,$N698,$B$6:$B$1005,"&lt;"&amp;$P698)+1)</f>
        <v/>
      </c>
      <c r="S698">
        <f>IF($N698="","",$N698&amp;"|"&amp;RIGHT("000000"&amp;$R698,6))</f>
        <v/>
      </c>
      <c r="T698">
        <f>IF($N698="","",IF(Sync!$N698="",0,Sync!$N698))</f>
        <v/>
      </c>
      <c r="U698">
        <f>IF($N698="","",IF(Sync!$O698="",0,Sync!$O698))</f>
        <v/>
      </c>
      <c r="V698">
        <f>IF($N698="","",Sync!$L698)</f>
        <v/>
      </c>
      <c r="W698">
        <f>IF($N698="","",Sync!$P698)</f>
        <v/>
      </c>
      <c r="AA698">
        <f>IF($A698="","",IF(COUNTIF($A$6:$A698,$A698)=1,1,0))</f>
        <v/>
      </c>
      <c r="AB698">
        <f>SUM($AA$6:$AA698)</f>
        <v/>
      </c>
      <c r="AC698">
        <f>IFERROR(INDEX($A$6:$A$1005,MATCH(ROW()-5,$AB$6:$AB$1005,0)),"")</f>
        <v/>
      </c>
    </row>
    <row r="699">
      <c r="A699">
        <f>IF(OR(Entry!$B702="",Entry!$E702="",$E699="نامعتبر"),"",Entry!$E702)</f>
        <v/>
      </c>
      <c r="B699">
        <f>IF($A699="","",LEFT($E699,4)&amp;MID($E699,6,2)&amp;RIGHT($E699,2)&amp;$F699&amp;"|"&amp;"1"&amp;RIGHT("00000"&amp;694,5))</f>
        <v/>
      </c>
      <c r="C699">
        <f>IF($B699="","",COUNTIFS($A$6:$A$1005,$A699,$B$6:$B$1005,"&lt;"&amp;$B699)+COUNTIFS($N$6:$N$2005,$A699,$P$6:$P$2005,"&lt;"&amp;$B699)+1)</f>
        <v/>
      </c>
      <c r="D699">
        <f>IF($C699="","",$A699&amp;"|"&amp;RIGHT("000000"&amp;$C699,6))</f>
        <v/>
      </c>
      <c r="E699">
        <f>IF(Entry!$B702="","",IF(ISNUMBER(Entry!$B702),IF(AND(Entry!$B702&gt;=10000101,Entry!$B702&lt;=99991231),INT(Entry!$B702/10000)&amp;"/"&amp;RIGHT("00"&amp;INT(MOD(Entry!$B702,10000)/100),2)&amp;"/"&amp;RIGHT("00"&amp;MOD(Entry!$B702,100),2),"نامعتبر"),IF(LEN(Entry!$B702)=10,Entry!$B702,"نامعتبر")))</f>
        <v/>
      </c>
      <c r="F699">
        <f>IF(Entry!$B702="","",IF(Entry!$C702="","0000",IF(AND(ISNUMBER(Entry!$C702),Entry!$C702&gt;=0,Entry!$C702&lt;1),RIGHT("00"&amp;HOUR(Entry!$C702),2)&amp;RIGHT("00"&amp;MINUTE(Entry!$C702),2),IFERROR(RIGHT("00"&amp;VALUE(LEFT(Entry!$C702,FIND(":",Entry!$C702)-1)),2)&amp;RIGHT("00"&amp;VALUE(MID(Entry!$C702,FIND(":",Entry!$C702)+1,2)),2),"0000"))))</f>
        <v/>
      </c>
      <c r="G699">
        <f>IF($A699="","",Entry!$G702)</f>
        <v/>
      </c>
      <c r="H699">
        <f>IF($A699="","",IF(Entry!$H702="",0,Entry!$H702))</f>
        <v/>
      </c>
      <c r="I699">
        <f>IF($A699="","",IF(Entry!$I702="",0,Entry!$I702))</f>
        <v/>
      </c>
      <c r="J699">
        <f>IF($A699="","",ROUND($H699*$I699,0))</f>
        <v/>
      </c>
      <c r="K699">
        <f>IF($A699="","",Entry!$D702)</f>
        <v/>
      </c>
      <c r="L699">
        <f>IF($A699="","",Entry!$L702)</f>
        <v/>
      </c>
      <c r="N699">
        <f>IF(OR(Sync!$M699="",$Q699="",$Q699="نامعتبر"),"",Sync!$M699)</f>
        <v/>
      </c>
      <c r="O699">
        <f>IF($N699="","",$Q699)</f>
        <v/>
      </c>
      <c r="P699">
        <f>IF($N699="","",LEFT($Q699,4)&amp;MID($Q699,6,2)&amp;RIGHT($Q699,2)&amp;IF(Sync!$K699="","0000",IF(AND(ISNUMBER(Sync!$K699),Sync!$K699&gt;=0,Sync!$K699&lt;1),RIGHT("00"&amp;HOUR(Sync!$K699),2)&amp;RIGHT("00"&amp;MINUTE(Sync!$K699),2),IFERROR(RIGHT("00"&amp;VALUE(LEFT(Sync!$K699,FIND(":",Sync!$K699)-1)),2)&amp;RIGHT("00"&amp;VALUE(MID(Sync!$K699,FIND(":",Sync!$K699)+1,2)),2),"0000")))&amp;"|"&amp;"2"&amp;RIGHT("00000"&amp;694,5))</f>
        <v/>
      </c>
      <c r="Q699">
        <f>IF(Sync!$J699="","",IF(ISNUMBER(Sync!$J699),IF(AND(Sync!$J699&gt;=10000101,Sync!$J699&lt;=99991231),INT(Sync!$J699/10000)&amp;"/"&amp;RIGHT("00"&amp;INT(MOD(Sync!$J699,10000)/100),2)&amp;"/"&amp;RIGHT("00"&amp;MOD(Sync!$J699,100),2),"نامعتبر"),IF(LEN(Sync!$J699)=10,Sync!$J699,"نامعتبر")))</f>
        <v/>
      </c>
      <c r="R699">
        <f>IF($P699="","",COUNTIFS($N$6:$N$2005,$N699,$P$6:$P$2005,"&lt;"&amp;$P699)+COUNTIFS($A$6:$A$1005,$N699,$B$6:$B$1005,"&lt;"&amp;$P699)+1)</f>
        <v/>
      </c>
      <c r="S699">
        <f>IF($N699="","",$N699&amp;"|"&amp;RIGHT("000000"&amp;$R699,6))</f>
        <v/>
      </c>
      <c r="T699">
        <f>IF($N699="","",IF(Sync!$N699="",0,Sync!$N699))</f>
        <v/>
      </c>
      <c r="U699">
        <f>IF($N699="","",IF(Sync!$O699="",0,Sync!$O699))</f>
        <v/>
      </c>
      <c r="V699">
        <f>IF($N699="","",Sync!$L699)</f>
        <v/>
      </c>
      <c r="W699">
        <f>IF($N699="","",Sync!$P699)</f>
        <v/>
      </c>
      <c r="AA699">
        <f>IF($A699="","",IF(COUNTIF($A$6:$A699,$A699)=1,1,0))</f>
        <v/>
      </c>
      <c r="AB699">
        <f>SUM($AA$6:$AA699)</f>
        <v/>
      </c>
      <c r="AC699">
        <f>IFERROR(INDEX($A$6:$A$1005,MATCH(ROW()-5,$AB$6:$AB$1005,0)),"")</f>
        <v/>
      </c>
    </row>
    <row r="700">
      <c r="A700">
        <f>IF(OR(Entry!$B703="",Entry!$E703="",$E700="نامعتبر"),"",Entry!$E703)</f>
        <v/>
      </c>
      <c r="B700">
        <f>IF($A700="","",LEFT($E700,4)&amp;MID($E700,6,2)&amp;RIGHT($E700,2)&amp;$F700&amp;"|"&amp;"1"&amp;RIGHT("00000"&amp;695,5))</f>
        <v/>
      </c>
      <c r="C700">
        <f>IF($B700="","",COUNTIFS($A$6:$A$1005,$A700,$B$6:$B$1005,"&lt;"&amp;$B700)+COUNTIFS($N$6:$N$2005,$A700,$P$6:$P$2005,"&lt;"&amp;$B700)+1)</f>
        <v/>
      </c>
      <c r="D700">
        <f>IF($C700="","",$A700&amp;"|"&amp;RIGHT("000000"&amp;$C700,6))</f>
        <v/>
      </c>
      <c r="E700">
        <f>IF(Entry!$B703="","",IF(ISNUMBER(Entry!$B703),IF(AND(Entry!$B703&gt;=10000101,Entry!$B703&lt;=99991231),INT(Entry!$B703/10000)&amp;"/"&amp;RIGHT("00"&amp;INT(MOD(Entry!$B703,10000)/100),2)&amp;"/"&amp;RIGHT("00"&amp;MOD(Entry!$B703,100),2),"نامعتبر"),IF(LEN(Entry!$B703)=10,Entry!$B703,"نامعتبر")))</f>
        <v/>
      </c>
      <c r="F700">
        <f>IF(Entry!$B703="","",IF(Entry!$C703="","0000",IF(AND(ISNUMBER(Entry!$C703),Entry!$C703&gt;=0,Entry!$C703&lt;1),RIGHT("00"&amp;HOUR(Entry!$C703),2)&amp;RIGHT("00"&amp;MINUTE(Entry!$C703),2),IFERROR(RIGHT("00"&amp;VALUE(LEFT(Entry!$C703,FIND(":",Entry!$C703)-1)),2)&amp;RIGHT("00"&amp;VALUE(MID(Entry!$C703,FIND(":",Entry!$C703)+1,2)),2),"0000"))))</f>
        <v/>
      </c>
      <c r="G700">
        <f>IF($A700="","",Entry!$G703)</f>
        <v/>
      </c>
      <c r="H700">
        <f>IF($A700="","",IF(Entry!$H703="",0,Entry!$H703))</f>
        <v/>
      </c>
      <c r="I700">
        <f>IF($A700="","",IF(Entry!$I703="",0,Entry!$I703))</f>
        <v/>
      </c>
      <c r="J700">
        <f>IF($A700="","",ROUND($H700*$I700,0))</f>
        <v/>
      </c>
      <c r="K700">
        <f>IF($A700="","",Entry!$D703)</f>
        <v/>
      </c>
      <c r="L700">
        <f>IF($A700="","",Entry!$L703)</f>
        <v/>
      </c>
      <c r="N700">
        <f>IF(OR(Sync!$M700="",$Q700="",$Q700="نامعتبر"),"",Sync!$M700)</f>
        <v/>
      </c>
      <c r="O700">
        <f>IF($N700="","",$Q700)</f>
        <v/>
      </c>
      <c r="P700">
        <f>IF($N700="","",LEFT($Q700,4)&amp;MID($Q700,6,2)&amp;RIGHT($Q700,2)&amp;IF(Sync!$K700="","0000",IF(AND(ISNUMBER(Sync!$K700),Sync!$K700&gt;=0,Sync!$K700&lt;1),RIGHT("00"&amp;HOUR(Sync!$K700),2)&amp;RIGHT("00"&amp;MINUTE(Sync!$K700),2),IFERROR(RIGHT("00"&amp;VALUE(LEFT(Sync!$K700,FIND(":",Sync!$K700)-1)),2)&amp;RIGHT("00"&amp;VALUE(MID(Sync!$K700,FIND(":",Sync!$K700)+1,2)),2),"0000")))&amp;"|"&amp;"2"&amp;RIGHT("00000"&amp;695,5))</f>
        <v/>
      </c>
      <c r="Q700">
        <f>IF(Sync!$J700="","",IF(ISNUMBER(Sync!$J700),IF(AND(Sync!$J700&gt;=10000101,Sync!$J700&lt;=99991231),INT(Sync!$J700/10000)&amp;"/"&amp;RIGHT("00"&amp;INT(MOD(Sync!$J700,10000)/100),2)&amp;"/"&amp;RIGHT("00"&amp;MOD(Sync!$J700,100),2),"نامعتبر"),IF(LEN(Sync!$J700)=10,Sync!$J700,"نامعتبر")))</f>
        <v/>
      </c>
      <c r="R700">
        <f>IF($P700="","",COUNTIFS($N$6:$N$2005,$N700,$P$6:$P$2005,"&lt;"&amp;$P700)+COUNTIFS($A$6:$A$1005,$N700,$B$6:$B$1005,"&lt;"&amp;$P700)+1)</f>
        <v/>
      </c>
      <c r="S700">
        <f>IF($N700="","",$N700&amp;"|"&amp;RIGHT("000000"&amp;$R700,6))</f>
        <v/>
      </c>
      <c r="T700">
        <f>IF($N700="","",IF(Sync!$N700="",0,Sync!$N700))</f>
        <v/>
      </c>
      <c r="U700">
        <f>IF($N700="","",IF(Sync!$O700="",0,Sync!$O700))</f>
        <v/>
      </c>
      <c r="V700">
        <f>IF($N700="","",Sync!$L700)</f>
        <v/>
      </c>
      <c r="W700">
        <f>IF($N700="","",Sync!$P700)</f>
        <v/>
      </c>
      <c r="AA700">
        <f>IF($A700="","",IF(COUNTIF($A$6:$A700,$A700)=1,1,0))</f>
        <v/>
      </c>
      <c r="AB700">
        <f>SUM($AA$6:$AA700)</f>
        <v/>
      </c>
      <c r="AC700">
        <f>IFERROR(INDEX($A$6:$A$1005,MATCH(ROW()-5,$AB$6:$AB$1005,0)),"")</f>
        <v/>
      </c>
    </row>
    <row r="701">
      <c r="A701">
        <f>IF(OR(Entry!$B704="",Entry!$E704="",$E701="نامعتبر"),"",Entry!$E704)</f>
        <v/>
      </c>
      <c r="B701">
        <f>IF($A701="","",LEFT($E701,4)&amp;MID($E701,6,2)&amp;RIGHT($E701,2)&amp;$F701&amp;"|"&amp;"1"&amp;RIGHT("00000"&amp;696,5))</f>
        <v/>
      </c>
      <c r="C701">
        <f>IF($B701="","",COUNTIFS($A$6:$A$1005,$A701,$B$6:$B$1005,"&lt;"&amp;$B701)+COUNTIFS($N$6:$N$2005,$A701,$P$6:$P$2005,"&lt;"&amp;$B701)+1)</f>
        <v/>
      </c>
      <c r="D701">
        <f>IF($C701="","",$A701&amp;"|"&amp;RIGHT("000000"&amp;$C701,6))</f>
        <v/>
      </c>
      <c r="E701">
        <f>IF(Entry!$B704="","",IF(ISNUMBER(Entry!$B704),IF(AND(Entry!$B704&gt;=10000101,Entry!$B704&lt;=99991231),INT(Entry!$B704/10000)&amp;"/"&amp;RIGHT("00"&amp;INT(MOD(Entry!$B704,10000)/100),2)&amp;"/"&amp;RIGHT("00"&amp;MOD(Entry!$B704,100),2),"نامعتبر"),IF(LEN(Entry!$B704)=10,Entry!$B704,"نامعتبر")))</f>
        <v/>
      </c>
      <c r="F701">
        <f>IF(Entry!$B704="","",IF(Entry!$C704="","0000",IF(AND(ISNUMBER(Entry!$C704),Entry!$C704&gt;=0,Entry!$C704&lt;1),RIGHT("00"&amp;HOUR(Entry!$C704),2)&amp;RIGHT("00"&amp;MINUTE(Entry!$C704),2),IFERROR(RIGHT("00"&amp;VALUE(LEFT(Entry!$C704,FIND(":",Entry!$C704)-1)),2)&amp;RIGHT("00"&amp;VALUE(MID(Entry!$C704,FIND(":",Entry!$C704)+1,2)),2),"0000"))))</f>
        <v/>
      </c>
      <c r="G701">
        <f>IF($A701="","",Entry!$G704)</f>
        <v/>
      </c>
      <c r="H701">
        <f>IF($A701="","",IF(Entry!$H704="",0,Entry!$H704))</f>
        <v/>
      </c>
      <c r="I701">
        <f>IF($A701="","",IF(Entry!$I704="",0,Entry!$I704))</f>
        <v/>
      </c>
      <c r="J701">
        <f>IF($A701="","",ROUND($H701*$I701,0))</f>
        <v/>
      </c>
      <c r="K701">
        <f>IF($A701="","",Entry!$D704)</f>
        <v/>
      </c>
      <c r="L701">
        <f>IF($A701="","",Entry!$L704)</f>
        <v/>
      </c>
      <c r="N701">
        <f>IF(OR(Sync!$M701="",$Q701="",$Q701="نامعتبر"),"",Sync!$M701)</f>
        <v/>
      </c>
      <c r="O701">
        <f>IF($N701="","",$Q701)</f>
        <v/>
      </c>
      <c r="P701">
        <f>IF($N701="","",LEFT($Q701,4)&amp;MID($Q701,6,2)&amp;RIGHT($Q701,2)&amp;IF(Sync!$K701="","0000",IF(AND(ISNUMBER(Sync!$K701),Sync!$K701&gt;=0,Sync!$K701&lt;1),RIGHT("00"&amp;HOUR(Sync!$K701),2)&amp;RIGHT("00"&amp;MINUTE(Sync!$K701),2),IFERROR(RIGHT("00"&amp;VALUE(LEFT(Sync!$K701,FIND(":",Sync!$K701)-1)),2)&amp;RIGHT("00"&amp;VALUE(MID(Sync!$K701,FIND(":",Sync!$K701)+1,2)),2),"0000")))&amp;"|"&amp;"2"&amp;RIGHT("00000"&amp;696,5))</f>
        <v/>
      </c>
      <c r="Q701">
        <f>IF(Sync!$J701="","",IF(ISNUMBER(Sync!$J701),IF(AND(Sync!$J701&gt;=10000101,Sync!$J701&lt;=99991231),INT(Sync!$J701/10000)&amp;"/"&amp;RIGHT("00"&amp;INT(MOD(Sync!$J701,10000)/100),2)&amp;"/"&amp;RIGHT("00"&amp;MOD(Sync!$J701,100),2),"نامعتبر"),IF(LEN(Sync!$J701)=10,Sync!$J701,"نامعتبر")))</f>
        <v/>
      </c>
      <c r="R701">
        <f>IF($P701="","",COUNTIFS($N$6:$N$2005,$N701,$P$6:$P$2005,"&lt;"&amp;$P701)+COUNTIFS($A$6:$A$1005,$N701,$B$6:$B$1005,"&lt;"&amp;$P701)+1)</f>
        <v/>
      </c>
      <c r="S701">
        <f>IF($N701="","",$N701&amp;"|"&amp;RIGHT("000000"&amp;$R701,6))</f>
        <v/>
      </c>
      <c r="T701">
        <f>IF($N701="","",IF(Sync!$N701="",0,Sync!$N701))</f>
        <v/>
      </c>
      <c r="U701">
        <f>IF($N701="","",IF(Sync!$O701="",0,Sync!$O701))</f>
        <v/>
      </c>
      <c r="V701">
        <f>IF($N701="","",Sync!$L701)</f>
        <v/>
      </c>
      <c r="W701">
        <f>IF($N701="","",Sync!$P701)</f>
        <v/>
      </c>
      <c r="AA701">
        <f>IF($A701="","",IF(COUNTIF($A$6:$A701,$A701)=1,1,0))</f>
        <v/>
      </c>
      <c r="AB701">
        <f>SUM($AA$6:$AA701)</f>
        <v/>
      </c>
      <c r="AC701">
        <f>IFERROR(INDEX($A$6:$A$1005,MATCH(ROW()-5,$AB$6:$AB$1005,0)),"")</f>
        <v/>
      </c>
    </row>
    <row r="702">
      <c r="A702">
        <f>IF(OR(Entry!$B705="",Entry!$E705="",$E702="نامعتبر"),"",Entry!$E705)</f>
        <v/>
      </c>
      <c r="B702">
        <f>IF($A702="","",LEFT($E702,4)&amp;MID($E702,6,2)&amp;RIGHT($E702,2)&amp;$F702&amp;"|"&amp;"1"&amp;RIGHT("00000"&amp;697,5))</f>
        <v/>
      </c>
      <c r="C702">
        <f>IF($B702="","",COUNTIFS($A$6:$A$1005,$A702,$B$6:$B$1005,"&lt;"&amp;$B702)+COUNTIFS($N$6:$N$2005,$A702,$P$6:$P$2005,"&lt;"&amp;$B702)+1)</f>
        <v/>
      </c>
      <c r="D702">
        <f>IF($C702="","",$A702&amp;"|"&amp;RIGHT("000000"&amp;$C702,6))</f>
        <v/>
      </c>
      <c r="E702">
        <f>IF(Entry!$B705="","",IF(ISNUMBER(Entry!$B705),IF(AND(Entry!$B705&gt;=10000101,Entry!$B705&lt;=99991231),INT(Entry!$B705/10000)&amp;"/"&amp;RIGHT("00"&amp;INT(MOD(Entry!$B705,10000)/100),2)&amp;"/"&amp;RIGHT("00"&amp;MOD(Entry!$B705,100),2),"نامعتبر"),IF(LEN(Entry!$B705)=10,Entry!$B705,"نامعتبر")))</f>
        <v/>
      </c>
      <c r="F702">
        <f>IF(Entry!$B705="","",IF(Entry!$C705="","0000",IF(AND(ISNUMBER(Entry!$C705),Entry!$C705&gt;=0,Entry!$C705&lt;1),RIGHT("00"&amp;HOUR(Entry!$C705),2)&amp;RIGHT("00"&amp;MINUTE(Entry!$C705),2),IFERROR(RIGHT("00"&amp;VALUE(LEFT(Entry!$C705,FIND(":",Entry!$C705)-1)),2)&amp;RIGHT("00"&amp;VALUE(MID(Entry!$C705,FIND(":",Entry!$C705)+1,2)),2),"0000"))))</f>
        <v/>
      </c>
      <c r="G702">
        <f>IF($A702="","",Entry!$G705)</f>
        <v/>
      </c>
      <c r="H702">
        <f>IF($A702="","",IF(Entry!$H705="",0,Entry!$H705))</f>
        <v/>
      </c>
      <c r="I702">
        <f>IF($A702="","",IF(Entry!$I705="",0,Entry!$I705))</f>
        <v/>
      </c>
      <c r="J702">
        <f>IF($A702="","",ROUND($H702*$I702,0))</f>
        <v/>
      </c>
      <c r="K702">
        <f>IF($A702="","",Entry!$D705)</f>
        <v/>
      </c>
      <c r="L702">
        <f>IF($A702="","",Entry!$L705)</f>
        <v/>
      </c>
      <c r="N702">
        <f>IF(OR(Sync!$M702="",$Q702="",$Q702="نامعتبر"),"",Sync!$M702)</f>
        <v/>
      </c>
      <c r="O702">
        <f>IF($N702="","",$Q702)</f>
        <v/>
      </c>
      <c r="P702">
        <f>IF($N702="","",LEFT($Q702,4)&amp;MID($Q702,6,2)&amp;RIGHT($Q702,2)&amp;IF(Sync!$K702="","0000",IF(AND(ISNUMBER(Sync!$K702),Sync!$K702&gt;=0,Sync!$K702&lt;1),RIGHT("00"&amp;HOUR(Sync!$K702),2)&amp;RIGHT("00"&amp;MINUTE(Sync!$K702),2),IFERROR(RIGHT("00"&amp;VALUE(LEFT(Sync!$K702,FIND(":",Sync!$K702)-1)),2)&amp;RIGHT("00"&amp;VALUE(MID(Sync!$K702,FIND(":",Sync!$K702)+1,2)),2),"0000")))&amp;"|"&amp;"2"&amp;RIGHT("00000"&amp;697,5))</f>
        <v/>
      </c>
      <c r="Q702">
        <f>IF(Sync!$J702="","",IF(ISNUMBER(Sync!$J702),IF(AND(Sync!$J702&gt;=10000101,Sync!$J702&lt;=99991231),INT(Sync!$J702/10000)&amp;"/"&amp;RIGHT("00"&amp;INT(MOD(Sync!$J702,10000)/100),2)&amp;"/"&amp;RIGHT("00"&amp;MOD(Sync!$J702,100),2),"نامعتبر"),IF(LEN(Sync!$J702)=10,Sync!$J702,"نامعتبر")))</f>
        <v/>
      </c>
      <c r="R702">
        <f>IF($P702="","",COUNTIFS($N$6:$N$2005,$N702,$P$6:$P$2005,"&lt;"&amp;$P702)+COUNTIFS($A$6:$A$1005,$N702,$B$6:$B$1005,"&lt;"&amp;$P702)+1)</f>
        <v/>
      </c>
      <c r="S702">
        <f>IF($N702="","",$N702&amp;"|"&amp;RIGHT("000000"&amp;$R702,6))</f>
        <v/>
      </c>
      <c r="T702">
        <f>IF($N702="","",IF(Sync!$N702="",0,Sync!$N702))</f>
        <v/>
      </c>
      <c r="U702">
        <f>IF($N702="","",IF(Sync!$O702="",0,Sync!$O702))</f>
        <v/>
      </c>
      <c r="V702">
        <f>IF($N702="","",Sync!$L702)</f>
        <v/>
      </c>
      <c r="W702">
        <f>IF($N702="","",Sync!$P702)</f>
        <v/>
      </c>
      <c r="AA702">
        <f>IF($A702="","",IF(COUNTIF($A$6:$A702,$A702)=1,1,0))</f>
        <v/>
      </c>
      <c r="AB702">
        <f>SUM($AA$6:$AA702)</f>
        <v/>
      </c>
      <c r="AC702">
        <f>IFERROR(INDEX($A$6:$A$1005,MATCH(ROW()-5,$AB$6:$AB$1005,0)),"")</f>
        <v/>
      </c>
    </row>
    <row r="703">
      <c r="A703">
        <f>IF(OR(Entry!$B706="",Entry!$E706="",$E703="نامعتبر"),"",Entry!$E706)</f>
        <v/>
      </c>
      <c r="B703">
        <f>IF($A703="","",LEFT($E703,4)&amp;MID($E703,6,2)&amp;RIGHT($E703,2)&amp;$F703&amp;"|"&amp;"1"&amp;RIGHT("00000"&amp;698,5))</f>
        <v/>
      </c>
      <c r="C703">
        <f>IF($B703="","",COUNTIFS($A$6:$A$1005,$A703,$B$6:$B$1005,"&lt;"&amp;$B703)+COUNTIFS($N$6:$N$2005,$A703,$P$6:$P$2005,"&lt;"&amp;$B703)+1)</f>
        <v/>
      </c>
      <c r="D703">
        <f>IF($C703="","",$A703&amp;"|"&amp;RIGHT("000000"&amp;$C703,6))</f>
        <v/>
      </c>
      <c r="E703">
        <f>IF(Entry!$B706="","",IF(ISNUMBER(Entry!$B706),IF(AND(Entry!$B706&gt;=10000101,Entry!$B706&lt;=99991231),INT(Entry!$B706/10000)&amp;"/"&amp;RIGHT("00"&amp;INT(MOD(Entry!$B706,10000)/100),2)&amp;"/"&amp;RIGHT("00"&amp;MOD(Entry!$B706,100),2),"نامعتبر"),IF(LEN(Entry!$B706)=10,Entry!$B706,"نامعتبر")))</f>
        <v/>
      </c>
      <c r="F703">
        <f>IF(Entry!$B706="","",IF(Entry!$C706="","0000",IF(AND(ISNUMBER(Entry!$C706),Entry!$C706&gt;=0,Entry!$C706&lt;1),RIGHT("00"&amp;HOUR(Entry!$C706),2)&amp;RIGHT("00"&amp;MINUTE(Entry!$C706),2),IFERROR(RIGHT("00"&amp;VALUE(LEFT(Entry!$C706,FIND(":",Entry!$C706)-1)),2)&amp;RIGHT("00"&amp;VALUE(MID(Entry!$C706,FIND(":",Entry!$C706)+1,2)),2),"0000"))))</f>
        <v/>
      </c>
      <c r="G703">
        <f>IF($A703="","",Entry!$G706)</f>
        <v/>
      </c>
      <c r="H703">
        <f>IF($A703="","",IF(Entry!$H706="",0,Entry!$H706))</f>
        <v/>
      </c>
      <c r="I703">
        <f>IF($A703="","",IF(Entry!$I706="",0,Entry!$I706))</f>
        <v/>
      </c>
      <c r="J703">
        <f>IF($A703="","",ROUND($H703*$I703,0))</f>
        <v/>
      </c>
      <c r="K703">
        <f>IF($A703="","",Entry!$D706)</f>
        <v/>
      </c>
      <c r="L703">
        <f>IF($A703="","",Entry!$L706)</f>
        <v/>
      </c>
      <c r="N703">
        <f>IF(OR(Sync!$M703="",$Q703="",$Q703="نامعتبر"),"",Sync!$M703)</f>
        <v/>
      </c>
      <c r="O703">
        <f>IF($N703="","",$Q703)</f>
        <v/>
      </c>
      <c r="P703">
        <f>IF($N703="","",LEFT($Q703,4)&amp;MID($Q703,6,2)&amp;RIGHT($Q703,2)&amp;IF(Sync!$K703="","0000",IF(AND(ISNUMBER(Sync!$K703),Sync!$K703&gt;=0,Sync!$K703&lt;1),RIGHT("00"&amp;HOUR(Sync!$K703),2)&amp;RIGHT("00"&amp;MINUTE(Sync!$K703),2),IFERROR(RIGHT("00"&amp;VALUE(LEFT(Sync!$K703,FIND(":",Sync!$K703)-1)),2)&amp;RIGHT("00"&amp;VALUE(MID(Sync!$K703,FIND(":",Sync!$K703)+1,2)),2),"0000")))&amp;"|"&amp;"2"&amp;RIGHT("00000"&amp;698,5))</f>
        <v/>
      </c>
      <c r="Q703">
        <f>IF(Sync!$J703="","",IF(ISNUMBER(Sync!$J703),IF(AND(Sync!$J703&gt;=10000101,Sync!$J703&lt;=99991231),INT(Sync!$J703/10000)&amp;"/"&amp;RIGHT("00"&amp;INT(MOD(Sync!$J703,10000)/100),2)&amp;"/"&amp;RIGHT("00"&amp;MOD(Sync!$J703,100),2),"نامعتبر"),IF(LEN(Sync!$J703)=10,Sync!$J703,"نامعتبر")))</f>
        <v/>
      </c>
      <c r="R703">
        <f>IF($P703="","",COUNTIFS($N$6:$N$2005,$N703,$P$6:$P$2005,"&lt;"&amp;$P703)+COUNTIFS($A$6:$A$1005,$N703,$B$6:$B$1005,"&lt;"&amp;$P703)+1)</f>
        <v/>
      </c>
      <c r="S703">
        <f>IF($N703="","",$N703&amp;"|"&amp;RIGHT("000000"&amp;$R703,6))</f>
        <v/>
      </c>
      <c r="T703">
        <f>IF($N703="","",IF(Sync!$N703="",0,Sync!$N703))</f>
        <v/>
      </c>
      <c r="U703">
        <f>IF($N703="","",IF(Sync!$O703="",0,Sync!$O703))</f>
        <v/>
      </c>
      <c r="V703">
        <f>IF($N703="","",Sync!$L703)</f>
        <v/>
      </c>
      <c r="W703">
        <f>IF($N703="","",Sync!$P703)</f>
        <v/>
      </c>
      <c r="AA703">
        <f>IF($A703="","",IF(COUNTIF($A$6:$A703,$A703)=1,1,0))</f>
        <v/>
      </c>
      <c r="AB703">
        <f>SUM($AA$6:$AA703)</f>
        <v/>
      </c>
      <c r="AC703">
        <f>IFERROR(INDEX($A$6:$A$1005,MATCH(ROW()-5,$AB$6:$AB$1005,0)),"")</f>
        <v/>
      </c>
    </row>
    <row r="704">
      <c r="A704">
        <f>IF(OR(Entry!$B707="",Entry!$E707="",$E704="نامعتبر"),"",Entry!$E707)</f>
        <v/>
      </c>
      <c r="B704">
        <f>IF($A704="","",LEFT($E704,4)&amp;MID($E704,6,2)&amp;RIGHT($E704,2)&amp;$F704&amp;"|"&amp;"1"&amp;RIGHT("00000"&amp;699,5))</f>
        <v/>
      </c>
      <c r="C704">
        <f>IF($B704="","",COUNTIFS($A$6:$A$1005,$A704,$B$6:$B$1005,"&lt;"&amp;$B704)+COUNTIFS($N$6:$N$2005,$A704,$P$6:$P$2005,"&lt;"&amp;$B704)+1)</f>
        <v/>
      </c>
      <c r="D704">
        <f>IF($C704="","",$A704&amp;"|"&amp;RIGHT("000000"&amp;$C704,6))</f>
        <v/>
      </c>
      <c r="E704">
        <f>IF(Entry!$B707="","",IF(ISNUMBER(Entry!$B707),IF(AND(Entry!$B707&gt;=10000101,Entry!$B707&lt;=99991231),INT(Entry!$B707/10000)&amp;"/"&amp;RIGHT("00"&amp;INT(MOD(Entry!$B707,10000)/100),2)&amp;"/"&amp;RIGHT("00"&amp;MOD(Entry!$B707,100),2),"نامعتبر"),IF(LEN(Entry!$B707)=10,Entry!$B707,"نامعتبر")))</f>
        <v/>
      </c>
      <c r="F704">
        <f>IF(Entry!$B707="","",IF(Entry!$C707="","0000",IF(AND(ISNUMBER(Entry!$C707),Entry!$C707&gt;=0,Entry!$C707&lt;1),RIGHT("00"&amp;HOUR(Entry!$C707),2)&amp;RIGHT("00"&amp;MINUTE(Entry!$C707),2),IFERROR(RIGHT("00"&amp;VALUE(LEFT(Entry!$C707,FIND(":",Entry!$C707)-1)),2)&amp;RIGHT("00"&amp;VALUE(MID(Entry!$C707,FIND(":",Entry!$C707)+1,2)),2),"0000"))))</f>
        <v/>
      </c>
      <c r="G704">
        <f>IF($A704="","",Entry!$G707)</f>
        <v/>
      </c>
      <c r="H704">
        <f>IF($A704="","",IF(Entry!$H707="",0,Entry!$H707))</f>
        <v/>
      </c>
      <c r="I704">
        <f>IF($A704="","",IF(Entry!$I707="",0,Entry!$I707))</f>
        <v/>
      </c>
      <c r="J704">
        <f>IF($A704="","",ROUND($H704*$I704,0))</f>
        <v/>
      </c>
      <c r="K704">
        <f>IF($A704="","",Entry!$D707)</f>
        <v/>
      </c>
      <c r="L704">
        <f>IF($A704="","",Entry!$L707)</f>
        <v/>
      </c>
      <c r="N704">
        <f>IF(OR(Sync!$M704="",$Q704="",$Q704="نامعتبر"),"",Sync!$M704)</f>
        <v/>
      </c>
      <c r="O704">
        <f>IF($N704="","",$Q704)</f>
        <v/>
      </c>
      <c r="P704">
        <f>IF($N704="","",LEFT($Q704,4)&amp;MID($Q704,6,2)&amp;RIGHT($Q704,2)&amp;IF(Sync!$K704="","0000",IF(AND(ISNUMBER(Sync!$K704),Sync!$K704&gt;=0,Sync!$K704&lt;1),RIGHT("00"&amp;HOUR(Sync!$K704),2)&amp;RIGHT("00"&amp;MINUTE(Sync!$K704),2),IFERROR(RIGHT("00"&amp;VALUE(LEFT(Sync!$K704,FIND(":",Sync!$K704)-1)),2)&amp;RIGHT("00"&amp;VALUE(MID(Sync!$K704,FIND(":",Sync!$K704)+1,2)),2),"0000")))&amp;"|"&amp;"2"&amp;RIGHT("00000"&amp;699,5))</f>
        <v/>
      </c>
      <c r="Q704">
        <f>IF(Sync!$J704="","",IF(ISNUMBER(Sync!$J704),IF(AND(Sync!$J704&gt;=10000101,Sync!$J704&lt;=99991231),INT(Sync!$J704/10000)&amp;"/"&amp;RIGHT("00"&amp;INT(MOD(Sync!$J704,10000)/100),2)&amp;"/"&amp;RIGHT("00"&amp;MOD(Sync!$J704,100),2),"نامعتبر"),IF(LEN(Sync!$J704)=10,Sync!$J704,"نامعتبر")))</f>
        <v/>
      </c>
      <c r="R704">
        <f>IF($P704="","",COUNTIFS($N$6:$N$2005,$N704,$P$6:$P$2005,"&lt;"&amp;$P704)+COUNTIFS($A$6:$A$1005,$N704,$B$6:$B$1005,"&lt;"&amp;$P704)+1)</f>
        <v/>
      </c>
      <c r="S704">
        <f>IF($N704="","",$N704&amp;"|"&amp;RIGHT("000000"&amp;$R704,6))</f>
        <v/>
      </c>
      <c r="T704">
        <f>IF($N704="","",IF(Sync!$N704="",0,Sync!$N704))</f>
        <v/>
      </c>
      <c r="U704">
        <f>IF($N704="","",IF(Sync!$O704="",0,Sync!$O704))</f>
        <v/>
      </c>
      <c r="V704">
        <f>IF($N704="","",Sync!$L704)</f>
        <v/>
      </c>
      <c r="W704">
        <f>IF($N704="","",Sync!$P704)</f>
        <v/>
      </c>
      <c r="AA704">
        <f>IF($A704="","",IF(COUNTIF($A$6:$A704,$A704)=1,1,0))</f>
        <v/>
      </c>
      <c r="AB704">
        <f>SUM($AA$6:$AA704)</f>
        <v/>
      </c>
      <c r="AC704">
        <f>IFERROR(INDEX($A$6:$A$1005,MATCH(ROW()-5,$AB$6:$AB$1005,0)),"")</f>
        <v/>
      </c>
    </row>
    <row r="705">
      <c r="A705">
        <f>IF(OR(Entry!$B708="",Entry!$E708="",$E705="نامعتبر"),"",Entry!$E708)</f>
        <v/>
      </c>
      <c r="B705">
        <f>IF($A705="","",LEFT($E705,4)&amp;MID($E705,6,2)&amp;RIGHT($E705,2)&amp;$F705&amp;"|"&amp;"1"&amp;RIGHT("00000"&amp;700,5))</f>
        <v/>
      </c>
      <c r="C705">
        <f>IF($B705="","",COUNTIFS($A$6:$A$1005,$A705,$B$6:$B$1005,"&lt;"&amp;$B705)+COUNTIFS($N$6:$N$2005,$A705,$P$6:$P$2005,"&lt;"&amp;$B705)+1)</f>
        <v/>
      </c>
      <c r="D705">
        <f>IF($C705="","",$A705&amp;"|"&amp;RIGHT("000000"&amp;$C705,6))</f>
        <v/>
      </c>
      <c r="E705">
        <f>IF(Entry!$B708="","",IF(ISNUMBER(Entry!$B708),IF(AND(Entry!$B708&gt;=10000101,Entry!$B708&lt;=99991231),INT(Entry!$B708/10000)&amp;"/"&amp;RIGHT("00"&amp;INT(MOD(Entry!$B708,10000)/100),2)&amp;"/"&amp;RIGHT("00"&amp;MOD(Entry!$B708,100),2),"نامعتبر"),IF(LEN(Entry!$B708)=10,Entry!$B708,"نامعتبر")))</f>
        <v/>
      </c>
      <c r="F705">
        <f>IF(Entry!$B708="","",IF(Entry!$C708="","0000",IF(AND(ISNUMBER(Entry!$C708),Entry!$C708&gt;=0,Entry!$C708&lt;1),RIGHT("00"&amp;HOUR(Entry!$C708),2)&amp;RIGHT("00"&amp;MINUTE(Entry!$C708),2),IFERROR(RIGHT("00"&amp;VALUE(LEFT(Entry!$C708,FIND(":",Entry!$C708)-1)),2)&amp;RIGHT("00"&amp;VALUE(MID(Entry!$C708,FIND(":",Entry!$C708)+1,2)),2),"0000"))))</f>
        <v/>
      </c>
      <c r="G705">
        <f>IF($A705="","",Entry!$G708)</f>
        <v/>
      </c>
      <c r="H705">
        <f>IF($A705="","",IF(Entry!$H708="",0,Entry!$H708))</f>
        <v/>
      </c>
      <c r="I705">
        <f>IF($A705="","",IF(Entry!$I708="",0,Entry!$I708))</f>
        <v/>
      </c>
      <c r="J705">
        <f>IF($A705="","",ROUND($H705*$I705,0))</f>
        <v/>
      </c>
      <c r="K705">
        <f>IF($A705="","",Entry!$D708)</f>
        <v/>
      </c>
      <c r="L705">
        <f>IF($A705="","",Entry!$L708)</f>
        <v/>
      </c>
      <c r="N705">
        <f>IF(OR(Sync!$M705="",$Q705="",$Q705="نامعتبر"),"",Sync!$M705)</f>
        <v/>
      </c>
      <c r="O705">
        <f>IF($N705="","",$Q705)</f>
        <v/>
      </c>
      <c r="P705">
        <f>IF($N705="","",LEFT($Q705,4)&amp;MID($Q705,6,2)&amp;RIGHT($Q705,2)&amp;IF(Sync!$K705="","0000",IF(AND(ISNUMBER(Sync!$K705),Sync!$K705&gt;=0,Sync!$K705&lt;1),RIGHT("00"&amp;HOUR(Sync!$K705),2)&amp;RIGHT("00"&amp;MINUTE(Sync!$K705),2),IFERROR(RIGHT("00"&amp;VALUE(LEFT(Sync!$K705,FIND(":",Sync!$K705)-1)),2)&amp;RIGHT("00"&amp;VALUE(MID(Sync!$K705,FIND(":",Sync!$K705)+1,2)),2),"0000")))&amp;"|"&amp;"2"&amp;RIGHT("00000"&amp;700,5))</f>
        <v/>
      </c>
      <c r="Q705">
        <f>IF(Sync!$J705="","",IF(ISNUMBER(Sync!$J705),IF(AND(Sync!$J705&gt;=10000101,Sync!$J705&lt;=99991231),INT(Sync!$J705/10000)&amp;"/"&amp;RIGHT("00"&amp;INT(MOD(Sync!$J705,10000)/100),2)&amp;"/"&amp;RIGHT("00"&amp;MOD(Sync!$J705,100),2),"نامعتبر"),IF(LEN(Sync!$J705)=10,Sync!$J705,"نامعتبر")))</f>
        <v/>
      </c>
      <c r="R705">
        <f>IF($P705="","",COUNTIFS($N$6:$N$2005,$N705,$P$6:$P$2005,"&lt;"&amp;$P705)+COUNTIFS($A$6:$A$1005,$N705,$B$6:$B$1005,"&lt;"&amp;$P705)+1)</f>
        <v/>
      </c>
      <c r="S705">
        <f>IF($N705="","",$N705&amp;"|"&amp;RIGHT("000000"&amp;$R705,6))</f>
        <v/>
      </c>
      <c r="T705">
        <f>IF($N705="","",IF(Sync!$N705="",0,Sync!$N705))</f>
        <v/>
      </c>
      <c r="U705">
        <f>IF($N705="","",IF(Sync!$O705="",0,Sync!$O705))</f>
        <v/>
      </c>
      <c r="V705">
        <f>IF($N705="","",Sync!$L705)</f>
        <v/>
      </c>
      <c r="W705">
        <f>IF($N705="","",Sync!$P705)</f>
        <v/>
      </c>
      <c r="AA705">
        <f>IF($A705="","",IF(COUNTIF($A$6:$A705,$A705)=1,1,0))</f>
        <v/>
      </c>
      <c r="AB705">
        <f>SUM($AA$6:$AA705)</f>
        <v/>
      </c>
      <c r="AC705">
        <f>IFERROR(INDEX($A$6:$A$1005,MATCH(ROW()-5,$AB$6:$AB$1005,0)),"")</f>
        <v/>
      </c>
    </row>
    <row r="706">
      <c r="A706">
        <f>IF(OR(Entry!$B709="",Entry!$E709="",$E706="نامعتبر"),"",Entry!$E709)</f>
        <v/>
      </c>
      <c r="B706">
        <f>IF($A706="","",LEFT($E706,4)&amp;MID($E706,6,2)&amp;RIGHT($E706,2)&amp;$F706&amp;"|"&amp;"1"&amp;RIGHT("00000"&amp;701,5))</f>
        <v/>
      </c>
      <c r="C706">
        <f>IF($B706="","",COUNTIFS($A$6:$A$1005,$A706,$B$6:$B$1005,"&lt;"&amp;$B706)+COUNTIFS($N$6:$N$2005,$A706,$P$6:$P$2005,"&lt;"&amp;$B706)+1)</f>
        <v/>
      </c>
      <c r="D706">
        <f>IF($C706="","",$A706&amp;"|"&amp;RIGHT("000000"&amp;$C706,6))</f>
        <v/>
      </c>
      <c r="E706">
        <f>IF(Entry!$B709="","",IF(ISNUMBER(Entry!$B709),IF(AND(Entry!$B709&gt;=10000101,Entry!$B709&lt;=99991231),INT(Entry!$B709/10000)&amp;"/"&amp;RIGHT("00"&amp;INT(MOD(Entry!$B709,10000)/100),2)&amp;"/"&amp;RIGHT("00"&amp;MOD(Entry!$B709,100),2),"نامعتبر"),IF(LEN(Entry!$B709)=10,Entry!$B709,"نامعتبر")))</f>
        <v/>
      </c>
      <c r="F706">
        <f>IF(Entry!$B709="","",IF(Entry!$C709="","0000",IF(AND(ISNUMBER(Entry!$C709),Entry!$C709&gt;=0,Entry!$C709&lt;1),RIGHT("00"&amp;HOUR(Entry!$C709),2)&amp;RIGHT("00"&amp;MINUTE(Entry!$C709),2),IFERROR(RIGHT("00"&amp;VALUE(LEFT(Entry!$C709,FIND(":",Entry!$C709)-1)),2)&amp;RIGHT("00"&amp;VALUE(MID(Entry!$C709,FIND(":",Entry!$C709)+1,2)),2),"0000"))))</f>
        <v/>
      </c>
      <c r="G706">
        <f>IF($A706="","",Entry!$G709)</f>
        <v/>
      </c>
      <c r="H706">
        <f>IF($A706="","",IF(Entry!$H709="",0,Entry!$H709))</f>
        <v/>
      </c>
      <c r="I706">
        <f>IF($A706="","",IF(Entry!$I709="",0,Entry!$I709))</f>
        <v/>
      </c>
      <c r="J706">
        <f>IF($A706="","",ROUND($H706*$I706,0))</f>
        <v/>
      </c>
      <c r="K706">
        <f>IF($A706="","",Entry!$D709)</f>
        <v/>
      </c>
      <c r="L706">
        <f>IF($A706="","",Entry!$L709)</f>
        <v/>
      </c>
      <c r="N706">
        <f>IF(OR(Sync!$M706="",$Q706="",$Q706="نامعتبر"),"",Sync!$M706)</f>
        <v/>
      </c>
      <c r="O706">
        <f>IF($N706="","",$Q706)</f>
        <v/>
      </c>
      <c r="P706">
        <f>IF($N706="","",LEFT($Q706,4)&amp;MID($Q706,6,2)&amp;RIGHT($Q706,2)&amp;IF(Sync!$K706="","0000",IF(AND(ISNUMBER(Sync!$K706),Sync!$K706&gt;=0,Sync!$K706&lt;1),RIGHT("00"&amp;HOUR(Sync!$K706),2)&amp;RIGHT("00"&amp;MINUTE(Sync!$K706),2),IFERROR(RIGHT("00"&amp;VALUE(LEFT(Sync!$K706,FIND(":",Sync!$K706)-1)),2)&amp;RIGHT("00"&amp;VALUE(MID(Sync!$K706,FIND(":",Sync!$K706)+1,2)),2),"0000")))&amp;"|"&amp;"2"&amp;RIGHT("00000"&amp;701,5))</f>
        <v/>
      </c>
      <c r="Q706">
        <f>IF(Sync!$J706="","",IF(ISNUMBER(Sync!$J706),IF(AND(Sync!$J706&gt;=10000101,Sync!$J706&lt;=99991231),INT(Sync!$J706/10000)&amp;"/"&amp;RIGHT("00"&amp;INT(MOD(Sync!$J706,10000)/100),2)&amp;"/"&amp;RIGHT("00"&amp;MOD(Sync!$J706,100),2),"نامعتبر"),IF(LEN(Sync!$J706)=10,Sync!$J706,"نامعتبر")))</f>
        <v/>
      </c>
      <c r="R706">
        <f>IF($P706="","",COUNTIFS($N$6:$N$2005,$N706,$P$6:$P$2005,"&lt;"&amp;$P706)+COUNTIFS($A$6:$A$1005,$N706,$B$6:$B$1005,"&lt;"&amp;$P706)+1)</f>
        <v/>
      </c>
      <c r="S706">
        <f>IF($N706="","",$N706&amp;"|"&amp;RIGHT("000000"&amp;$R706,6))</f>
        <v/>
      </c>
      <c r="T706">
        <f>IF($N706="","",IF(Sync!$N706="",0,Sync!$N706))</f>
        <v/>
      </c>
      <c r="U706">
        <f>IF($N706="","",IF(Sync!$O706="",0,Sync!$O706))</f>
        <v/>
      </c>
      <c r="V706">
        <f>IF($N706="","",Sync!$L706)</f>
        <v/>
      </c>
      <c r="W706">
        <f>IF($N706="","",Sync!$P706)</f>
        <v/>
      </c>
      <c r="AA706">
        <f>IF($A706="","",IF(COUNTIF($A$6:$A706,$A706)=1,1,0))</f>
        <v/>
      </c>
      <c r="AB706">
        <f>SUM($AA$6:$AA706)</f>
        <v/>
      </c>
      <c r="AC706">
        <f>IFERROR(INDEX($A$6:$A$1005,MATCH(ROW()-5,$AB$6:$AB$1005,0)),"")</f>
        <v/>
      </c>
    </row>
    <row r="707">
      <c r="A707">
        <f>IF(OR(Entry!$B710="",Entry!$E710="",$E707="نامعتبر"),"",Entry!$E710)</f>
        <v/>
      </c>
      <c r="B707">
        <f>IF($A707="","",LEFT($E707,4)&amp;MID($E707,6,2)&amp;RIGHT($E707,2)&amp;$F707&amp;"|"&amp;"1"&amp;RIGHT("00000"&amp;702,5))</f>
        <v/>
      </c>
      <c r="C707">
        <f>IF($B707="","",COUNTIFS($A$6:$A$1005,$A707,$B$6:$B$1005,"&lt;"&amp;$B707)+COUNTIFS($N$6:$N$2005,$A707,$P$6:$P$2005,"&lt;"&amp;$B707)+1)</f>
        <v/>
      </c>
      <c r="D707">
        <f>IF($C707="","",$A707&amp;"|"&amp;RIGHT("000000"&amp;$C707,6))</f>
        <v/>
      </c>
      <c r="E707">
        <f>IF(Entry!$B710="","",IF(ISNUMBER(Entry!$B710),IF(AND(Entry!$B710&gt;=10000101,Entry!$B710&lt;=99991231),INT(Entry!$B710/10000)&amp;"/"&amp;RIGHT("00"&amp;INT(MOD(Entry!$B710,10000)/100),2)&amp;"/"&amp;RIGHT("00"&amp;MOD(Entry!$B710,100),2),"نامعتبر"),IF(LEN(Entry!$B710)=10,Entry!$B710,"نامعتبر")))</f>
        <v/>
      </c>
      <c r="F707">
        <f>IF(Entry!$B710="","",IF(Entry!$C710="","0000",IF(AND(ISNUMBER(Entry!$C710),Entry!$C710&gt;=0,Entry!$C710&lt;1),RIGHT("00"&amp;HOUR(Entry!$C710),2)&amp;RIGHT("00"&amp;MINUTE(Entry!$C710),2),IFERROR(RIGHT("00"&amp;VALUE(LEFT(Entry!$C710,FIND(":",Entry!$C710)-1)),2)&amp;RIGHT("00"&amp;VALUE(MID(Entry!$C710,FIND(":",Entry!$C710)+1,2)),2),"0000"))))</f>
        <v/>
      </c>
      <c r="G707">
        <f>IF($A707="","",Entry!$G710)</f>
        <v/>
      </c>
      <c r="H707">
        <f>IF($A707="","",IF(Entry!$H710="",0,Entry!$H710))</f>
        <v/>
      </c>
      <c r="I707">
        <f>IF($A707="","",IF(Entry!$I710="",0,Entry!$I710))</f>
        <v/>
      </c>
      <c r="J707">
        <f>IF($A707="","",ROUND($H707*$I707,0))</f>
        <v/>
      </c>
      <c r="K707">
        <f>IF($A707="","",Entry!$D710)</f>
        <v/>
      </c>
      <c r="L707">
        <f>IF($A707="","",Entry!$L710)</f>
        <v/>
      </c>
      <c r="N707">
        <f>IF(OR(Sync!$M707="",$Q707="",$Q707="نامعتبر"),"",Sync!$M707)</f>
        <v/>
      </c>
      <c r="O707">
        <f>IF($N707="","",$Q707)</f>
        <v/>
      </c>
      <c r="P707">
        <f>IF($N707="","",LEFT($Q707,4)&amp;MID($Q707,6,2)&amp;RIGHT($Q707,2)&amp;IF(Sync!$K707="","0000",IF(AND(ISNUMBER(Sync!$K707),Sync!$K707&gt;=0,Sync!$K707&lt;1),RIGHT("00"&amp;HOUR(Sync!$K707),2)&amp;RIGHT("00"&amp;MINUTE(Sync!$K707),2),IFERROR(RIGHT("00"&amp;VALUE(LEFT(Sync!$K707,FIND(":",Sync!$K707)-1)),2)&amp;RIGHT("00"&amp;VALUE(MID(Sync!$K707,FIND(":",Sync!$K707)+1,2)),2),"0000")))&amp;"|"&amp;"2"&amp;RIGHT("00000"&amp;702,5))</f>
        <v/>
      </c>
      <c r="Q707">
        <f>IF(Sync!$J707="","",IF(ISNUMBER(Sync!$J707),IF(AND(Sync!$J707&gt;=10000101,Sync!$J707&lt;=99991231),INT(Sync!$J707/10000)&amp;"/"&amp;RIGHT("00"&amp;INT(MOD(Sync!$J707,10000)/100),2)&amp;"/"&amp;RIGHT("00"&amp;MOD(Sync!$J707,100),2),"نامعتبر"),IF(LEN(Sync!$J707)=10,Sync!$J707,"نامعتبر")))</f>
        <v/>
      </c>
      <c r="R707">
        <f>IF($P707="","",COUNTIFS($N$6:$N$2005,$N707,$P$6:$P$2005,"&lt;"&amp;$P707)+COUNTIFS($A$6:$A$1005,$N707,$B$6:$B$1005,"&lt;"&amp;$P707)+1)</f>
        <v/>
      </c>
      <c r="S707">
        <f>IF($N707="","",$N707&amp;"|"&amp;RIGHT("000000"&amp;$R707,6))</f>
        <v/>
      </c>
      <c r="T707">
        <f>IF($N707="","",IF(Sync!$N707="",0,Sync!$N707))</f>
        <v/>
      </c>
      <c r="U707">
        <f>IF($N707="","",IF(Sync!$O707="",0,Sync!$O707))</f>
        <v/>
      </c>
      <c r="V707">
        <f>IF($N707="","",Sync!$L707)</f>
        <v/>
      </c>
      <c r="W707">
        <f>IF($N707="","",Sync!$P707)</f>
        <v/>
      </c>
      <c r="AA707">
        <f>IF($A707="","",IF(COUNTIF($A$6:$A707,$A707)=1,1,0))</f>
        <v/>
      </c>
      <c r="AB707">
        <f>SUM($AA$6:$AA707)</f>
        <v/>
      </c>
      <c r="AC707">
        <f>IFERROR(INDEX($A$6:$A$1005,MATCH(ROW()-5,$AB$6:$AB$1005,0)),"")</f>
        <v/>
      </c>
    </row>
    <row r="708">
      <c r="A708">
        <f>IF(OR(Entry!$B711="",Entry!$E711="",$E708="نامعتبر"),"",Entry!$E711)</f>
        <v/>
      </c>
      <c r="B708">
        <f>IF($A708="","",LEFT($E708,4)&amp;MID($E708,6,2)&amp;RIGHT($E708,2)&amp;$F708&amp;"|"&amp;"1"&amp;RIGHT("00000"&amp;703,5))</f>
        <v/>
      </c>
      <c r="C708">
        <f>IF($B708="","",COUNTIFS($A$6:$A$1005,$A708,$B$6:$B$1005,"&lt;"&amp;$B708)+COUNTIFS($N$6:$N$2005,$A708,$P$6:$P$2005,"&lt;"&amp;$B708)+1)</f>
        <v/>
      </c>
      <c r="D708">
        <f>IF($C708="","",$A708&amp;"|"&amp;RIGHT("000000"&amp;$C708,6))</f>
        <v/>
      </c>
      <c r="E708">
        <f>IF(Entry!$B711="","",IF(ISNUMBER(Entry!$B711),IF(AND(Entry!$B711&gt;=10000101,Entry!$B711&lt;=99991231),INT(Entry!$B711/10000)&amp;"/"&amp;RIGHT("00"&amp;INT(MOD(Entry!$B711,10000)/100),2)&amp;"/"&amp;RIGHT("00"&amp;MOD(Entry!$B711,100),2),"نامعتبر"),IF(LEN(Entry!$B711)=10,Entry!$B711,"نامعتبر")))</f>
        <v/>
      </c>
      <c r="F708">
        <f>IF(Entry!$B711="","",IF(Entry!$C711="","0000",IF(AND(ISNUMBER(Entry!$C711),Entry!$C711&gt;=0,Entry!$C711&lt;1),RIGHT("00"&amp;HOUR(Entry!$C711),2)&amp;RIGHT("00"&amp;MINUTE(Entry!$C711),2),IFERROR(RIGHT("00"&amp;VALUE(LEFT(Entry!$C711,FIND(":",Entry!$C711)-1)),2)&amp;RIGHT("00"&amp;VALUE(MID(Entry!$C711,FIND(":",Entry!$C711)+1,2)),2),"0000"))))</f>
        <v/>
      </c>
      <c r="G708">
        <f>IF($A708="","",Entry!$G711)</f>
        <v/>
      </c>
      <c r="H708">
        <f>IF($A708="","",IF(Entry!$H711="",0,Entry!$H711))</f>
        <v/>
      </c>
      <c r="I708">
        <f>IF($A708="","",IF(Entry!$I711="",0,Entry!$I711))</f>
        <v/>
      </c>
      <c r="J708">
        <f>IF($A708="","",ROUND($H708*$I708,0))</f>
        <v/>
      </c>
      <c r="K708">
        <f>IF($A708="","",Entry!$D711)</f>
        <v/>
      </c>
      <c r="L708">
        <f>IF($A708="","",Entry!$L711)</f>
        <v/>
      </c>
      <c r="N708">
        <f>IF(OR(Sync!$M708="",$Q708="",$Q708="نامعتبر"),"",Sync!$M708)</f>
        <v/>
      </c>
      <c r="O708">
        <f>IF($N708="","",$Q708)</f>
        <v/>
      </c>
      <c r="P708">
        <f>IF($N708="","",LEFT($Q708,4)&amp;MID($Q708,6,2)&amp;RIGHT($Q708,2)&amp;IF(Sync!$K708="","0000",IF(AND(ISNUMBER(Sync!$K708),Sync!$K708&gt;=0,Sync!$K708&lt;1),RIGHT("00"&amp;HOUR(Sync!$K708),2)&amp;RIGHT("00"&amp;MINUTE(Sync!$K708),2),IFERROR(RIGHT("00"&amp;VALUE(LEFT(Sync!$K708,FIND(":",Sync!$K708)-1)),2)&amp;RIGHT("00"&amp;VALUE(MID(Sync!$K708,FIND(":",Sync!$K708)+1,2)),2),"0000")))&amp;"|"&amp;"2"&amp;RIGHT("00000"&amp;703,5))</f>
        <v/>
      </c>
      <c r="Q708">
        <f>IF(Sync!$J708="","",IF(ISNUMBER(Sync!$J708),IF(AND(Sync!$J708&gt;=10000101,Sync!$J708&lt;=99991231),INT(Sync!$J708/10000)&amp;"/"&amp;RIGHT("00"&amp;INT(MOD(Sync!$J708,10000)/100),2)&amp;"/"&amp;RIGHT("00"&amp;MOD(Sync!$J708,100),2),"نامعتبر"),IF(LEN(Sync!$J708)=10,Sync!$J708,"نامعتبر")))</f>
        <v/>
      </c>
      <c r="R708">
        <f>IF($P708="","",COUNTIFS($N$6:$N$2005,$N708,$P$6:$P$2005,"&lt;"&amp;$P708)+COUNTIFS($A$6:$A$1005,$N708,$B$6:$B$1005,"&lt;"&amp;$P708)+1)</f>
        <v/>
      </c>
      <c r="S708">
        <f>IF($N708="","",$N708&amp;"|"&amp;RIGHT("000000"&amp;$R708,6))</f>
        <v/>
      </c>
      <c r="T708">
        <f>IF($N708="","",IF(Sync!$N708="",0,Sync!$N708))</f>
        <v/>
      </c>
      <c r="U708">
        <f>IF($N708="","",IF(Sync!$O708="",0,Sync!$O708))</f>
        <v/>
      </c>
      <c r="V708">
        <f>IF($N708="","",Sync!$L708)</f>
        <v/>
      </c>
      <c r="W708">
        <f>IF($N708="","",Sync!$P708)</f>
        <v/>
      </c>
      <c r="AA708">
        <f>IF($A708="","",IF(COUNTIF($A$6:$A708,$A708)=1,1,0))</f>
        <v/>
      </c>
      <c r="AB708">
        <f>SUM($AA$6:$AA708)</f>
        <v/>
      </c>
      <c r="AC708">
        <f>IFERROR(INDEX($A$6:$A$1005,MATCH(ROW()-5,$AB$6:$AB$1005,0)),"")</f>
        <v/>
      </c>
    </row>
    <row r="709">
      <c r="A709">
        <f>IF(OR(Entry!$B712="",Entry!$E712="",$E709="نامعتبر"),"",Entry!$E712)</f>
        <v/>
      </c>
      <c r="B709">
        <f>IF($A709="","",LEFT($E709,4)&amp;MID($E709,6,2)&amp;RIGHT($E709,2)&amp;$F709&amp;"|"&amp;"1"&amp;RIGHT("00000"&amp;704,5))</f>
        <v/>
      </c>
      <c r="C709">
        <f>IF($B709="","",COUNTIFS($A$6:$A$1005,$A709,$B$6:$B$1005,"&lt;"&amp;$B709)+COUNTIFS($N$6:$N$2005,$A709,$P$6:$P$2005,"&lt;"&amp;$B709)+1)</f>
        <v/>
      </c>
      <c r="D709">
        <f>IF($C709="","",$A709&amp;"|"&amp;RIGHT("000000"&amp;$C709,6))</f>
        <v/>
      </c>
      <c r="E709">
        <f>IF(Entry!$B712="","",IF(ISNUMBER(Entry!$B712),IF(AND(Entry!$B712&gt;=10000101,Entry!$B712&lt;=99991231),INT(Entry!$B712/10000)&amp;"/"&amp;RIGHT("00"&amp;INT(MOD(Entry!$B712,10000)/100),2)&amp;"/"&amp;RIGHT("00"&amp;MOD(Entry!$B712,100),2),"نامعتبر"),IF(LEN(Entry!$B712)=10,Entry!$B712,"نامعتبر")))</f>
        <v/>
      </c>
      <c r="F709">
        <f>IF(Entry!$B712="","",IF(Entry!$C712="","0000",IF(AND(ISNUMBER(Entry!$C712),Entry!$C712&gt;=0,Entry!$C712&lt;1),RIGHT("00"&amp;HOUR(Entry!$C712),2)&amp;RIGHT("00"&amp;MINUTE(Entry!$C712),2),IFERROR(RIGHT("00"&amp;VALUE(LEFT(Entry!$C712,FIND(":",Entry!$C712)-1)),2)&amp;RIGHT("00"&amp;VALUE(MID(Entry!$C712,FIND(":",Entry!$C712)+1,2)),2),"0000"))))</f>
        <v/>
      </c>
      <c r="G709">
        <f>IF($A709="","",Entry!$G712)</f>
        <v/>
      </c>
      <c r="H709">
        <f>IF($A709="","",IF(Entry!$H712="",0,Entry!$H712))</f>
        <v/>
      </c>
      <c r="I709">
        <f>IF($A709="","",IF(Entry!$I712="",0,Entry!$I712))</f>
        <v/>
      </c>
      <c r="J709">
        <f>IF($A709="","",ROUND($H709*$I709,0))</f>
        <v/>
      </c>
      <c r="K709">
        <f>IF($A709="","",Entry!$D712)</f>
        <v/>
      </c>
      <c r="L709">
        <f>IF($A709="","",Entry!$L712)</f>
        <v/>
      </c>
      <c r="N709">
        <f>IF(OR(Sync!$M709="",$Q709="",$Q709="نامعتبر"),"",Sync!$M709)</f>
        <v/>
      </c>
      <c r="O709">
        <f>IF($N709="","",$Q709)</f>
        <v/>
      </c>
      <c r="P709">
        <f>IF($N709="","",LEFT($Q709,4)&amp;MID($Q709,6,2)&amp;RIGHT($Q709,2)&amp;IF(Sync!$K709="","0000",IF(AND(ISNUMBER(Sync!$K709),Sync!$K709&gt;=0,Sync!$K709&lt;1),RIGHT("00"&amp;HOUR(Sync!$K709),2)&amp;RIGHT("00"&amp;MINUTE(Sync!$K709),2),IFERROR(RIGHT("00"&amp;VALUE(LEFT(Sync!$K709,FIND(":",Sync!$K709)-1)),2)&amp;RIGHT("00"&amp;VALUE(MID(Sync!$K709,FIND(":",Sync!$K709)+1,2)),2),"0000")))&amp;"|"&amp;"2"&amp;RIGHT("00000"&amp;704,5))</f>
        <v/>
      </c>
      <c r="Q709">
        <f>IF(Sync!$J709="","",IF(ISNUMBER(Sync!$J709),IF(AND(Sync!$J709&gt;=10000101,Sync!$J709&lt;=99991231),INT(Sync!$J709/10000)&amp;"/"&amp;RIGHT("00"&amp;INT(MOD(Sync!$J709,10000)/100),2)&amp;"/"&amp;RIGHT("00"&amp;MOD(Sync!$J709,100),2),"نامعتبر"),IF(LEN(Sync!$J709)=10,Sync!$J709,"نامعتبر")))</f>
        <v/>
      </c>
      <c r="R709">
        <f>IF($P709="","",COUNTIFS($N$6:$N$2005,$N709,$P$6:$P$2005,"&lt;"&amp;$P709)+COUNTIFS($A$6:$A$1005,$N709,$B$6:$B$1005,"&lt;"&amp;$P709)+1)</f>
        <v/>
      </c>
      <c r="S709">
        <f>IF($N709="","",$N709&amp;"|"&amp;RIGHT("000000"&amp;$R709,6))</f>
        <v/>
      </c>
      <c r="T709">
        <f>IF($N709="","",IF(Sync!$N709="",0,Sync!$N709))</f>
        <v/>
      </c>
      <c r="U709">
        <f>IF($N709="","",IF(Sync!$O709="",0,Sync!$O709))</f>
        <v/>
      </c>
      <c r="V709">
        <f>IF($N709="","",Sync!$L709)</f>
        <v/>
      </c>
      <c r="W709">
        <f>IF($N709="","",Sync!$P709)</f>
        <v/>
      </c>
      <c r="AA709">
        <f>IF($A709="","",IF(COUNTIF($A$6:$A709,$A709)=1,1,0))</f>
        <v/>
      </c>
      <c r="AB709">
        <f>SUM($AA$6:$AA709)</f>
        <v/>
      </c>
      <c r="AC709">
        <f>IFERROR(INDEX($A$6:$A$1005,MATCH(ROW()-5,$AB$6:$AB$1005,0)),"")</f>
        <v/>
      </c>
    </row>
    <row r="710">
      <c r="A710">
        <f>IF(OR(Entry!$B713="",Entry!$E713="",$E710="نامعتبر"),"",Entry!$E713)</f>
        <v/>
      </c>
      <c r="B710">
        <f>IF($A710="","",LEFT($E710,4)&amp;MID($E710,6,2)&amp;RIGHT($E710,2)&amp;$F710&amp;"|"&amp;"1"&amp;RIGHT("00000"&amp;705,5))</f>
        <v/>
      </c>
      <c r="C710">
        <f>IF($B710="","",COUNTIFS($A$6:$A$1005,$A710,$B$6:$B$1005,"&lt;"&amp;$B710)+COUNTIFS($N$6:$N$2005,$A710,$P$6:$P$2005,"&lt;"&amp;$B710)+1)</f>
        <v/>
      </c>
      <c r="D710">
        <f>IF($C710="","",$A710&amp;"|"&amp;RIGHT("000000"&amp;$C710,6))</f>
        <v/>
      </c>
      <c r="E710">
        <f>IF(Entry!$B713="","",IF(ISNUMBER(Entry!$B713),IF(AND(Entry!$B713&gt;=10000101,Entry!$B713&lt;=99991231),INT(Entry!$B713/10000)&amp;"/"&amp;RIGHT("00"&amp;INT(MOD(Entry!$B713,10000)/100),2)&amp;"/"&amp;RIGHT("00"&amp;MOD(Entry!$B713,100),2),"نامعتبر"),IF(LEN(Entry!$B713)=10,Entry!$B713,"نامعتبر")))</f>
        <v/>
      </c>
      <c r="F710">
        <f>IF(Entry!$B713="","",IF(Entry!$C713="","0000",IF(AND(ISNUMBER(Entry!$C713),Entry!$C713&gt;=0,Entry!$C713&lt;1),RIGHT("00"&amp;HOUR(Entry!$C713),2)&amp;RIGHT("00"&amp;MINUTE(Entry!$C713),2),IFERROR(RIGHT("00"&amp;VALUE(LEFT(Entry!$C713,FIND(":",Entry!$C713)-1)),2)&amp;RIGHT("00"&amp;VALUE(MID(Entry!$C713,FIND(":",Entry!$C713)+1,2)),2),"0000"))))</f>
        <v/>
      </c>
      <c r="G710">
        <f>IF($A710="","",Entry!$G713)</f>
        <v/>
      </c>
      <c r="H710">
        <f>IF($A710="","",IF(Entry!$H713="",0,Entry!$H713))</f>
        <v/>
      </c>
      <c r="I710">
        <f>IF($A710="","",IF(Entry!$I713="",0,Entry!$I713))</f>
        <v/>
      </c>
      <c r="J710">
        <f>IF($A710="","",ROUND($H710*$I710,0))</f>
        <v/>
      </c>
      <c r="K710">
        <f>IF($A710="","",Entry!$D713)</f>
        <v/>
      </c>
      <c r="L710">
        <f>IF($A710="","",Entry!$L713)</f>
        <v/>
      </c>
      <c r="N710">
        <f>IF(OR(Sync!$M710="",$Q710="",$Q710="نامعتبر"),"",Sync!$M710)</f>
        <v/>
      </c>
      <c r="O710">
        <f>IF($N710="","",$Q710)</f>
        <v/>
      </c>
      <c r="P710">
        <f>IF($N710="","",LEFT($Q710,4)&amp;MID($Q710,6,2)&amp;RIGHT($Q710,2)&amp;IF(Sync!$K710="","0000",IF(AND(ISNUMBER(Sync!$K710),Sync!$K710&gt;=0,Sync!$K710&lt;1),RIGHT("00"&amp;HOUR(Sync!$K710),2)&amp;RIGHT("00"&amp;MINUTE(Sync!$K710),2),IFERROR(RIGHT("00"&amp;VALUE(LEFT(Sync!$K710,FIND(":",Sync!$K710)-1)),2)&amp;RIGHT("00"&amp;VALUE(MID(Sync!$K710,FIND(":",Sync!$K710)+1,2)),2),"0000")))&amp;"|"&amp;"2"&amp;RIGHT("00000"&amp;705,5))</f>
        <v/>
      </c>
      <c r="Q710">
        <f>IF(Sync!$J710="","",IF(ISNUMBER(Sync!$J710),IF(AND(Sync!$J710&gt;=10000101,Sync!$J710&lt;=99991231),INT(Sync!$J710/10000)&amp;"/"&amp;RIGHT("00"&amp;INT(MOD(Sync!$J710,10000)/100),2)&amp;"/"&amp;RIGHT("00"&amp;MOD(Sync!$J710,100),2),"نامعتبر"),IF(LEN(Sync!$J710)=10,Sync!$J710,"نامعتبر")))</f>
        <v/>
      </c>
      <c r="R710">
        <f>IF($P710="","",COUNTIFS($N$6:$N$2005,$N710,$P$6:$P$2005,"&lt;"&amp;$P710)+COUNTIFS($A$6:$A$1005,$N710,$B$6:$B$1005,"&lt;"&amp;$P710)+1)</f>
        <v/>
      </c>
      <c r="S710">
        <f>IF($N710="","",$N710&amp;"|"&amp;RIGHT("000000"&amp;$R710,6))</f>
        <v/>
      </c>
      <c r="T710">
        <f>IF($N710="","",IF(Sync!$N710="",0,Sync!$N710))</f>
        <v/>
      </c>
      <c r="U710">
        <f>IF($N710="","",IF(Sync!$O710="",0,Sync!$O710))</f>
        <v/>
      </c>
      <c r="V710">
        <f>IF($N710="","",Sync!$L710)</f>
        <v/>
      </c>
      <c r="W710">
        <f>IF($N710="","",Sync!$P710)</f>
        <v/>
      </c>
      <c r="AA710">
        <f>IF($A710="","",IF(COUNTIF($A$6:$A710,$A710)=1,1,0))</f>
        <v/>
      </c>
      <c r="AB710">
        <f>SUM($AA$6:$AA710)</f>
        <v/>
      </c>
      <c r="AC710">
        <f>IFERROR(INDEX($A$6:$A$1005,MATCH(ROW()-5,$AB$6:$AB$1005,0)),"")</f>
        <v/>
      </c>
    </row>
    <row r="711">
      <c r="A711">
        <f>IF(OR(Entry!$B714="",Entry!$E714="",$E711="نامعتبر"),"",Entry!$E714)</f>
        <v/>
      </c>
      <c r="B711">
        <f>IF($A711="","",LEFT($E711,4)&amp;MID($E711,6,2)&amp;RIGHT($E711,2)&amp;$F711&amp;"|"&amp;"1"&amp;RIGHT("00000"&amp;706,5))</f>
        <v/>
      </c>
      <c r="C711">
        <f>IF($B711="","",COUNTIFS($A$6:$A$1005,$A711,$B$6:$B$1005,"&lt;"&amp;$B711)+COUNTIFS($N$6:$N$2005,$A711,$P$6:$P$2005,"&lt;"&amp;$B711)+1)</f>
        <v/>
      </c>
      <c r="D711">
        <f>IF($C711="","",$A711&amp;"|"&amp;RIGHT("000000"&amp;$C711,6))</f>
        <v/>
      </c>
      <c r="E711">
        <f>IF(Entry!$B714="","",IF(ISNUMBER(Entry!$B714),IF(AND(Entry!$B714&gt;=10000101,Entry!$B714&lt;=99991231),INT(Entry!$B714/10000)&amp;"/"&amp;RIGHT("00"&amp;INT(MOD(Entry!$B714,10000)/100),2)&amp;"/"&amp;RIGHT("00"&amp;MOD(Entry!$B714,100),2),"نامعتبر"),IF(LEN(Entry!$B714)=10,Entry!$B714,"نامعتبر")))</f>
        <v/>
      </c>
      <c r="F711">
        <f>IF(Entry!$B714="","",IF(Entry!$C714="","0000",IF(AND(ISNUMBER(Entry!$C714),Entry!$C714&gt;=0,Entry!$C714&lt;1),RIGHT("00"&amp;HOUR(Entry!$C714),2)&amp;RIGHT("00"&amp;MINUTE(Entry!$C714),2),IFERROR(RIGHT("00"&amp;VALUE(LEFT(Entry!$C714,FIND(":",Entry!$C714)-1)),2)&amp;RIGHT("00"&amp;VALUE(MID(Entry!$C714,FIND(":",Entry!$C714)+1,2)),2),"0000"))))</f>
        <v/>
      </c>
      <c r="G711">
        <f>IF($A711="","",Entry!$G714)</f>
        <v/>
      </c>
      <c r="H711">
        <f>IF($A711="","",IF(Entry!$H714="",0,Entry!$H714))</f>
        <v/>
      </c>
      <c r="I711">
        <f>IF($A711="","",IF(Entry!$I714="",0,Entry!$I714))</f>
        <v/>
      </c>
      <c r="J711">
        <f>IF($A711="","",ROUND($H711*$I711,0))</f>
        <v/>
      </c>
      <c r="K711">
        <f>IF($A711="","",Entry!$D714)</f>
        <v/>
      </c>
      <c r="L711">
        <f>IF($A711="","",Entry!$L714)</f>
        <v/>
      </c>
      <c r="N711">
        <f>IF(OR(Sync!$M711="",$Q711="",$Q711="نامعتبر"),"",Sync!$M711)</f>
        <v/>
      </c>
      <c r="O711">
        <f>IF($N711="","",$Q711)</f>
        <v/>
      </c>
      <c r="P711">
        <f>IF($N711="","",LEFT($Q711,4)&amp;MID($Q711,6,2)&amp;RIGHT($Q711,2)&amp;IF(Sync!$K711="","0000",IF(AND(ISNUMBER(Sync!$K711),Sync!$K711&gt;=0,Sync!$K711&lt;1),RIGHT("00"&amp;HOUR(Sync!$K711),2)&amp;RIGHT("00"&amp;MINUTE(Sync!$K711),2),IFERROR(RIGHT("00"&amp;VALUE(LEFT(Sync!$K711,FIND(":",Sync!$K711)-1)),2)&amp;RIGHT("00"&amp;VALUE(MID(Sync!$K711,FIND(":",Sync!$K711)+1,2)),2),"0000")))&amp;"|"&amp;"2"&amp;RIGHT("00000"&amp;706,5))</f>
        <v/>
      </c>
      <c r="Q711">
        <f>IF(Sync!$J711="","",IF(ISNUMBER(Sync!$J711),IF(AND(Sync!$J711&gt;=10000101,Sync!$J711&lt;=99991231),INT(Sync!$J711/10000)&amp;"/"&amp;RIGHT("00"&amp;INT(MOD(Sync!$J711,10000)/100),2)&amp;"/"&amp;RIGHT("00"&amp;MOD(Sync!$J711,100),2),"نامعتبر"),IF(LEN(Sync!$J711)=10,Sync!$J711,"نامعتبر")))</f>
        <v/>
      </c>
      <c r="R711">
        <f>IF($P711="","",COUNTIFS($N$6:$N$2005,$N711,$P$6:$P$2005,"&lt;"&amp;$P711)+COUNTIFS($A$6:$A$1005,$N711,$B$6:$B$1005,"&lt;"&amp;$P711)+1)</f>
        <v/>
      </c>
      <c r="S711">
        <f>IF($N711="","",$N711&amp;"|"&amp;RIGHT("000000"&amp;$R711,6))</f>
        <v/>
      </c>
      <c r="T711">
        <f>IF($N711="","",IF(Sync!$N711="",0,Sync!$N711))</f>
        <v/>
      </c>
      <c r="U711">
        <f>IF($N711="","",IF(Sync!$O711="",0,Sync!$O711))</f>
        <v/>
      </c>
      <c r="V711">
        <f>IF($N711="","",Sync!$L711)</f>
        <v/>
      </c>
      <c r="W711">
        <f>IF($N711="","",Sync!$P711)</f>
        <v/>
      </c>
      <c r="AA711">
        <f>IF($A711="","",IF(COUNTIF($A$6:$A711,$A711)=1,1,0))</f>
        <v/>
      </c>
      <c r="AB711">
        <f>SUM($AA$6:$AA711)</f>
        <v/>
      </c>
      <c r="AC711">
        <f>IFERROR(INDEX($A$6:$A$1005,MATCH(ROW()-5,$AB$6:$AB$1005,0)),"")</f>
        <v/>
      </c>
    </row>
    <row r="712">
      <c r="A712">
        <f>IF(OR(Entry!$B715="",Entry!$E715="",$E712="نامعتبر"),"",Entry!$E715)</f>
        <v/>
      </c>
      <c r="B712">
        <f>IF($A712="","",LEFT($E712,4)&amp;MID($E712,6,2)&amp;RIGHT($E712,2)&amp;$F712&amp;"|"&amp;"1"&amp;RIGHT("00000"&amp;707,5))</f>
        <v/>
      </c>
      <c r="C712">
        <f>IF($B712="","",COUNTIFS($A$6:$A$1005,$A712,$B$6:$B$1005,"&lt;"&amp;$B712)+COUNTIFS($N$6:$N$2005,$A712,$P$6:$P$2005,"&lt;"&amp;$B712)+1)</f>
        <v/>
      </c>
      <c r="D712">
        <f>IF($C712="","",$A712&amp;"|"&amp;RIGHT("000000"&amp;$C712,6))</f>
        <v/>
      </c>
      <c r="E712">
        <f>IF(Entry!$B715="","",IF(ISNUMBER(Entry!$B715),IF(AND(Entry!$B715&gt;=10000101,Entry!$B715&lt;=99991231),INT(Entry!$B715/10000)&amp;"/"&amp;RIGHT("00"&amp;INT(MOD(Entry!$B715,10000)/100),2)&amp;"/"&amp;RIGHT("00"&amp;MOD(Entry!$B715,100),2),"نامعتبر"),IF(LEN(Entry!$B715)=10,Entry!$B715,"نامعتبر")))</f>
        <v/>
      </c>
      <c r="F712">
        <f>IF(Entry!$B715="","",IF(Entry!$C715="","0000",IF(AND(ISNUMBER(Entry!$C715),Entry!$C715&gt;=0,Entry!$C715&lt;1),RIGHT("00"&amp;HOUR(Entry!$C715),2)&amp;RIGHT("00"&amp;MINUTE(Entry!$C715),2),IFERROR(RIGHT("00"&amp;VALUE(LEFT(Entry!$C715,FIND(":",Entry!$C715)-1)),2)&amp;RIGHT("00"&amp;VALUE(MID(Entry!$C715,FIND(":",Entry!$C715)+1,2)),2),"0000"))))</f>
        <v/>
      </c>
      <c r="G712">
        <f>IF($A712="","",Entry!$G715)</f>
        <v/>
      </c>
      <c r="H712">
        <f>IF($A712="","",IF(Entry!$H715="",0,Entry!$H715))</f>
        <v/>
      </c>
      <c r="I712">
        <f>IF($A712="","",IF(Entry!$I715="",0,Entry!$I715))</f>
        <v/>
      </c>
      <c r="J712">
        <f>IF($A712="","",ROUND($H712*$I712,0))</f>
        <v/>
      </c>
      <c r="K712">
        <f>IF($A712="","",Entry!$D715)</f>
        <v/>
      </c>
      <c r="L712">
        <f>IF($A712="","",Entry!$L715)</f>
        <v/>
      </c>
      <c r="N712">
        <f>IF(OR(Sync!$M712="",$Q712="",$Q712="نامعتبر"),"",Sync!$M712)</f>
        <v/>
      </c>
      <c r="O712">
        <f>IF($N712="","",$Q712)</f>
        <v/>
      </c>
      <c r="P712">
        <f>IF($N712="","",LEFT($Q712,4)&amp;MID($Q712,6,2)&amp;RIGHT($Q712,2)&amp;IF(Sync!$K712="","0000",IF(AND(ISNUMBER(Sync!$K712),Sync!$K712&gt;=0,Sync!$K712&lt;1),RIGHT("00"&amp;HOUR(Sync!$K712),2)&amp;RIGHT("00"&amp;MINUTE(Sync!$K712),2),IFERROR(RIGHT("00"&amp;VALUE(LEFT(Sync!$K712,FIND(":",Sync!$K712)-1)),2)&amp;RIGHT("00"&amp;VALUE(MID(Sync!$K712,FIND(":",Sync!$K712)+1,2)),2),"0000")))&amp;"|"&amp;"2"&amp;RIGHT("00000"&amp;707,5))</f>
        <v/>
      </c>
      <c r="Q712">
        <f>IF(Sync!$J712="","",IF(ISNUMBER(Sync!$J712),IF(AND(Sync!$J712&gt;=10000101,Sync!$J712&lt;=99991231),INT(Sync!$J712/10000)&amp;"/"&amp;RIGHT("00"&amp;INT(MOD(Sync!$J712,10000)/100),2)&amp;"/"&amp;RIGHT("00"&amp;MOD(Sync!$J712,100),2),"نامعتبر"),IF(LEN(Sync!$J712)=10,Sync!$J712,"نامعتبر")))</f>
        <v/>
      </c>
      <c r="R712">
        <f>IF($P712="","",COUNTIFS($N$6:$N$2005,$N712,$P$6:$P$2005,"&lt;"&amp;$P712)+COUNTIFS($A$6:$A$1005,$N712,$B$6:$B$1005,"&lt;"&amp;$P712)+1)</f>
        <v/>
      </c>
      <c r="S712">
        <f>IF($N712="","",$N712&amp;"|"&amp;RIGHT("000000"&amp;$R712,6))</f>
        <v/>
      </c>
      <c r="T712">
        <f>IF($N712="","",IF(Sync!$N712="",0,Sync!$N712))</f>
        <v/>
      </c>
      <c r="U712">
        <f>IF($N712="","",IF(Sync!$O712="",0,Sync!$O712))</f>
        <v/>
      </c>
      <c r="V712">
        <f>IF($N712="","",Sync!$L712)</f>
        <v/>
      </c>
      <c r="W712">
        <f>IF($N712="","",Sync!$P712)</f>
        <v/>
      </c>
      <c r="AA712">
        <f>IF($A712="","",IF(COUNTIF($A$6:$A712,$A712)=1,1,0))</f>
        <v/>
      </c>
      <c r="AB712">
        <f>SUM($AA$6:$AA712)</f>
        <v/>
      </c>
      <c r="AC712">
        <f>IFERROR(INDEX($A$6:$A$1005,MATCH(ROW()-5,$AB$6:$AB$1005,0)),"")</f>
        <v/>
      </c>
    </row>
    <row r="713">
      <c r="A713">
        <f>IF(OR(Entry!$B716="",Entry!$E716="",$E713="نامعتبر"),"",Entry!$E716)</f>
        <v/>
      </c>
      <c r="B713">
        <f>IF($A713="","",LEFT($E713,4)&amp;MID($E713,6,2)&amp;RIGHT($E713,2)&amp;$F713&amp;"|"&amp;"1"&amp;RIGHT("00000"&amp;708,5))</f>
        <v/>
      </c>
      <c r="C713">
        <f>IF($B713="","",COUNTIFS($A$6:$A$1005,$A713,$B$6:$B$1005,"&lt;"&amp;$B713)+COUNTIFS($N$6:$N$2005,$A713,$P$6:$P$2005,"&lt;"&amp;$B713)+1)</f>
        <v/>
      </c>
      <c r="D713">
        <f>IF($C713="","",$A713&amp;"|"&amp;RIGHT("000000"&amp;$C713,6))</f>
        <v/>
      </c>
      <c r="E713">
        <f>IF(Entry!$B716="","",IF(ISNUMBER(Entry!$B716),IF(AND(Entry!$B716&gt;=10000101,Entry!$B716&lt;=99991231),INT(Entry!$B716/10000)&amp;"/"&amp;RIGHT("00"&amp;INT(MOD(Entry!$B716,10000)/100),2)&amp;"/"&amp;RIGHT("00"&amp;MOD(Entry!$B716,100),2),"نامعتبر"),IF(LEN(Entry!$B716)=10,Entry!$B716,"نامعتبر")))</f>
        <v/>
      </c>
      <c r="F713">
        <f>IF(Entry!$B716="","",IF(Entry!$C716="","0000",IF(AND(ISNUMBER(Entry!$C716),Entry!$C716&gt;=0,Entry!$C716&lt;1),RIGHT("00"&amp;HOUR(Entry!$C716),2)&amp;RIGHT("00"&amp;MINUTE(Entry!$C716),2),IFERROR(RIGHT("00"&amp;VALUE(LEFT(Entry!$C716,FIND(":",Entry!$C716)-1)),2)&amp;RIGHT("00"&amp;VALUE(MID(Entry!$C716,FIND(":",Entry!$C716)+1,2)),2),"0000"))))</f>
        <v/>
      </c>
      <c r="G713">
        <f>IF($A713="","",Entry!$G716)</f>
        <v/>
      </c>
      <c r="H713">
        <f>IF($A713="","",IF(Entry!$H716="",0,Entry!$H716))</f>
        <v/>
      </c>
      <c r="I713">
        <f>IF($A713="","",IF(Entry!$I716="",0,Entry!$I716))</f>
        <v/>
      </c>
      <c r="J713">
        <f>IF($A713="","",ROUND($H713*$I713,0))</f>
        <v/>
      </c>
      <c r="K713">
        <f>IF($A713="","",Entry!$D716)</f>
        <v/>
      </c>
      <c r="L713">
        <f>IF($A713="","",Entry!$L716)</f>
        <v/>
      </c>
      <c r="N713">
        <f>IF(OR(Sync!$M713="",$Q713="",$Q713="نامعتبر"),"",Sync!$M713)</f>
        <v/>
      </c>
      <c r="O713">
        <f>IF($N713="","",$Q713)</f>
        <v/>
      </c>
      <c r="P713">
        <f>IF($N713="","",LEFT($Q713,4)&amp;MID($Q713,6,2)&amp;RIGHT($Q713,2)&amp;IF(Sync!$K713="","0000",IF(AND(ISNUMBER(Sync!$K713),Sync!$K713&gt;=0,Sync!$K713&lt;1),RIGHT("00"&amp;HOUR(Sync!$K713),2)&amp;RIGHT("00"&amp;MINUTE(Sync!$K713),2),IFERROR(RIGHT("00"&amp;VALUE(LEFT(Sync!$K713,FIND(":",Sync!$K713)-1)),2)&amp;RIGHT("00"&amp;VALUE(MID(Sync!$K713,FIND(":",Sync!$K713)+1,2)),2),"0000")))&amp;"|"&amp;"2"&amp;RIGHT("00000"&amp;708,5))</f>
        <v/>
      </c>
      <c r="Q713">
        <f>IF(Sync!$J713="","",IF(ISNUMBER(Sync!$J713),IF(AND(Sync!$J713&gt;=10000101,Sync!$J713&lt;=99991231),INT(Sync!$J713/10000)&amp;"/"&amp;RIGHT("00"&amp;INT(MOD(Sync!$J713,10000)/100),2)&amp;"/"&amp;RIGHT("00"&amp;MOD(Sync!$J713,100),2),"نامعتبر"),IF(LEN(Sync!$J713)=10,Sync!$J713,"نامعتبر")))</f>
        <v/>
      </c>
      <c r="R713">
        <f>IF($P713="","",COUNTIFS($N$6:$N$2005,$N713,$P$6:$P$2005,"&lt;"&amp;$P713)+COUNTIFS($A$6:$A$1005,$N713,$B$6:$B$1005,"&lt;"&amp;$P713)+1)</f>
        <v/>
      </c>
      <c r="S713">
        <f>IF($N713="","",$N713&amp;"|"&amp;RIGHT("000000"&amp;$R713,6))</f>
        <v/>
      </c>
      <c r="T713">
        <f>IF($N713="","",IF(Sync!$N713="",0,Sync!$N713))</f>
        <v/>
      </c>
      <c r="U713">
        <f>IF($N713="","",IF(Sync!$O713="",0,Sync!$O713))</f>
        <v/>
      </c>
      <c r="V713">
        <f>IF($N713="","",Sync!$L713)</f>
        <v/>
      </c>
      <c r="W713">
        <f>IF($N713="","",Sync!$P713)</f>
        <v/>
      </c>
      <c r="AA713">
        <f>IF($A713="","",IF(COUNTIF($A$6:$A713,$A713)=1,1,0))</f>
        <v/>
      </c>
      <c r="AB713">
        <f>SUM($AA$6:$AA713)</f>
        <v/>
      </c>
      <c r="AC713">
        <f>IFERROR(INDEX($A$6:$A$1005,MATCH(ROW()-5,$AB$6:$AB$1005,0)),"")</f>
        <v/>
      </c>
    </row>
    <row r="714">
      <c r="A714">
        <f>IF(OR(Entry!$B717="",Entry!$E717="",$E714="نامعتبر"),"",Entry!$E717)</f>
        <v/>
      </c>
      <c r="B714">
        <f>IF($A714="","",LEFT($E714,4)&amp;MID($E714,6,2)&amp;RIGHT($E714,2)&amp;$F714&amp;"|"&amp;"1"&amp;RIGHT("00000"&amp;709,5))</f>
        <v/>
      </c>
      <c r="C714">
        <f>IF($B714="","",COUNTIFS($A$6:$A$1005,$A714,$B$6:$B$1005,"&lt;"&amp;$B714)+COUNTIFS($N$6:$N$2005,$A714,$P$6:$P$2005,"&lt;"&amp;$B714)+1)</f>
        <v/>
      </c>
      <c r="D714">
        <f>IF($C714="","",$A714&amp;"|"&amp;RIGHT("000000"&amp;$C714,6))</f>
        <v/>
      </c>
      <c r="E714">
        <f>IF(Entry!$B717="","",IF(ISNUMBER(Entry!$B717),IF(AND(Entry!$B717&gt;=10000101,Entry!$B717&lt;=99991231),INT(Entry!$B717/10000)&amp;"/"&amp;RIGHT("00"&amp;INT(MOD(Entry!$B717,10000)/100),2)&amp;"/"&amp;RIGHT("00"&amp;MOD(Entry!$B717,100),2),"نامعتبر"),IF(LEN(Entry!$B717)=10,Entry!$B717,"نامعتبر")))</f>
        <v/>
      </c>
      <c r="F714">
        <f>IF(Entry!$B717="","",IF(Entry!$C717="","0000",IF(AND(ISNUMBER(Entry!$C717),Entry!$C717&gt;=0,Entry!$C717&lt;1),RIGHT("00"&amp;HOUR(Entry!$C717),2)&amp;RIGHT("00"&amp;MINUTE(Entry!$C717),2),IFERROR(RIGHT("00"&amp;VALUE(LEFT(Entry!$C717,FIND(":",Entry!$C717)-1)),2)&amp;RIGHT("00"&amp;VALUE(MID(Entry!$C717,FIND(":",Entry!$C717)+1,2)),2),"0000"))))</f>
        <v/>
      </c>
      <c r="G714">
        <f>IF($A714="","",Entry!$G717)</f>
        <v/>
      </c>
      <c r="H714">
        <f>IF($A714="","",IF(Entry!$H717="",0,Entry!$H717))</f>
        <v/>
      </c>
      <c r="I714">
        <f>IF($A714="","",IF(Entry!$I717="",0,Entry!$I717))</f>
        <v/>
      </c>
      <c r="J714">
        <f>IF($A714="","",ROUND($H714*$I714,0))</f>
        <v/>
      </c>
      <c r="K714">
        <f>IF($A714="","",Entry!$D717)</f>
        <v/>
      </c>
      <c r="L714">
        <f>IF($A714="","",Entry!$L717)</f>
        <v/>
      </c>
      <c r="N714">
        <f>IF(OR(Sync!$M714="",$Q714="",$Q714="نامعتبر"),"",Sync!$M714)</f>
        <v/>
      </c>
      <c r="O714">
        <f>IF($N714="","",$Q714)</f>
        <v/>
      </c>
      <c r="P714">
        <f>IF($N714="","",LEFT($Q714,4)&amp;MID($Q714,6,2)&amp;RIGHT($Q714,2)&amp;IF(Sync!$K714="","0000",IF(AND(ISNUMBER(Sync!$K714),Sync!$K714&gt;=0,Sync!$K714&lt;1),RIGHT("00"&amp;HOUR(Sync!$K714),2)&amp;RIGHT("00"&amp;MINUTE(Sync!$K714),2),IFERROR(RIGHT("00"&amp;VALUE(LEFT(Sync!$K714,FIND(":",Sync!$K714)-1)),2)&amp;RIGHT("00"&amp;VALUE(MID(Sync!$K714,FIND(":",Sync!$K714)+1,2)),2),"0000")))&amp;"|"&amp;"2"&amp;RIGHT("00000"&amp;709,5))</f>
        <v/>
      </c>
      <c r="Q714">
        <f>IF(Sync!$J714="","",IF(ISNUMBER(Sync!$J714),IF(AND(Sync!$J714&gt;=10000101,Sync!$J714&lt;=99991231),INT(Sync!$J714/10000)&amp;"/"&amp;RIGHT("00"&amp;INT(MOD(Sync!$J714,10000)/100),2)&amp;"/"&amp;RIGHT("00"&amp;MOD(Sync!$J714,100),2),"نامعتبر"),IF(LEN(Sync!$J714)=10,Sync!$J714,"نامعتبر")))</f>
        <v/>
      </c>
      <c r="R714">
        <f>IF($P714="","",COUNTIFS($N$6:$N$2005,$N714,$P$6:$P$2005,"&lt;"&amp;$P714)+COUNTIFS($A$6:$A$1005,$N714,$B$6:$B$1005,"&lt;"&amp;$P714)+1)</f>
        <v/>
      </c>
      <c r="S714">
        <f>IF($N714="","",$N714&amp;"|"&amp;RIGHT("000000"&amp;$R714,6))</f>
        <v/>
      </c>
      <c r="T714">
        <f>IF($N714="","",IF(Sync!$N714="",0,Sync!$N714))</f>
        <v/>
      </c>
      <c r="U714">
        <f>IF($N714="","",IF(Sync!$O714="",0,Sync!$O714))</f>
        <v/>
      </c>
      <c r="V714">
        <f>IF($N714="","",Sync!$L714)</f>
        <v/>
      </c>
      <c r="W714">
        <f>IF($N714="","",Sync!$P714)</f>
        <v/>
      </c>
      <c r="AA714">
        <f>IF($A714="","",IF(COUNTIF($A$6:$A714,$A714)=1,1,0))</f>
        <v/>
      </c>
      <c r="AB714">
        <f>SUM($AA$6:$AA714)</f>
        <v/>
      </c>
      <c r="AC714">
        <f>IFERROR(INDEX($A$6:$A$1005,MATCH(ROW()-5,$AB$6:$AB$1005,0)),"")</f>
        <v/>
      </c>
    </row>
    <row r="715">
      <c r="A715">
        <f>IF(OR(Entry!$B718="",Entry!$E718="",$E715="نامعتبر"),"",Entry!$E718)</f>
        <v/>
      </c>
      <c r="B715">
        <f>IF($A715="","",LEFT($E715,4)&amp;MID($E715,6,2)&amp;RIGHT($E715,2)&amp;$F715&amp;"|"&amp;"1"&amp;RIGHT("00000"&amp;710,5))</f>
        <v/>
      </c>
      <c r="C715">
        <f>IF($B715="","",COUNTIFS($A$6:$A$1005,$A715,$B$6:$B$1005,"&lt;"&amp;$B715)+COUNTIFS($N$6:$N$2005,$A715,$P$6:$P$2005,"&lt;"&amp;$B715)+1)</f>
        <v/>
      </c>
      <c r="D715">
        <f>IF($C715="","",$A715&amp;"|"&amp;RIGHT("000000"&amp;$C715,6))</f>
        <v/>
      </c>
      <c r="E715">
        <f>IF(Entry!$B718="","",IF(ISNUMBER(Entry!$B718),IF(AND(Entry!$B718&gt;=10000101,Entry!$B718&lt;=99991231),INT(Entry!$B718/10000)&amp;"/"&amp;RIGHT("00"&amp;INT(MOD(Entry!$B718,10000)/100),2)&amp;"/"&amp;RIGHT("00"&amp;MOD(Entry!$B718,100),2),"نامعتبر"),IF(LEN(Entry!$B718)=10,Entry!$B718,"نامعتبر")))</f>
        <v/>
      </c>
      <c r="F715">
        <f>IF(Entry!$B718="","",IF(Entry!$C718="","0000",IF(AND(ISNUMBER(Entry!$C718),Entry!$C718&gt;=0,Entry!$C718&lt;1),RIGHT("00"&amp;HOUR(Entry!$C718),2)&amp;RIGHT("00"&amp;MINUTE(Entry!$C718),2),IFERROR(RIGHT("00"&amp;VALUE(LEFT(Entry!$C718,FIND(":",Entry!$C718)-1)),2)&amp;RIGHT("00"&amp;VALUE(MID(Entry!$C718,FIND(":",Entry!$C718)+1,2)),2),"0000"))))</f>
        <v/>
      </c>
      <c r="G715">
        <f>IF($A715="","",Entry!$G718)</f>
        <v/>
      </c>
      <c r="H715">
        <f>IF($A715="","",IF(Entry!$H718="",0,Entry!$H718))</f>
        <v/>
      </c>
      <c r="I715">
        <f>IF($A715="","",IF(Entry!$I718="",0,Entry!$I718))</f>
        <v/>
      </c>
      <c r="J715">
        <f>IF($A715="","",ROUND($H715*$I715,0))</f>
        <v/>
      </c>
      <c r="K715">
        <f>IF($A715="","",Entry!$D718)</f>
        <v/>
      </c>
      <c r="L715">
        <f>IF($A715="","",Entry!$L718)</f>
        <v/>
      </c>
      <c r="N715">
        <f>IF(OR(Sync!$M715="",$Q715="",$Q715="نامعتبر"),"",Sync!$M715)</f>
        <v/>
      </c>
      <c r="O715">
        <f>IF($N715="","",$Q715)</f>
        <v/>
      </c>
      <c r="P715">
        <f>IF($N715="","",LEFT($Q715,4)&amp;MID($Q715,6,2)&amp;RIGHT($Q715,2)&amp;IF(Sync!$K715="","0000",IF(AND(ISNUMBER(Sync!$K715),Sync!$K715&gt;=0,Sync!$K715&lt;1),RIGHT("00"&amp;HOUR(Sync!$K715),2)&amp;RIGHT("00"&amp;MINUTE(Sync!$K715),2),IFERROR(RIGHT("00"&amp;VALUE(LEFT(Sync!$K715,FIND(":",Sync!$K715)-1)),2)&amp;RIGHT("00"&amp;VALUE(MID(Sync!$K715,FIND(":",Sync!$K715)+1,2)),2),"0000")))&amp;"|"&amp;"2"&amp;RIGHT("00000"&amp;710,5))</f>
        <v/>
      </c>
      <c r="Q715">
        <f>IF(Sync!$J715="","",IF(ISNUMBER(Sync!$J715),IF(AND(Sync!$J715&gt;=10000101,Sync!$J715&lt;=99991231),INT(Sync!$J715/10000)&amp;"/"&amp;RIGHT("00"&amp;INT(MOD(Sync!$J715,10000)/100),2)&amp;"/"&amp;RIGHT("00"&amp;MOD(Sync!$J715,100),2),"نامعتبر"),IF(LEN(Sync!$J715)=10,Sync!$J715,"نامعتبر")))</f>
        <v/>
      </c>
      <c r="R715">
        <f>IF($P715="","",COUNTIFS($N$6:$N$2005,$N715,$P$6:$P$2005,"&lt;"&amp;$P715)+COUNTIFS($A$6:$A$1005,$N715,$B$6:$B$1005,"&lt;"&amp;$P715)+1)</f>
        <v/>
      </c>
      <c r="S715">
        <f>IF($N715="","",$N715&amp;"|"&amp;RIGHT("000000"&amp;$R715,6))</f>
        <v/>
      </c>
      <c r="T715">
        <f>IF($N715="","",IF(Sync!$N715="",0,Sync!$N715))</f>
        <v/>
      </c>
      <c r="U715">
        <f>IF($N715="","",IF(Sync!$O715="",0,Sync!$O715))</f>
        <v/>
      </c>
      <c r="V715">
        <f>IF($N715="","",Sync!$L715)</f>
        <v/>
      </c>
      <c r="W715">
        <f>IF($N715="","",Sync!$P715)</f>
        <v/>
      </c>
      <c r="AA715">
        <f>IF($A715="","",IF(COUNTIF($A$6:$A715,$A715)=1,1,0))</f>
        <v/>
      </c>
      <c r="AB715">
        <f>SUM($AA$6:$AA715)</f>
        <v/>
      </c>
      <c r="AC715">
        <f>IFERROR(INDEX($A$6:$A$1005,MATCH(ROW()-5,$AB$6:$AB$1005,0)),"")</f>
        <v/>
      </c>
    </row>
    <row r="716">
      <c r="A716">
        <f>IF(OR(Entry!$B719="",Entry!$E719="",$E716="نامعتبر"),"",Entry!$E719)</f>
        <v/>
      </c>
      <c r="B716">
        <f>IF($A716="","",LEFT($E716,4)&amp;MID($E716,6,2)&amp;RIGHT($E716,2)&amp;$F716&amp;"|"&amp;"1"&amp;RIGHT("00000"&amp;711,5))</f>
        <v/>
      </c>
      <c r="C716">
        <f>IF($B716="","",COUNTIFS($A$6:$A$1005,$A716,$B$6:$B$1005,"&lt;"&amp;$B716)+COUNTIFS($N$6:$N$2005,$A716,$P$6:$P$2005,"&lt;"&amp;$B716)+1)</f>
        <v/>
      </c>
      <c r="D716">
        <f>IF($C716="","",$A716&amp;"|"&amp;RIGHT("000000"&amp;$C716,6))</f>
        <v/>
      </c>
      <c r="E716">
        <f>IF(Entry!$B719="","",IF(ISNUMBER(Entry!$B719),IF(AND(Entry!$B719&gt;=10000101,Entry!$B719&lt;=99991231),INT(Entry!$B719/10000)&amp;"/"&amp;RIGHT("00"&amp;INT(MOD(Entry!$B719,10000)/100),2)&amp;"/"&amp;RIGHT("00"&amp;MOD(Entry!$B719,100),2),"نامعتبر"),IF(LEN(Entry!$B719)=10,Entry!$B719,"نامعتبر")))</f>
        <v/>
      </c>
      <c r="F716">
        <f>IF(Entry!$B719="","",IF(Entry!$C719="","0000",IF(AND(ISNUMBER(Entry!$C719),Entry!$C719&gt;=0,Entry!$C719&lt;1),RIGHT("00"&amp;HOUR(Entry!$C719),2)&amp;RIGHT("00"&amp;MINUTE(Entry!$C719),2),IFERROR(RIGHT("00"&amp;VALUE(LEFT(Entry!$C719,FIND(":",Entry!$C719)-1)),2)&amp;RIGHT("00"&amp;VALUE(MID(Entry!$C719,FIND(":",Entry!$C719)+1,2)),2),"0000"))))</f>
        <v/>
      </c>
      <c r="G716">
        <f>IF($A716="","",Entry!$G719)</f>
        <v/>
      </c>
      <c r="H716">
        <f>IF($A716="","",IF(Entry!$H719="",0,Entry!$H719))</f>
        <v/>
      </c>
      <c r="I716">
        <f>IF($A716="","",IF(Entry!$I719="",0,Entry!$I719))</f>
        <v/>
      </c>
      <c r="J716">
        <f>IF($A716="","",ROUND($H716*$I716,0))</f>
        <v/>
      </c>
      <c r="K716">
        <f>IF($A716="","",Entry!$D719)</f>
        <v/>
      </c>
      <c r="L716">
        <f>IF($A716="","",Entry!$L719)</f>
        <v/>
      </c>
      <c r="N716">
        <f>IF(OR(Sync!$M716="",$Q716="",$Q716="نامعتبر"),"",Sync!$M716)</f>
        <v/>
      </c>
      <c r="O716">
        <f>IF($N716="","",$Q716)</f>
        <v/>
      </c>
      <c r="P716">
        <f>IF($N716="","",LEFT($Q716,4)&amp;MID($Q716,6,2)&amp;RIGHT($Q716,2)&amp;IF(Sync!$K716="","0000",IF(AND(ISNUMBER(Sync!$K716),Sync!$K716&gt;=0,Sync!$K716&lt;1),RIGHT("00"&amp;HOUR(Sync!$K716),2)&amp;RIGHT("00"&amp;MINUTE(Sync!$K716),2),IFERROR(RIGHT("00"&amp;VALUE(LEFT(Sync!$K716,FIND(":",Sync!$K716)-1)),2)&amp;RIGHT("00"&amp;VALUE(MID(Sync!$K716,FIND(":",Sync!$K716)+1,2)),2),"0000")))&amp;"|"&amp;"2"&amp;RIGHT("00000"&amp;711,5))</f>
        <v/>
      </c>
      <c r="Q716">
        <f>IF(Sync!$J716="","",IF(ISNUMBER(Sync!$J716),IF(AND(Sync!$J716&gt;=10000101,Sync!$J716&lt;=99991231),INT(Sync!$J716/10000)&amp;"/"&amp;RIGHT("00"&amp;INT(MOD(Sync!$J716,10000)/100),2)&amp;"/"&amp;RIGHT("00"&amp;MOD(Sync!$J716,100),2),"نامعتبر"),IF(LEN(Sync!$J716)=10,Sync!$J716,"نامعتبر")))</f>
        <v/>
      </c>
      <c r="R716">
        <f>IF($P716="","",COUNTIFS($N$6:$N$2005,$N716,$P$6:$P$2005,"&lt;"&amp;$P716)+COUNTIFS($A$6:$A$1005,$N716,$B$6:$B$1005,"&lt;"&amp;$P716)+1)</f>
        <v/>
      </c>
      <c r="S716">
        <f>IF($N716="","",$N716&amp;"|"&amp;RIGHT("000000"&amp;$R716,6))</f>
        <v/>
      </c>
      <c r="T716">
        <f>IF($N716="","",IF(Sync!$N716="",0,Sync!$N716))</f>
        <v/>
      </c>
      <c r="U716">
        <f>IF($N716="","",IF(Sync!$O716="",0,Sync!$O716))</f>
        <v/>
      </c>
      <c r="V716">
        <f>IF($N716="","",Sync!$L716)</f>
        <v/>
      </c>
      <c r="W716">
        <f>IF($N716="","",Sync!$P716)</f>
        <v/>
      </c>
      <c r="AA716">
        <f>IF($A716="","",IF(COUNTIF($A$6:$A716,$A716)=1,1,0))</f>
        <v/>
      </c>
      <c r="AB716">
        <f>SUM($AA$6:$AA716)</f>
        <v/>
      </c>
      <c r="AC716">
        <f>IFERROR(INDEX($A$6:$A$1005,MATCH(ROW()-5,$AB$6:$AB$1005,0)),"")</f>
        <v/>
      </c>
    </row>
    <row r="717">
      <c r="A717">
        <f>IF(OR(Entry!$B720="",Entry!$E720="",$E717="نامعتبر"),"",Entry!$E720)</f>
        <v/>
      </c>
      <c r="B717">
        <f>IF($A717="","",LEFT($E717,4)&amp;MID($E717,6,2)&amp;RIGHT($E717,2)&amp;$F717&amp;"|"&amp;"1"&amp;RIGHT("00000"&amp;712,5))</f>
        <v/>
      </c>
      <c r="C717">
        <f>IF($B717="","",COUNTIFS($A$6:$A$1005,$A717,$B$6:$B$1005,"&lt;"&amp;$B717)+COUNTIFS($N$6:$N$2005,$A717,$P$6:$P$2005,"&lt;"&amp;$B717)+1)</f>
        <v/>
      </c>
      <c r="D717">
        <f>IF($C717="","",$A717&amp;"|"&amp;RIGHT("000000"&amp;$C717,6))</f>
        <v/>
      </c>
      <c r="E717">
        <f>IF(Entry!$B720="","",IF(ISNUMBER(Entry!$B720),IF(AND(Entry!$B720&gt;=10000101,Entry!$B720&lt;=99991231),INT(Entry!$B720/10000)&amp;"/"&amp;RIGHT("00"&amp;INT(MOD(Entry!$B720,10000)/100),2)&amp;"/"&amp;RIGHT("00"&amp;MOD(Entry!$B720,100),2),"نامعتبر"),IF(LEN(Entry!$B720)=10,Entry!$B720,"نامعتبر")))</f>
        <v/>
      </c>
      <c r="F717">
        <f>IF(Entry!$B720="","",IF(Entry!$C720="","0000",IF(AND(ISNUMBER(Entry!$C720),Entry!$C720&gt;=0,Entry!$C720&lt;1),RIGHT("00"&amp;HOUR(Entry!$C720),2)&amp;RIGHT("00"&amp;MINUTE(Entry!$C720),2),IFERROR(RIGHT("00"&amp;VALUE(LEFT(Entry!$C720,FIND(":",Entry!$C720)-1)),2)&amp;RIGHT("00"&amp;VALUE(MID(Entry!$C720,FIND(":",Entry!$C720)+1,2)),2),"0000"))))</f>
        <v/>
      </c>
      <c r="G717">
        <f>IF($A717="","",Entry!$G720)</f>
        <v/>
      </c>
      <c r="H717">
        <f>IF($A717="","",IF(Entry!$H720="",0,Entry!$H720))</f>
        <v/>
      </c>
      <c r="I717">
        <f>IF($A717="","",IF(Entry!$I720="",0,Entry!$I720))</f>
        <v/>
      </c>
      <c r="J717">
        <f>IF($A717="","",ROUND($H717*$I717,0))</f>
        <v/>
      </c>
      <c r="K717">
        <f>IF($A717="","",Entry!$D720)</f>
        <v/>
      </c>
      <c r="L717">
        <f>IF($A717="","",Entry!$L720)</f>
        <v/>
      </c>
      <c r="N717">
        <f>IF(OR(Sync!$M717="",$Q717="",$Q717="نامعتبر"),"",Sync!$M717)</f>
        <v/>
      </c>
      <c r="O717">
        <f>IF($N717="","",$Q717)</f>
        <v/>
      </c>
      <c r="P717">
        <f>IF($N717="","",LEFT($Q717,4)&amp;MID($Q717,6,2)&amp;RIGHT($Q717,2)&amp;IF(Sync!$K717="","0000",IF(AND(ISNUMBER(Sync!$K717),Sync!$K717&gt;=0,Sync!$K717&lt;1),RIGHT("00"&amp;HOUR(Sync!$K717),2)&amp;RIGHT("00"&amp;MINUTE(Sync!$K717),2),IFERROR(RIGHT("00"&amp;VALUE(LEFT(Sync!$K717,FIND(":",Sync!$K717)-1)),2)&amp;RIGHT("00"&amp;VALUE(MID(Sync!$K717,FIND(":",Sync!$K717)+1,2)),2),"0000")))&amp;"|"&amp;"2"&amp;RIGHT("00000"&amp;712,5))</f>
        <v/>
      </c>
      <c r="Q717">
        <f>IF(Sync!$J717="","",IF(ISNUMBER(Sync!$J717),IF(AND(Sync!$J717&gt;=10000101,Sync!$J717&lt;=99991231),INT(Sync!$J717/10000)&amp;"/"&amp;RIGHT("00"&amp;INT(MOD(Sync!$J717,10000)/100),2)&amp;"/"&amp;RIGHT("00"&amp;MOD(Sync!$J717,100),2),"نامعتبر"),IF(LEN(Sync!$J717)=10,Sync!$J717,"نامعتبر")))</f>
        <v/>
      </c>
      <c r="R717">
        <f>IF($P717="","",COUNTIFS($N$6:$N$2005,$N717,$P$6:$P$2005,"&lt;"&amp;$P717)+COUNTIFS($A$6:$A$1005,$N717,$B$6:$B$1005,"&lt;"&amp;$P717)+1)</f>
        <v/>
      </c>
      <c r="S717">
        <f>IF($N717="","",$N717&amp;"|"&amp;RIGHT("000000"&amp;$R717,6))</f>
        <v/>
      </c>
      <c r="T717">
        <f>IF($N717="","",IF(Sync!$N717="",0,Sync!$N717))</f>
        <v/>
      </c>
      <c r="U717">
        <f>IF($N717="","",IF(Sync!$O717="",0,Sync!$O717))</f>
        <v/>
      </c>
      <c r="V717">
        <f>IF($N717="","",Sync!$L717)</f>
        <v/>
      </c>
      <c r="W717">
        <f>IF($N717="","",Sync!$P717)</f>
        <v/>
      </c>
      <c r="AA717">
        <f>IF($A717="","",IF(COUNTIF($A$6:$A717,$A717)=1,1,0))</f>
        <v/>
      </c>
      <c r="AB717">
        <f>SUM($AA$6:$AA717)</f>
        <v/>
      </c>
      <c r="AC717">
        <f>IFERROR(INDEX($A$6:$A$1005,MATCH(ROW()-5,$AB$6:$AB$1005,0)),"")</f>
        <v/>
      </c>
    </row>
    <row r="718">
      <c r="A718">
        <f>IF(OR(Entry!$B721="",Entry!$E721="",$E718="نامعتبر"),"",Entry!$E721)</f>
        <v/>
      </c>
      <c r="B718">
        <f>IF($A718="","",LEFT($E718,4)&amp;MID($E718,6,2)&amp;RIGHT($E718,2)&amp;$F718&amp;"|"&amp;"1"&amp;RIGHT("00000"&amp;713,5))</f>
        <v/>
      </c>
      <c r="C718">
        <f>IF($B718="","",COUNTIFS($A$6:$A$1005,$A718,$B$6:$B$1005,"&lt;"&amp;$B718)+COUNTIFS($N$6:$N$2005,$A718,$P$6:$P$2005,"&lt;"&amp;$B718)+1)</f>
        <v/>
      </c>
      <c r="D718">
        <f>IF($C718="","",$A718&amp;"|"&amp;RIGHT("000000"&amp;$C718,6))</f>
        <v/>
      </c>
      <c r="E718">
        <f>IF(Entry!$B721="","",IF(ISNUMBER(Entry!$B721),IF(AND(Entry!$B721&gt;=10000101,Entry!$B721&lt;=99991231),INT(Entry!$B721/10000)&amp;"/"&amp;RIGHT("00"&amp;INT(MOD(Entry!$B721,10000)/100),2)&amp;"/"&amp;RIGHT("00"&amp;MOD(Entry!$B721,100),2),"نامعتبر"),IF(LEN(Entry!$B721)=10,Entry!$B721,"نامعتبر")))</f>
        <v/>
      </c>
      <c r="F718">
        <f>IF(Entry!$B721="","",IF(Entry!$C721="","0000",IF(AND(ISNUMBER(Entry!$C721),Entry!$C721&gt;=0,Entry!$C721&lt;1),RIGHT("00"&amp;HOUR(Entry!$C721),2)&amp;RIGHT("00"&amp;MINUTE(Entry!$C721),2),IFERROR(RIGHT("00"&amp;VALUE(LEFT(Entry!$C721,FIND(":",Entry!$C721)-1)),2)&amp;RIGHT("00"&amp;VALUE(MID(Entry!$C721,FIND(":",Entry!$C721)+1,2)),2),"0000"))))</f>
        <v/>
      </c>
      <c r="G718">
        <f>IF($A718="","",Entry!$G721)</f>
        <v/>
      </c>
      <c r="H718">
        <f>IF($A718="","",IF(Entry!$H721="",0,Entry!$H721))</f>
        <v/>
      </c>
      <c r="I718">
        <f>IF($A718="","",IF(Entry!$I721="",0,Entry!$I721))</f>
        <v/>
      </c>
      <c r="J718">
        <f>IF($A718="","",ROUND($H718*$I718,0))</f>
        <v/>
      </c>
      <c r="K718">
        <f>IF($A718="","",Entry!$D721)</f>
        <v/>
      </c>
      <c r="L718">
        <f>IF($A718="","",Entry!$L721)</f>
        <v/>
      </c>
      <c r="N718">
        <f>IF(OR(Sync!$M718="",$Q718="",$Q718="نامعتبر"),"",Sync!$M718)</f>
        <v/>
      </c>
      <c r="O718">
        <f>IF($N718="","",$Q718)</f>
        <v/>
      </c>
      <c r="P718">
        <f>IF($N718="","",LEFT($Q718,4)&amp;MID($Q718,6,2)&amp;RIGHT($Q718,2)&amp;IF(Sync!$K718="","0000",IF(AND(ISNUMBER(Sync!$K718),Sync!$K718&gt;=0,Sync!$K718&lt;1),RIGHT("00"&amp;HOUR(Sync!$K718),2)&amp;RIGHT("00"&amp;MINUTE(Sync!$K718),2),IFERROR(RIGHT("00"&amp;VALUE(LEFT(Sync!$K718,FIND(":",Sync!$K718)-1)),2)&amp;RIGHT("00"&amp;VALUE(MID(Sync!$K718,FIND(":",Sync!$K718)+1,2)),2),"0000")))&amp;"|"&amp;"2"&amp;RIGHT("00000"&amp;713,5))</f>
        <v/>
      </c>
      <c r="Q718">
        <f>IF(Sync!$J718="","",IF(ISNUMBER(Sync!$J718),IF(AND(Sync!$J718&gt;=10000101,Sync!$J718&lt;=99991231),INT(Sync!$J718/10000)&amp;"/"&amp;RIGHT("00"&amp;INT(MOD(Sync!$J718,10000)/100),2)&amp;"/"&amp;RIGHT("00"&amp;MOD(Sync!$J718,100),2),"نامعتبر"),IF(LEN(Sync!$J718)=10,Sync!$J718,"نامعتبر")))</f>
        <v/>
      </c>
      <c r="R718">
        <f>IF($P718="","",COUNTIFS($N$6:$N$2005,$N718,$P$6:$P$2005,"&lt;"&amp;$P718)+COUNTIFS($A$6:$A$1005,$N718,$B$6:$B$1005,"&lt;"&amp;$P718)+1)</f>
        <v/>
      </c>
      <c r="S718">
        <f>IF($N718="","",$N718&amp;"|"&amp;RIGHT("000000"&amp;$R718,6))</f>
        <v/>
      </c>
      <c r="T718">
        <f>IF($N718="","",IF(Sync!$N718="",0,Sync!$N718))</f>
        <v/>
      </c>
      <c r="U718">
        <f>IF($N718="","",IF(Sync!$O718="",0,Sync!$O718))</f>
        <v/>
      </c>
      <c r="V718">
        <f>IF($N718="","",Sync!$L718)</f>
        <v/>
      </c>
      <c r="W718">
        <f>IF($N718="","",Sync!$P718)</f>
        <v/>
      </c>
      <c r="AA718">
        <f>IF($A718="","",IF(COUNTIF($A$6:$A718,$A718)=1,1,0))</f>
        <v/>
      </c>
      <c r="AB718">
        <f>SUM($AA$6:$AA718)</f>
        <v/>
      </c>
      <c r="AC718">
        <f>IFERROR(INDEX($A$6:$A$1005,MATCH(ROW()-5,$AB$6:$AB$1005,0)),"")</f>
        <v/>
      </c>
    </row>
    <row r="719">
      <c r="A719">
        <f>IF(OR(Entry!$B722="",Entry!$E722="",$E719="نامعتبر"),"",Entry!$E722)</f>
        <v/>
      </c>
      <c r="B719">
        <f>IF($A719="","",LEFT($E719,4)&amp;MID($E719,6,2)&amp;RIGHT($E719,2)&amp;$F719&amp;"|"&amp;"1"&amp;RIGHT("00000"&amp;714,5))</f>
        <v/>
      </c>
      <c r="C719">
        <f>IF($B719="","",COUNTIFS($A$6:$A$1005,$A719,$B$6:$B$1005,"&lt;"&amp;$B719)+COUNTIFS($N$6:$N$2005,$A719,$P$6:$P$2005,"&lt;"&amp;$B719)+1)</f>
        <v/>
      </c>
      <c r="D719">
        <f>IF($C719="","",$A719&amp;"|"&amp;RIGHT("000000"&amp;$C719,6))</f>
        <v/>
      </c>
      <c r="E719">
        <f>IF(Entry!$B722="","",IF(ISNUMBER(Entry!$B722),IF(AND(Entry!$B722&gt;=10000101,Entry!$B722&lt;=99991231),INT(Entry!$B722/10000)&amp;"/"&amp;RIGHT("00"&amp;INT(MOD(Entry!$B722,10000)/100),2)&amp;"/"&amp;RIGHT("00"&amp;MOD(Entry!$B722,100),2),"نامعتبر"),IF(LEN(Entry!$B722)=10,Entry!$B722,"نامعتبر")))</f>
        <v/>
      </c>
      <c r="F719">
        <f>IF(Entry!$B722="","",IF(Entry!$C722="","0000",IF(AND(ISNUMBER(Entry!$C722),Entry!$C722&gt;=0,Entry!$C722&lt;1),RIGHT("00"&amp;HOUR(Entry!$C722),2)&amp;RIGHT("00"&amp;MINUTE(Entry!$C722),2),IFERROR(RIGHT("00"&amp;VALUE(LEFT(Entry!$C722,FIND(":",Entry!$C722)-1)),2)&amp;RIGHT("00"&amp;VALUE(MID(Entry!$C722,FIND(":",Entry!$C722)+1,2)),2),"0000"))))</f>
        <v/>
      </c>
      <c r="G719">
        <f>IF($A719="","",Entry!$G722)</f>
        <v/>
      </c>
      <c r="H719">
        <f>IF($A719="","",IF(Entry!$H722="",0,Entry!$H722))</f>
        <v/>
      </c>
      <c r="I719">
        <f>IF($A719="","",IF(Entry!$I722="",0,Entry!$I722))</f>
        <v/>
      </c>
      <c r="J719">
        <f>IF($A719="","",ROUND($H719*$I719,0))</f>
        <v/>
      </c>
      <c r="K719">
        <f>IF($A719="","",Entry!$D722)</f>
        <v/>
      </c>
      <c r="L719">
        <f>IF($A719="","",Entry!$L722)</f>
        <v/>
      </c>
      <c r="N719">
        <f>IF(OR(Sync!$M719="",$Q719="",$Q719="نامعتبر"),"",Sync!$M719)</f>
        <v/>
      </c>
      <c r="O719">
        <f>IF($N719="","",$Q719)</f>
        <v/>
      </c>
      <c r="P719">
        <f>IF($N719="","",LEFT($Q719,4)&amp;MID($Q719,6,2)&amp;RIGHT($Q719,2)&amp;IF(Sync!$K719="","0000",IF(AND(ISNUMBER(Sync!$K719),Sync!$K719&gt;=0,Sync!$K719&lt;1),RIGHT("00"&amp;HOUR(Sync!$K719),2)&amp;RIGHT("00"&amp;MINUTE(Sync!$K719),2),IFERROR(RIGHT("00"&amp;VALUE(LEFT(Sync!$K719,FIND(":",Sync!$K719)-1)),2)&amp;RIGHT("00"&amp;VALUE(MID(Sync!$K719,FIND(":",Sync!$K719)+1,2)),2),"0000")))&amp;"|"&amp;"2"&amp;RIGHT("00000"&amp;714,5))</f>
        <v/>
      </c>
      <c r="Q719">
        <f>IF(Sync!$J719="","",IF(ISNUMBER(Sync!$J719),IF(AND(Sync!$J719&gt;=10000101,Sync!$J719&lt;=99991231),INT(Sync!$J719/10000)&amp;"/"&amp;RIGHT("00"&amp;INT(MOD(Sync!$J719,10000)/100),2)&amp;"/"&amp;RIGHT("00"&amp;MOD(Sync!$J719,100),2),"نامعتبر"),IF(LEN(Sync!$J719)=10,Sync!$J719,"نامعتبر")))</f>
        <v/>
      </c>
      <c r="R719">
        <f>IF($P719="","",COUNTIFS($N$6:$N$2005,$N719,$P$6:$P$2005,"&lt;"&amp;$P719)+COUNTIFS($A$6:$A$1005,$N719,$B$6:$B$1005,"&lt;"&amp;$P719)+1)</f>
        <v/>
      </c>
      <c r="S719">
        <f>IF($N719="","",$N719&amp;"|"&amp;RIGHT("000000"&amp;$R719,6))</f>
        <v/>
      </c>
      <c r="T719">
        <f>IF($N719="","",IF(Sync!$N719="",0,Sync!$N719))</f>
        <v/>
      </c>
      <c r="U719">
        <f>IF($N719="","",IF(Sync!$O719="",0,Sync!$O719))</f>
        <v/>
      </c>
      <c r="V719">
        <f>IF($N719="","",Sync!$L719)</f>
        <v/>
      </c>
      <c r="W719">
        <f>IF($N719="","",Sync!$P719)</f>
        <v/>
      </c>
      <c r="AA719">
        <f>IF($A719="","",IF(COUNTIF($A$6:$A719,$A719)=1,1,0))</f>
        <v/>
      </c>
      <c r="AB719">
        <f>SUM($AA$6:$AA719)</f>
        <v/>
      </c>
      <c r="AC719">
        <f>IFERROR(INDEX($A$6:$A$1005,MATCH(ROW()-5,$AB$6:$AB$1005,0)),"")</f>
        <v/>
      </c>
    </row>
    <row r="720">
      <c r="A720">
        <f>IF(OR(Entry!$B723="",Entry!$E723="",$E720="نامعتبر"),"",Entry!$E723)</f>
        <v/>
      </c>
      <c r="B720">
        <f>IF($A720="","",LEFT($E720,4)&amp;MID($E720,6,2)&amp;RIGHT($E720,2)&amp;$F720&amp;"|"&amp;"1"&amp;RIGHT("00000"&amp;715,5))</f>
        <v/>
      </c>
      <c r="C720">
        <f>IF($B720="","",COUNTIFS($A$6:$A$1005,$A720,$B$6:$B$1005,"&lt;"&amp;$B720)+COUNTIFS($N$6:$N$2005,$A720,$P$6:$P$2005,"&lt;"&amp;$B720)+1)</f>
        <v/>
      </c>
      <c r="D720">
        <f>IF($C720="","",$A720&amp;"|"&amp;RIGHT("000000"&amp;$C720,6))</f>
        <v/>
      </c>
      <c r="E720">
        <f>IF(Entry!$B723="","",IF(ISNUMBER(Entry!$B723),IF(AND(Entry!$B723&gt;=10000101,Entry!$B723&lt;=99991231),INT(Entry!$B723/10000)&amp;"/"&amp;RIGHT("00"&amp;INT(MOD(Entry!$B723,10000)/100),2)&amp;"/"&amp;RIGHT("00"&amp;MOD(Entry!$B723,100),2),"نامعتبر"),IF(LEN(Entry!$B723)=10,Entry!$B723,"نامعتبر")))</f>
        <v/>
      </c>
      <c r="F720">
        <f>IF(Entry!$B723="","",IF(Entry!$C723="","0000",IF(AND(ISNUMBER(Entry!$C723),Entry!$C723&gt;=0,Entry!$C723&lt;1),RIGHT("00"&amp;HOUR(Entry!$C723),2)&amp;RIGHT("00"&amp;MINUTE(Entry!$C723),2),IFERROR(RIGHT("00"&amp;VALUE(LEFT(Entry!$C723,FIND(":",Entry!$C723)-1)),2)&amp;RIGHT("00"&amp;VALUE(MID(Entry!$C723,FIND(":",Entry!$C723)+1,2)),2),"0000"))))</f>
        <v/>
      </c>
      <c r="G720">
        <f>IF($A720="","",Entry!$G723)</f>
        <v/>
      </c>
      <c r="H720">
        <f>IF($A720="","",IF(Entry!$H723="",0,Entry!$H723))</f>
        <v/>
      </c>
      <c r="I720">
        <f>IF($A720="","",IF(Entry!$I723="",0,Entry!$I723))</f>
        <v/>
      </c>
      <c r="J720">
        <f>IF($A720="","",ROUND($H720*$I720,0))</f>
        <v/>
      </c>
      <c r="K720">
        <f>IF($A720="","",Entry!$D723)</f>
        <v/>
      </c>
      <c r="L720">
        <f>IF($A720="","",Entry!$L723)</f>
        <v/>
      </c>
      <c r="N720">
        <f>IF(OR(Sync!$M720="",$Q720="",$Q720="نامعتبر"),"",Sync!$M720)</f>
        <v/>
      </c>
      <c r="O720">
        <f>IF($N720="","",$Q720)</f>
        <v/>
      </c>
      <c r="P720">
        <f>IF($N720="","",LEFT($Q720,4)&amp;MID($Q720,6,2)&amp;RIGHT($Q720,2)&amp;IF(Sync!$K720="","0000",IF(AND(ISNUMBER(Sync!$K720),Sync!$K720&gt;=0,Sync!$K720&lt;1),RIGHT("00"&amp;HOUR(Sync!$K720),2)&amp;RIGHT("00"&amp;MINUTE(Sync!$K720),2),IFERROR(RIGHT("00"&amp;VALUE(LEFT(Sync!$K720,FIND(":",Sync!$K720)-1)),2)&amp;RIGHT("00"&amp;VALUE(MID(Sync!$K720,FIND(":",Sync!$K720)+1,2)),2),"0000")))&amp;"|"&amp;"2"&amp;RIGHT("00000"&amp;715,5))</f>
        <v/>
      </c>
      <c r="Q720">
        <f>IF(Sync!$J720="","",IF(ISNUMBER(Sync!$J720),IF(AND(Sync!$J720&gt;=10000101,Sync!$J720&lt;=99991231),INT(Sync!$J720/10000)&amp;"/"&amp;RIGHT("00"&amp;INT(MOD(Sync!$J720,10000)/100),2)&amp;"/"&amp;RIGHT("00"&amp;MOD(Sync!$J720,100),2),"نامعتبر"),IF(LEN(Sync!$J720)=10,Sync!$J720,"نامعتبر")))</f>
        <v/>
      </c>
      <c r="R720">
        <f>IF($P720="","",COUNTIFS($N$6:$N$2005,$N720,$P$6:$P$2005,"&lt;"&amp;$P720)+COUNTIFS($A$6:$A$1005,$N720,$B$6:$B$1005,"&lt;"&amp;$P720)+1)</f>
        <v/>
      </c>
      <c r="S720">
        <f>IF($N720="","",$N720&amp;"|"&amp;RIGHT("000000"&amp;$R720,6))</f>
        <v/>
      </c>
      <c r="T720">
        <f>IF($N720="","",IF(Sync!$N720="",0,Sync!$N720))</f>
        <v/>
      </c>
      <c r="U720">
        <f>IF($N720="","",IF(Sync!$O720="",0,Sync!$O720))</f>
        <v/>
      </c>
      <c r="V720">
        <f>IF($N720="","",Sync!$L720)</f>
        <v/>
      </c>
      <c r="W720">
        <f>IF($N720="","",Sync!$P720)</f>
        <v/>
      </c>
      <c r="AA720">
        <f>IF($A720="","",IF(COUNTIF($A$6:$A720,$A720)=1,1,0))</f>
        <v/>
      </c>
      <c r="AB720">
        <f>SUM($AA$6:$AA720)</f>
        <v/>
      </c>
      <c r="AC720">
        <f>IFERROR(INDEX($A$6:$A$1005,MATCH(ROW()-5,$AB$6:$AB$1005,0)),"")</f>
        <v/>
      </c>
    </row>
    <row r="721">
      <c r="A721">
        <f>IF(OR(Entry!$B724="",Entry!$E724="",$E721="نامعتبر"),"",Entry!$E724)</f>
        <v/>
      </c>
      <c r="B721">
        <f>IF($A721="","",LEFT($E721,4)&amp;MID($E721,6,2)&amp;RIGHT($E721,2)&amp;$F721&amp;"|"&amp;"1"&amp;RIGHT("00000"&amp;716,5))</f>
        <v/>
      </c>
      <c r="C721">
        <f>IF($B721="","",COUNTIFS($A$6:$A$1005,$A721,$B$6:$B$1005,"&lt;"&amp;$B721)+COUNTIFS($N$6:$N$2005,$A721,$P$6:$P$2005,"&lt;"&amp;$B721)+1)</f>
        <v/>
      </c>
      <c r="D721">
        <f>IF($C721="","",$A721&amp;"|"&amp;RIGHT("000000"&amp;$C721,6))</f>
        <v/>
      </c>
      <c r="E721">
        <f>IF(Entry!$B724="","",IF(ISNUMBER(Entry!$B724),IF(AND(Entry!$B724&gt;=10000101,Entry!$B724&lt;=99991231),INT(Entry!$B724/10000)&amp;"/"&amp;RIGHT("00"&amp;INT(MOD(Entry!$B724,10000)/100),2)&amp;"/"&amp;RIGHT("00"&amp;MOD(Entry!$B724,100),2),"نامعتبر"),IF(LEN(Entry!$B724)=10,Entry!$B724,"نامعتبر")))</f>
        <v/>
      </c>
      <c r="F721">
        <f>IF(Entry!$B724="","",IF(Entry!$C724="","0000",IF(AND(ISNUMBER(Entry!$C724),Entry!$C724&gt;=0,Entry!$C724&lt;1),RIGHT("00"&amp;HOUR(Entry!$C724),2)&amp;RIGHT("00"&amp;MINUTE(Entry!$C724),2),IFERROR(RIGHT("00"&amp;VALUE(LEFT(Entry!$C724,FIND(":",Entry!$C724)-1)),2)&amp;RIGHT("00"&amp;VALUE(MID(Entry!$C724,FIND(":",Entry!$C724)+1,2)),2),"0000"))))</f>
        <v/>
      </c>
      <c r="G721">
        <f>IF($A721="","",Entry!$G724)</f>
        <v/>
      </c>
      <c r="H721">
        <f>IF($A721="","",IF(Entry!$H724="",0,Entry!$H724))</f>
        <v/>
      </c>
      <c r="I721">
        <f>IF($A721="","",IF(Entry!$I724="",0,Entry!$I724))</f>
        <v/>
      </c>
      <c r="J721">
        <f>IF($A721="","",ROUND($H721*$I721,0))</f>
        <v/>
      </c>
      <c r="K721">
        <f>IF($A721="","",Entry!$D724)</f>
        <v/>
      </c>
      <c r="L721">
        <f>IF($A721="","",Entry!$L724)</f>
        <v/>
      </c>
      <c r="N721">
        <f>IF(OR(Sync!$M721="",$Q721="",$Q721="نامعتبر"),"",Sync!$M721)</f>
        <v/>
      </c>
      <c r="O721">
        <f>IF($N721="","",$Q721)</f>
        <v/>
      </c>
      <c r="P721">
        <f>IF($N721="","",LEFT($Q721,4)&amp;MID($Q721,6,2)&amp;RIGHT($Q721,2)&amp;IF(Sync!$K721="","0000",IF(AND(ISNUMBER(Sync!$K721),Sync!$K721&gt;=0,Sync!$K721&lt;1),RIGHT("00"&amp;HOUR(Sync!$K721),2)&amp;RIGHT("00"&amp;MINUTE(Sync!$K721),2),IFERROR(RIGHT("00"&amp;VALUE(LEFT(Sync!$K721,FIND(":",Sync!$K721)-1)),2)&amp;RIGHT("00"&amp;VALUE(MID(Sync!$K721,FIND(":",Sync!$K721)+1,2)),2),"0000")))&amp;"|"&amp;"2"&amp;RIGHT("00000"&amp;716,5))</f>
        <v/>
      </c>
      <c r="Q721">
        <f>IF(Sync!$J721="","",IF(ISNUMBER(Sync!$J721),IF(AND(Sync!$J721&gt;=10000101,Sync!$J721&lt;=99991231),INT(Sync!$J721/10000)&amp;"/"&amp;RIGHT("00"&amp;INT(MOD(Sync!$J721,10000)/100),2)&amp;"/"&amp;RIGHT("00"&amp;MOD(Sync!$J721,100),2),"نامعتبر"),IF(LEN(Sync!$J721)=10,Sync!$J721,"نامعتبر")))</f>
        <v/>
      </c>
      <c r="R721">
        <f>IF($P721="","",COUNTIFS($N$6:$N$2005,$N721,$P$6:$P$2005,"&lt;"&amp;$P721)+COUNTIFS($A$6:$A$1005,$N721,$B$6:$B$1005,"&lt;"&amp;$P721)+1)</f>
        <v/>
      </c>
      <c r="S721">
        <f>IF($N721="","",$N721&amp;"|"&amp;RIGHT("000000"&amp;$R721,6))</f>
        <v/>
      </c>
      <c r="T721">
        <f>IF($N721="","",IF(Sync!$N721="",0,Sync!$N721))</f>
        <v/>
      </c>
      <c r="U721">
        <f>IF($N721="","",IF(Sync!$O721="",0,Sync!$O721))</f>
        <v/>
      </c>
      <c r="V721">
        <f>IF($N721="","",Sync!$L721)</f>
        <v/>
      </c>
      <c r="W721">
        <f>IF($N721="","",Sync!$P721)</f>
        <v/>
      </c>
      <c r="AA721">
        <f>IF($A721="","",IF(COUNTIF($A$6:$A721,$A721)=1,1,0))</f>
        <v/>
      </c>
      <c r="AB721">
        <f>SUM($AA$6:$AA721)</f>
        <v/>
      </c>
      <c r="AC721">
        <f>IFERROR(INDEX($A$6:$A$1005,MATCH(ROW()-5,$AB$6:$AB$1005,0)),"")</f>
        <v/>
      </c>
    </row>
    <row r="722">
      <c r="A722">
        <f>IF(OR(Entry!$B725="",Entry!$E725="",$E722="نامعتبر"),"",Entry!$E725)</f>
        <v/>
      </c>
      <c r="B722">
        <f>IF($A722="","",LEFT($E722,4)&amp;MID($E722,6,2)&amp;RIGHT($E722,2)&amp;$F722&amp;"|"&amp;"1"&amp;RIGHT("00000"&amp;717,5))</f>
        <v/>
      </c>
      <c r="C722">
        <f>IF($B722="","",COUNTIFS($A$6:$A$1005,$A722,$B$6:$B$1005,"&lt;"&amp;$B722)+COUNTIFS($N$6:$N$2005,$A722,$P$6:$P$2005,"&lt;"&amp;$B722)+1)</f>
        <v/>
      </c>
      <c r="D722">
        <f>IF($C722="","",$A722&amp;"|"&amp;RIGHT("000000"&amp;$C722,6))</f>
        <v/>
      </c>
      <c r="E722">
        <f>IF(Entry!$B725="","",IF(ISNUMBER(Entry!$B725),IF(AND(Entry!$B725&gt;=10000101,Entry!$B725&lt;=99991231),INT(Entry!$B725/10000)&amp;"/"&amp;RIGHT("00"&amp;INT(MOD(Entry!$B725,10000)/100),2)&amp;"/"&amp;RIGHT("00"&amp;MOD(Entry!$B725,100),2),"نامعتبر"),IF(LEN(Entry!$B725)=10,Entry!$B725,"نامعتبر")))</f>
        <v/>
      </c>
      <c r="F722">
        <f>IF(Entry!$B725="","",IF(Entry!$C725="","0000",IF(AND(ISNUMBER(Entry!$C725),Entry!$C725&gt;=0,Entry!$C725&lt;1),RIGHT("00"&amp;HOUR(Entry!$C725),2)&amp;RIGHT("00"&amp;MINUTE(Entry!$C725),2),IFERROR(RIGHT("00"&amp;VALUE(LEFT(Entry!$C725,FIND(":",Entry!$C725)-1)),2)&amp;RIGHT("00"&amp;VALUE(MID(Entry!$C725,FIND(":",Entry!$C725)+1,2)),2),"0000"))))</f>
        <v/>
      </c>
      <c r="G722">
        <f>IF($A722="","",Entry!$G725)</f>
        <v/>
      </c>
      <c r="H722">
        <f>IF($A722="","",IF(Entry!$H725="",0,Entry!$H725))</f>
        <v/>
      </c>
      <c r="I722">
        <f>IF($A722="","",IF(Entry!$I725="",0,Entry!$I725))</f>
        <v/>
      </c>
      <c r="J722">
        <f>IF($A722="","",ROUND($H722*$I722,0))</f>
        <v/>
      </c>
      <c r="K722">
        <f>IF($A722="","",Entry!$D725)</f>
        <v/>
      </c>
      <c r="L722">
        <f>IF($A722="","",Entry!$L725)</f>
        <v/>
      </c>
      <c r="N722">
        <f>IF(OR(Sync!$M722="",$Q722="",$Q722="نامعتبر"),"",Sync!$M722)</f>
        <v/>
      </c>
      <c r="O722">
        <f>IF($N722="","",$Q722)</f>
        <v/>
      </c>
      <c r="P722">
        <f>IF($N722="","",LEFT($Q722,4)&amp;MID($Q722,6,2)&amp;RIGHT($Q722,2)&amp;IF(Sync!$K722="","0000",IF(AND(ISNUMBER(Sync!$K722),Sync!$K722&gt;=0,Sync!$K722&lt;1),RIGHT("00"&amp;HOUR(Sync!$K722),2)&amp;RIGHT("00"&amp;MINUTE(Sync!$K722),2),IFERROR(RIGHT("00"&amp;VALUE(LEFT(Sync!$K722,FIND(":",Sync!$K722)-1)),2)&amp;RIGHT("00"&amp;VALUE(MID(Sync!$K722,FIND(":",Sync!$K722)+1,2)),2),"0000")))&amp;"|"&amp;"2"&amp;RIGHT("00000"&amp;717,5))</f>
        <v/>
      </c>
      <c r="Q722">
        <f>IF(Sync!$J722="","",IF(ISNUMBER(Sync!$J722),IF(AND(Sync!$J722&gt;=10000101,Sync!$J722&lt;=99991231),INT(Sync!$J722/10000)&amp;"/"&amp;RIGHT("00"&amp;INT(MOD(Sync!$J722,10000)/100),2)&amp;"/"&amp;RIGHT("00"&amp;MOD(Sync!$J722,100),2),"نامعتبر"),IF(LEN(Sync!$J722)=10,Sync!$J722,"نامعتبر")))</f>
        <v/>
      </c>
      <c r="R722">
        <f>IF($P722="","",COUNTIFS($N$6:$N$2005,$N722,$P$6:$P$2005,"&lt;"&amp;$P722)+COUNTIFS($A$6:$A$1005,$N722,$B$6:$B$1005,"&lt;"&amp;$P722)+1)</f>
        <v/>
      </c>
      <c r="S722">
        <f>IF($N722="","",$N722&amp;"|"&amp;RIGHT("000000"&amp;$R722,6))</f>
        <v/>
      </c>
      <c r="T722">
        <f>IF($N722="","",IF(Sync!$N722="",0,Sync!$N722))</f>
        <v/>
      </c>
      <c r="U722">
        <f>IF($N722="","",IF(Sync!$O722="",0,Sync!$O722))</f>
        <v/>
      </c>
      <c r="V722">
        <f>IF($N722="","",Sync!$L722)</f>
        <v/>
      </c>
      <c r="W722">
        <f>IF($N722="","",Sync!$P722)</f>
        <v/>
      </c>
      <c r="AA722">
        <f>IF($A722="","",IF(COUNTIF($A$6:$A722,$A722)=1,1,0))</f>
        <v/>
      </c>
      <c r="AB722">
        <f>SUM($AA$6:$AA722)</f>
        <v/>
      </c>
      <c r="AC722">
        <f>IFERROR(INDEX($A$6:$A$1005,MATCH(ROW()-5,$AB$6:$AB$1005,0)),"")</f>
        <v/>
      </c>
    </row>
    <row r="723">
      <c r="A723">
        <f>IF(OR(Entry!$B726="",Entry!$E726="",$E723="نامعتبر"),"",Entry!$E726)</f>
        <v/>
      </c>
      <c r="B723">
        <f>IF($A723="","",LEFT($E723,4)&amp;MID($E723,6,2)&amp;RIGHT($E723,2)&amp;$F723&amp;"|"&amp;"1"&amp;RIGHT("00000"&amp;718,5))</f>
        <v/>
      </c>
      <c r="C723">
        <f>IF($B723="","",COUNTIFS($A$6:$A$1005,$A723,$B$6:$B$1005,"&lt;"&amp;$B723)+COUNTIFS($N$6:$N$2005,$A723,$P$6:$P$2005,"&lt;"&amp;$B723)+1)</f>
        <v/>
      </c>
      <c r="D723">
        <f>IF($C723="","",$A723&amp;"|"&amp;RIGHT("000000"&amp;$C723,6))</f>
        <v/>
      </c>
      <c r="E723">
        <f>IF(Entry!$B726="","",IF(ISNUMBER(Entry!$B726),IF(AND(Entry!$B726&gt;=10000101,Entry!$B726&lt;=99991231),INT(Entry!$B726/10000)&amp;"/"&amp;RIGHT("00"&amp;INT(MOD(Entry!$B726,10000)/100),2)&amp;"/"&amp;RIGHT("00"&amp;MOD(Entry!$B726,100),2),"نامعتبر"),IF(LEN(Entry!$B726)=10,Entry!$B726,"نامعتبر")))</f>
        <v/>
      </c>
      <c r="F723">
        <f>IF(Entry!$B726="","",IF(Entry!$C726="","0000",IF(AND(ISNUMBER(Entry!$C726),Entry!$C726&gt;=0,Entry!$C726&lt;1),RIGHT("00"&amp;HOUR(Entry!$C726),2)&amp;RIGHT("00"&amp;MINUTE(Entry!$C726),2),IFERROR(RIGHT("00"&amp;VALUE(LEFT(Entry!$C726,FIND(":",Entry!$C726)-1)),2)&amp;RIGHT("00"&amp;VALUE(MID(Entry!$C726,FIND(":",Entry!$C726)+1,2)),2),"0000"))))</f>
        <v/>
      </c>
      <c r="G723">
        <f>IF($A723="","",Entry!$G726)</f>
        <v/>
      </c>
      <c r="H723">
        <f>IF($A723="","",IF(Entry!$H726="",0,Entry!$H726))</f>
        <v/>
      </c>
      <c r="I723">
        <f>IF($A723="","",IF(Entry!$I726="",0,Entry!$I726))</f>
        <v/>
      </c>
      <c r="J723">
        <f>IF($A723="","",ROUND($H723*$I723,0))</f>
        <v/>
      </c>
      <c r="K723">
        <f>IF($A723="","",Entry!$D726)</f>
        <v/>
      </c>
      <c r="L723">
        <f>IF($A723="","",Entry!$L726)</f>
        <v/>
      </c>
      <c r="N723">
        <f>IF(OR(Sync!$M723="",$Q723="",$Q723="نامعتبر"),"",Sync!$M723)</f>
        <v/>
      </c>
      <c r="O723">
        <f>IF($N723="","",$Q723)</f>
        <v/>
      </c>
      <c r="P723">
        <f>IF($N723="","",LEFT($Q723,4)&amp;MID($Q723,6,2)&amp;RIGHT($Q723,2)&amp;IF(Sync!$K723="","0000",IF(AND(ISNUMBER(Sync!$K723),Sync!$K723&gt;=0,Sync!$K723&lt;1),RIGHT("00"&amp;HOUR(Sync!$K723),2)&amp;RIGHT("00"&amp;MINUTE(Sync!$K723),2),IFERROR(RIGHT("00"&amp;VALUE(LEFT(Sync!$K723,FIND(":",Sync!$K723)-1)),2)&amp;RIGHT("00"&amp;VALUE(MID(Sync!$K723,FIND(":",Sync!$K723)+1,2)),2),"0000")))&amp;"|"&amp;"2"&amp;RIGHT("00000"&amp;718,5))</f>
        <v/>
      </c>
      <c r="Q723">
        <f>IF(Sync!$J723="","",IF(ISNUMBER(Sync!$J723),IF(AND(Sync!$J723&gt;=10000101,Sync!$J723&lt;=99991231),INT(Sync!$J723/10000)&amp;"/"&amp;RIGHT("00"&amp;INT(MOD(Sync!$J723,10000)/100),2)&amp;"/"&amp;RIGHT("00"&amp;MOD(Sync!$J723,100),2),"نامعتبر"),IF(LEN(Sync!$J723)=10,Sync!$J723,"نامعتبر")))</f>
        <v/>
      </c>
      <c r="R723">
        <f>IF($P723="","",COUNTIFS($N$6:$N$2005,$N723,$P$6:$P$2005,"&lt;"&amp;$P723)+COUNTIFS($A$6:$A$1005,$N723,$B$6:$B$1005,"&lt;"&amp;$P723)+1)</f>
        <v/>
      </c>
      <c r="S723">
        <f>IF($N723="","",$N723&amp;"|"&amp;RIGHT("000000"&amp;$R723,6))</f>
        <v/>
      </c>
      <c r="T723">
        <f>IF($N723="","",IF(Sync!$N723="",0,Sync!$N723))</f>
        <v/>
      </c>
      <c r="U723">
        <f>IF($N723="","",IF(Sync!$O723="",0,Sync!$O723))</f>
        <v/>
      </c>
      <c r="V723">
        <f>IF($N723="","",Sync!$L723)</f>
        <v/>
      </c>
      <c r="W723">
        <f>IF($N723="","",Sync!$P723)</f>
        <v/>
      </c>
      <c r="AA723">
        <f>IF($A723="","",IF(COUNTIF($A$6:$A723,$A723)=1,1,0))</f>
        <v/>
      </c>
      <c r="AB723">
        <f>SUM($AA$6:$AA723)</f>
        <v/>
      </c>
      <c r="AC723">
        <f>IFERROR(INDEX($A$6:$A$1005,MATCH(ROW()-5,$AB$6:$AB$1005,0)),"")</f>
        <v/>
      </c>
    </row>
    <row r="724">
      <c r="A724">
        <f>IF(OR(Entry!$B727="",Entry!$E727="",$E724="نامعتبر"),"",Entry!$E727)</f>
        <v/>
      </c>
      <c r="B724">
        <f>IF($A724="","",LEFT($E724,4)&amp;MID($E724,6,2)&amp;RIGHT($E724,2)&amp;$F724&amp;"|"&amp;"1"&amp;RIGHT("00000"&amp;719,5))</f>
        <v/>
      </c>
      <c r="C724">
        <f>IF($B724="","",COUNTIFS($A$6:$A$1005,$A724,$B$6:$B$1005,"&lt;"&amp;$B724)+COUNTIFS($N$6:$N$2005,$A724,$P$6:$P$2005,"&lt;"&amp;$B724)+1)</f>
        <v/>
      </c>
      <c r="D724">
        <f>IF($C724="","",$A724&amp;"|"&amp;RIGHT("000000"&amp;$C724,6))</f>
        <v/>
      </c>
      <c r="E724">
        <f>IF(Entry!$B727="","",IF(ISNUMBER(Entry!$B727),IF(AND(Entry!$B727&gt;=10000101,Entry!$B727&lt;=99991231),INT(Entry!$B727/10000)&amp;"/"&amp;RIGHT("00"&amp;INT(MOD(Entry!$B727,10000)/100),2)&amp;"/"&amp;RIGHT("00"&amp;MOD(Entry!$B727,100),2),"نامعتبر"),IF(LEN(Entry!$B727)=10,Entry!$B727,"نامعتبر")))</f>
        <v/>
      </c>
      <c r="F724">
        <f>IF(Entry!$B727="","",IF(Entry!$C727="","0000",IF(AND(ISNUMBER(Entry!$C727),Entry!$C727&gt;=0,Entry!$C727&lt;1),RIGHT("00"&amp;HOUR(Entry!$C727),2)&amp;RIGHT("00"&amp;MINUTE(Entry!$C727),2),IFERROR(RIGHT("00"&amp;VALUE(LEFT(Entry!$C727,FIND(":",Entry!$C727)-1)),2)&amp;RIGHT("00"&amp;VALUE(MID(Entry!$C727,FIND(":",Entry!$C727)+1,2)),2),"0000"))))</f>
        <v/>
      </c>
      <c r="G724">
        <f>IF($A724="","",Entry!$G727)</f>
        <v/>
      </c>
      <c r="H724">
        <f>IF($A724="","",IF(Entry!$H727="",0,Entry!$H727))</f>
        <v/>
      </c>
      <c r="I724">
        <f>IF($A724="","",IF(Entry!$I727="",0,Entry!$I727))</f>
        <v/>
      </c>
      <c r="J724">
        <f>IF($A724="","",ROUND($H724*$I724,0))</f>
        <v/>
      </c>
      <c r="K724">
        <f>IF($A724="","",Entry!$D727)</f>
        <v/>
      </c>
      <c r="L724">
        <f>IF($A724="","",Entry!$L727)</f>
        <v/>
      </c>
      <c r="N724">
        <f>IF(OR(Sync!$M724="",$Q724="",$Q724="نامعتبر"),"",Sync!$M724)</f>
        <v/>
      </c>
      <c r="O724">
        <f>IF($N724="","",$Q724)</f>
        <v/>
      </c>
      <c r="P724">
        <f>IF($N724="","",LEFT($Q724,4)&amp;MID($Q724,6,2)&amp;RIGHT($Q724,2)&amp;IF(Sync!$K724="","0000",IF(AND(ISNUMBER(Sync!$K724),Sync!$K724&gt;=0,Sync!$K724&lt;1),RIGHT("00"&amp;HOUR(Sync!$K724),2)&amp;RIGHT("00"&amp;MINUTE(Sync!$K724),2),IFERROR(RIGHT("00"&amp;VALUE(LEFT(Sync!$K724,FIND(":",Sync!$K724)-1)),2)&amp;RIGHT("00"&amp;VALUE(MID(Sync!$K724,FIND(":",Sync!$K724)+1,2)),2),"0000")))&amp;"|"&amp;"2"&amp;RIGHT("00000"&amp;719,5))</f>
        <v/>
      </c>
      <c r="Q724">
        <f>IF(Sync!$J724="","",IF(ISNUMBER(Sync!$J724),IF(AND(Sync!$J724&gt;=10000101,Sync!$J724&lt;=99991231),INT(Sync!$J724/10000)&amp;"/"&amp;RIGHT("00"&amp;INT(MOD(Sync!$J724,10000)/100),2)&amp;"/"&amp;RIGHT("00"&amp;MOD(Sync!$J724,100),2),"نامعتبر"),IF(LEN(Sync!$J724)=10,Sync!$J724,"نامعتبر")))</f>
        <v/>
      </c>
      <c r="R724">
        <f>IF($P724="","",COUNTIFS($N$6:$N$2005,$N724,$P$6:$P$2005,"&lt;"&amp;$P724)+COUNTIFS($A$6:$A$1005,$N724,$B$6:$B$1005,"&lt;"&amp;$P724)+1)</f>
        <v/>
      </c>
      <c r="S724">
        <f>IF($N724="","",$N724&amp;"|"&amp;RIGHT("000000"&amp;$R724,6))</f>
        <v/>
      </c>
      <c r="T724">
        <f>IF($N724="","",IF(Sync!$N724="",0,Sync!$N724))</f>
        <v/>
      </c>
      <c r="U724">
        <f>IF($N724="","",IF(Sync!$O724="",0,Sync!$O724))</f>
        <v/>
      </c>
      <c r="V724">
        <f>IF($N724="","",Sync!$L724)</f>
        <v/>
      </c>
      <c r="W724">
        <f>IF($N724="","",Sync!$P724)</f>
        <v/>
      </c>
      <c r="AA724">
        <f>IF($A724="","",IF(COUNTIF($A$6:$A724,$A724)=1,1,0))</f>
        <v/>
      </c>
      <c r="AB724">
        <f>SUM($AA$6:$AA724)</f>
        <v/>
      </c>
      <c r="AC724">
        <f>IFERROR(INDEX($A$6:$A$1005,MATCH(ROW()-5,$AB$6:$AB$1005,0)),"")</f>
        <v/>
      </c>
    </row>
    <row r="725">
      <c r="A725">
        <f>IF(OR(Entry!$B728="",Entry!$E728="",$E725="نامعتبر"),"",Entry!$E728)</f>
        <v/>
      </c>
      <c r="B725">
        <f>IF($A725="","",LEFT($E725,4)&amp;MID($E725,6,2)&amp;RIGHT($E725,2)&amp;$F725&amp;"|"&amp;"1"&amp;RIGHT("00000"&amp;720,5))</f>
        <v/>
      </c>
      <c r="C725">
        <f>IF($B725="","",COUNTIFS($A$6:$A$1005,$A725,$B$6:$B$1005,"&lt;"&amp;$B725)+COUNTIFS($N$6:$N$2005,$A725,$P$6:$P$2005,"&lt;"&amp;$B725)+1)</f>
        <v/>
      </c>
      <c r="D725">
        <f>IF($C725="","",$A725&amp;"|"&amp;RIGHT("000000"&amp;$C725,6))</f>
        <v/>
      </c>
      <c r="E725">
        <f>IF(Entry!$B728="","",IF(ISNUMBER(Entry!$B728),IF(AND(Entry!$B728&gt;=10000101,Entry!$B728&lt;=99991231),INT(Entry!$B728/10000)&amp;"/"&amp;RIGHT("00"&amp;INT(MOD(Entry!$B728,10000)/100),2)&amp;"/"&amp;RIGHT("00"&amp;MOD(Entry!$B728,100),2),"نامعتبر"),IF(LEN(Entry!$B728)=10,Entry!$B728,"نامعتبر")))</f>
        <v/>
      </c>
      <c r="F725">
        <f>IF(Entry!$B728="","",IF(Entry!$C728="","0000",IF(AND(ISNUMBER(Entry!$C728),Entry!$C728&gt;=0,Entry!$C728&lt;1),RIGHT("00"&amp;HOUR(Entry!$C728),2)&amp;RIGHT("00"&amp;MINUTE(Entry!$C728),2),IFERROR(RIGHT("00"&amp;VALUE(LEFT(Entry!$C728,FIND(":",Entry!$C728)-1)),2)&amp;RIGHT("00"&amp;VALUE(MID(Entry!$C728,FIND(":",Entry!$C728)+1,2)),2),"0000"))))</f>
        <v/>
      </c>
      <c r="G725">
        <f>IF($A725="","",Entry!$G728)</f>
        <v/>
      </c>
      <c r="H725">
        <f>IF($A725="","",IF(Entry!$H728="",0,Entry!$H728))</f>
        <v/>
      </c>
      <c r="I725">
        <f>IF($A725="","",IF(Entry!$I728="",0,Entry!$I728))</f>
        <v/>
      </c>
      <c r="J725">
        <f>IF($A725="","",ROUND($H725*$I725,0))</f>
        <v/>
      </c>
      <c r="K725">
        <f>IF($A725="","",Entry!$D728)</f>
        <v/>
      </c>
      <c r="L725">
        <f>IF($A725="","",Entry!$L728)</f>
        <v/>
      </c>
      <c r="N725">
        <f>IF(OR(Sync!$M725="",$Q725="",$Q725="نامعتبر"),"",Sync!$M725)</f>
        <v/>
      </c>
      <c r="O725">
        <f>IF($N725="","",$Q725)</f>
        <v/>
      </c>
      <c r="P725">
        <f>IF($N725="","",LEFT($Q725,4)&amp;MID($Q725,6,2)&amp;RIGHT($Q725,2)&amp;IF(Sync!$K725="","0000",IF(AND(ISNUMBER(Sync!$K725),Sync!$K725&gt;=0,Sync!$K725&lt;1),RIGHT("00"&amp;HOUR(Sync!$K725),2)&amp;RIGHT("00"&amp;MINUTE(Sync!$K725),2),IFERROR(RIGHT("00"&amp;VALUE(LEFT(Sync!$K725,FIND(":",Sync!$K725)-1)),2)&amp;RIGHT("00"&amp;VALUE(MID(Sync!$K725,FIND(":",Sync!$K725)+1,2)),2),"0000")))&amp;"|"&amp;"2"&amp;RIGHT("00000"&amp;720,5))</f>
        <v/>
      </c>
      <c r="Q725">
        <f>IF(Sync!$J725="","",IF(ISNUMBER(Sync!$J725),IF(AND(Sync!$J725&gt;=10000101,Sync!$J725&lt;=99991231),INT(Sync!$J725/10000)&amp;"/"&amp;RIGHT("00"&amp;INT(MOD(Sync!$J725,10000)/100),2)&amp;"/"&amp;RIGHT("00"&amp;MOD(Sync!$J725,100),2),"نامعتبر"),IF(LEN(Sync!$J725)=10,Sync!$J725,"نامعتبر")))</f>
        <v/>
      </c>
      <c r="R725">
        <f>IF($P725="","",COUNTIFS($N$6:$N$2005,$N725,$P$6:$P$2005,"&lt;"&amp;$P725)+COUNTIFS($A$6:$A$1005,$N725,$B$6:$B$1005,"&lt;"&amp;$P725)+1)</f>
        <v/>
      </c>
      <c r="S725">
        <f>IF($N725="","",$N725&amp;"|"&amp;RIGHT("000000"&amp;$R725,6))</f>
        <v/>
      </c>
      <c r="T725">
        <f>IF($N725="","",IF(Sync!$N725="",0,Sync!$N725))</f>
        <v/>
      </c>
      <c r="U725">
        <f>IF($N725="","",IF(Sync!$O725="",0,Sync!$O725))</f>
        <v/>
      </c>
      <c r="V725">
        <f>IF($N725="","",Sync!$L725)</f>
        <v/>
      </c>
      <c r="W725">
        <f>IF($N725="","",Sync!$P725)</f>
        <v/>
      </c>
      <c r="AA725">
        <f>IF($A725="","",IF(COUNTIF($A$6:$A725,$A725)=1,1,0))</f>
        <v/>
      </c>
      <c r="AB725">
        <f>SUM($AA$6:$AA725)</f>
        <v/>
      </c>
      <c r="AC725">
        <f>IFERROR(INDEX($A$6:$A$1005,MATCH(ROW()-5,$AB$6:$AB$1005,0)),"")</f>
        <v/>
      </c>
    </row>
    <row r="726">
      <c r="A726">
        <f>IF(OR(Entry!$B729="",Entry!$E729="",$E726="نامعتبر"),"",Entry!$E729)</f>
        <v/>
      </c>
      <c r="B726">
        <f>IF($A726="","",LEFT($E726,4)&amp;MID($E726,6,2)&amp;RIGHT($E726,2)&amp;$F726&amp;"|"&amp;"1"&amp;RIGHT("00000"&amp;721,5))</f>
        <v/>
      </c>
      <c r="C726">
        <f>IF($B726="","",COUNTIFS($A$6:$A$1005,$A726,$B$6:$B$1005,"&lt;"&amp;$B726)+COUNTIFS($N$6:$N$2005,$A726,$P$6:$P$2005,"&lt;"&amp;$B726)+1)</f>
        <v/>
      </c>
      <c r="D726">
        <f>IF($C726="","",$A726&amp;"|"&amp;RIGHT("000000"&amp;$C726,6))</f>
        <v/>
      </c>
      <c r="E726">
        <f>IF(Entry!$B729="","",IF(ISNUMBER(Entry!$B729),IF(AND(Entry!$B729&gt;=10000101,Entry!$B729&lt;=99991231),INT(Entry!$B729/10000)&amp;"/"&amp;RIGHT("00"&amp;INT(MOD(Entry!$B729,10000)/100),2)&amp;"/"&amp;RIGHT("00"&amp;MOD(Entry!$B729,100),2),"نامعتبر"),IF(LEN(Entry!$B729)=10,Entry!$B729,"نامعتبر")))</f>
        <v/>
      </c>
      <c r="F726">
        <f>IF(Entry!$B729="","",IF(Entry!$C729="","0000",IF(AND(ISNUMBER(Entry!$C729),Entry!$C729&gt;=0,Entry!$C729&lt;1),RIGHT("00"&amp;HOUR(Entry!$C729),2)&amp;RIGHT("00"&amp;MINUTE(Entry!$C729),2),IFERROR(RIGHT("00"&amp;VALUE(LEFT(Entry!$C729,FIND(":",Entry!$C729)-1)),2)&amp;RIGHT("00"&amp;VALUE(MID(Entry!$C729,FIND(":",Entry!$C729)+1,2)),2),"0000"))))</f>
        <v/>
      </c>
      <c r="G726">
        <f>IF($A726="","",Entry!$G729)</f>
        <v/>
      </c>
      <c r="H726">
        <f>IF($A726="","",IF(Entry!$H729="",0,Entry!$H729))</f>
        <v/>
      </c>
      <c r="I726">
        <f>IF($A726="","",IF(Entry!$I729="",0,Entry!$I729))</f>
        <v/>
      </c>
      <c r="J726">
        <f>IF($A726="","",ROUND($H726*$I726,0))</f>
        <v/>
      </c>
      <c r="K726">
        <f>IF($A726="","",Entry!$D729)</f>
        <v/>
      </c>
      <c r="L726">
        <f>IF($A726="","",Entry!$L729)</f>
        <v/>
      </c>
      <c r="N726">
        <f>IF(OR(Sync!$M726="",$Q726="",$Q726="نامعتبر"),"",Sync!$M726)</f>
        <v/>
      </c>
      <c r="O726">
        <f>IF($N726="","",$Q726)</f>
        <v/>
      </c>
      <c r="P726">
        <f>IF($N726="","",LEFT($Q726,4)&amp;MID($Q726,6,2)&amp;RIGHT($Q726,2)&amp;IF(Sync!$K726="","0000",IF(AND(ISNUMBER(Sync!$K726),Sync!$K726&gt;=0,Sync!$K726&lt;1),RIGHT("00"&amp;HOUR(Sync!$K726),2)&amp;RIGHT("00"&amp;MINUTE(Sync!$K726),2),IFERROR(RIGHT("00"&amp;VALUE(LEFT(Sync!$K726,FIND(":",Sync!$K726)-1)),2)&amp;RIGHT("00"&amp;VALUE(MID(Sync!$K726,FIND(":",Sync!$K726)+1,2)),2),"0000")))&amp;"|"&amp;"2"&amp;RIGHT("00000"&amp;721,5))</f>
        <v/>
      </c>
      <c r="Q726">
        <f>IF(Sync!$J726="","",IF(ISNUMBER(Sync!$J726),IF(AND(Sync!$J726&gt;=10000101,Sync!$J726&lt;=99991231),INT(Sync!$J726/10000)&amp;"/"&amp;RIGHT("00"&amp;INT(MOD(Sync!$J726,10000)/100),2)&amp;"/"&amp;RIGHT("00"&amp;MOD(Sync!$J726,100),2),"نامعتبر"),IF(LEN(Sync!$J726)=10,Sync!$J726,"نامعتبر")))</f>
        <v/>
      </c>
      <c r="R726">
        <f>IF($P726="","",COUNTIFS($N$6:$N$2005,$N726,$P$6:$P$2005,"&lt;"&amp;$P726)+COUNTIFS($A$6:$A$1005,$N726,$B$6:$B$1005,"&lt;"&amp;$P726)+1)</f>
        <v/>
      </c>
      <c r="S726">
        <f>IF($N726="","",$N726&amp;"|"&amp;RIGHT("000000"&amp;$R726,6))</f>
        <v/>
      </c>
      <c r="T726">
        <f>IF($N726="","",IF(Sync!$N726="",0,Sync!$N726))</f>
        <v/>
      </c>
      <c r="U726">
        <f>IF($N726="","",IF(Sync!$O726="",0,Sync!$O726))</f>
        <v/>
      </c>
      <c r="V726">
        <f>IF($N726="","",Sync!$L726)</f>
        <v/>
      </c>
      <c r="W726">
        <f>IF($N726="","",Sync!$P726)</f>
        <v/>
      </c>
      <c r="AA726">
        <f>IF($A726="","",IF(COUNTIF($A$6:$A726,$A726)=1,1,0))</f>
        <v/>
      </c>
      <c r="AB726">
        <f>SUM($AA$6:$AA726)</f>
        <v/>
      </c>
      <c r="AC726">
        <f>IFERROR(INDEX($A$6:$A$1005,MATCH(ROW()-5,$AB$6:$AB$1005,0)),"")</f>
        <v/>
      </c>
    </row>
    <row r="727">
      <c r="A727">
        <f>IF(OR(Entry!$B730="",Entry!$E730="",$E727="نامعتبر"),"",Entry!$E730)</f>
        <v/>
      </c>
      <c r="B727">
        <f>IF($A727="","",LEFT($E727,4)&amp;MID($E727,6,2)&amp;RIGHT($E727,2)&amp;$F727&amp;"|"&amp;"1"&amp;RIGHT("00000"&amp;722,5))</f>
        <v/>
      </c>
      <c r="C727">
        <f>IF($B727="","",COUNTIFS($A$6:$A$1005,$A727,$B$6:$B$1005,"&lt;"&amp;$B727)+COUNTIFS($N$6:$N$2005,$A727,$P$6:$P$2005,"&lt;"&amp;$B727)+1)</f>
        <v/>
      </c>
      <c r="D727">
        <f>IF($C727="","",$A727&amp;"|"&amp;RIGHT("000000"&amp;$C727,6))</f>
        <v/>
      </c>
      <c r="E727">
        <f>IF(Entry!$B730="","",IF(ISNUMBER(Entry!$B730),IF(AND(Entry!$B730&gt;=10000101,Entry!$B730&lt;=99991231),INT(Entry!$B730/10000)&amp;"/"&amp;RIGHT("00"&amp;INT(MOD(Entry!$B730,10000)/100),2)&amp;"/"&amp;RIGHT("00"&amp;MOD(Entry!$B730,100),2),"نامعتبر"),IF(LEN(Entry!$B730)=10,Entry!$B730,"نامعتبر")))</f>
        <v/>
      </c>
      <c r="F727">
        <f>IF(Entry!$B730="","",IF(Entry!$C730="","0000",IF(AND(ISNUMBER(Entry!$C730),Entry!$C730&gt;=0,Entry!$C730&lt;1),RIGHT("00"&amp;HOUR(Entry!$C730),2)&amp;RIGHT("00"&amp;MINUTE(Entry!$C730),2),IFERROR(RIGHT("00"&amp;VALUE(LEFT(Entry!$C730,FIND(":",Entry!$C730)-1)),2)&amp;RIGHT("00"&amp;VALUE(MID(Entry!$C730,FIND(":",Entry!$C730)+1,2)),2),"0000"))))</f>
        <v/>
      </c>
      <c r="G727">
        <f>IF($A727="","",Entry!$G730)</f>
        <v/>
      </c>
      <c r="H727">
        <f>IF($A727="","",IF(Entry!$H730="",0,Entry!$H730))</f>
        <v/>
      </c>
      <c r="I727">
        <f>IF($A727="","",IF(Entry!$I730="",0,Entry!$I730))</f>
        <v/>
      </c>
      <c r="J727">
        <f>IF($A727="","",ROUND($H727*$I727,0))</f>
        <v/>
      </c>
      <c r="K727">
        <f>IF($A727="","",Entry!$D730)</f>
        <v/>
      </c>
      <c r="L727">
        <f>IF($A727="","",Entry!$L730)</f>
        <v/>
      </c>
      <c r="N727">
        <f>IF(OR(Sync!$M727="",$Q727="",$Q727="نامعتبر"),"",Sync!$M727)</f>
        <v/>
      </c>
      <c r="O727">
        <f>IF($N727="","",$Q727)</f>
        <v/>
      </c>
      <c r="P727">
        <f>IF($N727="","",LEFT($Q727,4)&amp;MID($Q727,6,2)&amp;RIGHT($Q727,2)&amp;IF(Sync!$K727="","0000",IF(AND(ISNUMBER(Sync!$K727),Sync!$K727&gt;=0,Sync!$K727&lt;1),RIGHT("00"&amp;HOUR(Sync!$K727),2)&amp;RIGHT("00"&amp;MINUTE(Sync!$K727),2),IFERROR(RIGHT("00"&amp;VALUE(LEFT(Sync!$K727,FIND(":",Sync!$K727)-1)),2)&amp;RIGHT("00"&amp;VALUE(MID(Sync!$K727,FIND(":",Sync!$K727)+1,2)),2),"0000")))&amp;"|"&amp;"2"&amp;RIGHT("00000"&amp;722,5))</f>
        <v/>
      </c>
      <c r="Q727">
        <f>IF(Sync!$J727="","",IF(ISNUMBER(Sync!$J727),IF(AND(Sync!$J727&gt;=10000101,Sync!$J727&lt;=99991231),INT(Sync!$J727/10000)&amp;"/"&amp;RIGHT("00"&amp;INT(MOD(Sync!$J727,10000)/100),2)&amp;"/"&amp;RIGHT("00"&amp;MOD(Sync!$J727,100),2),"نامعتبر"),IF(LEN(Sync!$J727)=10,Sync!$J727,"نامعتبر")))</f>
        <v/>
      </c>
      <c r="R727">
        <f>IF($P727="","",COUNTIFS($N$6:$N$2005,$N727,$P$6:$P$2005,"&lt;"&amp;$P727)+COUNTIFS($A$6:$A$1005,$N727,$B$6:$B$1005,"&lt;"&amp;$P727)+1)</f>
        <v/>
      </c>
      <c r="S727">
        <f>IF($N727="","",$N727&amp;"|"&amp;RIGHT("000000"&amp;$R727,6))</f>
        <v/>
      </c>
      <c r="T727">
        <f>IF($N727="","",IF(Sync!$N727="",0,Sync!$N727))</f>
        <v/>
      </c>
      <c r="U727">
        <f>IF($N727="","",IF(Sync!$O727="",0,Sync!$O727))</f>
        <v/>
      </c>
      <c r="V727">
        <f>IF($N727="","",Sync!$L727)</f>
        <v/>
      </c>
      <c r="W727">
        <f>IF($N727="","",Sync!$P727)</f>
        <v/>
      </c>
      <c r="AA727">
        <f>IF($A727="","",IF(COUNTIF($A$6:$A727,$A727)=1,1,0))</f>
        <v/>
      </c>
      <c r="AB727">
        <f>SUM($AA$6:$AA727)</f>
        <v/>
      </c>
      <c r="AC727">
        <f>IFERROR(INDEX($A$6:$A$1005,MATCH(ROW()-5,$AB$6:$AB$1005,0)),"")</f>
        <v/>
      </c>
    </row>
    <row r="728">
      <c r="A728">
        <f>IF(OR(Entry!$B731="",Entry!$E731="",$E728="نامعتبر"),"",Entry!$E731)</f>
        <v/>
      </c>
      <c r="B728">
        <f>IF($A728="","",LEFT($E728,4)&amp;MID($E728,6,2)&amp;RIGHT($E728,2)&amp;$F728&amp;"|"&amp;"1"&amp;RIGHT("00000"&amp;723,5))</f>
        <v/>
      </c>
      <c r="C728">
        <f>IF($B728="","",COUNTIFS($A$6:$A$1005,$A728,$B$6:$B$1005,"&lt;"&amp;$B728)+COUNTIFS($N$6:$N$2005,$A728,$P$6:$P$2005,"&lt;"&amp;$B728)+1)</f>
        <v/>
      </c>
      <c r="D728">
        <f>IF($C728="","",$A728&amp;"|"&amp;RIGHT("000000"&amp;$C728,6))</f>
        <v/>
      </c>
      <c r="E728">
        <f>IF(Entry!$B731="","",IF(ISNUMBER(Entry!$B731),IF(AND(Entry!$B731&gt;=10000101,Entry!$B731&lt;=99991231),INT(Entry!$B731/10000)&amp;"/"&amp;RIGHT("00"&amp;INT(MOD(Entry!$B731,10000)/100),2)&amp;"/"&amp;RIGHT("00"&amp;MOD(Entry!$B731,100),2),"نامعتبر"),IF(LEN(Entry!$B731)=10,Entry!$B731,"نامعتبر")))</f>
        <v/>
      </c>
      <c r="F728">
        <f>IF(Entry!$B731="","",IF(Entry!$C731="","0000",IF(AND(ISNUMBER(Entry!$C731),Entry!$C731&gt;=0,Entry!$C731&lt;1),RIGHT("00"&amp;HOUR(Entry!$C731),2)&amp;RIGHT("00"&amp;MINUTE(Entry!$C731),2),IFERROR(RIGHT("00"&amp;VALUE(LEFT(Entry!$C731,FIND(":",Entry!$C731)-1)),2)&amp;RIGHT("00"&amp;VALUE(MID(Entry!$C731,FIND(":",Entry!$C731)+1,2)),2),"0000"))))</f>
        <v/>
      </c>
      <c r="G728">
        <f>IF($A728="","",Entry!$G731)</f>
        <v/>
      </c>
      <c r="H728">
        <f>IF($A728="","",IF(Entry!$H731="",0,Entry!$H731))</f>
        <v/>
      </c>
      <c r="I728">
        <f>IF($A728="","",IF(Entry!$I731="",0,Entry!$I731))</f>
        <v/>
      </c>
      <c r="J728">
        <f>IF($A728="","",ROUND($H728*$I728,0))</f>
        <v/>
      </c>
      <c r="K728">
        <f>IF($A728="","",Entry!$D731)</f>
        <v/>
      </c>
      <c r="L728">
        <f>IF($A728="","",Entry!$L731)</f>
        <v/>
      </c>
      <c r="N728">
        <f>IF(OR(Sync!$M728="",$Q728="",$Q728="نامعتبر"),"",Sync!$M728)</f>
        <v/>
      </c>
      <c r="O728">
        <f>IF($N728="","",$Q728)</f>
        <v/>
      </c>
      <c r="P728">
        <f>IF($N728="","",LEFT($Q728,4)&amp;MID($Q728,6,2)&amp;RIGHT($Q728,2)&amp;IF(Sync!$K728="","0000",IF(AND(ISNUMBER(Sync!$K728),Sync!$K728&gt;=0,Sync!$K728&lt;1),RIGHT("00"&amp;HOUR(Sync!$K728),2)&amp;RIGHT("00"&amp;MINUTE(Sync!$K728),2),IFERROR(RIGHT("00"&amp;VALUE(LEFT(Sync!$K728,FIND(":",Sync!$K728)-1)),2)&amp;RIGHT("00"&amp;VALUE(MID(Sync!$K728,FIND(":",Sync!$K728)+1,2)),2),"0000")))&amp;"|"&amp;"2"&amp;RIGHT("00000"&amp;723,5))</f>
        <v/>
      </c>
      <c r="Q728">
        <f>IF(Sync!$J728="","",IF(ISNUMBER(Sync!$J728),IF(AND(Sync!$J728&gt;=10000101,Sync!$J728&lt;=99991231),INT(Sync!$J728/10000)&amp;"/"&amp;RIGHT("00"&amp;INT(MOD(Sync!$J728,10000)/100),2)&amp;"/"&amp;RIGHT("00"&amp;MOD(Sync!$J728,100),2),"نامعتبر"),IF(LEN(Sync!$J728)=10,Sync!$J728,"نامعتبر")))</f>
        <v/>
      </c>
      <c r="R728">
        <f>IF($P728="","",COUNTIFS($N$6:$N$2005,$N728,$P$6:$P$2005,"&lt;"&amp;$P728)+COUNTIFS($A$6:$A$1005,$N728,$B$6:$B$1005,"&lt;"&amp;$P728)+1)</f>
        <v/>
      </c>
      <c r="S728">
        <f>IF($N728="","",$N728&amp;"|"&amp;RIGHT("000000"&amp;$R728,6))</f>
        <v/>
      </c>
      <c r="T728">
        <f>IF($N728="","",IF(Sync!$N728="",0,Sync!$N728))</f>
        <v/>
      </c>
      <c r="U728">
        <f>IF($N728="","",IF(Sync!$O728="",0,Sync!$O728))</f>
        <v/>
      </c>
      <c r="V728">
        <f>IF($N728="","",Sync!$L728)</f>
        <v/>
      </c>
      <c r="W728">
        <f>IF($N728="","",Sync!$P728)</f>
        <v/>
      </c>
      <c r="AA728">
        <f>IF($A728="","",IF(COUNTIF($A$6:$A728,$A728)=1,1,0))</f>
        <v/>
      </c>
      <c r="AB728">
        <f>SUM($AA$6:$AA728)</f>
        <v/>
      </c>
      <c r="AC728">
        <f>IFERROR(INDEX($A$6:$A$1005,MATCH(ROW()-5,$AB$6:$AB$1005,0)),"")</f>
        <v/>
      </c>
    </row>
    <row r="729">
      <c r="A729">
        <f>IF(OR(Entry!$B732="",Entry!$E732="",$E729="نامعتبر"),"",Entry!$E732)</f>
        <v/>
      </c>
      <c r="B729">
        <f>IF($A729="","",LEFT($E729,4)&amp;MID($E729,6,2)&amp;RIGHT($E729,2)&amp;$F729&amp;"|"&amp;"1"&amp;RIGHT("00000"&amp;724,5))</f>
        <v/>
      </c>
      <c r="C729">
        <f>IF($B729="","",COUNTIFS($A$6:$A$1005,$A729,$B$6:$B$1005,"&lt;"&amp;$B729)+COUNTIFS($N$6:$N$2005,$A729,$P$6:$P$2005,"&lt;"&amp;$B729)+1)</f>
        <v/>
      </c>
      <c r="D729">
        <f>IF($C729="","",$A729&amp;"|"&amp;RIGHT("000000"&amp;$C729,6))</f>
        <v/>
      </c>
      <c r="E729">
        <f>IF(Entry!$B732="","",IF(ISNUMBER(Entry!$B732),IF(AND(Entry!$B732&gt;=10000101,Entry!$B732&lt;=99991231),INT(Entry!$B732/10000)&amp;"/"&amp;RIGHT("00"&amp;INT(MOD(Entry!$B732,10000)/100),2)&amp;"/"&amp;RIGHT("00"&amp;MOD(Entry!$B732,100),2),"نامعتبر"),IF(LEN(Entry!$B732)=10,Entry!$B732,"نامعتبر")))</f>
        <v/>
      </c>
      <c r="F729">
        <f>IF(Entry!$B732="","",IF(Entry!$C732="","0000",IF(AND(ISNUMBER(Entry!$C732),Entry!$C732&gt;=0,Entry!$C732&lt;1),RIGHT("00"&amp;HOUR(Entry!$C732),2)&amp;RIGHT("00"&amp;MINUTE(Entry!$C732),2),IFERROR(RIGHT("00"&amp;VALUE(LEFT(Entry!$C732,FIND(":",Entry!$C732)-1)),2)&amp;RIGHT("00"&amp;VALUE(MID(Entry!$C732,FIND(":",Entry!$C732)+1,2)),2),"0000"))))</f>
        <v/>
      </c>
      <c r="G729">
        <f>IF($A729="","",Entry!$G732)</f>
        <v/>
      </c>
      <c r="H729">
        <f>IF($A729="","",IF(Entry!$H732="",0,Entry!$H732))</f>
        <v/>
      </c>
      <c r="I729">
        <f>IF($A729="","",IF(Entry!$I732="",0,Entry!$I732))</f>
        <v/>
      </c>
      <c r="J729">
        <f>IF($A729="","",ROUND($H729*$I729,0))</f>
        <v/>
      </c>
      <c r="K729">
        <f>IF($A729="","",Entry!$D732)</f>
        <v/>
      </c>
      <c r="L729">
        <f>IF($A729="","",Entry!$L732)</f>
        <v/>
      </c>
      <c r="N729">
        <f>IF(OR(Sync!$M729="",$Q729="",$Q729="نامعتبر"),"",Sync!$M729)</f>
        <v/>
      </c>
      <c r="O729">
        <f>IF($N729="","",$Q729)</f>
        <v/>
      </c>
      <c r="P729">
        <f>IF($N729="","",LEFT($Q729,4)&amp;MID($Q729,6,2)&amp;RIGHT($Q729,2)&amp;IF(Sync!$K729="","0000",IF(AND(ISNUMBER(Sync!$K729),Sync!$K729&gt;=0,Sync!$K729&lt;1),RIGHT("00"&amp;HOUR(Sync!$K729),2)&amp;RIGHT("00"&amp;MINUTE(Sync!$K729),2),IFERROR(RIGHT("00"&amp;VALUE(LEFT(Sync!$K729,FIND(":",Sync!$K729)-1)),2)&amp;RIGHT("00"&amp;VALUE(MID(Sync!$K729,FIND(":",Sync!$K729)+1,2)),2),"0000")))&amp;"|"&amp;"2"&amp;RIGHT("00000"&amp;724,5))</f>
        <v/>
      </c>
      <c r="Q729">
        <f>IF(Sync!$J729="","",IF(ISNUMBER(Sync!$J729),IF(AND(Sync!$J729&gt;=10000101,Sync!$J729&lt;=99991231),INT(Sync!$J729/10000)&amp;"/"&amp;RIGHT("00"&amp;INT(MOD(Sync!$J729,10000)/100),2)&amp;"/"&amp;RIGHT("00"&amp;MOD(Sync!$J729,100),2),"نامعتبر"),IF(LEN(Sync!$J729)=10,Sync!$J729,"نامعتبر")))</f>
        <v/>
      </c>
      <c r="R729">
        <f>IF($P729="","",COUNTIFS($N$6:$N$2005,$N729,$P$6:$P$2005,"&lt;"&amp;$P729)+COUNTIFS($A$6:$A$1005,$N729,$B$6:$B$1005,"&lt;"&amp;$P729)+1)</f>
        <v/>
      </c>
      <c r="S729">
        <f>IF($N729="","",$N729&amp;"|"&amp;RIGHT("000000"&amp;$R729,6))</f>
        <v/>
      </c>
      <c r="T729">
        <f>IF($N729="","",IF(Sync!$N729="",0,Sync!$N729))</f>
        <v/>
      </c>
      <c r="U729">
        <f>IF($N729="","",IF(Sync!$O729="",0,Sync!$O729))</f>
        <v/>
      </c>
      <c r="V729">
        <f>IF($N729="","",Sync!$L729)</f>
        <v/>
      </c>
      <c r="W729">
        <f>IF($N729="","",Sync!$P729)</f>
        <v/>
      </c>
      <c r="AA729">
        <f>IF($A729="","",IF(COUNTIF($A$6:$A729,$A729)=1,1,0))</f>
        <v/>
      </c>
      <c r="AB729">
        <f>SUM($AA$6:$AA729)</f>
        <v/>
      </c>
      <c r="AC729">
        <f>IFERROR(INDEX($A$6:$A$1005,MATCH(ROW()-5,$AB$6:$AB$1005,0)),"")</f>
        <v/>
      </c>
    </row>
    <row r="730">
      <c r="A730">
        <f>IF(OR(Entry!$B733="",Entry!$E733="",$E730="نامعتبر"),"",Entry!$E733)</f>
        <v/>
      </c>
      <c r="B730">
        <f>IF($A730="","",LEFT($E730,4)&amp;MID($E730,6,2)&amp;RIGHT($E730,2)&amp;$F730&amp;"|"&amp;"1"&amp;RIGHT("00000"&amp;725,5))</f>
        <v/>
      </c>
      <c r="C730">
        <f>IF($B730="","",COUNTIFS($A$6:$A$1005,$A730,$B$6:$B$1005,"&lt;"&amp;$B730)+COUNTIFS($N$6:$N$2005,$A730,$P$6:$P$2005,"&lt;"&amp;$B730)+1)</f>
        <v/>
      </c>
      <c r="D730">
        <f>IF($C730="","",$A730&amp;"|"&amp;RIGHT("000000"&amp;$C730,6))</f>
        <v/>
      </c>
      <c r="E730">
        <f>IF(Entry!$B733="","",IF(ISNUMBER(Entry!$B733),IF(AND(Entry!$B733&gt;=10000101,Entry!$B733&lt;=99991231),INT(Entry!$B733/10000)&amp;"/"&amp;RIGHT("00"&amp;INT(MOD(Entry!$B733,10000)/100),2)&amp;"/"&amp;RIGHT("00"&amp;MOD(Entry!$B733,100),2),"نامعتبر"),IF(LEN(Entry!$B733)=10,Entry!$B733,"نامعتبر")))</f>
        <v/>
      </c>
      <c r="F730">
        <f>IF(Entry!$B733="","",IF(Entry!$C733="","0000",IF(AND(ISNUMBER(Entry!$C733),Entry!$C733&gt;=0,Entry!$C733&lt;1),RIGHT("00"&amp;HOUR(Entry!$C733),2)&amp;RIGHT("00"&amp;MINUTE(Entry!$C733),2),IFERROR(RIGHT("00"&amp;VALUE(LEFT(Entry!$C733,FIND(":",Entry!$C733)-1)),2)&amp;RIGHT("00"&amp;VALUE(MID(Entry!$C733,FIND(":",Entry!$C733)+1,2)),2),"0000"))))</f>
        <v/>
      </c>
      <c r="G730">
        <f>IF($A730="","",Entry!$G733)</f>
        <v/>
      </c>
      <c r="H730">
        <f>IF($A730="","",IF(Entry!$H733="",0,Entry!$H733))</f>
        <v/>
      </c>
      <c r="I730">
        <f>IF($A730="","",IF(Entry!$I733="",0,Entry!$I733))</f>
        <v/>
      </c>
      <c r="J730">
        <f>IF($A730="","",ROUND($H730*$I730,0))</f>
        <v/>
      </c>
      <c r="K730">
        <f>IF($A730="","",Entry!$D733)</f>
        <v/>
      </c>
      <c r="L730">
        <f>IF($A730="","",Entry!$L733)</f>
        <v/>
      </c>
      <c r="N730">
        <f>IF(OR(Sync!$M730="",$Q730="",$Q730="نامعتبر"),"",Sync!$M730)</f>
        <v/>
      </c>
      <c r="O730">
        <f>IF($N730="","",$Q730)</f>
        <v/>
      </c>
      <c r="P730">
        <f>IF($N730="","",LEFT($Q730,4)&amp;MID($Q730,6,2)&amp;RIGHT($Q730,2)&amp;IF(Sync!$K730="","0000",IF(AND(ISNUMBER(Sync!$K730),Sync!$K730&gt;=0,Sync!$K730&lt;1),RIGHT("00"&amp;HOUR(Sync!$K730),2)&amp;RIGHT("00"&amp;MINUTE(Sync!$K730),2),IFERROR(RIGHT("00"&amp;VALUE(LEFT(Sync!$K730,FIND(":",Sync!$K730)-1)),2)&amp;RIGHT("00"&amp;VALUE(MID(Sync!$K730,FIND(":",Sync!$K730)+1,2)),2),"0000")))&amp;"|"&amp;"2"&amp;RIGHT("00000"&amp;725,5))</f>
        <v/>
      </c>
      <c r="Q730">
        <f>IF(Sync!$J730="","",IF(ISNUMBER(Sync!$J730),IF(AND(Sync!$J730&gt;=10000101,Sync!$J730&lt;=99991231),INT(Sync!$J730/10000)&amp;"/"&amp;RIGHT("00"&amp;INT(MOD(Sync!$J730,10000)/100),2)&amp;"/"&amp;RIGHT("00"&amp;MOD(Sync!$J730,100),2),"نامعتبر"),IF(LEN(Sync!$J730)=10,Sync!$J730,"نامعتبر")))</f>
        <v/>
      </c>
      <c r="R730">
        <f>IF($P730="","",COUNTIFS($N$6:$N$2005,$N730,$P$6:$P$2005,"&lt;"&amp;$P730)+COUNTIFS($A$6:$A$1005,$N730,$B$6:$B$1005,"&lt;"&amp;$P730)+1)</f>
        <v/>
      </c>
      <c r="S730">
        <f>IF($N730="","",$N730&amp;"|"&amp;RIGHT("000000"&amp;$R730,6))</f>
        <v/>
      </c>
      <c r="T730">
        <f>IF($N730="","",IF(Sync!$N730="",0,Sync!$N730))</f>
        <v/>
      </c>
      <c r="U730">
        <f>IF($N730="","",IF(Sync!$O730="",0,Sync!$O730))</f>
        <v/>
      </c>
      <c r="V730">
        <f>IF($N730="","",Sync!$L730)</f>
        <v/>
      </c>
      <c r="W730">
        <f>IF($N730="","",Sync!$P730)</f>
        <v/>
      </c>
      <c r="AA730">
        <f>IF($A730="","",IF(COUNTIF($A$6:$A730,$A730)=1,1,0))</f>
        <v/>
      </c>
      <c r="AB730">
        <f>SUM($AA$6:$AA730)</f>
        <v/>
      </c>
      <c r="AC730">
        <f>IFERROR(INDEX($A$6:$A$1005,MATCH(ROW()-5,$AB$6:$AB$1005,0)),"")</f>
        <v/>
      </c>
    </row>
    <row r="731">
      <c r="A731">
        <f>IF(OR(Entry!$B734="",Entry!$E734="",$E731="نامعتبر"),"",Entry!$E734)</f>
        <v/>
      </c>
      <c r="B731">
        <f>IF($A731="","",LEFT($E731,4)&amp;MID($E731,6,2)&amp;RIGHT($E731,2)&amp;$F731&amp;"|"&amp;"1"&amp;RIGHT("00000"&amp;726,5))</f>
        <v/>
      </c>
      <c r="C731">
        <f>IF($B731="","",COUNTIFS($A$6:$A$1005,$A731,$B$6:$B$1005,"&lt;"&amp;$B731)+COUNTIFS($N$6:$N$2005,$A731,$P$6:$P$2005,"&lt;"&amp;$B731)+1)</f>
        <v/>
      </c>
      <c r="D731">
        <f>IF($C731="","",$A731&amp;"|"&amp;RIGHT("000000"&amp;$C731,6))</f>
        <v/>
      </c>
      <c r="E731">
        <f>IF(Entry!$B734="","",IF(ISNUMBER(Entry!$B734),IF(AND(Entry!$B734&gt;=10000101,Entry!$B734&lt;=99991231),INT(Entry!$B734/10000)&amp;"/"&amp;RIGHT("00"&amp;INT(MOD(Entry!$B734,10000)/100),2)&amp;"/"&amp;RIGHT("00"&amp;MOD(Entry!$B734,100),2),"نامعتبر"),IF(LEN(Entry!$B734)=10,Entry!$B734,"نامعتبر")))</f>
        <v/>
      </c>
      <c r="F731">
        <f>IF(Entry!$B734="","",IF(Entry!$C734="","0000",IF(AND(ISNUMBER(Entry!$C734),Entry!$C734&gt;=0,Entry!$C734&lt;1),RIGHT("00"&amp;HOUR(Entry!$C734),2)&amp;RIGHT("00"&amp;MINUTE(Entry!$C734),2),IFERROR(RIGHT("00"&amp;VALUE(LEFT(Entry!$C734,FIND(":",Entry!$C734)-1)),2)&amp;RIGHT("00"&amp;VALUE(MID(Entry!$C734,FIND(":",Entry!$C734)+1,2)),2),"0000"))))</f>
        <v/>
      </c>
      <c r="G731">
        <f>IF($A731="","",Entry!$G734)</f>
        <v/>
      </c>
      <c r="H731">
        <f>IF($A731="","",IF(Entry!$H734="",0,Entry!$H734))</f>
        <v/>
      </c>
      <c r="I731">
        <f>IF($A731="","",IF(Entry!$I734="",0,Entry!$I734))</f>
        <v/>
      </c>
      <c r="J731">
        <f>IF($A731="","",ROUND($H731*$I731,0))</f>
        <v/>
      </c>
      <c r="K731">
        <f>IF($A731="","",Entry!$D734)</f>
        <v/>
      </c>
      <c r="L731">
        <f>IF($A731="","",Entry!$L734)</f>
        <v/>
      </c>
      <c r="N731">
        <f>IF(OR(Sync!$M731="",$Q731="",$Q731="نامعتبر"),"",Sync!$M731)</f>
        <v/>
      </c>
      <c r="O731">
        <f>IF($N731="","",$Q731)</f>
        <v/>
      </c>
      <c r="P731">
        <f>IF($N731="","",LEFT($Q731,4)&amp;MID($Q731,6,2)&amp;RIGHT($Q731,2)&amp;IF(Sync!$K731="","0000",IF(AND(ISNUMBER(Sync!$K731),Sync!$K731&gt;=0,Sync!$K731&lt;1),RIGHT("00"&amp;HOUR(Sync!$K731),2)&amp;RIGHT("00"&amp;MINUTE(Sync!$K731),2),IFERROR(RIGHT("00"&amp;VALUE(LEFT(Sync!$K731,FIND(":",Sync!$K731)-1)),2)&amp;RIGHT("00"&amp;VALUE(MID(Sync!$K731,FIND(":",Sync!$K731)+1,2)),2),"0000")))&amp;"|"&amp;"2"&amp;RIGHT("00000"&amp;726,5))</f>
        <v/>
      </c>
      <c r="Q731">
        <f>IF(Sync!$J731="","",IF(ISNUMBER(Sync!$J731),IF(AND(Sync!$J731&gt;=10000101,Sync!$J731&lt;=99991231),INT(Sync!$J731/10000)&amp;"/"&amp;RIGHT("00"&amp;INT(MOD(Sync!$J731,10000)/100),2)&amp;"/"&amp;RIGHT("00"&amp;MOD(Sync!$J731,100),2),"نامعتبر"),IF(LEN(Sync!$J731)=10,Sync!$J731,"نامعتبر")))</f>
        <v/>
      </c>
      <c r="R731">
        <f>IF($P731="","",COUNTIFS($N$6:$N$2005,$N731,$P$6:$P$2005,"&lt;"&amp;$P731)+COUNTIFS($A$6:$A$1005,$N731,$B$6:$B$1005,"&lt;"&amp;$P731)+1)</f>
        <v/>
      </c>
      <c r="S731">
        <f>IF($N731="","",$N731&amp;"|"&amp;RIGHT("000000"&amp;$R731,6))</f>
        <v/>
      </c>
      <c r="T731">
        <f>IF($N731="","",IF(Sync!$N731="",0,Sync!$N731))</f>
        <v/>
      </c>
      <c r="U731">
        <f>IF($N731="","",IF(Sync!$O731="",0,Sync!$O731))</f>
        <v/>
      </c>
      <c r="V731">
        <f>IF($N731="","",Sync!$L731)</f>
        <v/>
      </c>
      <c r="W731">
        <f>IF($N731="","",Sync!$P731)</f>
        <v/>
      </c>
      <c r="AA731">
        <f>IF($A731="","",IF(COUNTIF($A$6:$A731,$A731)=1,1,0))</f>
        <v/>
      </c>
      <c r="AB731">
        <f>SUM($AA$6:$AA731)</f>
        <v/>
      </c>
      <c r="AC731">
        <f>IFERROR(INDEX($A$6:$A$1005,MATCH(ROW()-5,$AB$6:$AB$1005,0)),"")</f>
        <v/>
      </c>
    </row>
    <row r="732">
      <c r="A732">
        <f>IF(OR(Entry!$B735="",Entry!$E735="",$E732="نامعتبر"),"",Entry!$E735)</f>
        <v/>
      </c>
      <c r="B732">
        <f>IF($A732="","",LEFT($E732,4)&amp;MID($E732,6,2)&amp;RIGHT($E732,2)&amp;$F732&amp;"|"&amp;"1"&amp;RIGHT("00000"&amp;727,5))</f>
        <v/>
      </c>
      <c r="C732">
        <f>IF($B732="","",COUNTIFS($A$6:$A$1005,$A732,$B$6:$B$1005,"&lt;"&amp;$B732)+COUNTIFS($N$6:$N$2005,$A732,$P$6:$P$2005,"&lt;"&amp;$B732)+1)</f>
        <v/>
      </c>
      <c r="D732">
        <f>IF($C732="","",$A732&amp;"|"&amp;RIGHT("000000"&amp;$C732,6))</f>
        <v/>
      </c>
      <c r="E732">
        <f>IF(Entry!$B735="","",IF(ISNUMBER(Entry!$B735),IF(AND(Entry!$B735&gt;=10000101,Entry!$B735&lt;=99991231),INT(Entry!$B735/10000)&amp;"/"&amp;RIGHT("00"&amp;INT(MOD(Entry!$B735,10000)/100),2)&amp;"/"&amp;RIGHT("00"&amp;MOD(Entry!$B735,100),2),"نامعتبر"),IF(LEN(Entry!$B735)=10,Entry!$B735,"نامعتبر")))</f>
        <v/>
      </c>
      <c r="F732">
        <f>IF(Entry!$B735="","",IF(Entry!$C735="","0000",IF(AND(ISNUMBER(Entry!$C735),Entry!$C735&gt;=0,Entry!$C735&lt;1),RIGHT("00"&amp;HOUR(Entry!$C735),2)&amp;RIGHT("00"&amp;MINUTE(Entry!$C735),2),IFERROR(RIGHT("00"&amp;VALUE(LEFT(Entry!$C735,FIND(":",Entry!$C735)-1)),2)&amp;RIGHT("00"&amp;VALUE(MID(Entry!$C735,FIND(":",Entry!$C735)+1,2)),2),"0000"))))</f>
        <v/>
      </c>
      <c r="G732">
        <f>IF($A732="","",Entry!$G735)</f>
        <v/>
      </c>
      <c r="H732">
        <f>IF($A732="","",IF(Entry!$H735="",0,Entry!$H735))</f>
        <v/>
      </c>
      <c r="I732">
        <f>IF($A732="","",IF(Entry!$I735="",0,Entry!$I735))</f>
        <v/>
      </c>
      <c r="J732">
        <f>IF($A732="","",ROUND($H732*$I732,0))</f>
        <v/>
      </c>
      <c r="K732">
        <f>IF($A732="","",Entry!$D735)</f>
        <v/>
      </c>
      <c r="L732">
        <f>IF($A732="","",Entry!$L735)</f>
        <v/>
      </c>
      <c r="N732">
        <f>IF(OR(Sync!$M732="",$Q732="",$Q732="نامعتبر"),"",Sync!$M732)</f>
        <v/>
      </c>
      <c r="O732">
        <f>IF($N732="","",$Q732)</f>
        <v/>
      </c>
      <c r="P732">
        <f>IF($N732="","",LEFT($Q732,4)&amp;MID($Q732,6,2)&amp;RIGHT($Q732,2)&amp;IF(Sync!$K732="","0000",IF(AND(ISNUMBER(Sync!$K732),Sync!$K732&gt;=0,Sync!$K732&lt;1),RIGHT("00"&amp;HOUR(Sync!$K732),2)&amp;RIGHT("00"&amp;MINUTE(Sync!$K732),2),IFERROR(RIGHT("00"&amp;VALUE(LEFT(Sync!$K732,FIND(":",Sync!$K732)-1)),2)&amp;RIGHT("00"&amp;VALUE(MID(Sync!$K732,FIND(":",Sync!$K732)+1,2)),2),"0000")))&amp;"|"&amp;"2"&amp;RIGHT("00000"&amp;727,5))</f>
        <v/>
      </c>
      <c r="Q732">
        <f>IF(Sync!$J732="","",IF(ISNUMBER(Sync!$J732),IF(AND(Sync!$J732&gt;=10000101,Sync!$J732&lt;=99991231),INT(Sync!$J732/10000)&amp;"/"&amp;RIGHT("00"&amp;INT(MOD(Sync!$J732,10000)/100),2)&amp;"/"&amp;RIGHT("00"&amp;MOD(Sync!$J732,100),2),"نامعتبر"),IF(LEN(Sync!$J732)=10,Sync!$J732,"نامعتبر")))</f>
        <v/>
      </c>
      <c r="R732">
        <f>IF($P732="","",COUNTIFS($N$6:$N$2005,$N732,$P$6:$P$2005,"&lt;"&amp;$P732)+COUNTIFS($A$6:$A$1005,$N732,$B$6:$B$1005,"&lt;"&amp;$P732)+1)</f>
        <v/>
      </c>
      <c r="S732">
        <f>IF($N732="","",$N732&amp;"|"&amp;RIGHT("000000"&amp;$R732,6))</f>
        <v/>
      </c>
      <c r="T732">
        <f>IF($N732="","",IF(Sync!$N732="",0,Sync!$N732))</f>
        <v/>
      </c>
      <c r="U732">
        <f>IF($N732="","",IF(Sync!$O732="",0,Sync!$O732))</f>
        <v/>
      </c>
      <c r="V732">
        <f>IF($N732="","",Sync!$L732)</f>
        <v/>
      </c>
      <c r="W732">
        <f>IF($N732="","",Sync!$P732)</f>
        <v/>
      </c>
      <c r="AA732">
        <f>IF($A732="","",IF(COUNTIF($A$6:$A732,$A732)=1,1,0))</f>
        <v/>
      </c>
      <c r="AB732">
        <f>SUM($AA$6:$AA732)</f>
        <v/>
      </c>
      <c r="AC732">
        <f>IFERROR(INDEX($A$6:$A$1005,MATCH(ROW()-5,$AB$6:$AB$1005,0)),"")</f>
        <v/>
      </c>
    </row>
    <row r="733">
      <c r="A733">
        <f>IF(OR(Entry!$B736="",Entry!$E736="",$E733="نامعتبر"),"",Entry!$E736)</f>
        <v/>
      </c>
      <c r="B733">
        <f>IF($A733="","",LEFT($E733,4)&amp;MID($E733,6,2)&amp;RIGHT($E733,2)&amp;$F733&amp;"|"&amp;"1"&amp;RIGHT("00000"&amp;728,5))</f>
        <v/>
      </c>
      <c r="C733">
        <f>IF($B733="","",COUNTIFS($A$6:$A$1005,$A733,$B$6:$B$1005,"&lt;"&amp;$B733)+COUNTIFS($N$6:$N$2005,$A733,$P$6:$P$2005,"&lt;"&amp;$B733)+1)</f>
        <v/>
      </c>
      <c r="D733">
        <f>IF($C733="","",$A733&amp;"|"&amp;RIGHT("000000"&amp;$C733,6))</f>
        <v/>
      </c>
      <c r="E733">
        <f>IF(Entry!$B736="","",IF(ISNUMBER(Entry!$B736),IF(AND(Entry!$B736&gt;=10000101,Entry!$B736&lt;=99991231),INT(Entry!$B736/10000)&amp;"/"&amp;RIGHT("00"&amp;INT(MOD(Entry!$B736,10000)/100),2)&amp;"/"&amp;RIGHT("00"&amp;MOD(Entry!$B736,100),2),"نامعتبر"),IF(LEN(Entry!$B736)=10,Entry!$B736,"نامعتبر")))</f>
        <v/>
      </c>
      <c r="F733">
        <f>IF(Entry!$B736="","",IF(Entry!$C736="","0000",IF(AND(ISNUMBER(Entry!$C736),Entry!$C736&gt;=0,Entry!$C736&lt;1),RIGHT("00"&amp;HOUR(Entry!$C736),2)&amp;RIGHT("00"&amp;MINUTE(Entry!$C736),2),IFERROR(RIGHT("00"&amp;VALUE(LEFT(Entry!$C736,FIND(":",Entry!$C736)-1)),2)&amp;RIGHT("00"&amp;VALUE(MID(Entry!$C736,FIND(":",Entry!$C736)+1,2)),2),"0000"))))</f>
        <v/>
      </c>
      <c r="G733">
        <f>IF($A733="","",Entry!$G736)</f>
        <v/>
      </c>
      <c r="H733">
        <f>IF($A733="","",IF(Entry!$H736="",0,Entry!$H736))</f>
        <v/>
      </c>
      <c r="I733">
        <f>IF($A733="","",IF(Entry!$I736="",0,Entry!$I736))</f>
        <v/>
      </c>
      <c r="J733">
        <f>IF($A733="","",ROUND($H733*$I733,0))</f>
        <v/>
      </c>
      <c r="K733">
        <f>IF($A733="","",Entry!$D736)</f>
        <v/>
      </c>
      <c r="L733">
        <f>IF($A733="","",Entry!$L736)</f>
        <v/>
      </c>
      <c r="N733">
        <f>IF(OR(Sync!$M733="",$Q733="",$Q733="نامعتبر"),"",Sync!$M733)</f>
        <v/>
      </c>
      <c r="O733">
        <f>IF($N733="","",$Q733)</f>
        <v/>
      </c>
      <c r="P733">
        <f>IF($N733="","",LEFT($Q733,4)&amp;MID($Q733,6,2)&amp;RIGHT($Q733,2)&amp;IF(Sync!$K733="","0000",IF(AND(ISNUMBER(Sync!$K733),Sync!$K733&gt;=0,Sync!$K733&lt;1),RIGHT("00"&amp;HOUR(Sync!$K733),2)&amp;RIGHT("00"&amp;MINUTE(Sync!$K733),2),IFERROR(RIGHT("00"&amp;VALUE(LEFT(Sync!$K733,FIND(":",Sync!$K733)-1)),2)&amp;RIGHT("00"&amp;VALUE(MID(Sync!$K733,FIND(":",Sync!$K733)+1,2)),2),"0000")))&amp;"|"&amp;"2"&amp;RIGHT("00000"&amp;728,5))</f>
        <v/>
      </c>
      <c r="Q733">
        <f>IF(Sync!$J733="","",IF(ISNUMBER(Sync!$J733),IF(AND(Sync!$J733&gt;=10000101,Sync!$J733&lt;=99991231),INT(Sync!$J733/10000)&amp;"/"&amp;RIGHT("00"&amp;INT(MOD(Sync!$J733,10000)/100),2)&amp;"/"&amp;RIGHT("00"&amp;MOD(Sync!$J733,100),2),"نامعتبر"),IF(LEN(Sync!$J733)=10,Sync!$J733,"نامعتبر")))</f>
        <v/>
      </c>
      <c r="R733">
        <f>IF($P733="","",COUNTIFS($N$6:$N$2005,$N733,$P$6:$P$2005,"&lt;"&amp;$P733)+COUNTIFS($A$6:$A$1005,$N733,$B$6:$B$1005,"&lt;"&amp;$P733)+1)</f>
        <v/>
      </c>
      <c r="S733">
        <f>IF($N733="","",$N733&amp;"|"&amp;RIGHT("000000"&amp;$R733,6))</f>
        <v/>
      </c>
      <c r="T733">
        <f>IF($N733="","",IF(Sync!$N733="",0,Sync!$N733))</f>
        <v/>
      </c>
      <c r="U733">
        <f>IF($N733="","",IF(Sync!$O733="",0,Sync!$O733))</f>
        <v/>
      </c>
      <c r="V733">
        <f>IF($N733="","",Sync!$L733)</f>
        <v/>
      </c>
      <c r="W733">
        <f>IF($N733="","",Sync!$P733)</f>
        <v/>
      </c>
      <c r="AA733">
        <f>IF($A733="","",IF(COUNTIF($A$6:$A733,$A733)=1,1,0))</f>
        <v/>
      </c>
      <c r="AB733">
        <f>SUM($AA$6:$AA733)</f>
        <v/>
      </c>
      <c r="AC733">
        <f>IFERROR(INDEX($A$6:$A$1005,MATCH(ROW()-5,$AB$6:$AB$1005,0)),"")</f>
        <v/>
      </c>
    </row>
    <row r="734">
      <c r="A734">
        <f>IF(OR(Entry!$B737="",Entry!$E737="",$E734="نامعتبر"),"",Entry!$E737)</f>
        <v/>
      </c>
      <c r="B734">
        <f>IF($A734="","",LEFT($E734,4)&amp;MID($E734,6,2)&amp;RIGHT($E734,2)&amp;$F734&amp;"|"&amp;"1"&amp;RIGHT("00000"&amp;729,5))</f>
        <v/>
      </c>
      <c r="C734">
        <f>IF($B734="","",COUNTIFS($A$6:$A$1005,$A734,$B$6:$B$1005,"&lt;"&amp;$B734)+COUNTIFS($N$6:$N$2005,$A734,$P$6:$P$2005,"&lt;"&amp;$B734)+1)</f>
        <v/>
      </c>
      <c r="D734">
        <f>IF($C734="","",$A734&amp;"|"&amp;RIGHT("000000"&amp;$C734,6))</f>
        <v/>
      </c>
      <c r="E734">
        <f>IF(Entry!$B737="","",IF(ISNUMBER(Entry!$B737),IF(AND(Entry!$B737&gt;=10000101,Entry!$B737&lt;=99991231),INT(Entry!$B737/10000)&amp;"/"&amp;RIGHT("00"&amp;INT(MOD(Entry!$B737,10000)/100),2)&amp;"/"&amp;RIGHT("00"&amp;MOD(Entry!$B737,100),2),"نامعتبر"),IF(LEN(Entry!$B737)=10,Entry!$B737,"نامعتبر")))</f>
        <v/>
      </c>
      <c r="F734">
        <f>IF(Entry!$B737="","",IF(Entry!$C737="","0000",IF(AND(ISNUMBER(Entry!$C737),Entry!$C737&gt;=0,Entry!$C737&lt;1),RIGHT("00"&amp;HOUR(Entry!$C737),2)&amp;RIGHT("00"&amp;MINUTE(Entry!$C737),2),IFERROR(RIGHT("00"&amp;VALUE(LEFT(Entry!$C737,FIND(":",Entry!$C737)-1)),2)&amp;RIGHT("00"&amp;VALUE(MID(Entry!$C737,FIND(":",Entry!$C737)+1,2)),2),"0000"))))</f>
        <v/>
      </c>
      <c r="G734">
        <f>IF($A734="","",Entry!$G737)</f>
        <v/>
      </c>
      <c r="H734">
        <f>IF($A734="","",IF(Entry!$H737="",0,Entry!$H737))</f>
        <v/>
      </c>
      <c r="I734">
        <f>IF($A734="","",IF(Entry!$I737="",0,Entry!$I737))</f>
        <v/>
      </c>
      <c r="J734">
        <f>IF($A734="","",ROUND($H734*$I734,0))</f>
        <v/>
      </c>
      <c r="K734">
        <f>IF($A734="","",Entry!$D737)</f>
        <v/>
      </c>
      <c r="L734">
        <f>IF($A734="","",Entry!$L737)</f>
        <v/>
      </c>
      <c r="N734">
        <f>IF(OR(Sync!$M734="",$Q734="",$Q734="نامعتبر"),"",Sync!$M734)</f>
        <v/>
      </c>
      <c r="O734">
        <f>IF($N734="","",$Q734)</f>
        <v/>
      </c>
      <c r="P734">
        <f>IF($N734="","",LEFT($Q734,4)&amp;MID($Q734,6,2)&amp;RIGHT($Q734,2)&amp;IF(Sync!$K734="","0000",IF(AND(ISNUMBER(Sync!$K734),Sync!$K734&gt;=0,Sync!$K734&lt;1),RIGHT("00"&amp;HOUR(Sync!$K734),2)&amp;RIGHT("00"&amp;MINUTE(Sync!$K734),2),IFERROR(RIGHT("00"&amp;VALUE(LEFT(Sync!$K734,FIND(":",Sync!$K734)-1)),2)&amp;RIGHT("00"&amp;VALUE(MID(Sync!$K734,FIND(":",Sync!$K734)+1,2)),2),"0000")))&amp;"|"&amp;"2"&amp;RIGHT("00000"&amp;729,5))</f>
        <v/>
      </c>
      <c r="Q734">
        <f>IF(Sync!$J734="","",IF(ISNUMBER(Sync!$J734),IF(AND(Sync!$J734&gt;=10000101,Sync!$J734&lt;=99991231),INT(Sync!$J734/10000)&amp;"/"&amp;RIGHT("00"&amp;INT(MOD(Sync!$J734,10000)/100),2)&amp;"/"&amp;RIGHT("00"&amp;MOD(Sync!$J734,100),2),"نامعتبر"),IF(LEN(Sync!$J734)=10,Sync!$J734,"نامعتبر")))</f>
        <v/>
      </c>
      <c r="R734">
        <f>IF($P734="","",COUNTIFS($N$6:$N$2005,$N734,$P$6:$P$2005,"&lt;"&amp;$P734)+COUNTIFS($A$6:$A$1005,$N734,$B$6:$B$1005,"&lt;"&amp;$P734)+1)</f>
        <v/>
      </c>
      <c r="S734">
        <f>IF($N734="","",$N734&amp;"|"&amp;RIGHT("000000"&amp;$R734,6))</f>
        <v/>
      </c>
      <c r="T734">
        <f>IF($N734="","",IF(Sync!$N734="",0,Sync!$N734))</f>
        <v/>
      </c>
      <c r="U734">
        <f>IF($N734="","",IF(Sync!$O734="",0,Sync!$O734))</f>
        <v/>
      </c>
      <c r="V734">
        <f>IF($N734="","",Sync!$L734)</f>
        <v/>
      </c>
      <c r="W734">
        <f>IF($N734="","",Sync!$P734)</f>
        <v/>
      </c>
      <c r="AA734">
        <f>IF($A734="","",IF(COUNTIF($A$6:$A734,$A734)=1,1,0))</f>
        <v/>
      </c>
      <c r="AB734">
        <f>SUM($AA$6:$AA734)</f>
        <v/>
      </c>
      <c r="AC734">
        <f>IFERROR(INDEX($A$6:$A$1005,MATCH(ROW()-5,$AB$6:$AB$1005,0)),"")</f>
        <v/>
      </c>
    </row>
    <row r="735">
      <c r="A735">
        <f>IF(OR(Entry!$B738="",Entry!$E738="",$E735="نامعتبر"),"",Entry!$E738)</f>
        <v/>
      </c>
      <c r="B735">
        <f>IF($A735="","",LEFT($E735,4)&amp;MID($E735,6,2)&amp;RIGHT($E735,2)&amp;$F735&amp;"|"&amp;"1"&amp;RIGHT("00000"&amp;730,5))</f>
        <v/>
      </c>
      <c r="C735">
        <f>IF($B735="","",COUNTIFS($A$6:$A$1005,$A735,$B$6:$B$1005,"&lt;"&amp;$B735)+COUNTIFS($N$6:$N$2005,$A735,$P$6:$P$2005,"&lt;"&amp;$B735)+1)</f>
        <v/>
      </c>
      <c r="D735">
        <f>IF($C735="","",$A735&amp;"|"&amp;RIGHT("000000"&amp;$C735,6))</f>
        <v/>
      </c>
      <c r="E735">
        <f>IF(Entry!$B738="","",IF(ISNUMBER(Entry!$B738),IF(AND(Entry!$B738&gt;=10000101,Entry!$B738&lt;=99991231),INT(Entry!$B738/10000)&amp;"/"&amp;RIGHT("00"&amp;INT(MOD(Entry!$B738,10000)/100),2)&amp;"/"&amp;RIGHT("00"&amp;MOD(Entry!$B738,100),2),"نامعتبر"),IF(LEN(Entry!$B738)=10,Entry!$B738,"نامعتبر")))</f>
        <v/>
      </c>
      <c r="F735">
        <f>IF(Entry!$B738="","",IF(Entry!$C738="","0000",IF(AND(ISNUMBER(Entry!$C738),Entry!$C738&gt;=0,Entry!$C738&lt;1),RIGHT("00"&amp;HOUR(Entry!$C738),2)&amp;RIGHT("00"&amp;MINUTE(Entry!$C738),2),IFERROR(RIGHT("00"&amp;VALUE(LEFT(Entry!$C738,FIND(":",Entry!$C738)-1)),2)&amp;RIGHT("00"&amp;VALUE(MID(Entry!$C738,FIND(":",Entry!$C738)+1,2)),2),"0000"))))</f>
        <v/>
      </c>
      <c r="G735">
        <f>IF($A735="","",Entry!$G738)</f>
        <v/>
      </c>
      <c r="H735">
        <f>IF($A735="","",IF(Entry!$H738="",0,Entry!$H738))</f>
        <v/>
      </c>
      <c r="I735">
        <f>IF($A735="","",IF(Entry!$I738="",0,Entry!$I738))</f>
        <v/>
      </c>
      <c r="J735">
        <f>IF($A735="","",ROUND($H735*$I735,0))</f>
        <v/>
      </c>
      <c r="K735">
        <f>IF($A735="","",Entry!$D738)</f>
        <v/>
      </c>
      <c r="L735">
        <f>IF($A735="","",Entry!$L738)</f>
        <v/>
      </c>
      <c r="N735">
        <f>IF(OR(Sync!$M735="",$Q735="",$Q735="نامعتبر"),"",Sync!$M735)</f>
        <v/>
      </c>
      <c r="O735">
        <f>IF($N735="","",$Q735)</f>
        <v/>
      </c>
      <c r="P735">
        <f>IF($N735="","",LEFT($Q735,4)&amp;MID($Q735,6,2)&amp;RIGHT($Q735,2)&amp;IF(Sync!$K735="","0000",IF(AND(ISNUMBER(Sync!$K735),Sync!$K735&gt;=0,Sync!$K735&lt;1),RIGHT("00"&amp;HOUR(Sync!$K735),2)&amp;RIGHT("00"&amp;MINUTE(Sync!$K735),2),IFERROR(RIGHT("00"&amp;VALUE(LEFT(Sync!$K735,FIND(":",Sync!$K735)-1)),2)&amp;RIGHT("00"&amp;VALUE(MID(Sync!$K735,FIND(":",Sync!$K735)+1,2)),2),"0000")))&amp;"|"&amp;"2"&amp;RIGHT("00000"&amp;730,5))</f>
        <v/>
      </c>
      <c r="Q735">
        <f>IF(Sync!$J735="","",IF(ISNUMBER(Sync!$J735),IF(AND(Sync!$J735&gt;=10000101,Sync!$J735&lt;=99991231),INT(Sync!$J735/10000)&amp;"/"&amp;RIGHT("00"&amp;INT(MOD(Sync!$J735,10000)/100),2)&amp;"/"&amp;RIGHT("00"&amp;MOD(Sync!$J735,100),2),"نامعتبر"),IF(LEN(Sync!$J735)=10,Sync!$J735,"نامعتبر")))</f>
        <v/>
      </c>
      <c r="R735">
        <f>IF($P735="","",COUNTIFS($N$6:$N$2005,$N735,$P$6:$P$2005,"&lt;"&amp;$P735)+COUNTIFS($A$6:$A$1005,$N735,$B$6:$B$1005,"&lt;"&amp;$P735)+1)</f>
        <v/>
      </c>
      <c r="S735">
        <f>IF($N735="","",$N735&amp;"|"&amp;RIGHT("000000"&amp;$R735,6))</f>
        <v/>
      </c>
      <c r="T735">
        <f>IF($N735="","",IF(Sync!$N735="",0,Sync!$N735))</f>
        <v/>
      </c>
      <c r="U735">
        <f>IF($N735="","",IF(Sync!$O735="",0,Sync!$O735))</f>
        <v/>
      </c>
      <c r="V735">
        <f>IF($N735="","",Sync!$L735)</f>
        <v/>
      </c>
      <c r="W735">
        <f>IF($N735="","",Sync!$P735)</f>
        <v/>
      </c>
      <c r="AA735">
        <f>IF($A735="","",IF(COUNTIF($A$6:$A735,$A735)=1,1,0))</f>
        <v/>
      </c>
      <c r="AB735">
        <f>SUM($AA$6:$AA735)</f>
        <v/>
      </c>
      <c r="AC735">
        <f>IFERROR(INDEX($A$6:$A$1005,MATCH(ROW()-5,$AB$6:$AB$1005,0)),"")</f>
        <v/>
      </c>
    </row>
    <row r="736">
      <c r="A736">
        <f>IF(OR(Entry!$B739="",Entry!$E739="",$E736="نامعتبر"),"",Entry!$E739)</f>
        <v/>
      </c>
      <c r="B736">
        <f>IF($A736="","",LEFT($E736,4)&amp;MID($E736,6,2)&amp;RIGHT($E736,2)&amp;$F736&amp;"|"&amp;"1"&amp;RIGHT("00000"&amp;731,5))</f>
        <v/>
      </c>
      <c r="C736">
        <f>IF($B736="","",COUNTIFS($A$6:$A$1005,$A736,$B$6:$B$1005,"&lt;"&amp;$B736)+COUNTIFS($N$6:$N$2005,$A736,$P$6:$P$2005,"&lt;"&amp;$B736)+1)</f>
        <v/>
      </c>
      <c r="D736">
        <f>IF($C736="","",$A736&amp;"|"&amp;RIGHT("000000"&amp;$C736,6))</f>
        <v/>
      </c>
      <c r="E736">
        <f>IF(Entry!$B739="","",IF(ISNUMBER(Entry!$B739),IF(AND(Entry!$B739&gt;=10000101,Entry!$B739&lt;=99991231),INT(Entry!$B739/10000)&amp;"/"&amp;RIGHT("00"&amp;INT(MOD(Entry!$B739,10000)/100),2)&amp;"/"&amp;RIGHT("00"&amp;MOD(Entry!$B739,100),2),"نامعتبر"),IF(LEN(Entry!$B739)=10,Entry!$B739,"نامعتبر")))</f>
        <v/>
      </c>
      <c r="F736">
        <f>IF(Entry!$B739="","",IF(Entry!$C739="","0000",IF(AND(ISNUMBER(Entry!$C739),Entry!$C739&gt;=0,Entry!$C739&lt;1),RIGHT("00"&amp;HOUR(Entry!$C739),2)&amp;RIGHT("00"&amp;MINUTE(Entry!$C739),2),IFERROR(RIGHT("00"&amp;VALUE(LEFT(Entry!$C739,FIND(":",Entry!$C739)-1)),2)&amp;RIGHT("00"&amp;VALUE(MID(Entry!$C739,FIND(":",Entry!$C739)+1,2)),2),"0000"))))</f>
        <v/>
      </c>
      <c r="G736">
        <f>IF($A736="","",Entry!$G739)</f>
        <v/>
      </c>
      <c r="H736">
        <f>IF($A736="","",IF(Entry!$H739="",0,Entry!$H739))</f>
        <v/>
      </c>
      <c r="I736">
        <f>IF($A736="","",IF(Entry!$I739="",0,Entry!$I739))</f>
        <v/>
      </c>
      <c r="J736">
        <f>IF($A736="","",ROUND($H736*$I736,0))</f>
        <v/>
      </c>
      <c r="K736">
        <f>IF($A736="","",Entry!$D739)</f>
        <v/>
      </c>
      <c r="L736">
        <f>IF($A736="","",Entry!$L739)</f>
        <v/>
      </c>
      <c r="N736">
        <f>IF(OR(Sync!$M736="",$Q736="",$Q736="نامعتبر"),"",Sync!$M736)</f>
        <v/>
      </c>
      <c r="O736">
        <f>IF($N736="","",$Q736)</f>
        <v/>
      </c>
      <c r="P736">
        <f>IF($N736="","",LEFT($Q736,4)&amp;MID($Q736,6,2)&amp;RIGHT($Q736,2)&amp;IF(Sync!$K736="","0000",IF(AND(ISNUMBER(Sync!$K736),Sync!$K736&gt;=0,Sync!$K736&lt;1),RIGHT("00"&amp;HOUR(Sync!$K736),2)&amp;RIGHT("00"&amp;MINUTE(Sync!$K736),2),IFERROR(RIGHT("00"&amp;VALUE(LEFT(Sync!$K736,FIND(":",Sync!$K736)-1)),2)&amp;RIGHT("00"&amp;VALUE(MID(Sync!$K736,FIND(":",Sync!$K736)+1,2)),2),"0000")))&amp;"|"&amp;"2"&amp;RIGHT("00000"&amp;731,5))</f>
        <v/>
      </c>
      <c r="Q736">
        <f>IF(Sync!$J736="","",IF(ISNUMBER(Sync!$J736),IF(AND(Sync!$J736&gt;=10000101,Sync!$J736&lt;=99991231),INT(Sync!$J736/10000)&amp;"/"&amp;RIGHT("00"&amp;INT(MOD(Sync!$J736,10000)/100),2)&amp;"/"&amp;RIGHT("00"&amp;MOD(Sync!$J736,100),2),"نامعتبر"),IF(LEN(Sync!$J736)=10,Sync!$J736,"نامعتبر")))</f>
        <v/>
      </c>
      <c r="R736">
        <f>IF($P736="","",COUNTIFS($N$6:$N$2005,$N736,$P$6:$P$2005,"&lt;"&amp;$P736)+COUNTIFS($A$6:$A$1005,$N736,$B$6:$B$1005,"&lt;"&amp;$P736)+1)</f>
        <v/>
      </c>
      <c r="S736">
        <f>IF($N736="","",$N736&amp;"|"&amp;RIGHT("000000"&amp;$R736,6))</f>
        <v/>
      </c>
      <c r="T736">
        <f>IF($N736="","",IF(Sync!$N736="",0,Sync!$N736))</f>
        <v/>
      </c>
      <c r="U736">
        <f>IF($N736="","",IF(Sync!$O736="",0,Sync!$O736))</f>
        <v/>
      </c>
      <c r="V736">
        <f>IF($N736="","",Sync!$L736)</f>
        <v/>
      </c>
      <c r="W736">
        <f>IF($N736="","",Sync!$P736)</f>
        <v/>
      </c>
      <c r="AA736">
        <f>IF($A736="","",IF(COUNTIF($A$6:$A736,$A736)=1,1,0))</f>
        <v/>
      </c>
      <c r="AB736">
        <f>SUM($AA$6:$AA736)</f>
        <v/>
      </c>
      <c r="AC736">
        <f>IFERROR(INDEX($A$6:$A$1005,MATCH(ROW()-5,$AB$6:$AB$1005,0)),"")</f>
        <v/>
      </c>
    </row>
    <row r="737">
      <c r="A737">
        <f>IF(OR(Entry!$B740="",Entry!$E740="",$E737="نامعتبر"),"",Entry!$E740)</f>
        <v/>
      </c>
      <c r="B737">
        <f>IF($A737="","",LEFT($E737,4)&amp;MID($E737,6,2)&amp;RIGHT($E737,2)&amp;$F737&amp;"|"&amp;"1"&amp;RIGHT("00000"&amp;732,5))</f>
        <v/>
      </c>
      <c r="C737">
        <f>IF($B737="","",COUNTIFS($A$6:$A$1005,$A737,$B$6:$B$1005,"&lt;"&amp;$B737)+COUNTIFS($N$6:$N$2005,$A737,$P$6:$P$2005,"&lt;"&amp;$B737)+1)</f>
        <v/>
      </c>
      <c r="D737">
        <f>IF($C737="","",$A737&amp;"|"&amp;RIGHT("000000"&amp;$C737,6))</f>
        <v/>
      </c>
      <c r="E737">
        <f>IF(Entry!$B740="","",IF(ISNUMBER(Entry!$B740),IF(AND(Entry!$B740&gt;=10000101,Entry!$B740&lt;=99991231),INT(Entry!$B740/10000)&amp;"/"&amp;RIGHT("00"&amp;INT(MOD(Entry!$B740,10000)/100),2)&amp;"/"&amp;RIGHT("00"&amp;MOD(Entry!$B740,100),2),"نامعتبر"),IF(LEN(Entry!$B740)=10,Entry!$B740,"نامعتبر")))</f>
        <v/>
      </c>
      <c r="F737">
        <f>IF(Entry!$B740="","",IF(Entry!$C740="","0000",IF(AND(ISNUMBER(Entry!$C740),Entry!$C740&gt;=0,Entry!$C740&lt;1),RIGHT("00"&amp;HOUR(Entry!$C740),2)&amp;RIGHT("00"&amp;MINUTE(Entry!$C740),2),IFERROR(RIGHT("00"&amp;VALUE(LEFT(Entry!$C740,FIND(":",Entry!$C740)-1)),2)&amp;RIGHT("00"&amp;VALUE(MID(Entry!$C740,FIND(":",Entry!$C740)+1,2)),2),"0000"))))</f>
        <v/>
      </c>
      <c r="G737">
        <f>IF($A737="","",Entry!$G740)</f>
        <v/>
      </c>
      <c r="H737">
        <f>IF($A737="","",IF(Entry!$H740="",0,Entry!$H740))</f>
        <v/>
      </c>
      <c r="I737">
        <f>IF($A737="","",IF(Entry!$I740="",0,Entry!$I740))</f>
        <v/>
      </c>
      <c r="J737">
        <f>IF($A737="","",ROUND($H737*$I737,0))</f>
        <v/>
      </c>
      <c r="K737">
        <f>IF($A737="","",Entry!$D740)</f>
        <v/>
      </c>
      <c r="L737">
        <f>IF($A737="","",Entry!$L740)</f>
        <v/>
      </c>
      <c r="N737">
        <f>IF(OR(Sync!$M737="",$Q737="",$Q737="نامعتبر"),"",Sync!$M737)</f>
        <v/>
      </c>
      <c r="O737">
        <f>IF($N737="","",$Q737)</f>
        <v/>
      </c>
      <c r="P737">
        <f>IF($N737="","",LEFT($Q737,4)&amp;MID($Q737,6,2)&amp;RIGHT($Q737,2)&amp;IF(Sync!$K737="","0000",IF(AND(ISNUMBER(Sync!$K737),Sync!$K737&gt;=0,Sync!$K737&lt;1),RIGHT("00"&amp;HOUR(Sync!$K737),2)&amp;RIGHT("00"&amp;MINUTE(Sync!$K737),2),IFERROR(RIGHT("00"&amp;VALUE(LEFT(Sync!$K737,FIND(":",Sync!$K737)-1)),2)&amp;RIGHT("00"&amp;VALUE(MID(Sync!$K737,FIND(":",Sync!$K737)+1,2)),2),"0000")))&amp;"|"&amp;"2"&amp;RIGHT("00000"&amp;732,5))</f>
        <v/>
      </c>
      <c r="Q737">
        <f>IF(Sync!$J737="","",IF(ISNUMBER(Sync!$J737),IF(AND(Sync!$J737&gt;=10000101,Sync!$J737&lt;=99991231),INT(Sync!$J737/10000)&amp;"/"&amp;RIGHT("00"&amp;INT(MOD(Sync!$J737,10000)/100),2)&amp;"/"&amp;RIGHT("00"&amp;MOD(Sync!$J737,100),2),"نامعتبر"),IF(LEN(Sync!$J737)=10,Sync!$J737,"نامعتبر")))</f>
        <v/>
      </c>
      <c r="R737">
        <f>IF($P737="","",COUNTIFS($N$6:$N$2005,$N737,$P$6:$P$2005,"&lt;"&amp;$P737)+COUNTIFS($A$6:$A$1005,$N737,$B$6:$B$1005,"&lt;"&amp;$P737)+1)</f>
        <v/>
      </c>
      <c r="S737">
        <f>IF($N737="","",$N737&amp;"|"&amp;RIGHT("000000"&amp;$R737,6))</f>
        <v/>
      </c>
      <c r="T737">
        <f>IF($N737="","",IF(Sync!$N737="",0,Sync!$N737))</f>
        <v/>
      </c>
      <c r="U737">
        <f>IF($N737="","",IF(Sync!$O737="",0,Sync!$O737))</f>
        <v/>
      </c>
      <c r="V737">
        <f>IF($N737="","",Sync!$L737)</f>
        <v/>
      </c>
      <c r="W737">
        <f>IF($N737="","",Sync!$P737)</f>
        <v/>
      </c>
      <c r="AA737">
        <f>IF($A737="","",IF(COUNTIF($A$6:$A737,$A737)=1,1,0))</f>
        <v/>
      </c>
      <c r="AB737">
        <f>SUM($AA$6:$AA737)</f>
        <v/>
      </c>
      <c r="AC737">
        <f>IFERROR(INDEX($A$6:$A$1005,MATCH(ROW()-5,$AB$6:$AB$1005,0)),"")</f>
        <v/>
      </c>
    </row>
    <row r="738">
      <c r="A738">
        <f>IF(OR(Entry!$B741="",Entry!$E741="",$E738="نامعتبر"),"",Entry!$E741)</f>
        <v/>
      </c>
      <c r="B738">
        <f>IF($A738="","",LEFT($E738,4)&amp;MID($E738,6,2)&amp;RIGHT($E738,2)&amp;$F738&amp;"|"&amp;"1"&amp;RIGHT("00000"&amp;733,5))</f>
        <v/>
      </c>
      <c r="C738">
        <f>IF($B738="","",COUNTIFS($A$6:$A$1005,$A738,$B$6:$B$1005,"&lt;"&amp;$B738)+COUNTIFS($N$6:$N$2005,$A738,$P$6:$P$2005,"&lt;"&amp;$B738)+1)</f>
        <v/>
      </c>
      <c r="D738">
        <f>IF($C738="","",$A738&amp;"|"&amp;RIGHT("000000"&amp;$C738,6))</f>
        <v/>
      </c>
      <c r="E738">
        <f>IF(Entry!$B741="","",IF(ISNUMBER(Entry!$B741),IF(AND(Entry!$B741&gt;=10000101,Entry!$B741&lt;=99991231),INT(Entry!$B741/10000)&amp;"/"&amp;RIGHT("00"&amp;INT(MOD(Entry!$B741,10000)/100),2)&amp;"/"&amp;RIGHT("00"&amp;MOD(Entry!$B741,100),2),"نامعتبر"),IF(LEN(Entry!$B741)=10,Entry!$B741,"نامعتبر")))</f>
        <v/>
      </c>
      <c r="F738">
        <f>IF(Entry!$B741="","",IF(Entry!$C741="","0000",IF(AND(ISNUMBER(Entry!$C741),Entry!$C741&gt;=0,Entry!$C741&lt;1),RIGHT("00"&amp;HOUR(Entry!$C741),2)&amp;RIGHT("00"&amp;MINUTE(Entry!$C741),2),IFERROR(RIGHT("00"&amp;VALUE(LEFT(Entry!$C741,FIND(":",Entry!$C741)-1)),2)&amp;RIGHT("00"&amp;VALUE(MID(Entry!$C741,FIND(":",Entry!$C741)+1,2)),2),"0000"))))</f>
        <v/>
      </c>
      <c r="G738">
        <f>IF($A738="","",Entry!$G741)</f>
        <v/>
      </c>
      <c r="H738">
        <f>IF($A738="","",IF(Entry!$H741="",0,Entry!$H741))</f>
        <v/>
      </c>
      <c r="I738">
        <f>IF($A738="","",IF(Entry!$I741="",0,Entry!$I741))</f>
        <v/>
      </c>
      <c r="J738">
        <f>IF($A738="","",ROUND($H738*$I738,0))</f>
        <v/>
      </c>
      <c r="K738">
        <f>IF($A738="","",Entry!$D741)</f>
        <v/>
      </c>
      <c r="L738">
        <f>IF($A738="","",Entry!$L741)</f>
        <v/>
      </c>
      <c r="N738">
        <f>IF(OR(Sync!$M738="",$Q738="",$Q738="نامعتبر"),"",Sync!$M738)</f>
        <v/>
      </c>
      <c r="O738">
        <f>IF($N738="","",$Q738)</f>
        <v/>
      </c>
      <c r="P738">
        <f>IF($N738="","",LEFT($Q738,4)&amp;MID($Q738,6,2)&amp;RIGHT($Q738,2)&amp;IF(Sync!$K738="","0000",IF(AND(ISNUMBER(Sync!$K738),Sync!$K738&gt;=0,Sync!$K738&lt;1),RIGHT("00"&amp;HOUR(Sync!$K738),2)&amp;RIGHT("00"&amp;MINUTE(Sync!$K738),2),IFERROR(RIGHT("00"&amp;VALUE(LEFT(Sync!$K738,FIND(":",Sync!$K738)-1)),2)&amp;RIGHT("00"&amp;VALUE(MID(Sync!$K738,FIND(":",Sync!$K738)+1,2)),2),"0000")))&amp;"|"&amp;"2"&amp;RIGHT("00000"&amp;733,5))</f>
        <v/>
      </c>
      <c r="Q738">
        <f>IF(Sync!$J738="","",IF(ISNUMBER(Sync!$J738),IF(AND(Sync!$J738&gt;=10000101,Sync!$J738&lt;=99991231),INT(Sync!$J738/10000)&amp;"/"&amp;RIGHT("00"&amp;INT(MOD(Sync!$J738,10000)/100),2)&amp;"/"&amp;RIGHT("00"&amp;MOD(Sync!$J738,100),2),"نامعتبر"),IF(LEN(Sync!$J738)=10,Sync!$J738,"نامعتبر")))</f>
        <v/>
      </c>
      <c r="R738">
        <f>IF($P738="","",COUNTIFS($N$6:$N$2005,$N738,$P$6:$P$2005,"&lt;"&amp;$P738)+COUNTIFS($A$6:$A$1005,$N738,$B$6:$B$1005,"&lt;"&amp;$P738)+1)</f>
        <v/>
      </c>
      <c r="S738">
        <f>IF($N738="","",$N738&amp;"|"&amp;RIGHT("000000"&amp;$R738,6))</f>
        <v/>
      </c>
      <c r="T738">
        <f>IF($N738="","",IF(Sync!$N738="",0,Sync!$N738))</f>
        <v/>
      </c>
      <c r="U738">
        <f>IF($N738="","",IF(Sync!$O738="",0,Sync!$O738))</f>
        <v/>
      </c>
      <c r="V738">
        <f>IF($N738="","",Sync!$L738)</f>
        <v/>
      </c>
      <c r="W738">
        <f>IF($N738="","",Sync!$P738)</f>
        <v/>
      </c>
      <c r="AA738">
        <f>IF($A738="","",IF(COUNTIF($A$6:$A738,$A738)=1,1,0))</f>
        <v/>
      </c>
      <c r="AB738">
        <f>SUM($AA$6:$AA738)</f>
        <v/>
      </c>
      <c r="AC738">
        <f>IFERROR(INDEX($A$6:$A$1005,MATCH(ROW()-5,$AB$6:$AB$1005,0)),"")</f>
        <v/>
      </c>
    </row>
    <row r="739">
      <c r="A739">
        <f>IF(OR(Entry!$B742="",Entry!$E742="",$E739="نامعتبر"),"",Entry!$E742)</f>
        <v/>
      </c>
      <c r="B739">
        <f>IF($A739="","",LEFT($E739,4)&amp;MID($E739,6,2)&amp;RIGHT($E739,2)&amp;$F739&amp;"|"&amp;"1"&amp;RIGHT("00000"&amp;734,5))</f>
        <v/>
      </c>
      <c r="C739">
        <f>IF($B739="","",COUNTIFS($A$6:$A$1005,$A739,$B$6:$B$1005,"&lt;"&amp;$B739)+COUNTIFS($N$6:$N$2005,$A739,$P$6:$P$2005,"&lt;"&amp;$B739)+1)</f>
        <v/>
      </c>
      <c r="D739">
        <f>IF($C739="","",$A739&amp;"|"&amp;RIGHT("000000"&amp;$C739,6))</f>
        <v/>
      </c>
      <c r="E739">
        <f>IF(Entry!$B742="","",IF(ISNUMBER(Entry!$B742),IF(AND(Entry!$B742&gt;=10000101,Entry!$B742&lt;=99991231),INT(Entry!$B742/10000)&amp;"/"&amp;RIGHT("00"&amp;INT(MOD(Entry!$B742,10000)/100),2)&amp;"/"&amp;RIGHT("00"&amp;MOD(Entry!$B742,100),2),"نامعتبر"),IF(LEN(Entry!$B742)=10,Entry!$B742,"نامعتبر")))</f>
        <v/>
      </c>
      <c r="F739">
        <f>IF(Entry!$B742="","",IF(Entry!$C742="","0000",IF(AND(ISNUMBER(Entry!$C742),Entry!$C742&gt;=0,Entry!$C742&lt;1),RIGHT("00"&amp;HOUR(Entry!$C742),2)&amp;RIGHT("00"&amp;MINUTE(Entry!$C742),2),IFERROR(RIGHT("00"&amp;VALUE(LEFT(Entry!$C742,FIND(":",Entry!$C742)-1)),2)&amp;RIGHT("00"&amp;VALUE(MID(Entry!$C742,FIND(":",Entry!$C742)+1,2)),2),"0000"))))</f>
        <v/>
      </c>
      <c r="G739">
        <f>IF($A739="","",Entry!$G742)</f>
        <v/>
      </c>
      <c r="H739">
        <f>IF($A739="","",IF(Entry!$H742="",0,Entry!$H742))</f>
        <v/>
      </c>
      <c r="I739">
        <f>IF($A739="","",IF(Entry!$I742="",0,Entry!$I742))</f>
        <v/>
      </c>
      <c r="J739">
        <f>IF($A739="","",ROUND($H739*$I739,0))</f>
        <v/>
      </c>
      <c r="K739">
        <f>IF($A739="","",Entry!$D742)</f>
        <v/>
      </c>
      <c r="L739">
        <f>IF($A739="","",Entry!$L742)</f>
        <v/>
      </c>
      <c r="N739">
        <f>IF(OR(Sync!$M739="",$Q739="",$Q739="نامعتبر"),"",Sync!$M739)</f>
        <v/>
      </c>
      <c r="O739">
        <f>IF($N739="","",$Q739)</f>
        <v/>
      </c>
      <c r="P739">
        <f>IF($N739="","",LEFT($Q739,4)&amp;MID($Q739,6,2)&amp;RIGHT($Q739,2)&amp;IF(Sync!$K739="","0000",IF(AND(ISNUMBER(Sync!$K739),Sync!$K739&gt;=0,Sync!$K739&lt;1),RIGHT("00"&amp;HOUR(Sync!$K739),2)&amp;RIGHT("00"&amp;MINUTE(Sync!$K739),2),IFERROR(RIGHT("00"&amp;VALUE(LEFT(Sync!$K739,FIND(":",Sync!$K739)-1)),2)&amp;RIGHT("00"&amp;VALUE(MID(Sync!$K739,FIND(":",Sync!$K739)+1,2)),2),"0000")))&amp;"|"&amp;"2"&amp;RIGHT("00000"&amp;734,5))</f>
        <v/>
      </c>
      <c r="Q739">
        <f>IF(Sync!$J739="","",IF(ISNUMBER(Sync!$J739),IF(AND(Sync!$J739&gt;=10000101,Sync!$J739&lt;=99991231),INT(Sync!$J739/10000)&amp;"/"&amp;RIGHT("00"&amp;INT(MOD(Sync!$J739,10000)/100),2)&amp;"/"&amp;RIGHT("00"&amp;MOD(Sync!$J739,100),2),"نامعتبر"),IF(LEN(Sync!$J739)=10,Sync!$J739,"نامعتبر")))</f>
        <v/>
      </c>
      <c r="R739">
        <f>IF($P739="","",COUNTIFS($N$6:$N$2005,$N739,$P$6:$P$2005,"&lt;"&amp;$P739)+COUNTIFS($A$6:$A$1005,$N739,$B$6:$B$1005,"&lt;"&amp;$P739)+1)</f>
        <v/>
      </c>
      <c r="S739">
        <f>IF($N739="","",$N739&amp;"|"&amp;RIGHT("000000"&amp;$R739,6))</f>
        <v/>
      </c>
      <c r="T739">
        <f>IF($N739="","",IF(Sync!$N739="",0,Sync!$N739))</f>
        <v/>
      </c>
      <c r="U739">
        <f>IF($N739="","",IF(Sync!$O739="",0,Sync!$O739))</f>
        <v/>
      </c>
      <c r="V739">
        <f>IF($N739="","",Sync!$L739)</f>
        <v/>
      </c>
      <c r="W739">
        <f>IF($N739="","",Sync!$P739)</f>
        <v/>
      </c>
      <c r="AA739">
        <f>IF($A739="","",IF(COUNTIF($A$6:$A739,$A739)=1,1,0))</f>
        <v/>
      </c>
      <c r="AB739">
        <f>SUM($AA$6:$AA739)</f>
        <v/>
      </c>
      <c r="AC739">
        <f>IFERROR(INDEX($A$6:$A$1005,MATCH(ROW()-5,$AB$6:$AB$1005,0)),"")</f>
        <v/>
      </c>
    </row>
    <row r="740">
      <c r="A740">
        <f>IF(OR(Entry!$B743="",Entry!$E743="",$E740="نامعتبر"),"",Entry!$E743)</f>
        <v/>
      </c>
      <c r="B740">
        <f>IF($A740="","",LEFT($E740,4)&amp;MID($E740,6,2)&amp;RIGHT($E740,2)&amp;$F740&amp;"|"&amp;"1"&amp;RIGHT("00000"&amp;735,5))</f>
        <v/>
      </c>
      <c r="C740">
        <f>IF($B740="","",COUNTIFS($A$6:$A$1005,$A740,$B$6:$B$1005,"&lt;"&amp;$B740)+COUNTIFS($N$6:$N$2005,$A740,$P$6:$P$2005,"&lt;"&amp;$B740)+1)</f>
        <v/>
      </c>
      <c r="D740">
        <f>IF($C740="","",$A740&amp;"|"&amp;RIGHT("000000"&amp;$C740,6))</f>
        <v/>
      </c>
      <c r="E740">
        <f>IF(Entry!$B743="","",IF(ISNUMBER(Entry!$B743),IF(AND(Entry!$B743&gt;=10000101,Entry!$B743&lt;=99991231),INT(Entry!$B743/10000)&amp;"/"&amp;RIGHT("00"&amp;INT(MOD(Entry!$B743,10000)/100),2)&amp;"/"&amp;RIGHT("00"&amp;MOD(Entry!$B743,100),2),"نامعتبر"),IF(LEN(Entry!$B743)=10,Entry!$B743,"نامعتبر")))</f>
        <v/>
      </c>
      <c r="F740">
        <f>IF(Entry!$B743="","",IF(Entry!$C743="","0000",IF(AND(ISNUMBER(Entry!$C743),Entry!$C743&gt;=0,Entry!$C743&lt;1),RIGHT("00"&amp;HOUR(Entry!$C743),2)&amp;RIGHT("00"&amp;MINUTE(Entry!$C743),2),IFERROR(RIGHT("00"&amp;VALUE(LEFT(Entry!$C743,FIND(":",Entry!$C743)-1)),2)&amp;RIGHT("00"&amp;VALUE(MID(Entry!$C743,FIND(":",Entry!$C743)+1,2)),2),"0000"))))</f>
        <v/>
      </c>
      <c r="G740">
        <f>IF($A740="","",Entry!$G743)</f>
        <v/>
      </c>
      <c r="H740">
        <f>IF($A740="","",IF(Entry!$H743="",0,Entry!$H743))</f>
        <v/>
      </c>
      <c r="I740">
        <f>IF($A740="","",IF(Entry!$I743="",0,Entry!$I743))</f>
        <v/>
      </c>
      <c r="J740">
        <f>IF($A740="","",ROUND($H740*$I740,0))</f>
        <v/>
      </c>
      <c r="K740">
        <f>IF($A740="","",Entry!$D743)</f>
        <v/>
      </c>
      <c r="L740">
        <f>IF($A740="","",Entry!$L743)</f>
        <v/>
      </c>
      <c r="N740">
        <f>IF(OR(Sync!$M740="",$Q740="",$Q740="نامعتبر"),"",Sync!$M740)</f>
        <v/>
      </c>
      <c r="O740">
        <f>IF($N740="","",$Q740)</f>
        <v/>
      </c>
      <c r="P740">
        <f>IF($N740="","",LEFT($Q740,4)&amp;MID($Q740,6,2)&amp;RIGHT($Q740,2)&amp;IF(Sync!$K740="","0000",IF(AND(ISNUMBER(Sync!$K740),Sync!$K740&gt;=0,Sync!$K740&lt;1),RIGHT("00"&amp;HOUR(Sync!$K740),2)&amp;RIGHT("00"&amp;MINUTE(Sync!$K740),2),IFERROR(RIGHT("00"&amp;VALUE(LEFT(Sync!$K740,FIND(":",Sync!$K740)-1)),2)&amp;RIGHT("00"&amp;VALUE(MID(Sync!$K740,FIND(":",Sync!$K740)+1,2)),2),"0000")))&amp;"|"&amp;"2"&amp;RIGHT("00000"&amp;735,5))</f>
        <v/>
      </c>
      <c r="Q740">
        <f>IF(Sync!$J740="","",IF(ISNUMBER(Sync!$J740),IF(AND(Sync!$J740&gt;=10000101,Sync!$J740&lt;=99991231),INT(Sync!$J740/10000)&amp;"/"&amp;RIGHT("00"&amp;INT(MOD(Sync!$J740,10000)/100),2)&amp;"/"&amp;RIGHT("00"&amp;MOD(Sync!$J740,100),2),"نامعتبر"),IF(LEN(Sync!$J740)=10,Sync!$J740,"نامعتبر")))</f>
        <v/>
      </c>
      <c r="R740">
        <f>IF($P740="","",COUNTIFS($N$6:$N$2005,$N740,$P$6:$P$2005,"&lt;"&amp;$P740)+COUNTIFS($A$6:$A$1005,$N740,$B$6:$B$1005,"&lt;"&amp;$P740)+1)</f>
        <v/>
      </c>
      <c r="S740">
        <f>IF($N740="","",$N740&amp;"|"&amp;RIGHT("000000"&amp;$R740,6))</f>
        <v/>
      </c>
      <c r="T740">
        <f>IF($N740="","",IF(Sync!$N740="",0,Sync!$N740))</f>
        <v/>
      </c>
      <c r="U740">
        <f>IF($N740="","",IF(Sync!$O740="",0,Sync!$O740))</f>
        <v/>
      </c>
      <c r="V740">
        <f>IF($N740="","",Sync!$L740)</f>
        <v/>
      </c>
      <c r="W740">
        <f>IF($N740="","",Sync!$P740)</f>
        <v/>
      </c>
      <c r="AA740">
        <f>IF($A740="","",IF(COUNTIF($A$6:$A740,$A740)=1,1,0))</f>
        <v/>
      </c>
      <c r="AB740">
        <f>SUM($AA$6:$AA740)</f>
        <v/>
      </c>
      <c r="AC740">
        <f>IFERROR(INDEX($A$6:$A$1005,MATCH(ROW()-5,$AB$6:$AB$1005,0)),"")</f>
        <v/>
      </c>
    </row>
    <row r="741">
      <c r="A741">
        <f>IF(OR(Entry!$B744="",Entry!$E744="",$E741="نامعتبر"),"",Entry!$E744)</f>
        <v/>
      </c>
      <c r="B741">
        <f>IF($A741="","",LEFT($E741,4)&amp;MID($E741,6,2)&amp;RIGHT($E741,2)&amp;$F741&amp;"|"&amp;"1"&amp;RIGHT("00000"&amp;736,5))</f>
        <v/>
      </c>
      <c r="C741">
        <f>IF($B741="","",COUNTIFS($A$6:$A$1005,$A741,$B$6:$B$1005,"&lt;"&amp;$B741)+COUNTIFS($N$6:$N$2005,$A741,$P$6:$P$2005,"&lt;"&amp;$B741)+1)</f>
        <v/>
      </c>
      <c r="D741">
        <f>IF($C741="","",$A741&amp;"|"&amp;RIGHT("000000"&amp;$C741,6))</f>
        <v/>
      </c>
      <c r="E741">
        <f>IF(Entry!$B744="","",IF(ISNUMBER(Entry!$B744),IF(AND(Entry!$B744&gt;=10000101,Entry!$B744&lt;=99991231),INT(Entry!$B744/10000)&amp;"/"&amp;RIGHT("00"&amp;INT(MOD(Entry!$B744,10000)/100),2)&amp;"/"&amp;RIGHT("00"&amp;MOD(Entry!$B744,100),2),"نامعتبر"),IF(LEN(Entry!$B744)=10,Entry!$B744,"نامعتبر")))</f>
        <v/>
      </c>
      <c r="F741">
        <f>IF(Entry!$B744="","",IF(Entry!$C744="","0000",IF(AND(ISNUMBER(Entry!$C744),Entry!$C744&gt;=0,Entry!$C744&lt;1),RIGHT("00"&amp;HOUR(Entry!$C744),2)&amp;RIGHT("00"&amp;MINUTE(Entry!$C744),2),IFERROR(RIGHT("00"&amp;VALUE(LEFT(Entry!$C744,FIND(":",Entry!$C744)-1)),2)&amp;RIGHT("00"&amp;VALUE(MID(Entry!$C744,FIND(":",Entry!$C744)+1,2)),2),"0000"))))</f>
        <v/>
      </c>
      <c r="G741">
        <f>IF($A741="","",Entry!$G744)</f>
        <v/>
      </c>
      <c r="H741">
        <f>IF($A741="","",IF(Entry!$H744="",0,Entry!$H744))</f>
        <v/>
      </c>
      <c r="I741">
        <f>IF($A741="","",IF(Entry!$I744="",0,Entry!$I744))</f>
        <v/>
      </c>
      <c r="J741">
        <f>IF($A741="","",ROUND($H741*$I741,0))</f>
        <v/>
      </c>
      <c r="K741">
        <f>IF($A741="","",Entry!$D744)</f>
        <v/>
      </c>
      <c r="L741">
        <f>IF($A741="","",Entry!$L744)</f>
        <v/>
      </c>
      <c r="N741">
        <f>IF(OR(Sync!$M741="",$Q741="",$Q741="نامعتبر"),"",Sync!$M741)</f>
        <v/>
      </c>
      <c r="O741">
        <f>IF($N741="","",$Q741)</f>
        <v/>
      </c>
      <c r="P741">
        <f>IF($N741="","",LEFT($Q741,4)&amp;MID($Q741,6,2)&amp;RIGHT($Q741,2)&amp;IF(Sync!$K741="","0000",IF(AND(ISNUMBER(Sync!$K741),Sync!$K741&gt;=0,Sync!$K741&lt;1),RIGHT("00"&amp;HOUR(Sync!$K741),2)&amp;RIGHT("00"&amp;MINUTE(Sync!$K741),2),IFERROR(RIGHT("00"&amp;VALUE(LEFT(Sync!$K741,FIND(":",Sync!$K741)-1)),2)&amp;RIGHT("00"&amp;VALUE(MID(Sync!$K741,FIND(":",Sync!$K741)+1,2)),2),"0000")))&amp;"|"&amp;"2"&amp;RIGHT("00000"&amp;736,5))</f>
        <v/>
      </c>
      <c r="Q741">
        <f>IF(Sync!$J741="","",IF(ISNUMBER(Sync!$J741),IF(AND(Sync!$J741&gt;=10000101,Sync!$J741&lt;=99991231),INT(Sync!$J741/10000)&amp;"/"&amp;RIGHT("00"&amp;INT(MOD(Sync!$J741,10000)/100),2)&amp;"/"&amp;RIGHT("00"&amp;MOD(Sync!$J741,100),2),"نامعتبر"),IF(LEN(Sync!$J741)=10,Sync!$J741,"نامعتبر")))</f>
        <v/>
      </c>
      <c r="R741">
        <f>IF($P741="","",COUNTIFS($N$6:$N$2005,$N741,$P$6:$P$2005,"&lt;"&amp;$P741)+COUNTIFS($A$6:$A$1005,$N741,$B$6:$B$1005,"&lt;"&amp;$P741)+1)</f>
        <v/>
      </c>
      <c r="S741">
        <f>IF($N741="","",$N741&amp;"|"&amp;RIGHT("000000"&amp;$R741,6))</f>
        <v/>
      </c>
      <c r="T741">
        <f>IF($N741="","",IF(Sync!$N741="",0,Sync!$N741))</f>
        <v/>
      </c>
      <c r="U741">
        <f>IF($N741="","",IF(Sync!$O741="",0,Sync!$O741))</f>
        <v/>
      </c>
      <c r="V741">
        <f>IF($N741="","",Sync!$L741)</f>
        <v/>
      </c>
      <c r="W741">
        <f>IF($N741="","",Sync!$P741)</f>
        <v/>
      </c>
      <c r="AA741">
        <f>IF($A741="","",IF(COUNTIF($A$6:$A741,$A741)=1,1,0))</f>
        <v/>
      </c>
      <c r="AB741">
        <f>SUM($AA$6:$AA741)</f>
        <v/>
      </c>
      <c r="AC741">
        <f>IFERROR(INDEX($A$6:$A$1005,MATCH(ROW()-5,$AB$6:$AB$1005,0)),"")</f>
        <v/>
      </c>
    </row>
    <row r="742">
      <c r="A742">
        <f>IF(OR(Entry!$B745="",Entry!$E745="",$E742="نامعتبر"),"",Entry!$E745)</f>
        <v/>
      </c>
      <c r="B742">
        <f>IF($A742="","",LEFT($E742,4)&amp;MID($E742,6,2)&amp;RIGHT($E742,2)&amp;$F742&amp;"|"&amp;"1"&amp;RIGHT("00000"&amp;737,5))</f>
        <v/>
      </c>
      <c r="C742">
        <f>IF($B742="","",COUNTIFS($A$6:$A$1005,$A742,$B$6:$B$1005,"&lt;"&amp;$B742)+COUNTIFS($N$6:$N$2005,$A742,$P$6:$P$2005,"&lt;"&amp;$B742)+1)</f>
        <v/>
      </c>
      <c r="D742">
        <f>IF($C742="","",$A742&amp;"|"&amp;RIGHT("000000"&amp;$C742,6))</f>
        <v/>
      </c>
      <c r="E742">
        <f>IF(Entry!$B745="","",IF(ISNUMBER(Entry!$B745),IF(AND(Entry!$B745&gt;=10000101,Entry!$B745&lt;=99991231),INT(Entry!$B745/10000)&amp;"/"&amp;RIGHT("00"&amp;INT(MOD(Entry!$B745,10000)/100),2)&amp;"/"&amp;RIGHT("00"&amp;MOD(Entry!$B745,100),2),"نامعتبر"),IF(LEN(Entry!$B745)=10,Entry!$B745,"نامعتبر")))</f>
        <v/>
      </c>
      <c r="F742">
        <f>IF(Entry!$B745="","",IF(Entry!$C745="","0000",IF(AND(ISNUMBER(Entry!$C745),Entry!$C745&gt;=0,Entry!$C745&lt;1),RIGHT("00"&amp;HOUR(Entry!$C745),2)&amp;RIGHT("00"&amp;MINUTE(Entry!$C745),2),IFERROR(RIGHT("00"&amp;VALUE(LEFT(Entry!$C745,FIND(":",Entry!$C745)-1)),2)&amp;RIGHT("00"&amp;VALUE(MID(Entry!$C745,FIND(":",Entry!$C745)+1,2)),2),"0000"))))</f>
        <v/>
      </c>
      <c r="G742">
        <f>IF($A742="","",Entry!$G745)</f>
        <v/>
      </c>
      <c r="H742">
        <f>IF($A742="","",IF(Entry!$H745="",0,Entry!$H745))</f>
        <v/>
      </c>
      <c r="I742">
        <f>IF($A742="","",IF(Entry!$I745="",0,Entry!$I745))</f>
        <v/>
      </c>
      <c r="J742">
        <f>IF($A742="","",ROUND($H742*$I742,0))</f>
        <v/>
      </c>
      <c r="K742">
        <f>IF($A742="","",Entry!$D745)</f>
        <v/>
      </c>
      <c r="L742">
        <f>IF($A742="","",Entry!$L745)</f>
        <v/>
      </c>
      <c r="N742">
        <f>IF(OR(Sync!$M742="",$Q742="",$Q742="نامعتبر"),"",Sync!$M742)</f>
        <v/>
      </c>
      <c r="O742">
        <f>IF($N742="","",$Q742)</f>
        <v/>
      </c>
      <c r="P742">
        <f>IF($N742="","",LEFT($Q742,4)&amp;MID($Q742,6,2)&amp;RIGHT($Q742,2)&amp;IF(Sync!$K742="","0000",IF(AND(ISNUMBER(Sync!$K742),Sync!$K742&gt;=0,Sync!$K742&lt;1),RIGHT("00"&amp;HOUR(Sync!$K742),2)&amp;RIGHT("00"&amp;MINUTE(Sync!$K742),2),IFERROR(RIGHT("00"&amp;VALUE(LEFT(Sync!$K742,FIND(":",Sync!$K742)-1)),2)&amp;RIGHT("00"&amp;VALUE(MID(Sync!$K742,FIND(":",Sync!$K742)+1,2)),2),"0000")))&amp;"|"&amp;"2"&amp;RIGHT("00000"&amp;737,5))</f>
        <v/>
      </c>
      <c r="Q742">
        <f>IF(Sync!$J742="","",IF(ISNUMBER(Sync!$J742),IF(AND(Sync!$J742&gt;=10000101,Sync!$J742&lt;=99991231),INT(Sync!$J742/10000)&amp;"/"&amp;RIGHT("00"&amp;INT(MOD(Sync!$J742,10000)/100),2)&amp;"/"&amp;RIGHT("00"&amp;MOD(Sync!$J742,100),2),"نامعتبر"),IF(LEN(Sync!$J742)=10,Sync!$J742,"نامعتبر")))</f>
        <v/>
      </c>
      <c r="R742">
        <f>IF($P742="","",COUNTIFS($N$6:$N$2005,$N742,$P$6:$P$2005,"&lt;"&amp;$P742)+COUNTIFS($A$6:$A$1005,$N742,$B$6:$B$1005,"&lt;"&amp;$P742)+1)</f>
        <v/>
      </c>
      <c r="S742">
        <f>IF($N742="","",$N742&amp;"|"&amp;RIGHT("000000"&amp;$R742,6))</f>
        <v/>
      </c>
      <c r="T742">
        <f>IF($N742="","",IF(Sync!$N742="",0,Sync!$N742))</f>
        <v/>
      </c>
      <c r="U742">
        <f>IF($N742="","",IF(Sync!$O742="",0,Sync!$O742))</f>
        <v/>
      </c>
      <c r="V742">
        <f>IF($N742="","",Sync!$L742)</f>
        <v/>
      </c>
      <c r="W742">
        <f>IF($N742="","",Sync!$P742)</f>
        <v/>
      </c>
      <c r="AA742">
        <f>IF($A742="","",IF(COUNTIF($A$6:$A742,$A742)=1,1,0))</f>
        <v/>
      </c>
      <c r="AB742">
        <f>SUM($AA$6:$AA742)</f>
        <v/>
      </c>
      <c r="AC742">
        <f>IFERROR(INDEX($A$6:$A$1005,MATCH(ROW()-5,$AB$6:$AB$1005,0)),"")</f>
        <v/>
      </c>
    </row>
    <row r="743">
      <c r="A743">
        <f>IF(OR(Entry!$B746="",Entry!$E746="",$E743="نامعتبر"),"",Entry!$E746)</f>
        <v/>
      </c>
      <c r="B743">
        <f>IF($A743="","",LEFT($E743,4)&amp;MID($E743,6,2)&amp;RIGHT($E743,2)&amp;$F743&amp;"|"&amp;"1"&amp;RIGHT("00000"&amp;738,5))</f>
        <v/>
      </c>
      <c r="C743">
        <f>IF($B743="","",COUNTIFS($A$6:$A$1005,$A743,$B$6:$B$1005,"&lt;"&amp;$B743)+COUNTIFS($N$6:$N$2005,$A743,$P$6:$P$2005,"&lt;"&amp;$B743)+1)</f>
        <v/>
      </c>
      <c r="D743">
        <f>IF($C743="","",$A743&amp;"|"&amp;RIGHT("000000"&amp;$C743,6))</f>
        <v/>
      </c>
      <c r="E743">
        <f>IF(Entry!$B746="","",IF(ISNUMBER(Entry!$B746),IF(AND(Entry!$B746&gt;=10000101,Entry!$B746&lt;=99991231),INT(Entry!$B746/10000)&amp;"/"&amp;RIGHT("00"&amp;INT(MOD(Entry!$B746,10000)/100),2)&amp;"/"&amp;RIGHT("00"&amp;MOD(Entry!$B746,100),2),"نامعتبر"),IF(LEN(Entry!$B746)=10,Entry!$B746,"نامعتبر")))</f>
        <v/>
      </c>
      <c r="F743">
        <f>IF(Entry!$B746="","",IF(Entry!$C746="","0000",IF(AND(ISNUMBER(Entry!$C746),Entry!$C746&gt;=0,Entry!$C746&lt;1),RIGHT("00"&amp;HOUR(Entry!$C746),2)&amp;RIGHT("00"&amp;MINUTE(Entry!$C746),2),IFERROR(RIGHT("00"&amp;VALUE(LEFT(Entry!$C746,FIND(":",Entry!$C746)-1)),2)&amp;RIGHT("00"&amp;VALUE(MID(Entry!$C746,FIND(":",Entry!$C746)+1,2)),2),"0000"))))</f>
        <v/>
      </c>
      <c r="G743">
        <f>IF($A743="","",Entry!$G746)</f>
        <v/>
      </c>
      <c r="H743">
        <f>IF($A743="","",IF(Entry!$H746="",0,Entry!$H746))</f>
        <v/>
      </c>
      <c r="I743">
        <f>IF($A743="","",IF(Entry!$I746="",0,Entry!$I746))</f>
        <v/>
      </c>
      <c r="J743">
        <f>IF($A743="","",ROUND($H743*$I743,0))</f>
        <v/>
      </c>
      <c r="K743">
        <f>IF($A743="","",Entry!$D746)</f>
        <v/>
      </c>
      <c r="L743">
        <f>IF($A743="","",Entry!$L746)</f>
        <v/>
      </c>
      <c r="N743">
        <f>IF(OR(Sync!$M743="",$Q743="",$Q743="نامعتبر"),"",Sync!$M743)</f>
        <v/>
      </c>
      <c r="O743">
        <f>IF($N743="","",$Q743)</f>
        <v/>
      </c>
      <c r="P743">
        <f>IF($N743="","",LEFT($Q743,4)&amp;MID($Q743,6,2)&amp;RIGHT($Q743,2)&amp;IF(Sync!$K743="","0000",IF(AND(ISNUMBER(Sync!$K743),Sync!$K743&gt;=0,Sync!$K743&lt;1),RIGHT("00"&amp;HOUR(Sync!$K743),2)&amp;RIGHT("00"&amp;MINUTE(Sync!$K743),2),IFERROR(RIGHT("00"&amp;VALUE(LEFT(Sync!$K743,FIND(":",Sync!$K743)-1)),2)&amp;RIGHT("00"&amp;VALUE(MID(Sync!$K743,FIND(":",Sync!$K743)+1,2)),2),"0000")))&amp;"|"&amp;"2"&amp;RIGHT("00000"&amp;738,5))</f>
        <v/>
      </c>
      <c r="Q743">
        <f>IF(Sync!$J743="","",IF(ISNUMBER(Sync!$J743),IF(AND(Sync!$J743&gt;=10000101,Sync!$J743&lt;=99991231),INT(Sync!$J743/10000)&amp;"/"&amp;RIGHT("00"&amp;INT(MOD(Sync!$J743,10000)/100),2)&amp;"/"&amp;RIGHT("00"&amp;MOD(Sync!$J743,100),2),"نامعتبر"),IF(LEN(Sync!$J743)=10,Sync!$J743,"نامعتبر")))</f>
        <v/>
      </c>
      <c r="R743">
        <f>IF($P743="","",COUNTIFS($N$6:$N$2005,$N743,$P$6:$P$2005,"&lt;"&amp;$P743)+COUNTIFS($A$6:$A$1005,$N743,$B$6:$B$1005,"&lt;"&amp;$P743)+1)</f>
        <v/>
      </c>
      <c r="S743">
        <f>IF($N743="","",$N743&amp;"|"&amp;RIGHT("000000"&amp;$R743,6))</f>
        <v/>
      </c>
      <c r="T743">
        <f>IF($N743="","",IF(Sync!$N743="",0,Sync!$N743))</f>
        <v/>
      </c>
      <c r="U743">
        <f>IF($N743="","",IF(Sync!$O743="",0,Sync!$O743))</f>
        <v/>
      </c>
      <c r="V743">
        <f>IF($N743="","",Sync!$L743)</f>
        <v/>
      </c>
      <c r="W743">
        <f>IF($N743="","",Sync!$P743)</f>
        <v/>
      </c>
      <c r="AA743">
        <f>IF($A743="","",IF(COUNTIF($A$6:$A743,$A743)=1,1,0))</f>
        <v/>
      </c>
      <c r="AB743">
        <f>SUM($AA$6:$AA743)</f>
        <v/>
      </c>
      <c r="AC743">
        <f>IFERROR(INDEX($A$6:$A$1005,MATCH(ROW()-5,$AB$6:$AB$1005,0)),"")</f>
        <v/>
      </c>
    </row>
    <row r="744">
      <c r="A744">
        <f>IF(OR(Entry!$B747="",Entry!$E747="",$E744="نامعتبر"),"",Entry!$E747)</f>
        <v/>
      </c>
      <c r="B744">
        <f>IF($A744="","",LEFT($E744,4)&amp;MID($E744,6,2)&amp;RIGHT($E744,2)&amp;$F744&amp;"|"&amp;"1"&amp;RIGHT("00000"&amp;739,5))</f>
        <v/>
      </c>
      <c r="C744">
        <f>IF($B744="","",COUNTIFS($A$6:$A$1005,$A744,$B$6:$B$1005,"&lt;"&amp;$B744)+COUNTIFS($N$6:$N$2005,$A744,$P$6:$P$2005,"&lt;"&amp;$B744)+1)</f>
        <v/>
      </c>
      <c r="D744">
        <f>IF($C744="","",$A744&amp;"|"&amp;RIGHT("000000"&amp;$C744,6))</f>
        <v/>
      </c>
      <c r="E744">
        <f>IF(Entry!$B747="","",IF(ISNUMBER(Entry!$B747),IF(AND(Entry!$B747&gt;=10000101,Entry!$B747&lt;=99991231),INT(Entry!$B747/10000)&amp;"/"&amp;RIGHT("00"&amp;INT(MOD(Entry!$B747,10000)/100),2)&amp;"/"&amp;RIGHT("00"&amp;MOD(Entry!$B747,100),2),"نامعتبر"),IF(LEN(Entry!$B747)=10,Entry!$B747,"نامعتبر")))</f>
        <v/>
      </c>
      <c r="F744">
        <f>IF(Entry!$B747="","",IF(Entry!$C747="","0000",IF(AND(ISNUMBER(Entry!$C747),Entry!$C747&gt;=0,Entry!$C747&lt;1),RIGHT("00"&amp;HOUR(Entry!$C747),2)&amp;RIGHT("00"&amp;MINUTE(Entry!$C747),2),IFERROR(RIGHT("00"&amp;VALUE(LEFT(Entry!$C747,FIND(":",Entry!$C747)-1)),2)&amp;RIGHT("00"&amp;VALUE(MID(Entry!$C747,FIND(":",Entry!$C747)+1,2)),2),"0000"))))</f>
        <v/>
      </c>
      <c r="G744">
        <f>IF($A744="","",Entry!$G747)</f>
        <v/>
      </c>
      <c r="H744">
        <f>IF($A744="","",IF(Entry!$H747="",0,Entry!$H747))</f>
        <v/>
      </c>
      <c r="I744">
        <f>IF($A744="","",IF(Entry!$I747="",0,Entry!$I747))</f>
        <v/>
      </c>
      <c r="J744">
        <f>IF($A744="","",ROUND($H744*$I744,0))</f>
        <v/>
      </c>
      <c r="K744">
        <f>IF($A744="","",Entry!$D747)</f>
        <v/>
      </c>
      <c r="L744">
        <f>IF($A744="","",Entry!$L747)</f>
        <v/>
      </c>
      <c r="N744">
        <f>IF(OR(Sync!$M744="",$Q744="",$Q744="نامعتبر"),"",Sync!$M744)</f>
        <v/>
      </c>
      <c r="O744">
        <f>IF($N744="","",$Q744)</f>
        <v/>
      </c>
      <c r="P744">
        <f>IF($N744="","",LEFT($Q744,4)&amp;MID($Q744,6,2)&amp;RIGHT($Q744,2)&amp;IF(Sync!$K744="","0000",IF(AND(ISNUMBER(Sync!$K744),Sync!$K744&gt;=0,Sync!$K744&lt;1),RIGHT("00"&amp;HOUR(Sync!$K744),2)&amp;RIGHT("00"&amp;MINUTE(Sync!$K744),2),IFERROR(RIGHT("00"&amp;VALUE(LEFT(Sync!$K744,FIND(":",Sync!$K744)-1)),2)&amp;RIGHT("00"&amp;VALUE(MID(Sync!$K744,FIND(":",Sync!$K744)+1,2)),2),"0000")))&amp;"|"&amp;"2"&amp;RIGHT("00000"&amp;739,5))</f>
        <v/>
      </c>
      <c r="Q744">
        <f>IF(Sync!$J744="","",IF(ISNUMBER(Sync!$J744),IF(AND(Sync!$J744&gt;=10000101,Sync!$J744&lt;=99991231),INT(Sync!$J744/10000)&amp;"/"&amp;RIGHT("00"&amp;INT(MOD(Sync!$J744,10000)/100),2)&amp;"/"&amp;RIGHT("00"&amp;MOD(Sync!$J744,100),2),"نامعتبر"),IF(LEN(Sync!$J744)=10,Sync!$J744,"نامعتبر")))</f>
        <v/>
      </c>
      <c r="R744">
        <f>IF($P744="","",COUNTIFS($N$6:$N$2005,$N744,$P$6:$P$2005,"&lt;"&amp;$P744)+COUNTIFS($A$6:$A$1005,$N744,$B$6:$B$1005,"&lt;"&amp;$P744)+1)</f>
        <v/>
      </c>
      <c r="S744">
        <f>IF($N744="","",$N744&amp;"|"&amp;RIGHT("000000"&amp;$R744,6))</f>
        <v/>
      </c>
      <c r="T744">
        <f>IF($N744="","",IF(Sync!$N744="",0,Sync!$N744))</f>
        <v/>
      </c>
      <c r="U744">
        <f>IF($N744="","",IF(Sync!$O744="",0,Sync!$O744))</f>
        <v/>
      </c>
      <c r="V744">
        <f>IF($N744="","",Sync!$L744)</f>
        <v/>
      </c>
      <c r="W744">
        <f>IF($N744="","",Sync!$P744)</f>
        <v/>
      </c>
      <c r="AA744">
        <f>IF($A744="","",IF(COUNTIF($A$6:$A744,$A744)=1,1,0))</f>
        <v/>
      </c>
      <c r="AB744">
        <f>SUM($AA$6:$AA744)</f>
        <v/>
      </c>
      <c r="AC744">
        <f>IFERROR(INDEX($A$6:$A$1005,MATCH(ROW()-5,$AB$6:$AB$1005,0)),"")</f>
        <v/>
      </c>
    </row>
    <row r="745">
      <c r="A745">
        <f>IF(OR(Entry!$B748="",Entry!$E748="",$E745="نامعتبر"),"",Entry!$E748)</f>
        <v/>
      </c>
      <c r="B745">
        <f>IF($A745="","",LEFT($E745,4)&amp;MID($E745,6,2)&amp;RIGHT($E745,2)&amp;$F745&amp;"|"&amp;"1"&amp;RIGHT("00000"&amp;740,5))</f>
        <v/>
      </c>
      <c r="C745">
        <f>IF($B745="","",COUNTIFS($A$6:$A$1005,$A745,$B$6:$B$1005,"&lt;"&amp;$B745)+COUNTIFS($N$6:$N$2005,$A745,$P$6:$P$2005,"&lt;"&amp;$B745)+1)</f>
        <v/>
      </c>
      <c r="D745">
        <f>IF($C745="","",$A745&amp;"|"&amp;RIGHT("000000"&amp;$C745,6))</f>
        <v/>
      </c>
      <c r="E745">
        <f>IF(Entry!$B748="","",IF(ISNUMBER(Entry!$B748),IF(AND(Entry!$B748&gt;=10000101,Entry!$B748&lt;=99991231),INT(Entry!$B748/10000)&amp;"/"&amp;RIGHT("00"&amp;INT(MOD(Entry!$B748,10000)/100),2)&amp;"/"&amp;RIGHT("00"&amp;MOD(Entry!$B748,100),2),"نامعتبر"),IF(LEN(Entry!$B748)=10,Entry!$B748,"نامعتبر")))</f>
        <v/>
      </c>
      <c r="F745">
        <f>IF(Entry!$B748="","",IF(Entry!$C748="","0000",IF(AND(ISNUMBER(Entry!$C748),Entry!$C748&gt;=0,Entry!$C748&lt;1),RIGHT("00"&amp;HOUR(Entry!$C748),2)&amp;RIGHT("00"&amp;MINUTE(Entry!$C748),2),IFERROR(RIGHT("00"&amp;VALUE(LEFT(Entry!$C748,FIND(":",Entry!$C748)-1)),2)&amp;RIGHT("00"&amp;VALUE(MID(Entry!$C748,FIND(":",Entry!$C748)+1,2)),2),"0000"))))</f>
        <v/>
      </c>
      <c r="G745">
        <f>IF($A745="","",Entry!$G748)</f>
        <v/>
      </c>
      <c r="H745">
        <f>IF($A745="","",IF(Entry!$H748="",0,Entry!$H748))</f>
        <v/>
      </c>
      <c r="I745">
        <f>IF($A745="","",IF(Entry!$I748="",0,Entry!$I748))</f>
        <v/>
      </c>
      <c r="J745">
        <f>IF($A745="","",ROUND($H745*$I745,0))</f>
        <v/>
      </c>
      <c r="K745">
        <f>IF($A745="","",Entry!$D748)</f>
        <v/>
      </c>
      <c r="L745">
        <f>IF($A745="","",Entry!$L748)</f>
        <v/>
      </c>
      <c r="N745">
        <f>IF(OR(Sync!$M745="",$Q745="",$Q745="نامعتبر"),"",Sync!$M745)</f>
        <v/>
      </c>
      <c r="O745">
        <f>IF($N745="","",$Q745)</f>
        <v/>
      </c>
      <c r="P745">
        <f>IF($N745="","",LEFT($Q745,4)&amp;MID($Q745,6,2)&amp;RIGHT($Q745,2)&amp;IF(Sync!$K745="","0000",IF(AND(ISNUMBER(Sync!$K745),Sync!$K745&gt;=0,Sync!$K745&lt;1),RIGHT("00"&amp;HOUR(Sync!$K745),2)&amp;RIGHT("00"&amp;MINUTE(Sync!$K745),2),IFERROR(RIGHT("00"&amp;VALUE(LEFT(Sync!$K745,FIND(":",Sync!$K745)-1)),2)&amp;RIGHT("00"&amp;VALUE(MID(Sync!$K745,FIND(":",Sync!$K745)+1,2)),2),"0000")))&amp;"|"&amp;"2"&amp;RIGHT("00000"&amp;740,5))</f>
        <v/>
      </c>
      <c r="Q745">
        <f>IF(Sync!$J745="","",IF(ISNUMBER(Sync!$J745),IF(AND(Sync!$J745&gt;=10000101,Sync!$J745&lt;=99991231),INT(Sync!$J745/10000)&amp;"/"&amp;RIGHT("00"&amp;INT(MOD(Sync!$J745,10000)/100),2)&amp;"/"&amp;RIGHT("00"&amp;MOD(Sync!$J745,100),2),"نامعتبر"),IF(LEN(Sync!$J745)=10,Sync!$J745,"نامعتبر")))</f>
        <v/>
      </c>
      <c r="R745">
        <f>IF($P745="","",COUNTIFS($N$6:$N$2005,$N745,$P$6:$P$2005,"&lt;"&amp;$P745)+COUNTIFS($A$6:$A$1005,$N745,$B$6:$B$1005,"&lt;"&amp;$P745)+1)</f>
        <v/>
      </c>
      <c r="S745">
        <f>IF($N745="","",$N745&amp;"|"&amp;RIGHT("000000"&amp;$R745,6))</f>
        <v/>
      </c>
      <c r="T745">
        <f>IF($N745="","",IF(Sync!$N745="",0,Sync!$N745))</f>
        <v/>
      </c>
      <c r="U745">
        <f>IF($N745="","",IF(Sync!$O745="",0,Sync!$O745))</f>
        <v/>
      </c>
      <c r="V745">
        <f>IF($N745="","",Sync!$L745)</f>
        <v/>
      </c>
      <c r="W745">
        <f>IF($N745="","",Sync!$P745)</f>
        <v/>
      </c>
      <c r="AA745">
        <f>IF($A745="","",IF(COUNTIF($A$6:$A745,$A745)=1,1,0))</f>
        <v/>
      </c>
      <c r="AB745">
        <f>SUM($AA$6:$AA745)</f>
        <v/>
      </c>
      <c r="AC745">
        <f>IFERROR(INDEX($A$6:$A$1005,MATCH(ROW()-5,$AB$6:$AB$1005,0)),"")</f>
        <v/>
      </c>
    </row>
    <row r="746">
      <c r="A746">
        <f>IF(OR(Entry!$B749="",Entry!$E749="",$E746="نامعتبر"),"",Entry!$E749)</f>
        <v/>
      </c>
      <c r="B746">
        <f>IF($A746="","",LEFT($E746,4)&amp;MID($E746,6,2)&amp;RIGHT($E746,2)&amp;$F746&amp;"|"&amp;"1"&amp;RIGHT("00000"&amp;741,5))</f>
        <v/>
      </c>
      <c r="C746">
        <f>IF($B746="","",COUNTIFS($A$6:$A$1005,$A746,$B$6:$B$1005,"&lt;"&amp;$B746)+COUNTIFS($N$6:$N$2005,$A746,$P$6:$P$2005,"&lt;"&amp;$B746)+1)</f>
        <v/>
      </c>
      <c r="D746">
        <f>IF($C746="","",$A746&amp;"|"&amp;RIGHT("000000"&amp;$C746,6))</f>
        <v/>
      </c>
      <c r="E746">
        <f>IF(Entry!$B749="","",IF(ISNUMBER(Entry!$B749),IF(AND(Entry!$B749&gt;=10000101,Entry!$B749&lt;=99991231),INT(Entry!$B749/10000)&amp;"/"&amp;RIGHT("00"&amp;INT(MOD(Entry!$B749,10000)/100),2)&amp;"/"&amp;RIGHT("00"&amp;MOD(Entry!$B749,100),2),"نامعتبر"),IF(LEN(Entry!$B749)=10,Entry!$B749,"نامعتبر")))</f>
        <v/>
      </c>
      <c r="F746">
        <f>IF(Entry!$B749="","",IF(Entry!$C749="","0000",IF(AND(ISNUMBER(Entry!$C749),Entry!$C749&gt;=0,Entry!$C749&lt;1),RIGHT("00"&amp;HOUR(Entry!$C749),2)&amp;RIGHT("00"&amp;MINUTE(Entry!$C749),2),IFERROR(RIGHT("00"&amp;VALUE(LEFT(Entry!$C749,FIND(":",Entry!$C749)-1)),2)&amp;RIGHT("00"&amp;VALUE(MID(Entry!$C749,FIND(":",Entry!$C749)+1,2)),2),"0000"))))</f>
        <v/>
      </c>
      <c r="G746">
        <f>IF($A746="","",Entry!$G749)</f>
        <v/>
      </c>
      <c r="H746">
        <f>IF($A746="","",IF(Entry!$H749="",0,Entry!$H749))</f>
        <v/>
      </c>
      <c r="I746">
        <f>IF($A746="","",IF(Entry!$I749="",0,Entry!$I749))</f>
        <v/>
      </c>
      <c r="J746">
        <f>IF($A746="","",ROUND($H746*$I746,0))</f>
        <v/>
      </c>
      <c r="K746">
        <f>IF($A746="","",Entry!$D749)</f>
        <v/>
      </c>
      <c r="L746">
        <f>IF($A746="","",Entry!$L749)</f>
        <v/>
      </c>
      <c r="N746">
        <f>IF(OR(Sync!$M746="",$Q746="",$Q746="نامعتبر"),"",Sync!$M746)</f>
        <v/>
      </c>
      <c r="O746">
        <f>IF($N746="","",$Q746)</f>
        <v/>
      </c>
      <c r="P746">
        <f>IF($N746="","",LEFT($Q746,4)&amp;MID($Q746,6,2)&amp;RIGHT($Q746,2)&amp;IF(Sync!$K746="","0000",IF(AND(ISNUMBER(Sync!$K746),Sync!$K746&gt;=0,Sync!$K746&lt;1),RIGHT("00"&amp;HOUR(Sync!$K746),2)&amp;RIGHT("00"&amp;MINUTE(Sync!$K746),2),IFERROR(RIGHT("00"&amp;VALUE(LEFT(Sync!$K746,FIND(":",Sync!$K746)-1)),2)&amp;RIGHT("00"&amp;VALUE(MID(Sync!$K746,FIND(":",Sync!$K746)+1,2)),2),"0000")))&amp;"|"&amp;"2"&amp;RIGHT("00000"&amp;741,5))</f>
        <v/>
      </c>
      <c r="Q746">
        <f>IF(Sync!$J746="","",IF(ISNUMBER(Sync!$J746),IF(AND(Sync!$J746&gt;=10000101,Sync!$J746&lt;=99991231),INT(Sync!$J746/10000)&amp;"/"&amp;RIGHT("00"&amp;INT(MOD(Sync!$J746,10000)/100),2)&amp;"/"&amp;RIGHT("00"&amp;MOD(Sync!$J746,100),2),"نامعتبر"),IF(LEN(Sync!$J746)=10,Sync!$J746,"نامعتبر")))</f>
        <v/>
      </c>
      <c r="R746">
        <f>IF($P746="","",COUNTIFS($N$6:$N$2005,$N746,$P$6:$P$2005,"&lt;"&amp;$P746)+COUNTIFS($A$6:$A$1005,$N746,$B$6:$B$1005,"&lt;"&amp;$P746)+1)</f>
        <v/>
      </c>
      <c r="S746">
        <f>IF($N746="","",$N746&amp;"|"&amp;RIGHT("000000"&amp;$R746,6))</f>
        <v/>
      </c>
      <c r="T746">
        <f>IF($N746="","",IF(Sync!$N746="",0,Sync!$N746))</f>
        <v/>
      </c>
      <c r="U746">
        <f>IF($N746="","",IF(Sync!$O746="",0,Sync!$O746))</f>
        <v/>
      </c>
      <c r="V746">
        <f>IF($N746="","",Sync!$L746)</f>
        <v/>
      </c>
      <c r="W746">
        <f>IF($N746="","",Sync!$P746)</f>
        <v/>
      </c>
      <c r="AA746">
        <f>IF($A746="","",IF(COUNTIF($A$6:$A746,$A746)=1,1,0))</f>
        <v/>
      </c>
      <c r="AB746">
        <f>SUM($AA$6:$AA746)</f>
        <v/>
      </c>
      <c r="AC746">
        <f>IFERROR(INDEX($A$6:$A$1005,MATCH(ROW()-5,$AB$6:$AB$1005,0)),"")</f>
        <v/>
      </c>
    </row>
    <row r="747">
      <c r="A747">
        <f>IF(OR(Entry!$B750="",Entry!$E750="",$E747="نامعتبر"),"",Entry!$E750)</f>
        <v/>
      </c>
      <c r="B747">
        <f>IF($A747="","",LEFT($E747,4)&amp;MID($E747,6,2)&amp;RIGHT($E747,2)&amp;$F747&amp;"|"&amp;"1"&amp;RIGHT("00000"&amp;742,5))</f>
        <v/>
      </c>
      <c r="C747">
        <f>IF($B747="","",COUNTIFS($A$6:$A$1005,$A747,$B$6:$B$1005,"&lt;"&amp;$B747)+COUNTIFS($N$6:$N$2005,$A747,$P$6:$P$2005,"&lt;"&amp;$B747)+1)</f>
        <v/>
      </c>
      <c r="D747">
        <f>IF($C747="","",$A747&amp;"|"&amp;RIGHT("000000"&amp;$C747,6))</f>
        <v/>
      </c>
      <c r="E747">
        <f>IF(Entry!$B750="","",IF(ISNUMBER(Entry!$B750),IF(AND(Entry!$B750&gt;=10000101,Entry!$B750&lt;=99991231),INT(Entry!$B750/10000)&amp;"/"&amp;RIGHT("00"&amp;INT(MOD(Entry!$B750,10000)/100),2)&amp;"/"&amp;RIGHT("00"&amp;MOD(Entry!$B750,100),2),"نامعتبر"),IF(LEN(Entry!$B750)=10,Entry!$B750,"نامعتبر")))</f>
        <v/>
      </c>
      <c r="F747">
        <f>IF(Entry!$B750="","",IF(Entry!$C750="","0000",IF(AND(ISNUMBER(Entry!$C750),Entry!$C750&gt;=0,Entry!$C750&lt;1),RIGHT("00"&amp;HOUR(Entry!$C750),2)&amp;RIGHT("00"&amp;MINUTE(Entry!$C750),2),IFERROR(RIGHT("00"&amp;VALUE(LEFT(Entry!$C750,FIND(":",Entry!$C750)-1)),2)&amp;RIGHT("00"&amp;VALUE(MID(Entry!$C750,FIND(":",Entry!$C750)+1,2)),2),"0000"))))</f>
        <v/>
      </c>
      <c r="G747">
        <f>IF($A747="","",Entry!$G750)</f>
        <v/>
      </c>
      <c r="H747">
        <f>IF($A747="","",IF(Entry!$H750="",0,Entry!$H750))</f>
        <v/>
      </c>
      <c r="I747">
        <f>IF($A747="","",IF(Entry!$I750="",0,Entry!$I750))</f>
        <v/>
      </c>
      <c r="J747">
        <f>IF($A747="","",ROUND($H747*$I747,0))</f>
        <v/>
      </c>
      <c r="K747">
        <f>IF($A747="","",Entry!$D750)</f>
        <v/>
      </c>
      <c r="L747">
        <f>IF($A747="","",Entry!$L750)</f>
        <v/>
      </c>
      <c r="N747">
        <f>IF(OR(Sync!$M747="",$Q747="",$Q747="نامعتبر"),"",Sync!$M747)</f>
        <v/>
      </c>
      <c r="O747">
        <f>IF($N747="","",$Q747)</f>
        <v/>
      </c>
      <c r="P747">
        <f>IF($N747="","",LEFT($Q747,4)&amp;MID($Q747,6,2)&amp;RIGHT($Q747,2)&amp;IF(Sync!$K747="","0000",IF(AND(ISNUMBER(Sync!$K747),Sync!$K747&gt;=0,Sync!$K747&lt;1),RIGHT("00"&amp;HOUR(Sync!$K747),2)&amp;RIGHT("00"&amp;MINUTE(Sync!$K747),2),IFERROR(RIGHT("00"&amp;VALUE(LEFT(Sync!$K747,FIND(":",Sync!$K747)-1)),2)&amp;RIGHT("00"&amp;VALUE(MID(Sync!$K747,FIND(":",Sync!$K747)+1,2)),2),"0000")))&amp;"|"&amp;"2"&amp;RIGHT("00000"&amp;742,5))</f>
        <v/>
      </c>
      <c r="Q747">
        <f>IF(Sync!$J747="","",IF(ISNUMBER(Sync!$J747),IF(AND(Sync!$J747&gt;=10000101,Sync!$J747&lt;=99991231),INT(Sync!$J747/10000)&amp;"/"&amp;RIGHT("00"&amp;INT(MOD(Sync!$J747,10000)/100),2)&amp;"/"&amp;RIGHT("00"&amp;MOD(Sync!$J747,100),2),"نامعتبر"),IF(LEN(Sync!$J747)=10,Sync!$J747,"نامعتبر")))</f>
        <v/>
      </c>
      <c r="R747">
        <f>IF($P747="","",COUNTIFS($N$6:$N$2005,$N747,$P$6:$P$2005,"&lt;"&amp;$P747)+COUNTIFS($A$6:$A$1005,$N747,$B$6:$B$1005,"&lt;"&amp;$P747)+1)</f>
        <v/>
      </c>
      <c r="S747">
        <f>IF($N747="","",$N747&amp;"|"&amp;RIGHT("000000"&amp;$R747,6))</f>
        <v/>
      </c>
      <c r="T747">
        <f>IF($N747="","",IF(Sync!$N747="",0,Sync!$N747))</f>
        <v/>
      </c>
      <c r="U747">
        <f>IF($N747="","",IF(Sync!$O747="",0,Sync!$O747))</f>
        <v/>
      </c>
      <c r="V747">
        <f>IF($N747="","",Sync!$L747)</f>
        <v/>
      </c>
      <c r="W747">
        <f>IF($N747="","",Sync!$P747)</f>
        <v/>
      </c>
      <c r="AA747">
        <f>IF($A747="","",IF(COUNTIF($A$6:$A747,$A747)=1,1,0))</f>
        <v/>
      </c>
      <c r="AB747">
        <f>SUM($AA$6:$AA747)</f>
        <v/>
      </c>
      <c r="AC747">
        <f>IFERROR(INDEX($A$6:$A$1005,MATCH(ROW()-5,$AB$6:$AB$1005,0)),"")</f>
        <v/>
      </c>
    </row>
    <row r="748">
      <c r="A748">
        <f>IF(OR(Entry!$B751="",Entry!$E751="",$E748="نامعتبر"),"",Entry!$E751)</f>
        <v/>
      </c>
      <c r="B748">
        <f>IF($A748="","",LEFT($E748,4)&amp;MID($E748,6,2)&amp;RIGHT($E748,2)&amp;$F748&amp;"|"&amp;"1"&amp;RIGHT("00000"&amp;743,5))</f>
        <v/>
      </c>
      <c r="C748">
        <f>IF($B748="","",COUNTIFS($A$6:$A$1005,$A748,$B$6:$B$1005,"&lt;"&amp;$B748)+COUNTIFS($N$6:$N$2005,$A748,$P$6:$P$2005,"&lt;"&amp;$B748)+1)</f>
        <v/>
      </c>
      <c r="D748">
        <f>IF($C748="","",$A748&amp;"|"&amp;RIGHT("000000"&amp;$C748,6))</f>
        <v/>
      </c>
      <c r="E748">
        <f>IF(Entry!$B751="","",IF(ISNUMBER(Entry!$B751),IF(AND(Entry!$B751&gt;=10000101,Entry!$B751&lt;=99991231),INT(Entry!$B751/10000)&amp;"/"&amp;RIGHT("00"&amp;INT(MOD(Entry!$B751,10000)/100),2)&amp;"/"&amp;RIGHT("00"&amp;MOD(Entry!$B751,100),2),"نامعتبر"),IF(LEN(Entry!$B751)=10,Entry!$B751,"نامعتبر")))</f>
        <v/>
      </c>
      <c r="F748">
        <f>IF(Entry!$B751="","",IF(Entry!$C751="","0000",IF(AND(ISNUMBER(Entry!$C751),Entry!$C751&gt;=0,Entry!$C751&lt;1),RIGHT("00"&amp;HOUR(Entry!$C751),2)&amp;RIGHT("00"&amp;MINUTE(Entry!$C751),2),IFERROR(RIGHT("00"&amp;VALUE(LEFT(Entry!$C751,FIND(":",Entry!$C751)-1)),2)&amp;RIGHT("00"&amp;VALUE(MID(Entry!$C751,FIND(":",Entry!$C751)+1,2)),2),"0000"))))</f>
        <v/>
      </c>
      <c r="G748">
        <f>IF($A748="","",Entry!$G751)</f>
        <v/>
      </c>
      <c r="H748">
        <f>IF($A748="","",IF(Entry!$H751="",0,Entry!$H751))</f>
        <v/>
      </c>
      <c r="I748">
        <f>IF($A748="","",IF(Entry!$I751="",0,Entry!$I751))</f>
        <v/>
      </c>
      <c r="J748">
        <f>IF($A748="","",ROUND($H748*$I748,0))</f>
        <v/>
      </c>
      <c r="K748">
        <f>IF($A748="","",Entry!$D751)</f>
        <v/>
      </c>
      <c r="L748">
        <f>IF($A748="","",Entry!$L751)</f>
        <v/>
      </c>
      <c r="N748">
        <f>IF(OR(Sync!$M748="",$Q748="",$Q748="نامعتبر"),"",Sync!$M748)</f>
        <v/>
      </c>
      <c r="O748">
        <f>IF($N748="","",$Q748)</f>
        <v/>
      </c>
      <c r="P748">
        <f>IF($N748="","",LEFT($Q748,4)&amp;MID($Q748,6,2)&amp;RIGHT($Q748,2)&amp;IF(Sync!$K748="","0000",IF(AND(ISNUMBER(Sync!$K748),Sync!$K748&gt;=0,Sync!$K748&lt;1),RIGHT("00"&amp;HOUR(Sync!$K748),2)&amp;RIGHT("00"&amp;MINUTE(Sync!$K748),2),IFERROR(RIGHT("00"&amp;VALUE(LEFT(Sync!$K748,FIND(":",Sync!$K748)-1)),2)&amp;RIGHT("00"&amp;VALUE(MID(Sync!$K748,FIND(":",Sync!$K748)+1,2)),2),"0000")))&amp;"|"&amp;"2"&amp;RIGHT("00000"&amp;743,5))</f>
        <v/>
      </c>
      <c r="Q748">
        <f>IF(Sync!$J748="","",IF(ISNUMBER(Sync!$J748),IF(AND(Sync!$J748&gt;=10000101,Sync!$J748&lt;=99991231),INT(Sync!$J748/10000)&amp;"/"&amp;RIGHT("00"&amp;INT(MOD(Sync!$J748,10000)/100),2)&amp;"/"&amp;RIGHT("00"&amp;MOD(Sync!$J748,100),2),"نامعتبر"),IF(LEN(Sync!$J748)=10,Sync!$J748,"نامعتبر")))</f>
        <v/>
      </c>
      <c r="R748">
        <f>IF($P748="","",COUNTIFS($N$6:$N$2005,$N748,$P$6:$P$2005,"&lt;"&amp;$P748)+COUNTIFS($A$6:$A$1005,$N748,$B$6:$B$1005,"&lt;"&amp;$P748)+1)</f>
        <v/>
      </c>
      <c r="S748">
        <f>IF($N748="","",$N748&amp;"|"&amp;RIGHT("000000"&amp;$R748,6))</f>
        <v/>
      </c>
      <c r="T748">
        <f>IF($N748="","",IF(Sync!$N748="",0,Sync!$N748))</f>
        <v/>
      </c>
      <c r="U748">
        <f>IF($N748="","",IF(Sync!$O748="",0,Sync!$O748))</f>
        <v/>
      </c>
      <c r="V748">
        <f>IF($N748="","",Sync!$L748)</f>
        <v/>
      </c>
      <c r="W748">
        <f>IF($N748="","",Sync!$P748)</f>
        <v/>
      </c>
      <c r="AA748">
        <f>IF($A748="","",IF(COUNTIF($A$6:$A748,$A748)=1,1,0))</f>
        <v/>
      </c>
      <c r="AB748">
        <f>SUM($AA$6:$AA748)</f>
        <v/>
      </c>
      <c r="AC748">
        <f>IFERROR(INDEX($A$6:$A$1005,MATCH(ROW()-5,$AB$6:$AB$1005,0)),"")</f>
        <v/>
      </c>
    </row>
    <row r="749">
      <c r="A749">
        <f>IF(OR(Entry!$B752="",Entry!$E752="",$E749="نامعتبر"),"",Entry!$E752)</f>
        <v/>
      </c>
      <c r="B749">
        <f>IF($A749="","",LEFT($E749,4)&amp;MID($E749,6,2)&amp;RIGHT($E749,2)&amp;$F749&amp;"|"&amp;"1"&amp;RIGHT("00000"&amp;744,5))</f>
        <v/>
      </c>
      <c r="C749">
        <f>IF($B749="","",COUNTIFS($A$6:$A$1005,$A749,$B$6:$B$1005,"&lt;"&amp;$B749)+COUNTIFS($N$6:$N$2005,$A749,$P$6:$P$2005,"&lt;"&amp;$B749)+1)</f>
        <v/>
      </c>
      <c r="D749">
        <f>IF($C749="","",$A749&amp;"|"&amp;RIGHT("000000"&amp;$C749,6))</f>
        <v/>
      </c>
      <c r="E749">
        <f>IF(Entry!$B752="","",IF(ISNUMBER(Entry!$B752),IF(AND(Entry!$B752&gt;=10000101,Entry!$B752&lt;=99991231),INT(Entry!$B752/10000)&amp;"/"&amp;RIGHT("00"&amp;INT(MOD(Entry!$B752,10000)/100),2)&amp;"/"&amp;RIGHT("00"&amp;MOD(Entry!$B752,100),2),"نامعتبر"),IF(LEN(Entry!$B752)=10,Entry!$B752,"نامعتبر")))</f>
        <v/>
      </c>
      <c r="F749">
        <f>IF(Entry!$B752="","",IF(Entry!$C752="","0000",IF(AND(ISNUMBER(Entry!$C752),Entry!$C752&gt;=0,Entry!$C752&lt;1),RIGHT("00"&amp;HOUR(Entry!$C752),2)&amp;RIGHT("00"&amp;MINUTE(Entry!$C752),2),IFERROR(RIGHT("00"&amp;VALUE(LEFT(Entry!$C752,FIND(":",Entry!$C752)-1)),2)&amp;RIGHT("00"&amp;VALUE(MID(Entry!$C752,FIND(":",Entry!$C752)+1,2)),2),"0000"))))</f>
        <v/>
      </c>
      <c r="G749">
        <f>IF($A749="","",Entry!$G752)</f>
        <v/>
      </c>
      <c r="H749">
        <f>IF($A749="","",IF(Entry!$H752="",0,Entry!$H752))</f>
        <v/>
      </c>
      <c r="I749">
        <f>IF($A749="","",IF(Entry!$I752="",0,Entry!$I752))</f>
        <v/>
      </c>
      <c r="J749">
        <f>IF($A749="","",ROUND($H749*$I749,0))</f>
        <v/>
      </c>
      <c r="K749">
        <f>IF($A749="","",Entry!$D752)</f>
        <v/>
      </c>
      <c r="L749">
        <f>IF($A749="","",Entry!$L752)</f>
        <v/>
      </c>
      <c r="N749">
        <f>IF(OR(Sync!$M749="",$Q749="",$Q749="نامعتبر"),"",Sync!$M749)</f>
        <v/>
      </c>
      <c r="O749">
        <f>IF($N749="","",$Q749)</f>
        <v/>
      </c>
      <c r="P749">
        <f>IF($N749="","",LEFT($Q749,4)&amp;MID($Q749,6,2)&amp;RIGHT($Q749,2)&amp;IF(Sync!$K749="","0000",IF(AND(ISNUMBER(Sync!$K749),Sync!$K749&gt;=0,Sync!$K749&lt;1),RIGHT("00"&amp;HOUR(Sync!$K749),2)&amp;RIGHT("00"&amp;MINUTE(Sync!$K749),2),IFERROR(RIGHT("00"&amp;VALUE(LEFT(Sync!$K749,FIND(":",Sync!$K749)-1)),2)&amp;RIGHT("00"&amp;VALUE(MID(Sync!$K749,FIND(":",Sync!$K749)+1,2)),2),"0000")))&amp;"|"&amp;"2"&amp;RIGHT("00000"&amp;744,5))</f>
        <v/>
      </c>
      <c r="Q749">
        <f>IF(Sync!$J749="","",IF(ISNUMBER(Sync!$J749),IF(AND(Sync!$J749&gt;=10000101,Sync!$J749&lt;=99991231),INT(Sync!$J749/10000)&amp;"/"&amp;RIGHT("00"&amp;INT(MOD(Sync!$J749,10000)/100),2)&amp;"/"&amp;RIGHT("00"&amp;MOD(Sync!$J749,100),2),"نامعتبر"),IF(LEN(Sync!$J749)=10,Sync!$J749,"نامعتبر")))</f>
        <v/>
      </c>
      <c r="R749">
        <f>IF($P749="","",COUNTIFS($N$6:$N$2005,$N749,$P$6:$P$2005,"&lt;"&amp;$P749)+COUNTIFS($A$6:$A$1005,$N749,$B$6:$B$1005,"&lt;"&amp;$P749)+1)</f>
        <v/>
      </c>
      <c r="S749">
        <f>IF($N749="","",$N749&amp;"|"&amp;RIGHT("000000"&amp;$R749,6))</f>
        <v/>
      </c>
      <c r="T749">
        <f>IF($N749="","",IF(Sync!$N749="",0,Sync!$N749))</f>
        <v/>
      </c>
      <c r="U749">
        <f>IF($N749="","",IF(Sync!$O749="",0,Sync!$O749))</f>
        <v/>
      </c>
      <c r="V749">
        <f>IF($N749="","",Sync!$L749)</f>
        <v/>
      </c>
      <c r="W749">
        <f>IF($N749="","",Sync!$P749)</f>
        <v/>
      </c>
      <c r="AA749">
        <f>IF($A749="","",IF(COUNTIF($A$6:$A749,$A749)=1,1,0))</f>
        <v/>
      </c>
      <c r="AB749">
        <f>SUM($AA$6:$AA749)</f>
        <v/>
      </c>
      <c r="AC749">
        <f>IFERROR(INDEX($A$6:$A$1005,MATCH(ROW()-5,$AB$6:$AB$1005,0)),"")</f>
        <v/>
      </c>
    </row>
    <row r="750">
      <c r="A750">
        <f>IF(OR(Entry!$B753="",Entry!$E753="",$E750="نامعتبر"),"",Entry!$E753)</f>
        <v/>
      </c>
      <c r="B750">
        <f>IF($A750="","",LEFT($E750,4)&amp;MID($E750,6,2)&amp;RIGHT($E750,2)&amp;$F750&amp;"|"&amp;"1"&amp;RIGHT("00000"&amp;745,5))</f>
        <v/>
      </c>
      <c r="C750">
        <f>IF($B750="","",COUNTIFS($A$6:$A$1005,$A750,$B$6:$B$1005,"&lt;"&amp;$B750)+COUNTIFS($N$6:$N$2005,$A750,$P$6:$P$2005,"&lt;"&amp;$B750)+1)</f>
        <v/>
      </c>
      <c r="D750">
        <f>IF($C750="","",$A750&amp;"|"&amp;RIGHT("000000"&amp;$C750,6))</f>
        <v/>
      </c>
      <c r="E750">
        <f>IF(Entry!$B753="","",IF(ISNUMBER(Entry!$B753),IF(AND(Entry!$B753&gt;=10000101,Entry!$B753&lt;=99991231),INT(Entry!$B753/10000)&amp;"/"&amp;RIGHT("00"&amp;INT(MOD(Entry!$B753,10000)/100),2)&amp;"/"&amp;RIGHT("00"&amp;MOD(Entry!$B753,100),2),"نامعتبر"),IF(LEN(Entry!$B753)=10,Entry!$B753,"نامعتبر")))</f>
        <v/>
      </c>
      <c r="F750">
        <f>IF(Entry!$B753="","",IF(Entry!$C753="","0000",IF(AND(ISNUMBER(Entry!$C753),Entry!$C753&gt;=0,Entry!$C753&lt;1),RIGHT("00"&amp;HOUR(Entry!$C753),2)&amp;RIGHT("00"&amp;MINUTE(Entry!$C753),2),IFERROR(RIGHT("00"&amp;VALUE(LEFT(Entry!$C753,FIND(":",Entry!$C753)-1)),2)&amp;RIGHT("00"&amp;VALUE(MID(Entry!$C753,FIND(":",Entry!$C753)+1,2)),2),"0000"))))</f>
        <v/>
      </c>
      <c r="G750">
        <f>IF($A750="","",Entry!$G753)</f>
        <v/>
      </c>
      <c r="H750">
        <f>IF($A750="","",IF(Entry!$H753="",0,Entry!$H753))</f>
        <v/>
      </c>
      <c r="I750">
        <f>IF($A750="","",IF(Entry!$I753="",0,Entry!$I753))</f>
        <v/>
      </c>
      <c r="J750">
        <f>IF($A750="","",ROUND($H750*$I750,0))</f>
        <v/>
      </c>
      <c r="K750">
        <f>IF($A750="","",Entry!$D753)</f>
        <v/>
      </c>
      <c r="L750">
        <f>IF($A750="","",Entry!$L753)</f>
        <v/>
      </c>
      <c r="N750">
        <f>IF(OR(Sync!$M750="",$Q750="",$Q750="نامعتبر"),"",Sync!$M750)</f>
        <v/>
      </c>
      <c r="O750">
        <f>IF($N750="","",$Q750)</f>
        <v/>
      </c>
      <c r="P750">
        <f>IF($N750="","",LEFT($Q750,4)&amp;MID($Q750,6,2)&amp;RIGHT($Q750,2)&amp;IF(Sync!$K750="","0000",IF(AND(ISNUMBER(Sync!$K750),Sync!$K750&gt;=0,Sync!$K750&lt;1),RIGHT("00"&amp;HOUR(Sync!$K750),2)&amp;RIGHT("00"&amp;MINUTE(Sync!$K750),2),IFERROR(RIGHT("00"&amp;VALUE(LEFT(Sync!$K750,FIND(":",Sync!$K750)-1)),2)&amp;RIGHT("00"&amp;VALUE(MID(Sync!$K750,FIND(":",Sync!$K750)+1,2)),2),"0000")))&amp;"|"&amp;"2"&amp;RIGHT("00000"&amp;745,5))</f>
        <v/>
      </c>
      <c r="Q750">
        <f>IF(Sync!$J750="","",IF(ISNUMBER(Sync!$J750),IF(AND(Sync!$J750&gt;=10000101,Sync!$J750&lt;=99991231),INT(Sync!$J750/10000)&amp;"/"&amp;RIGHT("00"&amp;INT(MOD(Sync!$J750,10000)/100),2)&amp;"/"&amp;RIGHT("00"&amp;MOD(Sync!$J750,100),2),"نامعتبر"),IF(LEN(Sync!$J750)=10,Sync!$J750,"نامعتبر")))</f>
        <v/>
      </c>
      <c r="R750">
        <f>IF($P750="","",COUNTIFS($N$6:$N$2005,$N750,$P$6:$P$2005,"&lt;"&amp;$P750)+COUNTIFS($A$6:$A$1005,$N750,$B$6:$B$1005,"&lt;"&amp;$P750)+1)</f>
        <v/>
      </c>
      <c r="S750">
        <f>IF($N750="","",$N750&amp;"|"&amp;RIGHT("000000"&amp;$R750,6))</f>
        <v/>
      </c>
      <c r="T750">
        <f>IF($N750="","",IF(Sync!$N750="",0,Sync!$N750))</f>
        <v/>
      </c>
      <c r="U750">
        <f>IF($N750="","",IF(Sync!$O750="",0,Sync!$O750))</f>
        <v/>
      </c>
      <c r="V750">
        <f>IF($N750="","",Sync!$L750)</f>
        <v/>
      </c>
      <c r="W750">
        <f>IF($N750="","",Sync!$P750)</f>
        <v/>
      </c>
      <c r="AA750">
        <f>IF($A750="","",IF(COUNTIF($A$6:$A750,$A750)=1,1,0))</f>
        <v/>
      </c>
      <c r="AB750">
        <f>SUM($AA$6:$AA750)</f>
        <v/>
      </c>
      <c r="AC750">
        <f>IFERROR(INDEX($A$6:$A$1005,MATCH(ROW()-5,$AB$6:$AB$1005,0)),"")</f>
        <v/>
      </c>
    </row>
    <row r="751">
      <c r="A751">
        <f>IF(OR(Entry!$B754="",Entry!$E754="",$E751="نامعتبر"),"",Entry!$E754)</f>
        <v/>
      </c>
      <c r="B751">
        <f>IF($A751="","",LEFT($E751,4)&amp;MID($E751,6,2)&amp;RIGHT($E751,2)&amp;$F751&amp;"|"&amp;"1"&amp;RIGHT("00000"&amp;746,5))</f>
        <v/>
      </c>
      <c r="C751">
        <f>IF($B751="","",COUNTIFS($A$6:$A$1005,$A751,$B$6:$B$1005,"&lt;"&amp;$B751)+COUNTIFS($N$6:$N$2005,$A751,$P$6:$P$2005,"&lt;"&amp;$B751)+1)</f>
        <v/>
      </c>
      <c r="D751">
        <f>IF($C751="","",$A751&amp;"|"&amp;RIGHT("000000"&amp;$C751,6))</f>
        <v/>
      </c>
      <c r="E751">
        <f>IF(Entry!$B754="","",IF(ISNUMBER(Entry!$B754),IF(AND(Entry!$B754&gt;=10000101,Entry!$B754&lt;=99991231),INT(Entry!$B754/10000)&amp;"/"&amp;RIGHT("00"&amp;INT(MOD(Entry!$B754,10000)/100),2)&amp;"/"&amp;RIGHT("00"&amp;MOD(Entry!$B754,100),2),"نامعتبر"),IF(LEN(Entry!$B754)=10,Entry!$B754,"نامعتبر")))</f>
        <v/>
      </c>
      <c r="F751">
        <f>IF(Entry!$B754="","",IF(Entry!$C754="","0000",IF(AND(ISNUMBER(Entry!$C754),Entry!$C754&gt;=0,Entry!$C754&lt;1),RIGHT("00"&amp;HOUR(Entry!$C754),2)&amp;RIGHT("00"&amp;MINUTE(Entry!$C754),2),IFERROR(RIGHT("00"&amp;VALUE(LEFT(Entry!$C754,FIND(":",Entry!$C754)-1)),2)&amp;RIGHT("00"&amp;VALUE(MID(Entry!$C754,FIND(":",Entry!$C754)+1,2)),2),"0000"))))</f>
        <v/>
      </c>
      <c r="G751">
        <f>IF($A751="","",Entry!$G754)</f>
        <v/>
      </c>
      <c r="H751">
        <f>IF($A751="","",IF(Entry!$H754="",0,Entry!$H754))</f>
        <v/>
      </c>
      <c r="I751">
        <f>IF($A751="","",IF(Entry!$I754="",0,Entry!$I754))</f>
        <v/>
      </c>
      <c r="J751">
        <f>IF($A751="","",ROUND($H751*$I751,0))</f>
        <v/>
      </c>
      <c r="K751">
        <f>IF($A751="","",Entry!$D754)</f>
        <v/>
      </c>
      <c r="L751">
        <f>IF($A751="","",Entry!$L754)</f>
        <v/>
      </c>
      <c r="N751">
        <f>IF(OR(Sync!$M751="",$Q751="",$Q751="نامعتبر"),"",Sync!$M751)</f>
        <v/>
      </c>
      <c r="O751">
        <f>IF($N751="","",$Q751)</f>
        <v/>
      </c>
      <c r="P751">
        <f>IF($N751="","",LEFT($Q751,4)&amp;MID($Q751,6,2)&amp;RIGHT($Q751,2)&amp;IF(Sync!$K751="","0000",IF(AND(ISNUMBER(Sync!$K751),Sync!$K751&gt;=0,Sync!$K751&lt;1),RIGHT("00"&amp;HOUR(Sync!$K751),2)&amp;RIGHT("00"&amp;MINUTE(Sync!$K751),2),IFERROR(RIGHT("00"&amp;VALUE(LEFT(Sync!$K751,FIND(":",Sync!$K751)-1)),2)&amp;RIGHT("00"&amp;VALUE(MID(Sync!$K751,FIND(":",Sync!$K751)+1,2)),2),"0000")))&amp;"|"&amp;"2"&amp;RIGHT("00000"&amp;746,5))</f>
        <v/>
      </c>
      <c r="Q751">
        <f>IF(Sync!$J751="","",IF(ISNUMBER(Sync!$J751),IF(AND(Sync!$J751&gt;=10000101,Sync!$J751&lt;=99991231),INT(Sync!$J751/10000)&amp;"/"&amp;RIGHT("00"&amp;INT(MOD(Sync!$J751,10000)/100),2)&amp;"/"&amp;RIGHT("00"&amp;MOD(Sync!$J751,100),2),"نامعتبر"),IF(LEN(Sync!$J751)=10,Sync!$J751,"نامعتبر")))</f>
        <v/>
      </c>
      <c r="R751">
        <f>IF($P751="","",COUNTIFS($N$6:$N$2005,$N751,$P$6:$P$2005,"&lt;"&amp;$P751)+COUNTIFS($A$6:$A$1005,$N751,$B$6:$B$1005,"&lt;"&amp;$P751)+1)</f>
        <v/>
      </c>
      <c r="S751">
        <f>IF($N751="","",$N751&amp;"|"&amp;RIGHT("000000"&amp;$R751,6))</f>
        <v/>
      </c>
      <c r="T751">
        <f>IF($N751="","",IF(Sync!$N751="",0,Sync!$N751))</f>
        <v/>
      </c>
      <c r="U751">
        <f>IF($N751="","",IF(Sync!$O751="",0,Sync!$O751))</f>
        <v/>
      </c>
      <c r="V751">
        <f>IF($N751="","",Sync!$L751)</f>
        <v/>
      </c>
      <c r="W751">
        <f>IF($N751="","",Sync!$P751)</f>
        <v/>
      </c>
      <c r="AA751">
        <f>IF($A751="","",IF(COUNTIF($A$6:$A751,$A751)=1,1,0))</f>
        <v/>
      </c>
      <c r="AB751">
        <f>SUM($AA$6:$AA751)</f>
        <v/>
      </c>
      <c r="AC751">
        <f>IFERROR(INDEX($A$6:$A$1005,MATCH(ROW()-5,$AB$6:$AB$1005,0)),"")</f>
        <v/>
      </c>
    </row>
    <row r="752">
      <c r="A752">
        <f>IF(OR(Entry!$B755="",Entry!$E755="",$E752="نامعتبر"),"",Entry!$E755)</f>
        <v/>
      </c>
      <c r="B752">
        <f>IF($A752="","",LEFT($E752,4)&amp;MID($E752,6,2)&amp;RIGHT($E752,2)&amp;$F752&amp;"|"&amp;"1"&amp;RIGHT("00000"&amp;747,5))</f>
        <v/>
      </c>
      <c r="C752">
        <f>IF($B752="","",COUNTIFS($A$6:$A$1005,$A752,$B$6:$B$1005,"&lt;"&amp;$B752)+COUNTIFS($N$6:$N$2005,$A752,$P$6:$P$2005,"&lt;"&amp;$B752)+1)</f>
        <v/>
      </c>
      <c r="D752">
        <f>IF($C752="","",$A752&amp;"|"&amp;RIGHT("000000"&amp;$C752,6))</f>
        <v/>
      </c>
      <c r="E752">
        <f>IF(Entry!$B755="","",IF(ISNUMBER(Entry!$B755),IF(AND(Entry!$B755&gt;=10000101,Entry!$B755&lt;=99991231),INT(Entry!$B755/10000)&amp;"/"&amp;RIGHT("00"&amp;INT(MOD(Entry!$B755,10000)/100),2)&amp;"/"&amp;RIGHT("00"&amp;MOD(Entry!$B755,100),2),"نامعتبر"),IF(LEN(Entry!$B755)=10,Entry!$B755,"نامعتبر")))</f>
        <v/>
      </c>
      <c r="F752">
        <f>IF(Entry!$B755="","",IF(Entry!$C755="","0000",IF(AND(ISNUMBER(Entry!$C755),Entry!$C755&gt;=0,Entry!$C755&lt;1),RIGHT("00"&amp;HOUR(Entry!$C755),2)&amp;RIGHT("00"&amp;MINUTE(Entry!$C755),2),IFERROR(RIGHT("00"&amp;VALUE(LEFT(Entry!$C755,FIND(":",Entry!$C755)-1)),2)&amp;RIGHT("00"&amp;VALUE(MID(Entry!$C755,FIND(":",Entry!$C755)+1,2)),2),"0000"))))</f>
        <v/>
      </c>
      <c r="G752">
        <f>IF($A752="","",Entry!$G755)</f>
        <v/>
      </c>
      <c r="H752">
        <f>IF($A752="","",IF(Entry!$H755="",0,Entry!$H755))</f>
        <v/>
      </c>
      <c r="I752">
        <f>IF($A752="","",IF(Entry!$I755="",0,Entry!$I755))</f>
        <v/>
      </c>
      <c r="J752">
        <f>IF($A752="","",ROUND($H752*$I752,0))</f>
        <v/>
      </c>
      <c r="K752">
        <f>IF($A752="","",Entry!$D755)</f>
        <v/>
      </c>
      <c r="L752">
        <f>IF($A752="","",Entry!$L755)</f>
        <v/>
      </c>
      <c r="N752">
        <f>IF(OR(Sync!$M752="",$Q752="",$Q752="نامعتبر"),"",Sync!$M752)</f>
        <v/>
      </c>
      <c r="O752">
        <f>IF($N752="","",$Q752)</f>
        <v/>
      </c>
      <c r="P752">
        <f>IF($N752="","",LEFT($Q752,4)&amp;MID($Q752,6,2)&amp;RIGHT($Q752,2)&amp;IF(Sync!$K752="","0000",IF(AND(ISNUMBER(Sync!$K752),Sync!$K752&gt;=0,Sync!$K752&lt;1),RIGHT("00"&amp;HOUR(Sync!$K752),2)&amp;RIGHT("00"&amp;MINUTE(Sync!$K752),2),IFERROR(RIGHT("00"&amp;VALUE(LEFT(Sync!$K752,FIND(":",Sync!$K752)-1)),2)&amp;RIGHT("00"&amp;VALUE(MID(Sync!$K752,FIND(":",Sync!$K752)+1,2)),2),"0000")))&amp;"|"&amp;"2"&amp;RIGHT("00000"&amp;747,5))</f>
        <v/>
      </c>
      <c r="Q752">
        <f>IF(Sync!$J752="","",IF(ISNUMBER(Sync!$J752),IF(AND(Sync!$J752&gt;=10000101,Sync!$J752&lt;=99991231),INT(Sync!$J752/10000)&amp;"/"&amp;RIGHT("00"&amp;INT(MOD(Sync!$J752,10000)/100),2)&amp;"/"&amp;RIGHT("00"&amp;MOD(Sync!$J752,100),2),"نامعتبر"),IF(LEN(Sync!$J752)=10,Sync!$J752,"نامعتبر")))</f>
        <v/>
      </c>
      <c r="R752">
        <f>IF($P752="","",COUNTIFS($N$6:$N$2005,$N752,$P$6:$P$2005,"&lt;"&amp;$P752)+COUNTIFS($A$6:$A$1005,$N752,$B$6:$B$1005,"&lt;"&amp;$P752)+1)</f>
        <v/>
      </c>
      <c r="S752">
        <f>IF($N752="","",$N752&amp;"|"&amp;RIGHT("000000"&amp;$R752,6))</f>
        <v/>
      </c>
      <c r="T752">
        <f>IF($N752="","",IF(Sync!$N752="",0,Sync!$N752))</f>
        <v/>
      </c>
      <c r="U752">
        <f>IF($N752="","",IF(Sync!$O752="",0,Sync!$O752))</f>
        <v/>
      </c>
      <c r="V752">
        <f>IF($N752="","",Sync!$L752)</f>
        <v/>
      </c>
      <c r="W752">
        <f>IF($N752="","",Sync!$P752)</f>
        <v/>
      </c>
      <c r="AA752">
        <f>IF($A752="","",IF(COUNTIF($A$6:$A752,$A752)=1,1,0))</f>
        <v/>
      </c>
      <c r="AB752">
        <f>SUM($AA$6:$AA752)</f>
        <v/>
      </c>
      <c r="AC752">
        <f>IFERROR(INDEX($A$6:$A$1005,MATCH(ROW()-5,$AB$6:$AB$1005,0)),"")</f>
        <v/>
      </c>
    </row>
    <row r="753">
      <c r="A753">
        <f>IF(OR(Entry!$B756="",Entry!$E756="",$E753="نامعتبر"),"",Entry!$E756)</f>
        <v/>
      </c>
      <c r="B753">
        <f>IF($A753="","",LEFT($E753,4)&amp;MID($E753,6,2)&amp;RIGHT($E753,2)&amp;$F753&amp;"|"&amp;"1"&amp;RIGHT("00000"&amp;748,5))</f>
        <v/>
      </c>
      <c r="C753">
        <f>IF($B753="","",COUNTIFS($A$6:$A$1005,$A753,$B$6:$B$1005,"&lt;"&amp;$B753)+COUNTIFS($N$6:$N$2005,$A753,$P$6:$P$2005,"&lt;"&amp;$B753)+1)</f>
        <v/>
      </c>
      <c r="D753">
        <f>IF($C753="","",$A753&amp;"|"&amp;RIGHT("000000"&amp;$C753,6))</f>
        <v/>
      </c>
      <c r="E753">
        <f>IF(Entry!$B756="","",IF(ISNUMBER(Entry!$B756),IF(AND(Entry!$B756&gt;=10000101,Entry!$B756&lt;=99991231),INT(Entry!$B756/10000)&amp;"/"&amp;RIGHT("00"&amp;INT(MOD(Entry!$B756,10000)/100),2)&amp;"/"&amp;RIGHT("00"&amp;MOD(Entry!$B756,100),2),"نامعتبر"),IF(LEN(Entry!$B756)=10,Entry!$B756,"نامعتبر")))</f>
        <v/>
      </c>
      <c r="F753">
        <f>IF(Entry!$B756="","",IF(Entry!$C756="","0000",IF(AND(ISNUMBER(Entry!$C756),Entry!$C756&gt;=0,Entry!$C756&lt;1),RIGHT("00"&amp;HOUR(Entry!$C756),2)&amp;RIGHT("00"&amp;MINUTE(Entry!$C756),2),IFERROR(RIGHT("00"&amp;VALUE(LEFT(Entry!$C756,FIND(":",Entry!$C756)-1)),2)&amp;RIGHT("00"&amp;VALUE(MID(Entry!$C756,FIND(":",Entry!$C756)+1,2)),2),"0000"))))</f>
        <v/>
      </c>
      <c r="G753">
        <f>IF($A753="","",Entry!$G756)</f>
        <v/>
      </c>
      <c r="H753">
        <f>IF($A753="","",IF(Entry!$H756="",0,Entry!$H756))</f>
        <v/>
      </c>
      <c r="I753">
        <f>IF($A753="","",IF(Entry!$I756="",0,Entry!$I756))</f>
        <v/>
      </c>
      <c r="J753">
        <f>IF($A753="","",ROUND($H753*$I753,0))</f>
        <v/>
      </c>
      <c r="K753">
        <f>IF($A753="","",Entry!$D756)</f>
        <v/>
      </c>
      <c r="L753">
        <f>IF($A753="","",Entry!$L756)</f>
        <v/>
      </c>
      <c r="N753">
        <f>IF(OR(Sync!$M753="",$Q753="",$Q753="نامعتبر"),"",Sync!$M753)</f>
        <v/>
      </c>
      <c r="O753">
        <f>IF($N753="","",$Q753)</f>
        <v/>
      </c>
      <c r="P753">
        <f>IF($N753="","",LEFT($Q753,4)&amp;MID($Q753,6,2)&amp;RIGHT($Q753,2)&amp;IF(Sync!$K753="","0000",IF(AND(ISNUMBER(Sync!$K753),Sync!$K753&gt;=0,Sync!$K753&lt;1),RIGHT("00"&amp;HOUR(Sync!$K753),2)&amp;RIGHT("00"&amp;MINUTE(Sync!$K753),2),IFERROR(RIGHT("00"&amp;VALUE(LEFT(Sync!$K753,FIND(":",Sync!$K753)-1)),2)&amp;RIGHT("00"&amp;VALUE(MID(Sync!$K753,FIND(":",Sync!$K753)+1,2)),2),"0000")))&amp;"|"&amp;"2"&amp;RIGHT("00000"&amp;748,5))</f>
        <v/>
      </c>
      <c r="Q753">
        <f>IF(Sync!$J753="","",IF(ISNUMBER(Sync!$J753),IF(AND(Sync!$J753&gt;=10000101,Sync!$J753&lt;=99991231),INT(Sync!$J753/10000)&amp;"/"&amp;RIGHT("00"&amp;INT(MOD(Sync!$J753,10000)/100),2)&amp;"/"&amp;RIGHT("00"&amp;MOD(Sync!$J753,100),2),"نامعتبر"),IF(LEN(Sync!$J753)=10,Sync!$J753,"نامعتبر")))</f>
        <v/>
      </c>
      <c r="R753">
        <f>IF($P753="","",COUNTIFS($N$6:$N$2005,$N753,$P$6:$P$2005,"&lt;"&amp;$P753)+COUNTIFS($A$6:$A$1005,$N753,$B$6:$B$1005,"&lt;"&amp;$P753)+1)</f>
        <v/>
      </c>
      <c r="S753">
        <f>IF($N753="","",$N753&amp;"|"&amp;RIGHT("000000"&amp;$R753,6))</f>
        <v/>
      </c>
      <c r="T753">
        <f>IF($N753="","",IF(Sync!$N753="",0,Sync!$N753))</f>
        <v/>
      </c>
      <c r="U753">
        <f>IF($N753="","",IF(Sync!$O753="",0,Sync!$O753))</f>
        <v/>
      </c>
      <c r="V753">
        <f>IF($N753="","",Sync!$L753)</f>
        <v/>
      </c>
      <c r="W753">
        <f>IF($N753="","",Sync!$P753)</f>
        <v/>
      </c>
      <c r="AA753">
        <f>IF($A753="","",IF(COUNTIF($A$6:$A753,$A753)=1,1,0))</f>
        <v/>
      </c>
      <c r="AB753">
        <f>SUM($AA$6:$AA753)</f>
        <v/>
      </c>
      <c r="AC753">
        <f>IFERROR(INDEX($A$6:$A$1005,MATCH(ROW()-5,$AB$6:$AB$1005,0)),"")</f>
        <v/>
      </c>
    </row>
    <row r="754">
      <c r="A754">
        <f>IF(OR(Entry!$B757="",Entry!$E757="",$E754="نامعتبر"),"",Entry!$E757)</f>
        <v/>
      </c>
      <c r="B754">
        <f>IF($A754="","",LEFT($E754,4)&amp;MID($E754,6,2)&amp;RIGHT($E754,2)&amp;$F754&amp;"|"&amp;"1"&amp;RIGHT("00000"&amp;749,5))</f>
        <v/>
      </c>
      <c r="C754">
        <f>IF($B754="","",COUNTIFS($A$6:$A$1005,$A754,$B$6:$B$1005,"&lt;"&amp;$B754)+COUNTIFS($N$6:$N$2005,$A754,$P$6:$P$2005,"&lt;"&amp;$B754)+1)</f>
        <v/>
      </c>
      <c r="D754">
        <f>IF($C754="","",$A754&amp;"|"&amp;RIGHT("000000"&amp;$C754,6))</f>
        <v/>
      </c>
      <c r="E754">
        <f>IF(Entry!$B757="","",IF(ISNUMBER(Entry!$B757),IF(AND(Entry!$B757&gt;=10000101,Entry!$B757&lt;=99991231),INT(Entry!$B757/10000)&amp;"/"&amp;RIGHT("00"&amp;INT(MOD(Entry!$B757,10000)/100),2)&amp;"/"&amp;RIGHT("00"&amp;MOD(Entry!$B757,100),2),"نامعتبر"),IF(LEN(Entry!$B757)=10,Entry!$B757,"نامعتبر")))</f>
        <v/>
      </c>
      <c r="F754">
        <f>IF(Entry!$B757="","",IF(Entry!$C757="","0000",IF(AND(ISNUMBER(Entry!$C757),Entry!$C757&gt;=0,Entry!$C757&lt;1),RIGHT("00"&amp;HOUR(Entry!$C757),2)&amp;RIGHT("00"&amp;MINUTE(Entry!$C757),2),IFERROR(RIGHT("00"&amp;VALUE(LEFT(Entry!$C757,FIND(":",Entry!$C757)-1)),2)&amp;RIGHT("00"&amp;VALUE(MID(Entry!$C757,FIND(":",Entry!$C757)+1,2)),2),"0000"))))</f>
        <v/>
      </c>
      <c r="G754">
        <f>IF($A754="","",Entry!$G757)</f>
        <v/>
      </c>
      <c r="H754">
        <f>IF($A754="","",IF(Entry!$H757="",0,Entry!$H757))</f>
        <v/>
      </c>
      <c r="I754">
        <f>IF($A754="","",IF(Entry!$I757="",0,Entry!$I757))</f>
        <v/>
      </c>
      <c r="J754">
        <f>IF($A754="","",ROUND($H754*$I754,0))</f>
        <v/>
      </c>
      <c r="K754">
        <f>IF($A754="","",Entry!$D757)</f>
        <v/>
      </c>
      <c r="L754">
        <f>IF($A754="","",Entry!$L757)</f>
        <v/>
      </c>
      <c r="N754">
        <f>IF(OR(Sync!$M754="",$Q754="",$Q754="نامعتبر"),"",Sync!$M754)</f>
        <v/>
      </c>
      <c r="O754">
        <f>IF($N754="","",$Q754)</f>
        <v/>
      </c>
      <c r="P754">
        <f>IF($N754="","",LEFT($Q754,4)&amp;MID($Q754,6,2)&amp;RIGHT($Q754,2)&amp;IF(Sync!$K754="","0000",IF(AND(ISNUMBER(Sync!$K754),Sync!$K754&gt;=0,Sync!$K754&lt;1),RIGHT("00"&amp;HOUR(Sync!$K754),2)&amp;RIGHT("00"&amp;MINUTE(Sync!$K754),2),IFERROR(RIGHT("00"&amp;VALUE(LEFT(Sync!$K754,FIND(":",Sync!$K754)-1)),2)&amp;RIGHT("00"&amp;VALUE(MID(Sync!$K754,FIND(":",Sync!$K754)+1,2)),2),"0000")))&amp;"|"&amp;"2"&amp;RIGHT("00000"&amp;749,5))</f>
        <v/>
      </c>
      <c r="Q754">
        <f>IF(Sync!$J754="","",IF(ISNUMBER(Sync!$J754),IF(AND(Sync!$J754&gt;=10000101,Sync!$J754&lt;=99991231),INT(Sync!$J754/10000)&amp;"/"&amp;RIGHT("00"&amp;INT(MOD(Sync!$J754,10000)/100),2)&amp;"/"&amp;RIGHT("00"&amp;MOD(Sync!$J754,100),2),"نامعتبر"),IF(LEN(Sync!$J754)=10,Sync!$J754,"نامعتبر")))</f>
        <v/>
      </c>
      <c r="R754">
        <f>IF($P754="","",COUNTIFS($N$6:$N$2005,$N754,$P$6:$P$2005,"&lt;"&amp;$P754)+COUNTIFS($A$6:$A$1005,$N754,$B$6:$B$1005,"&lt;"&amp;$P754)+1)</f>
        <v/>
      </c>
      <c r="S754">
        <f>IF($N754="","",$N754&amp;"|"&amp;RIGHT("000000"&amp;$R754,6))</f>
        <v/>
      </c>
      <c r="T754">
        <f>IF($N754="","",IF(Sync!$N754="",0,Sync!$N754))</f>
        <v/>
      </c>
      <c r="U754">
        <f>IF($N754="","",IF(Sync!$O754="",0,Sync!$O754))</f>
        <v/>
      </c>
      <c r="V754">
        <f>IF($N754="","",Sync!$L754)</f>
        <v/>
      </c>
      <c r="W754">
        <f>IF($N754="","",Sync!$P754)</f>
        <v/>
      </c>
      <c r="AA754">
        <f>IF($A754="","",IF(COUNTIF($A$6:$A754,$A754)=1,1,0))</f>
        <v/>
      </c>
      <c r="AB754">
        <f>SUM($AA$6:$AA754)</f>
        <v/>
      </c>
      <c r="AC754">
        <f>IFERROR(INDEX($A$6:$A$1005,MATCH(ROW()-5,$AB$6:$AB$1005,0)),"")</f>
        <v/>
      </c>
    </row>
    <row r="755">
      <c r="A755">
        <f>IF(OR(Entry!$B758="",Entry!$E758="",$E755="نامعتبر"),"",Entry!$E758)</f>
        <v/>
      </c>
      <c r="B755">
        <f>IF($A755="","",LEFT($E755,4)&amp;MID($E755,6,2)&amp;RIGHT($E755,2)&amp;$F755&amp;"|"&amp;"1"&amp;RIGHT("00000"&amp;750,5))</f>
        <v/>
      </c>
      <c r="C755">
        <f>IF($B755="","",COUNTIFS($A$6:$A$1005,$A755,$B$6:$B$1005,"&lt;"&amp;$B755)+COUNTIFS($N$6:$N$2005,$A755,$P$6:$P$2005,"&lt;"&amp;$B755)+1)</f>
        <v/>
      </c>
      <c r="D755">
        <f>IF($C755="","",$A755&amp;"|"&amp;RIGHT("000000"&amp;$C755,6))</f>
        <v/>
      </c>
      <c r="E755">
        <f>IF(Entry!$B758="","",IF(ISNUMBER(Entry!$B758),IF(AND(Entry!$B758&gt;=10000101,Entry!$B758&lt;=99991231),INT(Entry!$B758/10000)&amp;"/"&amp;RIGHT("00"&amp;INT(MOD(Entry!$B758,10000)/100),2)&amp;"/"&amp;RIGHT("00"&amp;MOD(Entry!$B758,100),2),"نامعتبر"),IF(LEN(Entry!$B758)=10,Entry!$B758,"نامعتبر")))</f>
        <v/>
      </c>
      <c r="F755">
        <f>IF(Entry!$B758="","",IF(Entry!$C758="","0000",IF(AND(ISNUMBER(Entry!$C758),Entry!$C758&gt;=0,Entry!$C758&lt;1),RIGHT("00"&amp;HOUR(Entry!$C758),2)&amp;RIGHT("00"&amp;MINUTE(Entry!$C758),2),IFERROR(RIGHT("00"&amp;VALUE(LEFT(Entry!$C758,FIND(":",Entry!$C758)-1)),2)&amp;RIGHT("00"&amp;VALUE(MID(Entry!$C758,FIND(":",Entry!$C758)+1,2)),2),"0000"))))</f>
        <v/>
      </c>
      <c r="G755">
        <f>IF($A755="","",Entry!$G758)</f>
        <v/>
      </c>
      <c r="H755">
        <f>IF($A755="","",IF(Entry!$H758="",0,Entry!$H758))</f>
        <v/>
      </c>
      <c r="I755">
        <f>IF($A755="","",IF(Entry!$I758="",0,Entry!$I758))</f>
        <v/>
      </c>
      <c r="J755">
        <f>IF($A755="","",ROUND($H755*$I755,0))</f>
        <v/>
      </c>
      <c r="K755">
        <f>IF($A755="","",Entry!$D758)</f>
        <v/>
      </c>
      <c r="L755">
        <f>IF($A755="","",Entry!$L758)</f>
        <v/>
      </c>
      <c r="N755">
        <f>IF(OR(Sync!$M755="",$Q755="",$Q755="نامعتبر"),"",Sync!$M755)</f>
        <v/>
      </c>
      <c r="O755">
        <f>IF($N755="","",$Q755)</f>
        <v/>
      </c>
      <c r="P755">
        <f>IF($N755="","",LEFT($Q755,4)&amp;MID($Q755,6,2)&amp;RIGHT($Q755,2)&amp;IF(Sync!$K755="","0000",IF(AND(ISNUMBER(Sync!$K755),Sync!$K755&gt;=0,Sync!$K755&lt;1),RIGHT("00"&amp;HOUR(Sync!$K755),2)&amp;RIGHT("00"&amp;MINUTE(Sync!$K755),2),IFERROR(RIGHT("00"&amp;VALUE(LEFT(Sync!$K755,FIND(":",Sync!$K755)-1)),2)&amp;RIGHT("00"&amp;VALUE(MID(Sync!$K755,FIND(":",Sync!$K755)+1,2)),2),"0000")))&amp;"|"&amp;"2"&amp;RIGHT("00000"&amp;750,5))</f>
        <v/>
      </c>
      <c r="Q755">
        <f>IF(Sync!$J755="","",IF(ISNUMBER(Sync!$J755),IF(AND(Sync!$J755&gt;=10000101,Sync!$J755&lt;=99991231),INT(Sync!$J755/10000)&amp;"/"&amp;RIGHT("00"&amp;INT(MOD(Sync!$J755,10000)/100),2)&amp;"/"&amp;RIGHT("00"&amp;MOD(Sync!$J755,100),2),"نامعتبر"),IF(LEN(Sync!$J755)=10,Sync!$J755,"نامعتبر")))</f>
        <v/>
      </c>
      <c r="R755">
        <f>IF($P755="","",COUNTIFS($N$6:$N$2005,$N755,$P$6:$P$2005,"&lt;"&amp;$P755)+COUNTIFS($A$6:$A$1005,$N755,$B$6:$B$1005,"&lt;"&amp;$P755)+1)</f>
        <v/>
      </c>
      <c r="S755">
        <f>IF($N755="","",$N755&amp;"|"&amp;RIGHT("000000"&amp;$R755,6))</f>
        <v/>
      </c>
      <c r="T755">
        <f>IF($N755="","",IF(Sync!$N755="",0,Sync!$N755))</f>
        <v/>
      </c>
      <c r="U755">
        <f>IF($N755="","",IF(Sync!$O755="",0,Sync!$O755))</f>
        <v/>
      </c>
      <c r="V755">
        <f>IF($N755="","",Sync!$L755)</f>
        <v/>
      </c>
      <c r="W755">
        <f>IF($N755="","",Sync!$P755)</f>
        <v/>
      </c>
      <c r="AA755">
        <f>IF($A755="","",IF(COUNTIF($A$6:$A755,$A755)=1,1,0))</f>
        <v/>
      </c>
      <c r="AB755">
        <f>SUM($AA$6:$AA755)</f>
        <v/>
      </c>
      <c r="AC755">
        <f>IFERROR(INDEX($A$6:$A$1005,MATCH(ROW()-5,$AB$6:$AB$1005,0)),"")</f>
        <v/>
      </c>
    </row>
    <row r="756">
      <c r="A756">
        <f>IF(OR(Entry!$B759="",Entry!$E759="",$E756="نامعتبر"),"",Entry!$E759)</f>
        <v/>
      </c>
      <c r="B756">
        <f>IF($A756="","",LEFT($E756,4)&amp;MID($E756,6,2)&amp;RIGHT($E756,2)&amp;$F756&amp;"|"&amp;"1"&amp;RIGHT("00000"&amp;751,5))</f>
        <v/>
      </c>
      <c r="C756">
        <f>IF($B756="","",COUNTIFS($A$6:$A$1005,$A756,$B$6:$B$1005,"&lt;"&amp;$B756)+COUNTIFS($N$6:$N$2005,$A756,$P$6:$P$2005,"&lt;"&amp;$B756)+1)</f>
        <v/>
      </c>
      <c r="D756">
        <f>IF($C756="","",$A756&amp;"|"&amp;RIGHT("000000"&amp;$C756,6))</f>
        <v/>
      </c>
      <c r="E756">
        <f>IF(Entry!$B759="","",IF(ISNUMBER(Entry!$B759),IF(AND(Entry!$B759&gt;=10000101,Entry!$B759&lt;=99991231),INT(Entry!$B759/10000)&amp;"/"&amp;RIGHT("00"&amp;INT(MOD(Entry!$B759,10000)/100),2)&amp;"/"&amp;RIGHT("00"&amp;MOD(Entry!$B759,100),2),"نامعتبر"),IF(LEN(Entry!$B759)=10,Entry!$B759,"نامعتبر")))</f>
        <v/>
      </c>
      <c r="F756">
        <f>IF(Entry!$B759="","",IF(Entry!$C759="","0000",IF(AND(ISNUMBER(Entry!$C759),Entry!$C759&gt;=0,Entry!$C759&lt;1),RIGHT("00"&amp;HOUR(Entry!$C759),2)&amp;RIGHT("00"&amp;MINUTE(Entry!$C759),2),IFERROR(RIGHT("00"&amp;VALUE(LEFT(Entry!$C759,FIND(":",Entry!$C759)-1)),2)&amp;RIGHT("00"&amp;VALUE(MID(Entry!$C759,FIND(":",Entry!$C759)+1,2)),2),"0000"))))</f>
        <v/>
      </c>
      <c r="G756">
        <f>IF($A756="","",Entry!$G759)</f>
        <v/>
      </c>
      <c r="H756">
        <f>IF($A756="","",IF(Entry!$H759="",0,Entry!$H759))</f>
        <v/>
      </c>
      <c r="I756">
        <f>IF($A756="","",IF(Entry!$I759="",0,Entry!$I759))</f>
        <v/>
      </c>
      <c r="J756">
        <f>IF($A756="","",ROUND($H756*$I756,0))</f>
        <v/>
      </c>
      <c r="K756">
        <f>IF($A756="","",Entry!$D759)</f>
        <v/>
      </c>
      <c r="L756">
        <f>IF($A756="","",Entry!$L759)</f>
        <v/>
      </c>
      <c r="N756">
        <f>IF(OR(Sync!$M756="",$Q756="",$Q756="نامعتبر"),"",Sync!$M756)</f>
        <v/>
      </c>
      <c r="O756">
        <f>IF($N756="","",$Q756)</f>
        <v/>
      </c>
      <c r="P756">
        <f>IF($N756="","",LEFT($Q756,4)&amp;MID($Q756,6,2)&amp;RIGHT($Q756,2)&amp;IF(Sync!$K756="","0000",IF(AND(ISNUMBER(Sync!$K756),Sync!$K756&gt;=0,Sync!$K756&lt;1),RIGHT("00"&amp;HOUR(Sync!$K756),2)&amp;RIGHT("00"&amp;MINUTE(Sync!$K756),2),IFERROR(RIGHT("00"&amp;VALUE(LEFT(Sync!$K756,FIND(":",Sync!$K756)-1)),2)&amp;RIGHT("00"&amp;VALUE(MID(Sync!$K756,FIND(":",Sync!$K756)+1,2)),2),"0000")))&amp;"|"&amp;"2"&amp;RIGHT("00000"&amp;751,5))</f>
        <v/>
      </c>
      <c r="Q756">
        <f>IF(Sync!$J756="","",IF(ISNUMBER(Sync!$J756),IF(AND(Sync!$J756&gt;=10000101,Sync!$J756&lt;=99991231),INT(Sync!$J756/10000)&amp;"/"&amp;RIGHT("00"&amp;INT(MOD(Sync!$J756,10000)/100),2)&amp;"/"&amp;RIGHT("00"&amp;MOD(Sync!$J756,100),2),"نامعتبر"),IF(LEN(Sync!$J756)=10,Sync!$J756,"نامعتبر")))</f>
        <v/>
      </c>
      <c r="R756">
        <f>IF($P756="","",COUNTIFS($N$6:$N$2005,$N756,$P$6:$P$2005,"&lt;"&amp;$P756)+COUNTIFS($A$6:$A$1005,$N756,$B$6:$B$1005,"&lt;"&amp;$P756)+1)</f>
        <v/>
      </c>
      <c r="S756">
        <f>IF($N756="","",$N756&amp;"|"&amp;RIGHT("000000"&amp;$R756,6))</f>
        <v/>
      </c>
      <c r="T756">
        <f>IF($N756="","",IF(Sync!$N756="",0,Sync!$N756))</f>
        <v/>
      </c>
      <c r="U756">
        <f>IF($N756="","",IF(Sync!$O756="",0,Sync!$O756))</f>
        <v/>
      </c>
      <c r="V756">
        <f>IF($N756="","",Sync!$L756)</f>
        <v/>
      </c>
      <c r="W756">
        <f>IF($N756="","",Sync!$P756)</f>
        <v/>
      </c>
      <c r="AA756">
        <f>IF($A756="","",IF(COUNTIF($A$6:$A756,$A756)=1,1,0))</f>
        <v/>
      </c>
      <c r="AB756">
        <f>SUM($AA$6:$AA756)</f>
        <v/>
      </c>
      <c r="AC756">
        <f>IFERROR(INDEX($A$6:$A$1005,MATCH(ROW()-5,$AB$6:$AB$1005,0)),"")</f>
        <v/>
      </c>
    </row>
    <row r="757">
      <c r="A757">
        <f>IF(OR(Entry!$B760="",Entry!$E760="",$E757="نامعتبر"),"",Entry!$E760)</f>
        <v/>
      </c>
      <c r="B757">
        <f>IF($A757="","",LEFT($E757,4)&amp;MID($E757,6,2)&amp;RIGHT($E757,2)&amp;$F757&amp;"|"&amp;"1"&amp;RIGHT("00000"&amp;752,5))</f>
        <v/>
      </c>
      <c r="C757">
        <f>IF($B757="","",COUNTIFS($A$6:$A$1005,$A757,$B$6:$B$1005,"&lt;"&amp;$B757)+COUNTIFS($N$6:$N$2005,$A757,$P$6:$P$2005,"&lt;"&amp;$B757)+1)</f>
        <v/>
      </c>
      <c r="D757">
        <f>IF($C757="","",$A757&amp;"|"&amp;RIGHT("000000"&amp;$C757,6))</f>
        <v/>
      </c>
      <c r="E757">
        <f>IF(Entry!$B760="","",IF(ISNUMBER(Entry!$B760),IF(AND(Entry!$B760&gt;=10000101,Entry!$B760&lt;=99991231),INT(Entry!$B760/10000)&amp;"/"&amp;RIGHT("00"&amp;INT(MOD(Entry!$B760,10000)/100),2)&amp;"/"&amp;RIGHT("00"&amp;MOD(Entry!$B760,100),2),"نامعتبر"),IF(LEN(Entry!$B760)=10,Entry!$B760,"نامعتبر")))</f>
        <v/>
      </c>
      <c r="F757">
        <f>IF(Entry!$B760="","",IF(Entry!$C760="","0000",IF(AND(ISNUMBER(Entry!$C760),Entry!$C760&gt;=0,Entry!$C760&lt;1),RIGHT("00"&amp;HOUR(Entry!$C760),2)&amp;RIGHT("00"&amp;MINUTE(Entry!$C760),2),IFERROR(RIGHT("00"&amp;VALUE(LEFT(Entry!$C760,FIND(":",Entry!$C760)-1)),2)&amp;RIGHT("00"&amp;VALUE(MID(Entry!$C760,FIND(":",Entry!$C760)+1,2)),2),"0000"))))</f>
        <v/>
      </c>
      <c r="G757">
        <f>IF($A757="","",Entry!$G760)</f>
        <v/>
      </c>
      <c r="H757">
        <f>IF($A757="","",IF(Entry!$H760="",0,Entry!$H760))</f>
        <v/>
      </c>
      <c r="I757">
        <f>IF($A757="","",IF(Entry!$I760="",0,Entry!$I760))</f>
        <v/>
      </c>
      <c r="J757">
        <f>IF($A757="","",ROUND($H757*$I757,0))</f>
        <v/>
      </c>
      <c r="K757">
        <f>IF($A757="","",Entry!$D760)</f>
        <v/>
      </c>
      <c r="L757">
        <f>IF($A757="","",Entry!$L760)</f>
        <v/>
      </c>
      <c r="N757">
        <f>IF(OR(Sync!$M757="",$Q757="",$Q757="نامعتبر"),"",Sync!$M757)</f>
        <v/>
      </c>
      <c r="O757">
        <f>IF($N757="","",$Q757)</f>
        <v/>
      </c>
      <c r="P757">
        <f>IF($N757="","",LEFT($Q757,4)&amp;MID($Q757,6,2)&amp;RIGHT($Q757,2)&amp;IF(Sync!$K757="","0000",IF(AND(ISNUMBER(Sync!$K757),Sync!$K757&gt;=0,Sync!$K757&lt;1),RIGHT("00"&amp;HOUR(Sync!$K757),2)&amp;RIGHT("00"&amp;MINUTE(Sync!$K757),2),IFERROR(RIGHT("00"&amp;VALUE(LEFT(Sync!$K757,FIND(":",Sync!$K757)-1)),2)&amp;RIGHT("00"&amp;VALUE(MID(Sync!$K757,FIND(":",Sync!$K757)+1,2)),2),"0000")))&amp;"|"&amp;"2"&amp;RIGHT("00000"&amp;752,5))</f>
        <v/>
      </c>
      <c r="Q757">
        <f>IF(Sync!$J757="","",IF(ISNUMBER(Sync!$J757),IF(AND(Sync!$J757&gt;=10000101,Sync!$J757&lt;=99991231),INT(Sync!$J757/10000)&amp;"/"&amp;RIGHT("00"&amp;INT(MOD(Sync!$J757,10000)/100),2)&amp;"/"&amp;RIGHT("00"&amp;MOD(Sync!$J757,100),2),"نامعتبر"),IF(LEN(Sync!$J757)=10,Sync!$J757,"نامعتبر")))</f>
        <v/>
      </c>
      <c r="R757">
        <f>IF($P757="","",COUNTIFS($N$6:$N$2005,$N757,$P$6:$P$2005,"&lt;"&amp;$P757)+COUNTIFS($A$6:$A$1005,$N757,$B$6:$B$1005,"&lt;"&amp;$P757)+1)</f>
        <v/>
      </c>
      <c r="S757">
        <f>IF($N757="","",$N757&amp;"|"&amp;RIGHT("000000"&amp;$R757,6))</f>
        <v/>
      </c>
      <c r="T757">
        <f>IF($N757="","",IF(Sync!$N757="",0,Sync!$N757))</f>
        <v/>
      </c>
      <c r="U757">
        <f>IF($N757="","",IF(Sync!$O757="",0,Sync!$O757))</f>
        <v/>
      </c>
      <c r="V757">
        <f>IF($N757="","",Sync!$L757)</f>
        <v/>
      </c>
      <c r="W757">
        <f>IF($N757="","",Sync!$P757)</f>
        <v/>
      </c>
      <c r="AA757">
        <f>IF($A757="","",IF(COUNTIF($A$6:$A757,$A757)=1,1,0))</f>
        <v/>
      </c>
      <c r="AB757">
        <f>SUM($AA$6:$AA757)</f>
        <v/>
      </c>
      <c r="AC757">
        <f>IFERROR(INDEX($A$6:$A$1005,MATCH(ROW()-5,$AB$6:$AB$1005,0)),"")</f>
        <v/>
      </c>
    </row>
    <row r="758">
      <c r="A758">
        <f>IF(OR(Entry!$B761="",Entry!$E761="",$E758="نامعتبر"),"",Entry!$E761)</f>
        <v/>
      </c>
      <c r="B758">
        <f>IF($A758="","",LEFT($E758,4)&amp;MID($E758,6,2)&amp;RIGHT($E758,2)&amp;$F758&amp;"|"&amp;"1"&amp;RIGHT("00000"&amp;753,5))</f>
        <v/>
      </c>
      <c r="C758">
        <f>IF($B758="","",COUNTIFS($A$6:$A$1005,$A758,$B$6:$B$1005,"&lt;"&amp;$B758)+COUNTIFS($N$6:$N$2005,$A758,$P$6:$P$2005,"&lt;"&amp;$B758)+1)</f>
        <v/>
      </c>
      <c r="D758">
        <f>IF($C758="","",$A758&amp;"|"&amp;RIGHT("000000"&amp;$C758,6))</f>
        <v/>
      </c>
      <c r="E758">
        <f>IF(Entry!$B761="","",IF(ISNUMBER(Entry!$B761),IF(AND(Entry!$B761&gt;=10000101,Entry!$B761&lt;=99991231),INT(Entry!$B761/10000)&amp;"/"&amp;RIGHT("00"&amp;INT(MOD(Entry!$B761,10000)/100),2)&amp;"/"&amp;RIGHT("00"&amp;MOD(Entry!$B761,100),2),"نامعتبر"),IF(LEN(Entry!$B761)=10,Entry!$B761,"نامعتبر")))</f>
        <v/>
      </c>
      <c r="F758">
        <f>IF(Entry!$B761="","",IF(Entry!$C761="","0000",IF(AND(ISNUMBER(Entry!$C761),Entry!$C761&gt;=0,Entry!$C761&lt;1),RIGHT("00"&amp;HOUR(Entry!$C761),2)&amp;RIGHT("00"&amp;MINUTE(Entry!$C761),2),IFERROR(RIGHT("00"&amp;VALUE(LEFT(Entry!$C761,FIND(":",Entry!$C761)-1)),2)&amp;RIGHT("00"&amp;VALUE(MID(Entry!$C761,FIND(":",Entry!$C761)+1,2)),2),"0000"))))</f>
        <v/>
      </c>
      <c r="G758">
        <f>IF($A758="","",Entry!$G761)</f>
        <v/>
      </c>
      <c r="H758">
        <f>IF($A758="","",IF(Entry!$H761="",0,Entry!$H761))</f>
        <v/>
      </c>
      <c r="I758">
        <f>IF($A758="","",IF(Entry!$I761="",0,Entry!$I761))</f>
        <v/>
      </c>
      <c r="J758">
        <f>IF($A758="","",ROUND($H758*$I758,0))</f>
        <v/>
      </c>
      <c r="K758">
        <f>IF($A758="","",Entry!$D761)</f>
        <v/>
      </c>
      <c r="L758">
        <f>IF($A758="","",Entry!$L761)</f>
        <v/>
      </c>
      <c r="N758">
        <f>IF(OR(Sync!$M758="",$Q758="",$Q758="نامعتبر"),"",Sync!$M758)</f>
        <v/>
      </c>
      <c r="O758">
        <f>IF($N758="","",$Q758)</f>
        <v/>
      </c>
      <c r="P758">
        <f>IF($N758="","",LEFT($Q758,4)&amp;MID($Q758,6,2)&amp;RIGHT($Q758,2)&amp;IF(Sync!$K758="","0000",IF(AND(ISNUMBER(Sync!$K758),Sync!$K758&gt;=0,Sync!$K758&lt;1),RIGHT("00"&amp;HOUR(Sync!$K758),2)&amp;RIGHT("00"&amp;MINUTE(Sync!$K758),2),IFERROR(RIGHT("00"&amp;VALUE(LEFT(Sync!$K758,FIND(":",Sync!$K758)-1)),2)&amp;RIGHT("00"&amp;VALUE(MID(Sync!$K758,FIND(":",Sync!$K758)+1,2)),2),"0000")))&amp;"|"&amp;"2"&amp;RIGHT("00000"&amp;753,5))</f>
        <v/>
      </c>
      <c r="Q758">
        <f>IF(Sync!$J758="","",IF(ISNUMBER(Sync!$J758),IF(AND(Sync!$J758&gt;=10000101,Sync!$J758&lt;=99991231),INT(Sync!$J758/10000)&amp;"/"&amp;RIGHT("00"&amp;INT(MOD(Sync!$J758,10000)/100),2)&amp;"/"&amp;RIGHT("00"&amp;MOD(Sync!$J758,100),2),"نامعتبر"),IF(LEN(Sync!$J758)=10,Sync!$J758,"نامعتبر")))</f>
        <v/>
      </c>
      <c r="R758">
        <f>IF($P758="","",COUNTIFS($N$6:$N$2005,$N758,$P$6:$P$2005,"&lt;"&amp;$P758)+COUNTIFS($A$6:$A$1005,$N758,$B$6:$B$1005,"&lt;"&amp;$P758)+1)</f>
        <v/>
      </c>
      <c r="S758">
        <f>IF($N758="","",$N758&amp;"|"&amp;RIGHT("000000"&amp;$R758,6))</f>
        <v/>
      </c>
      <c r="T758">
        <f>IF($N758="","",IF(Sync!$N758="",0,Sync!$N758))</f>
        <v/>
      </c>
      <c r="U758">
        <f>IF($N758="","",IF(Sync!$O758="",0,Sync!$O758))</f>
        <v/>
      </c>
      <c r="V758">
        <f>IF($N758="","",Sync!$L758)</f>
        <v/>
      </c>
      <c r="W758">
        <f>IF($N758="","",Sync!$P758)</f>
        <v/>
      </c>
      <c r="AA758">
        <f>IF($A758="","",IF(COUNTIF($A$6:$A758,$A758)=1,1,0))</f>
        <v/>
      </c>
      <c r="AB758">
        <f>SUM($AA$6:$AA758)</f>
        <v/>
      </c>
      <c r="AC758">
        <f>IFERROR(INDEX($A$6:$A$1005,MATCH(ROW()-5,$AB$6:$AB$1005,0)),"")</f>
        <v/>
      </c>
    </row>
    <row r="759">
      <c r="A759">
        <f>IF(OR(Entry!$B762="",Entry!$E762="",$E759="نامعتبر"),"",Entry!$E762)</f>
        <v/>
      </c>
      <c r="B759">
        <f>IF($A759="","",LEFT($E759,4)&amp;MID($E759,6,2)&amp;RIGHT($E759,2)&amp;$F759&amp;"|"&amp;"1"&amp;RIGHT("00000"&amp;754,5))</f>
        <v/>
      </c>
      <c r="C759">
        <f>IF($B759="","",COUNTIFS($A$6:$A$1005,$A759,$B$6:$B$1005,"&lt;"&amp;$B759)+COUNTIFS($N$6:$N$2005,$A759,$P$6:$P$2005,"&lt;"&amp;$B759)+1)</f>
        <v/>
      </c>
      <c r="D759">
        <f>IF($C759="","",$A759&amp;"|"&amp;RIGHT("000000"&amp;$C759,6))</f>
        <v/>
      </c>
      <c r="E759">
        <f>IF(Entry!$B762="","",IF(ISNUMBER(Entry!$B762),IF(AND(Entry!$B762&gt;=10000101,Entry!$B762&lt;=99991231),INT(Entry!$B762/10000)&amp;"/"&amp;RIGHT("00"&amp;INT(MOD(Entry!$B762,10000)/100),2)&amp;"/"&amp;RIGHT("00"&amp;MOD(Entry!$B762,100),2),"نامعتبر"),IF(LEN(Entry!$B762)=10,Entry!$B762,"نامعتبر")))</f>
        <v/>
      </c>
      <c r="F759">
        <f>IF(Entry!$B762="","",IF(Entry!$C762="","0000",IF(AND(ISNUMBER(Entry!$C762),Entry!$C762&gt;=0,Entry!$C762&lt;1),RIGHT("00"&amp;HOUR(Entry!$C762),2)&amp;RIGHT("00"&amp;MINUTE(Entry!$C762),2),IFERROR(RIGHT("00"&amp;VALUE(LEFT(Entry!$C762,FIND(":",Entry!$C762)-1)),2)&amp;RIGHT("00"&amp;VALUE(MID(Entry!$C762,FIND(":",Entry!$C762)+1,2)),2),"0000"))))</f>
        <v/>
      </c>
      <c r="G759">
        <f>IF($A759="","",Entry!$G762)</f>
        <v/>
      </c>
      <c r="H759">
        <f>IF($A759="","",IF(Entry!$H762="",0,Entry!$H762))</f>
        <v/>
      </c>
      <c r="I759">
        <f>IF($A759="","",IF(Entry!$I762="",0,Entry!$I762))</f>
        <v/>
      </c>
      <c r="J759">
        <f>IF($A759="","",ROUND($H759*$I759,0))</f>
        <v/>
      </c>
      <c r="K759">
        <f>IF($A759="","",Entry!$D762)</f>
        <v/>
      </c>
      <c r="L759">
        <f>IF($A759="","",Entry!$L762)</f>
        <v/>
      </c>
      <c r="N759">
        <f>IF(OR(Sync!$M759="",$Q759="",$Q759="نامعتبر"),"",Sync!$M759)</f>
        <v/>
      </c>
      <c r="O759">
        <f>IF($N759="","",$Q759)</f>
        <v/>
      </c>
      <c r="P759">
        <f>IF($N759="","",LEFT($Q759,4)&amp;MID($Q759,6,2)&amp;RIGHT($Q759,2)&amp;IF(Sync!$K759="","0000",IF(AND(ISNUMBER(Sync!$K759),Sync!$K759&gt;=0,Sync!$K759&lt;1),RIGHT("00"&amp;HOUR(Sync!$K759),2)&amp;RIGHT("00"&amp;MINUTE(Sync!$K759),2),IFERROR(RIGHT("00"&amp;VALUE(LEFT(Sync!$K759,FIND(":",Sync!$K759)-1)),2)&amp;RIGHT("00"&amp;VALUE(MID(Sync!$K759,FIND(":",Sync!$K759)+1,2)),2),"0000")))&amp;"|"&amp;"2"&amp;RIGHT("00000"&amp;754,5))</f>
        <v/>
      </c>
      <c r="Q759">
        <f>IF(Sync!$J759="","",IF(ISNUMBER(Sync!$J759),IF(AND(Sync!$J759&gt;=10000101,Sync!$J759&lt;=99991231),INT(Sync!$J759/10000)&amp;"/"&amp;RIGHT("00"&amp;INT(MOD(Sync!$J759,10000)/100),2)&amp;"/"&amp;RIGHT("00"&amp;MOD(Sync!$J759,100),2),"نامعتبر"),IF(LEN(Sync!$J759)=10,Sync!$J759,"نامعتبر")))</f>
        <v/>
      </c>
      <c r="R759">
        <f>IF($P759="","",COUNTIFS($N$6:$N$2005,$N759,$P$6:$P$2005,"&lt;"&amp;$P759)+COUNTIFS($A$6:$A$1005,$N759,$B$6:$B$1005,"&lt;"&amp;$P759)+1)</f>
        <v/>
      </c>
      <c r="S759">
        <f>IF($N759="","",$N759&amp;"|"&amp;RIGHT("000000"&amp;$R759,6))</f>
        <v/>
      </c>
      <c r="T759">
        <f>IF($N759="","",IF(Sync!$N759="",0,Sync!$N759))</f>
        <v/>
      </c>
      <c r="U759">
        <f>IF($N759="","",IF(Sync!$O759="",0,Sync!$O759))</f>
        <v/>
      </c>
      <c r="V759">
        <f>IF($N759="","",Sync!$L759)</f>
        <v/>
      </c>
      <c r="W759">
        <f>IF($N759="","",Sync!$P759)</f>
        <v/>
      </c>
      <c r="AA759">
        <f>IF($A759="","",IF(COUNTIF($A$6:$A759,$A759)=1,1,0))</f>
        <v/>
      </c>
      <c r="AB759">
        <f>SUM($AA$6:$AA759)</f>
        <v/>
      </c>
      <c r="AC759">
        <f>IFERROR(INDEX($A$6:$A$1005,MATCH(ROW()-5,$AB$6:$AB$1005,0)),"")</f>
        <v/>
      </c>
    </row>
    <row r="760">
      <c r="A760">
        <f>IF(OR(Entry!$B763="",Entry!$E763="",$E760="نامعتبر"),"",Entry!$E763)</f>
        <v/>
      </c>
      <c r="B760">
        <f>IF($A760="","",LEFT($E760,4)&amp;MID($E760,6,2)&amp;RIGHT($E760,2)&amp;$F760&amp;"|"&amp;"1"&amp;RIGHT("00000"&amp;755,5))</f>
        <v/>
      </c>
      <c r="C760">
        <f>IF($B760="","",COUNTIFS($A$6:$A$1005,$A760,$B$6:$B$1005,"&lt;"&amp;$B760)+COUNTIFS($N$6:$N$2005,$A760,$P$6:$P$2005,"&lt;"&amp;$B760)+1)</f>
        <v/>
      </c>
      <c r="D760">
        <f>IF($C760="","",$A760&amp;"|"&amp;RIGHT("000000"&amp;$C760,6))</f>
        <v/>
      </c>
      <c r="E760">
        <f>IF(Entry!$B763="","",IF(ISNUMBER(Entry!$B763),IF(AND(Entry!$B763&gt;=10000101,Entry!$B763&lt;=99991231),INT(Entry!$B763/10000)&amp;"/"&amp;RIGHT("00"&amp;INT(MOD(Entry!$B763,10000)/100),2)&amp;"/"&amp;RIGHT("00"&amp;MOD(Entry!$B763,100),2),"نامعتبر"),IF(LEN(Entry!$B763)=10,Entry!$B763,"نامعتبر")))</f>
        <v/>
      </c>
      <c r="F760">
        <f>IF(Entry!$B763="","",IF(Entry!$C763="","0000",IF(AND(ISNUMBER(Entry!$C763),Entry!$C763&gt;=0,Entry!$C763&lt;1),RIGHT("00"&amp;HOUR(Entry!$C763),2)&amp;RIGHT("00"&amp;MINUTE(Entry!$C763),2),IFERROR(RIGHT("00"&amp;VALUE(LEFT(Entry!$C763,FIND(":",Entry!$C763)-1)),2)&amp;RIGHT("00"&amp;VALUE(MID(Entry!$C763,FIND(":",Entry!$C763)+1,2)),2),"0000"))))</f>
        <v/>
      </c>
      <c r="G760">
        <f>IF($A760="","",Entry!$G763)</f>
        <v/>
      </c>
      <c r="H760">
        <f>IF($A760="","",IF(Entry!$H763="",0,Entry!$H763))</f>
        <v/>
      </c>
      <c r="I760">
        <f>IF($A760="","",IF(Entry!$I763="",0,Entry!$I763))</f>
        <v/>
      </c>
      <c r="J760">
        <f>IF($A760="","",ROUND($H760*$I760,0))</f>
        <v/>
      </c>
      <c r="K760">
        <f>IF($A760="","",Entry!$D763)</f>
        <v/>
      </c>
      <c r="L760">
        <f>IF($A760="","",Entry!$L763)</f>
        <v/>
      </c>
      <c r="N760">
        <f>IF(OR(Sync!$M760="",$Q760="",$Q760="نامعتبر"),"",Sync!$M760)</f>
        <v/>
      </c>
      <c r="O760">
        <f>IF($N760="","",$Q760)</f>
        <v/>
      </c>
      <c r="P760">
        <f>IF($N760="","",LEFT($Q760,4)&amp;MID($Q760,6,2)&amp;RIGHT($Q760,2)&amp;IF(Sync!$K760="","0000",IF(AND(ISNUMBER(Sync!$K760),Sync!$K760&gt;=0,Sync!$K760&lt;1),RIGHT("00"&amp;HOUR(Sync!$K760),2)&amp;RIGHT("00"&amp;MINUTE(Sync!$K760),2),IFERROR(RIGHT("00"&amp;VALUE(LEFT(Sync!$K760,FIND(":",Sync!$K760)-1)),2)&amp;RIGHT("00"&amp;VALUE(MID(Sync!$K760,FIND(":",Sync!$K760)+1,2)),2),"0000")))&amp;"|"&amp;"2"&amp;RIGHT("00000"&amp;755,5))</f>
        <v/>
      </c>
      <c r="Q760">
        <f>IF(Sync!$J760="","",IF(ISNUMBER(Sync!$J760),IF(AND(Sync!$J760&gt;=10000101,Sync!$J760&lt;=99991231),INT(Sync!$J760/10000)&amp;"/"&amp;RIGHT("00"&amp;INT(MOD(Sync!$J760,10000)/100),2)&amp;"/"&amp;RIGHT("00"&amp;MOD(Sync!$J760,100),2),"نامعتبر"),IF(LEN(Sync!$J760)=10,Sync!$J760,"نامعتبر")))</f>
        <v/>
      </c>
      <c r="R760">
        <f>IF($P760="","",COUNTIFS($N$6:$N$2005,$N760,$P$6:$P$2005,"&lt;"&amp;$P760)+COUNTIFS($A$6:$A$1005,$N760,$B$6:$B$1005,"&lt;"&amp;$P760)+1)</f>
        <v/>
      </c>
      <c r="S760">
        <f>IF($N760="","",$N760&amp;"|"&amp;RIGHT("000000"&amp;$R760,6))</f>
        <v/>
      </c>
      <c r="T760">
        <f>IF($N760="","",IF(Sync!$N760="",0,Sync!$N760))</f>
        <v/>
      </c>
      <c r="U760">
        <f>IF($N760="","",IF(Sync!$O760="",0,Sync!$O760))</f>
        <v/>
      </c>
      <c r="V760">
        <f>IF($N760="","",Sync!$L760)</f>
        <v/>
      </c>
      <c r="W760">
        <f>IF($N760="","",Sync!$P760)</f>
        <v/>
      </c>
      <c r="AA760">
        <f>IF($A760="","",IF(COUNTIF($A$6:$A760,$A760)=1,1,0))</f>
        <v/>
      </c>
      <c r="AB760">
        <f>SUM($AA$6:$AA760)</f>
        <v/>
      </c>
      <c r="AC760">
        <f>IFERROR(INDEX($A$6:$A$1005,MATCH(ROW()-5,$AB$6:$AB$1005,0)),"")</f>
        <v/>
      </c>
    </row>
    <row r="761">
      <c r="A761">
        <f>IF(OR(Entry!$B764="",Entry!$E764="",$E761="نامعتبر"),"",Entry!$E764)</f>
        <v/>
      </c>
      <c r="B761">
        <f>IF($A761="","",LEFT($E761,4)&amp;MID($E761,6,2)&amp;RIGHT($E761,2)&amp;$F761&amp;"|"&amp;"1"&amp;RIGHT("00000"&amp;756,5))</f>
        <v/>
      </c>
      <c r="C761">
        <f>IF($B761="","",COUNTIFS($A$6:$A$1005,$A761,$B$6:$B$1005,"&lt;"&amp;$B761)+COUNTIFS($N$6:$N$2005,$A761,$P$6:$P$2005,"&lt;"&amp;$B761)+1)</f>
        <v/>
      </c>
      <c r="D761">
        <f>IF($C761="","",$A761&amp;"|"&amp;RIGHT("000000"&amp;$C761,6))</f>
        <v/>
      </c>
      <c r="E761">
        <f>IF(Entry!$B764="","",IF(ISNUMBER(Entry!$B764),IF(AND(Entry!$B764&gt;=10000101,Entry!$B764&lt;=99991231),INT(Entry!$B764/10000)&amp;"/"&amp;RIGHT("00"&amp;INT(MOD(Entry!$B764,10000)/100),2)&amp;"/"&amp;RIGHT("00"&amp;MOD(Entry!$B764,100),2),"نامعتبر"),IF(LEN(Entry!$B764)=10,Entry!$B764,"نامعتبر")))</f>
        <v/>
      </c>
      <c r="F761">
        <f>IF(Entry!$B764="","",IF(Entry!$C764="","0000",IF(AND(ISNUMBER(Entry!$C764),Entry!$C764&gt;=0,Entry!$C764&lt;1),RIGHT("00"&amp;HOUR(Entry!$C764),2)&amp;RIGHT("00"&amp;MINUTE(Entry!$C764),2),IFERROR(RIGHT("00"&amp;VALUE(LEFT(Entry!$C764,FIND(":",Entry!$C764)-1)),2)&amp;RIGHT("00"&amp;VALUE(MID(Entry!$C764,FIND(":",Entry!$C764)+1,2)),2),"0000"))))</f>
        <v/>
      </c>
      <c r="G761">
        <f>IF($A761="","",Entry!$G764)</f>
        <v/>
      </c>
      <c r="H761">
        <f>IF($A761="","",IF(Entry!$H764="",0,Entry!$H764))</f>
        <v/>
      </c>
      <c r="I761">
        <f>IF($A761="","",IF(Entry!$I764="",0,Entry!$I764))</f>
        <v/>
      </c>
      <c r="J761">
        <f>IF($A761="","",ROUND($H761*$I761,0))</f>
        <v/>
      </c>
      <c r="K761">
        <f>IF($A761="","",Entry!$D764)</f>
        <v/>
      </c>
      <c r="L761">
        <f>IF($A761="","",Entry!$L764)</f>
        <v/>
      </c>
      <c r="N761">
        <f>IF(OR(Sync!$M761="",$Q761="",$Q761="نامعتبر"),"",Sync!$M761)</f>
        <v/>
      </c>
      <c r="O761">
        <f>IF($N761="","",$Q761)</f>
        <v/>
      </c>
      <c r="P761">
        <f>IF($N761="","",LEFT($Q761,4)&amp;MID($Q761,6,2)&amp;RIGHT($Q761,2)&amp;IF(Sync!$K761="","0000",IF(AND(ISNUMBER(Sync!$K761),Sync!$K761&gt;=0,Sync!$K761&lt;1),RIGHT("00"&amp;HOUR(Sync!$K761),2)&amp;RIGHT("00"&amp;MINUTE(Sync!$K761),2),IFERROR(RIGHT("00"&amp;VALUE(LEFT(Sync!$K761,FIND(":",Sync!$K761)-1)),2)&amp;RIGHT("00"&amp;VALUE(MID(Sync!$K761,FIND(":",Sync!$K761)+1,2)),2),"0000")))&amp;"|"&amp;"2"&amp;RIGHT("00000"&amp;756,5))</f>
        <v/>
      </c>
      <c r="Q761">
        <f>IF(Sync!$J761="","",IF(ISNUMBER(Sync!$J761),IF(AND(Sync!$J761&gt;=10000101,Sync!$J761&lt;=99991231),INT(Sync!$J761/10000)&amp;"/"&amp;RIGHT("00"&amp;INT(MOD(Sync!$J761,10000)/100),2)&amp;"/"&amp;RIGHT("00"&amp;MOD(Sync!$J761,100),2),"نامعتبر"),IF(LEN(Sync!$J761)=10,Sync!$J761,"نامعتبر")))</f>
        <v/>
      </c>
      <c r="R761">
        <f>IF($P761="","",COUNTIFS($N$6:$N$2005,$N761,$P$6:$P$2005,"&lt;"&amp;$P761)+COUNTIFS($A$6:$A$1005,$N761,$B$6:$B$1005,"&lt;"&amp;$P761)+1)</f>
        <v/>
      </c>
      <c r="S761">
        <f>IF($N761="","",$N761&amp;"|"&amp;RIGHT("000000"&amp;$R761,6))</f>
        <v/>
      </c>
      <c r="T761">
        <f>IF($N761="","",IF(Sync!$N761="",0,Sync!$N761))</f>
        <v/>
      </c>
      <c r="U761">
        <f>IF($N761="","",IF(Sync!$O761="",0,Sync!$O761))</f>
        <v/>
      </c>
      <c r="V761">
        <f>IF($N761="","",Sync!$L761)</f>
        <v/>
      </c>
      <c r="W761">
        <f>IF($N761="","",Sync!$P761)</f>
        <v/>
      </c>
      <c r="AA761">
        <f>IF($A761="","",IF(COUNTIF($A$6:$A761,$A761)=1,1,0))</f>
        <v/>
      </c>
      <c r="AB761">
        <f>SUM($AA$6:$AA761)</f>
        <v/>
      </c>
      <c r="AC761">
        <f>IFERROR(INDEX($A$6:$A$1005,MATCH(ROW()-5,$AB$6:$AB$1005,0)),"")</f>
        <v/>
      </c>
    </row>
    <row r="762">
      <c r="A762">
        <f>IF(OR(Entry!$B765="",Entry!$E765="",$E762="نامعتبر"),"",Entry!$E765)</f>
        <v/>
      </c>
      <c r="B762">
        <f>IF($A762="","",LEFT($E762,4)&amp;MID($E762,6,2)&amp;RIGHT($E762,2)&amp;$F762&amp;"|"&amp;"1"&amp;RIGHT("00000"&amp;757,5))</f>
        <v/>
      </c>
      <c r="C762">
        <f>IF($B762="","",COUNTIFS($A$6:$A$1005,$A762,$B$6:$B$1005,"&lt;"&amp;$B762)+COUNTIFS($N$6:$N$2005,$A762,$P$6:$P$2005,"&lt;"&amp;$B762)+1)</f>
        <v/>
      </c>
      <c r="D762">
        <f>IF($C762="","",$A762&amp;"|"&amp;RIGHT("000000"&amp;$C762,6))</f>
        <v/>
      </c>
      <c r="E762">
        <f>IF(Entry!$B765="","",IF(ISNUMBER(Entry!$B765),IF(AND(Entry!$B765&gt;=10000101,Entry!$B765&lt;=99991231),INT(Entry!$B765/10000)&amp;"/"&amp;RIGHT("00"&amp;INT(MOD(Entry!$B765,10000)/100),2)&amp;"/"&amp;RIGHT("00"&amp;MOD(Entry!$B765,100),2),"نامعتبر"),IF(LEN(Entry!$B765)=10,Entry!$B765,"نامعتبر")))</f>
        <v/>
      </c>
      <c r="F762">
        <f>IF(Entry!$B765="","",IF(Entry!$C765="","0000",IF(AND(ISNUMBER(Entry!$C765),Entry!$C765&gt;=0,Entry!$C765&lt;1),RIGHT("00"&amp;HOUR(Entry!$C765),2)&amp;RIGHT("00"&amp;MINUTE(Entry!$C765),2),IFERROR(RIGHT("00"&amp;VALUE(LEFT(Entry!$C765,FIND(":",Entry!$C765)-1)),2)&amp;RIGHT("00"&amp;VALUE(MID(Entry!$C765,FIND(":",Entry!$C765)+1,2)),2),"0000"))))</f>
        <v/>
      </c>
      <c r="G762">
        <f>IF($A762="","",Entry!$G765)</f>
        <v/>
      </c>
      <c r="H762">
        <f>IF($A762="","",IF(Entry!$H765="",0,Entry!$H765))</f>
        <v/>
      </c>
      <c r="I762">
        <f>IF($A762="","",IF(Entry!$I765="",0,Entry!$I765))</f>
        <v/>
      </c>
      <c r="J762">
        <f>IF($A762="","",ROUND($H762*$I762,0))</f>
        <v/>
      </c>
      <c r="K762">
        <f>IF($A762="","",Entry!$D765)</f>
        <v/>
      </c>
      <c r="L762">
        <f>IF($A762="","",Entry!$L765)</f>
        <v/>
      </c>
      <c r="N762">
        <f>IF(OR(Sync!$M762="",$Q762="",$Q762="نامعتبر"),"",Sync!$M762)</f>
        <v/>
      </c>
      <c r="O762">
        <f>IF($N762="","",$Q762)</f>
        <v/>
      </c>
      <c r="P762">
        <f>IF($N762="","",LEFT($Q762,4)&amp;MID($Q762,6,2)&amp;RIGHT($Q762,2)&amp;IF(Sync!$K762="","0000",IF(AND(ISNUMBER(Sync!$K762),Sync!$K762&gt;=0,Sync!$K762&lt;1),RIGHT("00"&amp;HOUR(Sync!$K762),2)&amp;RIGHT("00"&amp;MINUTE(Sync!$K762),2),IFERROR(RIGHT("00"&amp;VALUE(LEFT(Sync!$K762,FIND(":",Sync!$K762)-1)),2)&amp;RIGHT("00"&amp;VALUE(MID(Sync!$K762,FIND(":",Sync!$K762)+1,2)),2),"0000")))&amp;"|"&amp;"2"&amp;RIGHT("00000"&amp;757,5))</f>
        <v/>
      </c>
      <c r="Q762">
        <f>IF(Sync!$J762="","",IF(ISNUMBER(Sync!$J762),IF(AND(Sync!$J762&gt;=10000101,Sync!$J762&lt;=99991231),INT(Sync!$J762/10000)&amp;"/"&amp;RIGHT("00"&amp;INT(MOD(Sync!$J762,10000)/100),2)&amp;"/"&amp;RIGHT("00"&amp;MOD(Sync!$J762,100),2),"نامعتبر"),IF(LEN(Sync!$J762)=10,Sync!$J762,"نامعتبر")))</f>
        <v/>
      </c>
      <c r="R762">
        <f>IF($P762="","",COUNTIFS($N$6:$N$2005,$N762,$P$6:$P$2005,"&lt;"&amp;$P762)+COUNTIFS($A$6:$A$1005,$N762,$B$6:$B$1005,"&lt;"&amp;$P762)+1)</f>
        <v/>
      </c>
      <c r="S762">
        <f>IF($N762="","",$N762&amp;"|"&amp;RIGHT("000000"&amp;$R762,6))</f>
        <v/>
      </c>
      <c r="T762">
        <f>IF($N762="","",IF(Sync!$N762="",0,Sync!$N762))</f>
        <v/>
      </c>
      <c r="U762">
        <f>IF($N762="","",IF(Sync!$O762="",0,Sync!$O762))</f>
        <v/>
      </c>
      <c r="V762">
        <f>IF($N762="","",Sync!$L762)</f>
        <v/>
      </c>
      <c r="W762">
        <f>IF($N762="","",Sync!$P762)</f>
        <v/>
      </c>
      <c r="AA762">
        <f>IF($A762="","",IF(COUNTIF($A$6:$A762,$A762)=1,1,0))</f>
        <v/>
      </c>
      <c r="AB762">
        <f>SUM($AA$6:$AA762)</f>
        <v/>
      </c>
      <c r="AC762">
        <f>IFERROR(INDEX($A$6:$A$1005,MATCH(ROW()-5,$AB$6:$AB$1005,0)),"")</f>
        <v/>
      </c>
    </row>
    <row r="763">
      <c r="A763">
        <f>IF(OR(Entry!$B766="",Entry!$E766="",$E763="نامعتبر"),"",Entry!$E766)</f>
        <v/>
      </c>
      <c r="B763">
        <f>IF($A763="","",LEFT($E763,4)&amp;MID($E763,6,2)&amp;RIGHT($E763,2)&amp;$F763&amp;"|"&amp;"1"&amp;RIGHT("00000"&amp;758,5))</f>
        <v/>
      </c>
      <c r="C763">
        <f>IF($B763="","",COUNTIFS($A$6:$A$1005,$A763,$B$6:$B$1005,"&lt;"&amp;$B763)+COUNTIFS($N$6:$N$2005,$A763,$P$6:$P$2005,"&lt;"&amp;$B763)+1)</f>
        <v/>
      </c>
      <c r="D763">
        <f>IF($C763="","",$A763&amp;"|"&amp;RIGHT("000000"&amp;$C763,6))</f>
        <v/>
      </c>
      <c r="E763">
        <f>IF(Entry!$B766="","",IF(ISNUMBER(Entry!$B766),IF(AND(Entry!$B766&gt;=10000101,Entry!$B766&lt;=99991231),INT(Entry!$B766/10000)&amp;"/"&amp;RIGHT("00"&amp;INT(MOD(Entry!$B766,10000)/100),2)&amp;"/"&amp;RIGHT("00"&amp;MOD(Entry!$B766,100),2),"نامعتبر"),IF(LEN(Entry!$B766)=10,Entry!$B766,"نامعتبر")))</f>
        <v/>
      </c>
      <c r="F763">
        <f>IF(Entry!$B766="","",IF(Entry!$C766="","0000",IF(AND(ISNUMBER(Entry!$C766),Entry!$C766&gt;=0,Entry!$C766&lt;1),RIGHT("00"&amp;HOUR(Entry!$C766),2)&amp;RIGHT("00"&amp;MINUTE(Entry!$C766),2),IFERROR(RIGHT("00"&amp;VALUE(LEFT(Entry!$C766,FIND(":",Entry!$C766)-1)),2)&amp;RIGHT("00"&amp;VALUE(MID(Entry!$C766,FIND(":",Entry!$C766)+1,2)),2),"0000"))))</f>
        <v/>
      </c>
      <c r="G763">
        <f>IF($A763="","",Entry!$G766)</f>
        <v/>
      </c>
      <c r="H763">
        <f>IF($A763="","",IF(Entry!$H766="",0,Entry!$H766))</f>
        <v/>
      </c>
      <c r="I763">
        <f>IF($A763="","",IF(Entry!$I766="",0,Entry!$I766))</f>
        <v/>
      </c>
      <c r="J763">
        <f>IF($A763="","",ROUND($H763*$I763,0))</f>
        <v/>
      </c>
      <c r="K763">
        <f>IF($A763="","",Entry!$D766)</f>
        <v/>
      </c>
      <c r="L763">
        <f>IF($A763="","",Entry!$L766)</f>
        <v/>
      </c>
      <c r="N763">
        <f>IF(OR(Sync!$M763="",$Q763="",$Q763="نامعتبر"),"",Sync!$M763)</f>
        <v/>
      </c>
      <c r="O763">
        <f>IF($N763="","",$Q763)</f>
        <v/>
      </c>
      <c r="P763">
        <f>IF($N763="","",LEFT($Q763,4)&amp;MID($Q763,6,2)&amp;RIGHT($Q763,2)&amp;IF(Sync!$K763="","0000",IF(AND(ISNUMBER(Sync!$K763),Sync!$K763&gt;=0,Sync!$K763&lt;1),RIGHT("00"&amp;HOUR(Sync!$K763),2)&amp;RIGHT("00"&amp;MINUTE(Sync!$K763),2),IFERROR(RIGHT("00"&amp;VALUE(LEFT(Sync!$K763,FIND(":",Sync!$K763)-1)),2)&amp;RIGHT("00"&amp;VALUE(MID(Sync!$K763,FIND(":",Sync!$K763)+1,2)),2),"0000")))&amp;"|"&amp;"2"&amp;RIGHT("00000"&amp;758,5))</f>
        <v/>
      </c>
      <c r="Q763">
        <f>IF(Sync!$J763="","",IF(ISNUMBER(Sync!$J763),IF(AND(Sync!$J763&gt;=10000101,Sync!$J763&lt;=99991231),INT(Sync!$J763/10000)&amp;"/"&amp;RIGHT("00"&amp;INT(MOD(Sync!$J763,10000)/100),2)&amp;"/"&amp;RIGHT("00"&amp;MOD(Sync!$J763,100),2),"نامعتبر"),IF(LEN(Sync!$J763)=10,Sync!$J763,"نامعتبر")))</f>
        <v/>
      </c>
      <c r="R763">
        <f>IF($P763="","",COUNTIFS($N$6:$N$2005,$N763,$P$6:$P$2005,"&lt;"&amp;$P763)+COUNTIFS($A$6:$A$1005,$N763,$B$6:$B$1005,"&lt;"&amp;$P763)+1)</f>
        <v/>
      </c>
      <c r="S763">
        <f>IF($N763="","",$N763&amp;"|"&amp;RIGHT("000000"&amp;$R763,6))</f>
        <v/>
      </c>
      <c r="T763">
        <f>IF($N763="","",IF(Sync!$N763="",0,Sync!$N763))</f>
        <v/>
      </c>
      <c r="U763">
        <f>IF($N763="","",IF(Sync!$O763="",0,Sync!$O763))</f>
        <v/>
      </c>
      <c r="V763">
        <f>IF($N763="","",Sync!$L763)</f>
        <v/>
      </c>
      <c r="W763">
        <f>IF($N763="","",Sync!$P763)</f>
        <v/>
      </c>
      <c r="AA763">
        <f>IF($A763="","",IF(COUNTIF($A$6:$A763,$A763)=1,1,0))</f>
        <v/>
      </c>
      <c r="AB763">
        <f>SUM($AA$6:$AA763)</f>
        <v/>
      </c>
      <c r="AC763">
        <f>IFERROR(INDEX($A$6:$A$1005,MATCH(ROW()-5,$AB$6:$AB$1005,0)),"")</f>
        <v/>
      </c>
    </row>
    <row r="764">
      <c r="A764">
        <f>IF(OR(Entry!$B767="",Entry!$E767="",$E764="نامعتبر"),"",Entry!$E767)</f>
        <v/>
      </c>
      <c r="B764">
        <f>IF($A764="","",LEFT($E764,4)&amp;MID($E764,6,2)&amp;RIGHT($E764,2)&amp;$F764&amp;"|"&amp;"1"&amp;RIGHT("00000"&amp;759,5))</f>
        <v/>
      </c>
      <c r="C764">
        <f>IF($B764="","",COUNTIFS($A$6:$A$1005,$A764,$B$6:$B$1005,"&lt;"&amp;$B764)+COUNTIFS($N$6:$N$2005,$A764,$P$6:$P$2005,"&lt;"&amp;$B764)+1)</f>
        <v/>
      </c>
      <c r="D764">
        <f>IF($C764="","",$A764&amp;"|"&amp;RIGHT("000000"&amp;$C764,6))</f>
        <v/>
      </c>
      <c r="E764">
        <f>IF(Entry!$B767="","",IF(ISNUMBER(Entry!$B767),IF(AND(Entry!$B767&gt;=10000101,Entry!$B767&lt;=99991231),INT(Entry!$B767/10000)&amp;"/"&amp;RIGHT("00"&amp;INT(MOD(Entry!$B767,10000)/100),2)&amp;"/"&amp;RIGHT("00"&amp;MOD(Entry!$B767,100),2),"نامعتبر"),IF(LEN(Entry!$B767)=10,Entry!$B767,"نامعتبر")))</f>
        <v/>
      </c>
      <c r="F764">
        <f>IF(Entry!$B767="","",IF(Entry!$C767="","0000",IF(AND(ISNUMBER(Entry!$C767),Entry!$C767&gt;=0,Entry!$C767&lt;1),RIGHT("00"&amp;HOUR(Entry!$C767),2)&amp;RIGHT("00"&amp;MINUTE(Entry!$C767),2),IFERROR(RIGHT("00"&amp;VALUE(LEFT(Entry!$C767,FIND(":",Entry!$C767)-1)),2)&amp;RIGHT("00"&amp;VALUE(MID(Entry!$C767,FIND(":",Entry!$C767)+1,2)),2),"0000"))))</f>
        <v/>
      </c>
      <c r="G764">
        <f>IF($A764="","",Entry!$G767)</f>
        <v/>
      </c>
      <c r="H764">
        <f>IF($A764="","",IF(Entry!$H767="",0,Entry!$H767))</f>
        <v/>
      </c>
      <c r="I764">
        <f>IF($A764="","",IF(Entry!$I767="",0,Entry!$I767))</f>
        <v/>
      </c>
      <c r="J764">
        <f>IF($A764="","",ROUND($H764*$I764,0))</f>
        <v/>
      </c>
      <c r="K764">
        <f>IF($A764="","",Entry!$D767)</f>
        <v/>
      </c>
      <c r="L764">
        <f>IF($A764="","",Entry!$L767)</f>
        <v/>
      </c>
      <c r="N764">
        <f>IF(OR(Sync!$M764="",$Q764="",$Q764="نامعتبر"),"",Sync!$M764)</f>
        <v/>
      </c>
      <c r="O764">
        <f>IF($N764="","",$Q764)</f>
        <v/>
      </c>
      <c r="P764">
        <f>IF($N764="","",LEFT($Q764,4)&amp;MID($Q764,6,2)&amp;RIGHT($Q764,2)&amp;IF(Sync!$K764="","0000",IF(AND(ISNUMBER(Sync!$K764),Sync!$K764&gt;=0,Sync!$K764&lt;1),RIGHT("00"&amp;HOUR(Sync!$K764),2)&amp;RIGHT("00"&amp;MINUTE(Sync!$K764),2),IFERROR(RIGHT("00"&amp;VALUE(LEFT(Sync!$K764,FIND(":",Sync!$K764)-1)),2)&amp;RIGHT("00"&amp;VALUE(MID(Sync!$K764,FIND(":",Sync!$K764)+1,2)),2),"0000")))&amp;"|"&amp;"2"&amp;RIGHT("00000"&amp;759,5))</f>
        <v/>
      </c>
      <c r="Q764">
        <f>IF(Sync!$J764="","",IF(ISNUMBER(Sync!$J764),IF(AND(Sync!$J764&gt;=10000101,Sync!$J764&lt;=99991231),INT(Sync!$J764/10000)&amp;"/"&amp;RIGHT("00"&amp;INT(MOD(Sync!$J764,10000)/100),2)&amp;"/"&amp;RIGHT("00"&amp;MOD(Sync!$J764,100),2),"نامعتبر"),IF(LEN(Sync!$J764)=10,Sync!$J764,"نامعتبر")))</f>
        <v/>
      </c>
      <c r="R764">
        <f>IF($P764="","",COUNTIFS($N$6:$N$2005,$N764,$P$6:$P$2005,"&lt;"&amp;$P764)+COUNTIFS($A$6:$A$1005,$N764,$B$6:$B$1005,"&lt;"&amp;$P764)+1)</f>
        <v/>
      </c>
      <c r="S764">
        <f>IF($N764="","",$N764&amp;"|"&amp;RIGHT("000000"&amp;$R764,6))</f>
        <v/>
      </c>
      <c r="T764">
        <f>IF($N764="","",IF(Sync!$N764="",0,Sync!$N764))</f>
        <v/>
      </c>
      <c r="U764">
        <f>IF($N764="","",IF(Sync!$O764="",0,Sync!$O764))</f>
        <v/>
      </c>
      <c r="V764">
        <f>IF($N764="","",Sync!$L764)</f>
        <v/>
      </c>
      <c r="W764">
        <f>IF($N764="","",Sync!$P764)</f>
        <v/>
      </c>
      <c r="AA764">
        <f>IF($A764="","",IF(COUNTIF($A$6:$A764,$A764)=1,1,0))</f>
        <v/>
      </c>
      <c r="AB764">
        <f>SUM($AA$6:$AA764)</f>
        <v/>
      </c>
      <c r="AC764">
        <f>IFERROR(INDEX($A$6:$A$1005,MATCH(ROW()-5,$AB$6:$AB$1005,0)),"")</f>
        <v/>
      </c>
    </row>
    <row r="765">
      <c r="A765">
        <f>IF(OR(Entry!$B768="",Entry!$E768="",$E765="نامعتبر"),"",Entry!$E768)</f>
        <v/>
      </c>
      <c r="B765">
        <f>IF($A765="","",LEFT($E765,4)&amp;MID($E765,6,2)&amp;RIGHT($E765,2)&amp;$F765&amp;"|"&amp;"1"&amp;RIGHT("00000"&amp;760,5))</f>
        <v/>
      </c>
      <c r="C765">
        <f>IF($B765="","",COUNTIFS($A$6:$A$1005,$A765,$B$6:$B$1005,"&lt;"&amp;$B765)+COUNTIFS($N$6:$N$2005,$A765,$P$6:$P$2005,"&lt;"&amp;$B765)+1)</f>
        <v/>
      </c>
      <c r="D765">
        <f>IF($C765="","",$A765&amp;"|"&amp;RIGHT("000000"&amp;$C765,6))</f>
        <v/>
      </c>
      <c r="E765">
        <f>IF(Entry!$B768="","",IF(ISNUMBER(Entry!$B768),IF(AND(Entry!$B768&gt;=10000101,Entry!$B768&lt;=99991231),INT(Entry!$B768/10000)&amp;"/"&amp;RIGHT("00"&amp;INT(MOD(Entry!$B768,10000)/100),2)&amp;"/"&amp;RIGHT("00"&amp;MOD(Entry!$B768,100),2),"نامعتبر"),IF(LEN(Entry!$B768)=10,Entry!$B768,"نامعتبر")))</f>
        <v/>
      </c>
      <c r="F765">
        <f>IF(Entry!$B768="","",IF(Entry!$C768="","0000",IF(AND(ISNUMBER(Entry!$C768),Entry!$C768&gt;=0,Entry!$C768&lt;1),RIGHT("00"&amp;HOUR(Entry!$C768),2)&amp;RIGHT("00"&amp;MINUTE(Entry!$C768),2),IFERROR(RIGHT("00"&amp;VALUE(LEFT(Entry!$C768,FIND(":",Entry!$C768)-1)),2)&amp;RIGHT("00"&amp;VALUE(MID(Entry!$C768,FIND(":",Entry!$C768)+1,2)),2),"0000"))))</f>
        <v/>
      </c>
      <c r="G765">
        <f>IF($A765="","",Entry!$G768)</f>
        <v/>
      </c>
      <c r="H765">
        <f>IF($A765="","",IF(Entry!$H768="",0,Entry!$H768))</f>
        <v/>
      </c>
      <c r="I765">
        <f>IF($A765="","",IF(Entry!$I768="",0,Entry!$I768))</f>
        <v/>
      </c>
      <c r="J765">
        <f>IF($A765="","",ROUND($H765*$I765,0))</f>
        <v/>
      </c>
      <c r="K765">
        <f>IF($A765="","",Entry!$D768)</f>
        <v/>
      </c>
      <c r="L765">
        <f>IF($A765="","",Entry!$L768)</f>
        <v/>
      </c>
      <c r="N765">
        <f>IF(OR(Sync!$M765="",$Q765="",$Q765="نامعتبر"),"",Sync!$M765)</f>
        <v/>
      </c>
      <c r="O765">
        <f>IF($N765="","",$Q765)</f>
        <v/>
      </c>
      <c r="P765">
        <f>IF($N765="","",LEFT($Q765,4)&amp;MID($Q765,6,2)&amp;RIGHT($Q765,2)&amp;IF(Sync!$K765="","0000",IF(AND(ISNUMBER(Sync!$K765),Sync!$K765&gt;=0,Sync!$K765&lt;1),RIGHT("00"&amp;HOUR(Sync!$K765),2)&amp;RIGHT("00"&amp;MINUTE(Sync!$K765),2),IFERROR(RIGHT("00"&amp;VALUE(LEFT(Sync!$K765,FIND(":",Sync!$K765)-1)),2)&amp;RIGHT("00"&amp;VALUE(MID(Sync!$K765,FIND(":",Sync!$K765)+1,2)),2),"0000")))&amp;"|"&amp;"2"&amp;RIGHT("00000"&amp;760,5))</f>
        <v/>
      </c>
      <c r="Q765">
        <f>IF(Sync!$J765="","",IF(ISNUMBER(Sync!$J765),IF(AND(Sync!$J765&gt;=10000101,Sync!$J765&lt;=99991231),INT(Sync!$J765/10000)&amp;"/"&amp;RIGHT("00"&amp;INT(MOD(Sync!$J765,10000)/100),2)&amp;"/"&amp;RIGHT("00"&amp;MOD(Sync!$J765,100),2),"نامعتبر"),IF(LEN(Sync!$J765)=10,Sync!$J765,"نامعتبر")))</f>
        <v/>
      </c>
      <c r="R765">
        <f>IF($P765="","",COUNTIFS($N$6:$N$2005,$N765,$P$6:$P$2005,"&lt;"&amp;$P765)+COUNTIFS($A$6:$A$1005,$N765,$B$6:$B$1005,"&lt;"&amp;$P765)+1)</f>
        <v/>
      </c>
      <c r="S765">
        <f>IF($N765="","",$N765&amp;"|"&amp;RIGHT("000000"&amp;$R765,6))</f>
        <v/>
      </c>
      <c r="T765">
        <f>IF($N765="","",IF(Sync!$N765="",0,Sync!$N765))</f>
        <v/>
      </c>
      <c r="U765">
        <f>IF($N765="","",IF(Sync!$O765="",0,Sync!$O765))</f>
        <v/>
      </c>
      <c r="V765">
        <f>IF($N765="","",Sync!$L765)</f>
        <v/>
      </c>
      <c r="W765">
        <f>IF($N765="","",Sync!$P765)</f>
        <v/>
      </c>
      <c r="AA765">
        <f>IF($A765="","",IF(COUNTIF($A$6:$A765,$A765)=1,1,0))</f>
        <v/>
      </c>
      <c r="AB765">
        <f>SUM($AA$6:$AA765)</f>
        <v/>
      </c>
      <c r="AC765">
        <f>IFERROR(INDEX($A$6:$A$1005,MATCH(ROW()-5,$AB$6:$AB$1005,0)),"")</f>
        <v/>
      </c>
    </row>
    <row r="766">
      <c r="A766">
        <f>IF(OR(Entry!$B769="",Entry!$E769="",$E766="نامعتبر"),"",Entry!$E769)</f>
        <v/>
      </c>
      <c r="B766">
        <f>IF($A766="","",LEFT($E766,4)&amp;MID($E766,6,2)&amp;RIGHT($E766,2)&amp;$F766&amp;"|"&amp;"1"&amp;RIGHT("00000"&amp;761,5))</f>
        <v/>
      </c>
      <c r="C766">
        <f>IF($B766="","",COUNTIFS($A$6:$A$1005,$A766,$B$6:$B$1005,"&lt;"&amp;$B766)+COUNTIFS($N$6:$N$2005,$A766,$P$6:$P$2005,"&lt;"&amp;$B766)+1)</f>
        <v/>
      </c>
      <c r="D766">
        <f>IF($C766="","",$A766&amp;"|"&amp;RIGHT("000000"&amp;$C766,6))</f>
        <v/>
      </c>
      <c r="E766">
        <f>IF(Entry!$B769="","",IF(ISNUMBER(Entry!$B769),IF(AND(Entry!$B769&gt;=10000101,Entry!$B769&lt;=99991231),INT(Entry!$B769/10000)&amp;"/"&amp;RIGHT("00"&amp;INT(MOD(Entry!$B769,10000)/100),2)&amp;"/"&amp;RIGHT("00"&amp;MOD(Entry!$B769,100),2),"نامعتبر"),IF(LEN(Entry!$B769)=10,Entry!$B769,"نامعتبر")))</f>
        <v/>
      </c>
      <c r="F766">
        <f>IF(Entry!$B769="","",IF(Entry!$C769="","0000",IF(AND(ISNUMBER(Entry!$C769),Entry!$C769&gt;=0,Entry!$C769&lt;1),RIGHT("00"&amp;HOUR(Entry!$C769),2)&amp;RIGHT("00"&amp;MINUTE(Entry!$C769),2),IFERROR(RIGHT("00"&amp;VALUE(LEFT(Entry!$C769,FIND(":",Entry!$C769)-1)),2)&amp;RIGHT("00"&amp;VALUE(MID(Entry!$C769,FIND(":",Entry!$C769)+1,2)),2),"0000"))))</f>
        <v/>
      </c>
      <c r="G766">
        <f>IF($A766="","",Entry!$G769)</f>
        <v/>
      </c>
      <c r="H766">
        <f>IF($A766="","",IF(Entry!$H769="",0,Entry!$H769))</f>
        <v/>
      </c>
      <c r="I766">
        <f>IF($A766="","",IF(Entry!$I769="",0,Entry!$I769))</f>
        <v/>
      </c>
      <c r="J766">
        <f>IF($A766="","",ROUND($H766*$I766,0))</f>
        <v/>
      </c>
      <c r="K766">
        <f>IF($A766="","",Entry!$D769)</f>
        <v/>
      </c>
      <c r="L766">
        <f>IF($A766="","",Entry!$L769)</f>
        <v/>
      </c>
      <c r="N766">
        <f>IF(OR(Sync!$M766="",$Q766="",$Q766="نامعتبر"),"",Sync!$M766)</f>
        <v/>
      </c>
      <c r="O766">
        <f>IF($N766="","",$Q766)</f>
        <v/>
      </c>
      <c r="P766">
        <f>IF($N766="","",LEFT($Q766,4)&amp;MID($Q766,6,2)&amp;RIGHT($Q766,2)&amp;IF(Sync!$K766="","0000",IF(AND(ISNUMBER(Sync!$K766),Sync!$K766&gt;=0,Sync!$K766&lt;1),RIGHT("00"&amp;HOUR(Sync!$K766),2)&amp;RIGHT("00"&amp;MINUTE(Sync!$K766),2),IFERROR(RIGHT("00"&amp;VALUE(LEFT(Sync!$K766,FIND(":",Sync!$K766)-1)),2)&amp;RIGHT("00"&amp;VALUE(MID(Sync!$K766,FIND(":",Sync!$K766)+1,2)),2),"0000")))&amp;"|"&amp;"2"&amp;RIGHT("00000"&amp;761,5))</f>
        <v/>
      </c>
      <c r="Q766">
        <f>IF(Sync!$J766="","",IF(ISNUMBER(Sync!$J766),IF(AND(Sync!$J766&gt;=10000101,Sync!$J766&lt;=99991231),INT(Sync!$J766/10000)&amp;"/"&amp;RIGHT("00"&amp;INT(MOD(Sync!$J766,10000)/100),2)&amp;"/"&amp;RIGHT("00"&amp;MOD(Sync!$J766,100),2),"نامعتبر"),IF(LEN(Sync!$J766)=10,Sync!$J766,"نامعتبر")))</f>
        <v/>
      </c>
      <c r="R766">
        <f>IF($P766="","",COUNTIFS($N$6:$N$2005,$N766,$P$6:$P$2005,"&lt;"&amp;$P766)+COUNTIFS($A$6:$A$1005,$N766,$B$6:$B$1005,"&lt;"&amp;$P766)+1)</f>
        <v/>
      </c>
      <c r="S766">
        <f>IF($N766="","",$N766&amp;"|"&amp;RIGHT("000000"&amp;$R766,6))</f>
        <v/>
      </c>
      <c r="T766">
        <f>IF($N766="","",IF(Sync!$N766="",0,Sync!$N766))</f>
        <v/>
      </c>
      <c r="U766">
        <f>IF($N766="","",IF(Sync!$O766="",0,Sync!$O766))</f>
        <v/>
      </c>
      <c r="V766">
        <f>IF($N766="","",Sync!$L766)</f>
        <v/>
      </c>
      <c r="W766">
        <f>IF($N766="","",Sync!$P766)</f>
        <v/>
      </c>
      <c r="AA766">
        <f>IF($A766="","",IF(COUNTIF($A$6:$A766,$A766)=1,1,0))</f>
        <v/>
      </c>
      <c r="AB766">
        <f>SUM($AA$6:$AA766)</f>
        <v/>
      </c>
      <c r="AC766">
        <f>IFERROR(INDEX($A$6:$A$1005,MATCH(ROW()-5,$AB$6:$AB$1005,0)),"")</f>
        <v/>
      </c>
    </row>
    <row r="767">
      <c r="A767">
        <f>IF(OR(Entry!$B770="",Entry!$E770="",$E767="نامعتبر"),"",Entry!$E770)</f>
        <v/>
      </c>
      <c r="B767">
        <f>IF($A767="","",LEFT($E767,4)&amp;MID($E767,6,2)&amp;RIGHT($E767,2)&amp;$F767&amp;"|"&amp;"1"&amp;RIGHT("00000"&amp;762,5))</f>
        <v/>
      </c>
      <c r="C767">
        <f>IF($B767="","",COUNTIFS($A$6:$A$1005,$A767,$B$6:$B$1005,"&lt;"&amp;$B767)+COUNTIFS($N$6:$N$2005,$A767,$P$6:$P$2005,"&lt;"&amp;$B767)+1)</f>
        <v/>
      </c>
      <c r="D767">
        <f>IF($C767="","",$A767&amp;"|"&amp;RIGHT("000000"&amp;$C767,6))</f>
        <v/>
      </c>
      <c r="E767">
        <f>IF(Entry!$B770="","",IF(ISNUMBER(Entry!$B770),IF(AND(Entry!$B770&gt;=10000101,Entry!$B770&lt;=99991231),INT(Entry!$B770/10000)&amp;"/"&amp;RIGHT("00"&amp;INT(MOD(Entry!$B770,10000)/100),2)&amp;"/"&amp;RIGHT("00"&amp;MOD(Entry!$B770,100),2),"نامعتبر"),IF(LEN(Entry!$B770)=10,Entry!$B770,"نامعتبر")))</f>
        <v/>
      </c>
      <c r="F767">
        <f>IF(Entry!$B770="","",IF(Entry!$C770="","0000",IF(AND(ISNUMBER(Entry!$C770),Entry!$C770&gt;=0,Entry!$C770&lt;1),RIGHT("00"&amp;HOUR(Entry!$C770),2)&amp;RIGHT("00"&amp;MINUTE(Entry!$C770),2),IFERROR(RIGHT("00"&amp;VALUE(LEFT(Entry!$C770,FIND(":",Entry!$C770)-1)),2)&amp;RIGHT("00"&amp;VALUE(MID(Entry!$C770,FIND(":",Entry!$C770)+1,2)),2),"0000"))))</f>
        <v/>
      </c>
      <c r="G767">
        <f>IF($A767="","",Entry!$G770)</f>
        <v/>
      </c>
      <c r="H767">
        <f>IF($A767="","",IF(Entry!$H770="",0,Entry!$H770))</f>
        <v/>
      </c>
      <c r="I767">
        <f>IF($A767="","",IF(Entry!$I770="",0,Entry!$I770))</f>
        <v/>
      </c>
      <c r="J767">
        <f>IF($A767="","",ROUND($H767*$I767,0))</f>
        <v/>
      </c>
      <c r="K767">
        <f>IF($A767="","",Entry!$D770)</f>
        <v/>
      </c>
      <c r="L767">
        <f>IF($A767="","",Entry!$L770)</f>
        <v/>
      </c>
      <c r="N767">
        <f>IF(OR(Sync!$M767="",$Q767="",$Q767="نامعتبر"),"",Sync!$M767)</f>
        <v/>
      </c>
      <c r="O767">
        <f>IF($N767="","",$Q767)</f>
        <v/>
      </c>
      <c r="P767">
        <f>IF($N767="","",LEFT($Q767,4)&amp;MID($Q767,6,2)&amp;RIGHT($Q767,2)&amp;IF(Sync!$K767="","0000",IF(AND(ISNUMBER(Sync!$K767),Sync!$K767&gt;=0,Sync!$K767&lt;1),RIGHT("00"&amp;HOUR(Sync!$K767),2)&amp;RIGHT("00"&amp;MINUTE(Sync!$K767),2),IFERROR(RIGHT("00"&amp;VALUE(LEFT(Sync!$K767,FIND(":",Sync!$K767)-1)),2)&amp;RIGHT("00"&amp;VALUE(MID(Sync!$K767,FIND(":",Sync!$K767)+1,2)),2),"0000")))&amp;"|"&amp;"2"&amp;RIGHT("00000"&amp;762,5))</f>
        <v/>
      </c>
      <c r="Q767">
        <f>IF(Sync!$J767="","",IF(ISNUMBER(Sync!$J767),IF(AND(Sync!$J767&gt;=10000101,Sync!$J767&lt;=99991231),INT(Sync!$J767/10000)&amp;"/"&amp;RIGHT("00"&amp;INT(MOD(Sync!$J767,10000)/100),2)&amp;"/"&amp;RIGHT("00"&amp;MOD(Sync!$J767,100),2),"نامعتبر"),IF(LEN(Sync!$J767)=10,Sync!$J767,"نامعتبر")))</f>
        <v/>
      </c>
      <c r="R767">
        <f>IF($P767="","",COUNTIFS($N$6:$N$2005,$N767,$P$6:$P$2005,"&lt;"&amp;$P767)+COUNTIFS($A$6:$A$1005,$N767,$B$6:$B$1005,"&lt;"&amp;$P767)+1)</f>
        <v/>
      </c>
      <c r="S767">
        <f>IF($N767="","",$N767&amp;"|"&amp;RIGHT("000000"&amp;$R767,6))</f>
        <v/>
      </c>
      <c r="T767">
        <f>IF($N767="","",IF(Sync!$N767="",0,Sync!$N767))</f>
        <v/>
      </c>
      <c r="U767">
        <f>IF($N767="","",IF(Sync!$O767="",0,Sync!$O767))</f>
        <v/>
      </c>
      <c r="V767">
        <f>IF($N767="","",Sync!$L767)</f>
        <v/>
      </c>
      <c r="W767">
        <f>IF($N767="","",Sync!$P767)</f>
        <v/>
      </c>
      <c r="AA767">
        <f>IF($A767="","",IF(COUNTIF($A$6:$A767,$A767)=1,1,0))</f>
        <v/>
      </c>
      <c r="AB767">
        <f>SUM($AA$6:$AA767)</f>
        <v/>
      </c>
      <c r="AC767">
        <f>IFERROR(INDEX($A$6:$A$1005,MATCH(ROW()-5,$AB$6:$AB$1005,0)),"")</f>
        <v/>
      </c>
    </row>
    <row r="768">
      <c r="A768">
        <f>IF(OR(Entry!$B771="",Entry!$E771="",$E768="نامعتبر"),"",Entry!$E771)</f>
        <v/>
      </c>
      <c r="B768">
        <f>IF($A768="","",LEFT($E768,4)&amp;MID($E768,6,2)&amp;RIGHT($E768,2)&amp;$F768&amp;"|"&amp;"1"&amp;RIGHT("00000"&amp;763,5))</f>
        <v/>
      </c>
      <c r="C768">
        <f>IF($B768="","",COUNTIFS($A$6:$A$1005,$A768,$B$6:$B$1005,"&lt;"&amp;$B768)+COUNTIFS($N$6:$N$2005,$A768,$P$6:$P$2005,"&lt;"&amp;$B768)+1)</f>
        <v/>
      </c>
      <c r="D768">
        <f>IF($C768="","",$A768&amp;"|"&amp;RIGHT("000000"&amp;$C768,6))</f>
        <v/>
      </c>
      <c r="E768">
        <f>IF(Entry!$B771="","",IF(ISNUMBER(Entry!$B771),IF(AND(Entry!$B771&gt;=10000101,Entry!$B771&lt;=99991231),INT(Entry!$B771/10000)&amp;"/"&amp;RIGHT("00"&amp;INT(MOD(Entry!$B771,10000)/100),2)&amp;"/"&amp;RIGHT("00"&amp;MOD(Entry!$B771,100),2),"نامعتبر"),IF(LEN(Entry!$B771)=10,Entry!$B771,"نامعتبر")))</f>
        <v/>
      </c>
      <c r="F768">
        <f>IF(Entry!$B771="","",IF(Entry!$C771="","0000",IF(AND(ISNUMBER(Entry!$C771),Entry!$C771&gt;=0,Entry!$C771&lt;1),RIGHT("00"&amp;HOUR(Entry!$C771),2)&amp;RIGHT("00"&amp;MINUTE(Entry!$C771),2),IFERROR(RIGHT("00"&amp;VALUE(LEFT(Entry!$C771,FIND(":",Entry!$C771)-1)),2)&amp;RIGHT("00"&amp;VALUE(MID(Entry!$C771,FIND(":",Entry!$C771)+1,2)),2),"0000"))))</f>
        <v/>
      </c>
      <c r="G768">
        <f>IF($A768="","",Entry!$G771)</f>
        <v/>
      </c>
      <c r="H768">
        <f>IF($A768="","",IF(Entry!$H771="",0,Entry!$H771))</f>
        <v/>
      </c>
      <c r="I768">
        <f>IF($A768="","",IF(Entry!$I771="",0,Entry!$I771))</f>
        <v/>
      </c>
      <c r="J768">
        <f>IF($A768="","",ROUND($H768*$I768,0))</f>
        <v/>
      </c>
      <c r="K768">
        <f>IF($A768="","",Entry!$D771)</f>
        <v/>
      </c>
      <c r="L768">
        <f>IF($A768="","",Entry!$L771)</f>
        <v/>
      </c>
      <c r="N768">
        <f>IF(OR(Sync!$M768="",$Q768="",$Q768="نامعتبر"),"",Sync!$M768)</f>
        <v/>
      </c>
      <c r="O768">
        <f>IF($N768="","",$Q768)</f>
        <v/>
      </c>
      <c r="P768">
        <f>IF($N768="","",LEFT($Q768,4)&amp;MID($Q768,6,2)&amp;RIGHT($Q768,2)&amp;IF(Sync!$K768="","0000",IF(AND(ISNUMBER(Sync!$K768),Sync!$K768&gt;=0,Sync!$K768&lt;1),RIGHT("00"&amp;HOUR(Sync!$K768),2)&amp;RIGHT("00"&amp;MINUTE(Sync!$K768),2),IFERROR(RIGHT("00"&amp;VALUE(LEFT(Sync!$K768,FIND(":",Sync!$K768)-1)),2)&amp;RIGHT("00"&amp;VALUE(MID(Sync!$K768,FIND(":",Sync!$K768)+1,2)),2),"0000")))&amp;"|"&amp;"2"&amp;RIGHT("00000"&amp;763,5))</f>
        <v/>
      </c>
      <c r="Q768">
        <f>IF(Sync!$J768="","",IF(ISNUMBER(Sync!$J768),IF(AND(Sync!$J768&gt;=10000101,Sync!$J768&lt;=99991231),INT(Sync!$J768/10000)&amp;"/"&amp;RIGHT("00"&amp;INT(MOD(Sync!$J768,10000)/100),2)&amp;"/"&amp;RIGHT("00"&amp;MOD(Sync!$J768,100),2),"نامعتبر"),IF(LEN(Sync!$J768)=10,Sync!$J768,"نامعتبر")))</f>
        <v/>
      </c>
      <c r="R768">
        <f>IF($P768="","",COUNTIFS($N$6:$N$2005,$N768,$P$6:$P$2005,"&lt;"&amp;$P768)+COUNTIFS($A$6:$A$1005,$N768,$B$6:$B$1005,"&lt;"&amp;$P768)+1)</f>
        <v/>
      </c>
      <c r="S768">
        <f>IF($N768="","",$N768&amp;"|"&amp;RIGHT("000000"&amp;$R768,6))</f>
        <v/>
      </c>
      <c r="T768">
        <f>IF($N768="","",IF(Sync!$N768="",0,Sync!$N768))</f>
        <v/>
      </c>
      <c r="U768">
        <f>IF($N768="","",IF(Sync!$O768="",0,Sync!$O768))</f>
        <v/>
      </c>
      <c r="V768">
        <f>IF($N768="","",Sync!$L768)</f>
        <v/>
      </c>
      <c r="W768">
        <f>IF($N768="","",Sync!$P768)</f>
        <v/>
      </c>
      <c r="AA768">
        <f>IF($A768="","",IF(COUNTIF($A$6:$A768,$A768)=1,1,0))</f>
        <v/>
      </c>
      <c r="AB768">
        <f>SUM($AA$6:$AA768)</f>
        <v/>
      </c>
      <c r="AC768">
        <f>IFERROR(INDEX($A$6:$A$1005,MATCH(ROW()-5,$AB$6:$AB$1005,0)),"")</f>
        <v/>
      </c>
    </row>
    <row r="769">
      <c r="A769">
        <f>IF(OR(Entry!$B772="",Entry!$E772="",$E769="نامعتبر"),"",Entry!$E772)</f>
        <v/>
      </c>
      <c r="B769">
        <f>IF($A769="","",LEFT($E769,4)&amp;MID($E769,6,2)&amp;RIGHT($E769,2)&amp;$F769&amp;"|"&amp;"1"&amp;RIGHT("00000"&amp;764,5))</f>
        <v/>
      </c>
      <c r="C769">
        <f>IF($B769="","",COUNTIFS($A$6:$A$1005,$A769,$B$6:$B$1005,"&lt;"&amp;$B769)+COUNTIFS($N$6:$N$2005,$A769,$P$6:$P$2005,"&lt;"&amp;$B769)+1)</f>
        <v/>
      </c>
      <c r="D769">
        <f>IF($C769="","",$A769&amp;"|"&amp;RIGHT("000000"&amp;$C769,6))</f>
        <v/>
      </c>
      <c r="E769">
        <f>IF(Entry!$B772="","",IF(ISNUMBER(Entry!$B772),IF(AND(Entry!$B772&gt;=10000101,Entry!$B772&lt;=99991231),INT(Entry!$B772/10000)&amp;"/"&amp;RIGHT("00"&amp;INT(MOD(Entry!$B772,10000)/100),2)&amp;"/"&amp;RIGHT("00"&amp;MOD(Entry!$B772,100),2),"نامعتبر"),IF(LEN(Entry!$B772)=10,Entry!$B772,"نامعتبر")))</f>
        <v/>
      </c>
      <c r="F769">
        <f>IF(Entry!$B772="","",IF(Entry!$C772="","0000",IF(AND(ISNUMBER(Entry!$C772),Entry!$C772&gt;=0,Entry!$C772&lt;1),RIGHT("00"&amp;HOUR(Entry!$C772),2)&amp;RIGHT("00"&amp;MINUTE(Entry!$C772),2),IFERROR(RIGHT("00"&amp;VALUE(LEFT(Entry!$C772,FIND(":",Entry!$C772)-1)),2)&amp;RIGHT("00"&amp;VALUE(MID(Entry!$C772,FIND(":",Entry!$C772)+1,2)),2),"0000"))))</f>
        <v/>
      </c>
      <c r="G769">
        <f>IF($A769="","",Entry!$G772)</f>
        <v/>
      </c>
      <c r="H769">
        <f>IF($A769="","",IF(Entry!$H772="",0,Entry!$H772))</f>
        <v/>
      </c>
      <c r="I769">
        <f>IF($A769="","",IF(Entry!$I772="",0,Entry!$I772))</f>
        <v/>
      </c>
      <c r="J769">
        <f>IF($A769="","",ROUND($H769*$I769,0))</f>
        <v/>
      </c>
      <c r="K769">
        <f>IF($A769="","",Entry!$D772)</f>
        <v/>
      </c>
      <c r="L769">
        <f>IF($A769="","",Entry!$L772)</f>
        <v/>
      </c>
      <c r="N769">
        <f>IF(OR(Sync!$M769="",$Q769="",$Q769="نامعتبر"),"",Sync!$M769)</f>
        <v/>
      </c>
      <c r="O769">
        <f>IF($N769="","",$Q769)</f>
        <v/>
      </c>
      <c r="P769">
        <f>IF($N769="","",LEFT($Q769,4)&amp;MID($Q769,6,2)&amp;RIGHT($Q769,2)&amp;IF(Sync!$K769="","0000",IF(AND(ISNUMBER(Sync!$K769),Sync!$K769&gt;=0,Sync!$K769&lt;1),RIGHT("00"&amp;HOUR(Sync!$K769),2)&amp;RIGHT("00"&amp;MINUTE(Sync!$K769),2),IFERROR(RIGHT("00"&amp;VALUE(LEFT(Sync!$K769,FIND(":",Sync!$K769)-1)),2)&amp;RIGHT("00"&amp;VALUE(MID(Sync!$K769,FIND(":",Sync!$K769)+1,2)),2),"0000")))&amp;"|"&amp;"2"&amp;RIGHT("00000"&amp;764,5))</f>
        <v/>
      </c>
      <c r="Q769">
        <f>IF(Sync!$J769="","",IF(ISNUMBER(Sync!$J769),IF(AND(Sync!$J769&gt;=10000101,Sync!$J769&lt;=99991231),INT(Sync!$J769/10000)&amp;"/"&amp;RIGHT("00"&amp;INT(MOD(Sync!$J769,10000)/100),2)&amp;"/"&amp;RIGHT("00"&amp;MOD(Sync!$J769,100),2),"نامعتبر"),IF(LEN(Sync!$J769)=10,Sync!$J769,"نامعتبر")))</f>
        <v/>
      </c>
      <c r="R769">
        <f>IF($P769="","",COUNTIFS($N$6:$N$2005,$N769,$P$6:$P$2005,"&lt;"&amp;$P769)+COUNTIFS($A$6:$A$1005,$N769,$B$6:$B$1005,"&lt;"&amp;$P769)+1)</f>
        <v/>
      </c>
      <c r="S769">
        <f>IF($N769="","",$N769&amp;"|"&amp;RIGHT("000000"&amp;$R769,6))</f>
        <v/>
      </c>
      <c r="T769">
        <f>IF($N769="","",IF(Sync!$N769="",0,Sync!$N769))</f>
        <v/>
      </c>
      <c r="U769">
        <f>IF($N769="","",IF(Sync!$O769="",0,Sync!$O769))</f>
        <v/>
      </c>
      <c r="V769">
        <f>IF($N769="","",Sync!$L769)</f>
        <v/>
      </c>
      <c r="W769">
        <f>IF($N769="","",Sync!$P769)</f>
        <v/>
      </c>
      <c r="AA769">
        <f>IF($A769="","",IF(COUNTIF($A$6:$A769,$A769)=1,1,0))</f>
        <v/>
      </c>
      <c r="AB769">
        <f>SUM($AA$6:$AA769)</f>
        <v/>
      </c>
      <c r="AC769">
        <f>IFERROR(INDEX($A$6:$A$1005,MATCH(ROW()-5,$AB$6:$AB$1005,0)),"")</f>
        <v/>
      </c>
    </row>
    <row r="770">
      <c r="A770">
        <f>IF(OR(Entry!$B773="",Entry!$E773="",$E770="نامعتبر"),"",Entry!$E773)</f>
        <v/>
      </c>
      <c r="B770">
        <f>IF($A770="","",LEFT($E770,4)&amp;MID($E770,6,2)&amp;RIGHT($E770,2)&amp;$F770&amp;"|"&amp;"1"&amp;RIGHT("00000"&amp;765,5))</f>
        <v/>
      </c>
      <c r="C770">
        <f>IF($B770="","",COUNTIFS($A$6:$A$1005,$A770,$B$6:$B$1005,"&lt;"&amp;$B770)+COUNTIFS($N$6:$N$2005,$A770,$P$6:$P$2005,"&lt;"&amp;$B770)+1)</f>
        <v/>
      </c>
      <c r="D770">
        <f>IF($C770="","",$A770&amp;"|"&amp;RIGHT("000000"&amp;$C770,6))</f>
        <v/>
      </c>
      <c r="E770">
        <f>IF(Entry!$B773="","",IF(ISNUMBER(Entry!$B773),IF(AND(Entry!$B773&gt;=10000101,Entry!$B773&lt;=99991231),INT(Entry!$B773/10000)&amp;"/"&amp;RIGHT("00"&amp;INT(MOD(Entry!$B773,10000)/100),2)&amp;"/"&amp;RIGHT("00"&amp;MOD(Entry!$B773,100),2),"نامعتبر"),IF(LEN(Entry!$B773)=10,Entry!$B773,"نامعتبر")))</f>
        <v/>
      </c>
      <c r="F770">
        <f>IF(Entry!$B773="","",IF(Entry!$C773="","0000",IF(AND(ISNUMBER(Entry!$C773),Entry!$C773&gt;=0,Entry!$C773&lt;1),RIGHT("00"&amp;HOUR(Entry!$C773),2)&amp;RIGHT("00"&amp;MINUTE(Entry!$C773),2),IFERROR(RIGHT("00"&amp;VALUE(LEFT(Entry!$C773,FIND(":",Entry!$C773)-1)),2)&amp;RIGHT("00"&amp;VALUE(MID(Entry!$C773,FIND(":",Entry!$C773)+1,2)),2),"0000"))))</f>
        <v/>
      </c>
      <c r="G770">
        <f>IF($A770="","",Entry!$G773)</f>
        <v/>
      </c>
      <c r="H770">
        <f>IF($A770="","",IF(Entry!$H773="",0,Entry!$H773))</f>
        <v/>
      </c>
      <c r="I770">
        <f>IF($A770="","",IF(Entry!$I773="",0,Entry!$I773))</f>
        <v/>
      </c>
      <c r="J770">
        <f>IF($A770="","",ROUND($H770*$I770,0))</f>
        <v/>
      </c>
      <c r="K770">
        <f>IF($A770="","",Entry!$D773)</f>
        <v/>
      </c>
      <c r="L770">
        <f>IF($A770="","",Entry!$L773)</f>
        <v/>
      </c>
      <c r="N770">
        <f>IF(OR(Sync!$M770="",$Q770="",$Q770="نامعتبر"),"",Sync!$M770)</f>
        <v/>
      </c>
      <c r="O770">
        <f>IF($N770="","",$Q770)</f>
        <v/>
      </c>
      <c r="P770">
        <f>IF($N770="","",LEFT($Q770,4)&amp;MID($Q770,6,2)&amp;RIGHT($Q770,2)&amp;IF(Sync!$K770="","0000",IF(AND(ISNUMBER(Sync!$K770),Sync!$K770&gt;=0,Sync!$K770&lt;1),RIGHT("00"&amp;HOUR(Sync!$K770),2)&amp;RIGHT("00"&amp;MINUTE(Sync!$K770),2),IFERROR(RIGHT("00"&amp;VALUE(LEFT(Sync!$K770,FIND(":",Sync!$K770)-1)),2)&amp;RIGHT("00"&amp;VALUE(MID(Sync!$K770,FIND(":",Sync!$K770)+1,2)),2),"0000")))&amp;"|"&amp;"2"&amp;RIGHT("00000"&amp;765,5))</f>
        <v/>
      </c>
      <c r="Q770">
        <f>IF(Sync!$J770="","",IF(ISNUMBER(Sync!$J770),IF(AND(Sync!$J770&gt;=10000101,Sync!$J770&lt;=99991231),INT(Sync!$J770/10000)&amp;"/"&amp;RIGHT("00"&amp;INT(MOD(Sync!$J770,10000)/100),2)&amp;"/"&amp;RIGHT("00"&amp;MOD(Sync!$J770,100),2),"نامعتبر"),IF(LEN(Sync!$J770)=10,Sync!$J770,"نامعتبر")))</f>
        <v/>
      </c>
      <c r="R770">
        <f>IF($P770="","",COUNTIFS($N$6:$N$2005,$N770,$P$6:$P$2005,"&lt;"&amp;$P770)+COUNTIFS($A$6:$A$1005,$N770,$B$6:$B$1005,"&lt;"&amp;$P770)+1)</f>
        <v/>
      </c>
      <c r="S770">
        <f>IF($N770="","",$N770&amp;"|"&amp;RIGHT("000000"&amp;$R770,6))</f>
        <v/>
      </c>
      <c r="T770">
        <f>IF($N770="","",IF(Sync!$N770="",0,Sync!$N770))</f>
        <v/>
      </c>
      <c r="U770">
        <f>IF($N770="","",IF(Sync!$O770="",0,Sync!$O770))</f>
        <v/>
      </c>
      <c r="V770">
        <f>IF($N770="","",Sync!$L770)</f>
        <v/>
      </c>
      <c r="W770">
        <f>IF($N770="","",Sync!$P770)</f>
        <v/>
      </c>
      <c r="AA770">
        <f>IF($A770="","",IF(COUNTIF($A$6:$A770,$A770)=1,1,0))</f>
        <v/>
      </c>
      <c r="AB770">
        <f>SUM($AA$6:$AA770)</f>
        <v/>
      </c>
      <c r="AC770">
        <f>IFERROR(INDEX($A$6:$A$1005,MATCH(ROW()-5,$AB$6:$AB$1005,0)),"")</f>
        <v/>
      </c>
    </row>
    <row r="771">
      <c r="A771">
        <f>IF(OR(Entry!$B774="",Entry!$E774="",$E771="نامعتبر"),"",Entry!$E774)</f>
        <v/>
      </c>
      <c r="B771">
        <f>IF($A771="","",LEFT($E771,4)&amp;MID($E771,6,2)&amp;RIGHT($E771,2)&amp;$F771&amp;"|"&amp;"1"&amp;RIGHT("00000"&amp;766,5))</f>
        <v/>
      </c>
      <c r="C771">
        <f>IF($B771="","",COUNTIFS($A$6:$A$1005,$A771,$B$6:$B$1005,"&lt;"&amp;$B771)+COUNTIFS($N$6:$N$2005,$A771,$P$6:$P$2005,"&lt;"&amp;$B771)+1)</f>
        <v/>
      </c>
      <c r="D771">
        <f>IF($C771="","",$A771&amp;"|"&amp;RIGHT("000000"&amp;$C771,6))</f>
        <v/>
      </c>
      <c r="E771">
        <f>IF(Entry!$B774="","",IF(ISNUMBER(Entry!$B774),IF(AND(Entry!$B774&gt;=10000101,Entry!$B774&lt;=99991231),INT(Entry!$B774/10000)&amp;"/"&amp;RIGHT("00"&amp;INT(MOD(Entry!$B774,10000)/100),2)&amp;"/"&amp;RIGHT("00"&amp;MOD(Entry!$B774,100),2),"نامعتبر"),IF(LEN(Entry!$B774)=10,Entry!$B774,"نامعتبر")))</f>
        <v/>
      </c>
      <c r="F771">
        <f>IF(Entry!$B774="","",IF(Entry!$C774="","0000",IF(AND(ISNUMBER(Entry!$C774),Entry!$C774&gt;=0,Entry!$C774&lt;1),RIGHT("00"&amp;HOUR(Entry!$C774),2)&amp;RIGHT("00"&amp;MINUTE(Entry!$C774),2),IFERROR(RIGHT("00"&amp;VALUE(LEFT(Entry!$C774,FIND(":",Entry!$C774)-1)),2)&amp;RIGHT("00"&amp;VALUE(MID(Entry!$C774,FIND(":",Entry!$C774)+1,2)),2),"0000"))))</f>
        <v/>
      </c>
      <c r="G771">
        <f>IF($A771="","",Entry!$G774)</f>
        <v/>
      </c>
      <c r="H771">
        <f>IF($A771="","",IF(Entry!$H774="",0,Entry!$H774))</f>
        <v/>
      </c>
      <c r="I771">
        <f>IF($A771="","",IF(Entry!$I774="",0,Entry!$I774))</f>
        <v/>
      </c>
      <c r="J771">
        <f>IF($A771="","",ROUND($H771*$I771,0))</f>
        <v/>
      </c>
      <c r="K771">
        <f>IF($A771="","",Entry!$D774)</f>
        <v/>
      </c>
      <c r="L771">
        <f>IF($A771="","",Entry!$L774)</f>
        <v/>
      </c>
      <c r="N771">
        <f>IF(OR(Sync!$M771="",$Q771="",$Q771="نامعتبر"),"",Sync!$M771)</f>
        <v/>
      </c>
      <c r="O771">
        <f>IF($N771="","",$Q771)</f>
        <v/>
      </c>
      <c r="P771">
        <f>IF($N771="","",LEFT($Q771,4)&amp;MID($Q771,6,2)&amp;RIGHT($Q771,2)&amp;IF(Sync!$K771="","0000",IF(AND(ISNUMBER(Sync!$K771),Sync!$K771&gt;=0,Sync!$K771&lt;1),RIGHT("00"&amp;HOUR(Sync!$K771),2)&amp;RIGHT("00"&amp;MINUTE(Sync!$K771),2),IFERROR(RIGHT("00"&amp;VALUE(LEFT(Sync!$K771,FIND(":",Sync!$K771)-1)),2)&amp;RIGHT("00"&amp;VALUE(MID(Sync!$K771,FIND(":",Sync!$K771)+1,2)),2),"0000")))&amp;"|"&amp;"2"&amp;RIGHT("00000"&amp;766,5))</f>
        <v/>
      </c>
      <c r="Q771">
        <f>IF(Sync!$J771="","",IF(ISNUMBER(Sync!$J771),IF(AND(Sync!$J771&gt;=10000101,Sync!$J771&lt;=99991231),INT(Sync!$J771/10000)&amp;"/"&amp;RIGHT("00"&amp;INT(MOD(Sync!$J771,10000)/100),2)&amp;"/"&amp;RIGHT("00"&amp;MOD(Sync!$J771,100),2),"نامعتبر"),IF(LEN(Sync!$J771)=10,Sync!$J771,"نامعتبر")))</f>
        <v/>
      </c>
      <c r="R771">
        <f>IF($P771="","",COUNTIFS($N$6:$N$2005,$N771,$P$6:$P$2005,"&lt;"&amp;$P771)+COUNTIFS($A$6:$A$1005,$N771,$B$6:$B$1005,"&lt;"&amp;$P771)+1)</f>
        <v/>
      </c>
      <c r="S771">
        <f>IF($N771="","",$N771&amp;"|"&amp;RIGHT("000000"&amp;$R771,6))</f>
        <v/>
      </c>
      <c r="T771">
        <f>IF($N771="","",IF(Sync!$N771="",0,Sync!$N771))</f>
        <v/>
      </c>
      <c r="U771">
        <f>IF($N771="","",IF(Sync!$O771="",0,Sync!$O771))</f>
        <v/>
      </c>
      <c r="V771">
        <f>IF($N771="","",Sync!$L771)</f>
        <v/>
      </c>
      <c r="W771">
        <f>IF($N771="","",Sync!$P771)</f>
        <v/>
      </c>
      <c r="AA771">
        <f>IF($A771="","",IF(COUNTIF($A$6:$A771,$A771)=1,1,0))</f>
        <v/>
      </c>
      <c r="AB771">
        <f>SUM($AA$6:$AA771)</f>
        <v/>
      </c>
      <c r="AC771">
        <f>IFERROR(INDEX($A$6:$A$1005,MATCH(ROW()-5,$AB$6:$AB$1005,0)),"")</f>
        <v/>
      </c>
    </row>
    <row r="772">
      <c r="A772">
        <f>IF(OR(Entry!$B775="",Entry!$E775="",$E772="نامعتبر"),"",Entry!$E775)</f>
        <v/>
      </c>
      <c r="B772">
        <f>IF($A772="","",LEFT($E772,4)&amp;MID($E772,6,2)&amp;RIGHT($E772,2)&amp;$F772&amp;"|"&amp;"1"&amp;RIGHT("00000"&amp;767,5))</f>
        <v/>
      </c>
      <c r="C772">
        <f>IF($B772="","",COUNTIFS($A$6:$A$1005,$A772,$B$6:$B$1005,"&lt;"&amp;$B772)+COUNTIFS($N$6:$N$2005,$A772,$P$6:$P$2005,"&lt;"&amp;$B772)+1)</f>
        <v/>
      </c>
      <c r="D772">
        <f>IF($C772="","",$A772&amp;"|"&amp;RIGHT("000000"&amp;$C772,6))</f>
        <v/>
      </c>
      <c r="E772">
        <f>IF(Entry!$B775="","",IF(ISNUMBER(Entry!$B775),IF(AND(Entry!$B775&gt;=10000101,Entry!$B775&lt;=99991231),INT(Entry!$B775/10000)&amp;"/"&amp;RIGHT("00"&amp;INT(MOD(Entry!$B775,10000)/100),2)&amp;"/"&amp;RIGHT("00"&amp;MOD(Entry!$B775,100),2),"نامعتبر"),IF(LEN(Entry!$B775)=10,Entry!$B775,"نامعتبر")))</f>
        <v/>
      </c>
      <c r="F772">
        <f>IF(Entry!$B775="","",IF(Entry!$C775="","0000",IF(AND(ISNUMBER(Entry!$C775),Entry!$C775&gt;=0,Entry!$C775&lt;1),RIGHT("00"&amp;HOUR(Entry!$C775),2)&amp;RIGHT("00"&amp;MINUTE(Entry!$C775),2),IFERROR(RIGHT("00"&amp;VALUE(LEFT(Entry!$C775,FIND(":",Entry!$C775)-1)),2)&amp;RIGHT("00"&amp;VALUE(MID(Entry!$C775,FIND(":",Entry!$C775)+1,2)),2),"0000"))))</f>
        <v/>
      </c>
      <c r="G772">
        <f>IF($A772="","",Entry!$G775)</f>
        <v/>
      </c>
      <c r="H772">
        <f>IF($A772="","",IF(Entry!$H775="",0,Entry!$H775))</f>
        <v/>
      </c>
      <c r="I772">
        <f>IF($A772="","",IF(Entry!$I775="",0,Entry!$I775))</f>
        <v/>
      </c>
      <c r="J772">
        <f>IF($A772="","",ROUND($H772*$I772,0))</f>
        <v/>
      </c>
      <c r="K772">
        <f>IF($A772="","",Entry!$D775)</f>
        <v/>
      </c>
      <c r="L772">
        <f>IF($A772="","",Entry!$L775)</f>
        <v/>
      </c>
      <c r="N772">
        <f>IF(OR(Sync!$M772="",$Q772="",$Q772="نامعتبر"),"",Sync!$M772)</f>
        <v/>
      </c>
      <c r="O772">
        <f>IF($N772="","",$Q772)</f>
        <v/>
      </c>
      <c r="P772">
        <f>IF($N772="","",LEFT($Q772,4)&amp;MID($Q772,6,2)&amp;RIGHT($Q772,2)&amp;IF(Sync!$K772="","0000",IF(AND(ISNUMBER(Sync!$K772),Sync!$K772&gt;=0,Sync!$K772&lt;1),RIGHT("00"&amp;HOUR(Sync!$K772),2)&amp;RIGHT("00"&amp;MINUTE(Sync!$K772),2),IFERROR(RIGHT("00"&amp;VALUE(LEFT(Sync!$K772,FIND(":",Sync!$K772)-1)),2)&amp;RIGHT("00"&amp;VALUE(MID(Sync!$K772,FIND(":",Sync!$K772)+1,2)),2),"0000")))&amp;"|"&amp;"2"&amp;RIGHT("00000"&amp;767,5))</f>
        <v/>
      </c>
      <c r="Q772">
        <f>IF(Sync!$J772="","",IF(ISNUMBER(Sync!$J772),IF(AND(Sync!$J772&gt;=10000101,Sync!$J772&lt;=99991231),INT(Sync!$J772/10000)&amp;"/"&amp;RIGHT("00"&amp;INT(MOD(Sync!$J772,10000)/100),2)&amp;"/"&amp;RIGHT("00"&amp;MOD(Sync!$J772,100),2),"نامعتبر"),IF(LEN(Sync!$J772)=10,Sync!$J772,"نامعتبر")))</f>
        <v/>
      </c>
      <c r="R772">
        <f>IF($P772="","",COUNTIFS($N$6:$N$2005,$N772,$P$6:$P$2005,"&lt;"&amp;$P772)+COUNTIFS($A$6:$A$1005,$N772,$B$6:$B$1005,"&lt;"&amp;$P772)+1)</f>
        <v/>
      </c>
      <c r="S772">
        <f>IF($N772="","",$N772&amp;"|"&amp;RIGHT("000000"&amp;$R772,6))</f>
        <v/>
      </c>
      <c r="T772">
        <f>IF($N772="","",IF(Sync!$N772="",0,Sync!$N772))</f>
        <v/>
      </c>
      <c r="U772">
        <f>IF($N772="","",IF(Sync!$O772="",0,Sync!$O772))</f>
        <v/>
      </c>
      <c r="V772">
        <f>IF($N772="","",Sync!$L772)</f>
        <v/>
      </c>
      <c r="W772">
        <f>IF($N772="","",Sync!$P772)</f>
        <v/>
      </c>
      <c r="AA772">
        <f>IF($A772="","",IF(COUNTIF($A$6:$A772,$A772)=1,1,0))</f>
        <v/>
      </c>
      <c r="AB772">
        <f>SUM($AA$6:$AA772)</f>
        <v/>
      </c>
      <c r="AC772">
        <f>IFERROR(INDEX($A$6:$A$1005,MATCH(ROW()-5,$AB$6:$AB$1005,0)),"")</f>
        <v/>
      </c>
    </row>
    <row r="773">
      <c r="A773">
        <f>IF(OR(Entry!$B776="",Entry!$E776="",$E773="نامعتبر"),"",Entry!$E776)</f>
        <v/>
      </c>
      <c r="B773">
        <f>IF($A773="","",LEFT($E773,4)&amp;MID($E773,6,2)&amp;RIGHT($E773,2)&amp;$F773&amp;"|"&amp;"1"&amp;RIGHT("00000"&amp;768,5))</f>
        <v/>
      </c>
      <c r="C773">
        <f>IF($B773="","",COUNTIFS($A$6:$A$1005,$A773,$B$6:$B$1005,"&lt;"&amp;$B773)+COUNTIFS($N$6:$N$2005,$A773,$P$6:$P$2005,"&lt;"&amp;$B773)+1)</f>
        <v/>
      </c>
      <c r="D773">
        <f>IF($C773="","",$A773&amp;"|"&amp;RIGHT("000000"&amp;$C773,6))</f>
        <v/>
      </c>
      <c r="E773">
        <f>IF(Entry!$B776="","",IF(ISNUMBER(Entry!$B776),IF(AND(Entry!$B776&gt;=10000101,Entry!$B776&lt;=99991231),INT(Entry!$B776/10000)&amp;"/"&amp;RIGHT("00"&amp;INT(MOD(Entry!$B776,10000)/100),2)&amp;"/"&amp;RIGHT("00"&amp;MOD(Entry!$B776,100),2),"نامعتبر"),IF(LEN(Entry!$B776)=10,Entry!$B776,"نامعتبر")))</f>
        <v/>
      </c>
      <c r="F773">
        <f>IF(Entry!$B776="","",IF(Entry!$C776="","0000",IF(AND(ISNUMBER(Entry!$C776),Entry!$C776&gt;=0,Entry!$C776&lt;1),RIGHT("00"&amp;HOUR(Entry!$C776),2)&amp;RIGHT("00"&amp;MINUTE(Entry!$C776),2),IFERROR(RIGHT("00"&amp;VALUE(LEFT(Entry!$C776,FIND(":",Entry!$C776)-1)),2)&amp;RIGHT("00"&amp;VALUE(MID(Entry!$C776,FIND(":",Entry!$C776)+1,2)),2),"0000"))))</f>
        <v/>
      </c>
      <c r="G773">
        <f>IF($A773="","",Entry!$G776)</f>
        <v/>
      </c>
      <c r="H773">
        <f>IF($A773="","",IF(Entry!$H776="",0,Entry!$H776))</f>
        <v/>
      </c>
      <c r="I773">
        <f>IF($A773="","",IF(Entry!$I776="",0,Entry!$I776))</f>
        <v/>
      </c>
      <c r="J773">
        <f>IF($A773="","",ROUND($H773*$I773,0))</f>
        <v/>
      </c>
      <c r="K773">
        <f>IF($A773="","",Entry!$D776)</f>
        <v/>
      </c>
      <c r="L773">
        <f>IF($A773="","",Entry!$L776)</f>
        <v/>
      </c>
      <c r="N773">
        <f>IF(OR(Sync!$M773="",$Q773="",$Q773="نامعتبر"),"",Sync!$M773)</f>
        <v/>
      </c>
      <c r="O773">
        <f>IF($N773="","",$Q773)</f>
        <v/>
      </c>
      <c r="P773">
        <f>IF($N773="","",LEFT($Q773,4)&amp;MID($Q773,6,2)&amp;RIGHT($Q773,2)&amp;IF(Sync!$K773="","0000",IF(AND(ISNUMBER(Sync!$K773),Sync!$K773&gt;=0,Sync!$K773&lt;1),RIGHT("00"&amp;HOUR(Sync!$K773),2)&amp;RIGHT("00"&amp;MINUTE(Sync!$K773),2),IFERROR(RIGHT("00"&amp;VALUE(LEFT(Sync!$K773,FIND(":",Sync!$K773)-1)),2)&amp;RIGHT("00"&amp;VALUE(MID(Sync!$K773,FIND(":",Sync!$K773)+1,2)),2),"0000")))&amp;"|"&amp;"2"&amp;RIGHT("00000"&amp;768,5))</f>
        <v/>
      </c>
      <c r="Q773">
        <f>IF(Sync!$J773="","",IF(ISNUMBER(Sync!$J773),IF(AND(Sync!$J773&gt;=10000101,Sync!$J773&lt;=99991231),INT(Sync!$J773/10000)&amp;"/"&amp;RIGHT("00"&amp;INT(MOD(Sync!$J773,10000)/100),2)&amp;"/"&amp;RIGHT("00"&amp;MOD(Sync!$J773,100),2),"نامعتبر"),IF(LEN(Sync!$J773)=10,Sync!$J773,"نامعتبر")))</f>
        <v/>
      </c>
      <c r="R773">
        <f>IF($P773="","",COUNTIFS($N$6:$N$2005,$N773,$P$6:$P$2005,"&lt;"&amp;$P773)+COUNTIFS($A$6:$A$1005,$N773,$B$6:$B$1005,"&lt;"&amp;$P773)+1)</f>
        <v/>
      </c>
      <c r="S773">
        <f>IF($N773="","",$N773&amp;"|"&amp;RIGHT("000000"&amp;$R773,6))</f>
        <v/>
      </c>
      <c r="T773">
        <f>IF($N773="","",IF(Sync!$N773="",0,Sync!$N773))</f>
        <v/>
      </c>
      <c r="U773">
        <f>IF($N773="","",IF(Sync!$O773="",0,Sync!$O773))</f>
        <v/>
      </c>
      <c r="V773">
        <f>IF($N773="","",Sync!$L773)</f>
        <v/>
      </c>
      <c r="W773">
        <f>IF($N773="","",Sync!$P773)</f>
        <v/>
      </c>
      <c r="AA773">
        <f>IF($A773="","",IF(COUNTIF($A$6:$A773,$A773)=1,1,0))</f>
        <v/>
      </c>
      <c r="AB773">
        <f>SUM($AA$6:$AA773)</f>
        <v/>
      </c>
      <c r="AC773">
        <f>IFERROR(INDEX($A$6:$A$1005,MATCH(ROW()-5,$AB$6:$AB$1005,0)),"")</f>
        <v/>
      </c>
    </row>
    <row r="774">
      <c r="A774">
        <f>IF(OR(Entry!$B777="",Entry!$E777="",$E774="نامعتبر"),"",Entry!$E777)</f>
        <v/>
      </c>
      <c r="B774">
        <f>IF($A774="","",LEFT($E774,4)&amp;MID($E774,6,2)&amp;RIGHT($E774,2)&amp;$F774&amp;"|"&amp;"1"&amp;RIGHT("00000"&amp;769,5))</f>
        <v/>
      </c>
      <c r="C774">
        <f>IF($B774="","",COUNTIFS($A$6:$A$1005,$A774,$B$6:$B$1005,"&lt;"&amp;$B774)+COUNTIFS($N$6:$N$2005,$A774,$P$6:$P$2005,"&lt;"&amp;$B774)+1)</f>
        <v/>
      </c>
      <c r="D774">
        <f>IF($C774="","",$A774&amp;"|"&amp;RIGHT("000000"&amp;$C774,6))</f>
        <v/>
      </c>
      <c r="E774">
        <f>IF(Entry!$B777="","",IF(ISNUMBER(Entry!$B777),IF(AND(Entry!$B777&gt;=10000101,Entry!$B777&lt;=99991231),INT(Entry!$B777/10000)&amp;"/"&amp;RIGHT("00"&amp;INT(MOD(Entry!$B777,10000)/100),2)&amp;"/"&amp;RIGHT("00"&amp;MOD(Entry!$B777,100),2),"نامعتبر"),IF(LEN(Entry!$B777)=10,Entry!$B777,"نامعتبر")))</f>
        <v/>
      </c>
      <c r="F774">
        <f>IF(Entry!$B777="","",IF(Entry!$C777="","0000",IF(AND(ISNUMBER(Entry!$C777),Entry!$C777&gt;=0,Entry!$C777&lt;1),RIGHT("00"&amp;HOUR(Entry!$C777),2)&amp;RIGHT("00"&amp;MINUTE(Entry!$C777),2),IFERROR(RIGHT("00"&amp;VALUE(LEFT(Entry!$C777,FIND(":",Entry!$C777)-1)),2)&amp;RIGHT("00"&amp;VALUE(MID(Entry!$C777,FIND(":",Entry!$C777)+1,2)),2),"0000"))))</f>
        <v/>
      </c>
      <c r="G774">
        <f>IF($A774="","",Entry!$G777)</f>
        <v/>
      </c>
      <c r="H774">
        <f>IF($A774="","",IF(Entry!$H777="",0,Entry!$H777))</f>
        <v/>
      </c>
      <c r="I774">
        <f>IF($A774="","",IF(Entry!$I777="",0,Entry!$I777))</f>
        <v/>
      </c>
      <c r="J774">
        <f>IF($A774="","",ROUND($H774*$I774,0))</f>
        <v/>
      </c>
      <c r="K774">
        <f>IF($A774="","",Entry!$D777)</f>
        <v/>
      </c>
      <c r="L774">
        <f>IF($A774="","",Entry!$L777)</f>
        <v/>
      </c>
      <c r="N774">
        <f>IF(OR(Sync!$M774="",$Q774="",$Q774="نامعتبر"),"",Sync!$M774)</f>
        <v/>
      </c>
      <c r="O774">
        <f>IF($N774="","",$Q774)</f>
        <v/>
      </c>
      <c r="P774">
        <f>IF($N774="","",LEFT($Q774,4)&amp;MID($Q774,6,2)&amp;RIGHT($Q774,2)&amp;IF(Sync!$K774="","0000",IF(AND(ISNUMBER(Sync!$K774),Sync!$K774&gt;=0,Sync!$K774&lt;1),RIGHT("00"&amp;HOUR(Sync!$K774),2)&amp;RIGHT("00"&amp;MINUTE(Sync!$K774),2),IFERROR(RIGHT("00"&amp;VALUE(LEFT(Sync!$K774,FIND(":",Sync!$K774)-1)),2)&amp;RIGHT("00"&amp;VALUE(MID(Sync!$K774,FIND(":",Sync!$K774)+1,2)),2),"0000")))&amp;"|"&amp;"2"&amp;RIGHT("00000"&amp;769,5))</f>
        <v/>
      </c>
      <c r="Q774">
        <f>IF(Sync!$J774="","",IF(ISNUMBER(Sync!$J774),IF(AND(Sync!$J774&gt;=10000101,Sync!$J774&lt;=99991231),INT(Sync!$J774/10000)&amp;"/"&amp;RIGHT("00"&amp;INT(MOD(Sync!$J774,10000)/100),2)&amp;"/"&amp;RIGHT("00"&amp;MOD(Sync!$J774,100),2),"نامعتبر"),IF(LEN(Sync!$J774)=10,Sync!$J774,"نامعتبر")))</f>
        <v/>
      </c>
      <c r="R774">
        <f>IF($P774="","",COUNTIFS($N$6:$N$2005,$N774,$P$6:$P$2005,"&lt;"&amp;$P774)+COUNTIFS($A$6:$A$1005,$N774,$B$6:$B$1005,"&lt;"&amp;$P774)+1)</f>
        <v/>
      </c>
      <c r="S774">
        <f>IF($N774="","",$N774&amp;"|"&amp;RIGHT("000000"&amp;$R774,6))</f>
        <v/>
      </c>
      <c r="T774">
        <f>IF($N774="","",IF(Sync!$N774="",0,Sync!$N774))</f>
        <v/>
      </c>
      <c r="U774">
        <f>IF($N774="","",IF(Sync!$O774="",0,Sync!$O774))</f>
        <v/>
      </c>
      <c r="V774">
        <f>IF($N774="","",Sync!$L774)</f>
        <v/>
      </c>
      <c r="W774">
        <f>IF($N774="","",Sync!$P774)</f>
        <v/>
      </c>
      <c r="AA774">
        <f>IF($A774="","",IF(COUNTIF($A$6:$A774,$A774)=1,1,0))</f>
        <v/>
      </c>
      <c r="AB774">
        <f>SUM($AA$6:$AA774)</f>
        <v/>
      </c>
      <c r="AC774">
        <f>IFERROR(INDEX($A$6:$A$1005,MATCH(ROW()-5,$AB$6:$AB$1005,0)),"")</f>
        <v/>
      </c>
    </row>
    <row r="775">
      <c r="A775">
        <f>IF(OR(Entry!$B778="",Entry!$E778="",$E775="نامعتبر"),"",Entry!$E778)</f>
        <v/>
      </c>
      <c r="B775">
        <f>IF($A775="","",LEFT($E775,4)&amp;MID($E775,6,2)&amp;RIGHT($E775,2)&amp;$F775&amp;"|"&amp;"1"&amp;RIGHT("00000"&amp;770,5))</f>
        <v/>
      </c>
      <c r="C775">
        <f>IF($B775="","",COUNTIFS($A$6:$A$1005,$A775,$B$6:$B$1005,"&lt;"&amp;$B775)+COUNTIFS($N$6:$N$2005,$A775,$P$6:$P$2005,"&lt;"&amp;$B775)+1)</f>
        <v/>
      </c>
      <c r="D775">
        <f>IF($C775="","",$A775&amp;"|"&amp;RIGHT("000000"&amp;$C775,6))</f>
        <v/>
      </c>
      <c r="E775">
        <f>IF(Entry!$B778="","",IF(ISNUMBER(Entry!$B778),IF(AND(Entry!$B778&gt;=10000101,Entry!$B778&lt;=99991231),INT(Entry!$B778/10000)&amp;"/"&amp;RIGHT("00"&amp;INT(MOD(Entry!$B778,10000)/100),2)&amp;"/"&amp;RIGHT("00"&amp;MOD(Entry!$B778,100),2),"نامعتبر"),IF(LEN(Entry!$B778)=10,Entry!$B778,"نامعتبر")))</f>
        <v/>
      </c>
      <c r="F775">
        <f>IF(Entry!$B778="","",IF(Entry!$C778="","0000",IF(AND(ISNUMBER(Entry!$C778),Entry!$C778&gt;=0,Entry!$C778&lt;1),RIGHT("00"&amp;HOUR(Entry!$C778),2)&amp;RIGHT("00"&amp;MINUTE(Entry!$C778),2),IFERROR(RIGHT("00"&amp;VALUE(LEFT(Entry!$C778,FIND(":",Entry!$C778)-1)),2)&amp;RIGHT("00"&amp;VALUE(MID(Entry!$C778,FIND(":",Entry!$C778)+1,2)),2),"0000"))))</f>
        <v/>
      </c>
      <c r="G775">
        <f>IF($A775="","",Entry!$G778)</f>
        <v/>
      </c>
      <c r="H775">
        <f>IF($A775="","",IF(Entry!$H778="",0,Entry!$H778))</f>
        <v/>
      </c>
      <c r="I775">
        <f>IF($A775="","",IF(Entry!$I778="",0,Entry!$I778))</f>
        <v/>
      </c>
      <c r="J775">
        <f>IF($A775="","",ROUND($H775*$I775,0))</f>
        <v/>
      </c>
      <c r="K775">
        <f>IF($A775="","",Entry!$D778)</f>
        <v/>
      </c>
      <c r="L775">
        <f>IF($A775="","",Entry!$L778)</f>
        <v/>
      </c>
      <c r="N775">
        <f>IF(OR(Sync!$M775="",$Q775="",$Q775="نامعتبر"),"",Sync!$M775)</f>
        <v/>
      </c>
      <c r="O775">
        <f>IF($N775="","",$Q775)</f>
        <v/>
      </c>
      <c r="P775">
        <f>IF($N775="","",LEFT($Q775,4)&amp;MID($Q775,6,2)&amp;RIGHT($Q775,2)&amp;IF(Sync!$K775="","0000",IF(AND(ISNUMBER(Sync!$K775),Sync!$K775&gt;=0,Sync!$K775&lt;1),RIGHT("00"&amp;HOUR(Sync!$K775),2)&amp;RIGHT("00"&amp;MINUTE(Sync!$K775),2),IFERROR(RIGHT("00"&amp;VALUE(LEFT(Sync!$K775,FIND(":",Sync!$K775)-1)),2)&amp;RIGHT("00"&amp;VALUE(MID(Sync!$K775,FIND(":",Sync!$K775)+1,2)),2),"0000")))&amp;"|"&amp;"2"&amp;RIGHT("00000"&amp;770,5))</f>
        <v/>
      </c>
      <c r="Q775">
        <f>IF(Sync!$J775="","",IF(ISNUMBER(Sync!$J775),IF(AND(Sync!$J775&gt;=10000101,Sync!$J775&lt;=99991231),INT(Sync!$J775/10000)&amp;"/"&amp;RIGHT("00"&amp;INT(MOD(Sync!$J775,10000)/100),2)&amp;"/"&amp;RIGHT("00"&amp;MOD(Sync!$J775,100),2),"نامعتبر"),IF(LEN(Sync!$J775)=10,Sync!$J775,"نامعتبر")))</f>
        <v/>
      </c>
      <c r="R775">
        <f>IF($P775="","",COUNTIFS($N$6:$N$2005,$N775,$P$6:$P$2005,"&lt;"&amp;$P775)+COUNTIFS($A$6:$A$1005,$N775,$B$6:$B$1005,"&lt;"&amp;$P775)+1)</f>
        <v/>
      </c>
      <c r="S775">
        <f>IF($N775="","",$N775&amp;"|"&amp;RIGHT("000000"&amp;$R775,6))</f>
        <v/>
      </c>
      <c r="T775">
        <f>IF($N775="","",IF(Sync!$N775="",0,Sync!$N775))</f>
        <v/>
      </c>
      <c r="U775">
        <f>IF($N775="","",IF(Sync!$O775="",0,Sync!$O775))</f>
        <v/>
      </c>
      <c r="V775">
        <f>IF($N775="","",Sync!$L775)</f>
        <v/>
      </c>
      <c r="W775">
        <f>IF($N775="","",Sync!$P775)</f>
        <v/>
      </c>
      <c r="AA775">
        <f>IF($A775="","",IF(COUNTIF($A$6:$A775,$A775)=1,1,0))</f>
        <v/>
      </c>
      <c r="AB775">
        <f>SUM($AA$6:$AA775)</f>
        <v/>
      </c>
      <c r="AC775">
        <f>IFERROR(INDEX($A$6:$A$1005,MATCH(ROW()-5,$AB$6:$AB$1005,0)),"")</f>
        <v/>
      </c>
    </row>
    <row r="776">
      <c r="A776">
        <f>IF(OR(Entry!$B779="",Entry!$E779="",$E776="نامعتبر"),"",Entry!$E779)</f>
        <v/>
      </c>
      <c r="B776">
        <f>IF($A776="","",LEFT($E776,4)&amp;MID($E776,6,2)&amp;RIGHT($E776,2)&amp;$F776&amp;"|"&amp;"1"&amp;RIGHT("00000"&amp;771,5))</f>
        <v/>
      </c>
      <c r="C776">
        <f>IF($B776="","",COUNTIFS($A$6:$A$1005,$A776,$B$6:$B$1005,"&lt;"&amp;$B776)+COUNTIFS($N$6:$N$2005,$A776,$P$6:$P$2005,"&lt;"&amp;$B776)+1)</f>
        <v/>
      </c>
      <c r="D776">
        <f>IF($C776="","",$A776&amp;"|"&amp;RIGHT("000000"&amp;$C776,6))</f>
        <v/>
      </c>
      <c r="E776">
        <f>IF(Entry!$B779="","",IF(ISNUMBER(Entry!$B779),IF(AND(Entry!$B779&gt;=10000101,Entry!$B779&lt;=99991231),INT(Entry!$B779/10000)&amp;"/"&amp;RIGHT("00"&amp;INT(MOD(Entry!$B779,10000)/100),2)&amp;"/"&amp;RIGHT("00"&amp;MOD(Entry!$B779,100),2),"نامعتبر"),IF(LEN(Entry!$B779)=10,Entry!$B779,"نامعتبر")))</f>
        <v/>
      </c>
      <c r="F776">
        <f>IF(Entry!$B779="","",IF(Entry!$C779="","0000",IF(AND(ISNUMBER(Entry!$C779),Entry!$C779&gt;=0,Entry!$C779&lt;1),RIGHT("00"&amp;HOUR(Entry!$C779),2)&amp;RIGHT("00"&amp;MINUTE(Entry!$C779),2),IFERROR(RIGHT("00"&amp;VALUE(LEFT(Entry!$C779,FIND(":",Entry!$C779)-1)),2)&amp;RIGHT("00"&amp;VALUE(MID(Entry!$C779,FIND(":",Entry!$C779)+1,2)),2),"0000"))))</f>
        <v/>
      </c>
      <c r="G776">
        <f>IF($A776="","",Entry!$G779)</f>
        <v/>
      </c>
      <c r="H776">
        <f>IF($A776="","",IF(Entry!$H779="",0,Entry!$H779))</f>
        <v/>
      </c>
      <c r="I776">
        <f>IF($A776="","",IF(Entry!$I779="",0,Entry!$I779))</f>
        <v/>
      </c>
      <c r="J776">
        <f>IF($A776="","",ROUND($H776*$I776,0))</f>
        <v/>
      </c>
      <c r="K776">
        <f>IF($A776="","",Entry!$D779)</f>
        <v/>
      </c>
      <c r="L776">
        <f>IF($A776="","",Entry!$L779)</f>
        <v/>
      </c>
      <c r="N776">
        <f>IF(OR(Sync!$M776="",$Q776="",$Q776="نامعتبر"),"",Sync!$M776)</f>
        <v/>
      </c>
      <c r="O776">
        <f>IF($N776="","",$Q776)</f>
        <v/>
      </c>
      <c r="P776">
        <f>IF($N776="","",LEFT($Q776,4)&amp;MID($Q776,6,2)&amp;RIGHT($Q776,2)&amp;IF(Sync!$K776="","0000",IF(AND(ISNUMBER(Sync!$K776),Sync!$K776&gt;=0,Sync!$K776&lt;1),RIGHT("00"&amp;HOUR(Sync!$K776),2)&amp;RIGHT("00"&amp;MINUTE(Sync!$K776),2),IFERROR(RIGHT("00"&amp;VALUE(LEFT(Sync!$K776,FIND(":",Sync!$K776)-1)),2)&amp;RIGHT("00"&amp;VALUE(MID(Sync!$K776,FIND(":",Sync!$K776)+1,2)),2),"0000")))&amp;"|"&amp;"2"&amp;RIGHT("00000"&amp;771,5))</f>
        <v/>
      </c>
      <c r="Q776">
        <f>IF(Sync!$J776="","",IF(ISNUMBER(Sync!$J776),IF(AND(Sync!$J776&gt;=10000101,Sync!$J776&lt;=99991231),INT(Sync!$J776/10000)&amp;"/"&amp;RIGHT("00"&amp;INT(MOD(Sync!$J776,10000)/100),2)&amp;"/"&amp;RIGHT("00"&amp;MOD(Sync!$J776,100),2),"نامعتبر"),IF(LEN(Sync!$J776)=10,Sync!$J776,"نامعتبر")))</f>
        <v/>
      </c>
      <c r="R776">
        <f>IF($P776="","",COUNTIFS($N$6:$N$2005,$N776,$P$6:$P$2005,"&lt;"&amp;$P776)+COUNTIFS($A$6:$A$1005,$N776,$B$6:$B$1005,"&lt;"&amp;$P776)+1)</f>
        <v/>
      </c>
      <c r="S776">
        <f>IF($N776="","",$N776&amp;"|"&amp;RIGHT("000000"&amp;$R776,6))</f>
        <v/>
      </c>
      <c r="T776">
        <f>IF($N776="","",IF(Sync!$N776="",0,Sync!$N776))</f>
        <v/>
      </c>
      <c r="U776">
        <f>IF($N776="","",IF(Sync!$O776="",0,Sync!$O776))</f>
        <v/>
      </c>
      <c r="V776">
        <f>IF($N776="","",Sync!$L776)</f>
        <v/>
      </c>
      <c r="W776">
        <f>IF($N776="","",Sync!$P776)</f>
        <v/>
      </c>
      <c r="AA776">
        <f>IF($A776="","",IF(COUNTIF($A$6:$A776,$A776)=1,1,0))</f>
        <v/>
      </c>
      <c r="AB776">
        <f>SUM($AA$6:$AA776)</f>
        <v/>
      </c>
      <c r="AC776">
        <f>IFERROR(INDEX($A$6:$A$1005,MATCH(ROW()-5,$AB$6:$AB$1005,0)),"")</f>
        <v/>
      </c>
    </row>
    <row r="777">
      <c r="A777">
        <f>IF(OR(Entry!$B780="",Entry!$E780="",$E777="نامعتبر"),"",Entry!$E780)</f>
        <v/>
      </c>
      <c r="B777">
        <f>IF($A777="","",LEFT($E777,4)&amp;MID($E777,6,2)&amp;RIGHT($E777,2)&amp;$F777&amp;"|"&amp;"1"&amp;RIGHT("00000"&amp;772,5))</f>
        <v/>
      </c>
      <c r="C777">
        <f>IF($B777="","",COUNTIFS($A$6:$A$1005,$A777,$B$6:$B$1005,"&lt;"&amp;$B777)+COUNTIFS($N$6:$N$2005,$A777,$P$6:$P$2005,"&lt;"&amp;$B777)+1)</f>
        <v/>
      </c>
      <c r="D777">
        <f>IF($C777="","",$A777&amp;"|"&amp;RIGHT("000000"&amp;$C777,6))</f>
        <v/>
      </c>
      <c r="E777">
        <f>IF(Entry!$B780="","",IF(ISNUMBER(Entry!$B780),IF(AND(Entry!$B780&gt;=10000101,Entry!$B780&lt;=99991231),INT(Entry!$B780/10000)&amp;"/"&amp;RIGHT("00"&amp;INT(MOD(Entry!$B780,10000)/100),2)&amp;"/"&amp;RIGHT("00"&amp;MOD(Entry!$B780,100),2),"نامعتبر"),IF(LEN(Entry!$B780)=10,Entry!$B780,"نامعتبر")))</f>
        <v/>
      </c>
      <c r="F777">
        <f>IF(Entry!$B780="","",IF(Entry!$C780="","0000",IF(AND(ISNUMBER(Entry!$C780),Entry!$C780&gt;=0,Entry!$C780&lt;1),RIGHT("00"&amp;HOUR(Entry!$C780),2)&amp;RIGHT("00"&amp;MINUTE(Entry!$C780),2),IFERROR(RIGHT("00"&amp;VALUE(LEFT(Entry!$C780,FIND(":",Entry!$C780)-1)),2)&amp;RIGHT("00"&amp;VALUE(MID(Entry!$C780,FIND(":",Entry!$C780)+1,2)),2),"0000"))))</f>
        <v/>
      </c>
      <c r="G777">
        <f>IF($A777="","",Entry!$G780)</f>
        <v/>
      </c>
      <c r="H777">
        <f>IF($A777="","",IF(Entry!$H780="",0,Entry!$H780))</f>
        <v/>
      </c>
      <c r="I777">
        <f>IF($A777="","",IF(Entry!$I780="",0,Entry!$I780))</f>
        <v/>
      </c>
      <c r="J777">
        <f>IF($A777="","",ROUND($H777*$I777,0))</f>
        <v/>
      </c>
      <c r="K777">
        <f>IF($A777="","",Entry!$D780)</f>
        <v/>
      </c>
      <c r="L777">
        <f>IF($A777="","",Entry!$L780)</f>
        <v/>
      </c>
      <c r="N777">
        <f>IF(OR(Sync!$M777="",$Q777="",$Q777="نامعتبر"),"",Sync!$M777)</f>
        <v/>
      </c>
      <c r="O777">
        <f>IF($N777="","",$Q777)</f>
        <v/>
      </c>
      <c r="P777">
        <f>IF($N777="","",LEFT($Q777,4)&amp;MID($Q777,6,2)&amp;RIGHT($Q777,2)&amp;IF(Sync!$K777="","0000",IF(AND(ISNUMBER(Sync!$K777),Sync!$K777&gt;=0,Sync!$K777&lt;1),RIGHT("00"&amp;HOUR(Sync!$K777),2)&amp;RIGHT("00"&amp;MINUTE(Sync!$K777),2),IFERROR(RIGHT("00"&amp;VALUE(LEFT(Sync!$K777,FIND(":",Sync!$K777)-1)),2)&amp;RIGHT("00"&amp;VALUE(MID(Sync!$K777,FIND(":",Sync!$K777)+1,2)),2),"0000")))&amp;"|"&amp;"2"&amp;RIGHT("00000"&amp;772,5))</f>
        <v/>
      </c>
      <c r="Q777">
        <f>IF(Sync!$J777="","",IF(ISNUMBER(Sync!$J777),IF(AND(Sync!$J777&gt;=10000101,Sync!$J777&lt;=99991231),INT(Sync!$J777/10000)&amp;"/"&amp;RIGHT("00"&amp;INT(MOD(Sync!$J777,10000)/100),2)&amp;"/"&amp;RIGHT("00"&amp;MOD(Sync!$J777,100),2),"نامعتبر"),IF(LEN(Sync!$J777)=10,Sync!$J777,"نامعتبر")))</f>
        <v/>
      </c>
      <c r="R777">
        <f>IF($P777="","",COUNTIFS($N$6:$N$2005,$N777,$P$6:$P$2005,"&lt;"&amp;$P777)+COUNTIFS($A$6:$A$1005,$N777,$B$6:$B$1005,"&lt;"&amp;$P777)+1)</f>
        <v/>
      </c>
      <c r="S777">
        <f>IF($N777="","",$N777&amp;"|"&amp;RIGHT("000000"&amp;$R777,6))</f>
        <v/>
      </c>
      <c r="T777">
        <f>IF($N777="","",IF(Sync!$N777="",0,Sync!$N777))</f>
        <v/>
      </c>
      <c r="U777">
        <f>IF($N777="","",IF(Sync!$O777="",0,Sync!$O777))</f>
        <v/>
      </c>
      <c r="V777">
        <f>IF($N777="","",Sync!$L777)</f>
        <v/>
      </c>
      <c r="W777">
        <f>IF($N777="","",Sync!$P777)</f>
        <v/>
      </c>
      <c r="AA777">
        <f>IF($A777="","",IF(COUNTIF($A$6:$A777,$A777)=1,1,0))</f>
        <v/>
      </c>
      <c r="AB777">
        <f>SUM($AA$6:$AA777)</f>
        <v/>
      </c>
      <c r="AC777">
        <f>IFERROR(INDEX($A$6:$A$1005,MATCH(ROW()-5,$AB$6:$AB$1005,0)),"")</f>
        <v/>
      </c>
    </row>
    <row r="778">
      <c r="A778">
        <f>IF(OR(Entry!$B781="",Entry!$E781="",$E778="نامعتبر"),"",Entry!$E781)</f>
        <v/>
      </c>
      <c r="B778">
        <f>IF($A778="","",LEFT($E778,4)&amp;MID($E778,6,2)&amp;RIGHT($E778,2)&amp;$F778&amp;"|"&amp;"1"&amp;RIGHT("00000"&amp;773,5))</f>
        <v/>
      </c>
      <c r="C778">
        <f>IF($B778="","",COUNTIFS($A$6:$A$1005,$A778,$B$6:$B$1005,"&lt;"&amp;$B778)+COUNTIFS($N$6:$N$2005,$A778,$P$6:$P$2005,"&lt;"&amp;$B778)+1)</f>
        <v/>
      </c>
      <c r="D778">
        <f>IF($C778="","",$A778&amp;"|"&amp;RIGHT("000000"&amp;$C778,6))</f>
        <v/>
      </c>
      <c r="E778">
        <f>IF(Entry!$B781="","",IF(ISNUMBER(Entry!$B781),IF(AND(Entry!$B781&gt;=10000101,Entry!$B781&lt;=99991231),INT(Entry!$B781/10000)&amp;"/"&amp;RIGHT("00"&amp;INT(MOD(Entry!$B781,10000)/100),2)&amp;"/"&amp;RIGHT("00"&amp;MOD(Entry!$B781,100),2),"نامعتبر"),IF(LEN(Entry!$B781)=10,Entry!$B781,"نامعتبر")))</f>
        <v/>
      </c>
      <c r="F778">
        <f>IF(Entry!$B781="","",IF(Entry!$C781="","0000",IF(AND(ISNUMBER(Entry!$C781),Entry!$C781&gt;=0,Entry!$C781&lt;1),RIGHT("00"&amp;HOUR(Entry!$C781),2)&amp;RIGHT("00"&amp;MINUTE(Entry!$C781),2),IFERROR(RIGHT("00"&amp;VALUE(LEFT(Entry!$C781,FIND(":",Entry!$C781)-1)),2)&amp;RIGHT("00"&amp;VALUE(MID(Entry!$C781,FIND(":",Entry!$C781)+1,2)),2),"0000"))))</f>
        <v/>
      </c>
      <c r="G778">
        <f>IF($A778="","",Entry!$G781)</f>
        <v/>
      </c>
      <c r="H778">
        <f>IF($A778="","",IF(Entry!$H781="",0,Entry!$H781))</f>
        <v/>
      </c>
      <c r="I778">
        <f>IF($A778="","",IF(Entry!$I781="",0,Entry!$I781))</f>
        <v/>
      </c>
      <c r="J778">
        <f>IF($A778="","",ROUND($H778*$I778,0))</f>
        <v/>
      </c>
      <c r="K778">
        <f>IF($A778="","",Entry!$D781)</f>
        <v/>
      </c>
      <c r="L778">
        <f>IF($A778="","",Entry!$L781)</f>
        <v/>
      </c>
      <c r="N778">
        <f>IF(OR(Sync!$M778="",$Q778="",$Q778="نامعتبر"),"",Sync!$M778)</f>
        <v/>
      </c>
      <c r="O778">
        <f>IF($N778="","",$Q778)</f>
        <v/>
      </c>
      <c r="P778">
        <f>IF($N778="","",LEFT($Q778,4)&amp;MID($Q778,6,2)&amp;RIGHT($Q778,2)&amp;IF(Sync!$K778="","0000",IF(AND(ISNUMBER(Sync!$K778),Sync!$K778&gt;=0,Sync!$K778&lt;1),RIGHT("00"&amp;HOUR(Sync!$K778),2)&amp;RIGHT("00"&amp;MINUTE(Sync!$K778),2),IFERROR(RIGHT("00"&amp;VALUE(LEFT(Sync!$K778,FIND(":",Sync!$K778)-1)),2)&amp;RIGHT("00"&amp;VALUE(MID(Sync!$K778,FIND(":",Sync!$K778)+1,2)),2),"0000")))&amp;"|"&amp;"2"&amp;RIGHT("00000"&amp;773,5))</f>
        <v/>
      </c>
      <c r="Q778">
        <f>IF(Sync!$J778="","",IF(ISNUMBER(Sync!$J778),IF(AND(Sync!$J778&gt;=10000101,Sync!$J778&lt;=99991231),INT(Sync!$J778/10000)&amp;"/"&amp;RIGHT("00"&amp;INT(MOD(Sync!$J778,10000)/100),2)&amp;"/"&amp;RIGHT("00"&amp;MOD(Sync!$J778,100),2),"نامعتبر"),IF(LEN(Sync!$J778)=10,Sync!$J778,"نامعتبر")))</f>
        <v/>
      </c>
      <c r="R778">
        <f>IF($P778="","",COUNTIFS($N$6:$N$2005,$N778,$P$6:$P$2005,"&lt;"&amp;$P778)+COUNTIFS($A$6:$A$1005,$N778,$B$6:$B$1005,"&lt;"&amp;$P778)+1)</f>
        <v/>
      </c>
      <c r="S778">
        <f>IF($N778="","",$N778&amp;"|"&amp;RIGHT("000000"&amp;$R778,6))</f>
        <v/>
      </c>
      <c r="T778">
        <f>IF($N778="","",IF(Sync!$N778="",0,Sync!$N778))</f>
        <v/>
      </c>
      <c r="U778">
        <f>IF($N778="","",IF(Sync!$O778="",0,Sync!$O778))</f>
        <v/>
      </c>
      <c r="V778">
        <f>IF($N778="","",Sync!$L778)</f>
        <v/>
      </c>
      <c r="W778">
        <f>IF($N778="","",Sync!$P778)</f>
        <v/>
      </c>
      <c r="AA778">
        <f>IF($A778="","",IF(COUNTIF($A$6:$A778,$A778)=1,1,0))</f>
        <v/>
      </c>
      <c r="AB778">
        <f>SUM($AA$6:$AA778)</f>
        <v/>
      </c>
      <c r="AC778">
        <f>IFERROR(INDEX($A$6:$A$1005,MATCH(ROW()-5,$AB$6:$AB$1005,0)),"")</f>
        <v/>
      </c>
    </row>
    <row r="779">
      <c r="A779">
        <f>IF(OR(Entry!$B782="",Entry!$E782="",$E779="نامعتبر"),"",Entry!$E782)</f>
        <v/>
      </c>
      <c r="B779">
        <f>IF($A779="","",LEFT($E779,4)&amp;MID($E779,6,2)&amp;RIGHT($E779,2)&amp;$F779&amp;"|"&amp;"1"&amp;RIGHT("00000"&amp;774,5))</f>
        <v/>
      </c>
      <c r="C779">
        <f>IF($B779="","",COUNTIFS($A$6:$A$1005,$A779,$B$6:$B$1005,"&lt;"&amp;$B779)+COUNTIFS($N$6:$N$2005,$A779,$P$6:$P$2005,"&lt;"&amp;$B779)+1)</f>
        <v/>
      </c>
      <c r="D779">
        <f>IF($C779="","",$A779&amp;"|"&amp;RIGHT("000000"&amp;$C779,6))</f>
        <v/>
      </c>
      <c r="E779">
        <f>IF(Entry!$B782="","",IF(ISNUMBER(Entry!$B782),IF(AND(Entry!$B782&gt;=10000101,Entry!$B782&lt;=99991231),INT(Entry!$B782/10000)&amp;"/"&amp;RIGHT("00"&amp;INT(MOD(Entry!$B782,10000)/100),2)&amp;"/"&amp;RIGHT("00"&amp;MOD(Entry!$B782,100),2),"نامعتبر"),IF(LEN(Entry!$B782)=10,Entry!$B782,"نامعتبر")))</f>
        <v/>
      </c>
      <c r="F779">
        <f>IF(Entry!$B782="","",IF(Entry!$C782="","0000",IF(AND(ISNUMBER(Entry!$C782),Entry!$C782&gt;=0,Entry!$C782&lt;1),RIGHT("00"&amp;HOUR(Entry!$C782),2)&amp;RIGHT("00"&amp;MINUTE(Entry!$C782),2),IFERROR(RIGHT("00"&amp;VALUE(LEFT(Entry!$C782,FIND(":",Entry!$C782)-1)),2)&amp;RIGHT("00"&amp;VALUE(MID(Entry!$C782,FIND(":",Entry!$C782)+1,2)),2),"0000"))))</f>
        <v/>
      </c>
      <c r="G779">
        <f>IF($A779="","",Entry!$G782)</f>
        <v/>
      </c>
      <c r="H779">
        <f>IF($A779="","",IF(Entry!$H782="",0,Entry!$H782))</f>
        <v/>
      </c>
      <c r="I779">
        <f>IF($A779="","",IF(Entry!$I782="",0,Entry!$I782))</f>
        <v/>
      </c>
      <c r="J779">
        <f>IF($A779="","",ROUND($H779*$I779,0))</f>
        <v/>
      </c>
      <c r="K779">
        <f>IF($A779="","",Entry!$D782)</f>
        <v/>
      </c>
      <c r="L779">
        <f>IF($A779="","",Entry!$L782)</f>
        <v/>
      </c>
      <c r="N779">
        <f>IF(OR(Sync!$M779="",$Q779="",$Q779="نامعتبر"),"",Sync!$M779)</f>
        <v/>
      </c>
      <c r="O779">
        <f>IF($N779="","",$Q779)</f>
        <v/>
      </c>
      <c r="P779">
        <f>IF($N779="","",LEFT($Q779,4)&amp;MID($Q779,6,2)&amp;RIGHT($Q779,2)&amp;IF(Sync!$K779="","0000",IF(AND(ISNUMBER(Sync!$K779),Sync!$K779&gt;=0,Sync!$K779&lt;1),RIGHT("00"&amp;HOUR(Sync!$K779),2)&amp;RIGHT("00"&amp;MINUTE(Sync!$K779),2),IFERROR(RIGHT("00"&amp;VALUE(LEFT(Sync!$K779,FIND(":",Sync!$K779)-1)),2)&amp;RIGHT("00"&amp;VALUE(MID(Sync!$K779,FIND(":",Sync!$K779)+1,2)),2),"0000")))&amp;"|"&amp;"2"&amp;RIGHT("00000"&amp;774,5))</f>
        <v/>
      </c>
      <c r="Q779">
        <f>IF(Sync!$J779="","",IF(ISNUMBER(Sync!$J779),IF(AND(Sync!$J779&gt;=10000101,Sync!$J779&lt;=99991231),INT(Sync!$J779/10000)&amp;"/"&amp;RIGHT("00"&amp;INT(MOD(Sync!$J779,10000)/100),2)&amp;"/"&amp;RIGHT("00"&amp;MOD(Sync!$J779,100),2),"نامعتبر"),IF(LEN(Sync!$J779)=10,Sync!$J779,"نامعتبر")))</f>
        <v/>
      </c>
      <c r="R779">
        <f>IF($P779="","",COUNTIFS($N$6:$N$2005,$N779,$P$6:$P$2005,"&lt;"&amp;$P779)+COUNTIFS($A$6:$A$1005,$N779,$B$6:$B$1005,"&lt;"&amp;$P779)+1)</f>
        <v/>
      </c>
      <c r="S779">
        <f>IF($N779="","",$N779&amp;"|"&amp;RIGHT("000000"&amp;$R779,6))</f>
        <v/>
      </c>
      <c r="T779">
        <f>IF($N779="","",IF(Sync!$N779="",0,Sync!$N779))</f>
        <v/>
      </c>
      <c r="U779">
        <f>IF($N779="","",IF(Sync!$O779="",0,Sync!$O779))</f>
        <v/>
      </c>
      <c r="V779">
        <f>IF($N779="","",Sync!$L779)</f>
        <v/>
      </c>
      <c r="W779">
        <f>IF($N779="","",Sync!$P779)</f>
        <v/>
      </c>
      <c r="AA779">
        <f>IF($A779="","",IF(COUNTIF($A$6:$A779,$A779)=1,1,0))</f>
        <v/>
      </c>
      <c r="AB779">
        <f>SUM($AA$6:$AA779)</f>
        <v/>
      </c>
      <c r="AC779">
        <f>IFERROR(INDEX($A$6:$A$1005,MATCH(ROW()-5,$AB$6:$AB$1005,0)),"")</f>
        <v/>
      </c>
    </row>
    <row r="780">
      <c r="A780">
        <f>IF(OR(Entry!$B783="",Entry!$E783="",$E780="نامعتبر"),"",Entry!$E783)</f>
        <v/>
      </c>
      <c r="B780">
        <f>IF($A780="","",LEFT($E780,4)&amp;MID($E780,6,2)&amp;RIGHT($E780,2)&amp;$F780&amp;"|"&amp;"1"&amp;RIGHT("00000"&amp;775,5))</f>
        <v/>
      </c>
      <c r="C780">
        <f>IF($B780="","",COUNTIFS($A$6:$A$1005,$A780,$B$6:$B$1005,"&lt;"&amp;$B780)+COUNTIFS($N$6:$N$2005,$A780,$P$6:$P$2005,"&lt;"&amp;$B780)+1)</f>
        <v/>
      </c>
      <c r="D780">
        <f>IF($C780="","",$A780&amp;"|"&amp;RIGHT("000000"&amp;$C780,6))</f>
        <v/>
      </c>
      <c r="E780">
        <f>IF(Entry!$B783="","",IF(ISNUMBER(Entry!$B783),IF(AND(Entry!$B783&gt;=10000101,Entry!$B783&lt;=99991231),INT(Entry!$B783/10000)&amp;"/"&amp;RIGHT("00"&amp;INT(MOD(Entry!$B783,10000)/100),2)&amp;"/"&amp;RIGHT("00"&amp;MOD(Entry!$B783,100),2),"نامعتبر"),IF(LEN(Entry!$B783)=10,Entry!$B783,"نامعتبر")))</f>
        <v/>
      </c>
      <c r="F780">
        <f>IF(Entry!$B783="","",IF(Entry!$C783="","0000",IF(AND(ISNUMBER(Entry!$C783),Entry!$C783&gt;=0,Entry!$C783&lt;1),RIGHT("00"&amp;HOUR(Entry!$C783),2)&amp;RIGHT("00"&amp;MINUTE(Entry!$C783),2),IFERROR(RIGHT("00"&amp;VALUE(LEFT(Entry!$C783,FIND(":",Entry!$C783)-1)),2)&amp;RIGHT("00"&amp;VALUE(MID(Entry!$C783,FIND(":",Entry!$C783)+1,2)),2),"0000"))))</f>
        <v/>
      </c>
      <c r="G780">
        <f>IF($A780="","",Entry!$G783)</f>
        <v/>
      </c>
      <c r="H780">
        <f>IF($A780="","",IF(Entry!$H783="",0,Entry!$H783))</f>
        <v/>
      </c>
      <c r="I780">
        <f>IF($A780="","",IF(Entry!$I783="",0,Entry!$I783))</f>
        <v/>
      </c>
      <c r="J780">
        <f>IF($A780="","",ROUND($H780*$I780,0))</f>
        <v/>
      </c>
      <c r="K780">
        <f>IF($A780="","",Entry!$D783)</f>
        <v/>
      </c>
      <c r="L780">
        <f>IF($A780="","",Entry!$L783)</f>
        <v/>
      </c>
      <c r="N780">
        <f>IF(OR(Sync!$M780="",$Q780="",$Q780="نامعتبر"),"",Sync!$M780)</f>
        <v/>
      </c>
      <c r="O780">
        <f>IF($N780="","",$Q780)</f>
        <v/>
      </c>
      <c r="P780">
        <f>IF($N780="","",LEFT($Q780,4)&amp;MID($Q780,6,2)&amp;RIGHT($Q780,2)&amp;IF(Sync!$K780="","0000",IF(AND(ISNUMBER(Sync!$K780),Sync!$K780&gt;=0,Sync!$K780&lt;1),RIGHT("00"&amp;HOUR(Sync!$K780),2)&amp;RIGHT("00"&amp;MINUTE(Sync!$K780),2),IFERROR(RIGHT("00"&amp;VALUE(LEFT(Sync!$K780,FIND(":",Sync!$K780)-1)),2)&amp;RIGHT("00"&amp;VALUE(MID(Sync!$K780,FIND(":",Sync!$K780)+1,2)),2),"0000")))&amp;"|"&amp;"2"&amp;RIGHT("00000"&amp;775,5))</f>
        <v/>
      </c>
      <c r="Q780">
        <f>IF(Sync!$J780="","",IF(ISNUMBER(Sync!$J780),IF(AND(Sync!$J780&gt;=10000101,Sync!$J780&lt;=99991231),INT(Sync!$J780/10000)&amp;"/"&amp;RIGHT("00"&amp;INT(MOD(Sync!$J780,10000)/100),2)&amp;"/"&amp;RIGHT("00"&amp;MOD(Sync!$J780,100),2),"نامعتبر"),IF(LEN(Sync!$J780)=10,Sync!$J780,"نامعتبر")))</f>
        <v/>
      </c>
      <c r="R780">
        <f>IF($P780="","",COUNTIFS($N$6:$N$2005,$N780,$P$6:$P$2005,"&lt;"&amp;$P780)+COUNTIFS($A$6:$A$1005,$N780,$B$6:$B$1005,"&lt;"&amp;$P780)+1)</f>
        <v/>
      </c>
      <c r="S780">
        <f>IF($N780="","",$N780&amp;"|"&amp;RIGHT("000000"&amp;$R780,6))</f>
        <v/>
      </c>
      <c r="T780">
        <f>IF($N780="","",IF(Sync!$N780="",0,Sync!$N780))</f>
        <v/>
      </c>
      <c r="U780">
        <f>IF($N780="","",IF(Sync!$O780="",0,Sync!$O780))</f>
        <v/>
      </c>
      <c r="V780">
        <f>IF($N780="","",Sync!$L780)</f>
        <v/>
      </c>
      <c r="W780">
        <f>IF($N780="","",Sync!$P780)</f>
        <v/>
      </c>
      <c r="AA780">
        <f>IF($A780="","",IF(COUNTIF($A$6:$A780,$A780)=1,1,0))</f>
        <v/>
      </c>
      <c r="AB780">
        <f>SUM($AA$6:$AA780)</f>
        <v/>
      </c>
      <c r="AC780">
        <f>IFERROR(INDEX($A$6:$A$1005,MATCH(ROW()-5,$AB$6:$AB$1005,0)),"")</f>
        <v/>
      </c>
    </row>
    <row r="781">
      <c r="A781">
        <f>IF(OR(Entry!$B784="",Entry!$E784="",$E781="نامعتبر"),"",Entry!$E784)</f>
        <v/>
      </c>
      <c r="B781">
        <f>IF($A781="","",LEFT($E781,4)&amp;MID($E781,6,2)&amp;RIGHT($E781,2)&amp;$F781&amp;"|"&amp;"1"&amp;RIGHT("00000"&amp;776,5))</f>
        <v/>
      </c>
      <c r="C781">
        <f>IF($B781="","",COUNTIFS($A$6:$A$1005,$A781,$B$6:$B$1005,"&lt;"&amp;$B781)+COUNTIFS($N$6:$N$2005,$A781,$P$6:$P$2005,"&lt;"&amp;$B781)+1)</f>
        <v/>
      </c>
      <c r="D781">
        <f>IF($C781="","",$A781&amp;"|"&amp;RIGHT("000000"&amp;$C781,6))</f>
        <v/>
      </c>
      <c r="E781">
        <f>IF(Entry!$B784="","",IF(ISNUMBER(Entry!$B784),IF(AND(Entry!$B784&gt;=10000101,Entry!$B784&lt;=99991231),INT(Entry!$B784/10000)&amp;"/"&amp;RIGHT("00"&amp;INT(MOD(Entry!$B784,10000)/100),2)&amp;"/"&amp;RIGHT("00"&amp;MOD(Entry!$B784,100),2),"نامعتبر"),IF(LEN(Entry!$B784)=10,Entry!$B784,"نامعتبر")))</f>
        <v/>
      </c>
      <c r="F781">
        <f>IF(Entry!$B784="","",IF(Entry!$C784="","0000",IF(AND(ISNUMBER(Entry!$C784),Entry!$C784&gt;=0,Entry!$C784&lt;1),RIGHT("00"&amp;HOUR(Entry!$C784),2)&amp;RIGHT("00"&amp;MINUTE(Entry!$C784),2),IFERROR(RIGHT("00"&amp;VALUE(LEFT(Entry!$C784,FIND(":",Entry!$C784)-1)),2)&amp;RIGHT("00"&amp;VALUE(MID(Entry!$C784,FIND(":",Entry!$C784)+1,2)),2),"0000"))))</f>
        <v/>
      </c>
      <c r="G781">
        <f>IF($A781="","",Entry!$G784)</f>
        <v/>
      </c>
      <c r="H781">
        <f>IF($A781="","",IF(Entry!$H784="",0,Entry!$H784))</f>
        <v/>
      </c>
      <c r="I781">
        <f>IF($A781="","",IF(Entry!$I784="",0,Entry!$I784))</f>
        <v/>
      </c>
      <c r="J781">
        <f>IF($A781="","",ROUND($H781*$I781,0))</f>
        <v/>
      </c>
      <c r="K781">
        <f>IF($A781="","",Entry!$D784)</f>
        <v/>
      </c>
      <c r="L781">
        <f>IF($A781="","",Entry!$L784)</f>
        <v/>
      </c>
      <c r="N781">
        <f>IF(OR(Sync!$M781="",$Q781="",$Q781="نامعتبر"),"",Sync!$M781)</f>
        <v/>
      </c>
      <c r="O781">
        <f>IF($N781="","",$Q781)</f>
        <v/>
      </c>
      <c r="P781">
        <f>IF($N781="","",LEFT($Q781,4)&amp;MID($Q781,6,2)&amp;RIGHT($Q781,2)&amp;IF(Sync!$K781="","0000",IF(AND(ISNUMBER(Sync!$K781),Sync!$K781&gt;=0,Sync!$K781&lt;1),RIGHT("00"&amp;HOUR(Sync!$K781),2)&amp;RIGHT("00"&amp;MINUTE(Sync!$K781),2),IFERROR(RIGHT("00"&amp;VALUE(LEFT(Sync!$K781,FIND(":",Sync!$K781)-1)),2)&amp;RIGHT("00"&amp;VALUE(MID(Sync!$K781,FIND(":",Sync!$K781)+1,2)),2),"0000")))&amp;"|"&amp;"2"&amp;RIGHT("00000"&amp;776,5))</f>
        <v/>
      </c>
      <c r="Q781">
        <f>IF(Sync!$J781="","",IF(ISNUMBER(Sync!$J781),IF(AND(Sync!$J781&gt;=10000101,Sync!$J781&lt;=99991231),INT(Sync!$J781/10000)&amp;"/"&amp;RIGHT("00"&amp;INT(MOD(Sync!$J781,10000)/100),2)&amp;"/"&amp;RIGHT("00"&amp;MOD(Sync!$J781,100),2),"نامعتبر"),IF(LEN(Sync!$J781)=10,Sync!$J781,"نامعتبر")))</f>
        <v/>
      </c>
      <c r="R781">
        <f>IF($P781="","",COUNTIFS($N$6:$N$2005,$N781,$P$6:$P$2005,"&lt;"&amp;$P781)+COUNTIFS($A$6:$A$1005,$N781,$B$6:$B$1005,"&lt;"&amp;$P781)+1)</f>
        <v/>
      </c>
      <c r="S781">
        <f>IF($N781="","",$N781&amp;"|"&amp;RIGHT("000000"&amp;$R781,6))</f>
        <v/>
      </c>
      <c r="T781">
        <f>IF($N781="","",IF(Sync!$N781="",0,Sync!$N781))</f>
        <v/>
      </c>
      <c r="U781">
        <f>IF($N781="","",IF(Sync!$O781="",0,Sync!$O781))</f>
        <v/>
      </c>
      <c r="V781">
        <f>IF($N781="","",Sync!$L781)</f>
        <v/>
      </c>
      <c r="W781">
        <f>IF($N781="","",Sync!$P781)</f>
        <v/>
      </c>
      <c r="AA781">
        <f>IF($A781="","",IF(COUNTIF($A$6:$A781,$A781)=1,1,0))</f>
        <v/>
      </c>
      <c r="AB781">
        <f>SUM($AA$6:$AA781)</f>
        <v/>
      </c>
      <c r="AC781">
        <f>IFERROR(INDEX($A$6:$A$1005,MATCH(ROW()-5,$AB$6:$AB$1005,0)),"")</f>
        <v/>
      </c>
    </row>
    <row r="782">
      <c r="A782">
        <f>IF(OR(Entry!$B785="",Entry!$E785="",$E782="نامعتبر"),"",Entry!$E785)</f>
        <v/>
      </c>
      <c r="B782">
        <f>IF($A782="","",LEFT($E782,4)&amp;MID($E782,6,2)&amp;RIGHT($E782,2)&amp;$F782&amp;"|"&amp;"1"&amp;RIGHT("00000"&amp;777,5))</f>
        <v/>
      </c>
      <c r="C782">
        <f>IF($B782="","",COUNTIFS($A$6:$A$1005,$A782,$B$6:$B$1005,"&lt;"&amp;$B782)+COUNTIFS($N$6:$N$2005,$A782,$P$6:$P$2005,"&lt;"&amp;$B782)+1)</f>
        <v/>
      </c>
      <c r="D782">
        <f>IF($C782="","",$A782&amp;"|"&amp;RIGHT("000000"&amp;$C782,6))</f>
        <v/>
      </c>
      <c r="E782">
        <f>IF(Entry!$B785="","",IF(ISNUMBER(Entry!$B785),IF(AND(Entry!$B785&gt;=10000101,Entry!$B785&lt;=99991231),INT(Entry!$B785/10000)&amp;"/"&amp;RIGHT("00"&amp;INT(MOD(Entry!$B785,10000)/100),2)&amp;"/"&amp;RIGHT("00"&amp;MOD(Entry!$B785,100),2),"نامعتبر"),IF(LEN(Entry!$B785)=10,Entry!$B785,"نامعتبر")))</f>
        <v/>
      </c>
      <c r="F782">
        <f>IF(Entry!$B785="","",IF(Entry!$C785="","0000",IF(AND(ISNUMBER(Entry!$C785),Entry!$C785&gt;=0,Entry!$C785&lt;1),RIGHT("00"&amp;HOUR(Entry!$C785),2)&amp;RIGHT("00"&amp;MINUTE(Entry!$C785),2),IFERROR(RIGHT("00"&amp;VALUE(LEFT(Entry!$C785,FIND(":",Entry!$C785)-1)),2)&amp;RIGHT("00"&amp;VALUE(MID(Entry!$C785,FIND(":",Entry!$C785)+1,2)),2),"0000"))))</f>
        <v/>
      </c>
      <c r="G782">
        <f>IF($A782="","",Entry!$G785)</f>
        <v/>
      </c>
      <c r="H782">
        <f>IF($A782="","",IF(Entry!$H785="",0,Entry!$H785))</f>
        <v/>
      </c>
      <c r="I782">
        <f>IF($A782="","",IF(Entry!$I785="",0,Entry!$I785))</f>
        <v/>
      </c>
      <c r="J782">
        <f>IF($A782="","",ROUND($H782*$I782,0))</f>
        <v/>
      </c>
      <c r="K782">
        <f>IF($A782="","",Entry!$D785)</f>
        <v/>
      </c>
      <c r="L782">
        <f>IF($A782="","",Entry!$L785)</f>
        <v/>
      </c>
      <c r="N782">
        <f>IF(OR(Sync!$M782="",$Q782="",$Q782="نامعتبر"),"",Sync!$M782)</f>
        <v/>
      </c>
      <c r="O782">
        <f>IF($N782="","",$Q782)</f>
        <v/>
      </c>
      <c r="P782">
        <f>IF($N782="","",LEFT($Q782,4)&amp;MID($Q782,6,2)&amp;RIGHT($Q782,2)&amp;IF(Sync!$K782="","0000",IF(AND(ISNUMBER(Sync!$K782),Sync!$K782&gt;=0,Sync!$K782&lt;1),RIGHT("00"&amp;HOUR(Sync!$K782),2)&amp;RIGHT("00"&amp;MINUTE(Sync!$K782),2),IFERROR(RIGHT("00"&amp;VALUE(LEFT(Sync!$K782,FIND(":",Sync!$K782)-1)),2)&amp;RIGHT("00"&amp;VALUE(MID(Sync!$K782,FIND(":",Sync!$K782)+1,2)),2),"0000")))&amp;"|"&amp;"2"&amp;RIGHT("00000"&amp;777,5))</f>
        <v/>
      </c>
      <c r="Q782">
        <f>IF(Sync!$J782="","",IF(ISNUMBER(Sync!$J782),IF(AND(Sync!$J782&gt;=10000101,Sync!$J782&lt;=99991231),INT(Sync!$J782/10000)&amp;"/"&amp;RIGHT("00"&amp;INT(MOD(Sync!$J782,10000)/100),2)&amp;"/"&amp;RIGHT("00"&amp;MOD(Sync!$J782,100),2),"نامعتبر"),IF(LEN(Sync!$J782)=10,Sync!$J782,"نامعتبر")))</f>
        <v/>
      </c>
      <c r="R782">
        <f>IF($P782="","",COUNTIFS($N$6:$N$2005,$N782,$P$6:$P$2005,"&lt;"&amp;$P782)+COUNTIFS($A$6:$A$1005,$N782,$B$6:$B$1005,"&lt;"&amp;$P782)+1)</f>
        <v/>
      </c>
      <c r="S782">
        <f>IF($N782="","",$N782&amp;"|"&amp;RIGHT("000000"&amp;$R782,6))</f>
        <v/>
      </c>
      <c r="T782">
        <f>IF($N782="","",IF(Sync!$N782="",0,Sync!$N782))</f>
        <v/>
      </c>
      <c r="U782">
        <f>IF($N782="","",IF(Sync!$O782="",0,Sync!$O782))</f>
        <v/>
      </c>
      <c r="V782">
        <f>IF($N782="","",Sync!$L782)</f>
        <v/>
      </c>
      <c r="W782">
        <f>IF($N782="","",Sync!$P782)</f>
        <v/>
      </c>
      <c r="AA782">
        <f>IF($A782="","",IF(COUNTIF($A$6:$A782,$A782)=1,1,0))</f>
        <v/>
      </c>
      <c r="AB782">
        <f>SUM($AA$6:$AA782)</f>
        <v/>
      </c>
      <c r="AC782">
        <f>IFERROR(INDEX($A$6:$A$1005,MATCH(ROW()-5,$AB$6:$AB$1005,0)),"")</f>
        <v/>
      </c>
    </row>
    <row r="783">
      <c r="A783">
        <f>IF(OR(Entry!$B786="",Entry!$E786="",$E783="نامعتبر"),"",Entry!$E786)</f>
        <v/>
      </c>
      <c r="B783">
        <f>IF($A783="","",LEFT($E783,4)&amp;MID($E783,6,2)&amp;RIGHT($E783,2)&amp;$F783&amp;"|"&amp;"1"&amp;RIGHT("00000"&amp;778,5))</f>
        <v/>
      </c>
      <c r="C783">
        <f>IF($B783="","",COUNTIFS($A$6:$A$1005,$A783,$B$6:$B$1005,"&lt;"&amp;$B783)+COUNTIFS($N$6:$N$2005,$A783,$P$6:$P$2005,"&lt;"&amp;$B783)+1)</f>
        <v/>
      </c>
      <c r="D783">
        <f>IF($C783="","",$A783&amp;"|"&amp;RIGHT("000000"&amp;$C783,6))</f>
        <v/>
      </c>
      <c r="E783">
        <f>IF(Entry!$B786="","",IF(ISNUMBER(Entry!$B786),IF(AND(Entry!$B786&gt;=10000101,Entry!$B786&lt;=99991231),INT(Entry!$B786/10000)&amp;"/"&amp;RIGHT("00"&amp;INT(MOD(Entry!$B786,10000)/100),2)&amp;"/"&amp;RIGHT("00"&amp;MOD(Entry!$B786,100),2),"نامعتبر"),IF(LEN(Entry!$B786)=10,Entry!$B786,"نامعتبر")))</f>
        <v/>
      </c>
      <c r="F783">
        <f>IF(Entry!$B786="","",IF(Entry!$C786="","0000",IF(AND(ISNUMBER(Entry!$C786),Entry!$C786&gt;=0,Entry!$C786&lt;1),RIGHT("00"&amp;HOUR(Entry!$C786),2)&amp;RIGHT("00"&amp;MINUTE(Entry!$C786),2),IFERROR(RIGHT("00"&amp;VALUE(LEFT(Entry!$C786,FIND(":",Entry!$C786)-1)),2)&amp;RIGHT("00"&amp;VALUE(MID(Entry!$C786,FIND(":",Entry!$C786)+1,2)),2),"0000"))))</f>
        <v/>
      </c>
      <c r="G783">
        <f>IF($A783="","",Entry!$G786)</f>
        <v/>
      </c>
      <c r="H783">
        <f>IF($A783="","",IF(Entry!$H786="",0,Entry!$H786))</f>
        <v/>
      </c>
      <c r="I783">
        <f>IF($A783="","",IF(Entry!$I786="",0,Entry!$I786))</f>
        <v/>
      </c>
      <c r="J783">
        <f>IF($A783="","",ROUND($H783*$I783,0))</f>
        <v/>
      </c>
      <c r="K783">
        <f>IF($A783="","",Entry!$D786)</f>
        <v/>
      </c>
      <c r="L783">
        <f>IF($A783="","",Entry!$L786)</f>
        <v/>
      </c>
      <c r="N783">
        <f>IF(OR(Sync!$M783="",$Q783="",$Q783="نامعتبر"),"",Sync!$M783)</f>
        <v/>
      </c>
      <c r="O783">
        <f>IF($N783="","",$Q783)</f>
        <v/>
      </c>
      <c r="P783">
        <f>IF($N783="","",LEFT($Q783,4)&amp;MID($Q783,6,2)&amp;RIGHT($Q783,2)&amp;IF(Sync!$K783="","0000",IF(AND(ISNUMBER(Sync!$K783),Sync!$K783&gt;=0,Sync!$K783&lt;1),RIGHT("00"&amp;HOUR(Sync!$K783),2)&amp;RIGHT("00"&amp;MINUTE(Sync!$K783),2),IFERROR(RIGHT("00"&amp;VALUE(LEFT(Sync!$K783,FIND(":",Sync!$K783)-1)),2)&amp;RIGHT("00"&amp;VALUE(MID(Sync!$K783,FIND(":",Sync!$K783)+1,2)),2),"0000")))&amp;"|"&amp;"2"&amp;RIGHT("00000"&amp;778,5))</f>
        <v/>
      </c>
      <c r="Q783">
        <f>IF(Sync!$J783="","",IF(ISNUMBER(Sync!$J783),IF(AND(Sync!$J783&gt;=10000101,Sync!$J783&lt;=99991231),INT(Sync!$J783/10000)&amp;"/"&amp;RIGHT("00"&amp;INT(MOD(Sync!$J783,10000)/100),2)&amp;"/"&amp;RIGHT("00"&amp;MOD(Sync!$J783,100),2),"نامعتبر"),IF(LEN(Sync!$J783)=10,Sync!$J783,"نامعتبر")))</f>
        <v/>
      </c>
      <c r="R783">
        <f>IF($P783="","",COUNTIFS($N$6:$N$2005,$N783,$P$6:$P$2005,"&lt;"&amp;$P783)+COUNTIFS($A$6:$A$1005,$N783,$B$6:$B$1005,"&lt;"&amp;$P783)+1)</f>
        <v/>
      </c>
      <c r="S783">
        <f>IF($N783="","",$N783&amp;"|"&amp;RIGHT("000000"&amp;$R783,6))</f>
        <v/>
      </c>
      <c r="T783">
        <f>IF($N783="","",IF(Sync!$N783="",0,Sync!$N783))</f>
        <v/>
      </c>
      <c r="U783">
        <f>IF($N783="","",IF(Sync!$O783="",0,Sync!$O783))</f>
        <v/>
      </c>
      <c r="V783">
        <f>IF($N783="","",Sync!$L783)</f>
        <v/>
      </c>
      <c r="W783">
        <f>IF($N783="","",Sync!$P783)</f>
        <v/>
      </c>
      <c r="AA783">
        <f>IF($A783="","",IF(COUNTIF($A$6:$A783,$A783)=1,1,0))</f>
        <v/>
      </c>
      <c r="AB783">
        <f>SUM($AA$6:$AA783)</f>
        <v/>
      </c>
      <c r="AC783">
        <f>IFERROR(INDEX($A$6:$A$1005,MATCH(ROW()-5,$AB$6:$AB$1005,0)),"")</f>
        <v/>
      </c>
    </row>
    <row r="784">
      <c r="A784">
        <f>IF(OR(Entry!$B787="",Entry!$E787="",$E784="نامعتبر"),"",Entry!$E787)</f>
        <v/>
      </c>
      <c r="B784">
        <f>IF($A784="","",LEFT($E784,4)&amp;MID($E784,6,2)&amp;RIGHT($E784,2)&amp;$F784&amp;"|"&amp;"1"&amp;RIGHT("00000"&amp;779,5))</f>
        <v/>
      </c>
      <c r="C784">
        <f>IF($B784="","",COUNTIFS($A$6:$A$1005,$A784,$B$6:$B$1005,"&lt;"&amp;$B784)+COUNTIFS($N$6:$N$2005,$A784,$P$6:$P$2005,"&lt;"&amp;$B784)+1)</f>
        <v/>
      </c>
      <c r="D784">
        <f>IF($C784="","",$A784&amp;"|"&amp;RIGHT("000000"&amp;$C784,6))</f>
        <v/>
      </c>
      <c r="E784">
        <f>IF(Entry!$B787="","",IF(ISNUMBER(Entry!$B787),IF(AND(Entry!$B787&gt;=10000101,Entry!$B787&lt;=99991231),INT(Entry!$B787/10000)&amp;"/"&amp;RIGHT("00"&amp;INT(MOD(Entry!$B787,10000)/100),2)&amp;"/"&amp;RIGHT("00"&amp;MOD(Entry!$B787,100),2),"نامعتبر"),IF(LEN(Entry!$B787)=10,Entry!$B787,"نامعتبر")))</f>
        <v/>
      </c>
      <c r="F784">
        <f>IF(Entry!$B787="","",IF(Entry!$C787="","0000",IF(AND(ISNUMBER(Entry!$C787),Entry!$C787&gt;=0,Entry!$C787&lt;1),RIGHT("00"&amp;HOUR(Entry!$C787),2)&amp;RIGHT("00"&amp;MINUTE(Entry!$C787),2),IFERROR(RIGHT("00"&amp;VALUE(LEFT(Entry!$C787,FIND(":",Entry!$C787)-1)),2)&amp;RIGHT("00"&amp;VALUE(MID(Entry!$C787,FIND(":",Entry!$C787)+1,2)),2),"0000"))))</f>
        <v/>
      </c>
      <c r="G784">
        <f>IF($A784="","",Entry!$G787)</f>
        <v/>
      </c>
      <c r="H784">
        <f>IF($A784="","",IF(Entry!$H787="",0,Entry!$H787))</f>
        <v/>
      </c>
      <c r="I784">
        <f>IF($A784="","",IF(Entry!$I787="",0,Entry!$I787))</f>
        <v/>
      </c>
      <c r="J784">
        <f>IF($A784="","",ROUND($H784*$I784,0))</f>
        <v/>
      </c>
      <c r="K784">
        <f>IF($A784="","",Entry!$D787)</f>
        <v/>
      </c>
      <c r="L784">
        <f>IF($A784="","",Entry!$L787)</f>
        <v/>
      </c>
      <c r="N784">
        <f>IF(OR(Sync!$M784="",$Q784="",$Q784="نامعتبر"),"",Sync!$M784)</f>
        <v/>
      </c>
      <c r="O784">
        <f>IF($N784="","",$Q784)</f>
        <v/>
      </c>
      <c r="P784">
        <f>IF($N784="","",LEFT($Q784,4)&amp;MID($Q784,6,2)&amp;RIGHT($Q784,2)&amp;IF(Sync!$K784="","0000",IF(AND(ISNUMBER(Sync!$K784),Sync!$K784&gt;=0,Sync!$K784&lt;1),RIGHT("00"&amp;HOUR(Sync!$K784),2)&amp;RIGHT("00"&amp;MINUTE(Sync!$K784),2),IFERROR(RIGHT("00"&amp;VALUE(LEFT(Sync!$K784,FIND(":",Sync!$K784)-1)),2)&amp;RIGHT("00"&amp;VALUE(MID(Sync!$K784,FIND(":",Sync!$K784)+1,2)),2),"0000")))&amp;"|"&amp;"2"&amp;RIGHT("00000"&amp;779,5))</f>
        <v/>
      </c>
      <c r="Q784">
        <f>IF(Sync!$J784="","",IF(ISNUMBER(Sync!$J784),IF(AND(Sync!$J784&gt;=10000101,Sync!$J784&lt;=99991231),INT(Sync!$J784/10000)&amp;"/"&amp;RIGHT("00"&amp;INT(MOD(Sync!$J784,10000)/100),2)&amp;"/"&amp;RIGHT("00"&amp;MOD(Sync!$J784,100),2),"نامعتبر"),IF(LEN(Sync!$J784)=10,Sync!$J784,"نامعتبر")))</f>
        <v/>
      </c>
      <c r="R784">
        <f>IF($P784="","",COUNTIFS($N$6:$N$2005,$N784,$P$6:$P$2005,"&lt;"&amp;$P784)+COUNTIFS($A$6:$A$1005,$N784,$B$6:$B$1005,"&lt;"&amp;$P784)+1)</f>
        <v/>
      </c>
      <c r="S784">
        <f>IF($N784="","",$N784&amp;"|"&amp;RIGHT("000000"&amp;$R784,6))</f>
        <v/>
      </c>
      <c r="T784">
        <f>IF($N784="","",IF(Sync!$N784="",0,Sync!$N784))</f>
        <v/>
      </c>
      <c r="U784">
        <f>IF($N784="","",IF(Sync!$O784="",0,Sync!$O784))</f>
        <v/>
      </c>
      <c r="V784">
        <f>IF($N784="","",Sync!$L784)</f>
        <v/>
      </c>
      <c r="W784">
        <f>IF($N784="","",Sync!$P784)</f>
        <v/>
      </c>
      <c r="AA784">
        <f>IF($A784="","",IF(COUNTIF($A$6:$A784,$A784)=1,1,0))</f>
        <v/>
      </c>
      <c r="AB784">
        <f>SUM($AA$6:$AA784)</f>
        <v/>
      </c>
      <c r="AC784">
        <f>IFERROR(INDEX($A$6:$A$1005,MATCH(ROW()-5,$AB$6:$AB$1005,0)),"")</f>
        <v/>
      </c>
    </row>
    <row r="785">
      <c r="A785">
        <f>IF(OR(Entry!$B788="",Entry!$E788="",$E785="نامعتبر"),"",Entry!$E788)</f>
        <v/>
      </c>
      <c r="B785">
        <f>IF($A785="","",LEFT($E785,4)&amp;MID($E785,6,2)&amp;RIGHT($E785,2)&amp;$F785&amp;"|"&amp;"1"&amp;RIGHT("00000"&amp;780,5))</f>
        <v/>
      </c>
      <c r="C785">
        <f>IF($B785="","",COUNTIFS($A$6:$A$1005,$A785,$B$6:$B$1005,"&lt;"&amp;$B785)+COUNTIFS($N$6:$N$2005,$A785,$P$6:$P$2005,"&lt;"&amp;$B785)+1)</f>
        <v/>
      </c>
      <c r="D785">
        <f>IF($C785="","",$A785&amp;"|"&amp;RIGHT("000000"&amp;$C785,6))</f>
        <v/>
      </c>
      <c r="E785">
        <f>IF(Entry!$B788="","",IF(ISNUMBER(Entry!$B788),IF(AND(Entry!$B788&gt;=10000101,Entry!$B788&lt;=99991231),INT(Entry!$B788/10000)&amp;"/"&amp;RIGHT("00"&amp;INT(MOD(Entry!$B788,10000)/100),2)&amp;"/"&amp;RIGHT("00"&amp;MOD(Entry!$B788,100),2),"نامعتبر"),IF(LEN(Entry!$B788)=10,Entry!$B788,"نامعتبر")))</f>
        <v/>
      </c>
      <c r="F785">
        <f>IF(Entry!$B788="","",IF(Entry!$C788="","0000",IF(AND(ISNUMBER(Entry!$C788),Entry!$C788&gt;=0,Entry!$C788&lt;1),RIGHT("00"&amp;HOUR(Entry!$C788),2)&amp;RIGHT("00"&amp;MINUTE(Entry!$C788),2),IFERROR(RIGHT("00"&amp;VALUE(LEFT(Entry!$C788,FIND(":",Entry!$C788)-1)),2)&amp;RIGHT("00"&amp;VALUE(MID(Entry!$C788,FIND(":",Entry!$C788)+1,2)),2),"0000"))))</f>
        <v/>
      </c>
      <c r="G785">
        <f>IF($A785="","",Entry!$G788)</f>
        <v/>
      </c>
      <c r="H785">
        <f>IF($A785="","",IF(Entry!$H788="",0,Entry!$H788))</f>
        <v/>
      </c>
      <c r="I785">
        <f>IF($A785="","",IF(Entry!$I788="",0,Entry!$I788))</f>
        <v/>
      </c>
      <c r="J785">
        <f>IF($A785="","",ROUND($H785*$I785,0))</f>
        <v/>
      </c>
      <c r="K785">
        <f>IF($A785="","",Entry!$D788)</f>
        <v/>
      </c>
      <c r="L785">
        <f>IF($A785="","",Entry!$L788)</f>
        <v/>
      </c>
      <c r="N785">
        <f>IF(OR(Sync!$M785="",$Q785="",$Q785="نامعتبر"),"",Sync!$M785)</f>
        <v/>
      </c>
      <c r="O785">
        <f>IF($N785="","",$Q785)</f>
        <v/>
      </c>
      <c r="P785">
        <f>IF($N785="","",LEFT($Q785,4)&amp;MID($Q785,6,2)&amp;RIGHT($Q785,2)&amp;IF(Sync!$K785="","0000",IF(AND(ISNUMBER(Sync!$K785),Sync!$K785&gt;=0,Sync!$K785&lt;1),RIGHT("00"&amp;HOUR(Sync!$K785),2)&amp;RIGHT("00"&amp;MINUTE(Sync!$K785),2),IFERROR(RIGHT("00"&amp;VALUE(LEFT(Sync!$K785,FIND(":",Sync!$K785)-1)),2)&amp;RIGHT("00"&amp;VALUE(MID(Sync!$K785,FIND(":",Sync!$K785)+1,2)),2),"0000")))&amp;"|"&amp;"2"&amp;RIGHT("00000"&amp;780,5))</f>
        <v/>
      </c>
      <c r="Q785">
        <f>IF(Sync!$J785="","",IF(ISNUMBER(Sync!$J785),IF(AND(Sync!$J785&gt;=10000101,Sync!$J785&lt;=99991231),INT(Sync!$J785/10000)&amp;"/"&amp;RIGHT("00"&amp;INT(MOD(Sync!$J785,10000)/100),2)&amp;"/"&amp;RIGHT("00"&amp;MOD(Sync!$J785,100),2),"نامعتبر"),IF(LEN(Sync!$J785)=10,Sync!$J785,"نامعتبر")))</f>
        <v/>
      </c>
      <c r="R785">
        <f>IF($P785="","",COUNTIFS($N$6:$N$2005,$N785,$P$6:$P$2005,"&lt;"&amp;$P785)+COUNTIFS($A$6:$A$1005,$N785,$B$6:$B$1005,"&lt;"&amp;$P785)+1)</f>
        <v/>
      </c>
      <c r="S785">
        <f>IF($N785="","",$N785&amp;"|"&amp;RIGHT("000000"&amp;$R785,6))</f>
        <v/>
      </c>
      <c r="T785">
        <f>IF($N785="","",IF(Sync!$N785="",0,Sync!$N785))</f>
        <v/>
      </c>
      <c r="U785">
        <f>IF($N785="","",IF(Sync!$O785="",0,Sync!$O785))</f>
        <v/>
      </c>
      <c r="V785">
        <f>IF($N785="","",Sync!$L785)</f>
        <v/>
      </c>
      <c r="W785">
        <f>IF($N785="","",Sync!$P785)</f>
        <v/>
      </c>
      <c r="AA785">
        <f>IF($A785="","",IF(COUNTIF($A$6:$A785,$A785)=1,1,0))</f>
        <v/>
      </c>
      <c r="AB785">
        <f>SUM($AA$6:$AA785)</f>
        <v/>
      </c>
      <c r="AC785">
        <f>IFERROR(INDEX($A$6:$A$1005,MATCH(ROW()-5,$AB$6:$AB$1005,0)),"")</f>
        <v/>
      </c>
    </row>
    <row r="786">
      <c r="A786">
        <f>IF(OR(Entry!$B789="",Entry!$E789="",$E786="نامعتبر"),"",Entry!$E789)</f>
        <v/>
      </c>
      <c r="B786">
        <f>IF($A786="","",LEFT($E786,4)&amp;MID($E786,6,2)&amp;RIGHT($E786,2)&amp;$F786&amp;"|"&amp;"1"&amp;RIGHT("00000"&amp;781,5))</f>
        <v/>
      </c>
      <c r="C786">
        <f>IF($B786="","",COUNTIFS($A$6:$A$1005,$A786,$B$6:$B$1005,"&lt;"&amp;$B786)+COUNTIFS($N$6:$N$2005,$A786,$P$6:$P$2005,"&lt;"&amp;$B786)+1)</f>
        <v/>
      </c>
      <c r="D786">
        <f>IF($C786="","",$A786&amp;"|"&amp;RIGHT("000000"&amp;$C786,6))</f>
        <v/>
      </c>
      <c r="E786">
        <f>IF(Entry!$B789="","",IF(ISNUMBER(Entry!$B789),IF(AND(Entry!$B789&gt;=10000101,Entry!$B789&lt;=99991231),INT(Entry!$B789/10000)&amp;"/"&amp;RIGHT("00"&amp;INT(MOD(Entry!$B789,10000)/100),2)&amp;"/"&amp;RIGHT("00"&amp;MOD(Entry!$B789,100),2),"نامعتبر"),IF(LEN(Entry!$B789)=10,Entry!$B789,"نامعتبر")))</f>
        <v/>
      </c>
      <c r="F786">
        <f>IF(Entry!$B789="","",IF(Entry!$C789="","0000",IF(AND(ISNUMBER(Entry!$C789),Entry!$C789&gt;=0,Entry!$C789&lt;1),RIGHT("00"&amp;HOUR(Entry!$C789),2)&amp;RIGHT("00"&amp;MINUTE(Entry!$C789),2),IFERROR(RIGHT("00"&amp;VALUE(LEFT(Entry!$C789,FIND(":",Entry!$C789)-1)),2)&amp;RIGHT("00"&amp;VALUE(MID(Entry!$C789,FIND(":",Entry!$C789)+1,2)),2),"0000"))))</f>
        <v/>
      </c>
      <c r="G786">
        <f>IF($A786="","",Entry!$G789)</f>
        <v/>
      </c>
      <c r="H786">
        <f>IF($A786="","",IF(Entry!$H789="",0,Entry!$H789))</f>
        <v/>
      </c>
      <c r="I786">
        <f>IF($A786="","",IF(Entry!$I789="",0,Entry!$I789))</f>
        <v/>
      </c>
      <c r="J786">
        <f>IF($A786="","",ROUND($H786*$I786,0))</f>
        <v/>
      </c>
      <c r="K786">
        <f>IF($A786="","",Entry!$D789)</f>
        <v/>
      </c>
      <c r="L786">
        <f>IF($A786="","",Entry!$L789)</f>
        <v/>
      </c>
      <c r="N786">
        <f>IF(OR(Sync!$M786="",$Q786="",$Q786="نامعتبر"),"",Sync!$M786)</f>
        <v/>
      </c>
      <c r="O786">
        <f>IF($N786="","",$Q786)</f>
        <v/>
      </c>
      <c r="P786">
        <f>IF($N786="","",LEFT($Q786,4)&amp;MID($Q786,6,2)&amp;RIGHT($Q786,2)&amp;IF(Sync!$K786="","0000",IF(AND(ISNUMBER(Sync!$K786),Sync!$K786&gt;=0,Sync!$K786&lt;1),RIGHT("00"&amp;HOUR(Sync!$K786),2)&amp;RIGHT("00"&amp;MINUTE(Sync!$K786),2),IFERROR(RIGHT("00"&amp;VALUE(LEFT(Sync!$K786,FIND(":",Sync!$K786)-1)),2)&amp;RIGHT("00"&amp;VALUE(MID(Sync!$K786,FIND(":",Sync!$K786)+1,2)),2),"0000")))&amp;"|"&amp;"2"&amp;RIGHT("00000"&amp;781,5))</f>
        <v/>
      </c>
      <c r="Q786">
        <f>IF(Sync!$J786="","",IF(ISNUMBER(Sync!$J786),IF(AND(Sync!$J786&gt;=10000101,Sync!$J786&lt;=99991231),INT(Sync!$J786/10000)&amp;"/"&amp;RIGHT("00"&amp;INT(MOD(Sync!$J786,10000)/100),2)&amp;"/"&amp;RIGHT("00"&amp;MOD(Sync!$J786,100),2),"نامعتبر"),IF(LEN(Sync!$J786)=10,Sync!$J786,"نامعتبر")))</f>
        <v/>
      </c>
      <c r="R786">
        <f>IF($P786="","",COUNTIFS($N$6:$N$2005,$N786,$P$6:$P$2005,"&lt;"&amp;$P786)+COUNTIFS($A$6:$A$1005,$N786,$B$6:$B$1005,"&lt;"&amp;$P786)+1)</f>
        <v/>
      </c>
      <c r="S786">
        <f>IF($N786="","",$N786&amp;"|"&amp;RIGHT("000000"&amp;$R786,6))</f>
        <v/>
      </c>
      <c r="T786">
        <f>IF($N786="","",IF(Sync!$N786="",0,Sync!$N786))</f>
        <v/>
      </c>
      <c r="U786">
        <f>IF($N786="","",IF(Sync!$O786="",0,Sync!$O786))</f>
        <v/>
      </c>
      <c r="V786">
        <f>IF($N786="","",Sync!$L786)</f>
        <v/>
      </c>
      <c r="W786">
        <f>IF($N786="","",Sync!$P786)</f>
        <v/>
      </c>
      <c r="AA786">
        <f>IF($A786="","",IF(COUNTIF($A$6:$A786,$A786)=1,1,0))</f>
        <v/>
      </c>
      <c r="AB786">
        <f>SUM($AA$6:$AA786)</f>
        <v/>
      </c>
      <c r="AC786">
        <f>IFERROR(INDEX($A$6:$A$1005,MATCH(ROW()-5,$AB$6:$AB$1005,0)),"")</f>
        <v/>
      </c>
    </row>
    <row r="787">
      <c r="A787">
        <f>IF(OR(Entry!$B790="",Entry!$E790="",$E787="نامعتبر"),"",Entry!$E790)</f>
        <v/>
      </c>
      <c r="B787">
        <f>IF($A787="","",LEFT($E787,4)&amp;MID($E787,6,2)&amp;RIGHT($E787,2)&amp;$F787&amp;"|"&amp;"1"&amp;RIGHT("00000"&amp;782,5))</f>
        <v/>
      </c>
      <c r="C787">
        <f>IF($B787="","",COUNTIFS($A$6:$A$1005,$A787,$B$6:$B$1005,"&lt;"&amp;$B787)+COUNTIFS($N$6:$N$2005,$A787,$P$6:$P$2005,"&lt;"&amp;$B787)+1)</f>
        <v/>
      </c>
      <c r="D787">
        <f>IF($C787="","",$A787&amp;"|"&amp;RIGHT("000000"&amp;$C787,6))</f>
        <v/>
      </c>
      <c r="E787">
        <f>IF(Entry!$B790="","",IF(ISNUMBER(Entry!$B790),IF(AND(Entry!$B790&gt;=10000101,Entry!$B790&lt;=99991231),INT(Entry!$B790/10000)&amp;"/"&amp;RIGHT("00"&amp;INT(MOD(Entry!$B790,10000)/100),2)&amp;"/"&amp;RIGHT("00"&amp;MOD(Entry!$B790,100),2),"نامعتبر"),IF(LEN(Entry!$B790)=10,Entry!$B790,"نامعتبر")))</f>
        <v/>
      </c>
      <c r="F787">
        <f>IF(Entry!$B790="","",IF(Entry!$C790="","0000",IF(AND(ISNUMBER(Entry!$C790),Entry!$C790&gt;=0,Entry!$C790&lt;1),RIGHT("00"&amp;HOUR(Entry!$C790),2)&amp;RIGHT("00"&amp;MINUTE(Entry!$C790),2),IFERROR(RIGHT("00"&amp;VALUE(LEFT(Entry!$C790,FIND(":",Entry!$C790)-1)),2)&amp;RIGHT("00"&amp;VALUE(MID(Entry!$C790,FIND(":",Entry!$C790)+1,2)),2),"0000"))))</f>
        <v/>
      </c>
      <c r="G787">
        <f>IF($A787="","",Entry!$G790)</f>
        <v/>
      </c>
      <c r="H787">
        <f>IF($A787="","",IF(Entry!$H790="",0,Entry!$H790))</f>
        <v/>
      </c>
      <c r="I787">
        <f>IF($A787="","",IF(Entry!$I790="",0,Entry!$I790))</f>
        <v/>
      </c>
      <c r="J787">
        <f>IF($A787="","",ROUND($H787*$I787,0))</f>
        <v/>
      </c>
      <c r="K787">
        <f>IF($A787="","",Entry!$D790)</f>
        <v/>
      </c>
      <c r="L787">
        <f>IF($A787="","",Entry!$L790)</f>
        <v/>
      </c>
      <c r="N787">
        <f>IF(OR(Sync!$M787="",$Q787="",$Q787="نامعتبر"),"",Sync!$M787)</f>
        <v/>
      </c>
      <c r="O787">
        <f>IF($N787="","",$Q787)</f>
        <v/>
      </c>
      <c r="P787">
        <f>IF($N787="","",LEFT($Q787,4)&amp;MID($Q787,6,2)&amp;RIGHT($Q787,2)&amp;IF(Sync!$K787="","0000",IF(AND(ISNUMBER(Sync!$K787),Sync!$K787&gt;=0,Sync!$K787&lt;1),RIGHT("00"&amp;HOUR(Sync!$K787),2)&amp;RIGHT("00"&amp;MINUTE(Sync!$K787),2),IFERROR(RIGHT("00"&amp;VALUE(LEFT(Sync!$K787,FIND(":",Sync!$K787)-1)),2)&amp;RIGHT("00"&amp;VALUE(MID(Sync!$K787,FIND(":",Sync!$K787)+1,2)),2),"0000")))&amp;"|"&amp;"2"&amp;RIGHT("00000"&amp;782,5))</f>
        <v/>
      </c>
      <c r="Q787">
        <f>IF(Sync!$J787="","",IF(ISNUMBER(Sync!$J787),IF(AND(Sync!$J787&gt;=10000101,Sync!$J787&lt;=99991231),INT(Sync!$J787/10000)&amp;"/"&amp;RIGHT("00"&amp;INT(MOD(Sync!$J787,10000)/100),2)&amp;"/"&amp;RIGHT("00"&amp;MOD(Sync!$J787,100),2),"نامعتبر"),IF(LEN(Sync!$J787)=10,Sync!$J787,"نامعتبر")))</f>
        <v/>
      </c>
      <c r="R787">
        <f>IF($P787="","",COUNTIFS($N$6:$N$2005,$N787,$P$6:$P$2005,"&lt;"&amp;$P787)+COUNTIFS($A$6:$A$1005,$N787,$B$6:$B$1005,"&lt;"&amp;$P787)+1)</f>
        <v/>
      </c>
      <c r="S787">
        <f>IF($N787="","",$N787&amp;"|"&amp;RIGHT("000000"&amp;$R787,6))</f>
        <v/>
      </c>
      <c r="T787">
        <f>IF($N787="","",IF(Sync!$N787="",0,Sync!$N787))</f>
        <v/>
      </c>
      <c r="U787">
        <f>IF($N787="","",IF(Sync!$O787="",0,Sync!$O787))</f>
        <v/>
      </c>
      <c r="V787">
        <f>IF($N787="","",Sync!$L787)</f>
        <v/>
      </c>
      <c r="W787">
        <f>IF($N787="","",Sync!$P787)</f>
        <v/>
      </c>
      <c r="AA787">
        <f>IF($A787="","",IF(COUNTIF($A$6:$A787,$A787)=1,1,0))</f>
        <v/>
      </c>
      <c r="AB787">
        <f>SUM($AA$6:$AA787)</f>
        <v/>
      </c>
      <c r="AC787">
        <f>IFERROR(INDEX($A$6:$A$1005,MATCH(ROW()-5,$AB$6:$AB$1005,0)),"")</f>
        <v/>
      </c>
    </row>
    <row r="788">
      <c r="A788">
        <f>IF(OR(Entry!$B791="",Entry!$E791="",$E788="نامعتبر"),"",Entry!$E791)</f>
        <v/>
      </c>
      <c r="B788">
        <f>IF($A788="","",LEFT($E788,4)&amp;MID($E788,6,2)&amp;RIGHT($E788,2)&amp;$F788&amp;"|"&amp;"1"&amp;RIGHT("00000"&amp;783,5))</f>
        <v/>
      </c>
      <c r="C788">
        <f>IF($B788="","",COUNTIFS($A$6:$A$1005,$A788,$B$6:$B$1005,"&lt;"&amp;$B788)+COUNTIFS($N$6:$N$2005,$A788,$P$6:$P$2005,"&lt;"&amp;$B788)+1)</f>
        <v/>
      </c>
      <c r="D788">
        <f>IF($C788="","",$A788&amp;"|"&amp;RIGHT("000000"&amp;$C788,6))</f>
        <v/>
      </c>
      <c r="E788">
        <f>IF(Entry!$B791="","",IF(ISNUMBER(Entry!$B791),IF(AND(Entry!$B791&gt;=10000101,Entry!$B791&lt;=99991231),INT(Entry!$B791/10000)&amp;"/"&amp;RIGHT("00"&amp;INT(MOD(Entry!$B791,10000)/100),2)&amp;"/"&amp;RIGHT("00"&amp;MOD(Entry!$B791,100),2),"نامعتبر"),IF(LEN(Entry!$B791)=10,Entry!$B791,"نامعتبر")))</f>
        <v/>
      </c>
      <c r="F788">
        <f>IF(Entry!$B791="","",IF(Entry!$C791="","0000",IF(AND(ISNUMBER(Entry!$C791),Entry!$C791&gt;=0,Entry!$C791&lt;1),RIGHT("00"&amp;HOUR(Entry!$C791),2)&amp;RIGHT("00"&amp;MINUTE(Entry!$C791),2),IFERROR(RIGHT("00"&amp;VALUE(LEFT(Entry!$C791,FIND(":",Entry!$C791)-1)),2)&amp;RIGHT("00"&amp;VALUE(MID(Entry!$C791,FIND(":",Entry!$C791)+1,2)),2),"0000"))))</f>
        <v/>
      </c>
      <c r="G788">
        <f>IF($A788="","",Entry!$G791)</f>
        <v/>
      </c>
      <c r="H788">
        <f>IF($A788="","",IF(Entry!$H791="",0,Entry!$H791))</f>
        <v/>
      </c>
      <c r="I788">
        <f>IF($A788="","",IF(Entry!$I791="",0,Entry!$I791))</f>
        <v/>
      </c>
      <c r="J788">
        <f>IF($A788="","",ROUND($H788*$I788,0))</f>
        <v/>
      </c>
      <c r="K788">
        <f>IF($A788="","",Entry!$D791)</f>
        <v/>
      </c>
      <c r="L788">
        <f>IF($A788="","",Entry!$L791)</f>
        <v/>
      </c>
      <c r="N788">
        <f>IF(OR(Sync!$M788="",$Q788="",$Q788="نامعتبر"),"",Sync!$M788)</f>
        <v/>
      </c>
      <c r="O788">
        <f>IF($N788="","",$Q788)</f>
        <v/>
      </c>
      <c r="P788">
        <f>IF($N788="","",LEFT($Q788,4)&amp;MID($Q788,6,2)&amp;RIGHT($Q788,2)&amp;IF(Sync!$K788="","0000",IF(AND(ISNUMBER(Sync!$K788),Sync!$K788&gt;=0,Sync!$K788&lt;1),RIGHT("00"&amp;HOUR(Sync!$K788),2)&amp;RIGHT("00"&amp;MINUTE(Sync!$K788),2),IFERROR(RIGHT("00"&amp;VALUE(LEFT(Sync!$K788,FIND(":",Sync!$K788)-1)),2)&amp;RIGHT("00"&amp;VALUE(MID(Sync!$K788,FIND(":",Sync!$K788)+1,2)),2),"0000")))&amp;"|"&amp;"2"&amp;RIGHT("00000"&amp;783,5))</f>
        <v/>
      </c>
      <c r="Q788">
        <f>IF(Sync!$J788="","",IF(ISNUMBER(Sync!$J788),IF(AND(Sync!$J788&gt;=10000101,Sync!$J788&lt;=99991231),INT(Sync!$J788/10000)&amp;"/"&amp;RIGHT("00"&amp;INT(MOD(Sync!$J788,10000)/100),2)&amp;"/"&amp;RIGHT("00"&amp;MOD(Sync!$J788,100),2),"نامعتبر"),IF(LEN(Sync!$J788)=10,Sync!$J788,"نامعتبر")))</f>
        <v/>
      </c>
      <c r="R788">
        <f>IF($P788="","",COUNTIFS($N$6:$N$2005,$N788,$P$6:$P$2005,"&lt;"&amp;$P788)+COUNTIFS($A$6:$A$1005,$N788,$B$6:$B$1005,"&lt;"&amp;$P788)+1)</f>
        <v/>
      </c>
      <c r="S788">
        <f>IF($N788="","",$N788&amp;"|"&amp;RIGHT("000000"&amp;$R788,6))</f>
        <v/>
      </c>
      <c r="T788">
        <f>IF($N788="","",IF(Sync!$N788="",0,Sync!$N788))</f>
        <v/>
      </c>
      <c r="U788">
        <f>IF($N788="","",IF(Sync!$O788="",0,Sync!$O788))</f>
        <v/>
      </c>
      <c r="V788">
        <f>IF($N788="","",Sync!$L788)</f>
        <v/>
      </c>
      <c r="W788">
        <f>IF($N788="","",Sync!$P788)</f>
        <v/>
      </c>
      <c r="AA788">
        <f>IF($A788="","",IF(COUNTIF($A$6:$A788,$A788)=1,1,0))</f>
        <v/>
      </c>
      <c r="AB788">
        <f>SUM($AA$6:$AA788)</f>
        <v/>
      </c>
      <c r="AC788">
        <f>IFERROR(INDEX($A$6:$A$1005,MATCH(ROW()-5,$AB$6:$AB$1005,0)),"")</f>
        <v/>
      </c>
    </row>
    <row r="789">
      <c r="A789">
        <f>IF(OR(Entry!$B792="",Entry!$E792="",$E789="نامعتبر"),"",Entry!$E792)</f>
        <v/>
      </c>
      <c r="B789">
        <f>IF($A789="","",LEFT($E789,4)&amp;MID($E789,6,2)&amp;RIGHT($E789,2)&amp;$F789&amp;"|"&amp;"1"&amp;RIGHT("00000"&amp;784,5))</f>
        <v/>
      </c>
      <c r="C789">
        <f>IF($B789="","",COUNTIFS($A$6:$A$1005,$A789,$B$6:$B$1005,"&lt;"&amp;$B789)+COUNTIFS($N$6:$N$2005,$A789,$P$6:$P$2005,"&lt;"&amp;$B789)+1)</f>
        <v/>
      </c>
      <c r="D789">
        <f>IF($C789="","",$A789&amp;"|"&amp;RIGHT("000000"&amp;$C789,6))</f>
        <v/>
      </c>
      <c r="E789">
        <f>IF(Entry!$B792="","",IF(ISNUMBER(Entry!$B792),IF(AND(Entry!$B792&gt;=10000101,Entry!$B792&lt;=99991231),INT(Entry!$B792/10000)&amp;"/"&amp;RIGHT("00"&amp;INT(MOD(Entry!$B792,10000)/100),2)&amp;"/"&amp;RIGHT("00"&amp;MOD(Entry!$B792,100),2),"نامعتبر"),IF(LEN(Entry!$B792)=10,Entry!$B792,"نامعتبر")))</f>
        <v/>
      </c>
      <c r="F789">
        <f>IF(Entry!$B792="","",IF(Entry!$C792="","0000",IF(AND(ISNUMBER(Entry!$C792),Entry!$C792&gt;=0,Entry!$C792&lt;1),RIGHT("00"&amp;HOUR(Entry!$C792),2)&amp;RIGHT("00"&amp;MINUTE(Entry!$C792),2),IFERROR(RIGHT("00"&amp;VALUE(LEFT(Entry!$C792,FIND(":",Entry!$C792)-1)),2)&amp;RIGHT("00"&amp;VALUE(MID(Entry!$C792,FIND(":",Entry!$C792)+1,2)),2),"0000"))))</f>
        <v/>
      </c>
      <c r="G789">
        <f>IF($A789="","",Entry!$G792)</f>
        <v/>
      </c>
      <c r="H789">
        <f>IF($A789="","",IF(Entry!$H792="",0,Entry!$H792))</f>
        <v/>
      </c>
      <c r="I789">
        <f>IF($A789="","",IF(Entry!$I792="",0,Entry!$I792))</f>
        <v/>
      </c>
      <c r="J789">
        <f>IF($A789="","",ROUND($H789*$I789,0))</f>
        <v/>
      </c>
      <c r="K789">
        <f>IF($A789="","",Entry!$D792)</f>
        <v/>
      </c>
      <c r="L789">
        <f>IF($A789="","",Entry!$L792)</f>
        <v/>
      </c>
      <c r="N789">
        <f>IF(OR(Sync!$M789="",$Q789="",$Q789="نامعتبر"),"",Sync!$M789)</f>
        <v/>
      </c>
      <c r="O789">
        <f>IF($N789="","",$Q789)</f>
        <v/>
      </c>
      <c r="P789">
        <f>IF($N789="","",LEFT($Q789,4)&amp;MID($Q789,6,2)&amp;RIGHT($Q789,2)&amp;IF(Sync!$K789="","0000",IF(AND(ISNUMBER(Sync!$K789),Sync!$K789&gt;=0,Sync!$K789&lt;1),RIGHT("00"&amp;HOUR(Sync!$K789),2)&amp;RIGHT("00"&amp;MINUTE(Sync!$K789),2),IFERROR(RIGHT("00"&amp;VALUE(LEFT(Sync!$K789,FIND(":",Sync!$K789)-1)),2)&amp;RIGHT("00"&amp;VALUE(MID(Sync!$K789,FIND(":",Sync!$K789)+1,2)),2),"0000")))&amp;"|"&amp;"2"&amp;RIGHT("00000"&amp;784,5))</f>
        <v/>
      </c>
      <c r="Q789">
        <f>IF(Sync!$J789="","",IF(ISNUMBER(Sync!$J789),IF(AND(Sync!$J789&gt;=10000101,Sync!$J789&lt;=99991231),INT(Sync!$J789/10000)&amp;"/"&amp;RIGHT("00"&amp;INT(MOD(Sync!$J789,10000)/100),2)&amp;"/"&amp;RIGHT("00"&amp;MOD(Sync!$J789,100),2),"نامعتبر"),IF(LEN(Sync!$J789)=10,Sync!$J789,"نامعتبر")))</f>
        <v/>
      </c>
      <c r="R789">
        <f>IF($P789="","",COUNTIFS($N$6:$N$2005,$N789,$P$6:$P$2005,"&lt;"&amp;$P789)+COUNTIFS($A$6:$A$1005,$N789,$B$6:$B$1005,"&lt;"&amp;$P789)+1)</f>
        <v/>
      </c>
      <c r="S789">
        <f>IF($N789="","",$N789&amp;"|"&amp;RIGHT("000000"&amp;$R789,6))</f>
        <v/>
      </c>
      <c r="T789">
        <f>IF($N789="","",IF(Sync!$N789="",0,Sync!$N789))</f>
        <v/>
      </c>
      <c r="U789">
        <f>IF($N789="","",IF(Sync!$O789="",0,Sync!$O789))</f>
        <v/>
      </c>
      <c r="V789">
        <f>IF($N789="","",Sync!$L789)</f>
        <v/>
      </c>
      <c r="W789">
        <f>IF($N789="","",Sync!$P789)</f>
        <v/>
      </c>
      <c r="AA789">
        <f>IF($A789="","",IF(COUNTIF($A$6:$A789,$A789)=1,1,0))</f>
        <v/>
      </c>
      <c r="AB789">
        <f>SUM($AA$6:$AA789)</f>
        <v/>
      </c>
      <c r="AC789">
        <f>IFERROR(INDEX($A$6:$A$1005,MATCH(ROW()-5,$AB$6:$AB$1005,0)),"")</f>
        <v/>
      </c>
    </row>
    <row r="790">
      <c r="A790">
        <f>IF(OR(Entry!$B793="",Entry!$E793="",$E790="نامعتبر"),"",Entry!$E793)</f>
        <v/>
      </c>
      <c r="B790">
        <f>IF($A790="","",LEFT($E790,4)&amp;MID($E790,6,2)&amp;RIGHT($E790,2)&amp;$F790&amp;"|"&amp;"1"&amp;RIGHT("00000"&amp;785,5))</f>
        <v/>
      </c>
      <c r="C790">
        <f>IF($B790="","",COUNTIFS($A$6:$A$1005,$A790,$B$6:$B$1005,"&lt;"&amp;$B790)+COUNTIFS($N$6:$N$2005,$A790,$P$6:$P$2005,"&lt;"&amp;$B790)+1)</f>
        <v/>
      </c>
      <c r="D790">
        <f>IF($C790="","",$A790&amp;"|"&amp;RIGHT("000000"&amp;$C790,6))</f>
        <v/>
      </c>
      <c r="E790">
        <f>IF(Entry!$B793="","",IF(ISNUMBER(Entry!$B793),IF(AND(Entry!$B793&gt;=10000101,Entry!$B793&lt;=99991231),INT(Entry!$B793/10000)&amp;"/"&amp;RIGHT("00"&amp;INT(MOD(Entry!$B793,10000)/100),2)&amp;"/"&amp;RIGHT("00"&amp;MOD(Entry!$B793,100),2),"نامعتبر"),IF(LEN(Entry!$B793)=10,Entry!$B793,"نامعتبر")))</f>
        <v/>
      </c>
      <c r="F790">
        <f>IF(Entry!$B793="","",IF(Entry!$C793="","0000",IF(AND(ISNUMBER(Entry!$C793),Entry!$C793&gt;=0,Entry!$C793&lt;1),RIGHT("00"&amp;HOUR(Entry!$C793),2)&amp;RIGHT("00"&amp;MINUTE(Entry!$C793),2),IFERROR(RIGHT("00"&amp;VALUE(LEFT(Entry!$C793,FIND(":",Entry!$C793)-1)),2)&amp;RIGHT("00"&amp;VALUE(MID(Entry!$C793,FIND(":",Entry!$C793)+1,2)),2),"0000"))))</f>
        <v/>
      </c>
      <c r="G790">
        <f>IF($A790="","",Entry!$G793)</f>
        <v/>
      </c>
      <c r="H790">
        <f>IF($A790="","",IF(Entry!$H793="",0,Entry!$H793))</f>
        <v/>
      </c>
      <c r="I790">
        <f>IF($A790="","",IF(Entry!$I793="",0,Entry!$I793))</f>
        <v/>
      </c>
      <c r="J790">
        <f>IF($A790="","",ROUND($H790*$I790,0))</f>
        <v/>
      </c>
      <c r="K790">
        <f>IF($A790="","",Entry!$D793)</f>
        <v/>
      </c>
      <c r="L790">
        <f>IF($A790="","",Entry!$L793)</f>
        <v/>
      </c>
      <c r="N790">
        <f>IF(OR(Sync!$M790="",$Q790="",$Q790="نامعتبر"),"",Sync!$M790)</f>
        <v/>
      </c>
      <c r="O790">
        <f>IF($N790="","",$Q790)</f>
        <v/>
      </c>
      <c r="P790">
        <f>IF($N790="","",LEFT($Q790,4)&amp;MID($Q790,6,2)&amp;RIGHT($Q790,2)&amp;IF(Sync!$K790="","0000",IF(AND(ISNUMBER(Sync!$K790),Sync!$K790&gt;=0,Sync!$K790&lt;1),RIGHT("00"&amp;HOUR(Sync!$K790),2)&amp;RIGHT("00"&amp;MINUTE(Sync!$K790),2),IFERROR(RIGHT("00"&amp;VALUE(LEFT(Sync!$K790,FIND(":",Sync!$K790)-1)),2)&amp;RIGHT("00"&amp;VALUE(MID(Sync!$K790,FIND(":",Sync!$K790)+1,2)),2),"0000")))&amp;"|"&amp;"2"&amp;RIGHT("00000"&amp;785,5))</f>
        <v/>
      </c>
      <c r="Q790">
        <f>IF(Sync!$J790="","",IF(ISNUMBER(Sync!$J790),IF(AND(Sync!$J790&gt;=10000101,Sync!$J790&lt;=99991231),INT(Sync!$J790/10000)&amp;"/"&amp;RIGHT("00"&amp;INT(MOD(Sync!$J790,10000)/100),2)&amp;"/"&amp;RIGHT("00"&amp;MOD(Sync!$J790,100),2),"نامعتبر"),IF(LEN(Sync!$J790)=10,Sync!$J790,"نامعتبر")))</f>
        <v/>
      </c>
      <c r="R790">
        <f>IF($P790="","",COUNTIFS($N$6:$N$2005,$N790,$P$6:$P$2005,"&lt;"&amp;$P790)+COUNTIFS($A$6:$A$1005,$N790,$B$6:$B$1005,"&lt;"&amp;$P790)+1)</f>
        <v/>
      </c>
      <c r="S790">
        <f>IF($N790="","",$N790&amp;"|"&amp;RIGHT("000000"&amp;$R790,6))</f>
        <v/>
      </c>
      <c r="T790">
        <f>IF($N790="","",IF(Sync!$N790="",0,Sync!$N790))</f>
        <v/>
      </c>
      <c r="U790">
        <f>IF($N790="","",IF(Sync!$O790="",0,Sync!$O790))</f>
        <v/>
      </c>
      <c r="V790">
        <f>IF($N790="","",Sync!$L790)</f>
        <v/>
      </c>
      <c r="W790">
        <f>IF($N790="","",Sync!$P790)</f>
        <v/>
      </c>
      <c r="AA790">
        <f>IF($A790="","",IF(COUNTIF($A$6:$A790,$A790)=1,1,0))</f>
        <v/>
      </c>
      <c r="AB790">
        <f>SUM($AA$6:$AA790)</f>
        <v/>
      </c>
      <c r="AC790">
        <f>IFERROR(INDEX($A$6:$A$1005,MATCH(ROW()-5,$AB$6:$AB$1005,0)),"")</f>
        <v/>
      </c>
    </row>
    <row r="791">
      <c r="A791">
        <f>IF(OR(Entry!$B794="",Entry!$E794="",$E791="نامعتبر"),"",Entry!$E794)</f>
        <v/>
      </c>
      <c r="B791">
        <f>IF($A791="","",LEFT($E791,4)&amp;MID($E791,6,2)&amp;RIGHT($E791,2)&amp;$F791&amp;"|"&amp;"1"&amp;RIGHT("00000"&amp;786,5))</f>
        <v/>
      </c>
      <c r="C791">
        <f>IF($B791="","",COUNTIFS($A$6:$A$1005,$A791,$B$6:$B$1005,"&lt;"&amp;$B791)+COUNTIFS($N$6:$N$2005,$A791,$P$6:$P$2005,"&lt;"&amp;$B791)+1)</f>
        <v/>
      </c>
      <c r="D791">
        <f>IF($C791="","",$A791&amp;"|"&amp;RIGHT("000000"&amp;$C791,6))</f>
        <v/>
      </c>
      <c r="E791">
        <f>IF(Entry!$B794="","",IF(ISNUMBER(Entry!$B794),IF(AND(Entry!$B794&gt;=10000101,Entry!$B794&lt;=99991231),INT(Entry!$B794/10000)&amp;"/"&amp;RIGHT("00"&amp;INT(MOD(Entry!$B794,10000)/100),2)&amp;"/"&amp;RIGHT("00"&amp;MOD(Entry!$B794,100),2),"نامعتبر"),IF(LEN(Entry!$B794)=10,Entry!$B794,"نامعتبر")))</f>
        <v/>
      </c>
      <c r="F791">
        <f>IF(Entry!$B794="","",IF(Entry!$C794="","0000",IF(AND(ISNUMBER(Entry!$C794),Entry!$C794&gt;=0,Entry!$C794&lt;1),RIGHT("00"&amp;HOUR(Entry!$C794),2)&amp;RIGHT("00"&amp;MINUTE(Entry!$C794),2),IFERROR(RIGHT("00"&amp;VALUE(LEFT(Entry!$C794,FIND(":",Entry!$C794)-1)),2)&amp;RIGHT("00"&amp;VALUE(MID(Entry!$C794,FIND(":",Entry!$C794)+1,2)),2),"0000"))))</f>
        <v/>
      </c>
      <c r="G791">
        <f>IF($A791="","",Entry!$G794)</f>
        <v/>
      </c>
      <c r="H791">
        <f>IF($A791="","",IF(Entry!$H794="",0,Entry!$H794))</f>
        <v/>
      </c>
      <c r="I791">
        <f>IF($A791="","",IF(Entry!$I794="",0,Entry!$I794))</f>
        <v/>
      </c>
      <c r="J791">
        <f>IF($A791="","",ROUND($H791*$I791,0))</f>
        <v/>
      </c>
      <c r="K791">
        <f>IF($A791="","",Entry!$D794)</f>
        <v/>
      </c>
      <c r="L791">
        <f>IF($A791="","",Entry!$L794)</f>
        <v/>
      </c>
      <c r="N791">
        <f>IF(OR(Sync!$M791="",$Q791="",$Q791="نامعتبر"),"",Sync!$M791)</f>
        <v/>
      </c>
      <c r="O791">
        <f>IF($N791="","",$Q791)</f>
        <v/>
      </c>
      <c r="P791">
        <f>IF($N791="","",LEFT($Q791,4)&amp;MID($Q791,6,2)&amp;RIGHT($Q791,2)&amp;IF(Sync!$K791="","0000",IF(AND(ISNUMBER(Sync!$K791),Sync!$K791&gt;=0,Sync!$K791&lt;1),RIGHT("00"&amp;HOUR(Sync!$K791),2)&amp;RIGHT("00"&amp;MINUTE(Sync!$K791),2),IFERROR(RIGHT("00"&amp;VALUE(LEFT(Sync!$K791,FIND(":",Sync!$K791)-1)),2)&amp;RIGHT("00"&amp;VALUE(MID(Sync!$K791,FIND(":",Sync!$K791)+1,2)),2),"0000")))&amp;"|"&amp;"2"&amp;RIGHT("00000"&amp;786,5))</f>
        <v/>
      </c>
      <c r="Q791">
        <f>IF(Sync!$J791="","",IF(ISNUMBER(Sync!$J791),IF(AND(Sync!$J791&gt;=10000101,Sync!$J791&lt;=99991231),INT(Sync!$J791/10000)&amp;"/"&amp;RIGHT("00"&amp;INT(MOD(Sync!$J791,10000)/100),2)&amp;"/"&amp;RIGHT("00"&amp;MOD(Sync!$J791,100),2),"نامعتبر"),IF(LEN(Sync!$J791)=10,Sync!$J791,"نامعتبر")))</f>
        <v/>
      </c>
      <c r="R791">
        <f>IF($P791="","",COUNTIFS($N$6:$N$2005,$N791,$P$6:$P$2005,"&lt;"&amp;$P791)+COUNTIFS($A$6:$A$1005,$N791,$B$6:$B$1005,"&lt;"&amp;$P791)+1)</f>
        <v/>
      </c>
      <c r="S791">
        <f>IF($N791="","",$N791&amp;"|"&amp;RIGHT("000000"&amp;$R791,6))</f>
        <v/>
      </c>
      <c r="T791">
        <f>IF($N791="","",IF(Sync!$N791="",0,Sync!$N791))</f>
        <v/>
      </c>
      <c r="U791">
        <f>IF($N791="","",IF(Sync!$O791="",0,Sync!$O791))</f>
        <v/>
      </c>
      <c r="V791">
        <f>IF($N791="","",Sync!$L791)</f>
        <v/>
      </c>
      <c r="W791">
        <f>IF($N791="","",Sync!$P791)</f>
        <v/>
      </c>
      <c r="AA791">
        <f>IF($A791="","",IF(COUNTIF($A$6:$A791,$A791)=1,1,0))</f>
        <v/>
      </c>
      <c r="AB791">
        <f>SUM($AA$6:$AA791)</f>
        <v/>
      </c>
      <c r="AC791">
        <f>IFERROR(INDEX($A$6:$A$1005,MATCH(ROW()-5,$AB$6:$AB$1005,0)),"")</f>
        <v/>
      </c>
    </row>
    <row r="792">
      <c r="A792">
        <f>IF(OR(Entry!$B795="",Entry!$E795="",$E792="نامعتبر"),"",Entry!$E795)</f>
        <v/>
      </c>
      <c r="B792">
        <f>IF($A792="","",LEFT($E792,4)&amp;MID($E792,6,2)&amp;RIGHT($E792,2)&amp;$F792&amp;"|"&amp;"1"&amp;RIGHT("00000"&amp;787,5))</f>
        <v/>
      </c>
      <c r="C792">
        <f>IF($B792="","",COUNTIFS($A$6:$A$1005,$A792,$B$6:$B$1005,"&lt;"&amp;$B792)+COUNTIFS($N$6:$N$2005,$A792,$P$6:$P$2005,"&lt;"&amp;$B792)+1)</f>
        <v/>
      </c>
      <c r="D792">
        <f>IF($C792="","",$A792&amp;"|"&amp;RIGHT("000000"&amp;$C792,6))</f>
        <v/>
      </c>
      <c r="E792">
        <f>IF(Entry!$B795="","",IF(ISNUMBER(Entry!$B795),IF(AND(Entry!$B795&gt;=10000101,Entry!$B795&lt;=99991231),INT(Entry!$B795/10000)&amp;"/"&amp;RIGHT("00"&amp;INT(MOD(Entry!$B795,10000)/100),2)&amp;"/"&amp;RIGHT("00"&amp;MOD(Entry!$B795,100),2),"نامعتبر"),IF(LEN(Entry!$B795)=10,Entry!$B795,"نامعتبر")))</f>
        <v/>
      </c>
      <c r="F792">
        <f>IF(Entry!$B795="","",IF(Entry!$C795="","0000",IF(AND(ISNUMBER(Entry!$C795),Entry!$C795&gt;=0,Entry!$C795&lt;1),RIGHT("00"&amp;HOUR(Entry!$C795),2)&amp;RIGHT("00"&amp;MINUTE(Entry!$C795),2),IFERROR(RIGHT("00"&amp;VALUE(LEFT(Entry!$C795,FIND(":",Entry!$C795)-1)),2)&amp;RIGHT("00"&amp;VALUE(MID(Entry!$C795,FIND(":",Entry!$C795)+1,2)),2),"0000"))))</f>
        <v/>
      </c>
      <c r="G792">
        <f>IF($A792="","",Entry!$G795)</f>
        <v/>
      </c>
      <c r="H792">
        <f>IF($A792="","",IF(Entry!$H795="",0,Entry!$H795))</f>
        <v/>
      </c>
      <c r="I792">
        <f>IF($A792="","",IF(Entry!$I795="",0,Entry!$I795))</f>
        <v/>
      </c>
      <c r="J792">
        <f>IF($A792="","",ROUND($H792*$I792,0))</f>
        <v/>
      </c>
      <c r="K792">
        <f>IF($A792="","",Entry!$D795)</f>
        <v/>
      </c>
      <c r="L792">
        <f>IF($A792="","",Entry!$L795)</f>
        <v/>
      </c>
      <c r="N792">
        <f>IF(OR(Sync!$M792="",$Q792="",$Q792="نامعتبر"),"",Sync!$M792)</f>
        <v/>
      </c>
      <c r="O792">
        <f>IF($N792="","",$Q792)</f>
        <v/>
      </c>
      <c r="P792">
        <f>IF($N792="","",LEFT($Q792,4)&amp;MID($Q792,6,2)&amp;RIGHT($Q792,2)&amp;IF(Sync!$K792="","0000",IF(AND(ISNUMBER(Sync!$K792),Sync!$K792&gt;=0,Sync!$K792&lt;1),RIGHT("00"&amp;HOUR(Sync!$K792),2)&amp;RIGHT("00"&amp;MINUTE(Sync!$K792),2),IFERROR(RIGHT("00"&amp;VALUE(LEFT(Sync!$K792,FIND(":",Sync!$K792)-1)),2)&amp;RIGHT("00"&amp;VALUE(MID(Sync!$K792,FIND(":",Sync!$K792)+1,2)),2),"0000")))&amp;"|"&amp;"2"&amp;RIGHT("00000"&amp;787,5))</f>
        <v/>
      </c>
      <c r="Q792">
        <f>IF(Sync!$J792="","",IF(ISNUMBER(Sync!$J792),IF(AND(Sync!$J792&gt;=10000101,Sync!$J792&lt;=99991231),INT(Sync!$J792/10000)&amp;"/"&amp;RIGHT("00"&amp;INT(MOD(Sync!$J792,10000)/100),2)&amp;"/"&amp;RIGHT("00"&amp;MOD(Sync!$J792,100),2),"نامعتبر"),IF(LEN(Sync!$J792)=10,Sync!$J792,"نامعتبر")))</f>
        <v/>
      </c>
      <c r="R792">
        <f>IF($P792="","",COUNTIFS($N$6:$N$2005,$N792,$P$6:$P$2005,"&lt;"&amp;$P792)+COUNTIFS($A$6:$A$1005,$N792,$B$6:$B$1005,"&lt;"&amp;$P792)+1)</f>
        <v/>
      </c>
      <c r="S792">
        <f>IF($N792="","",$N792&amp;"|"&amp;RIGHT("000000"&amp;$R792,6))</f>
        <v/>
      </c>
      <c r="T792">
        <f>IF($N792="","",IF(Sync!$N792="",0,Sync!$N792))</f>
        <v/>
      </c>
      <c r="U792">
        <f>IF($N792="","",IF(Sync!$O792="",0,Sync!$O792))</f>
        <v/>
      </c>
      <c r="V792">
        <f>IF($N792="","",Sync!$L792)</f>
        <v/>
      </c>
      <c r="W792">
        <f>IF($N792="","",Sync!$P792)</f>
        <v/>
      </c>
      <c r="AA792">
        <f>IF($A792="","",IF(COUNTIF($A$6:$A792,$A792)=1,1,0))</f>
        <v/>
      </c>
      <c r="AB792">
        <f>SUM($AA$6:$AA792)</f>
        <v/>
      </c>
      <c r="AC792">
        <f>IFERROR(INDEX($A$6:$A$1005,MATCH(ROW()-5,$AB$6:$AB$1005,0)),"")</f>
        <v/>
      </c>
    </row>
    <row r="793">
      <c r="A793">
        <f>IF(OR(Entry!$B796="",Entry!$E796="",$E793="نامعتبر"),"",Entry!$E796)</f>
        <v/>
      </c>
      <c r="B793">
        <f>IF($A793="","",LEFT($E793,4)&amp;MID($E793,6,2)&amp;RIGHT($E793,2)&amp;$F793&amp;"|"&amp;"1"&amp;RIGHT("00000"&amp;788,5))</f>
        <v/>
      </c>
      <c r="C793">
        <f>IF($B793="","",COUNTIFS($A$6:$A$1005,$A793,$B$6:$B$1005,"&lt;"&amp;$B793)+COUNTIFS($N$6:$N$2005,$A793,$P$6:$P$2005,"&lt;"&amp;$B793)+1)</f>
        <v/>
      </c>
      <c r="D793">
        <f>IF($C793="","",$A793&amp;"|"&amp;RIGHT("000000"&amp;$C793,6))</f>
        <v/>
      </c>
      <c r="E793">
        <f>IF(Entry!$B796="","",IF(ISNUMBER(Entry!$B796),IF(AND(Entry!$B796&gt;=10000101,Entry!$B796&lt;=99991231),INT(Entry!$B796/10000)&amp;"/"&amp;RIGHT("00"&amp;INT(MOD(Entry!$B796,10000)/100),2)&amp;"/"&amp;RIGHT("00"&amp;MOD(Entry!$B796,100),2),"نامعتبر"),IF(LEN(Entry!$B796)=10,Entry!$B796,"نامعتبر")))</f>
        <v/>
      </c>
      <c r="F793">
        <f>IF(Entry!$B796="","",IF(Entry!$C796="","0000",IF(AND(ISNUMBER(Entry!$C796),Entry!$C796&gt;=0,Entry!$C796&lt;1),RIGHT("00"&amp;HOUR(Entry!$C796),2)&amp;RIGHT("00"&amp;MINUTE(Entry!$C796),2),IFERROR(RIGHT("00"&amp;VALUE(LEFT(Entry!$C796,FIND(":",Entry!$C796)-1)),2)&amp;RIGHT("00"&amp;VALUE(MID(Entry!$C796,FIND(":",Entry!$C796)+1,2)),2),"0000"))))</f>
        <v/>
      </c>
      <c r="G793">
        <f>IF($A793="","",Entry!$G796)</f>
        <v/>
      </c>
      <c r="H793">
        <f>IF($A793="","",IF(Entry!$H796="",0,Entry!$H796))</f>
        <v/>
      </c>
      <c r="I793">
        <f>IF($A793="","",IF(Entry!$I796="",0,Entry!$I796))</f>
        <v/>
      </c>
      <c r="J793">
        <f>IF($A793="","",ROUND($H793*$I793,0))</f>
        <v/>
      </c>
      <c r="K793">
        <f>IF($A793="","",Entry!$D796)</f>
        <v/>
      </c>
      <c r="L793">
        <f>IF($A793="","",Entry!$L796)</f>
        <v/>
      </c>
      <c r="N793">
        <f>IF(OR(Sync!$M793="",$Q793="",$Q793="نامعتبر"),"",Sync!$M793)</f>
        <v/>
      </c>
      <c r="O793">
        <f>IF($N793="","",$Q793)</f>
        <v/>
      </c>
      <c r="P793">
        <f>IF($N793="","",LEFT($Q793,4)&amp;MID($Q793,6,2)&amp;RIGHT($Q793,2)&amp;IF(Sync!$K793="","0000",IF(AND(ISNUMBER(Sync!$K793),Sync!$K793&gt;=0,Sync!$K793&lt;1),RIGHT("00"&amp;HOUR(Sync!$K793),2)&amp;RIGHT("00"&amp;MINUTE(Sync!$K793),2),IFERROR(RIGHT("00"&amp;VALUE(LEFT(Sync!$K793,FIND(":",Sync!$K793)-1)),2)&amp;RIGHT("00"&amp;VALUE(MID(Sync!$K793,FIND(":",Sync!$K793)+1,2)),2),"0000")))&amp;"|"&amp;"2"&amp;RIGHT("00000"&amp;788,5))</f>
        <v/>
      </c>
      <c r="Q793">
        <f>IF(Sync!$J793="","",IF(ISNUMBER(Sync!$J793),IF(AND(Sync!$J793&gt;=10000101,Sync!$J793&lt;=99991231),INT(Sync!$J793/10000)&amp;"/"&amp;RIGHT("00"&amp;INT(MOD(Sync!$J793,10000)/100),2)&amp;"/"&amp;RIGHT("00"&amp;MOD(Sync!$J793,100),2),"نامعتبر"),IF(LEN(Sync!$J793)=10,Sync!$J793,"نامعتبر")))</f>
        <v/>
      </c>
      <c r="R793">
        <f>IF($P793="","",COUNTIFS($N$6:$N$2005,$N793,$P$6:$P$2005,"&lt;"&amp;$P793)+COUNTIFS($A$6:$A$1005,$N793,$B$6:$B$1005,"&lt;"&amp;$P793)+1)</f>
        <v/>
      </c>
      <c r="S793">
        <f>IF($N793="","",$N793&amp;"|"&amp;RIGHT("000000"&amp;$R793,6))</f>
        <v/>
      </c>
      <c r="T793">
        <f>IF($N793="","",IF(Sync!$N793="",0,Sync!$N793))</f>
        <v/>
      </c>
      <c r="U793">
        <f>IF($N793="","",IF(Sync!$O793="",0,Sync!$O793))</f>
        <v/>
      </c>
      <c r="V793">
        <f>IF($N793="","",Sync!$L793)</f>
        <v/>
      </c>
      <c r="W793">
        <f>IF($N793="","",Sync!$P793)</f>
        <v/>
      </c>
      <c r="AA793">
        <f>IF($A793="","",IF(COUNTIF($A$6:$A793,$A793)=1,1,0))</f>
        <v/>
      </c>
      <c r="AB793">
        <f>SUM($AA$6:$AA793)</f>
        <v/>
      </c>
      <c r="AC793">
        <f>IFERROR(INDEX($A$6:$A$1005,MATCH(ROW()-5,$AB$6:$AB$1005,0)),"")</f>
        <v/>
      </c>
    </row>
    <row r="794">
      <c r="A794">
        <f>IF(OR(Entry!$B797="",Entry!$E797="",$E794="نامعتبر"),"",Entry!$E797)</f>
        <v/>
      </c>
      <c r="B794">
        <f>IF($A794="","",LEFT($E794,4)&amp;MID($E794,6,2)&amp;RIGHT($E794,2)&amp;$F794&amp;"|"&amp;"1"&amp;RIGHT("00000"&amp;789,5))</f>
        <v/>
      </c>
      <c r="C794">
        <f>IF($B794="","",COUNTIFS($A$6:$A$1005,$A794,$B$6:$B$1005,"&lt;"&amp;$B794)+COUNTIFS($N$6:$N$2005,$A794,$P$6:$P$2005,"&lt;"&amp;$B794)+1)</f>
        <v/>
      </c>
      <c r="D794">
        <f>IF($C794="","",$A794&amp;"|"&amp;RIGHT("000000"&amp;$C794,6))</f>
        <v/>
      </c>
      <c r="E794">
        <f>IF(Entry!$B797="","",IF(ISNUMBER(Entry!$B797),IF(AND(Entry!$B797&gt;=10000101,Entry!$B797&lt;=99991231),INT(Entry!$B797/10000)&amp;"/"&amp;RIGHT("00"&amp;INT(MOD(Entry!$B797,10000)/100),2)&amp;"/"&amp;RIGHT("00"&amp;MOD(Entry!$B797,100),2),"نامعتبر"),IF(LEN(Entry!$B797)=10,Entry!$B797,"نامعتبر")))</f>
        <v/>
      </c>
      <c r="F794">
        <f>IF(Entry!$B797="","",IF(Entry!$C797="","0000",IF(AND(ISNUMBER(Entry!$C797),Entry!$C797&gt;=0,Entry!$C797&lt;1),RIGHT("00"&amp;HOUR(Entry!$C797),2)&amp;RIGHT("00"&amp;MINUTE(Entry!$C797),2),IFERROR(RIGHT("00"&amp;VALUE(LEFT(Entry!$C797,FIND(":",Entry!$C797)-1)),2)&amp;RIGHT("00"&amp;VALUE(MID(Entry!$C797,FIND(":",Entry!$C797)+1,2)),2),"0000"))))</f>
        <v/>
      </c>
      <c r="G794">
        <f>IF($A794="","",Entry!$G797)</f>
        <v/>
      </c>
      <c r="H794">
        <f>IF($A794="","",IF(Entry!$H797="",0,Entry!$H797))</f>
        <v/>
      </c>
      <c r="I794">
        <f>IF($A794="","",IF(Entry!$I797="",0,Entry!$I797))</f>
        <v/>
      </c>
      <c r="J794">
        <f>IF($A794="","",ROUND($H794*$I794,0))</f>
        <v/>
      </c>
      <c r="K794">
        <f>IF($A794="","",Entry!$D797)</f>
        <v/>
      </c>
      <c r="L794">
        <f>IF($A794="","",Entry!$L797)</f>
        <v/>
      </c>
      <c r="N794">
        <f>IF(OR(Sync!$M794="",$Q794="",$Q794="نامعتبر"),"",Sync!$M794)</f>
        <v/>
      </c>
      <c r="O794">
        <f>IF($N794="","",$Q794)</f>
        <v/>
      </c>
      <c r="P794">
        <f>IF($N794="","",LEFT($Q794,4)&amp;MID($Q794,6,2)&amp;RIGHT($Q794,2)&amp;IF(Sync!$K794="","0000",IF(AND(ISNUMBER(Sync!$K794),Sync!$K794&gt;=0,Sync!$K794&lt;1),RIGHT("00"&amp;HOUR(Sync!$K794),2)&amp;RIGHT("00"&amp;MINUTE(Sync!$K794),2),IFERROR(RIGHT("00"&amp;VALUE(LEFT(Sync!$K794,FIND(":",Sync!$K794)-1)),2)&amp;RIGHT("00"&amp;VALUE(MID(Sync!$K794,FIND(":",Sync!$K794)+1,2)),2),"0000")))&amp;"|"&amp;"2"&amp;RIGHT("00000"&amp;789,5))</f>
        <v/>
      </c>
      <c r="Q794">
        <f>IF(Sync!$J794="","",IF(ISNUMBER(Sync!$J794),IF(AND(Sync!$J794&gt;=10000101,Sync!$J794&lt;=99991231),INT(Sync!$J794/10000)&amp;"/"&amp;RIGHT("00"&amp;INT(MOD(Sync!$J794,10000)/100),2)&amp;"/"&amp;RIGHT("00"&amp;MOD(Sync!$J794,100),2),"نامعتبر"),IF(LEN(Sync!$J794)=10,Sync!$J794,"نامعتبر")))</f>
        <v/>
      </c>
      <c r="R794">
        <f>IF($P794="","",COUNTIFS($N$6:$N$2005,$N794,$P$6:$P$2005,"&lt;"&amp;$P794)+COUNTIFS($A$6:$A$1005,$N794,$B$6:$B$1005,"&lt;"&amp;$P794)+1)</f>
        <v/>
      </c>
      <c r="S794">
        <f>IF($N794="","",$N794&amp;"|"&amp;RIGHT("000000"&amp;$R794,6))</f>
        <v/>
      </c>
      <c r="T794">
        <f>IF($N794="","",IF(Sync!$N794="",0,Sync!$N794))</f>
        <v/>
      </c>
      <c r="U794">
        <f>IF($N794="","",IF(Sync!$O794="",0,Sync!$O794))</f>
        <v/>
      </c>
      <c r="V794">
        <f>IF($N794="","",Sync!$L794)</f>
        <v/>
      </c>
      <c r="W794">
        <f>IF($N794="","",Sync!$P794)</f>
        <v/>
      </c>
      <c r="AA794">
        <f>IF($A794="","",IF(COUNTIF($A$6:$A794,$A794)=1,1,0))</f>
        <v/>
      </c>
      <c r="AB794">
        <f>SUM($AA$6:$AA794)</f>
        <v/>
      </c>
      <c r="AC794">
        <f>IFERROR(INDEX($A$6:$A$1005,MATCH(ROW()-5,$AB$6:$AB$1005,0)),"")</f>
        <v/>
      </c>
    </row>
    <row r="795">
      <c r="A795">
        <f>IF(OR(Entry!$B798="",Entry!$E798="",$E795="نامعتبر"),"",Entry!$E798)</f>
        <v/>
      </c>
      <c r="B795">
        <f>IF($A795="","",LEFT($E795,4)&amp;MID($E795,6,2)&amp;RIGHT($E795,2)&amp;$F795&amp;"|"&amp;"1"&amp;RIGHT("00000"&amp;790,5))</f>
        <v/>
      </c>
      <c r="C795">
        <f>IF($B795="","",COUNTIFS($A$6:$A$1005,$A795,$B$6:$B$1005,"&lt;"&amp;$B795)+COUNTIFS($N$6:$N$2005,$A795,$P$6:$P$2005,"&lt;"&amp;$B795)+1)</f>
        <v/>
      </c>
      <c r="D795">
        <f>IF($C795="","",$A795&amp;"|"&amp;RIGHT("000000"&amp;$C795,6))</f>
        <v/>
      </c>
      <c r="E795">
        <f>IF(Entry!$B798="","",IF(ISNUMBER(Entry!$B798),IF(AND(Entry!$B798&gt;=10000101,Entry!$B798&lt;=99991231),INT(Entry!$B798/10000)&amp;"/"&amp;RIGHT("00"&amp;INT(MOD(Entry!$B798,10000)/100),2)&amp;"/"&amp;RIGHT("00"&amp;MOD(Entry!$B798,100),2),"نامعتبر"),IF(LEN(Entry!$B798)=10,Entry!$B798,"نامعتبر")))</f>
        <v/>
      </c>
      <c r="F795">
        <f>IF(Entry!$B798="","",IF(Entry!$C798="","0000",IF(AND(ISNUMBER(Entry!$C798),Entry!$C798&gt;=0,Entry!$C798&lt;1),RIGHT("00"&amp;HOUR(Entry!$C798),2)&amp;RIGHT("00"&amp;MINUTE(Entry!$C798),2),IFERROR(RIGHT("00"&amp;VALUE(LEFT(Entry!$C798,FIND(":",Entry!$C798)-1)),2)&amp;RIGHT("00"&amp;VALUE(MID(Entry!$C798,FIND(":",Entry!$C798)+1,2)),2),"0000"))))</f>
        <v/>
      </c>
      <c r="G795">
        <f>IF($A795="","",Entry!$G798)</f>
        <v/>
      </c>
      <c r="H795">
        <f>IF($A795="","",IF(Entry!$H798="",0,Entry!$H798))</f>
        <v/>
      </c>
      <c r="I795">
        <f>IF($A795="","",IF(Entry!$I798="",0,Entry!$I798))</f>
        <v/>
      </c>
      <c r="J795">
        <f>IF($A795="","",ROUND($H795*$I795,0))</f>
        <v/>
      </c>
      <c r="K795">
        <f>IF($A795="","",Entry!$D798)</f>
        <v/>
      </c>
      <c r="L795">
        <f>IF($A795="","",Entry!$L798)</f>
        <v/>
      </c>
      <c r="N795">
        <f>IF(OR(Sync!$M795="",$Q795="",$Q795="نامعتبر"),"",Sync!$M795)</f>
        <v/>
      </c>
      <c r="O795">
        <f>IF($N795="","",$Q795)</f>
        <v/>
      </c>
      <c r="P795">
        <f>IF($N795="","",LEFT($Q795,4)&amp;MID($Q795,6,2)&amp;RIGHT($Q795,2)&amp;IF(Sync!$K795="","0000",IF(AND(ISNUMBER(Sync!$K795),Sync!$K795&gt;=0,Sync!$K795&lt;1),RIGHT("00"&amp;HOUR(Sync!$K795),2)&amp;RIGHT("00"&amp;MINUTE(Sync!$K795),2),IFERROR(RIGHT("00"&amp;VALUE(LEFT(Sync!$K795,FIND(":",Sync!$K795)-1)),2)&amp;RIGHT("00"&amp;VALUE(MID(Sync!$K795,FIND(":",Sync!$K795)+1,2)),2),"0000")))&amp;"|"&amp;"2"&amp;RIGHT("00000"&amp;790,5))</f>
        <v/>
      </c>
      <c r="Q795">
        <f>IF(Sync!$J795="","",IF(ISNUMBER(Sync!$J795),IF(AND(Sync!$J795&gt;=10000101,Sync!$J795&lt;=99991231),INT(Sync!$J795/10000)&amp;"/"&amp;RIGHT("00"&amp;INT(MOD(Sync!$J795,10000)/100),2)&amp;"/"&amp;RIGHT("00"&amp;MOD(Sync!$J795,100),2),"نامعتبر"),IF(LEN(Sync!$J795)=10,Sync!$J795,"نامعتبر")))</f>
        <v/>
      </c>
      <c r="R795">
        <f>IF($P795="","",COUNTIFS($N$6:$N$2005,$N795,$P$6:$P$2005,"&lt;"&amp;$P795)+COUNTIFS($A$6:$A$1005,$N795,$B$6:$B$1005,"&lt;"&amp;$P795)+1)</f>
        <v/>
      </c>
      <c r="S795">
        <f>IF($N795="","",$N795&amp;"|"&amp;RIGHT("000000"&amp;$R795,6))</f>
        <v/>
      </c>
      <c r="T795">
        <f>IF($N795="","",IF(Sync!$N795="",0,Sync!$N795))</f>
        <v/>
      </c>
      <c r="U795">
        <f>IF($N795="","",IF(Sync!$O795="",0,Sync!$O795))</f>
        <v/>
      </c>
      <c r="V795">
        <f>IF($N795="","",Sync!$L795)</f>
        <v/>
      </c>
      <c r="W795">
        <f>IF($N795="","",Sync!$P795)</f>
        <v/>
      </c>
      <c r="AA795">
        <f>IF($A795="","",IF(COUNTIF($A$6:$A795,$A795)=1,1,0))</f>
        <v/>
      </c>
      <c r="AB795">
        <f>SUM($AA$6:$AA795)</f>
        <v/>
      </c>
      <c r="AC795">
        <f>IFERROR(INDEX($A$6:$A$1005,MATCH(ROW()-5,$AB$6:$AB$1005,0)),"")</f>
        <v/>
      </c>
    </row>
    <row r="796">
      <c r="A796">
        <f>IF(OR(Entry!$B799="",Entry!$E799="",$E796="نامعتبر"),"",Entry!$E799)</f>
        <v/>
      </c>
      <c r="B796">
        <f>IF($A796="","",LEFT($E796,4)&amp;MID($E796,6,2)&amp;RIGHT($E796,2)&amp;$F796&amp;"|"&amp;"1"&amp;RIGHT("00000"&amp;791,5))</f>
        <v/>
      </c>
      <c r="C796">
        <f>IF($B796="","",COUNTIFS($A$6:$A$1005,$A796,$B$6:$B$1005,"&lt;"&amp;$B796)+COUNTIFS($N$6:$N$2005,$A796,$P$6:$P$2005,"&lt;"&amp;$B796)+1)</f>
        <v/>
      </c>
      <c r="D796">
        <f>IF($C796="","",$A796&amp;"|"&amp;RIGHT("000000"&amp;$C796,6))</f>
        <v/>
      </c>
      <c r="E796">
        <f>IF(Entry!$B799="","",IF(ISNUMBER(Entry!$B799),IF(AND(Entry!$B799&gt;=10000101,Entry!$B799&lt;=99991231),INT(Entry!$B799/10000)&amp;"/"&amp;RIGHT("00"&amp;INT(MOD(Entry!$B799,10000)/100),2)&amp;"/"&amp;RIGHT("00"&amp;MOD(Entry!$B799,100),2),"نامعتبر"),IF(LEN(Entry!$B799)=10,Entry!$B799,"نامعتبر")))</f>
        <v/>
      </c>
      <c r="F796">
        <f>IF(Entry!$B799="","",IF(Entry!$C799="","0000",IF(AND(ISNUMBER(Entry!$C799),Entry!$C799&gt;=0,Entry!$C799&lt;1),RIGHT("00"&amp;HOUR(Entry!$C799),2)&amp;RIGHT("00"&amp;MINUTE(Entry!$C799),2),IFERROR(RIGHT("00"&amp;VALUE(LEFT(Entry!$C799,FIND(":",Entry!$C799)-1)),2)&amp;RIGHT("00"&amp;VALUE(MID(Entry!$C799,FIND(":",Entry!$C799)+1,2)),2),"0000"))))</f>
        <v/>
      </c>
      <c r="G796">
        <f>IF($A796="","",Entry!$G799)</f>
        <v/>
      </c>
      <c r="H796">
        <f>IF($A796="","",IF(Entry!$H799="",0,Entry!$H799))</f>
        <v/>
      </c>
      <c r="I796">
        <f>IF($A796="","",IF(Entry!$I799="",0,Entry!$I799))</f>
        <v/>
      </c>
      <c r="J796">
        <f>IF($A796="","",ROUND($H796*$I796,0))</f>
        <v/>
      </c>
      <c r="K796">
        <f>IF($A796="","",Entry!$D799)</f>
        <v/>
      </c>
      <c r="L796">
        <f>IF($A796="","",Entry!$L799)</f>
        <v/>
      </c>
      <c r="N796">
        <f>IF(OR(Sync!$M796="",$Q796="",$Q796="نامعتبر"),"",Sync!$M796)</f>
        <v/>
      </c>
      <c r="O796">
        <f>IF($N796="","",$Q796)</f>
        <v/>
      </c>
      <c r="P796">
        <f>IF($N796="","",LEFT($Q796,4)&amp;MID($Q796,6,2)&amp;RIGHT($Q796,2)&amp;IF(Sync!$K796="","0000",IF(AND(ISNUMBER(Sync!$K796),Sync!$K796&gt;=0,Sync!$K796&lt;1),RIGHT("00"&amp;HOUR(Sync!$K796),2)&amp;RIGHT("00"&amp;MINUTE(Sync!$K796),2),IFERROR(RIGHT("00"&amp;VALUE(LEFT(Sync!$K796,FIND(":",Sync!$K796)-1)),2)&amp;RIGHT("00"&amp;VALUE(MID(Sync!$K796,FIND(":",Sync!$K796)+1,2)),2),"0000")))&amp;"|"&amp;"2"&amp;RIGHT("00000"&amp;791,5))</f>
        <v/>
      </c>
      <c r="Q796">
        <f>IF(Sync!$J796="","",IF(ISNUMBER(Sync!$J796),IF(AND(Sync!$J796&gt;=10000101,Sync!$J796&lt;=99991231),INT(Sync!$J796/10000)&amp;"/"&amp;RIGHT("00"&amp;INT(MOD(Sync!$J796,10000)/100),2)&amp;"/"&amp;RIGHT("00"&amp;MOD(Sync!$J796,100),2),"نامعتبر"),IF(LEN(Sync!$J796)=10,Sync!$J796,"نامعتبر")))</f>
        <v/>
      </c>
      <c r="R796">
        <f>IF($P796="","",COUNTIFS($N$6:$N$2005,$N796,$P$6:$P$2005,"&lt;"&amp;$P796)+COUNTIFS($A$6:$A$1005,$N796,$B$6:$B$1005,"&lt;"&amp;$P796)+1)</f>
        <v/>
      </c>
      <c r="S796">
        <f>IF($N796="","",$N796&amp;"|"&amp;RIGHT("000000"&amp;$R796,6))</f>
        <v/>
      </c>
      <c r="T796">
        <f>IF($N796="","",IF(Sync!$N796="",0,Sync!$N796))</f>
        <v/>
      </c>
      <c r="U796">
        <f>IF($N796="","",IF(Sync!$O796="",0,Sync!$O796))</f>
        <v/>
      </c>
      <c r="V796">
        <f>IF($N796="","",Sync!$L796)</f>
        <v/>
      </c>
      <c r="W796">
        <f>IF($N796="","",Sync!$P796)</f>
        <v/>
      </c>
      <c r="AA796">
        <f>IF($A796="","",IF(COUNTIF($A$6:$A796,$A796)=1,1,0))</f>
        <v/>
      </c>
      <c r="AB796">
        <f>SUM($AA$6:$AA796)</f>
        <v/>
      </c>
      <c r="AC796">
        <f>IFERROR(INDEX($A$6:$A$1005,MATCH(ROW()-5,$AB$6:$AB$1005,0)),"")</f>
        <v/>
      </c>
    </row>
    <row r="797">
      <c r="A797">
        <f>IF(OR(Entry!$B800="",Entry!$E800="",$E797="نامعتبر"),"",Entry!$E800)</f>
        <v/>
      </c>
      <c r="B797">
        <f>IF($A797="","",LEFT($E797,4)&amp;MID($E797,6,2)&amp;RIGHT($E797,2)&amp;$F797&amp;"|"&amp;"1"&amp;RIGHT("00000"&amp;792,5))</f>
        <v/>
      </c>
      <c r="C797">
        <f>IF($B797="","",COUNTIFS($A$6:$A$1005,$A797,$B$6:$B$1005,"&lt;"&amp;$B797)+COUNTIFS($N$6:$N$2005,$A797,$P$6:$P$2005,"&lt;"&amp;$B797)+1)</f>
        <v/>
      </c>
      <c r="D797">
        <f>IF($C797="","",$A797&amp;"|"&amp;RIGHT("000000"&amp;$C797,6))</f>
        <v/>
      </c>
      <c r="E797">
        <f>IF(Entry!$B800="","",IF(ISNUMBER(Entry!$B800),IF(AND(Entry!$B800&gt;=10000101,Entry!$B800&lt;=99991231),INT(Entry!$B800/10000)&amp;"/"&amp;RIGHT("00"&amp;INT(MOD(Entry!$B800,10000)/100),2)&amp;"/"&amp;RIGHT("00"&amp;MOD(Entry!$B800,100),2),"نامعتبر"),IF(LEN(Entry!$B800)=10,Entry!$B800,"نامعتبر")))</f>
        <v/>
      </c>
      <c r="F797">
        <f>IF(Entry!$B800="","",IF(Entry!$C800="","0000",IF(AND(ISNUMBER(Entry!$C800),Entry!$C800&gt;=0,Entry!$C800&lt;1),RIGHT("00"&amp;HOUR(Entry!$C800),2)&amp;RIGHT("00"&amp;MINUTE(Entry!$C800),2),IFERROR(RIGHT("00"&amp;VALUE(LEFT(Entry!$C800,FIND(":",Entry!$C800)-1)),2)&amp;RIGHT("00"&amp;VALUE(MID(Entry!$C800,FIND(":",Entry!$C800)+1,2)),2),"0000"))))</f>
        <v/>
      </c>
      <c r="G797">
        <f>IF($A797="","",Entry!$G800)</f>
        <v/>
      </c>
      <c r="H797">
        <f>IF($A797="","",IF(Entry!$H800="",0,Entry!$H800))</f>
        <v/>
      </c>
      <c r="I797">
        <f>IF($A797="","",IF(Entry!$I800="",0,Entry!$I800))</f>
        <v/>
      </c>
      <c r="J797">
        <f>IF($A797="","",ROUND($H797*$I797,0))</f>
        <v/>
      </c>
      <c r="K797">
        <f>IF($A797="","",Entry!$D800)</f>
        <v/>
      </c>
      <c r="L797">
        <f>IF($A797="","",Entry!$L800)</f>
        <v/>
      </c>
      <c r="N797">
        <f>IF(OR(Sync!$M797="",$Q797="",$Q797="نامعتبر"),"",Sync!$M797)</f>
        <v/>
      </c>
      <c r="O797">
        <f>IF($N797="","",$Q797)</f>
        <v/>
      </c>
      <c r="P797">
        <f>IF($N797="","",LEFT($Q797,4)&amp;MID($Q797,6,2)&amp;RIGHT($Q797,2)&amp;IF(Sync!$K797="","0000",IF(AND(ISNUMBER(Sync!$K797),Sync!$K797&gt;=0,Sync!$K797&lt;1),RIGHT("00"&amp;HOUR(Sync!$K797),2)&amp;RIGHT("00"&amp;MINUTE(Sync!$K797),2),IFERROR(RIGHT("00"&amp;VALUE(LEFT(Sync!$K797,FIND(":",Sync!$K797)-1)),2)&amp;RIGHT("00"&amp;VALUE(MID(Sync!$K797,FIND(":",Sync!$K797)+1,2)),2),"0000")))&amp;"|"&amp;"2"&amp;RIGHT("00000"&amp;792,5))</f>
        <v/>
      </c>
      <c r="Q797">
        <f>IF(Sync!$J797="","",IF(ISNUMBER(Sync!$J797),IF(AND(Sync!$J797&gt;=10000101,Sync!$J797&lt;=99991231),INT(Sync!$J797/10000)&amp;"/"&amp;RIGHT("00"&amp;INT(MOD(Sync!$J797,10000)/100),2)&amp;"/"&amp;RIGHT("00"&amp;MOD(Sync!$J797,100),2),"نامعتبر"),IF(LEN(Sync!$J797)=10,Sync!$J797,"نامعتبر")))</f>
        <v/>
      </c>
      <c r="R797">
        <f>IF($P797="","",COUNTIFS($N$6:$N$2005,$N797,$P$6:$P$2005,"&lt;"&amp;$P797)+COUNTIFS($A$6:$A$1005,$N797,$B$6:$B$1005,"&lt;"&amp;$P797)+1)</f>
        <v/>
      </c>
      <c r="S797">
        <f>IF($N797="","",$N797&amp;"|"&amp;RIGHT("000000"&amp;$R797,6))</f>
        <v/>
      </c>
      <c r="T797">
        <f>IF($N797="","",IF(Sync!$N797="",0,Sync!$N797))</f>
        <v/>
      </c>
      <c r="U797">
        <f>IF($N797="","",IF(Sync!$O797="",0,Sync!$O797))</f>
        <v/>
      </c>
      <c r="V797">
        <f>IF($N797="","",Sync!$L797)</f>
        <v/>
      </c>
      <c r="W797">
        <f>IF($N797="","",Sync!$P797)</f>
        <v/>
      </c>
      <c r="AA797">
        <f>IF($A797="","",IF(COUNTIF($A$6:$A797,$A797)=1,1,0))</f>
        <v/>
      </c>
      <c r="AB797">
        <f>SUM($AA$6:$AA797)</f>
        <v/>
      </c>
      <c r="AC797">
        <f>IFERROR(INDEX($A$6:$A$1005,MATCH(ROW()-5,$AB$6:$AB$1005,0)),"")</f>
        <v/>
      </c>
    </row>
    <row r="798">
      <c r="A798">
        <f>IF(OR(Entry!$B801="",Entry!$E801="",$E798="نامعتبر"),"",Entry!$E801)</f>
        <v/>
      </c>
      <c r="B798">
        <f>IF($A798="","",LEFT($E798,4)&amp;MID($E798,6,2)&amp;RIGHT($E798,2)&amp;$F798&amp;"|"&amp;"1"&amp;RIGHT("00000"&amp;793,5))</f>
        <v/>
      </c>
      <c r="C798">
        <f>IF($B798="","",COUNTIFS($A$6:$A$1005,$A798,$B$6:$B$1005,"&lt;"&amp;$B798)+COUNTIFS($N$6:$N$2005,$A798,$P$6:$P$2005,"&lt;"&amp;$B798)+1)</f>
        <v/>
      </c>
      <c r="D798">
        <f>IF($C798="","",$A798&amp;"|"&amp;RIGHT("000000"&amp;$C798,6))</f>
        <v/>
      </c>
      <c r="E798">
        <f>IF(Entry!$B801="","",IF(ISNUMBER(Entry!$B801),IF(AND(Entry!$B801&gt;=10000101,Entry!$B801&lt;=99991231),INT(Entry!$B801/10000)&amp;"/"&amp;RIGHT("00"&amp;INT(MOD(Entry!$B801,10000)/100),2)&amp;"/"&amp;RIGHT("00"&amp;MOD(Entry!$B801,100),2),"نامعتبر"),IF(LEN(Entry!$B801)=10,Entry!$B801,"نامعتبر")))</f>
        <v/>
      </c>
      <c r="F798">
        <f>IF(Entry!$B801="","",IF(Entry!$C801="","0000",IF(AND(ISNUMBER(Entry!$C801),Entry!$C801&gt;=0,Entry!$C801&lt;1),RIGHT("00"&amp;HOUR(Entry!$C801),2)&amp;RIGHT("00"&amp;MINUTE(Entry!$C801),2),IFERROR(RIGHT("00"&amp;VALUE(LEFT(Entry!$C801,FIND(":",Entry!$C801)-1)),2)&amp;RIGHT("00"&amp;VALUE(MID(Entry!$C801,FIND(":",Entry!$C801)+1,2)),2),"0000"))))</f>
        <v/>
      </c>
      <c r="G798">
        <f>IF($A798="","",Entry!$G801)</f>
        <v/>
      </c>
      <c r="H798">
        <f>IF($A798="","",IF(Entry!$H801="",0,Entry!$H801))</f>
        <v/>
      </c>
      <c r="I798">
        <f>IF($A798="","",IF(Entry!$I801="",0,Entry!$I801))</f>
        <v/>
      </c>
      <c r="J798">
        <f>IF($A798="","",ROUND($H798*$I798,0))</f>
        <v/>
      </c>
      <c r="K798">
        <f>IF($A798="","",Entry!$D801)</f>
        <v/>
      </c>
      <c r="L798">
        <f>IF($A798="","",Entry!$L801)</f>
        <v/>
      </c>
      <c r="N798">
        <f>IF(OR(Sync!$M798="",$Q798="",$Q798="نامعتبر"),"",Sync!$M798)</f>
        <v/>
      </c>
      <c r="O798">
        <f>IF($N798="","",$Q798)</f>
        <v/>
      </c>
      <c r="P798">
        <f>IF($N798="","",LEFT($Q798,4)&amp;MID($Q798,6,2)&amp;RIGHT($Q798,2)&amp;IF(Sync!$K798="","0000",IF(AND(ISNUMBER(Sync!$K798),Sync!$K798&gt;=0,Sync!$K798&lt;1),RIGHT("00"&amp;HOUR(Sync!$K798),2)&amp;RIGHT("00"&amp;MINUTE(Sync!$K798),2),IFERROR(RIGHT("00"&amp;VALUE(LEFT(Sync!$K798,FIND(":",Sync!$K798)-1)),2)&amp;RIGHT("00"&amp;VALUE(MID(Sync!$K798,FIND(":",Sync!$K798)+1,2)),2),"0000")))&amp;"|"&amp;"2"&amp;RIGHT("00000"&amp;793,5))</f>
        <v/>
      </c>
      <c r="Q798">
        <f>IF(Sync!$J798="","",IF(ISNUMBER(Sync!$J798),IF(AND(Sync!$J798&gt;=10000101,Sync!$J798&lt;=99991231),INT(Sync!$J798/10000)&amp;"/"&amp;RIGHT("00"&amp;INT(MOD(Sync!$J798,10000)/100),2)&amp;"/"&amp;RIGHT("00"&amp;MOD(Sync!$J798,100),2),"نامعتبر"),IF(LEN(Sync!$J798)=10,Sync!$J798,"نامعتبر")))</f>
        <v/>
      </c>
      <c r="R798">
        <f>IF($P798="","",COUNTIFS($N$6:$N$2005,$N798,$P$6:$P$2005,"&lt;"&amp;$P798)+COUNTIFS($A$6:$A$1005,$N798,$B$6:$B$1005,"&lt;"&amp;$P798)+1)</f>
        <v/>
      </c>
      <c r="S798">
        <f>IF($N798="","",$N798&amp;"|"&amp;RIGHT("000000"&amp;$R798,6))</f>
        <v/>
      </c>
      <c r="T798">
        <f>IF($N798="","",IF(Sync!$N798="",0,Sync!$N798))</f>
        <v/>
      </c>
      <c r="U798">
        <f>IF($N798="","",IF(Sync!$O798="",0,Sync!$O798))</f>
        <v/>
      </c>
      <c r="V798">
        <f>IF($N798="","",Sync!$L798)</f>
        <v/>
      </c>
      <c r="W798">
        <f>IF($N798="","",Sync!$P798)</f>
        <v/>
      </c>
      <c r="AA798">
        <f>IF($A798="","",IF(COUNTIF($A$6:$A798,$A798)=1,1,0))</f>
        <v/>
      </c>
      <c r="AB798">
        <f>SUM($AA$6:$AA798)</f>
        <v/>
      </c>
      <c r="AC798">
        <f>IFERROR(INDEX($A$6:$A$1005,MATCH(ROW()-5,$AB$6:$AB$1005,0)),"")</f>
        <v/>
      </c>
    </row>
    <row r="799">
      <c r="A799">
        <f>IF(OR(Entry!$B802="",Entry!$E802="",$E799="نامعتبر"),"",Entry!$E802)</f>
        <v/>
      </c>
      <c r="B799">
        <f>IF($A799="","",LEFT($E799,4)&amp;MID($E799,6,2)&amp;RIGHT($E799,2)&amp;$F799&amp;"|"&amp;"1"&amp;RIGHT("00000"&amp;794,5))</f>
        <v/>
      </c>
      <c r="C799">
        <f>IF($B799="","",COUNTIFS($A$6:$A$1005,$A799,$B$6:$B$1005,"&lt;"&amp;$B799)+COUNTIFS($N$6:$N$2005,$A799,$P$6:$P$2005,"&lt;"&amp;$B799)+1)</f>
        <v/>
      </c>
      <c r="D799">
        <f>IF($C799="","",$A799&amp;"|"&amp;RIGHT("000000"&amp;$C799,6))</f>
        <v/>
      </c>
      <c r="E799">
        <f>IF(Entry!$B802="","",IF(ISNUMBER(Entry!$B802),IF(AND(Entry!$B802&gt;=10000101,Entry!$B802&lt;=99991231),INT(Entry!$B802/10000)&amp;"/"&amp;RIGHT("00"&amp;INT(MOD(Entry!$B802,10000)/100),2)&amp;"/"&amp;RIGHT("00"&amp;MOD(Entry!$B802,100),2),"نامعتبر"),IF(LEN(Entry!$B802)=10,Entry!$B802,"نامعتبر")))</f>
        <v/>
      </c>
      <c r="F799">
        <f>IF(Entry!$B802="","",IF(Entry!$C802="","0000",IF(AND(ISNUMBER(Entry!$C802),Entry!$C802&gt;=0,Entry!$C802&lt;1),RIGHT("00"&amp;HOUR(Entry!$C802),2)&amp;RIGHT("00"&amp;MINUTE(Entry!$C802),2),IFERROR(RIGHT("00"&amp;VALUE(LEFT(Entry!$C802,FIND(":",Entry!$C802)-1)),2)&amp;RIGHT("00"&amp;VALUE(MID(Entry!$C802,FIND(":",Entry!$C802)+1,2)),2),"0000"))))</f>
        <v/>
      </c>
      <c r="G799">
        <f>IF($A799="","",Entry!$G802)</f>
        <v/>
      </c>
      <c r="H799">
        <f>IF($A799="","",IF(Entry!$H802="",0,Entry!$H802))</f>
        <v/>
      </c>
      <c r="I799">
        <f>IF($A799="","",IF(Entry!$I802="",0,Entry!$I802))</f>
        <v/>
      </c>
      <c r="J799">
        <f>IF($A799="","",ROUND($H799*$I799,0))</f>
        <v/>
      </c>
      <c r="K799">
        <f>IF($A799="","",Entry!$D802)</f>
        <v/>
      </c>
      <c r="L799">
        <f>IF($A799="","",Entry!$L802)</f>
        <v/>
      </c>
      <c r="N799">
        <f>IF(OR(Sync!$M799="",$Q799="",$Q799="نامعتبر"),"",Sync!$M799)</f>
        <v/>
      </c>
      <c r="O799">
        <f>IF($N799="","",$Q799)</f>
        <v/>
      </c>
      <c r="P799">
        <f>IF($N799="","",LEFT($Q799,4)&amp;MID($Q799,6,2)&amp;RIGHT($Q799,2)&amp;IF(Sync!$K799="","0000",IF(AND(ISNUMBER(Sync!$K799),Sync!$K799&gt;=0,Sync!$K799&lt;1),RIGHT("00"&amp;HOUR(Sync!$K799),2)&amp;RIGHT("00"&amp;MINUTE(Sync!$K799),2),IFERROR(RIGHT("00"&amp;VALUE(LEFT(Sync!$K799,FIND(":",Sync!$K799)-1)),2)&amp;RIGHT("00"&amp;VALUE(MID(Sync!$K799,FIND(":",Sync!$K799)+1,2)),2),"0000")))&amp;"|"&amp;"2"&amp;RIGHT("00000"&amp;794,5))</f>
        <v/>
      </c>
      <c r="Q799">
        <f>IF(Sync!$J799="","",IF(ISNUMBER(Sync!$J799),IF(AND(Sync!$J799&gt;=10000101,Sync!$J799&lt;=99991231),INT(Sync!$J799/10000)&amp;"/"&amp;RIGHT("00"&amp;INT(MOD(Sync!$J799,10000)/100),2)&amp;"/"&amp;RIGHT("00"&amp;MOD(Sync!$J799,100),2),"نامعتبر"),IF(LEN(Sync!$J799)=10,Sync!$J799,"نامعتبر")))</f>
        <v/>
      </c>
      <c r="R799">
        <f>IF($P799="","",COUNTIFS($N$6:$N$2005,$N799,$P$6:$P$2005,"&lt;"&amp;$P799)+COUNTIFS($A$6:$A$1005,$N799,$B$6:$B$1005,"&lt;"&amp;$P799)+1)</f>
        <v/>
      </c>
      <c r="S799">
        <f>IF($N799="","",$N799&amp;"|"&amp;RIGHT("000000"&amp;$R799,6))</f>
        <v/>
      </c>
      <c r="T799">
        <f>IF($N799="","",IF(Sync!$N799="",0,Sync!$N799))</f>
        <v/>
      </c>
      <c r="U799">
        <f>IF($N799="","",IF(Sync!$O799="",0,Sync!$O799))</f>
        <v/>
      </c>
      <c r="V799">
        <f>IF($N799="","",Sync!$L799)</f>
        <v/>
      </c>
      <c r="W799">
        <f>IF($N799="","",Sync!$P799)</f>
        <v/>
      </c>
      <c r="AA799">
        <f>IF($A799="","",IF(COUNTIF($A$6:$A799,$A799)=1,1,0))</f>
        <v/>
      </c>
      <c r="AB799">
        <f>SUM($AA$6:$AA799)</f>
        <v/>
      </c>
      <c r="AC799">
        <f>IFERROR(INDEX($A$6:$A$1005,MATCH(ROW()-5,$AB$6:$AB$1005,0)),"")</f>
        <v/>
      </c>
    </row>
    <row r="800">
      <c r="A800">
        <f>IF(OR(Entry!$B803="",Entry!$E803="",$E800="نامعتبر"),"",Entry!$E803)</f>
        <v/>
      </c>
      <c r="B800">
        <f>IF($A800="","",LEFT($E800,4)&amp;MID($E800,6,2)&amp;RIGHT($E800,2)&amp;$F800&amp;"|"&amp;"1"&amp;RIGHT("00000"&amp;795,5))</f>
        <v/>
      </c>
      <c r="C800">
        <f>IF($B800="","",COUNTIFS($A$6:$A$1005,$A800,$B$6:$B$1005,"&lt;"&amp;$B800)+COUNTIFS($N$6:$N$2005,$A800,$P$6:$P$2005,"&lt;"&amp;$B800)+1)</f>
        <v/>
      </c>
      <c r="D800">
        <f>IF($C800="","",$A800&amp;"|"&amp;RIGHT("000000"&amp;$C800,6))</f>
        <v/>
      </c>
      <c r="E800">
        <f>IF(Entry!$B803="","",IF(ISNUMBER(Entry!$B803),IF(AND(Entry!$B803&gt;=10000101,Entry!$B803&lt;=99991231),INT(Entry!$B803/10000)&amp;"/"&amp;RIGHT("00"&amp;INT(MOD(Entry!$B803,10000)/100),2)&amp;"/"&amp;RIGHT("00"&amp;MOD(Entry!$B803,100),2),"نامعتبر"),IF(LEN(Entry!$B803)=10,Entry!$B803,"نامعتبر")))</f>
        <v/>
      </c>
      <c r="F800">
        <f>IF(Entry!$B803="","",IF(Entry!$C803="","0000",IF(AND(ISNUMBER(Entry!$C803),Entry!$C803&gt;=0,Entry!$C803&lt;1),RIGHT("00"&amp;HOUR(Entry!$C803),2)&amp;RIGHT("00"&amp;MINUTE(Entry!$C803),2),IFERROR(RIGHT("00"&amp;VALUE(LEFT(Entry!$C803,FIND(":",Entry!$C803)-1)),2)&amp;RIGHT("00"&amp;VALUE(MID(Entry!$C803,FIND(":",Entry!$C803)+1,2)),2),"0000"))))</f>
        <v/>
      </c>
      <c r="G800">
        <f>IF($A800="","",Entry!$G803)</f>
        <v/>
      </c>
      <c r="H800">
        <f>IF($A800="","",IF(Entry!$H803="",0,Entry!$H803))</f>
        <v/>
      </c>
      <c r="I800">
        <f>IF($A800="","",IF(Entry!$I803="",0,Entry!$I803))</f>
        <v/>
      </c>
      <c r="J800">
        <f>IF($A800="","",ROUND($H800*$I800,0))</f>
        <v/>
      </c>
      <c r="K800">
        <f>IF($A800="","",Entry!$D803)</f>
        <v/>
      </c>
      <c r="L800">
        <f>IF($A800="","",Entry!$L803)</f>
        <v/>
      </c>
      <c r="N800">
        <f>IF(OR(Sync!$M800="",$Q800="",$Q800="نامعتبر"),"",Sync!$M800)</f>
        <v/>
      </c>
      <c r="O800">
        <f>IF($N800="","",$Q800)</f>
        <v/>
      </c>
      <c r="P800">
        <f>IF($N800="","",LEFT($Q800,4)&amp;MID($Q800,6,2)&amp;RIGHT($Q800,2)&amp;IF(Sync!$K800="","0000",IF(AND(ISNUMBER(Sync!$K800),Sync!$K800&gt;=0,Sync!$K800&lt;1),RIGHT("00"&amp;HOUR(Sync!$K800),2)&amp;RIGHT("00"&amp;MINUTE(Sync!$K800),2),IFERROR(RIGHT("00"&amp;VALUE(LEFT(Sync!$K800,FIND(":",Sync!$K800)-1)),2)&amp;RIGHT("00"&amp;VALUE(MID(Sync!$K800,FIND(":",Sync!$K800)+1,2)),2),"0000")))&amp;"|"&amp;"2"&amp;RIGHT("00000"&amp;795,5))</f>
        <v/>
      </c>
      <c r="Q800">
        <f>IF(Sync!$J800="","",IF(ISNUMBER(Sync!$J800),IF(AND(Sync!$J800&gt;=10000101,Sync!$J800&lt;=99991231),INT(Sync!$J800/10000)&amp;"/"&amp;RIGHT("00"&amp;INT(MOD(Sync!$J800,10000)/100),2)&amp;"/"&amp;RIGHT("00"&amp;MOD(Sync!$J800,100),2),"نامعتبر"),IF(LEN(Sync!$J800)=10,Sync!$J800,"نامعتبر")))</f>
        <v/>
      </c>
      <c r="R800">
        <f>IF($P800="","",COUNTIFS($N$6:$N$2005,$N800,$P$6:$P$2005,"&lt;"&amp;$P800)+COUNTIFS($A$6:$A$1005,$N800,$B$6:$B$1005,"&lt;"&amp;$P800)+1)</f>
        <v/>
      </c>
      <c r="S800">
        <f>IF($N800="","",$N800&amp;"|"&amp;RIGHT("000000"&amp;$R800,6))</f>
        <v/>
      </c>
      <c r="T800">
        <f>IF($N800="","",IF(Sync!$N800="",0,Sync!$N800))</f>
        <v/>
      </c>
      <c r="U800">
        <f>IF($N800="","",IF(Sync!$O800="",0,Sync!$O800))</f>
        <v/>
      </c>
      <c r="V800">
        <f>IF($N800="","",Sync!$L800)</f>
        <v/>
      </c>
      <c r="W800">
        <f>IF($N800="","",Sync!$P800)</f>
        <v/>
      </c>
      <c r="AA800">
        <f>IF($A800="","",IF(COUNTIF($A$6:$A800,$A800)=1,1,0))</f>
        <v/>
      </c>
      <c r="AB800">
        <f>SUM($AA$6:$AA800)</f>
        <v/>
      </c>
      <c r="AC800">
        <f>IFERROR(INDEX($A$6:$A$1005,MATCH(ROW()-5,$AB$6:$AB$1005,0)),"")</f>
        <v/>
      </c>
    </row>
    <row r="801">
      <c r="A801">
        <f>IF(OR(Entry!$B804="",Entry!$E804="",$E801="نامعتبر"),"",Entry!$E804)</f>
        <v/>
      </c>
      <c r="B801">
        <f>IF($A801="","",LEFT($E801,4)&amp;MID($E801,6,2)&amp;RIGHT($E801,2)&amp;$F801&amp;"|"&amp;"1"&amp;RIGHT("00000"&amp;796,5))</f>
        <v/>
      </c>
      <c r="C801">
        <f>IF($B801="","",COUNTIFS($A$6:$A$1005,$A801,$B$6:$B$1005,"&lt;"&amp;$B801)+COUNTIFS($N$6:$N$2005,$A801,$P$6:$P$2005,"&lt;"&amp;$B801)+1)</f>
        <v/>
      </c>
      <c r="D801">
        <f>IF($C801="","",$A801&amp;"|"&amp;RIGHT("000000"&amp;$C801,6))</f>
        <v/>
      </c>
      <c r="E801">
        <f>IF(Entry!$B804="","",IF(ISNUMBER(Entry!$B804),IF(AND(Entry!$B804&gt;=10000101,Entry!$B804&lt;=99991231),INT(Entry!$B804/10000)&amp;"/"&amp;RIGHT("00"&amp;INT(MOD(Entry!$B804,10000)/100),2)&amp;"/"&amp;RIGHT("00"&amp;MOD(Entry!$B804,100),2),"نامعتبر"),IF(LEN(Entry!$B804)=10,Entry!$B804,"نامعتبر")))</f>
        <v/>
      </c>
      <c r="F801">
        <f>IF(Entry!$B804="","",IF(Entry!$C804="","0000",IF(AND(ISNUMBER(Entry!$C804),Entry!$C804&gt;=0,Entry!$C804&lt;1),RIGHT("00"&amp;HOUR(Entry!$C804),2)&amp;RIGHT("00"&amp;MINUTE(Entry!$C804),2),IFERROR(RIGHT("00"&amp;VALUE(LEFT(Entry!$C804,FIND(":",Entry!$C804)-1)),2)&amp;RIGHT("00"&amp;VALUE(MID(Entry!$C804,FIND(":",Entry!$C804)+1,2)),2),"0000"))))</f>
        <v/>
      </c>
      <c r="G801">
        <f>IF($A801="","",Entry!$G804)</f>
        <v/>
      </c>
      <c r="H801">
        <f>IF($A801="","",IF(Entry!$H804="",0,Entry!$H804))</f>
        <v/>
      </c>
      <c r="I801">
        <f>IF($A801="","",IF(Entry!$I804="",0,Entry!$I804))</f>
        <v/>
      </c>
      <c r="J801">
        <f>IF($A801="","",ROUND($H801*$I801,0))</f>
        <v/>
      </c>
      <c r="K801">
        <f>IF($A801="","",Entry!$D804)</f>
        <v/>
      </c>
      <c r="L801">
        <f>IF($A801="","",Entry!$L804)</f>
        <v/>
      </c>
      <c r="N801">
        <f>IF(OR(Sync!$M801="",$Q801="",$Q801="نامعتبر"),"",Sync!$M801)</f>
        <v/>
      </c>
      <c r="O801">
        <f>IF($N801="","",$Q801)</f>
        <v/>
      </c>
      <c r="P801">
        <f>IF($N801="","",LEFT($Q801,4)&amp;MID($Q801,6,2)&amp;RIGHT($Q801,2)&amp;IF(Sync!$K801="","0000",IF(AND(ISNUMBER(Sync!$K801),Sync!$K801&gt;=0,Sync!$K801&lt;1),RIGHT("00"&amp;HOUR(Sync!$K801),2)&amp;RIGHT("00"&amp;MINUTE(Sync!$K801),2),IFERROR(RIGHT("00"&amp;VALUE(LEFT(Sync!$K801,FIND(":",Sync!$K801)-1)),2)&amp;RIGHT("00"&amp;VALUE(MID(Sync!$K801,FIND(":",Sync!$K801)+1,2)),2),"0000")))&amp;"|"&amp;"2"&amp;RIGHT("00000"&amp;796,5))</f>
        <v/>
      </c>
      <c r="Q801">
        <f>IF(Sync!$J801="","",IF(ISNUMBER(Sync!$J801),IF(AND(Sync!$J801&gt;=10000101,Sync!$J801&lt;=99991231),INT(Sync!$J801/10000)&amp;"/"&amp;RIGHT("00"&amp;INT(MOD(Sync!$J801,10000)/100),2)&amp;"/"&amp;RIGHT("00"&amp;MOD(Sync!$J801,100),2),"نامعتبر"),IF(LEN(Sync!$J801)=10,Sync!$J801,"نامعتبر")))</f>
        <v/>
      </c>
      <c r="R801">
        <f>IF($P801="","",COUNTIFS($N$6:$N$2005,$N801,$P$6:$P$2005,"&lt;"&amp;$P801)+COUNTIFS($A$6:$A$1005,$N801,$B$6:$B$1005,"&lt;"&amp;$P801)+1)</f>
        <v/>
      </c>
      <c r="S801">
        <f>IF($N801="","",$N801&amp;"|"&amp;RIGHT("000000"&amp;$R801,6))</f>
        <v/>
      </c>
      <c r="T801">
        <f>IF($N801="","",IF(Sync!$N801="",0,Sync!$N801))</f>
        <v/>
      </c>
      <c r="U801">
        <f>IF($N801="","",IF(Sync!$O801="",0,Sync!$O801))</f>
        <v/>
      </c>
      <c r="V801">
        <f>IF($N801="","",Sync!$L801)</f>
        <v/>
      </c>
      <c r="W801">
        <f>IF($N801="","",Sync!$P801)</f>
        <v/>
      </c>
      <c r="AA801">
        <f>IF($A801="","",IF(COUNTIF($A$6:$A801,$A801)=1,1,0))</f>
        <v/>
      </c>
      <c r="AB801">
        <f>SUM($AA$6:$AA801)</f>
        <v/>
      </c>
      <c r="AC801">
        <f>IFERROR(INDEX($A$6:$A$1005,MATCH(ROW()-5,$AB$6:$AB$1005,0)),"")</f>
        <v/>
      </c>
    </row>
    <row r="802">
      <c r="A802">
        <f>IF(OR(Entry!$B805="",Entry!$E805="",$E802="نامعتبر"),"",Entry!$E805)</f>
        <v/>
      </c>
      <c r="B802">
        <f>IF($A802="","",LEFT($E802,4)&amp;MID($E802,6,2)&amp;RIGHT($E802,2)&amp;$F802&amp;"|"&amp;"1"&amp;RIGHT("00000"&amp;797,5))</f>
        <v/>
      </c>
      <c r="C802">
        <f>IF($B802="","",COUNTIFS($A$6:$A$1005,$A802,$B$6:$B$1005,"&lt;"&amp;$B802)+COUNTIFS($N$6:$N$2005,$A802,$P$6:$P$2005,"&lt;"&amp;$B802)+1)</f>
        <v/>
      </c>
      <c r="D802">
        <f>IF($C802="","",$A802&amp;"|"&amp;RIGHT("000000"&amp;$C802,6))</f>
        <v/>
      </c>
      <c r="E802">
        <f>IF(Entry!$B805="","",IF(ISNUMBER(Entry!$B805),IF(AND(Entry!$B805&gt;=10000101,Entry!$B805&lt;=99991231),INT(Entry!$B805/10000)&amp;"/"&amp;RIGHT("00"&amp;INT(MOD(Entry!$B805,10000)/100),2)&amp;"/"&amp;RIGHT("00"&amp;MOD(Entry!$B805,100),2),"نامعتبر"),IF(LEN(Entry!$B805)=10,Entry!$B805,"نامعتبر")))</f>
        <v/>
      </c>
      <c r="F802">
        <f>IF(Entry!$B805="","",IF(Entry!$C805="","0000",IF(AND(ISNUMBER(Entry!$C805),Entry!$C805&gt;=0,Entry!$C805&lt;1),RIGHT("00"&amp;HOUR(Entry!$C805),2)&amp;RIGHT("00"&amp;MINUTE(Entry!$C805),2),IFERROR(RIGHT("00"&amp;VALUE(LEFT(Entry!$C805,FIND(":",Entry!$C805)-1)),2)&amp;RIGHT("00"&amp;VALUE(MID(Entry!$C805,FIND(":",Entry!$C805)+1,2)),2),"0000"))))</f>
        <v/>
      </c>
      <c r="G802">
        <f>IF($A802="","",Entry!$G805)</f>
        <v/>
      </c>
      <c r="H802">
        <f>IF($A802="","",IF(Entry!$H805="",0,Entry!$H805))</f>
        <v/>
      </c>
      <c r="I802">
        <f>IF($A802="","",IF(Entry!$I805="",0,Entry!$I805))</f>
        <v/>
      </c>
      <c r="J802">
        <f>IF($A802="","",ROUND($H802*$I802,0))</f>
        <v/>
      </c>
      <c r="K802">
        <f>IF($A802="","",Entry!$D805)</f>
        <v/>
      </c>
      <c r="L802">
        <f>IF($A802="","",Entry!$L805)</f>
        <v/>
      </c>
      <c r="N802">
        <f>IF(OR(Sync!$M802="",$Q802="",$Q802="نامعتبر"),"",Sync!$M802)</f>
        <v/>
      </c>
      <c r="O802">
        <f>IF($N802="","",$Q802)</f>
        <v/>
      </c>
      <c r="P802">
        <f>IF($N802="","",LEFT($Q802,4)&amp;MID($Q802,6,2)&amp;RIGHT($Q802,2)&amp;IF(Sync!$K802="","0000",IF(AND(ISNUMBER(Sync!$K802),Sync!$K802&gt;=0,Sync!$K802&lt;1),RIGHT("00"&amp;HOUR(Sync!$K802),2)&amp;RIGHT("00"&amp;MINUTE(Sync!$K802),2),IFERROR(RIGHT("00"&amp;VALUE(LEFT(Sync!$K802,FIND(":",Sync!$K802)-1)),2)&amp;RIGHT("00"&amp;VALUE(MID(Sync!$K802,FIND(":",Sync!$K802)+1,2)),2),"0000")))&amp;"|"&amp;"2"&amp;RIGHT("00000"&amp;797,5))</f>
        <v/>
      </c>
      <c r="Q802">
        <f>IF(Sync!$J802="","",IF(ISNUMBER(Sync!$J802),IF(AND(Sync!$J802&gt;=10000101,Sync!$J802&lt;=99991231),INT(Sync!$J802/10000)&amp;"/"&amp;RIGHT("00"&amp;INT(MOD(Sync!$J802,10000)/100),2)&amp;"/"&amp;RIGHT("00"&amp;MOD(Sync!$J802,100),2),"نامعتبر"),IF(LEN(Sync!$J802)=10,Sync!$J802,"نامعتبر")))</f>
        <v/>
      </c>
      <c r="R802">
        <f>IF($P802="","",COUNTIFS($N$6:$N$2005,$N802,$P$6:$P$2005,"&lt;"&amp;$P802)+COUNTIFS($A$6:$A$1005,$N802,$B$6:$B$1005,"&lt;"&amp;$P802)+1)</f>
        <v/>
      </c>
      <c r="S802">
        <f>IF($N802="","",$N802&amp;"|"&amp;RIGHT("000000"&amp;$R802,6))</f>
        <v/>
      </c>
      <c r="T802">
        <f>IF($N802="","",IF(Sync!$N802="",0,Sync!$N802))</f>
        <v/>
      </c>
      <c r="U802">
        <f>IF($N802="","",IF(Sync!$O802="",0,Sync!$O802))</f>
        <v/>
      </c>
      <c r="V802">
        <f>IF($N802="","",Sync!$L802)</f>
        <v/>
      </c>
      <c r="W802">
        <f>IF($N802="","",Sync!$P802)</f>
        <v/>
      </c>
      <c r="AA802">
        <f>IF($A802="","",IF(COUNTIF($A$6:$A802,$A802)=1,1,0))</f>
        <v/>
      </c>
      <c r="AB802">
        <f>SUM($AA$6:$AA802)</f>
        <v/>
      </c>
      <c r="AC802">
        <f>IFERROR(INDEX($A$6:$A$1005,MATCH(ROW()-5,$AB$6:$AB$1005,0)),"")</f>
        <v/>
      </c>
    </row>
    <row r="803">
      <c r="A803">
        <f>IF(OR(Entry!$B806="",Entry!$E806="",$E803="نامعتبر"),"",Entry!$E806)</f>
        <v/>
      </c>
      <c r="B803">
        <f>IF($A803="","",LEFT($E803,4)&amp;MID($E803,6,2)&amp;RIGHT($E803,2)&amp;$F803&amp;"|"&amp;"1"&amp;RIGHT("00000"&amp;798,5))</f>
        <v/>
      </c>
      <c r="C803">
        <f>IF($B803="","",COUNTIFS($A$6:$A$1005,$A803,$B$6:$B$1005,"&lt;"&amp;$B803)+COUNTIFS($N$6:$N$2005,$A803,$P$6:$P$2005,"&lt;"&amp;$B803)+1)</f>
        <v/>
      </c>
      <c r="D803">
        <f>IF($C803="","",$A803&amp;"|"&amp;RIGHT("000000"&amp;$C803,6))</f>
        <v/>
      </c>
      <c r="E803">
        <f>IF(Entry!$B806="","",IF(ISNUMBER(Entry!$B806),IF(AND(Entry!$B806&gt;=10000101,Entry!$B806&lt;=99991231),INT(Entry!$B806/10000)&amp;"/"&amp;RIGHT("00"&amp;INT(MOD(Entry!$B806,10000)/100),2)&amp;"/"&amp;RIGHT("00"&amp;MOD(Entry!$B806,100),2),"نامعتبر"),IF(LEN(Entry!$B806)=10,Entry!$B806,"نامعتبر")))</f>
        <v/>
      </c>
      <c r="F803">
        <f>IF(Entry!$B806="","",IF(Entry!$C806="","0000",IF(AND(ISNUMBER(Entry!$C806),Entry!$C806&gt;=0,Entry!$C806&lt;1),RIGHT("00"&amp;HOUR(Entry!$C806),2)&amp;RIGHT("00"&amp;MINUTE(Entry!$C806),2),IFERROR(RIGHT("00"&amp;VALUE(LEFT(Entry!$C806,FIND(":",Entry!$C806)-1)),2)&amp;RIGHT("00"&amp;VALUE(MID(Entry!$C806,FIND(":",Entry!$C806)+1,2)),2),"0000"))))</f>
        <v/>
      </c>
      <c r="G803">
        <f>IF($A803="","",Entry!$G806)</f>
        <v/>
      </c>
      <c r="H803">
        <f>IF($A803="","",IF(Entry!$H806="",0,Entry!$H806))</f>
        <v/>
      </c>
      <c r="I803">
        <f>IF($A803="","",IF(Entry!$I806="",0,Entry!$I806))</f>
        <v/>
      </c>
      <c r="J803">
        <f>IF($A803="","",ROUND($H803*$I803,0))</f>
        <v/>
      </c>
      <c r="K803">
        <f>IF($A803="","",Entry!$D806)</f>
        <v/>
      </c>
      <c r="L803">
        <f>IF($A803="","",Entry!$L806)</f>
        <v/>
      </c>
      <c r="N803">
        <f>IF(OR(Sync!$M803="",$Q803="",$Q803="نامعتبر"),"",Sync!$M803)</f>
        <v/>
      </c>
      <c r="O803">
        <f>IF($N803="","",$Q803)</f>
        <v/>
      </c>
      <c r="P803">
        <f>IF($N803="","",LEFT($Q803,4)&amp;MID($Q803,6,2)&amp;RIGHT($Q803,2)&amp;IF(Sync!$K803="","0000",IF(AND(ISNUMBER(Sync!$K803),Sync!$K803&gt;=0,Sync!$K803&lt;1),RIGHT("00"&amp;HOUR(Sync!$K803),2)&amp;RIGHT("00"&amp;MINUTE(Sync!$K803),2),IFERROR(RIGHT("00"&amp;VALUE(LEFT(Sync!$K803,FIND(":",Sync!$K803)-1)),2)&amp;RIGHT("00"&amp;VALUE(MID(Sync!$K803,FIND(":",Sync!$K803)+1,2)),2),"0000")))&amp;"|"&amp;"2"&amp;RIGHT("00000"&amp;798,5))</f>
        <v/>
      </c>
      <c r="Q803">
        <f>IF(Sync!$J803="","",IF(ISNUMBER(Sync!$J803),IF(AND(Sync!$J803&gt;=10000101,Sync!$J803&lt;=99991231),INT(Sync!$J803/10000)&amp;"/"&amp;RIGHT("00"&amp;INT(MOD(Sync!$J803,10000)/100),2)&amp;"/"&amp;RIGHT("00"&amp;MOD(Sync!$J803,100),2),"نامعتبر"),IF(LEN(Sync!$J803)=10,Sync!$J803,"نامعتبر")))</f>
        <v/>
      </c>
      <c r="R803">
        <f>IF($P803="","",COUNTIFS($N$6:$N$2005,$N803,$P$6:$P$2005,"&lt;"&amp;$P803)+COUNTIFS($A$6:$A$1005,$N803,$B$6:$B$1005,"&lt;"&amp;$P803)+1)</f>
        <v/>
      </c>
      <c r="S803">
        <f>IF($N803="","",$N803&amp;"|"&amp;RIGHT("000000"&amp;$R803,6))</f>
        <v/>
      </c>
      <c r="T803">
        <f>IF($N803="","",IF(Sync!$N803="",0,Sync!$N803))</f>
        <v/>
      </c>
      <c r="U803">
        <f>IF($N803="","",IF(Sync!$O803="",0,Sync!$O803))</f>
        <v/>
      </c>
      <c r="V803">
        <f>IF($N803="","",Sync!$L803)</f>
        <v/>
      </c>
      <c r="W803">
        <f>IF($N803="","",Sync!$P803)</f>
        <v/>
      </c>
      <c r="AA803">
        <f>IF($A803="","",IF(COUNTIF($A$6:$A803,$A803)=1,1,0))</f>
        <v/>
      </c>
      <c r="AB803">
        <f>SUM($AA$6:$AA803)</f>
        <v/>
      </c>
      <c r="AC803">
        <f>IFERROR(INDEX($A$6:$A$1005,MATCH(ROW()-5,$AB$6:$AB$1005,0)),"")</f>
        <v/>
      </c>
    </row>
    <row r="804">
      <c r="A804">
        <f>IF(OR(Entry!$B807="",Entry!$E807="",$E804="نامعتبر"),"",Entry!$E807)</f>
        <v/>
      </c>
      <c r="B804">
        <f>IF($A804="","",LEFT($E804,4)&amp;MID($E804,6,2)&amp;RIGHT($E804,2)&amp;$F804&amp;"|"&amp;"1"&amp;RIGHT("00000"&amp;799,5))</f>
        <v/>
      </c>
      <c r="C804">
        <f>IF($B804="","",COUNTIFS($A$6:$A$1005,$A804,$B$6:$B$1005,"&lt;"&amp;$B804)+COUNTIFS($N$6:$N$2005,$A804,$P$6:$P$2005,"&lt;"&amp;$B804)+1)</f>
        <v/>
      </c>
      <c r="D804">
        <f>IF($C804="","",$A804&amp;"|"&amp;RIGHT("000000"&amp;$C804,6))</f>
        <v/>
      </c>
      <c r="E804">
        <f>IF(Entry!$B807="","",IF(ISNUMBER(Entry!$B807),IF(AND(Entry!$B807&gt;=10000101,Entry!$B807&lt;=99991231),INT(Entry!$B807/10000)&amp;"/"&amp;RIGHT("00"&amp;INT(MOD(Entry!$B807,10000)/100),2)&amp;"/"&amp;RIGHT("00"&amp;MOD(Entry!$B807,100),2),"نامعتبر"),IF(LEN(Entry!$B807)=10,Entry!$B807,"نامعتبر")))</f>
        <v/>
      </c>
      <c r="F804">
        <f>IF(Entry!$B807="","",IF(Entry!$C807="","0000",IF(AND(ISNUMBER(Entry!$C807),Entry!$C807&gt;=0,Entry!$C807&lt;1),RIGHT("00"&amp;HOUR(Entry!$C807),2)&amp;RIGHT("00"&amp;MINUTE(Entry!$C807),2),IFERROR(RIGHT("00"&amp;VALUE(LEFT(Entry!$C807,FIND(":",Entry!$C807)-1)),2)&amp;RIGHT("00"&amp;VALUE(MID(Entry!$C807,FIND(":",Entry!$C807)+1,2)),2),"0000"))))</f>
        <v/>
      </c>
      <c r="G804">
        <f>IF($A804="","",Entry!$G807)</f>
        <v/>
      </c>
      <c r="H804">
        <f>IF($A804="","",IF(Entry!$H807="",0,Entry!$H807))</f>
        <v/>
      </c>
      <c r="I804">
        <f>IF($A804="","",IF(Entry!$I807="",0,Entry!$I807))</f>
        <v/>
      </c>
      <c r="J804">
        <f>IF($A804="","",ROUND($H804*$I804,0))</f>
        <v/>
      </c>
      <c r="K804">
        <f>IF($A804="","",Entry!$D807)</f>
        <v/>
      </c>
      <c r="L804">
        <f>IF($A804="","",Entry!$L807)</f>
        <v/>
      </c>
      <c r="N804">
        <f>IF(OR(Sync!$M804="",$Q804="",$Q804="نامعتبر"),"",Sync!$M804)</f>
        <v/>
      </c>
      <c r="O804">
        <f>IF($N804="","",$Q804)</f>
        <v/>
      </c>
      <c r="P804">
        <f>IF($N804="","",LEFT($Q804,4)&amp;MID($Q804,6,2)&amp;RIGHT($Q804,2)&amp;IF(Sync!$K804="","0000",IF(AND(ISNUMBER(Sync!$K804),Sync!$K804&gt;=0,Sync!$K804&lt;1),RIGHT("00"&amp;HOUR(Sync!$K804),2)&amp;RIGHT("00"&amp;MINUTE(Sync!$K804),2),IFERROR(RIGHT("00"&amp;VALUE(LEFT(Sync!$K804,FIND(":",Sync!$K804)-1)),2)&amp;RIGHT("00"&amp;VALUE(MID(Sync!$K804,FIND(":",Sync!$K804)+1,2)),2),"0000")))&amp;"|"&amp;"2"&amp;RIGHT("00000"&amp;799,5))</f>
        <v/>
      </c>
      <c r="Q804">
        <f>IF(Sync!$J804="","",IF(ISNUMBER(Sync!$J804),IF(AND(Sync!$J804&gt;=10000101,Sync!$J804&lt;=99991231),INT(Sync!$J804/10000)&amp;"/"&amp;RIGHT("00"&amp;INT(MOD(Sync!$J804,10000)/100),2)&amp;"/"&amp;RIGHT("00"&amp;MOD(Sync!$J804,100),2),"نامعتبر"),IF(LEN(Sync!$J804)=10,Sync!$J804,"نامعتبر")))</f>
        <v/>
      </c>
      <c r="R804">
        <f>IF($P804="","",COUNTIFS($N$6:$N$2005,$N804,$P$6:$P$2005,"&lt;"&amp;$P804)+COUNTIFS($A$6:$A$1005,$N804,$B$6:$B$1005,"&lt;"&amp;$P804)+1)</f>
        <v/>
      </c>
      <c r="S804">
        <f>IF($N804="","",$N804&amp;"|"&amp;RIGHT("000000"&amp;$R804,6))</f>
        <v/>
      </c>
      <c r="T804">
        <f>IF($N804="","",IF(Sync!$N804="",0,Sync!$N804))</f>
        <v/>
      </c>
      <c r="U804">
        <f>IF($N804="","",IF(Sync!$O804="",0,Sync!$O804))</f>
        <v/>
      </c>
      <c r="V804">
        <f>IF($N804="","",Sync!$L804)</f>
        <v/>
      </c>
      <c r="W804">
        <f>IF($N804="","",Sync!$P804)</f>
        <v/>
      </c>
      <c r="AA804">
        <f>IF($A804="","",IF(COUNTIF($A$6:$A804,$A804)=1,1,0))</f>
        <v/>
      </c>
      <c r="AB804">
        <f>SUM($AA$6:$AA804)</f>
        <v/>
      </c>
      <c r="AC804">
        <f>IFERROR(INDEX($A$6:$A$1005,MATCH(ROW()-5,$AB$6:$AB$1005,0)),"")</f>
        <v/>
      </c>
    </row>
    <row r="805">
      <c r="A805">
        <f>IF(OR(Entry!$B808="",Entry!$E808="",$E805="نامعتبر"),"",Entry!$E808)</f>
        <v/>
      </c>
      <c r="B805">
        <f>IF($A805="","",LEFT($E805,4)&amp;MID($E805,6,2)&amp;RIGHT($E805,2)&amp;$F805&amp;"|"&amp;"1"&amp;RIGHT("00000"&amp;800,5))</f>
        <v/>
      </c>
      <c r="C805">
        <f>IF($B805="","",COUNTIFS($A$6:$A$1005,$A805,$B$6:$B$1005,"&lt;"&amp;$B805)+COUNTIFS($N$6:$N$2005,$A805,$P$6:$P$2005,"&lt;"&amp;$B805)+1)</f>
        <v/>
      </c>
      <c r="D805">
        <f>IF($C805="","",$A805&amp;"|"&amp;RIGHT("000000"&amp;$C805,6))</f>
        <v/>
      </c>
      <c r="E805">
        <f>IF(Entry!$B808="","",IF(ISNUMBER(Entry!$B808),IF(AND(Entry!$B808&gt;=10000101,Entry!$B808&lt;=99991231),INT(Entry!$B808/10000)&amp;"/"&amp;RIGHT("00"&amp;INT(MOD(Entry!$B808,10000)/100),2)&amp;"/"&amp;RIGHT("00"&amp;MOD(Entry!$B808,100),2),"نامعتبر"),IF(LEN(Entry!$B808)=10,Entry!$B808,"نامعتبر")))</f>
        <v/>
      </c>
      <c r="F805">
        <f>IF(Entry!$B808="","",IF(Entry!$C808="","0000",IF(AND(ISNUMBER(Entry!$C808),Entry!$C808&gt;=0,Entry!$C808&lt;1),RIGHT("00"&amp;HOUR(Entry!$C808),2)&amp;RIGHT("00"&amp;MINUTE(Entry!$C808),2),IFERROR(RIGHT("00"&amp;VALUE(LEFT(Entry!$C808,FIND(":",Entry!$C808)-1)),2)&amp;RIGHT("00"&amp;VALUE(MID(Entry!$C808,FIND(":",Entry!$C808)+1,2)),2),"0000"))))</f>
        <v/>
      </c>
      <c r="G805">
        <f>IF($A805="","",Entry!$G808)</f>
        <v/>
      </c>
      <c r="H805">
        <f>IF($A805="","",IF(Entry!$H808="",0,Entry!$H808))</f>
        <v/>
      </c>
      <c r="I805">
        <f>IF($A805="","",IF(Entry!$I808="",0,Entry!$I808))</f>
        <v/>
      </c>
      <c r="J805">
        <f>IF($A805="","",ROUND($H805*$I805,0))</f>
        <v/>
      </c>
      <c r="K805">
        <f>IF($A805="","",Entry!$D808)</f>
        <v/>
      </c>
      <c r="L805">
        <f>IF($A805="","",Entry!$L808)</f>
        <v/>
      </c>
      <c r="N805">
        <f>IF(OR(Sync!$M805="",$Q805="",$Q805="نامعتبر"),"",Sync!$M805)</f>
        <v/>
      </c>
      <c r="O805">
        <f>IF($N805="","",$Q805)</f>
        <v/>
      </c>
      <c r="P805">
        <f>IF($N805="","",LEFT($Q805,4)&amp;MID($Q805,6,2)&amp;RIGHT($Q805,2)&amp;IF(Sync!$K805="","0000",IF(AND(ISNUMBER(Sync!$K805),Sync!$K805&gt;=0,Sync!$K805&lt;1),RIGHT("00"&amp;HOUR(Sync!$K805),2)&amp;RIGHT("00"&amp;MINUTE(Sync!$K805),2),IFERROR(RIGHT("00"&amp;VALUE(LEFT(Sync!$K805,FIND(":",Sync!$K805)-1)),2)&amp;RIGHT("00"&amp;VALUE(MID(Sync!$K805,FIND(":",Sync!$K805)+1,2)),2),"0000")))&amp;"|"&amp;"2"&amp;RIGHT("00000"&amp;800,5))</f>
        <v/>
      </c>
      <c r="Q805">
        <f>IF(Sync!$J805="","",IF(ISNUMBER(Sync!$J805),IF(AND(Sync!$J805&gt;=10000101,Sync!$J805&lt;=99991231),INT(Sync!$J805/10000)&amp;"/"&amp;RIGHT("00"&amp;INT(MOD(Sync!$J805,10000)/100),2)&amp;"/"&amp;RIGHT("00"&amp;MOD(Sync!$J805,100),2),"نامعتبر"),IF(LEN(Sync!$J805)=10,Sync!$J805,"نامعتبر")))</f>
        <v/>
      </c>
      <c r="R805">
        <f>IF($P805="","",COUNTIFS($N$6:$N$2005,$N805,$P$6:$P$2005,"&lt;"&amp;$P805)+COUNTIFS($A$6:$A$1005,$N805,$B$6:$B$1005,"&lt;"&amp;$P805)+1)</f>
        <v/>
      </c>
      <c r="S805">
        <f>IF($N805="","",$N805&amp;"|"&amp;RIGHT("000000"&amp;$R805,6))</f>
        <v/>
      </c>
      <c r="T805">
        <f>IF($N805="","",IF(Sync!$N805="",0,Sync!$N805))</f>
        <v/>
      </c>
      <c r="U805">
        <f>IF($N805="","",IF(Sync!$O805="",0,Sync!$O805))</f>
        <v/>
      </c>
      <c r="V805">
        <f>IF($N805="","",Sync!$L805)</f>
        <v/>
      </c>
      <c r="W805">
        <f>IF($N805="","",Sync!$P805)</f>
        <v/>
      </c>
      <c r="AA805">
        <f>IF($A805="","",IF(COUNTIF($A$6:$A805,$A805)=1,1,0))</f>
        <v/>
      </c>
      <c r="AB805">
        <f>SUM($AA$6:$AA805)</f>
        <v/>
      </c>
      <c r="AC805">
        <f>IFERROR(INDEX($A$6:$A$1005,MATCH(ROW()-5,$AB$6:$AB$1005,0)),"")</f>
        <v/>
      </c>
    </row>
    <row r="806">
      <c r="A806">
        <f>IF(OR(Entry!$B809="",Entry!$E809="",$E806="نامعتبر"),"",Entry!$E809)</f>
        <v/>
      </c>
      <c r="B806">
        <f>IF($A806="","",LEFT($E806,4)&amp;MID($E806,6,2)&amp;RIGHT($E806,2)&amp;$F806&amp;"|"&amp;"1"&amp;RIGHT("00000"&amp;801,5))</f>
        <v/>
      </c>
      <c r="C806">
        <f>IF($B806="","",COUNTIFS($A$6:$A$1005,$A806,$B$6:$B$1005,"&lt;"&amp;$B806)+COUNTIFS($N$6:$N$2005,$A806,$P$6:$P$2005,"&lt;"&amp;$B806)+1)</f>
        <v/>
      </c>
      <c r="D806">
        <f>IF($C806="","",$A806&amp;"|"&amp;RIGHT("000000"&amp;$C806,6))</f>
        <v/>
      </c>
      <c r="E806">
        <f>IF(Entry!$B809="","",IF(ISNUMBER(Entry!$B809),IF(AND(Entry!$B809&gt;=10000101,Entry!$B809&lt;=99991231),INT(Entry!$B809/10000)&amp;"/"&amp;RIGHT("00"&amp;INT(MOD(Entry!$B809,10000)/100),2)&amp;"/"&amp;RIGHT("00"&amp;MOD(Entry!$B809,100),2),"نامعتبر"),IF(LEN(Entry!$B809)=10,Entry!$B809,"نامعتبر")))</f>
        <v/>
      </c>
      <c r="F806">
        <f>IF(Entry!$B809="","",IF(Entry!$C809="","0000",IF(AND(ISNUMBER(Entry!$C809),Entry!$C809&gt;=0,Entry!$C809&lt;1),RIGHT("00"&amp;HOUR(Entry!$C809),2)&amp;RIGHT("00"&amp;MINUTE(Entry!$C809),2),IFERROR(RIGHT("00"&amp;VALUE(LEFT(Entry!$C809,FIND(":",Entry!$C809)-1)),2)&amp;RIGHT("00"&amp;VALUE(MID(Entry!$C809,FIND(":",Entry!$C809)+1,2)),2),"0000"))))</f>
        <v/>
      </c>
      <c r="G806">
        <f>IF($A806="","",Entry!$G809)</f>
        <v/>
      </c>
      <c r="H806">
        <f>IF($A806="","",IF(Entry!$H809="",0,Entry!$H809))</f>
        <v/>
      </c>
      <c r="I806">
        <f>IF($A806="","",IF(Entry!$I809="",0,Entry!$I809))</f>
        <v/>
      </c>
      <c r="J806">
        <f>IF($A806="","",ROUND($H806*$I806,0))</f>
        <v/>
      </c>
      <c r="K806">
        <f>IF($A806="","",Entry!$D809)</f>
        <v/>
      </c>
      <c r="L806">
        <f>IF($A806="","",Entry!$L809)</f>
        <v/>
      </c>
      <c r="N806">
        <f>IF(OR(Sync!$M806="",$Q806="",$Q806="نامعتبر"),"",Sync!$M806)</f>
        <v/>
      </c>
      <c r="O806">
        <f>IF($N806="","",$Q806)</f>
        <v/>
      </c>
      <c r="P806">
        <f>IF($N806="","",LEFT($Q806,4)&amp;MID($Q806,6,2)&amp;RIGHT($Q806,2)&amp;IF(Sync!$K806="","0000",IF(AND(ISNUMBER(Sync!$K806),Sync!$K806&gt;=0,Sync!$K806&lt;1),RIGHT("00"&amp;HOUR(Sync!$K806),2)&amp;RIGHT("00"&amp;MINUTE(Sync!$K806),2),IFERROR(RIGHT("00"&amp;VALUE(LEFT(Sync!$K806,FIND(":",Sync!$K806)-1)),2)&amp;RIGHT("00"&amp;VALUE(MID(Sync!$K806,FIND(":",Sync!$K806)+1,2)),2),"0000")))&amp;"|"&amp;"2"&amp;RIGHT("00000"&amp;801,5))</f>
        <v/>
      </c>
      <c r="Q806">
        <f>IF(Sync!$J806="","",IF(ISNUMBER(Sync!$J806),IF(AND(Sync!$J806&gt;=10000101,Sync!$J806&lt;=99991231),INT(Sync!$J806/10000)&amp;"/"&amp;RIGHT("00"&amp;INT(MOD(Sync!$J806,10000)/100),2)&amp;"/"&amp;RIGHT("00"&amp;MOD(Sync!$J806,100),2),"نامعتبر"),IF(LEN(Sync!$J806)=10,Sync!$J806,"نامعتبر")))</f>
        <v/>
      </c>
      <c r="R806">
        <f>IF($P806="","",COUNTIFS($N$6:$N$2005,$N806,$P$6:$P$2005,"&lt;"&amp;$P806)+COUNTIFS($A$6:$A$1005,$N806,$B$6:$B$1005,"&lt;"&amp;$P806)+1)</f>
        <v/>
      </c>
      <c r="S806">
        <f>IF($N806="","",$N806&amp;"|"&amp;RIGHT("000000"&amp;$R806,6))</f>
        <v/>
      </c>
      <c r="T806">
        <f>IF($N806="","",IF(Sync!$N806="",0,Sync!$N806))</f>
        <v/>
      </c>
      <c r="U806">
        <f>IF($N806="","",IF(Sync!$O806="",0,Sync!$O806))</f>
        <v/>
      </c>
      <c r="V806">
        <f>IF($N806="","",Sync!$L806)</f>
        <v/>
      </c>
      <c r="W806">
        <f>IF($N806="","",Sync!$P806)</f>
        <v/>
      </c>
      <c r="AA806">
        <f>IF($A806="","",IF(COUNTIF($A$6:$A806,$A806)=1,1,0))</f>
        <v/>
      </c>
      <c r="AB806">
        <f>SUM($AA$6:$AA806)</f>
        <v/>
      </c>
      <c r="AC806">
        <f>IFERROR(INDEX($A$6:$A$1005,MATCH(ROW()-5,$AB$6:$AB$1005,0)),"")</f>
        <v/>
      </c>
    </row>
    <row r="807">
      <c r="A807">
        <f>IF(OR(Entry!$B810="",Entry!$E810="",$E807="نامعتبر"),"",Entry!$E810)</f>
        <v/>
      </c>
      <c r="B807">
        <f>IF($A807="","",LEFT($E807,4)&amp;MID($E807,6,2)&amp;RIGHT($E807,2)&amp;$F807&amp;"|"&amp;"1"&amp;RIGHT("00000"&amp;802,5))</f>
        <v/>
      </c>
      <c r="C807">
        <f>IF($B807="","",COUNTIFS($A$6:$A$1005,$A807,$B$6:$B$1005,"&lt;"&amp;$B807)+COUNTIFS($N$6:$N$2005,$A807,$P$6:$P$2005,"&lt;"&amp;$B807)+1)</f>
        <v/>
      </c>
      <c r="D807">
        <f>IF($C807="","",$A807&amp;"|"&amp;RIGHT("000000"&amp;$C807,6))</f>
        <v/>
      </c>
      <c r="E807">
        <f>IF(Entry!$B810="","",IF(ISNUMBER(Entry!$B810),IF(AND(Entry!$B810&gt;=10000101,Entry!$B810&lt;=99991231),INT(Entry!$B810/10000)&amp;"/"&amp;RIGHT("00"&amp;INT(MOD(Entry!$B810,10000)/100),2)&amp;"/"&amp;RIGHT("00"&amp;MOD(Entry!$B810,100),2),"نامعتبر"),IF(LEN(Entry!$B810)=10,Entry!$B810,"نامعتبر")))</f>
        <v/>
      </c>
      <c r="F807">
        <f>IF(Entry!$B810="","",IF(Entry!$C810="","0000",IF(AND(ISNUMBER(Entry!$C810),Entry!$C810&gt;=0,Entry!$C810&lt;1),RIGHT("00"&amp;HOUR(Entry!$C810),2)&amp;RIGHT("00"&amp;MINUTE(Entry!$C810),2),IFERROR(RIGHT("00"&amp;VALUE(LEFT(Entry!$C810,FIND(":",Entry!$C810)-1)),2)&amp;RIGHT("00"&amp;VALUE(MID(Entry!$C810,FIND(":",Entry!$C810)+1,2)),2),"0000"))))</f>
        <v/>
      </c>
      <c r="G807">
        <f>IF($A807="","",Entry!$G810)</f>
        <v/>
      </c>
      <c r="H807">
        <f>IF($A807="","",IF(Entry!$H810="",0,Entry!$H810))</f>
        <v/>
      </c>
      <c r="I807">
        <f>IF($A807="","",IF(Entry!$I810="",0,Entry!$I810))</f>
        <v/>
      </c>
      <c r="J807">
        <f>IF($A807="","",ROUND($H807*$I807,0))</f>
        <v/>
      </c>
      <c r="K807">
        <f>IF($A807="","",Entry!$D810)</f>
        <v/>
      </c>
      <c r="L807">
        <f>IF($A807="","",Entry!$L810)</f>
        <v/>
      </c>
      <c r="N807">
        <f>IF(OR(Sync!$M807="",$Q807="",$Q807="نامعتبر"),"",Sync!$M807)</f>
        <v/>
      </c>
      <c r="O807">
        <f>IF($N807="","",$Q807)</f>
        <v/>
      </c>
      <c r="P807">
        <f>IF($N807="","",LEFT($Q807,4)&amp;MID($Q807,6,2)&amp;RIGHT($Q807,2)&amp;IF(Sync!$K807="","0000",IF(AND(ISNUMBER(Sync!$K807),Sync!$K807&gt;=0,Sync!$K807&lt;1),RIGHT("00"&amp;HOUR(Sync!$K807),2)&amp;RIGHT("00"&amp;MINUTE(Sync!$K807),2),IFERROR(RIGHT("00"&amp;VALUE(LEFT(Sync!$K807,FIND(":",Sync!$K807)-1)),2)&amp;RIGHT("00"&amp;VALUE(MID(Sync!$K807,FIND(":",Sync!$K807)+1,2)),2),"0000")))&amp;"|"&amp;"2"&amp;RIGHT("00000"&amp;802,5))</f>
        <v/>
      </c>
      <c r="Q807">
        <f>IF(Sync!$J807="","",IF(ISNUMBER(Sync!$J807),IF(AND(Sync!$J807&gt;=10000101,Sync!$J807&lt;=99991231),INT(Sync!$J807/10000)&amp;"/"&amp;RIGHT("00"&amp;INT(MOD(Sync!$J807,10000)/100),2)&amp;"/"&amp;RIGHT("00"&amp;MOD(Sync!$J807,100),2),"نامعتبر"),IF(LEN(Sync!$J807)=10,Sync!$J807,"نامعتبر")))</f>
        <v/>
      </c>
      <c r="R807">
        <f>IF($P807="","",COUNTIFS($N$6:$N$2005,$N807,$P$6:$P$2005,"&lt;"&amp;$P807)+COUNTIFS($A$6:$A$1005,$N807,$B$6:$B$1005,"&lt;"&amp;$P807)+1)</f>
        <v/>
      </c>
      <c r="S807">
        <f>IF($N807="","",$N807&amp;"|"&amp;RIGHT("000000"&amp;$R807,6))</f>
        <v/>
      </c>
      <c r="T807">
        <f>IF($N807="","",IF(Sync!$N807="",0,Sync!$N807))</f>
        <v/>
      </c>
      <c r="U807">
        <f>IF($N807="","",IF(Sync!$O807="",0,Sync!$O807))</f>
        <v/>
      </c>
      <c r="V807">
        <f>IF($N807="","",Sync!$L807)</f>
        <v/>
      </c>
      <c r="W807">
        <f>IF($N807="","",Sync!$P807)</f>
        <v/>
      </c>
      <c r="AA807">
        <f>IF($A807="","",IF(COUNTIF($A$6:$A807,$A807)=1,1,0))</f>
        <v/>
      </c>
      <c r="AB807">
        <f>SUM($AA$6:$AA807)</f>
        <v/>
      </c>
      <c r="AC807">
        <f>IFERROR(INDEX($A$6:$A$1005,MATCH(ROW()-5,$AB$6:$AB$1005,0)),"")</f>
        <v/>
      </c>
    </row>
    <row r="808">
      <c r="A808">
        <f>IF(OR(Entry!$B811="",Entry!$E811="",$E808="نامعتبر"),"",Entry!$E811)</f>
        <v/>
      </c>
      <c r="B808">
        <f>IF($A808="","",LEFT($E808,4)&amp;MID($E808,6,2)&amp;RIGHT($E808,2)&amp;$F808&amp;"|"&amp;"1"&amp;RIGHT("00000"&amp;803,5))</f>
        <v/>
      </c>
      <c r="C808">
        <f>IF($B808="","",COUNTIFS($A$6:$A$1005,$A808,$B$6:$B$1005,"&lt;"&amp;$B808)+COUNTIFS($N$6:$N$2005,$A808,$P$6:$P$2005,"&lt;"&amp;$B808)+1)</f>
        <v/>
      </c>
      <c r="D808">
        <f>IF($C808="","",$A808&amp;"|"&amp;RIGHT("000000"&amp;$C808,6))</f>
        <v/>
      </c>
      <c r="E808">
        <f>IF(Entry!$B811="","",IF(ISNUMBER(Entry!$B811),IF(AND(Entry!$B811&gt;=10000101,Entry!$B811&lt;=99991231),INT(Entry!$B811/10000)&amp;"/"&amp;RIGHT("00"&amp;INT(MOD(Entry!$B811,10000)/100),2)&amp;"/"&amp;RIGHT("00"&amp;MOD(Entry!$B811,100),2),"نامعتبر"),IF(LEN(Entry!$B811)=10,Entry!$B811,"نامعتبر")))</f>
        <v/>
      </c>
      <c r="F808">
        <f>IF(Entry!$B811="","",IF(Entry!$C811="","0000",IF(AND(ISNUMBER(Entry!$C811),Entry!$C811&gt;=0,Entry!$C811&lt;1),RIGHT("00"&amp;HOUR(Entry!$C811),2)&amp;RIGHT("00"&amp;MINUTE(Entry!$C811),2),IFERROR(RIGHT("00"&amp;VALUE(LEFT(Entry!$C811,FIND(":",Entry!$C811)-1)),2)&amp;RIGHT("00"&amp;VALUE(MID(Entry!$C811,FIND(":",Entry!$C811)+1,2)),2),"0000"))))</f>
        <v/>
      </c>
      <c r="G808">
        <f>IF($A808="","",Entry!$G811)</f>
        <v/>
      </c>
      <c r="H808">
        <f>IF($A808="","",IF(Entry!$H811="",0,Entry!$H811))</f>
        <v/>
      </c>
      <c r="I808">
        <f>IF($A808="","",IF(Entry!$I811="",0,Entry!$I811))</f>
        <v/>
      </c>
      <c r="J808">
        <f>IF($A808="","",ROUND($H808*$I808,0))</f>
        <v/>
      </c>
      <c r="K808">
        <f>IF($A808="","",Entry!$D811)</f>
        <v/>
      </c>
      <c r="L808">
        <f>IF($A808="","",Entry!$L811)</f>
        <v/>
      </c>
      <c r="N808">
        <f>IF(OR(Sync!$M808="",$Q808="",$Q808="نامعتبر"),"",Sync!$M808)</f>
        <v/>
      </c>
      <c r="O808">
        <f>IF($N808="","",$Q808)</f>
        <v/>
      </c>
      <c r="P808">
        <f>IF($N808="","",LEFT($Q808,4)&amp;MID($Q808,6,2)&amp;RIGHT($Q808,2)&amp;IF(Sync!$K808="","0000",IF(AND(ISNUMBER(Sync!$K808),Sync!$K808&gt;=0,Sync!$K808&lt;1),RIGHT("00"&amp;HOUR(Sync!$K808),2)&amp;RIGHT("00"&amp;MINUTE(Sync!$K808),2),IFERROR(RIGHT("00"&amp;VALUE(LEFT(Sync!$K808,FIND(":",Sync!$K808)-1)),2)&amp;RIGHT("00"&amp;VALUE(MID(Sync!$K808,FIND(":",Sync!$K808)+1,2)),2),"0000")))&amp;"|"&amp;"2"&amp;RIGHT("00000"&amp;803,5))</f>
        <v/>
      </c>
      <c r="Q808">
        <f>IF(Sync!$J808="","",IF(ISNUMBER(Sync!$J808),IF(AND(Sync!$J808&gt;=10000101,Sync!$J808&lt;=99991231),INT(Sync!$J808/10000)&amp;"/"&amp;RIGHT("00"&amp;INT(MOD(Sync!$J808,10000)/100),2)&amp;"/"&amp;RIGHT("00"&amp;MOD(Sync!$J808,100),2),"نامعتبر"),IF(LEN(Sync!$J808)=10,Sync!$J808,"نامعتبر")))</f>
        <v/>
      </c>
      <c r="R808">
        <f>IF($P808="","",COUNTIFS($N$6:$N$2005,$N808,$P$6:$P$2005,"&lt;"&amp;$P808)+COUNTIFS($A$6:$A$1005,$N808,$B$6:$B$1005,"&lt;"&amp;$P808)+1)</f>
        <v/>
      </c>
      <c r="S808">
        <f>IF($N808="","",$N808&amp;"|"&amp;RIGHT("000000"&amp;$R808,6))</f>
        <v/>
      </c>
      <c r="T808">
        <f>IF($N808="","",IF(Sync!$N808="",0,Sync!$N808))</f>
        <v/>
      </c>
      <c r="U808">
        <f>IF($N808="","",IF(Sync!$O808="",0,Sync!$O808))</f>
        <v/>
      </c>
      <c r="V808">
        <f>IF($N808="","",Sync!$L808)</f>
        <v/>
      </c>
      <c r="W808">
        <f>IF($N808="","",Sync!$P808)</f>
        <v/>
      </c>
      <c r="AA808">
        <f>IF($A808="","",IF(COUNTIF($A$6:$A808,$A808)=1,1,0))</f>
        <v/>
      </c>
      <c r="AB808">
        <f>SUM($AA$6:$AA808)</f>
        <v/>
      </c>
      <c r="AC808">
        <f>IFERROR(INDEX($A$6:$A$1005,MATCH(ROW()-5,$AB$6:$AB$1005,0)),"")</f>
        <v/>
      </c>
    </row>
    <row r="809">
      <c r="A809">
        <f>IF(OR(Entry!$B812="",Entry!$E812="",$E809="نامعتبر"),"",Entry!$E812)</f>
        <v/>
      </c>
      <c r="B809">
        <f>IF($A809="","",LEFT($E809,4)&amp;MID($E809,6,2)&amp;RIGHT($E809,2)&amp;$F809&amp;"|"&amp;"1"&amp;RIGHT("00000"&amp;804,5))</f>
        <v/>
      </c>
      <c r="C809">
        <f>IF($B809="","",COUNTIFS($A$6:$A$1005,$A809,$B$6:$B$1005,"&lt;"&amp;$B809)+COUNTIFS($N$6:$N$2005,$A809,$P$6:$P$2005,"&lt;"&amp;$B809)+1)</f>
        <v/>
      </c>
      <c r="D809">
        <f>IF($C809="","",$A809&amp;"|"&amp;RIGHT("000000"&amp;$C809,6))</f>
        <v/>
      </c>
      <c r="E809">
        <f>IF(Entry!$B812="","",IF(ISNUMBER(Entry!$B812),IF(AND(Entry!$B812&gt;=10000101,Entry!$B812&lt;=99991231),INT(Entry!$B812/10000)&amp;"/"&amp;RIGHT("00"&amp;INT(MOD(Entry!$B812,10000)/100),2)&amp;"/"&amp;RIGHT("00"&amp;MOD(Entry!$B812,100),2),"نامعتبر"),IF(LEN(Entry!$B812)=10,Entry!$B812,"نامعتبر")))</f>
        <v/>
      </c>
      <c r="F809">
        <f>IF(Entry!$B812="","",IF(Entry!$C812="","0000",IF(AND(ISNUMBER(Entry!$C812),Entry!$C812&gt;=0,Entry!$C812&lt;1),RIGHT("00"&amp;HOUR(Entry!$C812),2)&amp;RIGHT("00"&amp;MINUTE(Entry!$C812),2),IFERROR(RIGHT("00"&amp;VALUE(LEFT(Entry!$C812,FIND(":",Entry!$C812)-1)),2)&amp;RIGHT("00"&amp;VALUE(MID(Entry!$C812,FIND(":",Entry!$C812)+1,2)),2),"0000"))))</f>
        <v/>
      </c>
      <c r="G809">
        <f>IF($A809="","",Entry!$G812)</f>
        <v/>
      </c>
      <c r="H809">
        <f>IF($A809="","",IF(Entry!$H812="",0,Entry!$H812))</f>
        <v/>
      </c>
      <c r="I809">
        <f>IF($A809="","",IF(Entry!$I812="",0,Entry!$I812))</f>
        <v/>
      </c>
      <c r="J809">
        <f>IF($A809="","",ROUND($H809*$I809,0))</f>
        <v/>
      </c>
      <c r="K809">
        <f>IF($A809="","",Entry!$D812)</f>
        <v/>
      </c>
      <c r="L809">
        <f>IF($A809="","",Entry!$L812)</f>
        <v/>
      </c>
      <c r="N809">
        <f>IF(OR(Sync!$M809="",$Q809="",$Q809="نامعتبر"),"",Sync!$M809)</f>
        <v/>
      </c>
      <c r="O809">
        <f>IF($N809="","",$Q809)</f>
        <v/>
      </c>
      <c r="P809">
        <f>IF($N809="","",LEFT($Q809,4)&amp;MID($Q809,6,2)&amp;RIGHT($Q809,2)&amp;IF(Sync!$K809="","0000",IF(AND(ISNUMBER(Sync!$K809),Sync!$K809&gt;=0,Sync!$K809&lt;1),RIGHT("00"&amp;HOUR(Sync!$K809),2)&amp;RIGHT("00"&amp;MINUTE(Sync!$K809),2),IFERROR(RIGHT("00"&amp;VALUE(LEFT(Sync!$K809,FIND(":",Sync!$K809)-1)),2)&amp;RIGHT("00"&amp;VALUE(MID(Sync!$K809,FIND(":",Sync!$K809)+1,2)),2),"0000")))&amp;"|"&amp;"2"&amp;RIGHT("00000"&amp;804,5))</f>
        <v/>
      </c>
      <c r="Q809">
        <f>IF(Sync!$J809="","",IF(ISNUMBER(Sync!$J809),IF(AND(Sync!$J809&gt;=10000101,Sync!$J809&lt;=99991231),INT(Sync!$J809/10000)&amp;"/"&amp;RIGHT("00"&amp;INT(MOD(Sync!$J809,10000)/100),2)&amp;"/"&amp;RIGHT("00"&amp;MOD(Sync!$J809,100),2),"نامعتبر"),IF(LEN(Sync!$J809)=10,Sync!$J809,"نامعتبر")))</f>
        <v/>
      </c>
      <c r="R809">
        <f>IF($P809="","",COUNTIFS($N$6:$N$2005,$N809,$P$6:$P$2005,"&lt;"&amp;$P809)+COUNTIFS($A$6:$A$1005,$N809,$B$6:$B$1005,"&lt;"&amp;$P809)+1)</f>
        <v/>
      </c>
      <c r="S809">
        <f>IF($N809="","",$N809&amp;"|"&amp;RIGHT("000000"&amp;$R809,6))</f>
        <v/>
      </c>
      <c r="T809">
        <f>IF($N809="","",IF(Sync!$N809="",0,Sync!$N809))</f>
        <v/>
      </c>
      <c r="U809">
        <f>IF($N809="","",IF(Sync!$O809="",0,Sync!$O809))</f>
        <v/>
      </c>
      <c r="V809">
        <f>IF($N809="","",Sync!$L809)</f>
        <v/>
      </c>
      <c r="W809">
        <f>IF($N809="","",Sync!$P809)</f>
        <v/>
      </c>
      <c r="AA809">
        <f>IF($A809="","",IF(COUNTIF($A$6:$A809,$A809)=1,1,0))</f>
        <v/>
      </c>
      <c r="AB809">
        <f>SUM($AA$6:$AA809)</f>
        <v/>
      </c>
      <c r="AC809">
        <f>IFERROR(INDEX($A$6:$A$1005,MATCH(ROW()-5,$AB$6:$AB$1005,0)),"")</f>
        <v/>
      </c>
    </row>
    <row r="810">
      <c r="A810">
        <f>IF(OR(Entry!$B813="",Entry!$E813="",$E810="نامعتبر"),"",Entry!$E813)</f>
        <v/>
      </c>
      <c r="B810">
        <f>IF($A810="","",LEFT($E810,4)&amp;MID($E810,6,2)&amp;RIGHT($E810,2)&amp;$F810&amp;"|"&amp;"1"&amp;RIGHT("00000"&amp;805,5))</f>
        <v/>
      </c>
      <c r="C810">
        <f>IF($B810="","",COUNTIFS($A$6:$A$1005,$A810,$B$6:$B$1005,"&lt;"&amp;$B810)+COUNTIFS($N$6:$N$2005,$A810,$P$6:$P$2005,"&lt;"&amp;$B810)+1)</f>
        <v/>
      </c>
      <c r="D810">
        <f>IF($C810="","",$A810&amp;"|"&amp;RIGHT("000000"&amp;$C810,6))</f>
        <v/>
      </c>
      <c r="E810">
        <f>IF(Entry!$B813="","",IF(ISNUMBER(Entry!$B813),IF(AND(Entry!$B813&gt;=10000101,Entry!$B813&lt;=99991231),INT(Entry!$B813/10000)&amp;"/"&amp;RIGHT("00"&amp;INT(MOD(Entry!$B813,10000)/100),2)&amp;"/"&amp;RIGHT("00"&amp;MOD(Entry!$B813,100),2),"نامعتبر"),IF(LEN(Entry!$B813)=10,Entry!$B813,"نامعتبر")))</f>
        <v/>
      </c>
      <c r="F810">
        <f>IF(Entry!$B813="","",IF(Entry!$C813="","0000",IF(AND(ISNUMBER(Entry!$C813),Entry!$C813&gt;=0,Entry!$C813&lt;1),RIGHT("00"&amp;HOUR(Entry!$C813),2)&amp;RIGHT("00"&amp;MINUTE(Entry!$C813),2),IFERROR(RIGHT("00"&amp;VALUE(LEFT(Entry!$C813,FIND(":",Entry!$C813)-1)),2)&amp;RIGHT("00"&amp;VALUE(MID(Entry!$C813,FIND(":",Entry!$C813)+1,2)),2),"0000"))))</f>
        <v/>
      </c>
      <c r="G810">
        <f>IF($A810="","",Entry!$G813)</f>
        <v/>
      </c>
      <c r="H810">
        <f>IF($A810="","",IF(Entry!$H813="",0,Entry!$H813))</f>
        <v/>
      </c>
      <c r="I810">
        <f>IF($A810="","",IF(Entry!$I813="",0,Entry!$I813))</f>
        <v/>
      </c>
      <c r="J810">
        <f>IF($A810="","",ROUND($H810*$I810,0))</f>
        <v/>
      </c>
      <c r="K810">
        <f>IF($A810="","",Entry!$D813)</f>
        <v/>
      </c>
      <c r="L810">
        <f>IF($A810="","",Entry!$L813)</f>
        <v/>
      </c>
      <c r="N810">
        <f>IF(OR(Sync!$M810="",$Q810="",$Q810="نامعتبر"),"",Sync!$M810)</f>
        <v/>
      </c>
      <c r="O810">
        <f>IF($N810="","",$Q810)</f>
        <v/>
      </c>
      <c r="P810">
        <f>IF($N810="","",LEFT($Q810,4)&amp;MID($Q810,6,2)&amp;RIGHT($Q810,2)&amp;IF(Sync!$K810="","0000",IF(AND(ISNUMBER(Sync!$K810),Sync!$K810&gt;=0,Sync!$K810&lt;1),RIGHT("00"&amp;HOUR(Sync!$K810),2)&amp;RIGHT("00"&amp;MINUTE(Sync!$K810),2),IFERROR(RIGHT("00"&amp;VALUE(LEFT(Sync!$K810,FIND(":",Sync!$K810)-1)),2)&amp;RIGHT("00"&amp;VALUE(MID(Sync!$K810,FIND(":",Sync!$K810)+1,2)),2),"0000")))&amp;"|"&amp;"2"&amp;RIGHT("00000"&amp;805,5))</f>
        <v/>
      </c>
      <c r="Q810">
        <f>IF(Sync!$J810="","",IF(ISNUMBER(Sync!$J810),IF(AND(Sync!$J810&gt;=10000101,Sync!$J810&lt;=99991231),INT(Sync!$J810/10000)&amp;"/"&amp;RIGHT("00"&amp;INT(MOD(Sync!$J810,10000)/100),2)&amp;"/"&amp;RIGHT("00"&amp;MOD(Sync!$J810,100),2),"نامعتبر"),IF(LEN(Sync!$J810)=10,Sync!$J810,"نامعتبر")))</f>
        <v/>
      </c>
      <c r="R810">
        <f>IF($P810="","",COUNTIFS($N$6:$N$2005,$N810,$P$6:$P$2005,"&lt;"&amp;$P810)+COUNTIFS($A$6:$A$1005,$N810,$B$6:$B$1005,"&lt;"&amp;$P810)+1)</f>
        <v/>
      </c>
      <c r="S810">
        <f>IF($N810="","",$N810&amp;"|"&amp;RIGHT("000000"&amp;$R810,6))</f>
        <v/>
      </c>
      <c r="T810">
        <f>IF($N810="","",IF(Sync!$N810="",0,Sync!$N810))</f>
        <v/>
      </c>
      <c r="U810">
        <f>IF($N810="","",IF(Sync!$O810="",0,Sync!$O810))</f>
        <v/>
      </c>
      <c r="V810">
        <f>IF($N810="","",Sync!$L810)</f>
        <v/>
      </c>
      <c r="W810">
        <f>IF($N810="","",Sync!$P810)</f>
        <v/>
      </c>
      <c r="AA810">
        <f>IF($A810="","",IF(COUNTIF($A$6:$A810,$A810)=1,1,0))</f>
        <v/>
      </c>
      <c r="AB810">
        <f>SUM($AA$6:$AA810)</f>
        <v/>
      </c>
      <c r="AC810">
        <f>IFERROR(INDEX($A$6:$A$1005,MATCH(ROW()-5,$AB$6:$AB$1005,0)),"")</f>
        <v/>
      </c>
    </row>
    <row r="811">
      <c r="A811">
        <f>IF(OR(Entry!$B814="",Entry!$E814="",$E811="نامعتبر"),"",Entry!$E814)</f>
        <v/>
      </c>
      <c r="B811">
        <f>IF($A811="","",LEFT($E811,4)&amp;MID($E811,6,2)&amp;RIGHT($E811,2)&amp;$F811&amp;"|"&amp;"1"&amp;RIGHT("00000"&amp;806,5))</f>
        <v/>
      </c>
      <c r="C811">
        <f>IF($B811="","",COUNTIFS($A$6:$A$1005,$A811,$B$6:$B$1005,"&lt;"&amp;$B811)+COUNTIFS($N$6:$N$2005,$A811,$P$6:$P$2005,"&lt;"&amp;$B811)+1)</f>
        <v/>
      </c>
      <c r="D811">
        <f>IF($C811="","",$A811&amp;"|"&amp;RIGHT("000000"&amp;$C811,6))</f>
        <v/>
      </c>
      <c r="E811">
        <f>IF(Entry!$B814="","",IF(ISNUMBER(Entry!$B814),IF(AND(Entry!$B814&gt;=10000101,Entry!$B814&lt;=99991231),INT(Entry!$B814/10000)&amp;"/"&amp;RIGHT("00"&amp;INT(MOD(Entry!$B814,10000)/100),2)&amp;"/"&amp;RIGHT("00"&amp;MOD(Entry!$B814,100),2),"نامعتبر"),IF(LEN(Entry!$B814)=10,Entry!$B814,"نامعتبر")))</f>
        <v/>
      </c>
      <c r="F811">
        <f>IF(Entry!$B814="","",IF(Entry!$C814="","0000",IF(AND(ISNUMBER(Entry!$C814),Entry!$C814&gt;=0,Entry!$C814&lt;1),RIGHT("00"&amp;HOUR(Entry!$C814),2)&amp;RIGHT("00"&amp;MINUTE(Entry!$C814),2),IFERROR(RIGHT("00"&amp;VALUE(LEFT(Entry!$C814,FIND(":",Entry!$C814)-1)),2)&amp;RIGHT("00"&amp;VALUE(MID(Entry!$C814,FIND(":",Entry!$C814)+1,2)),2),"0000"))))</f>
        <v/>
      </c>
      <c r="G811">
        <f>IF($A811="","",Entry!$G814)</f>
        <v/>
      </c>
      <c r="H811">
        <f>IF($A811="","",IF(Entry!$H814="",0,Entry!$H814))</f>
        <v/>
      </c>
      <c r="I811">
        <f>IF($A811="","",IF(Entry!$I814="",0,Entry!$I814))</f>
        <v/>
      </c>
      <c r="J811">
        <f>IF($A811="","",ROUND($H811*$I811,0))</f>
        <v/>
      </c>
      <c r="K811">
        <f>IF($A811="","",Entry!$D814)</f>
        <v/>
      </c>
      <c r="L811">
        <f>IF($A811="","",Entry!$L814)</f>
        <v/>
      </c>
      <c r="N811">
        <f>IF(OR(Sync!$M811="",$Q811="",$Q811="نامعتبر"),"",Sync!$M811)</f>
        <v/>
      </c>
      <c r="O811">
        <f>IF($N811="","",$Q811)</f>
        <v/>
      </c>
      <c r="P811">
        <f>IF($N811="","",LEFT($Q811,4)&amp;MID($Q811,6,2)&amp;RIGHT($Q811,2)&amp;IF(Sync!$K811="","0000",IF(AND(ISNUMBER(Sync!$K811),Sync!$K811&gt;=0,Sync!$K811&lt;1),RIGHT("00"&amp;HOUR(Sync!$K811),2)&amp;RIGHT("00"&amp;MINUTE(Sync!$K811),2),IFERROR(RIGHT("00"&amp;VALUE(LEFT(Sync!$K811,FIND(":",Sync!$K811)-1)),2)&amp;RIGHT("00"&amp;VALUE(MID(Sync!$K811,FIND(":",Sync!$K811)+1,2)),2),"0000")))&amp;"|"&amp;"2"&amp;RIGHT("00000"&amp;806,5))</f>
        <v/>
      </c>
      <c r="Q811">
        <f>IF(Sync!$J811="","",IF(ISNUMBER(Sync!$J811),IF(AND(Sync!$J811&gt;=10000101,Sync!$J811&lt;=99991231),INT(Sync!$J811/10000)&amp;"/"&amp;RIGHT("00"&amp;INT(MOD(Sync!$J811,10000)/100),2)&amp;"/"&amp;RIGHT("00"&amp;MOD(Sync!$J811,100),2),"نامعتبر"),IF(LEN(Sync!$J811)=10,Sync!$J811,"نامعتبر")))</f>
        <v/>
      </c>
      <c r="R811">
        <f>IF($P811="","",COUNTIFS($N$6:$N$2005,$N811,$P$6:$P$2005,"&lt;"&amp;$P811)+COUNTIFS($A$6:$A$1005,$N811,$B$6:$B$1005,"&lt;"&amp;$P811)+1)</f>
        <v/>
      </c>
      <c r="S811">
        <f>IF($N811="","",$N811&amp;"|"&amp;RIGHT("000000"&amp;$R811,6))</f>
        <v/>
      </c>
      <c r="T811">
        <f>IF($N811="","",IF(Sync!$N811="",0,Sync!$N811))</f>
        <v/>
      </c>
      <c r="U811">
        <f>IF($N811="","",IF(Sync!$O811="",0,Sync!$O811))</f>
        <v/>
      </c>
      <c r="V811">
        <f>IF($N811="","",Sync!$L811)</f>
        <v/>
      </c>
      <c r="W811">
        <f>IF($N811="","",Sync!$P811)</f>
        <v/>
      </c>
      <c r="AA811">
        <f>IF($A811="","",IF(COUNTIF($A$6:$A811,$A811)=1,1,0))</f>
        <v/>
      </c>
      <c r="AB811">
        <f>SUM($AA$6:$AA811)</f>
        <v/>
      </c>
      <c r="AC811">
        <f>IFERROR(INDEX($A$6:$A$1005,MATCH(ROW()-5,$AB$6:$AB$1005,0)),"")</f>
        <v/>
      </c>
    </row>
    <row r="812">
      <c r="A812">
        <f>IF(OR(Entry!$B815="",Entry!$E815="",$E812="نامعتبر"),"",Entry!$E815)</f>
        <v/>
      </c>
      <c r="B812">
        <f>IF($A812="","",LEFT($E812,4)&amp;MID($E812,6,2)&amp;RIGHT($E812,2)&amp;$F812&amp;"|"&amp;"1"&amp;RIGHT("00000"&amp;807,5))</f>
        <v/>
      </c>
      <c r="C812">
        <f>IF($B812="","",COUNTIFS($A$6:$A$1005,$A812,$B$6:$B$1005,"&lt;"&amp;$B812)+COUNTIFS($N$6:$N$2005,$A812,$P$6:$P$2005,"&lt;"&amp;$B812)+1)</f>
        <v/>
      </c>
      <c r="D812">
        <f>IF($C812="","",$A812&amp;"|"&amp;RIGHT("000000"&amp;$C812,6))</f>
        <v/>
      </c>
      <c r="E812">
        <f>IF(Entry!$B815="","",IF(ISNUMBER(Entry!$B815),IF(AND(Entry!$B815&gt;=10000101,Entry!$B815&lt;=99991231),INT(Entry!$B815/10000)&amp;"/"&amp;RIGHT("00"&amp;INT(MOD(Entry!$B815,10000)/100),2)&amp;"/"&amp;RIGHT("00"&amp;MOD(Entry!$B815,100),2),"نامعتبر"),IF(LEN(Entry!$B815)=10,Entry!$B815,"نامعتبر")))</f>
        <v/>
      </c>
      <c r="F812">
        <f>IF(Entry!$B815="","",IF(Entry!$C815="","0000",IF(AND(ISNUMBER(Entry!$C815),Entry!$C815&gt;=0,Entry!$C815&lt;1),RIGHT("00"&amp;HOUR(Entry!$C815),2)&amp;RIGHT("00"&amp;MINUTE(Entry!$C815),2),IFERROR(RIGHT("00"&amp;VALUE(LEFT(Entry!$C815,FIND(":",Entry!$C815)-1)),2)&amp;RIGHT("00"&amp;VALUE(MID(Entry!$C815,FIND(":",Entry!$C815)+1,2)),2),"0000"))))</f>
        <v/>
      </c>
      <c r="G812">
        <f>IF($A812="","",Entry!$G815)</f>
        <v/>
      </c>
      <c r="H812">
        <f>IF($A812="","",IF(Entry!$H815="",0,Entry!$H815))</f>
        <v/>
      </c>
      <c r="I812">
        <f>IF($A812="","",IF(Entry!$I815="",0,Entry!$I815))</f>
        <v/>
      </c>
      <c r="J812">
        <f>IF($A812="","",ROUND($H812*$I812,0))</f>
        <v/>
      </c>
      <c r="K812">
        <f>IF($A812="","",Entry!$D815)</f>
        <v/>
      </c>
      <c r="L812">
        <f>IF($A812="","",Entry!$L815)</f>
        <v/>
      </c>
      <c r="N812">
        <f>IF(OR(Sync!$M812="",$Q812="",$Q812="نامعتبر"),"",Sync!$M812)</f>
        <v/>
      </c>
      <c r="O812">
        <f>IF($N812="","",$Q812)</f>
        <v/>
      </c>
      <c r="P812">
        <f>IF($N812="","",LEFT($Q812,4)&amp;MID($Q812,6,2)&amp;RIGHT($Q812,2)&amp;IF(Sync!$K812="","0000",IF(AND(ISNUMBER(Sync!$K812),Sync!$K812&gt;=0,Sync!$K812&lt;1),RIGHT("00"&amp;HOUR(Sync!$K812),2)&amp;RIGHT("00"&amp;MINUTE(Sync!$K812),2),IFERROR(RIGHT("00"&amp;VALUE(LEFT(Sync!$K812,FIND(":",Sync!$K812)-1)),2)&amp;RIGHT("00"&amp;VALUE(MID(Sync!$K812,FIND(":",Sync!$K812)+1,2)),2),"0000")))&amp;"|"&amp;"2"&amp;RIGHT("00000"&amp;807,5))</f>
        <v/>
      </c>
      <c r="Q812">
        <f>IF(Sync!$J812="","",IF(ISNUMBER(Sync!$J812),IF(AND(Sync!$J812&gt;=10000101,Sync!$J812&lt;=99991231),INT(Sync!$J812/10000)&amp;"/"&amp;RIGHT("00"&amp;INT(MOD(Sync!$J812,10000)/100),2)&amp;"/"&amp;RIGHT("00"&amp;MOD(Sync!$J812,100),2),"نامعتبر"),IF(LEN(Sync!$J812)=10,Sync!$J812,"نامعتبر")))</f>
        <v/>
      </c>
      <c r="R812">
        <f>IF($P812="","",COUNTIFS($N$6:$N$2005,$N812,$P$6:$P$2005,"&lt;"&amp;$P812)+COUNTIFS($A$6:$A$1005,$N812,$B$6:$B$1005,"&lt;"&amp;$P812)+1)</f>
        <v/>
      </c>
      <c r="S812">
        <f>IF($N812="","",$N812&amp;"|"&amp;RIGHT("000000"&amp;$R812,6))</f>
        <v/>
      </c>
      <c r="T812">
        <f>IF($N812="","",IF(Sync!$N812="",0,Sync!$N812))</f>
        <v/>
      </c>
      <c r="U812">
        <f>IF($N812="","",IF(Sync!$O812="",0,Sync!$O812))</f>
        <v/>
      </c>
      <c r="V812">
        <f>IF($N812="","",Sync!$L812)</f>
        <v/>
      </c>
      <c r="W812">
        <f>IF($N812="","",Sync!$P812)</f>
        <v/>
      </c>
      <c r="AA812">
        <f>IF($A812="","",IF(COUNTIF($A$6:$A812,$A812)=1,1,0))</f>
        <v/>
      </c>
      <c r="AB812">
        <f>SUM($AA$6:$AA812)</f>
        <v/>
      </c>
      <c r="AC812">
        <f>IFERROR(INDEX($A$6:$A$1005,MATCH(ROW()-5,$AB$6:$AB$1005,0)),"")</f>
        <v/>
      </c>
    </row>
    <row r="813">
      <c r="A813">
        <f>IF(OR(Entry!$B816="",Entry!$E816="",$E813="نامعتبر"),"",Entry!$E816)</f>
        <v/>
      </c>
      <c r="B813">
        <f>IF($A813="","",LEFT($E813,4)&amp;MID($E813,6,2)&amp;RIGHT($E813,2)&amp;$F813&amp;"|"&amp;"1"&amp;RIGHT("00000"&amp;808,5))</f>
        <v/>
      </c>
      <c r="C813">
        <f>IF($B813="","",COUNTIFS($A$6:$A$1005,$A813,$B$6:$B$1005,"&lt;"&amp;$B813)+COUNTIFS($N$6:$N$2005,$A813,$P$6:$P$2005,"&lt;"&amp;$B813)+1)</f>
        <v/>
      </c>
      <c r="D813">
        <f>IF($C813="","",$A813&amp;"|"&amp;RIGHT("000000"&amp;$C813,6))</f>
        <v/>
      </c>
      <c r="E813">
        <f>IF(Entry!$B816="","",IF(ISNUMBER(Entry!$B816),IF(AND(Entry!$B816&gt;=10000101,Entry!$B816&lt;=99991231),INT(Entry!$B816/10000)&amp;"/"&amp;RIGHT("00"&amp;INT(MOD(Entry!$B816,10000)/100),2)&amp;"/"&amp;RIGHT("00"&amp;MOD(Entry!$B816,100),2),"نامعتبر"),IF(LEN(Entry!$B816)=10,Entry!$B816,"نامعتبر")))</f>
        <v/>
      </c>
      <c r="F813">
        <f>IF(Entry!$B816="","",IF(Entry!$C816="","0000",IF(AND(ISNUMBER(Entry!$C816),Entry!$C816&gt;=0,Entry!$C816&lt;1),RIGHT("00"&amp;HOUR(Entry!$C816),2)&amp;RIGHT("00"&amp;MINUTE(Entry!$C816),2),IFERROR(RIGHT("00"&amp;VALUE(LEFT(Entry!$C816,FIND(":",Entry!$C816)-1)),2)&amp;RIGHT("00"&amp;VALUE(MID(Entry!$C816,FIND(":",Entry!$C816)+1,2)),2),"0000"))))</f>
        <v/>
      </c>
      <c r="G813">
        <f>IF($A813="","",Entry!$G816)</f>
        <v/>
      </c>
      <c r="H813">
        <f>IF($A813="","",IF(Entry!$H816="",0,Entry!$H816))</f>
        <v/>
      </c>
      <c r="I813">
        <f>IF($A813="","",IF(Entry!$I816="",0,Entry!$I816))</f>
        <v/>
      </c>
      <c r="J813">
        <f>IF($A813="","",ROUND($H813*$I813,0))</f>
        <v/>
      </c>
      <c r="K813">
        <f>IF($A813="","",Entry!$D816)</f>
        <v/>
      </c>
      <c r="L813">
        <f>IF($A813="","",Entry!$L816)</f>
        <v/>
      </c>
      <c r="N813">
        <f>IF(OR(Sync!$M813="",$Q813="",$Q813="نامعتبر"),"",Sync!$M813)</f>
        <v/>
      </c>
      <c r="O813">
        <f>IF($N813="","",$Q813)</f>
        <v/>
      </c>
      <c r="P813">
        <f>IF($N813="","",LEFT($Q813,4)&amp;MID($Q813,6,2)&amp;RIGHT($Q813,2)&amp;IF(Sync!$K813="","0000",IF(AND(ISNUMBER(Sync!$K813),Sync!$K813&gt;=0,Sync!$K813&lt;1),RIGHT("00"&amp;HOUR(Sync!$K813),2)&amp;RIGHT("00"&amp;MINUTE(Sync!$K813),2),IFERROR(RIGHT("00"&amp;VALUE(LEFT(Sync!$K813,FIND(":",Sync!$K813)-1)),2)&amp;RIGHT("00"&amp;VALUE(MID(Sync!$K813,FIND(":",Sync!$K813)+1,2)),2),"0000")))&amp;"|"&amp;"2"&amp;RIGHT("00000"&amp;808,5))</f>
        <v/>
      </c>
      <c r="Q813">
        <f>IF(Sync!$J813="","",IF(ISNUMBER(Sync!$J813),IF(AND(Sync!$J813&gt;=10000101,Sync!$J813&lt;=99991231),INT(Sync!$J813/10000)&amp;"/"&amp;RIGHT("00"&amp;INT(MOD(Sync!$J813,10000)/100),2)&amp;"/"&amp;RIGHT("00"&amp;MOD(Sync!$J813,100),2),"نامعتبر"),IF(LEN(Sync!$J813)=10,Sync!$J813,"نامعتبر")))</f>
        <v/>
      </c>
      <c r="R813">
        <f>IF($P813="","",COUNTIFS($N$6:$N$2005,$N813,$P$6:$P$2005,"&lt;"&amp;$P813)+COUNTIFS($A$6:$A$1005,$N813,$B$6:$B$1005,"&lt;"&amp;$P813)+1)</f>
        <v/>
      </c>
      <c r="S813">
        <f>IF($N813="","",$N813&amp;"|"&amp;RIGHT("000000"&amp;$R813,6))</f>
        <v/>
      </c>
      <c r="T813">
        <f>IF($N813="","",IF(Sync!$N813="",0,Sync!$N813))</f>
        <v/>
      </c>
      <c r="U813">
        <f>IF($N813="","",IF(Sync!$O813="",0,Sync!$O813))</f>
        <v/>
      </c>
      <c r="V813">
        <f>IF($N813="","",Sync!$L813)</f>
        <v/>
      </c>
      <c r="W813">
        <f>IF($N813="","",Sync!$P813)</f>
        <v/>
      </c>
      <c r="AA813">
        <f>IF($A813="","",IF(COUNTIF($A$6:$A813,$A813)=1,1,0))</f>
        <v/>
      </c>
      <c r="AB813">
        <f>SUM($AA$6:$AA813)</f>
        <v/>
      </c>
      <c r="AC813">
        <f>IFERROR(INDEX($A$6:$A$1005,MATCH(ROW()-5,$AB$6:$AB$1005,0)),"")</f>
        <v/>
      </c>
    </row>
    <row r="814">
      <c r="A814">
        <f>IF(OR(Entry!$B817="",Entry!$E817="",$E814="نامعتبر"),"",Entry!$E817)</f>
        <v/>
      </c>
      <c r="B814">
        <f>IF($A814="","",LEFT($E814,4)&amp;MID($E814,6,2)&amp;RIGHT($E814,2)&amp;$F814&amp;"|"&amp;"1"&amp;RIGHT("00000"&amp;809,5))</f>
        <v/>
      </c>
      <c r="C814">
        <f>IF($B814="","",COUNTIFS($A$6:$A$1005,$A814,$B$6:$B$1005,"&lt;"&amp;$B814)+COUNTIFS($N$6:$N$2005,$A814,$P$6:$P$2005,"&lt;"&amp;$B814)+1)</f>
        <v/>
      </c>
      <c r="D814">
        <f>IF($C814="","",$A814&amp;"|"&amp;RIGHT("000000"&amp;$C814,6))</f>
        <v/>
      </c>
      <c r="E814">
        <f>IF(Entry!$B817="","",IF(ISNUMBER(Entry!$B817),IF(AND(Entry!$B817&gt;=10000101,Entry!$B817&lt;=99991231),INT(Entry!$B817/10000)&amp;"/"&amp;RIGHT("00"&amp;INT(MOD(Entry!$B817,10000)/100),2)&amp;"/"&amp;RIGHT("00"&amp;MOD(Entry!$B817,100),2),"نامعتبر"),IF(LEN(Entry!$B817)=10,Entry!$B817,"نامعتبر")))</f>
        <v/>
      </c>
      <c r="F814">
        <f>IF(Entry!$B817="","",IF(Entry!$C817="","0000",IF(AND(ISNUMBER(Entry!$C817),Entry!$C817&gt;=0,Entry!$C817&lt;1),RIGHT("00"&amp;HOUR(Entry!$C817),2)&amp;RIGHT("00"&amp;MINUTE(Entry!$C817),2),IFERROR(RIGHT("00"&amp;VALUE(LEFT(Entry!$C817,FIND(":",Entry!$C817)-1)),2)&amp;RIGHT("00"&amp;VALUE(MID(Entry!$C817,FIND(":",Entry!$C817)+1,2)),2),"0000"))))</f>
        <v/>
      </c>
      <c r="G814">
        <f>IF($A814="","",Entry!$G817)</f>
        <v/>
      </c>
      <c r="H814">
        <f>IF($A814="","",IF(Entry!$H817="",0,Entry!$H817))</f>
        <v/>
      </c>
      <c r="I814">
        <f>IF($A814="","",IF(Entry!$I817="",0,Entry!$I817))</f>
        <v/>
      </c>
      <c r="J814">
        <f>IF($A814="","",ROUND($H814*$I814,0))</f>
        <v/>
      </c>
      <c r="K814">
        <f>IF($A814="","",Entry!$D817)</f>
        <v/>
      </c>
      <c r="L814">
        <f>IF($A814="","",Entry!$L817)</f>
        <v/>
      </c>
      <c r="N814">
        <f>IF(OR(Sync!$M814="",$Q814="",$Q814="نامعتبر"),"",Sync!$M814)</f>
        <v/>
      </c>
      <c r="O814">
        <f>IF($N814="","",$Q814)</f>
        <v/>
      </c>
      <c r="P814">
        <f>IF($N814="","",LEFT($Q814,4)&amp;MID($Q814,6,2)&amp;RIGHT($Q814,2)&amp;IF(Sync!$K814="","0000",IF(AND(ISNUMBER(Sync!$K814),Sync!$K814&gt;=0,Sync!$K814&lt;1),RIGHT("00"&amp;HOUR(Sync!$K814),2)&amp;RIGHT("00"&amp;MINUTE(Sync!$K814),2),IFERROR(RIGHT("00"&amp;VALUE(LEFT(Sync!$K814,FIND(":",Sync!$K814)-1)),2)&amp;RIGHT("00"&amp;VALUE(MID(Sync!$K814,FIND(":",Sync!$K814)+1,2)),2),"0000")))&amp;"|"&amp;"2"&amp;RIGHT("00000"&amp;809,5))</f>
        <v/>
      </c>
      <c r="Q814">
        <f>IF(Sync!$J814="","",IF(ISNUMBER(Sync!$J814),IF(AND(Sync!$J814&gt;=10000101,Sync!$J814&lt;=99991231),INT(Sync!$J814/10000)&amp;"/"&amp;RIGHT("00"&amp;INT(MOD(Sync!$J814,10000)/100),2)&amp;"/"&amp;RIGHT("00"&amp;MOD(Sync!$J814,100),2),"نامعتبر"),IF(LEN(Sync!$J814)=10,Sync!$J814,"نامعتبر")))</f>
        <v/>
      </c>
      <c r="R814">
        <f>IF($P814="","",COUNTIFS($N$6:$N$2005,$N814,$P$6:$P$2005,"&lt;"&amp;$P814)+COUNTIFS($A$6:$A$1005,$N814,$B$6:$B$1005,"&lt;"&amp;$P814)+1)</f>
        <v/>
      </c>
      <c r="S814">
        <f>IF($N814="","",$N814&amp;"|"&amp;RIGHT("000000"&amp;$R814,6))</f>
        <v/>
      </c>
      <c r="T814">
        <f>IF($N814="","",IF(Sync!$N814="",0,Sync!$N814))</f>
        <v/>
      </c>
      <c r="U814">
        <f>IF($N814="","",IF(Sync!$O814="",0,Sync!$O814))</f>
        <v/>
      </c>
      <c r="V814">
        <f>IF($N814="","",Sync!$L814)</f>
        <v/>
      </c>
      <c r="W814">
        <f>IF($N814="","",Sync!$P814)</f>
        <v/>
      </c>
      <c r="AA814">
        <f>IF($A814="","",IF(COUNTIF($A$6:$A814,$A814)=1,1,0))</f>
        <v/>
      </c>
      <c r="AB814">
        <f>SUM($AA$6:$AA814)</f>
        <v/>
      </c>
      <c r="AC814">
        <f>IFERROR(INDEX($A$6:$A$1005,MATCH(ROW()-5,$AB$6:$AB$1005,0)),"")</f>
        <v/>
      </c>
    </row>
    <row r="815">
      <c r="A815">
        <f>IF(OR(Entry!$B818="",Entry!$E818="",$E815="نامعتبر"),"",Entry!$E818)</f>
        <v/>
      </c>
      <c r="B815">
        <f>IF($A815="","",LEFT($E815,4)&amp;MID($E815,6,2)&amp;RIGHT($E815,2)&amp;$F815&amp;"|"&amp;"1"&amp;RIGHT("00000"&amp;810,5))</f>
        <v/>
      </c>
      <c r="C815">
        <f>IF($B815="","",COUNTIFS($A$6:$A$1005,$A815,$B$6:$B$1005,"&lt;"&amp;$B815)+COUNTIFS($N$6:$N$2005,$A815,$P$6:$P$2005,"&lt;"&amp;$B815)+1)</f>
        <v/>
      </c>
      <c r="D815">
        <f>IF($C815="","",$A815&amp;"|"&amp;RIGHT("000000"&amp;$C815,6))</f>
        <v/>
      </c>
      <c r="E815">
        <f>IF(Entry!$B818="","",IF(ISNUMBER(Entry!$B818),IF(AND(Entry!$B818&gt;=10000101,Entry!$B818&lt;=99991231),INT(Entry!$B818/10000)&amp;"/"&amp;RIGHT("00"&amp;INT(MOD(Entry!$B818,10000)/100),2)&amp;"/"&amp;RIGHT("00"&amp;MOD(Entry!$B818,100),2),"نامعتبر"),IF(LEN(Entry!$B818)=10,Entry!$B818,"نامعتبر")))</f>
        <v/>
      </c>
      <c r="F815">
        <f>IF(Entry!$B818="","",IF(Entry!$C818="","0000",IF(AND(ISNUMBER(Entry!$C818),Entry!$C818&gt;=0,Entry!$C818&lt;1),RIGHT("00"&amp;HOUR(Entry!$C818),2)&amp;RIGHT("00"&amp;MINUTE(Entry!$C818),2),IFERROR(RIGHT("00"&amp;VALUE(LEFT(Entry!$C818,FIND(":",Entry!$C818)-1)),2)&amp;RIGHT("00"&amp;VALUE(MID(Entry!$C818,FIND(":",Entry!$C818)+1,2)),2),"0000"))))</f>
        <v/>
      </c>
      <c r="G815">
        <f>IF($A815="","",Entry!$G818)</f>
        <v/>
      </c>
      <c r="H815">
        <f>IF($A815="","",IF(Entry!$H818="",0,Entry!$H818))</f>
        <v/>
      </c>
      <c r="I815">
        <f>IF($A815="","",IF(Entry!$I818="",0,Entry!$I818))</f>
        <v/>
      </c>
      <c r="J815">
        <f>IF($A815="","",ROUND($H815*$I815,0))</f>
        <v/>
      </c>
      <c r="K815">
        <f>IF($A815="","",Entry!$D818)</f>
        <v/>
      </c>
      <c r="L815">
        <f>IF($A815="","",Entry!$L818)</f>
        <v/>
      </c>
      <c r="N815">
        <f>IF(OR(Sync!$M815="",$Q815="",$Q815="نامعتبر"),"",Sync!$M815)</f>
        <v/>
      </c>
      <c r="O815">
        <f>IF($N815="","",$Q815)</f>
        <v/>
      </c>
      <c r="P815">
        <f>IF($N815="","",LEFT($Q815,4)&amp;MID($Q815,6,2)&amp;RIGHT($Q815,2)&amp;IF(Sync!$K815="","0000",IF(AND(ISNUMBER(Sync!$K815),Sync!$K815&gt;=0,Sync!$K815&lt;1),RIGHT("00"&amp;HOUR(Sync!$K815),2)&amp;RIGHT("00"&amp;MINUTE(Sync!$K815),2),IFERROR(RIGHT("00"&amp;VALUE(LEFT(Sync!$K815,FIND(":",Sync!$K815)-1)),2)&amp;RIGHT("00"&amp;VALUE(MID(Sync!$K815,FIND(":",Sync!$K815)+1,2)),2),"0000")))&amp;"|"&amp;"2"&amp;RIGHT("00000"&amp;810,5))</f>
        <v/>
      </c>
      <c r="Q815">
        <f>IF(Sync!$J815="","",IF(ISNUMBER(Sync!$J815),IF(AND(Sync!$J815&gt;=10000101,Sync!$J815&lt;=99991231),INT(Sync!$J815/10000)&amp;"/"&amp;RIGHT("00"&amp;INT(MOD(Sync!$J815,10000)/100),2)&amp;"/"&amp;RIGHT("00"&amp;MOD(Sync!$J815,100),2),"نامعتبر"),IF(LEN(Sync!$J815)=10,Sync!$J815,"نامعتبر")))</f>
        <v/>
      </c>
      <c r="R815">
        <f>IF($P815="","",COUNTIFS($N$6:$N$2005,$N815,$P$6:$P$2005,"&lt;"&amp;$P815)+COUNTIFS($A$6:$A$1005,$N815,$B$6:$B$1005,"&lt;"&amp;$P815)+1)</f>
        <v/>
      </c>
      <c r="S815">
        <f>IF($N815="","",$N815&amp;"|"&amp;RIGHT("000000"&amp;$R815,6))</f>
        <v/>
      </c>
      <c r="T815">
        <f>IF($N815="","",IF(Sync!$N815="",0,Sync!$N815))</f>
        <v/>
      </c>
      <c r="U815">
        <f>IF($N815="","",IF(Sync!$O815="",0,Sync!$O815))</f>
        <v/>
      </c>
      <c r="V815">
        <f>IF($N815="","",Sync!$L815)</f>
        <v/>
      </c>
      <c r="W815">
        <f>IF($N815="","",Sync!$P815)</f>
        <v/>
      </c>
      <c r="AA815">
        <f>IF($A815="","",IF(COUNTIF($A$6:$A815,$A815)=1,1,0))</f>
        <v/>
      </c>
      <c r="AB815">
        <f>SUM($AA$6:$AA815)</f>
        <v/>
      </c>
      <c r="AC815">
        <f>IFERROR(INDEX($A$6:$A$1005,MATCH(ROW()-5,$AB$6:$AB$1005,0)),"")</f>
        <v/>
      </c>
    </row>
    <row r="816">
      <c r="A816">
        <f>IF(OR(Entry!$B819="",Entry!$E819="",$E816="نامعتبر"),"",Entry!$E819)</f>
        <v/>
      </c>
      <c r="B816">
        <f>IF($A816="","",LEFT($E816,4)&amp;MID($E816,6,2)&amp;RIGHT($E816,2)&amp;$F816&amp;"|"&amp;"1"&amp;RIGHT("00000"&amp;811,5))</f>
        <v/>
      </c>
      <c r="C816">
        <f>IF($B816="","",COUNTIFS($A$6:$A$1005,$A816,$B$6:$B$1005,"&lt;"&amp;$B816)+COUNTIFS($N$6:$N$2005,$A816,$P$6:$P$2005,"&lt;"&amp;$B816)+1)</f>
        <v/>
      </c>
      <c r="D816">
        <f>IF($C816="","",$A816&amp;"|"&amp;RIGHT("000000"&amp;$C816,6))</f>
        <v/>
      </c>
      <c r="E816">
        <f>IF(Entry!$B819="","",IF(ISNUMBER(Entry!$B819),IF(AND(Entry!$B819&gt;=10000101,Entry!$B819&lt;=99991231),INT(Entry!$B819/10000)&amp;"/"&amp;RIGHT("00"&amp;INT(MOD(Entry!$B819,10000)/100),2)&amp;"/"&amp;RIGHT("00"&amp;MOD(Entry!$B819,100),2),"نامعتبر"),IF(LEN(Entry!$B819)=10,Entry!$B819,"نامعتبر")))</f>
        <v/>
      </c>
      <c r="F816">
        <f>IF(Entry!$B819="","",IF(Entry!$C819="","0000",IF(AND(ISNUMBER(Entry!$C819),Entry!$C819&gt;=0,Entry!$C819&lt;1),RIGHT("00"&amp;HOUR(Entry!$C819),2)&amp;RIGHT("00"&amp;MINUTE(Entry!$C819),2),IFERROR(RIGHT("00"&amp;VALUE(LEFT(Entry!$C819,FIND(":",Entry!$C819)-1)),2)&amp;RIGHT("00"&amp;VALUE(MID(Entry!$C819,FIND(":",Entry!$C819)+1,2)),2),"0000"))))</f>
        <v/>
      </c>
      <c r="G816">
        <f>IF($A816="","",Entry!$G819)</f>
        <v/>
      </c>
      <c r="H816">
        <f>IF($A816="","",IF(Entry!$H819="",0,Entry!$H819))</f>
        <v/>
      </c>
      <c r="I816">
        <f>IF($A816="","",IF(Entry!$I819="",0,Entry!$I819))</f>
        <v/>
      </c>
      <c r="J816">
        <f>IF($A816="","",ROUND($H816*$I816,0))</f>
        <v/>
      </c>
      <c r="K816">
        <f>IF($A816="","",Entry!$D819)</f>
        <v/>
      </c>
      <c r="L816">
        <f>IF($A816="","",Entry!$L819)</f>
        <v/>
      </c>
      <c r="N816">
        <f>IF(OR(Sync!$M816="",$Q816="",$Q816="نامعتبر"),"",Sync!$M816)</f>
        <v/>
      </c>
      <c r="O816">
        <f>IF($N816="","",$Q816)</f>
        <v/>
      </c>
      <c r="P816">
        <f>IF($N816="","",LEFT($Q816,4)&amp;MID($Q816,6,2)&amp;RIGHT($Q816,2)&amp;IF(Sync!$K816="","0000",IF(AND(ISNUMBER(Sync!$K816),Sync!$K816&gt;=0,Sync!$K816&lt;1),RIGHT("00"&amp;HOUR(Sync!$K816),2)&amp;RIGHT("00"&amp;MINUTE(Sync!$K816),2),IFERROR(RIGHT("00"&amp;VALUE(LEFT(Sync!$K816,FIND(":",Sync!$K816)-1)),2)&amp;RIGHT("00"&amp;VALUE(MID(Sync!$K816,FIND(":",Sync!$K816)+1,2)),2),"0000")))&amp;"|"&amp;"2"&amp;RIGHT("00000"&amp;811,5))</f>
        <v/>
      </c>
      <c r="Q816">
        <f>IF(Sync!$J816="","",IF(ISNUMBER(Sync!$J816),IF(AND(Sync!$J816&gt;=10000101,Sync!$J816&lt;=99991231),INT(Sync!$J816/10000)&amp;"/"&amp;RIGHT("00"&amp;INT(MOD(Sync!$J816,10000)/100),2)&amp;"/"&amp;RIGHT("00"&amp;MOD(Sync!$J816,100),2),"نامعتبر"),IF(LEN(Sync!$J816)=10,Sync!$J816,"نامعتبر")))</f>
        <v/>
      </c>
      <c r="R816">
        <f>IF($P816="","",COUNTIFS($N$6:$N$2005,$N816,$P$6:$P$2005,"&lt;"&amp;$P816)+COUNTIFS($A$6:$A$1005,$N816,$B$6:$B$1005,"&lt;"&amp;$P816)+1)</f>
        <v/>
      </c>
      <c r="S816">
        <f>IF($N816="","",$N816&amp;"|"&amp;RIGHT("000000"&amp;$R816,6))</f>
        <v/>
      </c>
      <c r="T816">
        <f>IF($N816="","",IF(Sync!$N816="",0,Sync!$N816))</f>
        <v/>
      </c>
      <c r="U816">
        <f>IF($N816="","",IF(Sync!$O816="",0,Sync!$O816))</f>
        <v/>
      </c>
      <c r="V816">
        <f>IF($N816="","",Sync!$L816)</f>
        <v/>
      </c>
      <c r="W816">
        <f>IF($N816="","",Sync!$P816)</f>
        <v/>
      </c>
      <c r="AA816">
        <f>IF($A816="","",IF(COUNTIF($A$6:$A816,$A816)=1,1,0))</f>
        <v/>
      </c>
      <c r="AB816">
        <f>SUM($AA$6:$AA816)</f>
        <v/>
      </c>
      <c r="AC816">
        <f>IFERROR(INDEX($A$6:$A$1005,MATCH(ROW()-5,$AB$6:$AB$1005,0)),"")</f>
        <v/>
      </c>
    </row>
    <row r="817">
      <c r="A817">
        <f>IF(OR(Entry!$B820="",Entry!$E820="",$E817="نامعتبر"),"",Entry!$E820)</f>
        <v/>
      </c>
      <c r="B817">
        <f>IF($A817="","",LEFT($E817,4)&amp;MID($E817,6,2)&amp;RIGHT($E817,2)&amp;$F817&amp;"|"&amp;"1"&amp;RIGHT("00000"&amp;812,5))</f>
        <v/>
      </c>
      <c r="C817">
        <f>IF($B817="","",COUNTIFS($A$6:$A$1005,$A817,$B$6:$B$1005,"&lt;"&amp;$B817)+COUNTIFS($N$6:$N$2005,$A817,$P$6:$P$2005,"&lt;"&amp;$B817)+1)</f>
        <v/>
      </c>
      <c r="D817">
        <f>IF($C817="","",$A817&amp;"|"&amp;RIGHT("000000"&amp;$C817,6))</f>
        <v/>
      </c>
      <c r="E817">
        <f>IF(Entry!$B820="","",IF(ISNUMBER(Entry!$B820),IF(AND(Entry!$B820&gt;=10000101,Entry!$B820&lt;=99991231),INT(Entry!$B820/10000)&amp;"/"&amp;RIGHT("00"&amp;INT(MOD(Entry!$B820,10000)/100),2)&amp;"/"&amp;RIGHT("00"&amp;MOD(Entry!$B820,100),2),"نامعتبر"),IF(LEN(Entry!$B820)=10,Entry!$B820,"نامعتبر")))</f>
        <v/>
      </c>
      <c r="F817">
        <f>IF(Entry!$B820="","",IF(Entry!$C820="","0000",IF(AND(ISNUMBER(Entry!$C820),Entry!$C820&gt;=0,Entry!$C820&lt;1),RIGHT("00"&amp;HOUR(Entry!$C820),2)&amp;RIGHT("00"&amp;MINUTE(Entry!$C820),2),IFERROR(RIGHT("00"&amp;VALUE(LEFT(Entry!$C820,FIND(":",Entry!$C820)-1)),2)&amp;RIGHT("00"&amp;VALUE(MID(Entry!$C820,FIND(":",Entry!$C820)+1,2)),2),"0000"))))</f>
        <v/>
      </c>
      <c r="G817">
        <f>IF($A817="","",Entry!$G820)</f>
        <v/>
      </c>
      <c r="H817">
        <f>IF($A817="","",IF(Entry!$H820="",0,Entry!$H820))</f>
        <v/>
      </c>
      <c r="I817">
        <f>IF($A817="","",IF(Entry!$I820="",0,Entry!$I820))</f>
        <v/>
      </c>
      <c r="J817">
        <f>IF($A817="","",ROUND($H817*$I817,0))</f>
        <v/>
      </c>
      <c r="K817">
        <f>IF($A817="","",Entry!$D820)</f>
        <v/>
      </c>
      <c r="L817">
        <f>IF($A817="","",Entry!$L820)</f>
        <v/>
      </c>
      <c r="N817">
        <f>IF(OR(Sync!$M817="",$Q817="",$Q817="نامعتبر"),"",Sync!$M817)</f>
        <v/>
      </c>
      <c r="O817">
        <f>IF($N817="","",$Q817)</f>
        <v/>
      </c>
      <c r="P817">
        <f>IF($N817="","",LEFT($Q817,4)&amp;MID($Q817,6,2)&amp;RIGHT($Q817,2)&amp;IF(Sync!$K817="","0000",IF(AND(ISNUMBER(Sync!$K817),Sync!$K817&gt;=0,Sync!$K817&lt;1),RIGHT("00"&amp;HOUR(Sync!$K817),2)&amp;RIGHT("00"&amp;MINUTE(Sync!$K817),2),IFERROR(RIGHT("00"&amp;VALUE(LEFT(Sync!$K817,FIND(":",Sync!$K817)-1)),2)&amp;RIGHT("00"&amp;VALUE(MID(Sync!$K817,FIND(":",Sync!$K817)+1,2)),2),"0000")))&amp;"|"&amp;"2"&amp;RIGHT("00000"&amp;812,5))</f>
        <v/>
      </c>
      <c r="Q817">
        <f>IF(Sync!$J817="","",IF(ISNUMBER(Sync!$J817),IF(AND(Sync!$J817&gt;=10000101,Sync!$J817&lt;=99991231),INT(Sync!$J817/10000)&amp;"/"&amp;RIGHT("00"&amp;INT(MOD(Sync!$J817,10000)/100),2)&amp;"/"&amp;RIGHT("00"&amp;MOD(Sync!$J817,100),2),"نامعتبر"),IF(LEN(Sync!$J817)=10,Sync!$J817,"نامعتبر")))</f>
        <v/>
      </c>
      <c r="R817">
        <f>IF($P817="","",COUNTIFS($N$6:$N$2005,$N817,$P$6:$P$2005,"&lt;"&amp;$P817)+COUNTIFS($A$6:$A$1005,$N817,$B$6:$B$1005,"&lt;"&amp;$P817)+1)</f>
        <v/>
      </c>
      <c r="S817">
        <f>IF($N817="","",$N817&amp;"|"&amp;RIGHT("000000"&amp;$R817,6))</f>
        <v/>
      </c>
      <c r="T817">
        <f>IF($N817="","",IF(Sync!$N817="",0,Sync!$N817))</f>
        <v/>
      </c>
      <c r="U817">
        <f>IF($N817="","",IF(Sync!$O817="",0,Sync!$O817))</f>
        <v/>
      </c>
      <c r="V817">
        <f>IF($N817="","",Sync!$L817)</f>
        <v/>
      </c>
      <c r="W817">
        <f>IF($N817="","",Sync!$P817)</f>
        <v/>
      </c>
      <c r="AA817">
        <f>IF($A817="","",IF(COUNTIF($A$6:$A817,$A817)=1,1,0))</f>
        <v/>
      </c>
      <c r="AB817">
        <f>SUM($AA$6:$AA817)</f>
        <v/>
      </c>
      <c r="AC817">
        <f>IFERROR(INDEX($A$6:$A$1005,MATCH(ROW()-5,$AB$6:$AB$1005,0)),"")</f>
        <v/>
      </c>
    </row>
    <row r="818">
      <c r="A818">
        <f>IF(OR(Entry!$B821="",Entry!$E821="",$E818="نامعتبر"),"",Entry!$E821)</f>
        <v/>
      </c>
      <c r="B818">
        <f>IF($A818="","",LEFT($E818,4)&amp;MID($E818,6,2)&amp;RIGHT($E818,2)&amp;$F818&amp;"|"&amp;"1"&amp;RIGHT("00000"&amp;813,5))</f>
        <v/>
      </c>
      <c r="C818">
        <f>IF($B818="","",COUNTIFS($A$6:$A$1005,$A818,$B$6:$B$1005,"&lt;"&amp;$B818)+COUNTIFS($N$6:$N$2005,$A818,$P$6:$P$2005,"&lt;"&amp;$B818)+1)</f>
        <v/>
      </c>
      <c r="D818">
        <f>IF($C818="","",$A818&amp;"|"&amp;RIGHT("000000"&amp;$C818,6))</f>
        <v/>
      </c>
      <c r="E818">
        <f>IF(Entry!$B821="","",IF(ISNUMBER(Entry!$B821),IF(AND(Entry!$B821&gt;=10000101,Entry!$B821&lt;=99991231),INT(Entry!$B821/10000)&amp;"/"&amp;RIGHT("00"&amp;INT(MOD(Entry!$B821,10000)/100),2)&amp;"/"&amp;RIGHT("00"&amp;MOD(Entry!$B821,100),2),"نامعتبر"),IF(LEN(Entry!$B821)=10,Entry!$B821,"نامعتبر")))</f>
        <v/>
      </c>
      <c r="F818">
        <f>IF(Entry!$B821="","",IF(Entry!$C821="","0000",IF(AND(ISNUMBER(Entry!$C821),Entry!$C821&gt;=0,Entry!$C821&lt;1),RIGHT("00"&amp;HOUR(Entry!$C821),2)&amp;RIGHT("00"&amp;MINUTE(Entry!$C821),2),IFERROR(RIGHT("00"&amp;VALUE(LEFT(Entry!$C821,FIND(":",Entry!$C821)-1)),2)&amp;RIGHT("00"&amp;VALUE(MID(Entry!$C821,FIND(":",Entry!$C821)+1,2)),2),"0000"))))</f>
        <v/>
      </c>
      <c r="G818">
        <f>IF($A818="","",Entry!$G821)</f>
        <v/>
      </c>
      <c r="H818">
        <f>IF($A818="","",IF(Entry!$H821="",0,Entry!$H821))</f>
        <v/>
      </c>
      <c r="I818">
        <f>IF($A818="","",IF(Entry!$I821="",0,Entry!$I821))</f>
        <v/>
      </c>
      <c r="J818">
        <f>IF($A818="","",ROUND($H818*$I818,0))</f>
        <v/>
      </c>
      <c r="K818">
        <f>IF($A818="","",Entry!$D821)</f>
        <v/>
      </c>
      <c r="L818">
        <f>IF($A818="","",Entry!$L821)</f>
        <v/>
      </c>
      <c r="N818">
        <f>IF(OR(Sync!$M818="",$Q818="",$Q818="نامعتبر"),"",Sync!$M818)</f>
        <v/>
      </c>
      <c r="O818">
        <f>IF($N818="","",$Q818)</f>
        <v/>
      </c>
      <c r="P818">
        <f>IF($N818="","",LEFT($Q818,4)&amp;MID($Q818,6,2)&amp;RIGHT($Q818,2)&amp;IF(Sync!$K818="","0000",IF(AND(ISNUMBER(Sync!$K818),Sync!$K818&gt;=0,Sync!$K818&lt;1),RIGHT("00"&amp;HOUR(Sync!$K818),2)&amp;RIGHT("00"&amp;MINUTE(Sync!$K818),2),IFERROR(RIGHT("00"&amp;VALUE(LEFT(Sync!$K818,FIND(":",Sync!$K818)-1)),2)&amp;RIGHT("00"&amp;VALUE(MID(Sync!$K818,FIND(":",Sync!$K818)+1,2)),2),"0000")))&amp;"|"&amp;"2"&amp;RIGHT("00000"&amp;813,5))</f>
        <v/>
      </c>
      <c r="Q818">
        <f>IF(Sync!$J818="","",IF(ISNUMBER(Sync!$J818),IF(AND(Sync!$J818&gt;=10000101,Sync!$J818&lt;=99991231),INT(Sync!$J818/10000)&amp;"/"&amp;RIGHT("00"&amp;INT(MOD(Sync!$J818,10000)/100),2)&amp;"/"&amp;RIGHT("00"&amp;MOD(Sync!$J818,100),2),"نامعتبر"),IF(LEN(Sync!$J818)=10,Sync!$J818,"نامعتبر")))</f>
        <v/>
      </c>
      <c r="R818">
        <f>IF($P818="","",COUNTIFS($N$6:$N$2005,$N818,$P$6:$P$2005,"&lt;"&amp;$P818)+COUNTIFS($A$6:$A$1005,$N818,$B$6:$B$1005,"&lt;"&amp;$P818)+1)</f>
        <v/>
      </c>
      <c r="S818">
        <f>IF($N818="","",$N818&amp;"|"&amp;RIGHT("000000"&amp;$R818,6))</f>
        <v/>
      </c>
      <c r="T818">
        <f>IF($N818="","",IF(Sync!$N818="",0,Sync!$N818))</f>
        <v/>
      </c>
      <c r="U818">
        <f>IF($N818="","",IF(Sync!$O818="",0,Sync!$O818))</f>
        <v/>
      </c>
      <c r="V818">
        <f>IF($N818="","",Sync!$L818)</f>
        <v/>
      </c>
      <c r="W818">
        <f>IF($N818="","",Sync!$P818)</f>
        <v/>
      </c>
      <c r="AA818">
        <f>IF($A818="","",IF(COUNTIF($A$6:$A818,$A818)=1,1,0))</f>
        <v/>
      </c>
      <c r="AB818">
        <f>SUM($AA$6:$AA818)</f>
        <v/>
      </c>
      <c r="AC818">
        <f>IFERROR(INDEX($A$6:$A$1005,MATCH(ROW()-5,$AB$6:$AB$1005,0)),"")</f>
        <v/>
      </c>
    </row>
    <row r="819">
      <c r="A819">
        <f>IF(OR(Entry!$B822="",Entry!$E822="",$E819="نامعتبر"),"",Entry!$E822)</f>
        <v/>
      </c>
      <c r="B819">
        <f>IF($A819="","",LEFT($E819,4)&amp;MID($E819,6,2)&amp;RIGHT($E819,2)&amp;$F819&amp;"|"&amp;"1"&amp;RIGHT("00000"&amp;814,5))</f>
        <v/>
      </c>
      <c r="C819">
        <f>IF($B819="","",COUNTIFS($A$6:$A$1005,$A819,$B$6:$B$1005,"&lt;"&amp;$B819)+COUNTIFS($N$6:$N$2005,$A819,$P$6:$P$2005,"&lt;"&amp;$B819)+1)</f>
        <v/>
      </c>
      <c r="D819">
        <f>IF($C819="","",$A819&amp;"|"&amp;RIGHT("000000"&amp;$C819,6))</f>
        <v/>
      </c>
      <c r="E819">
        <f>IF(Entry!$B822="","",IF(ISNUMBER(Entry!$B822),IF(AND(Entry!$B822&gt;=10000101,Entry!$B822&lt;=99991231),INT(Entry!$B822/10000)&amp;"/"&amp;RIGHT("00"&amp;INT(MOD(Entry!$B822,10000)/100),2)&amp;"/"&amp;RIGHT("00"&amp;MOD(Entry!$B822,100),2),"نامعتبر"),IF(LEN(Entry!$B822)=10,Entry!$B822,"نامعتبر")))</f>
        <v/>
      </c>
      <c r="F819">
        <f>IF(Entry!$B822="","",IF(Entry!$C822="","0000",IF(AND(ISNUMBER(Entry!$C822),Entry!$C822&gt;=0,Entry!$C822&lt;1),RIGHT("00"&amp;HOUR(Entry!$C822),2)&amp;RIGHT("00"&amp;MINUTE(Entry!$C822),2),IFERROR(RIGHT("00"&amp;VALUE(LEFT(Entry!$C822,FIND(":",Entry!$C822)-1)),2)&amp;RIGHT("00"&amp;VALUE(MID(Entry!$C822,FIND(":",Entry!$C822)+1,2)),2),"0000"))))</f>
        <v/>
      </c>
      <c r="G819">
        <f>IF($A819="","",Entry!$G822)</f>
        <v/>
      </c>
      <c r="H819">
        <f>IF($A819="","",IF(Entry!$H822="",0,Entry!$H822))</f>
        <v/>
      </c>
      <c r="I819">
        <f>IF($A819="","",IF(Entry!$I822="",0,Entry!$I822))</f>
        <v/>
      </c>
      <c r="J819">
        <f>IF($A819="","",ROUND($H819*$I819,0))</f>
        <v/>
      </c>
      <c r="K819">
        <f>IF($A819="","",Entry!$D822)</f>
        <v/>
      </c>
      <c r="L819">
        <f>IF($A819="","",Entry!$L822)</f>
        <v/>
      </c>
      <c r="N819">
        <f>IF(OR(Sync!$M819="",$Q819="",$Q819="نامعتبر"),"",Sync!$M819)</f>
        <v/>
      </c>
      <c r="O819">
        <f>IF($N819="","",$Q819)</f>
        <v/>
      </c>
      <c r="P819">
        <f>IF($N819="","",LEFT($Q819,4)&amp;MID($Q819,6,2)&amp;RIGHT($Q819,2)&amp;IF(Sync!$K819="","0000",IF(AND(ISNUMBER(Sync!$K819),Sync!$K819&gt;=0,Sync!$K819&lt;1),RIGHT("00"&amp;HOUR(Sync!$K819),2)&amp;RIGHT("00"&amp;MINUTE(Sync!$K819),2),IFERROR(RIGHT("00"&amp;VALUE(LEFT(Sync!$K819,FIND(":",Sync!$K819)-1)),2)&amp;RIGHT("00"&amp;VALUE(MID(Sync!$K819,FIND(":",Sync!$K819)+1,2)),2),"0000")))&amp;"|"&amp;"2"&amp;RIGHT("00000"&amp;814,5))</f>
        <v/>
      </c>
      <c r="Q819">
        <f>IF(Sync!$J819="","",IF(ISNUMBER(Sync!$J819),IF(AND(Sync!$J819&gt;=10000101,Sync!$J819&lt;=99991231),INT(Sync!$J819/10000)&amp;"/"&amp;RIGHT("00"&amp;INT(MOD(Sync!$J819,10000)/100),2)&amp;"/"&amp;RIGHT("00"&amp;MOD(Sync!$J819,100),2),"نامعتبر"),IF(LEN(Sync!$J819)=10,Sync!$J819,"نامعتبر")))</f>
        <v/>
      </c>
      <c r="R819">
        <f>IF($P819="","",COUNTIFS($N$6:$N$2005,$N819,$P$6:$P$2005,"&lt;"&amp;$P819)+COUNTIFS($A$6:$A$1005,$N819,$B$6:$B$1005,"&lt;"&amp;$P819)+1)</f>
        <v/>
      </c>
      <c r="S819">
        <f>IF($N819="","",$N819&amp;"|"&amp;RIGHT("000000"&amp;$R819,6))</f>
        <v/>
      </c>
      <c r="T819">
        <f>IF($N819="","",IF(Sync!$N819="",0,Sync!$N819))</f>
        <v/>
      </c>
      <c r="U819">
        <f>IF($N819="","",IF(Sync!$O819="",0,Sync!$O819))</f>
        <v/>
      </c>
      <c r="V819">
        <f>IF($N819="","",Sync!$L819)</f>
        <v/>
      </c>
      <c r="W819">
        <f>IF($N819="","",Sync!$P819)</f>
        <v/>
      </c>
      <c r="AA819">
        <f>IF($A819="","",IF(COUNTIF($A$6:$A819,$A819)=1,1,0))</f>
        <v/>
      </c>
      <c r="AB819">
        <f>SUM($AA$6:$AA819)</f>
        <v/>
      </c>
      <c r="AC819">
        <f>IFERROR(INDEX($A$6:$A$1005,MATCH(ROW()-5,$AB$6:$AB$1005,0)),"")</f>
        <v/>
      </c>
    </row>
    <row r="820">
      <c r="A820">
        <f>IF(OR(Entry!$B823="",Entry!$E823="",$E820="نامعتبر"),"",Entry!$E823)</f>
        <v/>
      </c>
      <c r="B820">
        <f>IF($A820="","",LEFT($E820,4)&amp;MID($E820,6,2)&amp;RIGHT($E820,2)&amp;$F820&amp;"|"&amp;"1"&amp;RIGHT("00000"&amp;815,5))</f>
        <v/>
      </c>
      <c r="C820">
        <f>IF($B820="","",COUNTIFS($A$6:$A$1005,$A820,$B$6:$B$1005,"&lt;"&amp;$B820)+COUNTIFS($N$6:$N$2005,$A820,$P$6:$P$2005,"&lt;"&amp;$B820)+1)</f>
        <v/>
      </c>
      <c r="D820">
        <f>IF($C820="","",$A820&amp;"|"&amp;RIGHT("000000"&amp;$C820,6))</f>
        <v/>
      </c>
      <c r="E820">
        <f>IF(Entry!$B823="","",IF(ISNUMBER(Entry!$B823),IF(AND(Entry!$B823&gt;=10000101,Entry!$B823&lt;=99991231),INT(Entry!$B823/10000)&amp;"/"&amp;RIGHT("00"&amp;INT(MOD(Entry!$B823,10000)/100),2)&amp;"/"&amp;RIGHT("00"&amp;MOD(Entry!$B823,100),2),"نامعتبر"),IF(LEN(Entry!$B823)=10,Entry!$B823,"نامعتبر")))</f>
        <v/>
      </c>
      <c r="F820">
        <f>IF(Entry!$B823="","",IF(Entry!$C823="","0000",IF(AND(ISNUMBER(Entry!$C823),Entry!$C823&gt;=0,Entry!$C823&lt;1),RIGHT("00"&amp;HOUR(Entry!$C823),2)&amp;RIGHT("00"&amp;MINUTE(Entry!$C823),2),IFERROR(RIGHT("00"&amp;VALUE(LEFT(Entry!$C823,FIND(":",Entry!$C823)-1)),2)&amp;RIGHT("00"&amp;VALUE(MID(Entry!$C823,FIND(":",Entry!$C823)+1,2)),2),"0000"))))</f>
        <v/>
      </c>
      <c r="G820">
        <f>IF($A820="","",Entry!$G823)</f>
        <v/>
      </c>
      <c r="H820">
        <f>IF($A820="","",IF(Entry!$H823="",0,Entry!$H823))</f>
        <v/>
      </c>
      <c r="I820">
        <f>IF($A820="","",IF(Entry!$I823="",0,Entry!$I823))</f>
        <v/>
      </c>
      <c r="J820">
        <f>IF($A820="","",ROUND($H820*$I820,0))</f>
        <v/>
      </c>
      <c r="K820">
        <f>IF($A820="","",Entry!$D823)</f>
        <v/>
      </c>
      <c r="L820">
        <f>IF($A820="","",Entry!$L823)</f>
        <v/>
      </c>
      <c r="N820">
        <f>IF(OR(Sync!$M820="",$Q820="",$Q820="نامعتبر"),"",Sync!$M820)</f>
        <v/>
      </c>
      <c r="O820">
        <f>IF($N820="","",$Q820)</f>
        <v/>
      </c>
      <c r="P820">
        <f>IF($N820="","",LEFT($Q820,4)&amp;MID($Q820,6,2)&amp;RIGHT($Q820,2)&amp;IF(Sync!$K820="","0000",IF(AND(ISNUMBER(Sync!$K820),Sync!$K820&gt;=0,Sync!$K820&lt;1),RIGHT("00"&amp;HOUR(Sync!$K820),2)&amp;RIGHT("00"&amp;MINUTE(Sync!$K820),2),IFERROR(RIGHT("00"&amp;VALUE(LEFT(Sync!$K820,FIND(":",Sync!$K820)-1)),2)&amp;RIGHT("00"&amp;VALUE(MID(Sync!$K820,FIND(":",Sync!$K820)+1,2)),2),"0000")))&amp;"|"&amp;"2"&amp;RIGHT("00000"&amp;815,5))</f>
        <v/>
      </c>
      <c r="Q820">
        <f>IF(Sync!$J820="","",IF(ISNUMBER(Sync!$J820),IF(AND(Sync!$J820&gt;=10000101,Sync!$J820&lt;=99991231),INT(Sync!$J820/10000)&amp;"/"&amp;RIGHT("00"&amp;INT(MOD(Sync!$J820,10000)/100),2)&amp;"/"&amp;RIGHT("00"&amp;MOD(Sync!$J820,100),2),"نامعتبر"),IF(LEN(Sync!$J820)=10,Sync!$J820,"نامعتبر")))</f>
        <v/>
      </c>
      <c r="R820">
        <f>IF($P820="","",COUNTIFS($N$6:$N$2005,$N820,$P$6:$P$2005,"&lt;"&amp;$P820)+COUNTIFS($A$6:$A$1005,$N820,$B$6:$B$1005,"&lt;"&amp;$P820)+1)</f>
        <v/>
      </c>
      <c r="S820">
        <f>IF($N820="","",$N820&amp;"|"&amp;RIGHT("000000"&amp;$R820,6))</f>
        <v/>
      </c>
      <c r="T820">
        <f>IF($N820="","",IF(Sync!$N820="",0,Sync!$N820))</f>
        <v/>
      </c>
      <c r="U820">
        <f>IF($N820="","",IF(Sync!$O820="",0,Sync!$O820))</f>
        <v/>
      </c>
      <c r="V820">
        <f>IF($N820="","",Sync!$L820)</f>
        <v/>
      </c>
      <c r="W820">
        <f>IF($N820="","",Sync!$P820)</f>
        <v/>
      </c>
      <c r="AA820">
        <f>IF($A820="","",IF(COUNTIF($A$6:$A820,$A820)=1,1,0))</f>
        <v/>
      </c>
      <c r="AB820">
        <f>SUM($AA$6:$AA820)</f>
        <v/>
      </c>
      <c r="AC820">
        <f>IFERROR(INDEX($A$6:$A$1005,MATCH(ROW()-5,$AB$6:$AB$1005,0)),"")</f>
        <v/>
      </c>
    </row>
    <row r="821">
      <c r="A821">
        <f>IF(OR(Entry!$B824="",Entry!$E824="",$E821="نامعتبر"),"",Entry!$E824)</f>
        <v/>
      </c>
      <c r="B821">
        <f>IF($A821="","",LEFT($E821,4)&amp;MID($E821,6,2)&amp;RIGHT($E821,2)&amp;$F821&amp;"|"&amp;"1"&amp;RIGHT("00000"&amp;816,5))</f>
        <v/>
      </c>
      <c r="C821">
        <f>IF($B821="","",COUNTIFS($A$6:$A$1005,$A821,$B$6:$B$1005,"&lt;"&amp;$B821)+COUNTIFS($N$6:$N$2005,$A821,$P$6:$P$2005,"&lt;"&amp;$B821)+1)</f>
        <v/>
      </c>
      <c r="D821">
        <f>IF($C821="","",$A821&amp;"|"&amp;RIGHT("000000"&amp;$C821,6))</f>
        <v/>
      </c>
      <c r="E821">
        <f>IF(Entry!$B824="","",IF(ISNUMBER(Entry!$B824),IF(AND(Entry!$B824&gt;=10000101,Entry!$B824&lt;=99991231),INT(Entry!$B824/10000)&amp;"/"&amp;RIGHT("00"&amp;INT(MOD(Entry!$B824,10000)/100),2)&amp;"/"&amp;RIGHT("00"&amp;MOD(Entry!$B824,100),2),"نامعتبر"),IF(LEN(Entry!$B824)=10,Entry!$B824,"نامعتبر")))</f>
        <v/>
      </c>
      <c r="F821">
        <f>IF(Entry!$B824="","",IF(Entry!$C824="","0000",IF(AND(ISNUMBER(Entry!$C824),Entry!$C824&gt;=0,Entry!$C824&lt;1),RIGHT("00"&amp;HOUR(Entry!$C824),2)&amp;RIGHT("00"&amp;MINUTE(Entry!$C824),2),IFERROR(RIGHT("00"&amp;VALUE(LEFT(Entry!$C824,FIND(":",Entry!$C824)-1)),2)&amp;RIGHT("00"&amp;VALUE(MID(Entry!$C824,FIND(":",Entry!$C824)+1,2)),2),"0000"))))</f>
        <v/>
      </c>
      <c r="G821">
        <f>IF($A821="","",Entry!$G824)</f>
        <v/>
      </c>
      <c r="H821">
        <f>IF($A821="","",IF(Entry!$H824="",0,Entry!$H824))</f>
        <v/>
      </c>
      <c r="I821">
        <f>IF($A821="","",IF(Entry!$I824="",0,Entry!$I824))</f>
        <v/>
      </c>
      <c r="J821">
        <f>IF($A821="","",ROUND($H821*$I821,0))</f>
        <v/>
      </c>
      <c r="K821">
        <f>IF($A821="","",Entry!$D824)</f>
        <v/>
      </c>
      <c r="L821">
        <f>IF($A821="","",Entry!$L824)</f>
        <v/>
      </c>
      <c r="N821">
        <f>IF(OR(Sync!$M821="",$Q821="",$Q821="نامعتبر"),"",Sync!$M821)</f>
        <v/>
      </c>
      <c r="O821">
        <f>IF($N821="","",$Q821)</f>
        <v/>
      </c>
      <c r="P821">
        <f>IF($N821="","",LEFT($Q821,4)&amp;MID($Q821,6,2)&amp;RIGHT($Q821,2)&amp;IF(Sync!$K821="","0000",IF(AND(ISNUMBER(Sync!$K821),Sync!$K821&gt;=0,Sync!$K821&lt;1),RIGHT("00"&amp;HOUR(Sync!$K821),2)&amp;RIGHT("00"&amp;MINUTE(Sync!$K821),2),IFERROR(RIGHT("00"&amp;VALUE(LEFT(Sync!$K821,FIND(":",Sync!$K821)-1)),2)&amp;RIGHT("00"&amp;VALUE(MID(Sync!$K821,FIND(":",Sync!$K821)+1,2)),2),"0000")))&amp;"|"&amp;"2"&amp;RIGHT("00000"&amp;816,5))</f>
        <v/>
      </c>
      <c r="Q821">
        <f>IF(Sync!$J821="","",IF(ISNUMBER(Sync!$J821),IF(AND(Sync!$J821&gt;=10000101,Sync!$J821&lt;=99991231),INT(Sync!$J821/10000)&amp;"/"&amp;RIGHT("00"&amp;INT(MOD(Sync!$J821,10000)/100),2)&amp;"/"&amp;RIGHT("00"&amp;MOD(Sync!$J821,100),2),"نامعتبر"),IF(LEN(Sync!$J821)=10,Sync!$J821,"نامعتبر")))</f>
        <v/>
      </c>
      <c r="R821">
        <f>IF($P821="","",COUNTIFS($N$6:$N$2005,$N821,$P$6:$P$2005,"&lt;"&amp;$P821)+COUNTIFS($A$6:$A$1005,$N821,$B$6:$B$1005,"&lt;"&amp;$P821)+1)</f>
        <v/>
      </c>
      <c r="S821">
        <f>IF($N821="","",$N821&amp;"|"&amp;RIGHT("000000"&amp;$R821,6))</f>
        <v/>
      </c>
      <c r="T821">
        <f>IF($N821="","",IF(Sync!$N821="",0,Sync!$N821))</f>
        <v/>
      </c>
      <c r="U821">
        <f>IF($N821="","",IF(Sync!$O821="",0,Sync!$O821))</f>
        <v/>
      </c>
      <c r="V821">
        <f>IF($N821="","",Sync!$L821)</f>
        <v/>
      </c>
      <c r="W821">
        <f>IF($N821="","",Sync!$P821)</f>
        <v/>
      </c>
      <c r="AA821">
        <f>IF($A821="","",IF(COUNTIF($A$6:$A821,$A821)=1,1,0))</f>
        <v/>
      </c>
      <c r="AB821">
        <f>SUM($AA$6:$AA821)</f>
        <v/>
      </c>
      <c r="AC821">
        <f>IFERROR(INDEX($A$6:$A$1005,MATCH(ROW()-5,$AB$6:$AB$1005,0)),"")</f>
        <v/>
      </c>
    </row>
    <row r="822">
      <c r="A822">
        <f>IF(OR(Entry!$B825="",Entry!$E825="",$E822="نامعتبر"),"",Entry!$E825)</f>
        <v/>
      </c>
      <c r="B822">
        <f>IF($A822="","",LEFT($E822,4)&amp;MID($E822,6,2)&amp;RIGHT($E822,2)&amp;$F822&amp;"|"&amp;"1"&amp;RIGHT("00000"&amp;817,5))</f>
        <v/>
      </c>
      <c r="C822">
        <f>IF($B822="","",COUNTIFS($A$6:$A$1005,$A822,$B$6:$B$1005,"&lt;"&amp;$B822)+COUNTIFS($N$6:$N$2005,$A822,$P$6:$P$2005,"&lt;"&amp;$B822)+1)</f>
        <v/>
      </c>
      <c r="D822">
        <f>IF($C822="","",$A822&amp;"|"&amp;RIGHT("000000"&amp;$C822,6))</f>
        <v/>
      </c>
      <c r="E822">
        <f>IF(Entry!$B825="","",IF(ISNUMBER(Entry!$B825),IF(AND(Entry!$B825&gt;=10000101,Entry!$B825&lt;=99991231),INT(Entry!$B825/10000)&amp;"/"&amp;RIGHT("00"&amp;INT(MOD(Entry!$B825,10000)/100),2)&amp;"/"&amp;RIGHT("00"&amp;MOD(Entry!$B825,100),2),"نامعتبر"),IF(LEN(Entry!$B825)=10,Entry!$B825,"نامعتبر")))</f>
        <v/>
      </c>
      <c r="F822">
        <f>IF(Entry!$B825="","",IF(Entry!$C825="","0000",IF(AND(ISNUMBER(Entry!$C825),Entry!$C825&gt;=0,Entry!$C825&lt;1),RIGHT("00"&amp;HOUR(Entry!$C825),2)&amp;RIGHT("00"&amp;MINUTE(Entry!$C825),2),IFERROR(RIGHT("00"&amp;VALUE(LEFT(Entry!$C825,FIND(":",Entry!$C825)-1)),2)&amp;RIGHT("00"&amp;VALUE(MID(Entry!$C825,FIND(":",Entry!$C825)+1,2)),2),"0000"))))</f>
        <v/>
      </c>
      <c r="G822">
        <f>IF($A822="","",Entry!$G825)</f>
        <v/>
      </c>
      <c r="H822">
        <f>IF($A822="","",IF(Entry!$H825="",0,Entry!$H825))</f>
        <v/>
      </c>
      <c r="I822">
        <f>IF($A822="","",IF(Entry!$I825="",0,Entry!$I825))</f>
        <v/>
      </c>
      <c r="J822">
        <f>IF($A822="","",ROUND($H822*$I822,0))</f>
        <v/>
      </c>
      <c r="K822">
        <f>IF($A822="","",Entry!$D825)</f>
        <v/>
      </c>
      <c r="L822">
        <f>IF($A822="","",Entry!$L825)</f>
        <v/>
      </c>
      <c r="N822">
        <f>IF(OR(Sync!$M822="",$Q822="",$Q822="نامعتبر"),"",Sync!$M822)</f>
        <v/>
      </c>
      <c r="O822">
        <f>IF($N822="","",$Q822)</f>
        <v/>
      </c>
      <c r="P822">
        <f>IF($N822="","",LEFT($Q822,4)&amp;MID($Q822,6,2)&amp;RIGHT($Q822,2)&amp;IF(Sync!$K822="","0000",IF(AND(ISNUMBER(Sync!$K822),Sync!$K822&gt;=0,Sync!$K822&lt;1),RIGHT("00"&amp;HOUR(Sync!$K822),2)&amp;RIGHT("00"&amp;MINUTE(Sync!$K822),2),IFERROR(RIGHT("00"&amp;VALUE(LEFT(Sync!$K822,FIND(":",Sync!$K822)-1)),2)&amp;RIGHT("00"&amp;VALUE(MID(Sync!$K822,FIND(":",Sync!$K822)+1,2)),2),"0000")))&amp;"|"&amp;"2"&amp;RIGHT("00000"&amp;817,5))</f>
        <v/>
      </c>
      <c r="Q822">
        <f>IF(Sync!$J822="","",IF(ISNUMBER(Sync!$J822),IF(AND(Sync!$J822&gt;=10000101,Sync!$J822&lt;=99991231),INT(Sync!$J822/10000)&amp;"/"&amp;RIGHT("00"&amp;INT(MOD(Sync!$J822,10000)/100),2)&amp;"/"&amp;RIGHT("00"&amp;MOD(Sync!$J822,100),2),"نامعتبر"),IF(LEN(Sync!$J822)=10,Sync!$J822,"نامعتبر")))</f>
        <v/>
      </c>
      <c r="R822">
        <f>IF($P822="","",COUNTIFS($N$6:$N$2005,$N822,$P$6:$P$2005,"&lt;"&amp;$P822)+COUNTIFS($A$6:$A$1005,$N822,$B$6:$B$1005,"&lt;"&amp;$P822)+1)</f>
        <v/>
      </c>
      <c r="S822">
        <f>IF($N822="","",$N822&amp;"|"&amp;RIGHT("000000"&amp;$R822,6))</f>
        <v/>
      </c>
      <c r="T822">
        <f>IF($N822="","",IF(Sync!$N822="",0,Sync!$N822))</f>
        <v/>
      </c>
      <c r="U822">
        <f>IF($N822="","",IF(Sync!$O822="",0,Sync!$O822))</f>
        <v/>
      </c>
      <c r="V822">
        <f>IF($N822="","",Sync!$L822)</f>
        <v/>
      </c>
      <c r="W822">
        <f>IF($N822="","",Sync!$P822)</f>
        <v/>
      </c>
      <c r="AA822">
        <f>IF($A822="","",IF(COUNTIF($A$6:$A822,$A822)=1,1,0))</f>
        <v/>
      </c>
      <c r="AB822">
        <f>SUM($AA$6:$AA822)</f>
        <v/>
      </c>
      <c r="AC822">
        <f>IFERROR(INDEX($A$6:$A$1005,MATCH(ROW()-5,$AB$6:$AB$1005,0)),"")</f>
        <v/>
      </c>
    </row>
    <row r="823">
      <c r="A823">
        <f>IF(OR(Entry!$B826="",Entry!$E826="",$E823="نامعتبر"),"",Entry!$E826)</f>
        <v/>
      </c>
      <c r="B823">
        <f>IF($A823="","",LEFT($E823,4)&amp;MID($E823,6,2)&amp;RIGHT($E823,2)&amp;$F823&amp;"|"&amp;"1"&amp;RIGHT("00000"&amp;818,5))</f>
        <v/>
      </c>
      <c r="C823">
        <f>IF($B823="","",COUNTIFS($A$6:$A$1005,$A823,$B$6:$B$1005,"&lt;"&amp;$B823)+COUNTIFS($N$6:$N$2005,$A823,$P$6:$P$2005,"&lt;"&amp;$B823)+1)</f>
        <v/>
      </c>
      <c r="D823">
        <f>IF($C823="","",$A823&amp;"|"&amp;RIGHT("000000"&amp;$C823,6))</f>
        <v/>
      </c>
      <c r="E823">
        <f>IF(Entry!$B826="","",IF(ISNUMBER(Entry!$B826),IF(AND(Entry!$B826&gt;=10000101,Entry!$B826&lt;=99991231),INT(Entry!$B826/10000)&amp;"/"&amp;RIGHT("00"&amp;INT(MOD(Entry!$B826,10000)/100),2)&amp;"/"&amp;RIGHT("00"&amp;MOD(Entry!$B826,100),2),"نامعتبر"),IF(LEN(Entry!$B826)=10,Entry!$B826,"نامعتبر")))</f>
        <v/>
      </c>
      <c r="F823">
        <f>IF(Entry!$B826="","",IF(Entry!$C826="","0000",IF(AND(ISNUMBER(Entry!$C826),Entry!$C826&gt;=0,Entry!$C826&lt;1),RIGHT("00"&amp;HOUR(Entry!$C826),2)&amp;RIGHT("00"&amp;MINUTE(Entry!$C826),2),IFERROR(RIGHT("00"&amp;VALUE(LEFT(Entry!$C826,FIND(":",Entry!$C826)-1)),2)&amp;RIGHT("00"&amp;VALUE(MID(Entry!$C826,FIND(":",Entry!$C826)+1,2)),2),"0000"))))</f>
        <v/>
      </c>
      <c r="G823">
        <f>IF($A823="","",Entry!$G826)</f>
        <v/>
      </c>
      <c r="H823">
        <f>IF($A823="","",IF(Entry!$H826="",0,Entry!$H826))</f>
        <v/>
      </c>
      <c r="I823">
        <f>IF($A823="","",IF(Entry!$I826="",0,Entry!$I826))</f>
        <v/>
      </c>
      <c r="J823">
        <f>IF($A823="","",ROUND($H823*$I823,0))</f>
        <v/>
      </c>
      <c r="K823">
        <f>IF($A823="","",Entry!$D826)</f>
        <v/>
      </c>
      <c r="L823">
        <f>IF($A823="","",Entry!$L826)</f>
        <v/>
      </c>
      <c r="N823">
        <f>IF(OR(Sync!$M823="",$Q823="",$Q823="نامعتبر"),"",Sync!$M823)</f>
        <v/>
      </c>
      <c r="O823">
        <f>IF($N823="","",$Q823)</f>
        <v/>
      </c>
      <c r="P823">
        <f>IF($N823="","",LEFT($Q823,4)&amp;MID($Q823,6,2)&amp;RIGHT($Q823,2)&amp;IF(Sync!$K823="","0000",IF(AND(ISNUMBER(Sync!$K823),Sync!$K823&gt;=0,Sync!$K823&lt;1),RIGHT("00"&amp;HOUR(Sync!$K823),2)&amp;RIGHT("00"&amp;MINUTE(Sync!$K823),2),IFERROR(RIGHT("00"&amp;VALUE(LEFT(Sync!$K823,FIND(":",Sync!$K823)-1)),2)&amp;RIGHT("00"&amp;VALUE(MID(Sync!$K823,FIND(":",Sync!$K823)+1,2)),2),"0000")))&amp;"|"&amp;"2"&amp;RIGHT("00000"&amp;818,5))</f>
        <v/>
      </c>
      <c r="Q823">
        <f>IF(Sync!$J823="","",IF(ISNUMBER(Sync!$J823),IF(AND(Sync!$J823&gt;=10000101,Sync!$J823&lt;=99991231),INT(Sync!$J823/10000)&amp;"/"&amp;RIGHT("00"&amp;INT(MOD(Sync!$J823,10000)/100),2)&amp;"/"&amp;RIGHT("00"&amp;MOD(Sync!$J823,100),2),"نامعتبر"),IF(LEN(Sync!$J823)=10,Sync!$J823,"نامعتبر")))</f>
        <v/>
      </c>
      <c r="R823">
        <f>IF($P823="","",COUNTIFS($N$6:$N$2005,$N823,$P$6:$P$2005,"&lt;"&amp;$P823)+COUNTIFS($A$6:$A$1005,$N823,$B$6:$B$1005,"&lt;"&amp;$P823)+1)</f>
        <v/>
      </c>
      <c r="S823">
        <f>IF($N823="","",$N823&amp;"|"&amp;RIGHT("000000"&amp;$R823,6))</f>
        <v/>
      </c>
      <c r="T823">
        <f>IF($N823="","",IF(Sync!$N823="",0,Sync!$N823))</f>
        <v/>
      </c>
      <c r="U823">
        <f>IF($N823="","",IF(Sync!$O823="",0,Sync!$O823))</f>
        <v/>
      </c>
      <c r="V823">
        <f>IF($N823="","",Sync!$L823)</f>
        <v/>
      </c>
      <c r="W823">
        <f>IF($N823="","",Sync!$P823)</f>
        <v/>
      </c>
      <c r="AA823">
        <f>IF($A823="","",IF(COUNTIF($A$6:$A823,$A823)=1,1,0))</f>
        <v/>
      </c>
      <c r="AB823">
        <f>SUM($AA$6:$AA823)</f>
        <v/>
      </c>
      <c r="AC823">
        <f>IFERROR(INDEX($A$6:$A$1005,MATCH(ROW()-5,$AB$6:$AB$1005,0)),"")</f>
        <v/>
      </c>
    </row>
    <row r="824">
      <c r="A824">
        <f>IF(OR(Entry!$B827="",Entry!$E827="",$E824="نامعتبر"),"",Entry!$E827)</f>
        <v/>
      </c>
      <c r="B824">
        <f>IF($A824="","",LEFT($E824,4)&amp;MID($E824,6,2)&amp;RIGHT($E824,2)&amp;$F824&amp;"|"&amp;"1"&amp;RIGHT("00000"&amp;819,5))</f>
        <v/>
      </c>
      <c r="C824">
        <f>IF($B824="","",COUNTIFS($A$6:$A$1005,$A824,$B$6:$B$1005,"&lt;"&amp;$B824)+COUNTIFS($N$6:$N$2005,$A824,$P$6:$P$2005,"&lt;"&amp;$B824)+1)</f>
        <v/>
      </c>
      <c r="D824">
        <f>IF($C824="","",$A824&amp;"|"&amp;RIGHT("000000"&amp;$C824,6))</f>
        <v/>
      </c>
      <c r="E824">
        <f>IF(Entry!$B827="","",IF(ISNUMBER(Entry!$B827),IF(AND(Entry!$B827&gt;=10000101,Entry!$B827&lt;=99991231),INT(Entry!$B827/10000)&amp;"/"&amp;RIGHT("00"&amp;INT(MOD(Entry!$B827,10000)/100),2)&amp;"/"&amp;RIGHT("00"&amp;MOD(Entry!$B827,100),2),"نامعتبر"),IF(LEN(Entry!$B827)=10,Entry!$B827,"نامعتبر")))</f>
        <v/>
      </c>
      <c r="F824">
        <f>IF(Entry!$B827="","",IF(Entry!$C827="","0000",IF(AND(ISNUMBER(Entry!$C827),Entry!$C827&gt;=0,Entry!$C827&lt;1),RIGHT("00"&amp;HOUR(Entry!$C827),2)&amp;RIGHT("00"&amp;MINUTE(Entry!$C827),2),IFERROR(RIGHT("00"&amp;VALUE(LEFT(Entry!$C827,FIND(":",Entry!$C827)-1)),2)&amp;RIGHT("00"&amp;VALUE(MID(Entry!$C827,FIND(":",Entry!$C827)+1,2)),2),"0000"))))</f>
        <v/>
      </c>
      <c r="G824">
        <f>IF($A824="","",Entry!$G827)</f>
        <v/>
      </c>
      <c r="H824">
        <f>IF($A824="","",IF(Entry!$H827="",0,Entry!$H827))</f>
        <v/>
      </c>
      <c r="I824">
        <f>IF($A824="","",IF(Entry!$I827="",0,Entry!$I827))</f>
        <v/>
      </c>
      <c r="J824">
        <f>IF($A824="","",ROUND($H824*$I824,0))</f>
        <v/>
      </c>
      <c r="K824">
        <f>IF($A824="","",Entry!$D827)</f>
        <v/>
      </c>
      <c r="L824">
        <f>IF($A824="","",Entry!$L827)</f>
        <v/>
      </c>
      <c r="N824">
        <f>IF(OR(Sync!$M824="",$Q824="",$Q824="نامعتبر"),"",Sync!$M824)</f>
        <v/>
      </c>
      <c r="O824">
        <f>IF($N824="","",$Q824)</f>
        <v/>
      </c>
      <c r="P824">
        <f>IF($N824="","",LEFT($Q824,4)&amp;MID($Q824,6,2)&amp;RIGHT($Q824,2)&amp;IF(Sync!$K824="","0000",IF(AND(ISNUMBER(Sync!$K824),Sync!$K824&gt;=0,Sync!$K824&lt;1),RIGHT("00"&amp;HOUR(Sync!$K824),2)&amp;RIGHT("00"&amp;MINUTE(Sync!$K824),2),IFERROR(RIGHT("00"&amp;VALUE(LEFT(Sync!$K824,FIND(":",Sync!$K824)-1)),2)&amp;RIGHT("00"&amp;VALUE(MID(Sync!$K824,FIND(":",Sync!$K824)+1,2)),2),"0000")))&amp;"|"&amp;"2"&amp;RIGHT("00000"&amp;819,5))</f>
        <v/>
      </c>
      <c r="Q824">
        <f>IF(Sync!$J824="","",IF(ISNUMBER(Sync!$J824),IF(AND(Sync!$J824&gt;=10000101,Sync!$J824&lt;=99991231),INT(Sync!$J824/10000)&amp;"/"&amp;RIGHT("00"&amp;INT(MOD(Sync!$J824,10000)/100),2)&amp;"/"&amp;RIGHT("00"&amp;MOD(Sync!$J824,100),2),"نامعتبر"),IF(LEN(Sync!$J824)=10,Sync!$J824,"نامعتبر")))</f>
        <v/>
      </c>
      <c r="R824">
        <f>IF($P824="","",COUNTIFS($N$6:$N$2005,$N824,$P$6:$P$2005,"&lt;"&amp;$P824)+COUNTIFS($A$6:$A$1005,$N824,$B$6:$B$1005,"&lt;"&amp;$P824)+1)</f>
        <v/>
      </c>
      <c r="S824">
        <f>IF($N824="","",$N824&amp;"|"&amp;RIGHT("000000"&amp;$R824,6))</f>
        <v/>
      </c>
      <c r="T824">
        <f>IF($N824="","",IF(Sync!$N824="",0,Sync!$N824))</f>
        <v/>
      </c>
      <c r="U824">
        <f>IF($N824="","",IF(Sync!$O824="",0,Sync!$O824))</f>
        <v/>
      </c>
      <c r="V824">
        <f>IF($N824="","",Sync!$L824)</f>
        <v/>
      </c>
      <c r="W824">
        <f>IF($N824="","",Sync!$P824)</f>
        <v/>
      </c>
      <c r="AA824">
        <f>IF($A824="","",IF(COUNTIF($A$6:$A824,$A824)=1,1,0))</f>
        <v/>
      </c>
      <c r="AB824">
        <f>SUM($AA$6:$AA824)</f>
        <v/>
      </c>
      <c r="AC824">
        <f>IFERROR(INDEX($A$6:$A$1005,MATCH(ROW()-5,$AB$6:$AB$1005,0)),"")</f>
        <v/>
      </c>
    </row>
    <row r="825">
      <c r="A825">
        <f>IF(OR(Entry!$B828="",Entry!$E828="",$E825="نامعتبر"),"",Entry!$E828)</f>
        <v/>
      </c>
      <c r="B825">
        <f>IF($A825="","",LEFT($E825,4)&amp;MID($E825,6,2)&amp;RIGHT($E825,2)&amp;$F825&amp;"|"&amp;"1"&amp;RIGHT("00000"&amp;820,5))</f>
        <v/>
      </c>
      <c r="C825">
        <f>IF($B825="","",COUNTIFS($A$6:$A$1005,$A825,$B$6:$B$1005,"&lt;"&amp;$B825)+COUNTIFS($N$6:$N$2005,$A825,$P$6:$P$2005,"&lt;"&amp;$B825)+1)</f>
        <v/>
      </c>
      <c r="D825">
        <f>IF($C825="","",$A825&amp;"|"&amp;RIGHT("000000"&amp;$C825,6))</f>
        <v/>
      </c>
      <c r="E825">
        <f>IF(Entry!$B828="","",IF(ISNUMBER(Entry!$B828),IF(AND(Entry!$B828&gt;=10000101,Entry!$B828&lt;=99991231),INT(Entry!$B828/10000)&amp;"/"&amp;RIGHT("00"&amp;INT(MOD(Entry!$B828,10000)/100),2)&amp;"/"&amp;RIGHT("00"&amp;MOD(Entry!$B828,100),2),"نامعتبر"),IF(LEN(Entry!$B828)=10,Entry!$B828,"نامعتبر")))</f>
        <v/>
      </c>
      <c r="F825">
        <f>IF(Entry!$B828="","",IF(Entry!$C828="","0000",IF(AND(ISNUMBER(Entry!$C828),Entry!$C828&gt;=0,Entry!$C828&lt;1),RIGHT("00"&amp;HOUR(Entry!$C828),2)&amp;RIGHT("00"&amp;MINUTE(Entry!$C828),2),IFERROR(RIGHT("00"&amp;VALUE(LEFT(Entry!$C828,FIND(":",Entry!$C828)-1)),2)&amp;RIGHT("00"&amp;VALUE(MID(Entry!$C828,FIND(":",Entry!$C828)+1,2)),2),"0000"))))</f>
        <v/>
      </c>
      <c r="G825">
        <f>IF($A825="","",Entry!$G828)</f>
        <v/>
      </c>
      <c r="H825">
        <f>IF($A825="","",IF(Entry!$H828="",0,Entry!$H828))</f>
        <v/>
      </c>
      <c r="I825">
        <f>IF($A825="","",IF(Entry!$I828="",0,Entry!$I828))</f>
        <v/>
      </c>
      <c r="J825">
        <f>IF($A825="","",ROUND($H825*$I825,0))</f>
        <v/>
      </c>
      <c r="K825">
        <f>IF($A825="","",Entry!$D828)</f>
        <v/>
      </c>
      <c r="L825">
        <f>IF($A825="","",Entry!$L828)</f>
        <v/>
      </c>
      <c r="N825">
        <f>IF(OR(Sync!$M825="",$Q825="",$Q825="نامعتبر"),"",Sync!$M825)</f>
        <v/>
      </c>
      <c r="O825">
        <f>IF($N825="","",$Q825)</f>
        <v/>
      </c>
      <c r="P825">
        <f>IF($N825="","",LEFT($Q825,4)&amp;MID($Q825,6,2)&amp;RIGHT($Q825,2)&amp;IF(Sync!$K825="","0000",IF(AND(ISNUMBER(Sync!$K825),Sync!$K825&gt;=0,Sync!$K825&lt;1),RIGHT("00"&amp;HOUR(Sync!$K825),2)&amp;RIGHT("00"&amp;MINUTE(Sync!$K825),2),IFERROR(RIGHT("00"&amp;VALUE(LEFT(Sync!$K825,FIND(":",Sync!$K825)-1)),2)&amp;RIGHT("00"&amp;VALUE(MID(Sync!$K825,FIND(":",Sync!$K825)+1,2)),2),"0000")))&amp;"|"&amp;"2"&amp;RIGHT("00000"&amp;820,5))</f>
        <v/>
      </c>
      <c r="Q825">
        <f>IF(Sync!$J825="","",IF(ISNUMBER(Sync!$J825),IF(AND(Sync!$J825&gt;=10000101,Sync!$J825&lt;=99991231),INT(Sync!$J825/10000)&amp;"/"&amp;RIGHT("00"&amp;INT(MOD(Sync!$J825,10000)/100),2)&amp;"/"&amp;RIGHT("00"&amp;MOD(Sync!$J825,100),2),"نامعتبر"),IF(LEN(Sync!$J825)=10,Sync!$J825,"نامعتبر")))</f>
        <v/>
      </c>
      <c r="R825">
        <f>IF($P825="","",COUNTIFS($N$6:$N$2005,$N825,$P$6:$P$2005,"&lt;"&amp;$P825)+COUNTIFS($A$6:$A$1005,$N825,$B$6:$B$1005,"&lt;"&amp;$P825)+1)</f>
        <v/>
      </c>
      <c r="S825">
        <f>IF($N825="","",$N825&amp;"|"&amp;RIGHT("000000"&amp;$R825,6))</f>
        <v/>
      </c>
      <c r="T825">
        <f>IF($N825="","",IF(Sync!$N825="",0,Sync!$N825))</f>
        <v/>
      </c>
      <c r="U825">
        <f>IF($N825="","",IF(Sync!$O825="",0,Sync!$O825))</f>
        <v/>
      </c>
      <c r="V825">
        <f>IF($N825="","",Sync!$L825)</f>
        <v/>
      </c>
      <c r="W825">
        <f>IF($N825="","",Sync!$P825)</f>
        <v/>
      </c>
      <c r="AA825">
        <f>IF($A825="","",IF(COUNTIF($A$6:$A825,$A825)=1,1,0))</f>
        <v/>
      </c>
      <c r="AB825">
        <f>SUM($AA$6:$AA825)</f>
        <v/>
      </c>
      <c r="AC825">
        <f>IFERROR(INDEX($A$6:$A$1005,MATCH(ROW()-5,$AB$6:$AB$1005,0)),"")</f>
        <v/>
      </c>
    </row>
    <row r="826">
      <c r="A826">
        <f>IF(OR(Entry!$B829="",Entry!$E829="",$E826="نامعتبر"),"",Entry!$E829)</f>
        <v/>
      </c>
      <c r="B826">
        <f>IF($A826="","",LEFT($E826,4)&amp;MID($E826,6,2)&amp;RIGHT($E826,2)&amp;$F826&amp;"|"&amp;"1"&amp;RIGHT("00000"&amp;821,5))</f>
        <v/>
      </c>
      <c r="C826">
        <f>IF($B826="","",COUNTIFS($A$6:$A$1005,$A826,$B$6:$B$1005,"&lt;"&amp;$B826)+COUNTIFS($N$6:$N$2005,$A826,$P$6:$P$2005,"&lt;"&amp;$B826)+1)</f>
        <v/>
      </c>
      <c r="D826">
        <f>IF($C826="","",$A826&amp;"|"&amp;RIGHT("000000"&amp;$C826,6))</f>
        <v/>
      </c>
      <c r="E826">
        <f>IF(Entry!$B829="","",IF(ISNUMBER(Entry!$B829),IF(AND(Entry!$B829&gt;=10000101,Entry!$B829&lt;=99991231),INT(Entry!$B829/10000)&amp;"/"&amp;RIGHT("00"&amp;INT(MOD(Entry!$B829,10000)/100),2)&amp;"/"&amp;RIGHT("00"&amp;MOD(Entry!$B829,100),2),"نامعتبر"),IF(LEN(Entry!$B829)=10,Entry!$B829,"نامعتبر")))</f>
        <v/>
      </c>
      <c r="F826">
        <f>IF(Entry!$B829="","",IF(Entry!$C829="","0000",IF(AND(ISNUMBER(Entry!$C829),Entry!$C829&gt;=0,Entry!$C829&lt;1),RIGHT("00"&amp;HOUR(Entry!$C829),2)&amp;RIGHT("00"&amp;MINUTE(Entry!$C829),2),IFERROR(RIGHT("00"&amp;VALUE(LEFT(Entry!$C829,FIND(":",Entry!$C829)-1)),2)&amp;RIGHT("00"&amp;VALUE(MID(Entry!$C829,FIND(":",Entry!$C829)+1,2)),2),"0000"))))</f>
        <v/>
      </c>
      <c r="G826">
        <f>IF($A826="","",Entry!$G829)</f>
        <v/>
      </c>
      <c r="H826">
        <f>IF($A826="","",IF(Entry!$H829="",0,Entry!$H829))</f>
        <v/>
      </c>
      <c r="I826">
        <f>IF($A826="","",IF(Entry!$I829="",0,Entry!$I829))</f>
        <v/>
      </c>
      <c r="J826">
        <f>IF($A826="","",ROUND($H826*$I826,0))</f>
        <v/>
      </c>
      <c r="K826">
        <f>IF($A826="","",Entry!$D829)</f>
        <v/>
      </c>
      <c r="L826">
        <f>IF($A826="","",Entry!$L829)</f>
        <v/>
      </c>
      <c r="N826">
        <f>IF(OR(Sync!$M826="",$Q826="",$Q826="نامعتبر"),"",Sync!$M826)</f>
        <v/>
      </c>
      <c r="O826">
        <f>IF($N826="","",$Q826)</f>
        <v/>
      </c>
      <c r="P826">
        <f>IF($N826="","",LEFT($Q826,4)&amp;MID($Q826,6,2)&amp;RIGHT($Q826,2)&amp;IF(Sync!$K826="","0000",IF(AND(ISNUMBER(Sync!$K826),Sync!$K826&gt;=0,Sync!$K826&lt;1),RIGHT("00"&amp;HOUR(Sync!$K826),2)&amp;RIGHT("00"&amp;MINUTE(Sync!$K826),2),IFERROR(RIGHT("00"&amp;VALUE(LEFT(Sync!$K826,FIND(":",Sync!$K826)-1)),2)&amp;RIGHT("00"&amp;VALUE(MID(Sync!$K826,FIND(":",Sync!$K826)+1,2)),2),"0000")))&amp;"|"&amp;"2"&amp;RIGHT("00000"&amp;821,5))</f>
        <v/>
      </c>
      <c r="Q826">
        <f>IF(Sync!$J826="","",IF(ISNUMBER(Sync!$J826),IF(AND(Sync!$J826&gt;=10000101,Sync!$J826&lt;=99991231),INT(Sync!$J826/10000)&amp;"/"&amp;RIGHT("00"&amp;INT(MOD(Sync!$J826,10000)/100),2)&amp;"/"&amp;RIGHT("00"&amp;MOD(Sync!$J826,100),2),"نامعتبر"),IF(LEN(Sync!$J826)=10,Sync!$J826,"نامعتبر")))</f>
        <v/>
      </c>
      <c r="R826">
        <f>IF($P826="","",COUNTIFS($N$6:$N$2005,$N826,$P$6:$P$2005,"&lt;"&amp;$P826)+COUNTIFS($A$6:$A$1005,$N826,$B$6:$B$1005,"&lt;"&amp;$P826)+1)</f>
        <v/>
      </c>
      <c r="S826">
        <f>IF($N826="","",$N826&amp;"|"&amp;RIGHT("000000"&amp;$R826,6))</f>
        <v/>
      </c>
      <c r="T826">
        <f>IF($N826="","",IF(Sync!$N826="",0,Sync!$N826))</f>
        <v/>
      </c>
      <c r="U826">
        <f>IF($N826="","",IF(Sync!$O826="",0,Sync!$O826))</f>
        <v/>
      </c>
      <c r="V826">
        <f>IF($N826="","",Sync!$L826)</f>
        <v/>
      </c>
      <c r="W826">
        <f>IF($N826="","",Sync!$P826)</f>
        <v/>
      </c>
      <c r="AA826">
        <f>IF($A826="","",IF(COUNTIF($A$6:$A826,$A826)=1,1,0))</f>
        <v/>
      </c>
      <c r="AB826">
        <f>SUM($AA$6:$AA826)</f>
        <v/>
      </c>
      <c r="AC826">
        <f>IFERROR(INDEX($A$6:$A$1005,MATCH(ROW()-5,$AB$6:$AB$1005,0)),"")</f>
        <v/>
      </c>
    </row>
    <row r="827">
      <c r="A827">
        <f>IF(OR(Entry!$B830="",Entry!$E830="",$E827="نامعتبر"),"",Entry!$E830)</f>
        <v/>
      </c>
      <c r="B827">
        <f>IF($A827="","",LEFT($E827,4)&amp;MID($E827,6,2)&amp;RIGHT($E827,2)&amp;$F827&amp;"|"&amp;"1"&amp;RIGHT("00000"&amp;822,5))</f>
        <v/>
      </c>
      <c r="C827">
        <f>IF($B827="","",COUNTIFS($A$6:$A$1005,$A827,$B$6:$B$1005,"&lt;"&amp;$B827)+COUNTIFS($N$6:$N$2005,$A827,$P$6:$P$2005,"&lt;"&amp;$B827)+1)</f>
        <v/>
      </c>
      <c r="D827">
        <f>IF($C827="","",$A827&amp;"|"&amp;RIGHT("000000"&amp;$C827,6))</f>
        <v/>
      </c>
      <c r="E827">
        <f>IF(Entry!$B830="","",IF(ISNUMBER(Entry!$B830),IF(AND(Entry!$B830&gt;=10000101,Entry!$B830&lt;=99991231),INT(Entry!$B830/10000)&amp;"/"&amp;RIGHT("00"&amp;INT(MOD(Entry!$B830,10000)/100),2)&amp;"/"&amp;RIGHT("00"&amp;MOD(Entry!$B830,100),2),"نامعتبر"),IF(LEN(Entry!$B830)=10,Entry!$B830,"نامعتبر")))</f>
        <v/>
      </c>
      <c r="F827">
        <f>IF(Entry!$B830="","",IF(Entry!$C830="","0000",IF(AND(ISNUMBER(Entry!$C830),Entry!$C830&gt;=0,Entry!$C830&lt;1),RIGHT("00"&amp;HOUR(Entry!$C830),2)&amp;RIGHT("00"&amp;MINUTE(Entry!$C830),2),IFERROR(RIGHT("00"&amp;VALUE(LEFT(Entry!$C830,FIND(":",Entry!$C830)-1)),2)&amp;RIGHT("00"&amp;VALUE(MID(Entry!$C830,FIND(":",Entry!$C830)+1,2)),2),"0000"))))</f>
        <v/>
      </c>
      <c r="G827">
        <f>IF($A827="","",Entry!$G830)</f>
        <v/>
      </c>
      <c r="H827">
        <f>IF($A827="","",IF(Entry!$H830="",0,Entry!$H830))</f>
        <v/>
      </c>
      <c r="I827">
        <f>IF($A827="","",IF(Entry!$I830="",0,Entry!$I830))</f>
        <v/>
      </c>
      <c r="J827">
        <f>IF($A827="","",ROUND($H827*$I827,0))</f>
        <v/>
      </c>
      <c r="K827">
        <f>IF($A827="","",Entry!$D830)</f>
        <v/>
      </c>
      <c r="L827">
        <f>IF($A827="","",Entry!$L830)</f>
        <v/>
      </c>
      <c r="N827">
        <f>IF(OR(Sync!$M827="",$Q827="",$Q827="نامعتبر"),"",Sync!$M827)</f>
        <v/>
      </c>
      <c r="O827">
        <f>IF($N827="","",$Q827)</f>
        <v/>
      </c>
      <c r="P827">
        <f>IF($N827="","",LEFT($Q827,4)&amp;MID($Q827,6,2)&amp;RIGHT($Q827,2)&amp;IF(Sync!$K827="","0000",IF(AND(ISNUMBER(Sync!$K827),Sync!$K827&gt;=0,Sync!$K827&lt;1),RIGHT("00"&amp;HOUR(Sync!$K827),2)&amp;RIGHT("00"&amp;MINUTE(Sync!$K827),2),IFERROR(RIGHT("00"&amp;VALUE(LEFT(Sync!$K827,FIND(":",Sync!$K827)-1)),2)&amp;RIGHT("00"&amp;VALUE(MID(Sync!$K827,FIND(":",Sync!$K827)+1,2)),2),"0000")))&amp;"|"&amp;"2"&amp;RIGHT("00000"&amp;822,5))</f>
        <v/>
      </c>
      <c r="Q827">
        <f>IF(Sync!$J827="","",IF(ISNUMBER(Sync!$J827),IF(AND(Sync!$J827&gt;=10000101,Sync!$J827&lt;=99991231),INT(Sync!$J827/10000)&amp;"/"&amp;RIGHT("00"&amp;INT(MOD(Sync!$J827,10000)/100),2)&amp;"/"&amp;RIGHT("00"&amp;MOD(Sync!$J827,100),2),"نامعتبر"),IF(LEN(Sync!$J827)=10,Sync!$J827,"نامعتبر")))</f>
        <v/>
      </c>
      <c r="R827">
        <f>IF($P827="","",COUNTIFS($N$6:$N$2005,$N827,$P$6:$P$2005,"&lt;"&amp;$P827)+COUNTIFS($A$6:$A$1005,$N827,$B$6:$B$1005,"&lt;"&amp;$P827)+1)</f>
        <v/>
      </c>
      <c r="S827">
        <f>IF($N827="","",$N827&amp;"|"&amp;RIGHT("000000"&amp;$R827,6))</f>
        <v/>
      </c>
      <c r="T827">
        <f>IF($N827="","",IF(Sync!$N827="",0,Sync!$N827))</f>
        <v/>
      </c>
      <c r="U827">
        <f>IF($N827="","",IF(Sync!$O827="",0,Sync!$O827))</f>
        <v/>
      </c>
      <c r="V827">
        <f>IF($N827="","",Sync!$L827)</f>
        <v/>
      </c>
      <c r="W827">
        <f>IF($N827="","",Sync!$P827)</f>
        <v/>
      </c>
      <c r="AA827">
        <f>IF($A827="","",IF(COUNTIF($A$6:$A827,$A827)=1,1,0))</f>
        <v/>
      </c>
      <c r="AB827">
        <f>SUM($AA$6:$AA827)</f>
        <v/>
      </c>
      <c r="AC827">
        <f>IFERROR(INDEX($A$6:$A$1005,MATCH(ROW()-5,$AB$6:$AB$1005,0)),"")</f>
        <v/>
      </c>
    </row>
    <row r="828">
      <c r="A828">
        <f>IF(OR(Entry!$B831="",Entry!$E831="",$E828="نامعتبر"),"",Entry!$E831)</f>
        <v/>
      </c>
      <c r="B828">
        <f>IF($A828="","",LEFT($E828,4)&amp;MID($E828,6,2)&amp;RIGHT($E828,2)&amp;$F828&amp;"|"&amp;"1"&amp;RIGHT("00000"&amp;823,5))</f>
        <v/>
      </c>
      <c r="C828">
        <f>IF($B828="","",COUNTIFS($A$6:$A$1005,$A828,$B$6:$B$1005,"&lt;"&amp;$B828)+COUNTIFS($N$6:$N$2005,$A828,$P$6:$P$2005,"&lt;"&amp;$B828)+1)</f>
        <v/>
      </c>
      <c r="D828">
        <f>IF($C828="","",$A828&amp;"|"&amp;RIGHT("000000"&amp;$C828,6))</f>
        <v/>
      </c>
      <c r="E828">
        <f>IF(Entry!$B831="","",IF(ISNUMBER(Entry!$B831),IF(AND(Entry!$B831&gt;=10000101,Entry!$B831&lt;=99991231),INT(Entry!$B831/10000)&amp;"/"&amp;RIGHT("00"&amp;INT(MOD(Entry!$B831,10000)/100),2)&amp;"/"&amp;RIGHT("00"&amp;MOD(Entry!$B831,100),2),"نامعتبر"),IF(LEN(Entry!$B831)=10,Entry!$B831,"نامعتبر")))</f>
        <v/>
      </c>
      <c r="F828">
        <f>IF(Entry!$B831="","",IF(Entry!$C831="","0000",IF(AND(ISNUMBER(Entry!$C831),Entry!$C831&gt;=0,Entry!$C831&lt;1),RIGHT("00"&amp;HOUR(Entry!$C831),2)&amp;RIGHT("00"&amp;MINUTE(Entry!$C831),2),IFERROR(RIGHT("00"&amp;VALUE(LEFT(Entry!$C831,FIND(":",Entry!$C831)-1)),2)&amp;RIGHT("00"&amp;VALUE(MID(Entry!$C831,FIND(":",Entry!$C831)+1,2)),2),"0000"))))</f>
        <v/>
      </c>
      <c r="G828">
        <f>IF($A828="","",Entry!$G831)</f>
        <v/>
      </c>
      <c r="H828">
        <f>IF($A828="","",IF(Entry!$H831="",0,Entry!$H831))</f>
        <v/>
      </c>
      <c r="I828">
        <f>IF($A828="","",IF(Entry!$I831="",0,Entry!$I831))</f>
        <v/>
      </c>
      <c r="J828">
        <f>IF($A828="","",ROUND($H828*$I828,0))</f>
        <v/>
      </c>
      <c r="K828">
        <f>IF($A828="","",Entry!$D831)</f>
        <v/>
      </c>
      <c r="L828">
        <f>IF($A828="","",Entry!$L831)</f>
        <v/>
      </c>
      <c r="N828">
        <f>IF(OR(Sync!$M828="",$Q828="",$Q828="نامعتبر"),"",Sync!$M828)</f>
        <v/>
      </c>
      <c r="O828">
        <f>IF($N828="","",$Q828)</f>
        <v/>
      </c>
      <c r="P828">
        <f>IF($N828="","",LEFT($Q828,4)&amp;MID($Q828,6,2)&amp;RIGHT($Q828,2)&amp;IF(Sync!$K828="","0000",IF(AND(ISNUMBER(Sync!$K828),Sync!$K828&gt;=0,Sync!$K828&lt;1),RIGHT("00"&amp;HOUR(Sync!$K828),2)&amp;RIGHT("00"&amp;MINUTE(Sync!$K828),2),IFERROR(RIGHT("00"&amp;VALUE(LEFT(Sync!$K828,FIND(":",Sync!$K828)-1)),2)&amp;RIGHT("00"&amp;VALUE(MID(Sync!$K828,FIND(":",Sync!$K828)+1,2)),2),"0000")))&amp;"|"&amp;"2"&amp;RIGHT("00000"&amp;823,5))</f>
        <v/>
      </c>
      <c r="Q828">
        <f>IF(Sync!$J828="","",IF(ISNUMBER(Sync!$J828),IF(AND(Sync!$J828&gt;=10000101,Sync!$J828&lt;=99991231),INT(Sync!$J828/10000)&amp;"/"&amp;RIGHT("00"&amp;INT(MOD(Sync!$J828,10000)/100),2)&amp;"/"&amp;RIGHT("00"&amp;MOD(Sync!$J828,100),2),"نامعتبر"),IF(LEN(Sync!$J828)=10,Sync!$J828,"نامعتبر")))</f>
        <v/>
      </c>
      <c r="R828">
        <f>IF($P828="","",COUNTIFS($N$6:$N$2005,$N828,$P$6:$P$2005,"&lt;"&amp;$P828)+COUNTIFS($A$6:$A$1005,$N828,$B$6:$B$1005,"&lt;"&amp;$P828)+1)</f>
        <v/>
      </c>
      <c r="S828">
        <f>IF($N828="","",$N828&amp;"|"&amp;RIGHT("000000"&amp;$R828,6))</f>
        <v/>
      </c>
      <c r="T828">
        <f>IF($N828="","",IF(Sync!$N828="",0,Sync!$N828))</f>
        <v/>
      </c>
      <c r="U828">
        <f>IF($N828="","",IF(Sync!$O828="",0,Sync!$O828))</f>
        <v/>
      </c>
      <c r="V828">
        <f>IF($N828="","",Sync!$L828)</f>
        <v/>
      </c>
      <c r="W828">
        <f>IF($N828="","",Sync!$P828)</f>
        <v/>
      </c>
      <c r="AA828">
        <f>IF($A828="","",IF(COUNTIF($A$6:$A828,$A828)=1,1,0))</f>
        <v/>
      </c>
      <c r="AB828">
        <f>SUM($AA$6:$AA828)</f>
        <v/>
      </c>
      <c r="AC828">
        <f>IFERROR(INDEX($A$6:$A$1005,MATCH(ROW()-5,$AB$6:$AB$1005,0)),"")</f>
        <v/>
      </c>
    </row>
    <row r="829">
      <c r="A829">
        <f>IF(OR(Entry!$B832="",Entry!$E832="",$E829="نامعتبر"),"",Entry!$E832)</f>
        <v/>
      </c>
      <c r="B829">
        <f>IF($A829="","",LEFT($E829,4)&amp;MID($E829,6,2)&amp;RIGHT($E829,2)&amp;$F829&amp;"|"&amp;"1"&amp;RIGHT("00000"&amp;824,5))</f>
        <v/>
      </c>
      <c r="C829">
        <f>IF($B829="","",COUNTIFS($A$6:$A$1005,$A829,$B$6:$B$1005,"&lt;"&amp;$B829)+COUNTIFS($N$6:$N$2005,$A829,$P$6:$P$2005,"&lt;"&amp;$B829)+1)</f>
        <v/>
      </c>
      <c r="D829">
        <f>IF($C829="","",$A829&amp;"|"&amp;RIGHT("000000"&amp;$C829,6))</f>
        <v/>
      </c>
      <c r="E829">
        <f>IF(Entry!$B832="","",IF(ISNUMBER(Entry!$B832),IF(AND(Entry!$B832&gt;=10000101,Entry!$B832&lt;=99991231),INT(Entry!$B832/10000)&amp;"/"&amp;RIGHT("00"&amp;INT(MOD(Entry!$B832,10000)/100),2)&amp;"/"&amp;RIGHT("00"&amp;MOD(Entry!$B832,100),2),"نامعتبر"),IF(LEN(Entry!$B832)=10,Entry!$B832,"نامعتبر")))</f>
        <v/>
      </c>
      <c r="F829">
        <f>IF(Entry!$B832="","",IF(Entry!$C832="","0000",IF(AND(ISNUMBER(Entry!$C832),Entry!$C832&gt;=0,Entry!$C832&lt;1),RIGHT("00"&amp;HOUR(Entry!$C832),2)&amp;RIGHT("00"&amp;MINUTE(Entry!$C832),2),IFERROR(RIGHT("00"&amp;VALUE(LEFT(Entry!$C832,FIND(":",Entry!$C832)-1)),2)&amp;RIGHT("00"&amp;VALUE(MID(Entry!$C832,FIND(":",Entry!$C832)+1,2)),2),"0000"))))</f>
        <v/>
      </c>
      <c r="G829">
        <f>IF($A829="","",Entry!$G832)</f>
        <v/>
      </c>
      <c r="H829">
        <f>IF($A829="","",IF(Entry!$H832="",0,Entry!$H832))</f>
        <v/>
      </c>
      <c r="I829">
        <f>IF($A829="","",IF(Entry!$I832="",0,Entry!$I832))</f>
        <v/>
      </c>
      <c r="J829">
        <f>IF($A829="","",ROUND($H829*$I829,0))</f>
        <v/>
      </c>
      <c r="K829">
        <f>IF($A829="","",Entry!$D832)</f>
        <v/>
      </c>
      <c r="L829">
        <f>IF($A829="","",Entry!$L832)</f>
        <v/>
      </c>
      <c r="N829">
        <f>IF(OR(Sync!$M829="",$Q829="",$Q829="نامعتبر"),"",Sync!$M829)</f>
        <v/>
      </c>
      <c r="O829">
        <f>IF($N829="","",$Q829)</f>
        <v/>
      </c>
      <c r="P829">
        <f>IF($N829="","",LEFT($Q829,4)&amp;MID($Q829,6,2)&amp;RIGHT($Q829,2)&amp;IF(Sync!$K829="","0000",IF(AND(ISNUMBER(Sync!$K829),Sync!$K829&gt;=0,Sync!$K829&lt;1),RIGHT("00"&amp;HOUR(Sync!$K829),2)&amp;RIGHT("00"&amp;MINUTE(Sync!$K829),2),IFERROR(RIGHT("00"&amp;VALUE(LEFT(Sync!$K829,FIND(":",Sync!$K829)-1)),2)&amp;RIGHT("00"&amp;VALUE(MID(Sync!$K829,FIND(":",Sync!$K829)+1,2)),2),"0000")))&amp;"|"&amp;"2"&amp;RIGHT("00000"&amp;824,5))</f>
        <v/>
      </c>
      <c r="Q829">
        <f>IF(Sync!$J829="","",IF(ISNUMBER(Sync!$J829),IF(AND(Sync!$J829&gt;=10000101,Sync!$J829&lt;=99991231),INT(Sync!$J829/10000)&amp;"/"&amp;RIGHT("00"&amp;INT(MOD(Sync!$J829,10000)/100),2)&amp;"/"&amp;RIGHT("00"&amp;MOD(Sync!$J829,100),2),"نامعتبر"),IF(LEN(Sync!$J829)=10,Sync!$J829,"نامعتبر")))</f>
        <v/>
      </c>
      <c r="R829">
        <f>IF($P829="","",COUNTIFS($N$6:$N$2005,$N829,$P$6:$P$2005,"&lt;"&amp;$P829)+COUNTIFS($A$6:$A$1005,$N829,$B$6:$B$1005,"&lt;"&amp;$P829)+1)</f>
        <v/>
      </c>
      <c r="S829">
        <f>IF($N829="","",$N829&amp;"|"&amp;RIGHT("000000"&amp;$R829,6))</f>
        <v/>
      </c>
      <c r="T829">
        <f>IF($N829="","",IF(Sync!$N829="",0,Sync!$N829))</f>
        <v/>
      </c>
      <c r="U829">
        <f>IF($N829="","",IF(Sync!$O829="",0,Sync!$O829))</f>
        <v/>
      </c>
      <c r="V829">
        <f>IF($N829="","",Sync!$L829)</f>
        <v/>
      </c>
      <c r="W829">
        <f>IF($N829="","",Sync!$P829)</f>
        <v/>
      </c>
      <c r="AA829">
        <f>IF($A829="","",IF(COUNTIF($A$6:$A829,$A829)=1,1,0))</f>
        <v/>
      </c>
      <c r="AB829">
        <f>SUM($AA$6:$AA829)</f>
        <v/>
      </c>
      <c r="AC829">
        <f>IFERROR(INDEX($A$6:$A$1005,MATCH(ROW()-5,$AB$6:$AB$1005,0)),"")</f>
        <v/>
      </c>
    </row>
    <row r="830">
      <c r="A830">
        <f>IF(OR(Entry!$B833="",Entry!$E833="",$E830="نامعتبر"),"",Entry!$E833)</f>
        <v/>
      </c>
      <c r="B830">
        <f>IF($A830="","",LEFT($E830,4)&amp;MID($E830,6,2)&amp;RIGHT($E830,2)&amp;$F830&amp;"|"&amp;"1"&amp;RIGHT("00000"&amp;825,5))</f>
        <v/>
      </c>
      <c r="C830">
        <f>IF($B830="","",COUNTIFS($A$6:$A$1005,$A830,$B$6:$B$1005,"&lt;"&amp;$B830)+COUNTIFS($N$6:$N$2005,$A830,$P$6:$P$2005,"&lt;"&amp;$B830)+1)</f>
        <v/>
      </c>
      <c r="D830">
        <f>IF($C830="","",$A830&amp;"|"&amp;RIGHT("000000"&amp;$C830,6))</f>
        <v/>
      </c>
      <c r="E830">
        <f>IF(Entry!$B833="","",IF(ISNUMBER(Entry!$B833),IF(AND(Entry!$B833&gt;=10000101,Entry!$B833&lt;=99991231),INT(Entry!$B833/10000)&amp;"/"&amp;RIGHT("00"&amp;INT(MOD(Entry!$B833,10000)/100),2)&amp;"/"&amp;RIGHT("00"&amp;MOD(Entry!$B833,100),2),"نامعتبر"),IF(LEN(Entry!$B833)=10,Entry!$B833,"نامعتبر")))</f>
        <v/>
      </c>
      <c r="F830">
        <f>IF(Entry!$B833="","",IF(Entry!$C833="","0000",IF(AND(ISNUMBER(Entry!$C833),Entry!$C833&gt;=0,Entry!$C833&lt;1),RIGHT("00"&amp;HOUR(Entry!$C833),2)&amp;RIGHT("00"&amp;MINUTE(Entry!$C833),2),IFERROR(RIGHT("00"&amp;VALUE(LEFT(Entry!$C833,FIND(":",Entry!$C833)-1)),2)&amp;RIGHT("00"&amp;VALUE(MID(Entry!$C833,FIND(":",Entry!$C833)+1,2)),2),"0000"))))</f>
        <v/>
      </c>
      <c r="G830">
        <f>IF($A830="","",Entry!$G833)</f>
        <v/>
      </c>
      <c r="H830">
        <f>IF($A830="","",IF(Entry!$H833="",0,Entry!$H833))</f>
        <v/>
      </c>
      <c r="I830">
        <f>IF($A830="","",IF(Entry!$I833="",0,Entry!$I833))</f>
        <v/>
      </c>
      <c r="J830">
        <f>IF($A830="","",ROUND($H830*$I830,0))</f>
        <v/>
      </c>
      <c r="K830">
        <f>IF($A830="","",Entry!$D833)</f>
        <v/>
      </c>
      <c r="L830">
        <f>IF($A830="","",Entry!$L833)</f>
        <v/>
      </c>
      <c r="N830">
        <f>IF(OR(Sync!$M830="",$Q830="",$Q830="نامعتبر"),"",Sync!$M830)</f>
        <v/>
      </c>
      <c r="O830">
        <f>IF($N830="","",$Q830)</f>
        <v/>
      </c>
      <c r="P830">
        <f>IF($N830="","",LEFT($Q830,4)&amp;MID($Q830,6,2)&amp;RIGHT($Q830,2)&amp;IF(Sync!$K830="","0000",IF(AND(ISNUMBER(Sync!$K830),Sync!$K830&gt;=0,Sync!$K830&lt;1),RIGHT("00"&amp;HOUR(Sync!$K830),2)&amp;RIGHT("00"&amp;MINUTE(Sync!$K830),2),IFERROR(RIGHT("00"&amp;VALUE(LEFT(Sync!$K830,FIND(":",Sync!$K830)-1)),2)&amp;RIGHT("00"&amp;VALUE(MID(Sync!$K830,FIND(":",Sync!$K830)+1,2)),2),"0000")))&amp;"|"&amp;"2"&amp;RIGHT("00000"&amp;825,5))</f>
        <v/>
      </c>
      <c r="Q830">
        <f>IF(Sync!$J830="","",IF(ISNUMBER(Sync!$J830),IF(AND(Sync!$J830&gt;=10000101,Sync!$J830&lt;=99991231),INT(Sync!$J830/10000)&amp;"/"&amp;RIGHT("00"&amp;INT(MOD(Sync!$J830,10000)/100),2)&amp;"/"&amp;RIGHT("00"&amp;MOD(Sync!$J830,100),2),"نامعتبر"),IF(LEN(Sync!$J830)=10,Sync!$J830,"نامعتبر")))</f>
        <v/>
      </c>
      <c r="R830">
        <f>IF($P830="","",COUNTIFS($N$6:$N$2005,$N830,$P$6:$P$2005,"&lt;"&amp;$P830)+COUNTIFS($A$6:$A$1005,$N830,$B$6:$B$1005,"&lt;"&amp;$P830)+1)</f>
        <v/>
      </c>
      <c r="S830">
        <f>IF($N830="","",$N830&amp;"|"&amp;RIGHT("000000"&amp;$R830,6))</f>
        <v/>
      </c>
      <c r="T830">
        <f>IF($N830="","",IF(Sync!$N830="",0,Sync!$N830))</f>
        <v/>
      </c>
      <c r="U830">
        <f>IF($N830="","",IF(Sync!$O830="",0,Sync!$O830))</f>
        <v/>
      </c>
      <c r="V830">
        <f>IF($N830="","",Sync!$L830)</f>
        <v/>
      </c>
      <c r="W830">
        <f>IF($N830="","",Sync!$P830)</f>
        <v/>
      </c>
      <c r="AA830">
        <f>IF($A830="","",IF(COUNTIF($A$6:$A830,$A830)=1,1,0))</f>
        <v/>
      </c>
      <c r="AB830">
        <f>SUM($AA$6:$AA830)</f>
        <v/>
      </c>
      <c r="AC830">
        <f>IFERROR(INDEX($A$6:$A$1005,MATCH(ROW()-5,$AB$6:$AB$1005,0)),"")</f>
        <v/>
      </c>
    </row>
    <row r="831">
      <c r="A831">
        <f>IF(OR(Entry!$B834="",Entry!$E834="",$E831="نامعتبر"),"",Entry!$E834)</f>
        <v/>
      </c>
      <c r="B831">
        <f>IF($A831="","",LEFT($E831,4)&amp;MID($E831,6,2)&amp;RIGHT($E831,2)&amp;$F831&amp;"|"&amp;"1"&amp;RIGHT("00000"&amp;826,5))</f>
        <v/>
      </c>
      <c r="C831">
        <f>IF($B831="","",COUNTIFS($A$6:$A$1005,$A831,$B$6:$B$1005,"&lt;"&amp;$B831)+COUNTIFS($N$6:$N$2005,$A831,$P$6:$P$2005,"&lt;"&amp;$B831)+1)</f>
        <v/>
      </c>
      <c r="D831">
        <f>IF($C831="","",$A831&amp;"|"&amp;RIGHT("000000"&amp;$C831,6))</f>
        <v/>
      </c>
      <c r="E831">
        <f>IF(Entry!$B834="","",IF(ISNUMBER(Entry!$B834),IF(AND(Entry!$B834&gt;=10000101,Entry!$B834&lt;=99991231),INT(Entry!$B834/10000)&amp;"/"&amp;RIGHT("00"&amp;INT(MOD(Entry!$B834,10000)/100),2)&amp;"/"&amp;RIGHT("00"&amp;MOD(Entry!$B834,100),2),"نامعتبر"),IF(LEN(Entry!$B834)=10,Entry!$B834,"نامعتبر")))</f>
        <v/>
      </c>
      <c r="F831">
        <f>IF(Entry!$B834="","",IF(Entry!$C834="","0000",IF(AND(ISNUMBER(Entry!$C834),Entry!$C834&gt;=0,Entry!$C834&lt;1),RIGHT("00"&amp;HOUR(Entry!$C834),2)&amp;RIGHT("00"&amp;MINUTE(Entry!$C834),2),IFERROR(RIGHT("00"&amp;VALUE(LEFT(Entry!$C834,FIND(":",Entry!$C834)-1)),2)&amp;RIGHT("00"&amp;VALUE(MID(Entry!$C834,FIND(":",Entry!$C834)+1,2)),2),"0000"))))</f>
        <v/>
      </c>
      <c r="G831">
        <f>IF($A831="","",Entry!$G834)</f>
        <v/>
      </c>
      <c r="H831">
        <f>IF($A831="","",IF(Entry!$H834="",0,Entry!$H834))</f>
        <v/>
      </c>
      <c r="I831">
        <f>IF($A831="","",IF(Entry!$I834="",0,Entry!$I834))</f>
        <v/>
      </c>
      <c r="J831">
        <f>IF($A831="","",ROUND($H831*$I831,0))</f>
        <v/>
      </c>
      <c r="K831">
        <f>IF($A831="","",Entry!$D834)</f>
        <v/>
      </c>
      <c r="L831">
        <f>IF($A831="","",Entry!$L834)</f>
        <v/>
      </c>
      <c r="N831">
        <f>IF(OR(Sync!$M831="",$Q831="",$Q831="نامعتبر"),"",Sync!$M831)</f>
        <v/>
      </c>
      <c r="O831">
        <f>IF($N831="","",$Q831)</f>
        <v/>
      </c>
      <c r="P831">
        <f>IF($N831="","",LEFT($Q831,4)&amp;MID($Q831,6,2)&amp;RIGHT($Q831,2)&amp;IF(Sync!$K831="","0000",IF(AND(ISNUMBER(Sync!$K831),Sync!$K831&gt;=0,Sync!$K831&lt;1),RIGHT("00"&amp;HOUR(Sync!$K831),2)&amp;RIGHT("00"&amp;MINUTE(Sync!$K831),2),IFERROR(RIGHT("00"&amp;VALUE(LEFT(Sync!$K831,FIND(":",Sync!$K831)-1)),2)&amp;RIGHT("00"&amp;VALUE(MID(Sync!$K831,FIND(":",Sync!$K831)+1,2)),2),"0000")))&amp;"|"&amp;"2"&amp;RIGHT("00000"&amp;826,5))</f>
        <v/>
      </c>
      <c r="Q831">
        <f>IF(Sync!$J831="","",IF(ISNUMBER(Sync!$J831),IF(AND(Sync!$J831&gt;=10000101,Sync!$J831&lt;=99991231),INT(Sync!$J831/10000)&amp;"/"&amp;RIGHT("00"&amp;INT(MOD(Sync!$J831,10000)/100),2)&amp;"/"&amp;RIGHT("00"&amp;MOD(Sync!$J831,100),2),"نامعتبر"),IF(LEN(Sync!$J831)=10,Sync!$J831,"نامعتبر")))</f>
        <v/>
      </c>
      <c r="R831">
        <f>IF($P831="","",COUNTIFS($N$6:$N$2005,$N831,$P$6:$P$2005,"&lt;"&amp;$P831)+COUNTIFS($A$6:$A$1005,$N831,$B$6:$B$1005,"&lt;"&amp;$P831)+1)</f>
        <v/>
      </c>
      <c r="S831">
        <f>IF($N831="","",$N831&amp;"|"&amp;RIGHT("000000"&amp;$R831,6))</f>
        <v/>
      </c>
      <c r="T831">
        <f>IF($N831="","",IF(Sync!$N831="",0,Sync!$N831))</f>
        <v/>
      </c>
      <c r="U831">
        <f>IF($N831="","",IF(Sync!$O831="",0,Sync!$O831))</f>
        <v/>
      </c>
      <c r="V831">
        <f>IF($N831="","",Sync!$L831)</f>
        <v/>
      </c>
      <c r="W831">
        <f>IF($N831="","",Sync!$P831)</f>
        <v/>
      </c>
      <c r="AA831">
        <f>IF($A831="","",IF(COUNTIF($A$6:$A831,$A831)=1,1,0))</f>
        <v/>
      </c>
      <c r="AB831">
        <f>SUM($AA$6:$AA831)</f>
        <v/>
      </c>
      <c r="AC831">
        <f>IFERROR(INDEX($A$6:$A$1005,MATCH(ROW()-5,$AB$6:$AB$1005,0)),"")</f>
        <v/>
      </c>
    </row>
    <row r="832">
      <c r="A832">
        <f>IF(OR(Entry!$B835="",Entry!$E835="",$E832="نامعتبر"),"",Entry!$E835)</f>
        <v/>
      </c>
      <c r="B832">
        <f>IF($A832="","",LEFT($E832,4)&amp;MID($E832,6,2)&amp;RIGHT($E832,2)&amp;$F832&amp;"|"&amp;"1"&amp;RIGHT("00000"&amp;827,5))</f>
        <v/>
      </c>
      <c r="C832">
        <f>IF($B832="","",COUNTIFS($A$6:$A$1005,$A832,$B$6:$B$1005,"&lt;"&amp;$B832)+COUNTIFS($N$6:$N$2005,$A832,$P$6:$P$2005,"&lt;"&amp;$B832)+1)</f>
        <v/>
      </c>
      <c r="D832">
        <f>IF($C832="","",$A832&amp;"|"&amp;RIGHT("000000"&amp;$C832,6))</f>
        <v/>
      </c>
      <c r="E832">
        <f>IF(Entry!$B835="","",IF(ISNUMBER(Entry!$B835),IF(AND(Entry!$B835&gt;=10000101,Entry!$B835&lt;=99991231),INT(Entry!$B835/10000)&amp;"/"&amp;RIGHT("00"&amp;INT(MOD(Entry!$B835,10000)/100),2)&amp;"/"&amp;RIGHT("00"&amp;MOD(Entry!$B835,100),2),"نامعتبر"),IF(LEN(Entry!$B835)=10,Entry!$B835,"نامعتبر")))</f>
        <v/>
      </c>
      <c r="F832">
        <f>IF(Entry!$B835="","",IF(Entry!$C835="","0000",IF(AND(ISNUMBER(Entry!$C835),Entry!$C835&gt;=0,Entry!$C835&lt;1),RIGHT("00"&amp;HOUR(Entry!$C835),2)&amp;RIGHT("00"&amp;MINUTE(Entry!$C835),2),IFERROR(RIGHT("00"&amp;VALUE(LEFT(Entry!$C835,FIND(":",Entry!$C835)-1)),2)&amp;RIGHT("00"&amp;VALUE(MID(Entry!$C835,FIND(":",Entry!$C835)+1,2)),2),"0000"))))</f>
        <v/>
      </c>
      <c r="G832">
        <f>IF($A832="","",Entry!$G835)</f>
        <v/>
      </c>
      <c r="H832">
        <f>IF($A832="","",IF(Entry!$H835="",0,Entry!$H835))</f>
        <v/>
      </c>
      <c r="I832">
        <f>IF($A832="","",IF(Entry!$I835="",0,Entry!$I835))</f>
        <v/>
      </c>
      <c r="J832">
        <f>IF($A832="","",ROUND($H832*$I832,0))</f>
        <v/>
      </c>
      <c r="K832">
        <f>IF($A832="","",Entry!$D835)</f>
        <v/>
      </c>
      <c r="L832">
        <f>IF($A832="","",Entry!$L835)</f>
        <v/>
      </c>
      <c r="N832">
        <f>IF(OR(Sync!$M832="",$Q832="",$Q832="نامعتبر"),"",Sync!$M832)</f>
        <v/>
      </c>
      <c r="O832">
        <f>IF($N832="","",$Q832)</f>
        <v/>
      </c>
      <c r="P832">
        <f>IF($N832="","",LEFT($Q832,4)&amp;MID($Q832,6,2)&amp;RIGHT($Q832,2)&amp;IF(Sync!$K832="","0000",IF(AND(ISNUMBER(Sync!$K832),Sync!$K832&gt;=0,Sync!$K832&lt;1),RIGHT("00"&amp;HOUR(Sync!$K832),2)&amp;RIGHT("00"&amp;MINUTE(Sync!$K832),2),IFERROR(RIGHT("00"&amp;VALUE(LEFT(Sync!$K832,FIND(":",Sync!$K832)-1)),2)&amp;RIGHT("00"&amp;VALUE(MID(Sync!$K832,FIND(":",Sync!$K832)+1,2)),2),"0000")))&amp;"|"&amp;"2"&amp;RIGHT("00000"&amp;827,5))</f>
        <v/>
      </c>
      <c r="Q832">
        <f>IF(Sync!$J832="","",IF(ISNUMBER(Sync!$J832),IF(AND(Sync!$J832&gt;=10000101,Sync!$J832&lt;=99991231),INT(Sync!$J832/10000)&amp;"/"&amp;RIGHT("00"&amp;INT(MOD(Sync!$J832,10000)/100),2)&amp;"/"&amp;RIGHT("00"&amp;MOD(Sync!$J832,100),2),"نامعتبر"),IF(LEN(Sync!$J832)=10,Sync!$J832,"نامعتبر")))</f>
        <v/>
      </c>
      <c r="R832">
        <f>IF($P832="","",COUNTIFS($N$6:$N$2005,$N832,$P$6:$P$2005,"&lt;"&amp;$P832)+COUNTIFS($A$6:$A$1005,$N832,$B$6:$B$1005,"&lt;"&amp;$P832)+1)</f>
        <v/>
      </c>
      <c r="S832">
        <f>IF($N832="","",$N832&amp;"|"&amp;RIGHT("000000"&amp;$R832,6))</f>
        <v/>
      </c>
      <c r="T832">
        <f>IF($N832="","",IF(Sync!$N832="",0,Sync!$N832))</f>
        <v/>
      </c>
      <c r="U832">
        <f>IF($N832="","",IF(Sync!$O832="",0,Sync!$O832))</f>
        <v/>
      </c>
      <c r="V832">
        <f>IF($N832="","",Sync!$L832)</f>
        <v/>
      </c>
      <c r="W832">
        <f>IF($N832="","",Sync!$P832)</f>
        <v/>
      </c>
      <c r="AA832">
        <f>IF($A832="","",IF(COUNTIF($A$6:$A832,$A832)=1,1,0))</f>
        <v/>
      </c>
      <c r="AB832">
        <f>SUM($AA$6:$AA832)</f>
        <v/>
      </c>
      <c r="AC832">
        <f>IFERROR(INDEX($A$6:$A$1005,MATCH(ROW()-5,$AB$6:$AB$1005,0)),"")</f>
        <v/>
      </c>
    </row>
    <row r="833">
      <c r="A833">
        <f>IF(OR(Entry!$B836="",Entry!$E836="",$E833="نامعتبر"),"",Entry!$E836)</f>
        <v/>
      </c>
      <c r="B833">
        <f>IF($A833="","",LEFT($E833,4)&amp;MID($E833,6,2)&amp;RIGHT($E833,2)&amp;$F833&amp;"|"&amp;"1"&amp;RIGHT("00000"&amp;828,5))</f>
        <v/>
      </c>
      <c r="C833">
        <f>IF($B833="","",COUNTIFS($A$6:$A$1005,$A833,$B$6:$B$1005,"&lt;"&amp;$B833)+COUNTIFS($N$6:$N$2005,$A833,$P$6:$P$2005,"&lt;"&amp;$B833)+1)</f>
        <v/>
      </c>
      <c r="D833">
        <f>IF($C833="","",$A833&amp;"|"&amp;RIGHT("000000"&amp;$C833,6))</f>
        <v/>
      </c>
      <c r="E833">
        <f>IF(Entry!$B836="","",IF(ISNUMBER(Entry!$B836),IF(AND(Entry!$B836&gt;=10000101,Entry!$B836&lt;=99991231),INT(Entry!$B836/10000)&amp;"/"&amp;RIGHT("00"&amp;INT(MOD(Entry!$B836,10000)/100),2)&amp;"/"&amp;RIGHT("00"&amp;MOD(Entry!$B836,100),2),"نامعتبر"),IF(LEN(Entry!$B836)=10,Entry!$B836,"نامعتبر")))</f>
        <v/>
      </c>
      <c r="F833">
        <f>IF(Entry!$B836="","",IF(Entry!$C836="","0000",IF(AND(ISNUMBER(Entry!$C836),Entry!$C836&gt;=0,Entry!$C836&lt;1),RIGHT("00"&amp;HOUR(Entry!$C836),2)&amp;RIGHT("00"&amp;MINUTE(Entry!$C836),2),IFERROR(RIGHT("00"&amp;VALUE(LEFT(Entry!$C836,FIND(":",Entry!$C836)-1)),2)&amp;RIGHT("00"&amp;VALUE(MID(Entry!$C836,FIND(":",Entry!$C836)+1,2)),2),"0000"))))</f>
        <v/>
      </c>
      <c r="G833">
        <f>IF($A833="","",Entry!$G836)</f>
        <v/>
      </c>
      <c r="H833">
        <f>IF($A833="","",IF(Entry!$H836="",0,Entry!$H836))</f>
        <v/>
      </c>
      <c r="I833">
        <f>IF($A833="","",IF(Entry!$I836="",0,Entry!$I836))</f>
        <v/>
      </c>
      <c r="J833">
        <f>IF($A833="","",ROUND($H833*$I833,0))</f>
        <v/>
      </c>
      <c r="K833">
        <f>IF($A833="","",Entry!$D836)</f>
        <v/>
      </c>
      <c r="L833">
        <f>IF($A833="","",Entry!$L836)</f>
        <v/>
      </c>
      <c r="N833">
        <f>IF(OR(Sync!$M833="",$Q833="",$Q833="نامعتبر"),"",Sync!$M833)</f>
        <v/>
      </c>
      <c r="O833">
        <f>IF($N833="","",$Q833)</f>
        <v/>
      </c>
      <c r="P833">
        <f>IF($N833="","",LEFT($Q833,4)&amp;MID($Q833,6,2)&amp;RIGHT($Q833,2)&amp;IF(Sync!$K833="","0000",IF(AND(ISNUMBER(Sync!$K833),Sync!$K833&gt;=0,Sync!$K833&lt;1),RIGHT("00"&amp;HOUR(Sync!$K833),2)&amp;RIGHT("00"&amp;MINUTE(Sync!$K833),2),IFERROR(RIGHT("00"&amp;VALUE(LEFT(Sync!$K833,FIND(":",Sync!$K833)-1)),2)&amp;RIGHT("00"&amp;VALUE(MID(Sync!$K833,FIND(":",Sync!$K833)+1,2)),2),"0000")))&amp;"|"&amp;"2"&amp;RIGHT("00000"&amp;828,5))</f>
        <v/>
      </c>
      <c r="Q833">
        <f>IF(Sync!$J833="","",IF(ISNUMBER(Sync!$J833),IF(AND(Sync!$J833&gt;=10000101,Sync!$J833&lt;=99991231),INT(Sync!$J833/10000)&amp;"/"&amp;RIGHT("00"&amp;INT(MOD(Sync!$J833,10000)/100),2)&amp;"/"&amp;RIGHT("00"&amp;MOD(Sync!$J833,100),2),"نامعتبر"),IF(LEN(Sync!$J833)=10,Sync!$J833,"نامعتبر")))</f>
        <v/>
      </c>
      <c r="R833">
        <f>IF($P833="","",COUNTIFS($N$6:$N$2005,$N833,$P$6:$P$2005,"&lt;"&amp;$P833)+COUNTIFS($A$6:$A$1005,$N833,$B$6:$B$1005,"&lt;"&amp;$P833)+1)</f>
        <v/>
      </c>
      <c r="S833">
        <f>IF($N833="","",$N833&amp;"|"&amp;RIGHT("000000"&amp;$R833,6))</f>
        <v/>
      </c>
      <c r="T833">
        <f>IF($N833="","",IF(Sync!$N833="",0,Sync!$N833))</f>
        <v/>
      </c>
      <c r="U833">
        <f>IF($N833="","",IF(Sync!$O833="",0,Sync!$O833))</f>
        <v/>
      </c>
      <c r="V833">
        <f>IF($N833="","",Sync!$L833)</f>
        <v/>
      </c>
      <c r="W833">
        <f>IF($N833="","",Sync!$P833)</f>
        <v/>
      </c>
      <c r="AA833">
        <f>IF($A833="","",IF(COUNTIF($A$6:$A833,$A833)=1,1,0))</f>
        <v/>
      </c>
      <c r="AB833">
        <f>SUM($AA$6:$AA833)</f>
        <v/>
      </c>
      <c r="AC833">
        <f>IFERROR(INDEX($A$6:$A$1005,MATCH(ROW()-5,$AB$6:$AB$1005,0)),"")</f>
        <v/>
      </c>
    </row>
    <row r="834">
      <c r="A834">
        <f>IF(OR(Entry!$B837="",Entry!$E837="",$E834="نامعتبر"),"",Entry!$E837)</f>
        <v/>
      </c>
      <c r="B834">
        <f>IF($A834="","",LEFT($E834,4)&amp;MID($E834,6,2)&amp;RIGHT($E834,2)&amp;$F834&amp;"|"&amp;"1"&amp;RIGHT("00000"&amp;829,5))</f>
        <v/>
      </c>
      <c r="C834">
        <f>IF($B834="","",COUNTIFS($A$6:$A$1005,$A834,$B$6:$B$1005,"&lt;"&amp;$B834)+COUNTIFS($N$6:$N$2005,$A834,$P$6:$P$2005,"&lt;"&amp;$B834)+1)</f>
        <v/>
      </c>
      <c r="D834">
        <f>IF($C834="","",$A834&amp;"|"&amp;RIGHT("000000"&amp;$C834,6))</f>
        <v/>
      </c>
      <c r="E834">
        <f>IF(Entry!$B837="","",IF(ISNUMBER(Entry!$B837),IF(AND(Entry!$B837&gt;=10000101,Entry!$B837&lt;=99991231),INT(Entry!$B837/10000)&amp;"/"&amp;RIGHT("00"&amp;INT(MOD(Entry!$B837,10000)/100),2)&amp;"/"&amp;RIGHT("00"&amp;MOD(Entry!$B837,100),2),"نامعتبر"),IF(LEN(Entry!$B837)=10,Entry!$B837,"نامعتبر")))</f>
        <v/>
      </c>
      <c r="F834">
        <f>IF(Entry!$B837="","",IF(Entry!$C837="","0000",IF(AND(ISNUMBER(Entry!$C837),Entry!$C837&gt;=0,Entry!$C837&lt;1),RIGHT("00"&amp;HOUR(Entry!$C837),2)&amp;RIGHT("00"&amp;MINUTE(Entry!$C837),2),IFERROR(RIGHT("00"&amp;VALUE(LEFT(Entry!$C837,FIND(":",Entry!$C837)-1)),2)&amp;RIGHT("00"&amp;VALUE(MID(Entry!$C837,FIND(":",Entry!$C837)+1,2)),2),"0000"))))</f>
        <v/>
      </c>
      <c r="G834">
        <f>IF($A834="","",Entry!$G837)</f>
        <v/>
      </c>
      <c r="H834">
        <f>IF($A834="","",IF(Entry!$H837="",0,Entry!$H837))</f>
        <v/>
      </c>
      <c r="I834">
        <f>IF($A834="","",IF(Entry!$I837="",0,Entry!$I837))</f>
        <v/>
      </c>
      <c r="J834">
        <f>IF($A834="","",ROUND($H834*$I834,0))</f>
        <v/>
      </c>
      <c r="K834">
        <f>IF($A834="","",Entry!$D837)</f>
        <v/>
      </c>
      <c r="L834">
        <f>IF($A834="","",Entry!$L837)</f>
        <v/>
      </c>
      <c r="N834">
        <f>IF(OR(Sync!$M834="",$Q834="",$Q834="نامعتبر"),"",Sync!$M834)</f>
        <v/>
      </c>
      <c r="O834">
        <f>IF($N834="","",$Q834)</f>
        <v/>
      </c>
      <c r="P834">
        <f>IF($N834="","",LEFT($Q834,4)&amp;MID($Q834,6,2)&amp;RIGHT($Q834,2)&amp;IF(Sync!$K834="","0000",IF(AND(ISNUMBER(Sync!$K834),Sync!$K834&gt;=0,Sync!$K834&lt;1),RIGHT("00"&amp;HOUR(Sync!$K834),2)&amp;RIGHT("00"&amp;MINUTE(Sync!$K834),2),IFERROR(RIGHT("00"&amp;VALUE(LEFT(Sync!$K834,FIND(":",Sync!$K834)-1)),2)&amp;RIGHT("00"&amp;VALUE(MID(Sync!$K834,FIND(":",Sync!$K834)+1,2)),2),"0000")))&amp;"|"&amp;"2"&amp;RIGHT("00000"&amp;829,5))</f>
        <v/>
      </c>
      <c r="Q834">
        <f>IF(Sync!$J834="","",IF(ISNUMBER(Sync!$J834),IF(AND(Sync!$J834&gt;=10000101,Sync!$J834&lt;=99991231),INT(Sync!$J834/10000)&amp;"/"&amp;RIGHT("00"&amp;INT(MOD(Sync!$J834,10000)/100),2)&amp;"/"&amp;RIGHT("00"&amp;MOD(Sync!$J834,100),2),"نامعتبر"),IF(LEN(Sync!$J834)=10,Sync!$J834,"نامعتبر")))</f>
        <v/>
      </c>
      <c r="R834">
        <f>IF($P834="","",COUNTIFS($N$6:$N$2005,$N834,$P$6:$P$2005,"&lt;"&amp;$P834)+COUNTIFS($A$6:$A$1005,$N834,$B$6:$B$1005,"&lt;"&amp;$P834)+1)</f>
        <v/>
      </c>
      <c r="S834">
        <f>IF($N834="","",$N834&amp;"|"&amp;RIGHT("000000"&amp;$R834,6))</f>
        <v/>
      </c>
      <c r="T834">
        <f>IF($N834="","",IF(Sync!$N834="",0,Sync!$N834))</f>
        <v/>
      </c>
      <c r="U834">
        <f>IF($N834="","",IF(Sync!$O834="",0,Sync!$O834))</f>
        <v/>
      </c>
      <c r="V834">
        <f>IF($N834="","",Sync!$L834)</f>
        <v/>
      </c>
      <c r="W834">
        <f>IF($N834="","",Sync!$P834)</f>
        <v/>
      </c>
      <c r="AA834">
        <f>IF($A834="","",IF(COUNTIF($A$6:$A834,$A834)=1,1,0))</f>
        <v/>
      </c>
      <c r="AB834">
        <f>SUM($AA$6:$AA834)</f>
        <v/>
      </c>
      <c r="AC834">
        <f>IFERROR(INDEX($A$6:$A$1005,MATCH(ROW()-5,$AB$6:$AB$1005,0)),"")</f>
        <v/>
      </c>
    </row>
    <row r="835">
      <c r="A835">
        <f>IF(OR(Entry!$B838="",Entry!$E838="",$E835="نامعتبر"),"",Entry!$E838)</f>
        <v/>
      </c>
      <c r="B835">
        <f>IF($A835="","",LEFT($E835,4)&amp;MID($E835,6,2)&amp;RIGHT($E835,2)&amp;$F835&amp;"|"&amp;"1"&amp;RIGHT("00000"&amp;830,5))</f>
        <v/>
      </c>
      <c r="C835">
        <f>IF($B835="","",COUNTIFS($A$6:$A$1005,$A835,$B$6:$B$1005,"&lt;"&amp;$B835)+COUNTIFS($N$6:$N$2005,$A835,$P$6:$P$2005,"&lt;"&amp;$B835)+1)</f>
        <v/>
      </c>
      <c r="D835">
        <f>IF($C835="","",$A835&amp;"|"&amp;RIGHT("000000"&amp;$C835,6))</f>
        <v/>
      </c>
      <c r="E835">
        <f>IF(Entry!$B838="","",IF(ISNUMBER(Entry!$B838),IF(AND(Entry!$B838&gt;=10000101,Entry!$B838&lt;=99991231),INT(Entry!$B838/10000)&amp;"/"&amp;RIGHT("00"&amp;INT(MOD(Entry!$B838,10000)/100),2)&amp;"/"&amp;RIGHT("00"&amp;MOD(Entry!$B838,100),2),"نامعتبر"),IF(LEN(Entry!$B838)=10,Entry!$B838,"نامعتبر")))</f>
        <v/>
      </c>
      <c r="F835">
        <f>IF(Entry!$B838="","",IF(Entry!$C838="","0000",IF(AND(ISNUMBER(Entry!$C838),Entry!$C838&gt;=0,Entry!$C838&lt;1),RIGHT("00"&amp;HOUR(Entry!$C838),2)&amp;RIGHT("00"&amp;MINUTE(Entry!$C838),2),IFERROR(RIGHT("00"&amp;VALUE(LEFT(Entry!$C838,FIND(":",Entry!$C838)-1)),2)&amp;RIGHT("00"&amp;VALUE(MID(Entry!$C838,FIND(":",Entry!$C838)+1,2)),2),"0000"))))</f>
        <v/>
      </c>
      <c r="G835">
        <f>IF($A835="","",Entry!$G838)</f>
        <v/>
      </c>
      <c r="H835">
        <f>IF($A835="","",IF(Entry!$H838="",0,Entry!$H838))</f>
        <v/>
      </c>
      <c r="I835">
        <f>IF($A835="","",IF(Entry!$I838="",0,Entry!$I838))</f>
        <v/>
      </c>
      <c r="J835">
        <f>IF($A835="","",ROUND($H835*$I835,0))</f>
        <v/>
      </c>
      <c r="K835">
        <f>IF($A835="","",Entry!$D838)</f>
        <v/>
      </c>
      <c r="L835">
        <f>IF($A835="","",Entry!$L838)</f>
        <v/>
      </c>
      <c r="N835">
        <f>IF(OR(Sync!$M835="",$Q835="",$Q835="نامعتبر"),"",Sync!$M835)</f>
        <v/>
      </c>
      <c r="O835">
        <f>IF($N835="","",$Q835)</f>
        <v/>
      </c>
      <c r="P835">
        <f>IF($N835="","",LEFT($Q835,4)&amp;MID($Q835,6,2)&amp;RIGHT($Q835,2)&amp;IF(Sync!$K835="","0000",IF(AND(ISNUMBER(Sync!$K835),Sync!$K835&gt;=0,Sync!$K835&lt;1),RIGHT("00"&amp;HOUR(Sync!$K835),2)&amp;RIGHT("00"&amp;MINUTE(Sync!$K835),2),IFERROR(RIGHT("00"&amp;VALUE(LEFT(Sync!$K835,FIND(":",Sync!$K835)-1)),2)&amp;RIGHT("00"&amp;VALUE(MID(Sync!$K835,FIND(":",Sync!$K835)+1,2)),2),"0000")))&amp;"|"&amp;"2"&amp;RIGHT("00000"&amp;830,5))</f>
        <v/>
      </c>
      <c r="Q835">
        <f>IF(Sync!$J835="","",IF(ISNUMBER(Sync!$J835),IF(AND(Sync!$J835&gt;=10000101,Sync!$J835&lt;=99991231),INT(Sync!$J835/10000)&amp;"/"&amp;RIGHT("00"&amp;INT(MOD(Sync!$J835,10000)/100),2)&amp;"/"&amp;RIGHT("00"&amp;MOD(Sync!$J835,100),2),"نامعتبر"),IF(LEN(Sync!$J835)=10,Sync!$J835,"نامعتبر")))</f>
        <v/>
      </c>
      <c r="R835">
        <f>IF($P835="","",COUNTIFS($N$6:$N$2005,$N835,$P$6:$P$2005,"&lt;"&amp;$P835)+COUNTIFS($A$6:$A$1005,$N835,$B$6:$B$1005,"&lt;"&amp;$P835)+1)</f>
        <v/>
      </c>
      <c r="S835">
        <f>IF($N835="","",$N835&amp;"|"&amp;RIGHT("000000"&amp;$R835,6))</f>
        <v/>
      </c>
      <c r="T835">
        <f>IF($N835="","",IF(Sync!$N835="",0,Sync!$N835))</f>
        <v/>
      </c>
      <c r="U835">
        <f>IF($N835="","",IF(Sync!$O835="",0,Sync!$O835))</f>
        <v/>
      </c>
      <c r="V835">
        <f>IF($N835="","",Sync!$L835)</f>
        <v/>
      </c>
      <c r="W835">
        <f>IF($N835="","",Sync!$P835)</f>
        <v/>
      </c>
      <c r="AA835">
        <f>IF($A835="","",IF(COUNTIF($A$6:$A835,$A835)=1,1,0))</f>
        <v/>
      </c>
      <c r="AB835">
        <f>SUM($AA$6:$AA835)</f>
        <v/>
      </c>
      <c r="AC835">
        <f>IFERROR(INDEX($A$6:$A$1005,MATCH(ROW()-5,$AB$6:$AB$1005,0)),"")</f>
        <v/>
      </c>
    </row>
    <row r="836">
      <c r="A836">
        <f>IF(OR(Entry!$B839="",Entry!$E839="",$E836="نامعتبر"),"",Entry!$E839)</f>
        <v/>
      </c>
      <c r="B836">
        <f>IF($A836="","",LEFT($E836,4)&amp;MID($E836,6,2)&amp;RIGHT($E836,2)&amp;$F836&amp;"|"&amp;"1"&amp;RIGHT("00000"&amp;831,5))</f>
        <v/>
      </c>
      <c r="C836">
        <f>IF($B836="","",COUNTIFS($A$6:$A$1005,$A836,$B$6:$B$1005,"&lt;"&amp;$B836)+COUNTIFS($N$6:$N$2005,$A836,$P$6:$P$2005,"&lt;"&amp;$B836)+1)</f>
        <v/>
      </c>
      <c r="D836">
        <f>IF($C836="","",$A836&amp;"|"&amp;RIGHT("000000"&amp;$C836,6))</f>
        <v/>
      </c>
      <c r="E836">
        <f>IF(Entry!$B839="","",IF(ISNUMBER(Entry!$B839),IF(AND(Entry!$B839&gt;=10000101,Entry!$B839&lt;=99991231),INT(Entry!$B839/10000)&amp;"/"&amp;RIGHT("00"&amp;INT(MOD(Entry!$B839,10000)/100),2)&amp;"/"&amp;RIGHT("00"&amp;MOD(Entry!$B839,100),2),"نامعتبر"),IF(LEN(Entry!$B839)=10,Entry!$B839,"نامعتبر")))</f>
        <v/>
      </c>
      <c r="F836">
        <f>IF(Entry!$B839="","",IF(Entry!$C839="","0000",IF(AND(ISNUMBER(Entry!$C839),Entry!$C839&gt;=0,Entry!$C839&lt;1),RIGHT("00"&amp;HOUR(Entry!$C839),2)&amp;RIGHT("00"&amp;MINUTE(Entry!$C839),2),IFERROR(RIGHT("00"&amp;VALUE(LEFT(Entry!$C839,FIND(":",Entry!$C839)-1)),2)&amp;RIGHT("00"&amp;VALUE(MID(Entry!$C839,FIND(":",Entry!$C839)+1,2)),2),"0000"))))</f>
        <v/>
      </c>
      <c r="G836">
        <f>IF($A836="","",Entry!$G839)</f>
        <v/>
      </c>
      <c r="H836">
        <f>IF($A836="","",IF(Entry!$H839="",0,Entry!$H839))</f>
        <v/>
      </c>
      <c r="I836">
        <f>IF($A836="","",IF(Entry!$I839="",0,Entry!$I839))</f>
        <v/>
      </c>
      <c r="J836">
        <f>IF($A836="","",ROUND($H836*$I836,0))</f>
        <v/>
      </c>
      <c r="K836">
        <f>IF($A836="","",Entry!$D839)</f>
        <v/>
      </c>
      <c r="L836">
        <f>IF($A836="","",Entry!$L839)</f>
        <v/>
      </c>
      <c r="N836">
        <f>IF(OR(Sync!$M836="",$Q836="",$Q836="نامعتبر"),"",Sync!$M836)</f>
        <v/>
      </c>
      <c r="O836">
        <f>IF($N836="","",$Q836)</f>
        <v/>
      </c>
      <c r="P836">
        <f>IF($N836="","",LEFT($Q836,4)&amp;MID($Q836,6,2)&amp;RIGHT($Q836,2)&amp;IF(Sync!$K836="","0000",IF(AND(ISNUMBER(Sync!$K836),Sync!$K836&gt;=0,Sync!$K836&lt;1),RIGHT("00"&amp;HOUR(Sync!$K836),2)&amp;RIGHT("00"&amp;MINUTE(Sync!$K836),2),IFERROR(RIGHT("00"&amp;VALUE(LEFT(Sync!$K836,FIND(":",Sync!$K836)-1)),2)&amp;RIGHT("00"&amp;VALUE(MID(Sync!$K836,FIND(":",Sync!$K836)+1,2)),2),"0000")))&amp;"|"&amp;"2"&amp;RIGHT("00000"&amp;831,5))</f>
        <v/>
      </c>
      <c r="Q836">
        <f>IF(Sync!$J836="","",IF(ISNUMBER(Sync!$J836),IF(AND(Sync!$J836&gt;=10000101,Sync!$J836&lt;=99991231),INT(Sync!$J836/10000)&amp;"/"&amp;RIGHT("00"&amp;INT(MOD(Sync!$J836,10000)/100),2)&amp;"/"&amp;RIGHT("00"&amp;MOD(Sync!$J836,100),2),"نامعتبر"),IF(LEN(Sync!$J836)=10,Sync!$J836,"نامعتبر")))</f>
        <v/>
      </c>
      <c r="R836">
        <f>IF($P836="","",COUNTIFS($N$6:$N$2005,$N836,$P$6:$P$2005,"&lt;"&amp;$P836)+COUNTIFS($A$6:$A$1005,$N836,$B$6:$B$1005,"&lt;"&amp;$P836)+1)</f>
        <v/>
      </c>
      <c r="S836">
        <f>IF($N836="","",$N836&amp;"|"&amp;RIGHT("000000"&amp;$R836,6))</f>
        <v/>
      </c>
      <c r="T836">
        <f>IF($N836="","",IF(Sync!$N836="",0,Sync!$N836))</f>
        <v/>
      </c>
      <c r="U836">
        <f>IF($N836="","",IF(Sync!$O836="",0,Sync!$O836))</f>
        <v/>
      </c>
      <c r="V836">
        <f>IF($N836="","",Sync!$L836)</f>
        <v/>
      </c>
      <c r="W836">
        <f>IF($N836="","",Sync!$P836)</f>
        <v/>
      </c>
      <c r="AA836">
        <f>IF($A836="","",IF(COUNTIF($A$6:$A836,$A836)=1,1,0))</f>
        <v/>
      </c>
      <c r="AB836">
        <f>SUM($AA$6:$AA836)</f>
        <v/>
      </c>
      <c r="AC836">
        <f>IFERROR(INDEX($A$6:$A$1005,MATCH(ROW()-5,$AB$6:$AB$1005,0)),"")</f>
        <v/>
      </c>
    </row>
    <row r="837">
      <c r="A837">
        <f>IF(OR(Entry!$B840="",Entry!$E840="",$E837="نامعتبر"),"",Entry!$E840)</f>
        <v/>
      </c>
      <c r="B837">
        <f>IF($A837="","",LEFT($E837,4)&amp;MID($E837,6,2)&amp;RIGHT($E837,2)&amp;$F837&amp;"|"&amp;"1"&amp;RIGHT("00000"&amp;832,5))</f>
        <v/>
      </c>
      <c r="C837">
        <f>IF($B837="","",COUNTIFS($A$6:$A$1005,$A837,$B$6:$B$1005,"&lt;"&amp;$B837)+COUNTIFS($N$6:$N$2005,$A837,$P$6:$P$2005,"&lt;"&amp;$B837)+1)</f>
        <v/>
      </c>
      <c r="D837">
        <f>IF($C837="","",$A837&amp;"|"&amp;RIGHT("000000"&amp;$C837,6))</f>
        <v/>
      </c>
      <c r="E837">
        <f>IF(Entry!$B840="","",IF(ISNUMBER(Entry!$B840),IF(AND(Entry!$B840&gt;=10000101,Entry!$B840&lt;=99991231),INT(Entry!$B840/10000)&amp;"/"&amp;RIGHT("00"&amp;INT(MOD(Entry!$B840,10000)/100),2)&amp;"/"&amp;RIGHT("00"&amp;MOD(Entry!$B840,100),2),"نامعتبر"),IF(LEN(Entry!$B840)=10,Entry!$B840,"نامعتبر")))</f>
        <v/>
      </c>
      <c r="F837">
        <f>IF(Entry!$B840="","",IF(Entry!$C840="","0000",IF(AND(ISNUMBER(Entry!$C840),Entry!$C840&gt;=0,Entry!$C840&lt;1),RIGHT("00"&amp;HOUR(Entry!$C840),2)&amp;RIGHT("00"&amp;MINUTE(Entry!$C840),2),IFERROR(RIGHT("00"&amp;VALUE(LEFT(Entry!$C840,FIND(":",Entry!$C840)-1)),2)&amp;RIGHT("00"&amp;VALUE(MID(Entry!$C840,FIND(":",Entry!$C840)+1,2)),2),"0000"))))</f>
        <v/>
      </c>
      <c r="G837">
        <f>IF($A837="","",Entry!$G840)</f>
        <v/>
      </c>
      <c r="H837">
        <f>IF($A837="","",IF(Entry!$H840="",0,Entry!$H840))</f>
        <v/>
      </c>
      <c r="I837">
        <f>IF($A837="","",IF(Entry!$I840="",0,Entry!$I840))</f>
        <v/>
      </c>
      <c r="J837">
        <f>IF($A837="","",ROUND($H837*$I837,0))</f>
        <v/>
      </c>
      <c r="K837">
        <f>IF($A837="","",Entry!$D840)</f>
        <v/>
      </c>
      <c r="L837">
        <f>IF($A837="","",Entry!$L840)</f>
        <v/>
      </c>
      <c r="N837">
        <f>IF(OR(Sync!$M837="",$Q837="",$Q837="نامعتبر"),"",Sync!$M837)</f>
        <v/>
      </c>
      <c r="O837">
        <f>IF($N837="","",$Q837)</f>
        <v/>
      </c>
      <c r="P837">
        <f>IF($N837="","",LEFT($Q837,4)&amp;MID($Q837,6,2)&amp;RIGHT($Q837,2)&amp;IF(Sync!$K837="","0000",IF(AND(ISNUMBER(Sync!$K837),Sync!$K837&gt;=0,Sync!$K837&lt;1),RIGHT("00"&amp;HOUR(Sync!$K837),2)&amp;RIGHT("00"&amp;MINUTE(Sync!$K837),2),IFERROR(RIGHT("00"&amp;VALUE(LEFT(Sync!$K837,FIND(":",Sync!$K837)-1)),2)&amp;RIGHT("00"&amp;VALUE(MID(Sync!$K837,FIND(":",Sync!$K837)+1,2)),2),"0000")))&amp;"|"&amp;"2"&amp;RIGHT("00000"&amp;832,5))</f>
        <v/>
      </c>
      <c r="Q837">
        <f>IF(Sync!$J837="","",IF(ISNUMBER(Sync!$J837),IF(AND(Sync!$J837&gt;=10000101,Sync!$J837&lt;=99991231),INT(Sync!$J837/10000)&amp;"/"&amp;RIGHT("00"&amp;INT(MOD(Sync!$J837,10000)/100),2)&amp;"/"&amp;RIGHT("00"&amp;MOD(Sync!$J837,100),2),"نامعتبر"),IF(LEN(Sync!$J837)=10,Sync!$J837,"نامعتبر")))</f>
        <v/>
      </c>
      <c r="R837">
        <f>IF($P837="","",COUNTIFS($N$6:$N$2005,$N837,$P$6:$P$2005,"&lt;"&amp;$P837)+COUNTIFS($A$6:$A$1005,$N837,$B$6:$B$1005,"&lt;"&amp;$P837)+1)</f>
        <v/>
      </c>
      <c r="S837">
        <f>IF($N837="","",$N837&amp;"|"&amp;RIGHT("000000"&amp;$R837,6))</f>
        <v/>
      </c>
      <c r="T837">
        <f>IF($N837="","",IF(Sync!$N837="",0,Sync!$N837))</f>
        <v/>
      </c>
      <c r="U837">
        <f>IF($N837="","",IF(Sync!$O837="",0,Sync!$O837))</f>
        <v/>
      </c>
      <c r="V837">
        <f>IF($N837="","",Sync!$L837)</f>
        <v/>
      </c>
      <c r="W837">
        <f>IF($N837="","",Sync!$P837)</f>
        <v/>
      </c>
      <c r="AA837">
        <f>IF($A837="","",IF(COUNTIF($A$6:$A837,$A837)=1,1,0))</f>
        <v/>
      </c>
      <c r="AB837">
        <f>SUM($AA$6:$AA837)</f>
        <v/>
      </c>
      <c r="AC837">
        <f>IFERROR(INDEX($A$6:$A$1005,MATCH(ROW()-5,$AB$6:$AB$1005,0)),"")</f>
        <v/>
      </c>
    </row>
    <row r="838">
      <c r="A838">
        <f>IF(OR(Entry!$B841="",Entry!$E841="",$E838="نامعتبر"),"",Entry!$E841)</f>
        <v/>
      </c>
      <c r="B838">
        <f>IF($A838="","",LEFT($E838,4)&amp;MID($E838,6,2)&amp;RIGHT($E838,2)&amp;$F838&amp;"|"&amp;"1"&amp;RIGHT("00000"&amp;833,5))</f>
        <v/>
      </c>
      <c r="C838">
        <f>IF($B838="","",COUNTIFS($A$6:$A$1005,$A838,$B$6:$B$1005,"&lt;"&amp;$B838)+COUNTIFS($N$6:$N$2005,$A838,$P$6:$P$2005,"&lt;"&amp;$B838)+1)</f>
        <v/>
      </c>
      <c r="D838">
        <f>IF($C838="","",$A838&amp;"|"&amp;RIGHT("000000"&amp;$C838,6))</f>
        <v/>
      </c>
      <c r="E838">
        <f>IF(Entry!$B841="","",IF(ISNUMBER(Entry!$B841),IF(AND(Entry!$B841&gt;=10000101,Entry!$B841&lt;=99991231),INT(Entry!$B841/10000)&amp;"/"&amp;RIGHT("00"&amp;INT(MOD(Entry!$B841,10000)/100),2)&amp;"/"&amp;RIGHT("00"&amp;MOD(Entry!$B841,100),2),"نامعتبر"),IF(LEN(Entry!$B841)=10,Entry!$B841,"نامعتبر")))</f>
        <v/>
      </c>
      <c r="F838">
        <f>IF(Entry!$B841="","",IF(Entry!$C841="","0000",IF(AND(ISNUMBER(Entry!$C841),Entry!$C841&gt;=0,Entry!$C841&lt;1),RIGHT("00"&amp;HOUR(Entry!$C841),2)&amp;RIGHT("00"&amp;MINUTE(Entry!$C841),2),IFERROR(RIGHT("00"&amp;VALUE(LEFT(Entry!$C841,FIND(":",Entry!$C841)-1)),2)&amp;RIGHT("00"&amp;VALUE(MID(Entry!$C841,FIND(":",Entry!$C841)+1,2)),2),"0000"))))</f>
        <v/>
      </c>
      <c r="G838">
        <f>IF($A838="","",Entry!$G841)</f>
        <v/>
      </c>
      <c r="H838">
        <f>IF($A838="","",IF(Entry!$H841="",0,Entry!$H841))</f>
        <v/>
      </c>
      <c r="I838">
        <f>IF($A838="","",IF(Entry!$I841="",0,Entry!$I841))</f>
        <v/>
      </c>
      <c r="J838">
        <f>IF($A838="","",ROUND($H838*$I838,0))</f>
        <v/>
      </c>
      <c r="K838">
        <f>IF($A838="","",Entry!$D841)</f>
        <v/>
      </c>
      <c r="L838">
        <f>IF($A838="","",Entry!$L841)</f>
        <v/>
      </c>
      <c r="N838">
        <f>IF(OR(Sync!$M838="",$Q838="",$Q838="نامعتبر"),"",Sync!$M838)</f>
        <v/>
      </c>
      <c r="O838">
        <f>IF($N838="","",$Q838)</f>
        <v/>
      </c>
      <c r="P838">
        <f>IF($N838="","",LEFT($Q838,4)&amp;MID($Q838,6,2)&amp;RIGHT($Q838,2)&amp;IF(Sync!$K838="","0000",IF(AND(ISNUMBER(Sync!$K838),Sync!$K838&gt;=0,Sync!$K838&lt;1),RIGHT("00"&amp;HOUR(Sync!$K838),2)&amp;RIGHT("00"&amp;MINUTE(Sync!$K838),2),IFERROR(RIGHT("00"&amp;VALUE(LEFT(Sync!$K838,FIND(":",Sync!$K838)-1)),2)&amp;RIGHT("00"&amp;VALUE(MID(Sync!$K838,FIND(":",Sync!$K838)+1,2)),2),"0000")))&amp;"|"&amp;"2"&amp;RIGHT("00000"&amp;833,5))</f>
        <v/>
      </c>
      <c r="Q838">
        <f>IF(Sync!$J838="","",IF(ISNUMBER(Sync!$J838),IF(AND(Sync!$J838&gt;=10000101,Sync!$J838&lt;=99991231),INT(Sync!$J838/10000)&amp;"/"&amp;RIGHT("00"&amp;INT(MOD(Sync!$J838,10000)/100),2)&amp;"/"&amp;RIGHT("00"&amp;MOD(Sync!$J838,100),2),"نامعتبر"),IF(LEN(Sync!$J838)=10,Sync!$J838,"نامعتبر")))</f>
        <v/>
      </c>
      <c r="R838">
        <f>IF($P838="","",COUNTIFS($N$6:$N$2005,$N838,$P$6:$P$2005,"&lt;"&amp;$P838)+COUNTIFS($A$6:$A$1005,$N838,$B$6:$B$1005,"&lt;"&amp;$P838)+1)</f>
        <v/>
      </c>
      <c r="S838">
        <f>IF($N838="","",$N838&amp;"|"&amp;RIGHT("000000"&amp;$R838,6))</f>
        <v/>
      </c>
      <c r="T838">
        <f>IF($N838="","",IF(Sync!$N838="",0,Sync!$N838))</f>
        <v/>
      </c>
      <c r="U838">
        <f>IF($N838="","",IF(Sync!$O838="",0,Sync!$O838))</f>
        <v/>
      </c>
      <c r="V838">
        <f>IF($N838="","",Sync!$L838)</f>
        <v/>
      </c>
      <c r="W838">
        <f>IF($N838="","",Sync!$P838)</f>
        <v/>
      </c>
      <c r="AA838">
        <f>IF($A838="","",IF(COUNTIF($A$6:$A838,$A838)=1,1,0))</f>
        <v/>
      </c>
      <c r="AB838">
        <f>SUM($AA$6:$AA838)</f>
        <v/>
      </c>
      <c r="AC838">
        <f>IFERROR(INDEX($A$6:$A$1005,MATCH(ROW()-5,$AB$6:$AB$1005,0)),"")</f>
        <v/>
      </c>
    </row>
    <row r="839">
      <c r="A839">
        <f>IF(OR(Entry!$B842="",Entry!$E842="",$E839="نامعتبر"),"",Entry!$E842)</f>
        <v/>
      </c>
      <c r="B839">
        <f>IF($A839="","",LEFT($E839,4)&amp;MID($E839,6,2)&amp;RIGHT($E839,2)&amp;$F839&amp;"|"&amp;"1"&amp;RIGHT("00000"&amp;834,5))</f>
        <v/>
      </c>
      <c r="C839">
        <f>IF($B839="","",COUNTIFS($A$6:$A$1005,$A839,$B$6:$B$1005,"&lt;"&amp;$B839)+COUNTIFS($N$6:$N$2005,$A839,$P$6:$P$2005,"&lt;"&amp;$B839)+1)</f>
        <v/>
      </c>
      <c r="D839">
        <f>IF($C839="","",$A839&amp;"|"&amp;RIGHT("000000"&amp;$C839,6))</f>
        <v/>
      </c>
      <c r="E839">
        <f>IF(Entry!$B842="","",IF(ISNUMBER(Entry!$B842),IF(AND(Entry!$B842&gt;=10000101,Entry!$B842&lt;=99991231),INT(Entry!$B842/10000)&amp;"/"&amp;RIGHT("00"&amp;INT(MOD(Entry!$B842,10000)/100),2)&amp;"/"&amp;RIGHT("00"&amp;MOD(Entry!$B842,100),2),"نامعتبر"),IF(LEN(Entry!$B842)=10,Entry!$B842,"نامعتبر")))</f>
        <v/>
      </c>
      <c r="F839">
        <f>IF(Entry!$B842="","",IF(Entry!$C842="","0000",IF(AND(ISNUMBER(Entry!$C842),Entry!$C842&gt;=0,Entry!$C842&lt;1),RIGHT("00"&amp;HOUR(Entry!$C842),2)&amp;RIGHT("00"&amp;MINUTE(Entry!$C842),2),IFERROR(RIGHT("00"&amp;VALUE(LEFT(Entry!$C842,FIND(":",Entry!$C842)-1)),2)&amp;RIGHT("00"&amp;VALUE(MID(Entry!$C842,FIND(":",Entry!$C842)+1,2)),2),"0000"))))</f>
        <v/>
      </c>
      <c r="G839">
        <f>IF($A839="","",Entry!$G842)</f>
        <v/>
      </c>
      <c r="H839">
        <f>IF($A839="","",IF(Entry!$H842="",0,Entry!$H842))</f>
        <v/>
      </c>
      <c r="I839">
        <f>IF($A839="","",IF(Entry!$I842="",0,Entry!$I842))</f>
        <v/>
      </c>
      <c r="J839">
        <f>IF($A839="","",ROUND($H839*$I839,0))</f>
        <v/>
      </c>
      <c r="K839">
        <f>IF($A839="","",Entry!$D842)</f>
        <v/>
      </c>
      <c r="L839">
        <f>IF($A839="","",Entry!$L842)</f>
        <v/>
      </c>
      <c r="N839">
        <f>IF(OR(Sync!$M839="",$Q839="",$Q839="نامعتبر"),"",Sync!$M839)</f>
        <v/>
      </c>
      <c r="O839">
        <f>IF($N839="","",$Q839)</f>
        <v/>
      </c>
      <c r="P839">
        <f>IF($N839="","",LEFT($Q839,4)&amp;MID($Q839,6,2)&amp;RIGHT($Q839,2)&amp;IF(Sync!$K839="","0000",IF(AND(ISNUMBER(Sync!$K839),Sync!$K839&gt;=0,Sync!$K839&lt;1),RIGHT("00"&amp;HOUR(Sync!$K839),2)&amp;RIGHT("00"&amp;MINUTE(Sync!$K839),2),IFERROR(RIGHT("00"&amp;VALUE(LEFT(Sync!$K839,FIND(":",Sync!$K839)-1)),2)&amp;RIGHT("00"&amp;VALUE(MID(Sync!$K839,FIND(":",Sync!$K839)+1,2)),2),"0000")))&amp;"|"&amp;"2"&amp;RIGHT("00000"&amp;834,5))</f>
        <v/>
      </c>
      <c r="Q839">
        <f>IF(Sync!$J839="","",IF(ISNUMBER(Sync!$J839),IF(AND(Sync!$J839&gt;=10000101,Sync!$J839&lt;=99991231),INT(Sync!$J839/10000)&amp;"/"&amp;RIGHT("00"&amp;INT(MOD(Sync!$J839,10000)/100),2)&amp;"/"&amp;RIGHT("00"&amp;MOD(Sync!$J839,100),2),"نامعتبر"),IF(LEN(Sync!$J839)=10,Sync!$J839,"نامعتبر")))</f>
        <v/>
      </c>
      <c r="R839">
        <f>IF($P839="","",COUNTIFS($N$6:$N$2005,$N839,$P$6:$P$2005,"&lt;"&amp;$P839)+COUNTIFS($A$6:$A$1005,$N839,$B$6:$B$1005,"&lt;"&amp;$P839)+1)</f>
        <v/>
      </c>
      <c r="S839">
        <f>IF($N839="","",$N839&amp;"|"&amp;RIGHT("000000"&amp;$R839,6))</f>
        <v/>
      </c>
      <c r="T839">
        <f>IF($N839="","",IF(Sync!$N839="",0,Sync!$N839))</f>
        <v/>
      </c>
      <c r="U839">
        <f>IF($N839="","",IF(Sync!$O839="",0,Sync!$O839))</f>
        <v/>
      </c>
      <c r="V839">
        <f>IF($N839="","",Sync!$L839)</f>
        <v/>
      </c>
      <c r="W839">
        <f>IF($N839="","",Sync!$P839)</f>
        <v/>
      </c>
      <c r="AA839">
        <f>IF($A839="","",IF(COUNTIF($A$6:$A839,$A839)=1,1,0))</f>
        <v/>
      </c>
      <c r="AB839">
        <f>SUM($AA$6:$AA839)</f>
        <v/>
      </c>
      <c r="AC839">
        <f>IFERROR(INDEX($A$6:$A$1005,MATCH(ROW()-5,$AB$6:$AB$1005,0)),"")</f>
        <v/>
      </c>
    </row>
    <row r="840">
      <c r="A840">
        <f>IF(OR(Entry!$B843="",Entry!$E843="",$E840="نامعتبر"),"",Entry!$E843)</f>
        <v/>
      </c>
      <c r="B840">
        <f>IF($A840="","",LEFT($E840,4)&amp;MID($E840,6,2)&amp;RIGHT($E840,2)&amp;$F840&amp;"|"&amp;"1"&amp;RIGHT("00000"&amp;835,5))</f>
        <v/>
      </c>
      <c r="C840">
        <f>IF($B840="","",COUNTIFS($A$6:$A$1005,$A840,$B$6:$B$1005,"&lt;"&amp;$B840)+COUNTIFS($N$6:$N$2005,$A840,$P$6:$P$2005,"&lt;"&amp;$B840)+1)</f>
        <v/>
      </c>
      <c r="D840">
        <f>IF($C840="","",$A840&amp;"|"&amp;RIGHT("000000"&amp;$C840,6))</f>
        <v/>
      </c>
      <c r="E840">
        <f>IF(Entry!$B843="","",IF(ISNUMBER(Entry!$B843),IF(AND(Entry!$B843&gt;=10000101,Entry!$B843&lt;=99991231),INT(Entry!$B843/10000)&amp;"/"&amp;RIGHT("00"&amp;INT(MOD(Entry!$B843,10000)/100),2)&amp;"/"&amp;RIGHT("00"&amp;MOD(Entry!$B843,100),2),"نامعتبر"),IF(LEN(Entry!$B843)=10,Entry!$B843,"نامعتبر")))</f>
        <v/>
      </c>
      <c r="F840">
        <f>IF(Entry!$B843="","",IF(Entry!$C843="","0000",IF(AND(ISNUMBER(Entry!$C843),Entry!$C843&gt;=0,Entry!$C843&lt;1),RIGHT("00"&amp;HOUR(Entry!$C843),2)&amp;RIGHT("00"&amp;MINUTE(Entry!$C843),2),IFERROR(RIGHT("00"&amp;VALUE(LEFT(Entry!$C843,FIND(":",Entry!$C843)-1)),2)&amp;RIGHT("00"&amp;VALUE(MID(Entry!$C843,FIND(":",Entry!$C843)+1,2)),2),"0000"))))</f>
        <v/>
      </c>
      <c r="G840">
        <f>IF($A840="","",Entry!$G843)</f>
        <v/>
      </c>
      <c r="H840">
        <f>IF($A840="","",IF(Entry!$H843="",0,Entry!$H843))</f>
        <v/>
      </c>
      <c r="I840">
        <f>IF($A840="","",IF(Entry!$I843="",0,Entry!$I843))</f>
        <v/>
      </c>
      <c r="J840">
        <f>IF($A840="","",ROUND($H840*$I840,0))</f>
        <v/>
      </c>
      <c r="K840">
        <f>IF($A840="","",Entry!$D843)</f>
        <v/>
      </c>
      <c r="L840">
        <f>IF($A840="","",Entry!$L843)</f>
        <v/>
      </c>
      <c r="N840">
        <f>IF(OR(Sync!$M840="",$Q840="",$Q840="نامعتبر"),"",Sync!$M840)</f>
        <v/>
      </c>
      <c r="O840">
        <f>IF($N840="","",$Q840)</f>
        <v/>
      </c>
      <c r="P840">
        <f>IF($N840="","",LEFT($Q840,4)&amp;MID($Q840,6,2)&amp;RIGHT($Q840,2)&amp;IF(Sync!$K840="","0000",IF(AND(ISNUMBER(Sync!$K840),Sync!$K840&gt;=0,Sync!$K840&lt;1),RIGHT("00"&amp;HOUR(Sync!$K840),2)&amp;RIGHT("00"&amp;MINUTE(Sync!$K840),2),IFERROR(RIGHT("00"&amp;VALUE(LEFT(Sync!$K840,FIND(":",Sync!$K840)-1)),2)&amp;RIGHT("00"&amp;VALUE(MID(Sync!$K840,FIND(":",Sync!$K840)+1,2)),2),"0000")))&amp;"|"&amp;"2"&amp;RIGHT("00000"&amp;835,5))</f>
        <v/>
      </c>
      <c r="Q840">
        <f>IF(Sync!$J840="","",IF(ISNUMBER(Sync!$J840),IF(AND(Sync!$J840&gt;=10000101,Sync!$J840&lt;=99991231),INT(Sync!$J840/10000)&amp;"/"&amp;RIGHT("00"&amp;INT(MOD(Sync!$J840,10000)/100),2)&amp;"/"&amp;RIGHT("00"&amp;MOD(Sync!$J840,100),2),"نامعتبر"),IF(LEN(Sync!$J840)=10,Sync!$J840,"نامعتبر")))</f>
        <v/>
      </c>
      <c r="R840">
        <f>IF($P840="","",COUNTIFS($N$6:$N$2005,$N840,$P$6:$P$2005,"&lt;"&amp;$P840)+COUNTIFS($A$6:$A$1005,$N840,$B$6:$B$1005,"&lt;"&amp;$P840)+1)</f>
        <v/>
      </c>
      <c r="S840">
        <f>IF($N840="","",$N840&amp;"|"&amp;RIGHT("000000"&amp;$R840,6))</f>
        <v/>
      </c>
      <c r="T840">
        <f>IF($N840="","",IF(Sync!$N840="",0,Sync!$N840))</f>
        <v/>
      </c>
      <c r="U840">
        <f>IF($N840="","",IF(Sync!$O840="",0,Sync!$O840))</f>
        <v/>
      </c>
      <c r="V840">
        <f>IF($N840="","",Sync!$L840)</f>
        <v/>
      </c>
      <c r="W840">
        <f>IF($N840="","",Sync!$P840)</f>
        <v/>
      </c>
      <c r="AA840">
        <f>IF($A840="","",IF(COUNTIF($A$6:$A840,$A840)=1,1,0))</f>
        <v/>
      </c>
      <c r="AB840">
        <f>SUM($AA$6:$AA840)</f>
        <v/>
      </c>
      <c r="AC840">
        <f>IFERROR(INDEX($A$6:$A$1005,MATCH(ROW()-5,$AB$6:$AB$1005,0)),"")</f>
        <v/>
      </c>
    </row>
    <row r="841">
      <c r="A841">
        <f>IF(OR(Entry!$B844="",Entry!$E844="",$E841="نامعتبر"),"",Entry!$E844)</f>
        <v/>
      </c>
      <c r="B841">
        <f>IF($A841="","",LEFT($E841,4)&amp;MID($E841,6,2)&amp;RIGHT($E841,2)&amp;$F841&amp;"|"&amp;"1"&amp;RIGHT("00000"&amp;836,5))</f>
        <v/>
      </c>
      <c r="C841">
        <f>IF($B841="","",COUNTIFS($A$6:$A$1005,$A841,$B$6:$B$1005,"&lt;"&amp;$B841)+COUNTIFS($N$6:$N$2005,$A841,$P$6:$P$2005,"&lt;"&amp;$B841)+1)</f>
        <v/>
      </c>
      <c r="D841">
        <f>IF($C841="","",$A841&amp;"|"&amp;RIGHT("000000"&amp;$C841,6))</f>
        <v/>
      </c>
      <c r="E841">
        <f>IF(Entry!$B844="","",IF(ISNUMBER(Entry!$B844),IF(AND(Entry!$B844&gt;=10000101,Entry!$B844&lt;=99991231),INT(Entry!$B844/10000)&amp;"/"&amp;RIGHT("00"&amp;INT(MOD(Entry!$B844,10000)/100),2)&amp;"/"&amp;RIGHT("00"&amp;MOD(Entry!$B844,100),2),"نامعتبر"),IF(LEN(Entry!$B844)=10,Entry!$B844,"نامعتبر")))</f>
        <v/>
      </c>
      <c r="F841">
        <f>IF(Entry!$B844="","",IF(Entry!$C844="","0000",IF(AND(ISNUMBER(Entry!$C844),Entry!$C844&gt;=0,Entry!$C844&lt;1),RIGHT("00"&amp;HOUR(Entry!$C844),2)&amp;RIGHT("00"&amp;MINUTE(Entry!$C844),2),IFERROR(RIGHT("00"&amp;VALUE(LEFT(Entry!$C844,FIND(":",Entry!$C844)-1)),2)&amp;RIGHT("00"&amp;VALUE(MID(Entry!$C844,FIND(":",Entry!$C844)+1,2)),2),"0000"))))</f>
        <v/>
      </c>
      <c r="G841">
        <f>IF($A841="","",Entry!$G844)</f>
        <v/>
      </c>
      <c r="H841">
        <f>IF($A841="","",IF(Entry!$H844="",0,Entry!$H844))</f>
        <v/>
      </c>
      <c r="I841">
        <f>IF($A841="","",IF(Entry!$I844="",0,Entry!$I844))</f>
        <v/>
      </c>
      <c r="J841">
        <f>IF($A841="","",ROUND($H841*$I841,0))</f>
        <v/>
      </c>
      <c r="K841">
        <f>IF($A841="","",Entry!$D844)</f>
        <v/>
      </c>
      <c r="L841">
        <f>IF($A841="","",Entry!$L844)</f>
        <v/>
      </c>
      <c r="N841">
        <f>IF(OR(Sync!$M841="",$Q841="",$Q841="نامعتبر"),"",Sync!$M841)</f>
        <v/>
      </c>
      <c r="O841">
        <f>IF($N841="","",$Q841)</f>
        <v/>
      </c>
      <c r="P841">
        <f>IF($N841="","",LEFT($Q841,4)&amp;MID($Q841,6,2)&amp;RIGHT($Q841,2)&amp;IF(Sync!$K841="","0000",IF(AND(ISNUMBER(Sync!$K841),Sync!$K841&gt;=0,Sync!$K841&lt;1),RIGHT("00"&amp;HOUR(Sync!$K841),2)&amp;RIGHT("00"&amp;MINUTE(Sync!$K841),2),IFERROR(RIGHT("00"&amp;VALUE(LEFT(Sync!$K841,FIND(":",Sync!$K841)-1)),2)&amp;RIGHT("00"&amp;VALUE(MID(Sync!$K841,FIND(":",Sync!$K841)+1,2)),2),"0000")))&amp;"|"&amp;"2"&amp;RIGHT("00000"&amp;836,5))</f>
        <v/>
      </c>
      <c r="Q841">
        <f>IF(Sync!$J841="","",IF(ISNUMBER(Sync!$J841),IF(AND(Sync!$J841&gt;=10000101,Sync!$J841&lt;=99991231),INT(Sync!$J841/10000)&amp;"/"&amp;RIGHT("00"&amp;INT(MOD(Sync!$J841,10000)/100),2)&amp;"/"&amp;RIGHT("00"&amp;MOD(Sync!$J841,100),2),"نامعتبر"),IF(LEN(Sync!$J841)=10,Sync!$J841,"نامعتبر")))</f>
        <v/>
      </c>
      <c r="R841">
        <f>IF($P841="","",COUNTIFS($N$6:$N$2005,$N841,$P$6:$P$2005,"&lt;"&amp;$P841)+COUNTIFS($A$6:$A$1005,$N841,$B$6:$B$1005,"&lt;"&amp;$P841)+1)</f>
        <v/>
      </c>
      <c r="S841">
        <f>IF($N841="","",$N841&amp;"|"&amp;RIGHT("000000"&amp;$R841,6))</f>
        <v/>
      </c>
      <c r="T841">
        <f>IF($N841="","",IF(Sync!$N841="",0,Sync!$N841))</f>
        <v/>
      </c>
      <c r="U841">
        <f>IF($N841="","",IF(Sync!$O841="",0,Sync!$O841))</f>
        <v/>
      </c>
      <c r="V841">
        <f>IF($N841="","",Sync!$L841)</f>
        <v/>
      </c>
      <c r="W841">
        <f>IF($N841="","",Sync!$P841)</f>
        <v/>
      </c>
      <c r="AA841">
        <f>IF($A841="","",IF(COUNTIF($A$6:$A841,$A841)=1,1,0))</f>
        <v/>
      </c>
      <c r="AB841">
        <f>SUM($AA$6:$AA841)</f>
        <v/>
      </c>
      <c r="AC841">
        <f>IFERROR(INDEX($A$6:$A$1005,MATCH(ROW()-5,$AB$6:$AB$1005,0)),"")</f>
        <v/>
      </c>
    </row>
    <row r="842">
      <c r="A842">
        <f>IF(OR(Entry!$B845="",Entry!$E845="",$E842="نامعتبر"),"",Entry!$E845)</f>
        <v/>
      </c>
      <c r="B842">
        <f>IF($A842="","",LEFT($E842,4)&amp;MID($E842,6,2)&amp;RIGHT($E842,2)&amp;$F842&amp;"|"&amp;"1"&amp;RIGHT("00000"&amp;837,5))</f>
        <v/>
      </c>
      <c r="C842">
        <f>IF($B842="","",COUNTIFS($A$6:$A$1005,$A842,$B$6:$B$1005,"&lt;"&amp;$B842)+COUNTIFS($N$6:$N$2005,$A842,$P$6:$P$2005,"&lt;"&amp;$B842)+1)</f>
        <v/>
      </c>
      <c r="D842">
        <f>IF($C842="","",$A842&amp;"|"&amp;RIGHT("000000"&amp;$C842,6))</f>
        <v/>
      </c>
      <c r="E842">
        <f>IF(Entry!$B845="","",IF(ISNUMBER(Entry!$B845),IF(AND(Entry!$B845&gt;=10000101,Entry!$B845&lt;=99991231),INT(Entry!$B845/10000)&amp;"/"&amp;RIGHT("00"&amp;INT(MOD(Entry!$B845,10000)/100),2)&amp;"/"&amp;RIGHT("00"&amp;MOD(Entry!$B845,100),2),"نامعتبر"),IF(LEN(Entry!$B845)=10,Entry!$B845,"نامعتبر")))</f>
        <v/>
      </c>
      <c r="F842">
        <f>IF(Entry!$B845="","",IF(Entry!$C845="","0000",IF(AND(ISNUMBER(Entry!$C845),Entry!$C845&gt;=0,Entry!$C845&lt;1),RIGHT("00"&amp;HOUR(Entry!$C845),2)&amp;RIGHT("00"&amp;MINUTE(Entry!$C845),2),IFERROR(RIGHT("00"&amp;VALUE(LEFT(Entry!$C845,FIND(":",Entry!$C845)-1)),2)&amp;RIGHT("00"&amp;VALUE(MID(Entry!$C845,FIND(":",Entry!$C845)+1,2)),2),"0000"))))</f>
        <v/>
      </c>
      <c r="G842">
        <f>IF($A842="","",Entry!$G845)</f>
        <v/>
      </c>
      <c r="H842">
        <f>IF($A842="","",IF(Entry!$H845="",0,Entry!$H845))</f>
        <v/>
      </c>
      <c r="I842">
        <f>IF($A842="","",IF(Entry!$I845="",0,Entry!$I845))</f>
        <v/>
      </c>
      <c r="J842">
        <f>IF($A842="","",ROUND($H842*$I842,0))</f>
        <v/>
      </c>
      <c r="K842">
        <f>IF($A842="","",Entry!$D845)</f>
        <v/>
      </c>
      <c r="L842">
        <f>IF($A842="","",Entry!$L845)</f>
        <v/>
      </c>
      <c r="N842">
        <f>IF(OR(Sync!$M842="",$Q842="",$Q842="نامعتبر"),"",Sync!$M842)</f>
        <v/>
      </c>
      <c r="O842">
        <f>IF($N842="","",$Q842)</f>
        <v/>
      </c>
      <c r="P842">
        <f>IF($N842="","",LEFT($Q842,4)&amp;MID($Q842,6,2)&amp;RIGHT($Q842,2)&amp;IF(Sync!$K842="","0000",IF(AND(ISNUMBER(Sync!$K842),Sync!$K842&gt;=0,Sync!$K842&lt;1),RIGHT("00"&amp;HOUR(Sync!$K842),2)&amp;RIGHT("00"&amp;MINUTE(Sync!$K842),2),IFERROR(RIGHT("00"&amp;VALUE(LEFT(Sync!$K842,FIND(":",Sync!$K842)-1)),2)&amp;RIGHT("00"&amp;VALUE(MID(Sync!$K842,FIND(":",Sync!$K842)+1,2)),2),"0000")))&amp;"|"&amp;"2"&amp;RIGHT("00000"&amp;837,5))</f>
        <v/>
      </c>
      <c r="Q842">
        <f>IF(Sync!$J842="","",IF(ISNUMBER(Sync!$J842),IF(AND(Sync!$J842&gt;=10000101,Sync!$J842&lt;=99991231),INT(Sync!$J842/10000)&amp;"/"&amp;RIGHT("00"&amp;INT(MOD(Sync!$J842,10000)/100),2)&amp;"/"&amp;RIGHT("00"&amp;MOD(Sync!$J842,100),2),"نامعتبر"),IF(LEN(Sync!$J842)=10,Sync!$J842,"نامعتبر")))</f>
        <v/>
      </c>
      <c r="R842">
        <f>IF($P842="","",COUNTIFS($N$6:$N$2005,$N842,$P$6:$P$2005,"&lt;"&amp;$P842)+COUNTIFS($A$6:$A$1005,$N842,$B$6:$B$1005,"&lt;"&amp;$P842)+1)</f>
        <v/>
      </c>
      <c r="S842">
        <f>IF($N842="","",$N842&amp;"|"&amp;RIGHT("000000"&amp;$R842,6))</f>
        <v/>
      </c>
      <c r="T842">
        <f>IF($N842="","",IF(Sync!$N842="",0,Sync!$N842))</f>
        <v/>
      </c>
      <c r="U842">
        <f>IF($N842="","",IF(Sync!$O842="",0,Sync!$O842))</f>
        <v/>
      </c>
      <c r="V842">
        <f>IF($N842="","",Sync!$L842)</f>
        <v/>
      </c>
      <c r="W842">
        <f>IF($N842="","",Sync!$P842)</f>
        <v/>
      </c>
      <c r="AA842">
        <f>IF($A842="","",IF(COUNTIF($A$6:$A842,$A842)=1,1,0))</f>
        <v/>
      </c>
      <c r="AB842">
        <f>SUM($AA$6:$AA842)</f>
        <v/>
      </c>
      <c r="AC842">
        <f>IFERROR(INDEX($A$6:$A$1005,MATCH(ROW()-5,$AB$6:$AB$1005,0)),"")</f>
        <v/>
      </c>
    </row>
    <row r="843">
      <c r="A843">
        <f>IF(OR(Entry!$B846="",Entry!$E846="",$E843="نامعتبر"),"",Entry!$E846)</f>
        <v/>
      </c>
      <c r="B843">
        <f>IF($A843="","",LEFT($E843,4)&amp;MID($E843,6,2)&amp;RIGHT($E843,2)&amp;$F843&amp;"|"&amp;"1"&amp;RIGHT("00000"&amp;838,5))</f>
        <v/>
      </c>
      <c r="C843">
        <f>IF($B843="","",COUNTIFS($A$6:$A$1005,$A843,$B$6:$B$1005,"&lt;"&amp;$B843)+COUNTIFS($N$6:$N$2005,$A843,$P$6:$P$2005,"&lt;"&amp;$B843)+1)</f>
        <v/>
      </c>
      <c r="D843">
        <f>IF($C843="","",$A843&amp;"|"&amp;RIGHT("000000"&amp;$C843,6))</f>
        <v/>
      </c>
      <c r="E843">
        <f>IF(Entry!$B846="","",IF(ISNUMBER(Entry!$B846),IF(AND(Entry!$B846&gt;=10000101,Entry!$B846&lt;=99991231),INT(Entry!$B846/10000)&amp;"/"&amp;RIGHT("00"&amp;INT(MOD(Entry!$B846,10000)/100),2)&amp;"/"&amp;RIGHT("00"&amp;MOD(Entry!$B846,100),2),"نامعتبر"),IF(LEN(Entry!$B846)=10,Entry!$B846,"نامعتبر")))</f>
        <v/>
      </c>
      <c r="F843">
        <f>IF(Entry!$B846="","",IF(Entry!$C846="","0000",IF(AND(ISNUMBER(Entry!$C846),Entry!$C846&gt;=0,Entry!$C846&lt;1),RIGHT("00"&amp;HOUR(Entry!$C846),2)&amp;RIGHT("00"&amp;MINUTE(Entry!$C846),2),IFERROR(RIGHT("00"&amp;VALUE(LEFT(Entry!$C846,FIND(":",Entry!$C846)-1)),2)&amp;RIGHT("00"&amp;VALUE(MID(Entry!$C846,FIND(":",Entry!$C846)+1,2)),2),"0000"))))</f>
        <v/>
      </c>
      <c r="G843">
        <f>IF($A843="","",Entry!$G846)</f>
        <v/>
      </c>
      <c r="H843">
        <f>IF($A843="","",IF(Entry!$H846="",0,Entry!$H846))</f>
        <v/>
      </c>
      <c r="I843">
        <f>IF($A843="","",IF(Entry!$I846="",0,Entry!$I846))</f>
        <v/>
      </c>
      <c r="J843">
        <f>IF($A843="","",ROUND($H843*$I843,0))</f>
        <v/>
      </c>
      <c r="K843">
        <f>IF($A843="","",Entry!$D846)</f>
        <v/>
      </c>
      <c r="L843">
        <f>IF($A843="","",Entry!$L846)</f>
        <v/>
      </c>
      <c r="N843">
        <f>IF(OR(Sync!$M843="",$Q843="",$Q843="نامعتبر"),"",Sync!$M843)</f>
        <v/>
      </c>
      <c r="O843">
        <f>IF($N843="","",$Q843)</f>
        <v/>
      </c>
      <c r="P843">
        <f>IF($N843="","",LEFT($Q843,4)&amp;MID($Q843,6,2)&amp;RIGHT($Q843,2)&amp;IF(Sync!$K843="","0000",IF(AND(ISNUMBER(Sync!$K843),Sync!$K843&gt;=0,Sync!$K843&lt;1),RIGHT("00"&amp;HOUR(Sync!$K843),2)&amp;RIGHT("00"&amp;MINUTE(Sync!$K843),2),IFERROR(RIGHT("00"&amp;VALUE(LEFT(Sync!$K843,FIND(":",Sync!$K843)-1)),2)&amp;RIGHT("00"&amp;VALUE(MID(Sync!$K843,FIND(":",Sync!$K843)+1,2)),2),"0000")))&amp;"|"&amp;"2"&amp;RIGHT("00000"&amp;838,5))</f>
        <v/>
      </c>
      <c r="Q843">
        <f>IF(Sync!$J843="","",IF(ISNUMBER(Sync!$J843),IF(AND(Sync!$J843&gt;=10000101,Sync!$J843&lt;=99991231),INT(Sync!$J843/10000)&amp;"/"&amp;RIGHT("00"&amp;INT(MOD(Sync!$J843,10000)/100),2)&amp;"/"&amp;RIGHT("00"&amp;MOD(Sync!$J843,100),2),"نامعتبر"),IF(LEN(Sync!$J843)=10,Sync!$J843,"نامعتبر")))</f>
        <v/>
      </c>
      <c r="R843">
        <f>IF($P843="","",COUNTIFS($N$6:$N$2005,$N843,$P$6:$P$2005,"&lt;"&amp;$P843)+COUNTIFS($A$6:$A$1005,$N843,$B$6:$B$1005,"&lt;"&amp;$P843)+1)</f>
        <v/>
      </c>
      <c r="S843">
        <f>IF($N843="","",$N843&amp;"|"&amp;RIGHT("000000"&amp;$R843,6))</f>
        <v/>
      </c>
      <c r="T843">
        <f>IF($N843="","",IF(Sync!$N843="",0,Sync!$N843))</f>
        <v/>
      </c>
      <c r="U843">
        <f>IF($N843="","",IF(Sync!$O843="",0,Sync!$O843))</f>
        <v/>
      </c>
      <c r="V843">
        <f>IF($N843="","",Sync!$L843)</f>
        <v/>
      </c>
      <c r="W843">
        <f>IF($N843="","",Sync!$P843)</f>
        <v/>
      </c>
      <c r="AA843">
        <f>IF($A843="","",IF(COUNTIF($A$6:$A843,$A843)=1,1,0))</f>
        <v/>
      </c>
      <c r="AB843">
        <f>SUM($AA$6:$AA843)</f>
        <v/>
      </c>
      <c r="AC843">
        <f>IFERROR(INDEX($A$6:$A$1005,MATCH(ROW()-5,$AB$6:$AB$1005,0)),"")</f>
        <v/>
      </c>
    </row>
    <row r="844">
      <c r="A844">
        <f>IF(OR(Entry!$B847="",Entry!$E847="",$E844="نامعتبر"),"",Entry!$E847)</f>
        <v/>
      </c>
      <c r="B844">
        <f>IF($A844="","",LEFT($E844,4)&amp;MID($E844,6,2)&amp;RIGHT($E844,2)&amp;$F844&amp;"|"&amp;"1"&amp;RIGHT("00000"&amp;839,5))</f>
        <v/>
      </c>
      <c r="C844">
        <f>IF($B844="","",COUNTIFS($A$6:$A$1005,$A844,$B$6:$B$1005,"&lt;"&amp;$B844)+COUNTIFS($N$6:$N$2005,$A844,$P$6:$P$2005,"&lt;"&amp;$B844)+1)</f>
        <v/>
      </c>
      <c r="D844">
        <f>IF($C844="","",$A844&amp;"|"&amp;RIGHT("000000"&amp;$C844,6))</f>
        <v/>
      </c>
      <c r="E844">
        <f>IF(Entry!$B847="","",IF(ISNUMBER(Entry!$B847),IF(AND(Entry!$B847&gt;=10000101,Entry!$B847&lt;=99991231),INT(Entry!$B847/10000)&amp;"/"&amp;RIGHT("00"&amp;INT(MOD(Entry!$B847,10000)/100),2)&amp;"/"&amp;RIGHT("00"&amp;MOD(Entry!$B847,100),2),"نامعتبر"),IF(LEN(Entry!$B847)=10,Entry!$B847,"نامعتبر")))</f>
        <v/>
      </c>
      <c r="F844">
        <f>IF(Entry!$B847="","",IF(Entry!$C847="","0000",IF(AND(ISNUMBER(Entry!$C847),Entry!$C847&gt;=0,Entry!$C847&lt;1),RIGHT("00"&amp;HOUR(Entry!$C847),2)&amp;RIGHT("00"&amp;MINUTE(Entry!$C847),2),IFERROR(RIGHT("00"&amp;VALUE(LEFT(Entry!$C847,FIND(":",Entry!$C847)-1)),2)&amp;RIGHT("00"&amp;VALUE(MID(Entry!$C847,FIND(":",Entry!$C847)+1,2)),2),"0000"))))</f>
        <v/>
      </c>
      <c r="G844">
        <f>IF($A844="","",Entry!$G847)</f>
        <v/>
      </c>
      <c r="H844">
        <f>IF($A844="","",IF(Entry!$H847="",0,Entry!$H847))</f>
        <v/>
      </c>
      <c r="I844">
        <f>IF($A844="","",IF(Entry!$I847="",0,Entry!$I847))</f>
        <v/>
      </c>
      <c r="J844">
        <f>IF($A844="","",ROUND($H844*$I844,0))</f>
        <v/>
      </c>
      <c r="K844">
        <f>IF($A844="","",Entry!$D847)</f>
        <v/>
      </c>
      <c r="L844">
        <f>IF($A844="","",Entry!$L847)</f>
        <v/>
      </c>
      <c r="N844">
        <f>IF(OR(Sync!$M844="",$Q844="",$Q844="نامعتبر"),"",Sync!$M844)</f>
        <v/>
      </c>
      <c r="O844">
        <f>IF($N844="","",$Q844)</f>
        <v/>
      </c>
      <c r="P844">
        <f>IF($N844="","",LEFT($Q844,4)&amp;MID($Q844,6,2)&amp;RIGHT($Q844,2)&amp;IF(Sync!$K844="","0000",IF(AND(ISNUMBER(Sync!$K844),Sync!$K844&gt;=0,Sync!$K844&lt;1),RIGHT("00"&amp;HOUR(Sync!$K844),2)&amp;RIGHT("00"&amp;MINUTE(Sync!$K844),2),IFERROR(RIGHT("00"&amp;VALUE(LEFT(Sync!$K844,FIND(":",Sync!$K844)-1)),2)&amp;RIGHT("00"&amp;VALUE(MID(Sync!$K844,FIND(":",Sync!$K844)+1,2)),2),"0000")))&amp;"|"&amp;"2"&amp;RIGHT("00000"&amp;839,5))</f>
        <v/>
      </c>
      <c r="Q844">
        <f>IF(Sync!$J844="","",IF(ISNUMBER(Sync!$J844),IF(AND(Sync!$J844&gt;=10000101,Sync!$J844&lt;=99991231),INT(Sync!$J844/10000)&amp;"/"&amp;RIGHT("00"&amp;INT(MOD(Sync!$J844,10000)/100),2)&amp;"/"&amp;RIGHT("00"&amp;MOD(Sync!$J844,100),2),"نامعتبر"),IF(LEN(Sync!$J844)=10,Sync!$J844,"نامعتبر")))</f>
        <v/>
      </c>
      <c r="R844">
        <f>IF($P844="","",COUNTIFS($N$6:$N$2005,$N844,$P$6:$P$2005,"&lt;"&amp;$P844)+COUNTIFS($A$6:$A$1005,$N844,$B$6:$B$1005,"&lt;"&amp;$P844)+1)</f>
        <v/>
      </c>
      <c r="S844">
        <f>IF($N844="","",$N844&amp;"|"&amp;RIGHT("000000"&amp;$R844,6))</f>
        <v/>
      </c>
      <c r="T844">
        <f>IF($N844="","",IF(Sync!$N844="",0,Sync!$N844))</f>
        <v/>
      </c>
      <c r="U844">
        <f>IF($N844="","",IF(Sync!$O844="",0,Sync!$O844))</f>
        <v/>
      </c>
      <c r="V844">
        <f>IF($N844="","",Sync!$L844)</f>
        <v/>
      </c>
      <c r="W844">
        <f>IF($N844="","",Sync!$P844)</f>
        <v/>
      </c>
      <c r="AA844">
        <f>IF($A844="","",IF(COUNTIF($A$6:$A844,$A844)=1,1,0))</f>
        <v/>
      </c>
      <c r="AB844">
        <f>SUM($AA$6:$AA844)</f>
        <v/>
      </c>
      <c r="AC844">
        <f>IFERROR(INDEX($A$6:$A$1005,MATCH(ROW()-5,$AB$6:$AB$1005,0)),"")</f>
        <v/>
      </c>
    </row>
    <row r="845">
      <c r="A845">
        <f>IF(OR(Entry!$B848="",Entry!$E848="",$E845="نامعتبر"),"",Entry!$E848)</f>
        <v/>
      </c>
      <c r="B845">
        <f>IF($A845="","",LEFT($E845,4)&amp;MID($E845,6,2)&amp;RIGHT($E845,2)&amp;$F845&amp;"|"&amp;"1"&amp;RIGHT("00000"&amp;840,5))</f>
        <v/>
      </c>
      <c r="C845">
        <f>IF($B845="","",COUNTIFS($A$6:$A$1005,$A845,$B$6:$B$1005,"&lt;"&amp;$B845)+COUNTIFS($N$6:$N$2005,$A845,$P$6:$P$2005,"&lt;"&amp;$B845)+1)</f>
        <v/>
      </c>
      <c r="D845">
        <f>IF($C845="","",$A845&amp;"|"&amp;RIGHT("000000"&amp;$C845,6))</f>
        <v/>
      </c>
      <c r="E845">
        <f>IF(Entry!$B848="","",IF(ISNUMBER(Entry!$B848),IF(AND(Entry!$B848&gt;=10000101,Entry!$B848&lt;=99991231),INT(Entry!$B848/10000)&amp;"/"&amp;RIGHT("00"&amp;INT(MOD(Entry!$B848,10000)/100),2)&amp;"/"&amp;RIGHT("00"&amp;MOD(Entry!$B848,100),2),"نامعتبر"),IF(LEN(Entry!$B848)=10,Entry!$B848,"نامعتبر")))</f>
        <v/>
      </c>
      <c r="F845">
        <f>IF(Entry!$B848="","",IF(Entry!$C848="","0000",IF(AND(ISNUMBER(Entry!$C848),Entry!$C848&gt;=0,Entry!$C848&lt;1),RIGHT("00"&amp;HOUR(Entry!$C848),2)&amp;RIGHT("00"&amp;MINUTE(Entry!$C848),2),IFERROR(RIGHT("00"&amp;VALUE(LEFT(Entry!$C848,FIND(":",Entry!$C848)-1)),2)&amp;RIGHT("00"&amp;VALUE(MID(Entry!$C848,FIND(":",Entry!$C848)+1,2)),2),"0000"))))</f>
        <v/>
      </c>
      <c r="G845">
        <f>IF($A845="","",Entry!$G848)</f>
        <v/>
      </c>
      <c r="H845">
        <f>IF($A845="","",IF(Entry!$H848="",0,Entry!$H848))</f>
        <v/>
      </c>
      <c r="I845">
        <f>IF($A845="","",IF(Entry!$I848="",0,Entry!$I848))</f>
        <v/>
      </c>
      <c r="J845">
        <f>IF($A845="","",ROUND($H845*$I845,0))</f>
        <v/>
      </c>
      <c r="K845">
        <f>IF($A845="","",Entry!$D848)</f>
        <v/>
      </c>
      <c r="L845">
        <f>IF($A845="","",Entry!$L848)</f>
        <v/>
      </c>
      <c r="N845">
        <f>IF(OR(Sync!$M845="",$Q845="",$Q845="نامعتبر"),"",Sync!$M845)</f>
        <v/>
      </c>
      <c r="O845">
        <f>IF($N845="","",$Q845)</f>
        <v/>
      </c>
      <c r="P845">
        <f>IF($N845="","",LEFT($Q845,4)&amp;MID($Q845,6,2)&amp;RIGHT($Q845,2)&amp;IF(Sync!$K845="","0000",IF(AND(ISNUMBER(Sync!$K845),Sync!$K845&gt;=0,Sync!$K845&lt;1),RIGHT("00"&amp;HOUR(Sync!$K845),2)&amp;RIGHT("00"&amp;MINUTE(Sync!$K845),2),IFERROR(RIGHT("00"&amp;VALUE(LEFT(Sync!$K845,FIND(":",Sync!$K845)-1)),2)&amp;RIGHT("00"&amp;VALUE(MID(Sync!$K845,FIND(":",Sync!$K845)+1,2)),2),"0000")))&amp;"|"&amp;"2"&amp;RIGHT("00000"&amp;840,5))</f>
        <v/>
      </c>
      <c r="Q845">
        <f>IF(Sync!$J845="","",IF(ISNUMBER(Sync!$J845),IF(AND(Sync!$J845&gt;=10000101,Sync!$J845&lt;=99991231),INT(Sync!$J845/10000)&amp;"/"&amp;RIGHT("00"&amp;INT(MOD(Sync!$J845,10000)/100),2)&amp;"/"&amp;RIGHT("00"&amp;MOD(Sync!$J845,100),2),"نامعتبر"),IF(LEN(Sync!$J845)=10,Sync!$J845,"نامعتبر")))</f>
        <v/>
      </c>
      <c r="R845">
        <f>IF($P845="","",COUNTIFS($N$6:$N$2005,$N845,$P$6:$P$2005,"&lt;"&amp;$P845)+COUNTIFS($A$6:$A$1005,$N845,$B$6:$B$1005,"&lt;"&amp;$P845)+1)</f>
        <v/>
      </c>
      <c r="S845">
        <f>IF($N845="","",$N845&amp;"|"&amp;RIGHT("000000"&amp;$R845,6))</f>
        <v/>
      </c>
      <c r="T845">
        <f>IF($N845="","",IF(Sync!$N845="",0,Sync!$N845))</f>
        <v/>
      </c>
      <c r="U845">
        <f>IF($N845="","",IF(Sync!$O845="",0,Sync!$O845))</f>
        <v/>
      </c>
      <c r="V845">
        <f>IF($N845="","",Sync!$L845)</f>
        <v/>
      </c>
      <c r="W845">
        <f>IF($N845="","",Sync!$P845)</f>
        <v/>
      </c>
      <c r="AA845">
        <f>IF($A845="","",IF(COUNTIF($A$6:$A845,$A845)=1,1,0))</f>
        <v/>
      </c>
      <c r="AB845">
        <f>SUM($AA$6:$AA845)</f>
        <v/>
      </c>
      <c r="AC845">
        <f>IFERROR(INDEX($A$6:$A$1005,MATCH(ROW()-5,$AB$6:$AB$1005,0)),"")</f>
        <v/>
      </c>
    </row>
    <row r="846">
      <c r="A846">
        <f>IF(OR(Entry!$B849="",Entry!$E849="",$E846="نامعتبر"),"",Entry!$E849)</f>
        <v/>
      </c>
      <c r="B846">
        <f>IF($A846="","",LEFT($E846,4)&amp;MID($E846,6,2)&amp;RIGHT($E846,2)&amp;$F846&amp;"|"&amp;"1"&amp;RIGHT("00000"&amp;841,5))</f>
        <v/>
      </c>
      <c r="C846">
        <f>IF($B846="","",COUNTIFS($A$6:$A$1005,$A846,$B$6:$B$1005,"&lt;"&amp;$B846)+COUNTIFS($N$6:$N$2005,$A846,$P$6:$P$2005,"&lt;"&amp;$B846)+1)</f>
        <v/>
      </c>
      <c r="D846">
        <f>IF($C846="","",$A846&amp;"|"&amp;RIGHT("000000"&amp;$C846,6))</f>
        <v/>
      </c>
      <c r="E846">
        <f>IF(Entry!$B849="","",IF(ISNUMBER(Entry!$B849),IF(AND(Entry!$B849&gt;=10000101,Entry!$B849&lt;=99991231),INT(Entry!$B849/10000)&amp;"/"&amp;RIGHT("00"&amp;INT(MOD(Entry!$B849,10000)/100),2)&amp;"/"&amp;RIGHT("00"&amp;MOD(Entry!$B849,100),2),"نامعتبر"),IF(LEN(Entry!$B849)=10,Entry!$B849,"نامعتبر")))</f>
        <v/>
      </c>
      <c r="F846">
        <f>IF(Entry!$B849="","",IF(Entry!$C849="","0000",IF(AND(ISNUMBER(Entry!$C849),Entry!$C849&gt;=0,Entry!$C849&lt;1),RIGHT("00"&amp;HOUR(Entry!$C849),2)&amp;RIGHT("00"&amp;MINUTE(Entry!$C849),2),IFERROR(RIGHT("00"&amp;VALUE(LEFT(Entry!$C849,FIND(":",Entry!$C849)-1)),2)&amp;RIGHT("00"&amp;VALUE(MID(Entry!$C849,FIND(":",Entry!$C849)+1,2)),2),"0000"))))</f>
        <v/>
      </c>
      <c r="G846">
        <f>IF($A846="","",Entry!$G849)</f>
        <v/>
      </c>
      <c r="H846">
        <f>IF($A846="","",IF(Entry!$H849="",0,Entry!$H849))</f>
        <v/>
      </c>
      <c r="I846">
        <f>IF($A846="","",IF(Entry!$I849="",0,Entry!$I849))</f>
        <v/>
      </c>
      <c r="J846">
        <f>IF($A846="","",ROUND($H846*$I846,0))</f>
        <v/>
      </c>
      <c r="K846">
        <f>IF($A846="","",Entry!$D849)</f>
        <v/>
      </c>
      <c r="L846">
        <f>IF($A846="","",Entry!$L849)</f>
        <v/>
      </c>
      <c r="N846">
        <f>IF(OR(Sync!$M846="",$Q846="",$Q846="نامعتبر"),"",Sync!$M846)</f>
        <v/>
      </c>
      <c r="O846">
        <f>IF($N846="","",$Q846)</f>
        <v/>
      </c>
      <c r="P846">
        <f>IF($N846="","",LEFT($Q846,4)&amp;MID($Q846,6,2)&amp;RIGHT($Q846,2)&amp;IF(Sync!$K846="","0000",IF(AND(ISNUMBER(Sync!$K846),Sync!$K846&gt;=0,Sync!$K846&lt;1),RIGHT("00"&amp;HOUR(Sync!$K846),2)&amp;RIGHT("00"&amp;MINUTE(Sync!$K846),2),IFERROR(RIGHT("00"&amp;VALUE(LEFT(Sync!$K846,FIND(":",Sync!$K846)-1)),2)&amp;RIGHT("00"&amp;VALUE(MID(Sync!$K846,FIND(":",Sync!$K846)+1,2)),2),"0000")))&amp;"|"&amp;"2"&amp;RIGHT("00000"&amp;841,5))</f>
        <v/>
      </c>
      <c r="Q846">
        <f>IF(Sync!$J846="","",IF(ISNUMBER(Sync!$J846),IF(AND(Sync!$J846&gt;=10000101,Sync!$J846&lt;=99991231),INT(Sync!$J846/10000)&amp;"/"&amp;RIGHT("00"&amp;INT(MOD(Sync!$J846,10000)/100),2)&amp;"/"&amp;RIGHT("00"&amp;MOD(Sync!$J846,100),2),"نامعتبر"),IF(LEN(Sync!$J846)=10,Sync!$J846,"نامعتبر")))</f>
        <v/>
      </c>
      <c r="R846">
        <f>IF($P846="","",COUNTIFS($N$6:$N$2005,$N846,$P$6:$P$2005,"&lt;"&amp;$P846)+COUNTIFS($A$6:$A$1005,$N846,$B$6:$B$1005,"&lt;"&amp;$P846)+1)</f>
        <v/>
      </c>
      <c r="S846">
        <f>IF($N846="","",$N846&amp;"|"&amp;RIGHT("000000"&amp;$R846,6))</f>
        <v/>
      </c>
      <c r="T846">
        <f>IF($N846="","",IF(Sync!$N846="",0,Sync!$N846))</f>
        <v/>
      </c>
      <c r="U846">
        <f>IF($N846="","",IF(Sync!$O846="",0,Sync!$O846))</f>
        <v/>
      </c>
      <c r="V846">
        <f>IF($N846="","",Sync!$L846)</f>
        <v/>
      </c>
      <c r="W846">
        <f>IF($N846="","",Sync!$P846)</f>
        <v/>
      </c>
      <c r="AA846">
        <f>IF($A846="","",IF(COUNTIF($A$6:$A846,$A846)=1,1,0))</f>
        <v/>
      </c>
      <c r="AB846">
        <f>SUM($AA$6:$AA846)</f>
        <v/>
      </c>
      <c r="AC846">
        <f>IFERROR(INDEX($A$6:$A$1005,MATCH(ROW()-5,$AB$6:$AB$1005,0)),"")</f>
        <v/>
      </c>
    </row>
    <row r="847">
      <c r="A847">
        <f>IF(OR(Entry!$B850="",Entry!$E850="",$E847="نامعتبر"),"",Entry!$E850)</f>
        <v/>
      </c>
      <c r="B847">
        <f>IF($A847="","",LEFT($E847,4)&amp;MID($E847,6,2)&amp;RIGHT($E847,2)&amp;$F847&amp;"|"&amp;"1"&amp;RIGHT("00000"&amp;842,5))</f>
        <v/>
      </c>
      <c r="C847">
        <f>IF($B847="","",COUNTIFS($A$6:$A$1005,$A847,$B$6:$B$1005,"&lt;"&amp;$B847)+COUNTIFS($N$6:$N$2005,$A847,$P$6:$P$2005,"&lt;"&amp;$B847)+1)</f>
        <v/>
      </c>
      <c r="D847">
        <f>IF($C847="","",$A847&amp;"|"&amp;RIGHT("000000"&amp;$C847,6))</f>
        <v/>
      </c>
      <c r="E847">
        <f>IF(Entry!$B850="","",IF(ISNUMBER(Entry!$B850),IF(AND(Entry!$B850&gt;=10000101,Entry!$B850&lt;=99991231),INT(Entry!$B850/10000)&amp;"/"&amp;RIGHT("00"&amp;INT(MOD(Entry!$B850,10000)/100),2)&amp;"/"&amp;RIGHT("00"&amp;MOD(Entry!$B850,100),2),"نامعتبر"),IF(LEN(Entry!$B850)=10,Entry!$B850,"نامعتبر")))</f>
        <v/>
      </c>
      <c r="F847">
        <f>IF(Entry!$B850="","",IF(Entry!$C850="","0000",IF(AND(ISNUMBER(Entry!$C850),Entry!$C850&gt;=0,Entry!$C850&lt;1),RIGHT("00"&amp;HOUR(Entry!$C850),2)&amp;RIGHT("00"&amp;MINUTE(Entry!$C850),2),IFERROR(RIGHT("00"&amp;VALUE(LEFT(Entry!$C850,FIND(":",Entry!$C850)-1)),2)&amp;RIGHT("00"&amp;VALUE(MID(Entry!$C850,FIND(":",Entry!$C850)+1,2)),2),"0000"))))</f>
        <v/>
      </c>
      <c r="G847">
        <f>IF($A847="","",Entry!$G850)</f>
        <v/>
      </c>
      <c r="H847">
        <f>IF($A847="","",IF(Entry!$H850="",0,Entry!$H850))</f>
        <v/>
      </c>
      <c r="I847">
        <f>IF($A847="","",IF(Entry!$I850="",0,Entry!$I850))</f>
        <v/>
      </c>
      <c r="J847">
        <f>IF($A847="","",ROUND($H847*$I847,0))</f>
        <v/>
      </c>
      <c r="K847">
        <f>IF($A847="","",Entry!$D850)</f>
        <v/>
      </c>
      <c r="L847">
        <f>IF($A847="","",Entry!$L850)</f>
        <v/>
      </c>
      <c r="N847">
        <f>IF(OR(Sync!$M847="",$Q847="",$Q847="نامعتبر"),"",Sync!$M847)</f>
        <v/>
      </c>
      <c r="O847">
        <f>IF($N847="","",$Q847)</f>
        <v/>
      </c>
      <c r="P847">
        <f>IF($N847="","",LEFT($Q847,4)&amp;MID($Q847,6,2)&amp;RIGHT($Q847,2)&amp;IF(Sync!$K847="","0000",IF(AND(ISNUMBER(Sync!$K847),Sync!$K847&gt;=0,Sync!$K847&lt;1),RIGHT("00"&amp;HOUR(Sync!$K847),2)&amp;RIGHT("00"&amp;MINUTE(Sync!$K847),2),IFERROR(RIGHT("00"&amp;VALUE(LEFT(Sync!$K847,FIND(":",Sync!$K847)-1)),2)&amp;RIGHT("00"&amp;VALUE(MID(Sync!$K847,FIND(":",Sync!$K847)+1,2)),2),"0000")))&amp;"|"&amp;"2"&amp;RIGHT("00000"&amp;842,5))</f>
        <v/>
      </c>
      <c r="Q847">
        <f>IF(Sync!$J847="","",IF(ISNUMBER(Sync!$J847),IF(AND(Sync!$J847&gt;=10000101,Sync!$J847&lt;=99991231),INT(Sync!$J847/10000)&amp;"/"&amp;RIGHT("00"&amp;INT(MOD(Sync!$J847,10000)/100),2)&amp;"/"&amp;RIGHT("00"&amp;MOD(Sync!$J847,100),2),"نامعتبر"),IF(LEN(Sync!$J847)=10,Sync!$J847,"نامعتبر")))</f>
        <v/>
      </c>
      <c r="R847">
        <f>IF($P847="","",COUNTIFS($N$6:$N$2005,$N847,$P$6:$P$2005,"&lt;"&amp;$P847)+COUNTIFS($A$6:$A$1005,$N847,$B$6:$B$1005,"&lt;"&amp;$P847)+1)</f>
        <v/>
      </c>
      <c r="S847">
        <f>IF($N847="","",$N847&amp;"|"&amp;RIGHT("000000"&amp;$R847,6))</f>
        <v/>
      </c>
      <c r="T847">
        <f>IF($N847="","",IF(Sync!$N847="",0,Sync!$N847))</f>
        <v/>
      </c>
      <c r="U847">
        <f>IF($N847="","",IF(Sync!$O847="",0,Sync!$O847))</f>
        <v/>
      </c>
      <c r="V847">
        <f>IF($N847="","",Sync!$L847)</f>
        <v/>
      </c>
      <c r="W847">
        <f>IF($N847="","",Sync!$P847)</f>
        <v/>
      </c>
      <c r="AA847">
        <f>IF($A847="","",IF(COUNTIF($A$6:$A847,$A847)=1,1,0))</f>
        <v/>
      </c>
      <c r="AB847">
        <f>SUM($AA$6:$AA847)</f>
        <v/>
      </c>
      <c r="AC847">
        <f>IFERROR(INDEX($A$6:$A$1005,MATCH(ROW()-5,$AB$6:$AB$1005,0)),"")</f>
        <v/>
      </c>
    </row>
    <row r="848">
      <c r="A848">
        <f>IF(OR(Entry!$B851="",Entry!$E851="",$E848="نامعتبر"),"",Entry!$E851)</f>
        <v/>
      </c>
      <c r="B848">
        <f>IF($A848="","",LEFT($E848,4)&amp;MID($E848,6,2)&amp;RIGHT($E848,2)&amp;$F848&amp;"|"&amp;"1"&amp;RIGHT("00000"&amp;843,5))</f>
        <v/>
      </c>
      <c r="C848">
        <f>IF($B848="","",COUNTIFS($A$6:$A$1005,$A848,$B$6:$B$1005,"&lt;"&amp;$B848)+COUNTIFS($N$6:$N$2005,$A848,$P$6:$P$2005,"&lt;"&amp;$B848)+1)</f>
        <v/>
      </c>
      <c r="D848">
        <f>IF($C848="","",$A848&amp;"|"&amp;RIGHT("000000"&amp;$C848,6))</f>
        <v/>
      </c>
      <c r="E848">
        <f>IF(Entry!$B851="","",IF(ISNUMBER(Entry!$B851),IF(AND(Entry!$B851&gt;=10000101,Entry!$B851&lt;=99991231),INT(Entry!$B851/10000)&amp;"/"&amp;RIGHT("00"&amp;INT(MOD(Entry!$B851,10000)/100),2)&amp;"/"&amp;RIGHT("00"&amp;MOD(Entry!$B851,100),2),"نامعتبر"),IF(LEN(Entry!$B851)=10,Entry!$B851,"نامعتبر")))</f>
        <v/>
      </c>
      <c r="F848">
        <f>IF(Entry!$B851="","",IF(Entry!$C851="","0000",IF(AND(ISNUMBER(Entry!$C851),Entry!$C851&gt;=0,Entry!$C851&lt;1),RIGHT("00"&amp;HOUR(Entry!$C851),2)&amp;RIGHT("00"&amp;MINUTE(Entry!$C851),2),IFERROR(RIGHT("00"&amp;VALUE(LEFT(Entry!$C851,FIND(":",Entry!$C851)-1)),2)&amp;RIGHT("00"&amp;VALUE(MID(Entry!$C851,FIND(":",Entry!$C851)+1,2)),2),"0000"))))</f>
        <v/>
      </c>
      <c r="G848">
        <f>IF($A848="","",Entry!$G851)</f>
        <v/>
      </c>
      <c r="H848">
        <f>IF($A848="","",IF(Entry!$H851="",0,Entry!$H851))</f>
        <v/>
      </c>
      <c r="I848">
        <f>IF($A848="","",IF(Entry!$I851="",0,Entry!$I851))</f>
        <v/>
      </c>
      <c r="J848">
        <f>IF($A848="","",ROUND($H848*$I848,0))</f>
        <v/>
      </c>
      <c r="K848">
        <f>IF($A848="","",Entry!$D851)</f>
        <v/>
      </c>
      <c r="L848">
        <f>IF($A848="","",Entry!$L851)</f>
        <v/>
      </c>
      <c r="N848">
        <f>IF(OR(Sync!$M848="",$Q848="",$Q848="نامعتبر"),"",Sync!$M848)</f>
        <v/>
      </c>
      <c r="O848">
        <f>IF($N848="","",$Q848)</f>
        <v/>
      </c>
      <c r="P848">
        <f>IF($N848="","",LEFT($Q848,4)&amp;MID($Q848,6,2)&amp;RIGHT($Q848,2)&amp;IF(Sync!$K848="","0000",IF(AND(ISNUMBER(Sync!$K848),Sync!$K848&gt;=0,Sync!$K848&lt;1),RIGHT("00"&amp;HOUR(Sync!$K848),2)&amp;RIGHT("00"&amp;MINUTE(Sync!$K848),2),IFERROR(RIGHT("00"&amp;VALUE(LEFT(Sync!$K848,FIND(":",Sync!$K848)-1)),2)&amp;RIGHT("00"&amp;VALUE(MID(Sync!$K848,FIND(":",Sync!$K848)+1,2)),2),"0000")))&amp;"|"&amp;"2"&amp;RIGHT("00000"&amp;843,5))</f>
        <v/>
      </c>
      <c r="Q848">
        <f>IF(Sync!$J848="","",IF(ISNUMBER(Sync!$J848),IF(AND(Sync!$J848&gt;=10000101,Sync!$J848&lt;=99991231),INT(Sync!$J848/10000)&amp;"/"&amp;RIGHT("00"&amp;INT(MOD(Sync!$J848,10000)/100),2)&amp;"/"&amp;RIGHT("00"&amp;MOD(Sync!$J848,100),2),"نامعتبر"),IF(LEN(Sync!$J848)=10,Sync!$J848,"نامعتبر")))</f>
        <v/>
      </c>
      <c r="R848">
        <f>IF($P848="","",COUNTIFS($N$6:$N$2005,$N848,$P$6:$P$2005,"&lt;"&amp;$P848)+COUNTIFS($A$6:$A$1005,$N848,$B$6:$B$1005,"&lt;"&amp;$P848)+1)</f>
        <v/>
      </c>
      <c r="S848">
        <f>IF($N848="","",$N848&amp;"|"&amp;RIGHT("000000"&amp;$R848,6))</f>
        <v/>
      </c>
      <c r="T848">
        <f>IF($N848="","",IF(Sync!$N848="",0,Sync!$N848))</f>
        <v/>
      </c>
      <c r="U848">
        <f>IF($N848="","",IF(Sync!$O848="",0,Sync!$O848))</f>
        <v/>
      </c>
      <c r="V848">
        <f>IF($N848="","",Sync!$L848)</f>
        <v/>
      </c>
      <c r="W848">
        <f>IF($N848="","",Sync!$P848)</f>
        <v/>
      </c>
      <c r="AA848">
        <f>IF($A848="","",IF(COUNTIF($A$6:$A848,$A848)=1,1,0))</f>
        <v/>
      </c>
      <c r="AB848">
        <f>SUM($AA$6:$AA848)</f>
        <v/>
      </c>
      <c r="AC848">
        <f>IFERROR(INDEX($A$6:$A$1005,MATCH(ROW()-5,$AB$6:$AB$1005,0)),"")</f>
        <v/>
      </c>
    </row>
    <row r="849">
      <c r="A849">
        <f>IF(OR(Entry!$B852="",Entry!$E852="",$E849="نامعتبر"),"",Entry!$E852)</f>
        <v/>
      </c>
      <c r="B849">
        <f>IF($A849="","",LEFT($E849,4)&amp;MID($E849,6,2)&amp;RIGHT($E849,2)&amp;$F849&amp;"|"&amp;"1"&amp;RIGHT("00000"&amp;844,5))</f>
        <v/>
      </c>
      <c r="C849">
        <f>IF($B849="","",COUNTIFS($A$6:$A$1005,$A849,$B$6:$B$1005,"&lt;"&amp;$B849)+COUNTIFS($N$6:$N$2005,$A849,$P$6:$P$2005,"&lt;"&amp;$B849)+1)</f>
        <v/>
      </c>
      <c r="D849">
        <f>IF($C849="","",$A849&amp;"|"&amp;RIGHT("000000"&amp;$C849,6))</f>
        <v/>
      </c>
      <c r="E849">
        <f>IF(Entry!$B852="","",IF(ISNUMBER(Entry!$B852),IF(AND(Entry!$B852&gt;=10000101,Entry!$B852&lt;=99991231),INT(Entry!$B852/10000)&amp;"/"&amp;RIGHT("00"&amp;INT(MOD(Entry!$B852,10000)/100),2)&amp;"/"&amp;RIGHT("00"&amp;MOD(Entry!$B852,100),2),"نامعتبر"),IF(LEN(Entry!$B852)=10,Entry!$B852,"نامعتبر")))</f>
        <v/>
      </c>
      <c r="F849">
        <f>IF(Entry!$B852="","",IF(Entry!$C852="","0000",IF(AND(ISNUMBER(Entry!$C852),Entry!$C852&gt;=0,Entry!$C852&lt;1),RIGHT("00"&amp;HOUR(Entry!$C852),2)&amp;RIGHT("00"&amp;MINUTE(Entry!$C852),2),IFERROR(RIGHT("00"&amp;VALUE(LEFT(Entry!$C852,FIND(":",Entry!$C852)-1)),2)&amp;RIGHT("00"&amp;VALUE(MID(Entry!$C852,FIND(":",Entry!$C852)+1,2)),2),"0000"))))</f>
        <v/>
      </c>
      <c r="G849">
        <f>IF($A849="","",Entry!$G852)</f>
        <v/>
      </c>
      <c r="H849">
        <f>IF($A849="","",IF(Entry!$H852="",0,Entry!$H852))</f>
        <v/>
      </c>
      <c r="I849">
        <f>IF($A849="","",IF(Entry!$I852="",0,Entry!$I852))</f>
        <v/>
      </c>
      <c r="J849">
        <f>IF($A849="","",ROUND($H849*$I849,0))</f>
        <v/>
      </c>
      <c r="K849">
        <f>IF($A849="","",Entry!$D852)</f>
        <v/>
      </c>
      <c r="L849">
        <f>IF($A849="","",Entry!$L852)</f>
        <v/>
      </c>
      <c r="N849">
        <f>IF(OR(Sync!$M849="",$Q849="",$Q849="نامعتبر"),"",Sync!$M849)</f>
        <v/>
      </c>
      <c r="O849">
        <f>IF($N849="","",$Q849)</f>
        <v/>
      </c>
      <c r="P849">
        <f>IF($N849="","",LEFT($Q849,4)&amp;MID($Q849,6,2)&amp;RIGHT($Q849,2)&amp;IF(Sync!$K849="","0000",IF(AND(ISNUMBER(Sync!$K849),Sync!$K849&gt;=0,Sync!$K849&lt;1),RIGHT("00"&amp;HOUR(Sync!$K849),2)&amp;RIGHT("00"&amp;MINUTE(Sync!$K849),2),IFERROR(RIGHT("00"&amp;VALUE(LEFT(Sync!$K849,FIND(":",Sync!$K849)-1)),2)&amp;RIGHT("00"&amp;VALUE(MID(Sync!$K849,FIND(":",Sync!$K849)+1,2)),2),"0000")))&amp;"|"&amp;"2"&amp;RIGHT("00000"&amp;844,5))</f>
        <v/>
      </c>
      <c r="Q849">
        <f>IF(Sync!$J849="","",IF(ISNUMBER(Sync!$J849),IF(AND(Sync!$J849&gt;=10000101,Sync!$J849&lt;=99991231),INT(Sync!$J849/10000)&amp;"/"&amp;RIGHT("00"&amp;INT(MOD(Sync!$J849,10000)/100),2)&amp;"/"&amp;RIGHT("00"&amp;MOD(Sync!$J849,100),2),"نامعتبر"),IF(LEN(Sync!$J849)=10,Sync!$J849,"نامعتبر")))</f>
        <v/>
      </c>
      <c r="R849">
        <f>IF($P849="","",COUNTIFS($N$6:$N$2005,$N849,$P$6:$P$2005,"&lt;"&amp;$P849)+COUNTIFS($A$6:$A$1005,$N849,$B$6:$B$1005,"&lt;"&amp;$P849)+1)</f>
        <v/>
      </c>
      <c r="S849">
        <f>IF($N849="","",$N849&amp;"|"&amp;RIGHT("000000"&amp;$R849,6))</f>
        <v/>
      </c>
      <c r="T849">
        <f>IF($N849="","",IF(Sync!$N849="",0,Sync!$N849))</f>
        <v/>
      </c>
      <c r="U849">
        <f>IF($N849="","",IF(Sync!$O849="",0,Sync!$O849))</f>
        <v/>
      </c>
      <c r="V849">
        <f>IF($N849="","",Sync!$L849)</f>
        <v/>
      </c>
      <c r="W849">
        <f>IF($N849="","",Sync!$P849)</f>
        <v/>
      </c>
      <c r="AA849">
        <f>IF($A849="","",IF(COUNTIF($A$6:$A849,$A849)=1,1,0))</f>
        <v/>
      </c>
      <c r="AB849">
        <f>SUM($AA$6:$AA849)</f>
        <v/>
      </c>
      <c r="AC849">
        <f>IFERROR(INDEX($A$6:$A$1005,MATCH(ROW()-5,$AB$6:$AB$1005,0)),"")</f>
        <v/>
      </c>
    </row>
    <row r="850">
      <c r="A850">
        <f>IF(OR(Entry!$B853="",Entry!$E853="",$E850="نامعتبر"),"",Entry!$E853)</f>
        <v/>
      </c>
      <c r="B850">
        <f>IF($A850="","",LEFT($E850,4)&amp;MID($E850,6,2)&amp;RIGHT($E850,2)&amp;$F850&amp;"|"&amp;"1"&amp;RIGHT("00000"&amp;845,5))</f>
        <v/>
      </c>
      <c r="C850">
        <f>IF($B850="","",COUNTIFS($A$6:$A$1005,$A850,$B$6:$B$1005,"&lt;"&amp;$B850)+COUNTIFS($N$6:$N$2005,$A850,$P$6:$P$2005,"&lt;"&amp;$B850)+1)</f>
        <v/>
      </c>
      <c r="D850">
        <f>IF($C850="","",$A850&amp;"|"&amp;RIGHT("000000"&amp;$C850,6))</f>
        <v/>
      </c>
      <c r="E850">
        <f>IF(Entry!$B853="","",IF(ISNUMBER(Entry!$B853),IF(AND(Entry!$B853&gt;=10000101,Entry!$B853&lt;=99991231),INT(Entry!$B853/10000)&amp;"/"&amp;RIGHT("00"&amp;INT(MOD(Entry!$B853,10000)/100),2)&amp;"/"&amp;RIGHT("00"&amp;MOD(Entry!$B853,100),2),"نامعتبر"),IF(LEN(Entry!$B853)=10,Entry!$B853,"نامعتبر")))</f>
        <v/>
      </c>
      <c r="F850">
        <f>IF(Entry!$B853="","",IF(Entry!$C853="","0000",IF(AND(ISNUMBER(Entry!$C853),Entry!$C853&gt;=0,Entry!$C853&lt;1),RIGHT("00"&amp;HOUR(Entry!$C853),2)&amp;RIGHT("00"&amp;MINUTE(Entry!$C853),2),IFERROR(RIGHT("00"&amp;VALUE(LEFT(Entry!$C853,FIND(":",Entry!$C853)-1)),2)&amp;RIGHT("00"&amp;VALUE(MID(Entry!$C853,FIND(":",Entry!$C853)+1,2)),2),"0000"))))</f>
        <v/>
      </c>
      <c r="G850">
        <f>IF($A850="","",Entry!$G853)</f>
        <v/>
      </c>
      <c r="H850">
        <f>IF($A850="","",IF(Entry!$H853="",0,Entry!$H853))</f>
        <v/>
      </c>
      <c r="I850">
        <f>IF($A850="","",IF(Entry!$I853="",0,Entry!$I853))</f>
        <v/>
      </c>
      <c r="J850">
        <f>IF($A850="","",ROUND($H850*$I850,0))</f>
        <v/>
      </c>
      <c r="K850">
        <f>IF($A850="","",Entry!$D853)</f>
        <v/>
      </c>
      <c r="L850">
        <f>IF($A850="","",Entry!$L853)</f>
        <v/>
      </c>
      <c r="N850">
        <f>IF(OR(Sync!$M850="",$Q850="",$Q850="نامعتبر"),"",Sync!$M850)</f>
        <v/>
      </c>
      <c r="O850">
        <f>IF($N850="","",$Q850)</f>
        <v/>
      </c>
      <c r="P850">
        <f>IF($N850="","",LEFT($Q850,4)&amp;MID($Q850,6,2)&amp;RIGHT($Q850,2)&amp;IF(Sync!$K850="","0000",IF(AND(ISNUMBER(Sync!$K850),Sync!$K850&gt;=0,Sync!$K850&lt;1),RIGHT("00"&amp;HOUR(Sync!$K850),2)&amp;RIGHT("00"&amp;MINUTE(Sync!$K850),2),IFERROR(RIGHT("00"&amp;VALUE(LEFT(Sync!$K850,FIND(":",Sync!$K850)-1)),2)&amp;RIGHT("00"&amp;VALUE(MID(Sync!$K850,FIND(":",Sync!$K850)+1,2)),2),"0000")))&amp;"|"&amp;"2"&amp;RIGHT("00000"&amp;845,5))</f>
        <v/>
      </c>
      <c r="Q850">
        <f>IF(Sync!$J850="","",IF(ISNUMBER(Sync!$J850),IF(AND(Sync!$J850&gt;=10000101,Sync!$J850&lt;=99991231),INT(Sync!$J850/10000)&amp;"/"&amp;RIGHT("00"&amp;INT(MOD(Sync!$J850,10000)/100),2)&amp;"/"&amp;RIGHT("00"&amp;MOD(Sync!$J850,100),2),"نامعتبر"),IF(LEN(Sync!$J850)=10,Sync!$J850,"نامعتبر")))</f>
        <v/>
      </c>
      <c r="R850">
        <f>IF($P850="","",COUNTIFS($N$6:$N$2005,$N850,$P$6:$P$2005,"&lt;"&amp;$P850)+COUNTIFS($A$6:$A$1005,$N850,$B$6:$B$1005,"&lt;"&amp;$P850)+1)</f>
        <v/>
      </c>
      <c r="S850">
        <f>IF($N850="","",$N850&amp;"|"&amp;RIGHT("000000"&amp;$R850,6))</f>
        <v/>
      </c>
      <c r="T850">
        <f>IF($N850="","",IF(Sync!$N850="",0,Sync!$N850))</f>
        <v/>
      </c>
      <c r="U850">
        <f>IF($N850="","",IF(Sync!$O850="",0,Sync!$O850))</f>
        <v/>
      </c>
      <c r="V850">
        <f>IF($N850="","",Sync!$L850)</f>
        <v/>
      </c>
      <c r="W850">
        <f>IF($N850="","",Sync!$P850)</f>
        <v/>
      </c>
      <c r="AA850">
        <f>IF($A850="","",IF(COUNTIF($A$6:$A850,$A850)=1,1,0))</f>
        <v/>
      </c>
      <c r="AB850">
        <f>SUM($AA$6:$AA850)</f>
        <v/>
      </c>
      <c r="AC850">
        <f>IFERROR(INDEX($A$6:$A$1005,MATCH(ROW()-5,$AB$6:$AB$1005,0)),"")</f>
        <v/>
      </c>
    </row>
    <row r="851">
      <c r="A851">
        <f>IF(OR(Entry!$B854="",Entry!$E854="",$E851="نامعتبر"),"",Entry!$E854)</f>
        <v/>
      </c>
      <c r="B851">
        <f>IF($A851="","",LEFT($E851,4)&amp;MID($E851,6,2)&amp;RIGHT($E851,2)&amp;$F851&amp;"|"&amp;"1"&amp;RIGHT("00000"&amp;846,5))</f>
        <v/>
      </c>
      <c r="C851">
        <f>IF($B851="","",COUNTIFS($A$6:$A$1005,$A851,$B$6:$B$1005,"&lt;"&amp;$B851)+COUNTIFS($N$6:$N$2005,$A851,$P$6:$P$2005,"&lt;"&amp;$B851)+1)</f>
        <v/>
      </c>
      <c r="D851">
        <f>IF($C851="","",$A851&amp;"|"&amp;RIGHT("000000"&amp;$C851,6))</f>
        <v/>
      </c>
      <c r="E851">
        <f>IF(Entry!$B854="","",IF(ISNUMBER(Entry!$B854),IF(AND(Entry!$B854&gt;=10000101,Entry!$B854&lt;=99991231),INT(Entry!$B854/10000)&amp;"/"&amp;RIGHT("00"&amp;INT(MOD(Entry!$B854,10000)/100),2)&amp;"/"&amp;RIGHT("00"&amp;MOD(Entry!$B854,100),2),"نامعتبر"),IF(LEN(Entry!$B854)=10,Entry!$B854,"نامعتبر")))</f>
        <v/>
      </c>
      <c r="F851">
        <f>IF(Entry!$B854="","",IF(Entry!$C854="","0000",IF(AND(ISNUMBER(Entry!$C854),Entry!$C854&gt;=0,Entry!$C854&lt;1),RIGHT("00"&amp;HOUR(Entry!$C854),2)&amp;RIGHT("00"&amp;MINUTE(Entry!$C854),2),IFERROR(RIGHT("00"&amp;VALUE(LEFT(Entry!$C854,FIND(":",Entry!$C854)-1)),2)&amp;RIGHT("00"&amp;VALUE(MID(Entry!$C854,FIND(":",Entry!$C854)+1,2)),2),"0000"))))</f>
        <v/>
      </c>
      <c r="G851">
        <f>IF($A851="","",Entry!$G854)</f>
        <v/>
      </c>
      <c r="H851">
        <f>IF($A851="","",IF(Entry!$H854="",0,Entry!$H854))</f>
        <v/>
      </c>
      <c r="I851">
        <f>IF($A851="","",IF(Entry!$I854="",0,Entry!$I854))</f>
        <v/>
      </c>
      <c r="J851">
        <f>IF($A851="","",ROUND($H851*$I851,0))</f>
        <v/>
      </c>
      <c r="K851">
        <f>IF($A851="","",Entry!$D854)</f>
        <v/>
      </c>
      <c r="L851">
        <f>IF($A851="","",Entry!$L854)</f>
        <v/>
      </c>
      <c r="N851">
        <f>IF(OR(Sync!$M851="",$Q851="",$Q851="نامعتبر"),"",Sync!$M851)</f>
        <v/>
      </c>
      <c r="O851">
        <f>IF($N851="","",$Q851)</f>
        <v/>
      </c>
      <c r="P851">
        <f>IF($N851="","",LEFT($Q851,4)&amp;MID($Q851,6,2)&amp;RIGHT($Q851,2)&amp;IF(Sync!$K851="","0000",IF(AND(ISNUMBER(Sync!$K851),Sync!$K851&gt;=0,Sync!$K851&lt;1),RIGHT("00"&amp;HOUR(Sync!$K851),2)&amp;RIGHT("00"&amp;MINUTE(Sync!$K851),2),IFERROR(RIGHT("00"&amp;VALUE(LEFT(Sync!$K851,FIND(":",Sync!$K851)-1)),2)&amp;RIGHT("00"&amp;VALUE(MID(Sync!$K851,FIND(":",Sync!$K851)+1,2)),2),"0000")))&amp;"|"&amp;"2"&amp;RIGHT("00000"&amp;846,5))</f>
        <v/>
      </c>
      <c r="Q851">
        <f>IF(Sync!$J851="","",IF(ISNUMBER(Sync!$J851),IF(AND(Sync!$J851&gt;=10000101,Sync!$J851&lt;=99991231),INT(Sync!$J851/10000)&amp;"/"&amp;RIGHT("00"&amp;INT(MOD(Sync!$J851,10000)/100),2)&amp;"/"&amp;RIGHT("00"&amp;MOD(Sync!$J851,100),2),"نامعتبر"),IF(LEN(Sync!$J851)=10,Sync!$J851,"نامعتبر")))</f>
        <v/>
      </c>
      <c r="R851">
        <f>IF($P851="","",COUNTIFS($N$6:$N$2005,$N851,$P$6:$P$2005,"&lt;"&amp;$P851)+COUNTIFS($A$6:$A$1005,$N851,$B$6:$B$1005,"&lt;"&amp;$P851)+1)</f>
        <v/>
      </c>
      <c r="S851">
        <f>IF($N851="","",$N851&amp;"|"&amp;RIGHT("000000"&amp;$R851,6))</f>
        <v/>
      </c>
      <c r="T851">
        <f>IF($N851="","",IF(Sync!$N851="",0,Sync!$N851))</f>
        <v/>
      </c>
      <c r="U851">
        <f>IF($N851="","",IF(Sync!$O851="",0,Sync!$O851))</f>
        <v/>
      </c>
      <c r="V851">
        <f>IF($N851="","",Sync!$L851)</f>
        <v/>
      </c>
      <c r="W851">
        <f>IF($N851="","",Sync!$P851)</f>
        <v/>
      </c>
      <c r="AA851">
        <f>IF($A851="","",IF(COUNTIF($A$6:$A851,$A851)=1,1,0))</f>
        <v/>
      </c>
      <c r="AB851">
        <f>SUM($AA$6:$AA851)</f>
        <v/>
      </c>
      <c r="AC851">
        <f>IFERROR(INDEX($A$6:$A$1005,MATCH(ROW()-5,$AB$6:$AB$1005,0)),"")</f>
        <v/>
      </c>
    </row>
    <row r="852">
      <c r="A852">
        <f>IF(OR(Entry!$B855="",Entry!$E855="",$E852="نامعتبر"),"",Entry!$E855)</f>
        <v/>
      </c>
      <c r="B852">
        <f>IF($A852="","",LEFT($E852,4)&amp;MID($E852,6,2)&amp;RIGHT($E852,2)&amp;$F852&amp;"|"&amp;"1"&amp;RIGHT("00000"&amp;847,5))</f>
        <v/>
      </c>
      <c r="C852">
        <f>IF($B852="","",COUNTIFS($A$6:$A$1005,$A852,$B$6:$B$1005,"&lt;"&amp;$B852)+COUNTIFS($N$6:$N$2005,$A852,$P$6:$P$2005,"&lt;"&amp;$B852)+1)</f>
        <v/>
      </c>
      <c r="D852">
        <f>IF($C852="","",$A852&amp;"|"&amp;RIGHT("000000"&amp;$C852,6))</f>
        <v/>
      </c>
      <c r="E852">
        <f>IF(Entry!$B855="","",IF(ISNUMBER(Entry!$B855),IF(AND(Entry!$B855&gt;=10000101,Entry!$B855&lt;=99991231),INT(Entry!$B855/10000)&amp;"/"&amp;RIGHT("00"&amp;INT(MOD(Entry!$B855,10000)/100),2)&amp;"/"&amp;RIGHT("00"&amp;MOD(Entry!$B855,100),2),"نامعتبر"),IF(LEN(Entry!$B855)=10,Entry!$B855,"نامعتبر")))</f>
        <v/>
      </c>
      <c r="F852">
        <f>IF(Entry!$B855="","",IF(Entry!$C855="","0000",IF(AND(ISNUMBER(Entry!$C855),Entry!$C855&gt;=0,Entry!$C855&lt;1),RIGHT("00"&amp;HOUR(Entry!$C855),2)&amp;RIGHT("00"&amp;MINUTE(Entry!$C855),2),IFERROR(RIGHT("00"&amp;VALUE(LEFT(Entry!$C855,FIND(":",Entry!$C855)-1)),2)&amp;RIGHT("00"&amp;VALUE(MID(Entry!$C855,FIND(":",Entry!$C855)+1,2)),2),"0000"))))</f>
        <v/>
      </c>
      <c r="G852">
        <f>IF($A852="","",Entry!$G855)</f>
        <v/>
      </c>
      <c r="H852">
        <f>IF($A852="","",IF(Entry!$H855="",0,Entry!$H855))</f>
        <v/>
      </c>
      <c r="I852">
        <f>IF($A852="","",IF(Entry!$I855="",0,Entry!$I855))</f>
        <v/>
      </c>
      <c r="J852">
        <f>IF($A852="","",ROUND($H852*$I852,0))</f>
        <v/>
      </c>
      <c r="K852">
        <f>IF($A852="","",Entry!$D855)</f>
        <v/>
      </c>
      <c r="L852">
        <f>IF($A852="","",Entry!$L855)</f>
        <v/>
      </c>
      <c r="N852">
        <f>IF(OR(Sync!$M852="",$Q852="",$Q852="نامعتبر"),"",Sync!$M852)</f>
        <v/>
      </c>
      <c r="O852">
        <f>IF($N852="","",$Q852)</f>
        <v/>
      </c>
      <c r="P852">
        <f>IF($N852="","",LEFT($Q852,4)&amp;MID($Q852,6,2)&amp;RIGHT($Q852,2)&amp;IF(Sync!$K852="","0000",IF(AND(ISNUMBER(Sync!$K852),Sync!$K852&gt;=0,Sync!$K852&lt;1),RIGHT("00"&amp;HOUR(Sync!$K852),2)&amp;RIGHT("00"&amp;MINUTE(Sync!$K852),2),IFERROR(RIGHT("00"&amp;VALUE(LEFT(Sync!$K852,FIND(":",Sync!$K852)-1)),2)&amp;RIGHT("00"&amp;VALUE(MID(Sync!$K852,FIND(":",Sync!$K852)+1,2)),2),"0000")))&amp;"|"&amp;"2"&amp;RIGHT("00000"&amp;847,5))</f>
        <v/>
      </c>
      <c r="Q852">
        <f>IF(Sync!$J852="","",IF(ISNUMBER(Sync!$J852),IF(AND(Sync!$J852&gt;=10000101,Sync!$J852&lt;=99991231),INT(Sync!$J852/10000)&amp;"/"&amp;RIGHT("00"&amp;INT(MOD(Sync!$J852,10000)/100),2)&amp;"/"&amp;RIGHT("00"&amp;MOD(Sync!$J852,100),2),"نامعتبر"),IF(LEN(Sync!$J852)=10,Sync!$J852,"نامعتبر")))</f>
        <v/>
      </c>
      <c r="R852">
        <f>IF($P852="","",COUNTIFS($N$6:$N$2005,$N852,$P$6:$P$2005,"&lt;"&amp;$P852)+COUNTIFS($A$6:$A$1005,$N852,$B$6:$B$1005,"&lt;"&amp;$P852)+1)</f>
        <v/>
      </c>
      <c r="S852">
        <f>IF($N852="","",$N852&amp;"|"&amp;RIGHT("000000"&amp;$R852,6))</f>
        <v/>
      </c>
      <c r="T852">
        <f>IF($N852="","",IF(Sync!$N852="",0,Sync!$N852))</f>
        <v/>
      </c>
      <c r="U852">
        <f>IF($N852="","",IF(Sync!$O852="",0,Sync!$O852))</f>
        <v/>
      </c>
      <c r="V852">
        <f>IF($N852="","",Sync!$L852)</f>
        <v/>
      </c>
      <c r="W852">
        <f>IF($N852="","",Sync!$P852)</f>
        <v/>
      </c>
      <c r="AA852">
        <f>IF($A852="","",IF(COUNTIF($A$6:$A852,$A852)=1,1,0))</f>
        <v/>
      </c>
      <c r="AB852">
        <f>SUM($AA$6:$AA852)</f>
        <v/>
      </c>
      <c r="AC852">
        <f>IFERROR(INDEX($A$6:$A$1005,MATCH(ROW()-5,$AB$6:$AB$1005,0)),"")</f>
        <v/>
      </c>
    </row>
    <row r="853">
      <c r="A853">
        <f>IF(OR(Entry!$B856="",Entry!$E856="",$E853="نامعتبر"),"",Entry!$E856)</f>
        <v/>
      </c>
      <c r="B853">
        <f>IF($A853="","",LEFT($E853,4)&amp;MID($E853,6,2)&amp;RIGHT($E853,2)&amp;$F853&amp;"|"&amp;"1"&amp;RIGHT("00000"&amp;848,5))</f>
        <v/>
      </c>
      <c r="C853">
        <f>IF($B853="","",COUNTIFS($A$6:$A$1005,$A853,$B$6:$B$1005,"&lt;"&amp;$B853)+COUNTIFS($N$6:$N$2005,$A853,$P$6:$P$2005,"&lt;"&amp;$B853)+1)</f>
        <v/>
      </c>
      <c r="D853">
        <f>IF($C853="","",$A853&amp;"|"&amp;RIGHT("000000"&amp;$C853,6))</f>
        <v/>
      </c>
      <c r="E853">
        <f>IF(Entry!$B856="","",IF(ISNUMBER(Entry!$B856),IF(AND(Entry!$B856&gt;=10000101,Entry!$B856&lt;=99991231),INT(Entry!$B856/10000)&amp;"/"&amp;RIGHT("00"&amp;INT(MOD(Entry!$B856,10000)/100),2)&amp;"/"&amp;RIGHT("00"&amp;MOD(Entry!$B856,100),2),"نامعتبر"),IF(LEN(Entry!$B856)=10,Entry!$B856,"نامعتبر")))</f>
        <v/>
      </c>
      <c r="F853">
        <f>IF(Entry!$B856="","",IF(Entry!$C856="","0000",IF(AND(ISNUMBER(Entry!$C856),Entry!$C856&gt;=0,Entry!$C856&lt;1),RIGHT("00"&amp;HOUR(Entry!$C856),2)&amp;RIGHT("00"&amp;MINUTE(Entry!$C856),2),IFERROR(RIGHT("00"&amp;VALUE(LEFT(Entry!$C856,FIND(":",Entry!$C856)-1)),2)&amp;RIGHT("00"&amp;VALUE(MID(Entry!$C856,FIND(":",Entry!$C856)+1,2)),2),"0000"))))</f>
        <v/>
      </c>
      <c r="G853">
        <f>IF($A853="","",Entry!$G856)</f>
        <v/>
      </c>
      <c r="H853">
        <f>IF($A853="","",IF(Entry!$H856="",0,Entry!$H856))</f>
        <v/>
      </c>
      <c r="I853">
        <f>IF($A853="","",IF(Entry!$I856="",0,Entry!$I856))</f>
        <v/>
      </c>
      <c r="J853">
        <f>IF($A853="","",ROUND($H853*$I853,0))</f>
        <v/>
      </c>
      <c r="K853">
        <f>IF($A853="","",Entry!$D856)</f>
        <v/>
      </c>
      <c r="L853">
        <f>IF($A853="","",Entry!$L856)</f>
        <v/>
      </c>
      <c r="N853">
        <f>IF(OR(Sync!$M853="",$Q853="",$Q853="نامعتبر"),"",Sync!$M853)</f>
        <v/>
      </c>
      <c r="O853">
        <f>IF($N853="","",$Q853)</f>
        <v/>
      </c>
      <c r="P853">
        <f>IF($N853="","",LEFT($Q853,4)&amp;MID($Q853,6,2)&amp;RIGHT($Q853,2)&amp;IF(Sync!$K853="","0000",IF(AND(ISNUMBER(Sync!$K853),Sync!$K853&gt;=0,Sync!$K853&lt;1),RIGHT("00"&amp;HOUR(Sync!$K853),2)&amp;RIGHT("00"&amp;MINUTE(Sync!$K853),2),IFERROR(RIGHT("00"&amp;VALUE(LEFT(Sync!$K853,FIND(":",Sync!$K853)-1)),2)&amp;RIGHT("00"&amp;VALUE(MID(Sync!$K853,FIND(":",Sync!$K853)+1,2)),2),"0000")))&amp;"|"&amp;"2"&amp;RIGHT("00000"&amp;848,5))</f>
        <v/>
      </c>
      <c r="Q853">
        <f>IF(Sync!$J853="","",IF(ISNUMBER(Sync!$J853),IF(AND(Sync!$J853&gt;=10000101,Sync!$J853&lt;=99991231),INT(Sync!$J853/10000)&amp;"/"&amp;RIGHT("00"&amp;INT(MOD(Sync!$J853,10000)/100),2)&amp;"/"&amp;RIGHT("00"&amp;MOD(Sync!$J853,100),2),"نامعتبر"),IF(LEN(Sync!$J853)=10,Sync!$J853,"نامعتبر")))</f>
        <v/>
      </c>
      <c r="R853">
        <f>IF($P853="","",COUNTIFS($N$6:$N$2005,$N853,$P$6:$P$2005,"&lt;"&amp;$P853)+COUNTIFS($A$6:$A$1005,$N853,$B$6:$B$1005,"&lt;"&amp;$P853)+1)</f>
        <v/>
      </c>
      <c r="S853">
        <f>IF($N853="","",$N853&amp;"|"&amp;RIGHT("000000"&amp;$R853,6))</f>
        <v/>
      </c>
      <c r="T853">
        <f>IF($N853="","",IF(Sync!$N853="",0,Sync!$N853))</f>
        <v/>
      </c>
      <c r="U853">
        <f>IF($N853="","",IF(Sync!$O853="",0,Sync!$O853))</f>
        <v/>
      </c>
      <c r="V853">
        <f>IF($N853="","",Sync!$L853)</f>
        <v/>
      </c>
      <c r="W853">
        <f>IF($N853="","",Sync!$P853)</f>
        <v/>
      </c>
      <c r="AA853">
        <f>IF($A853="","",IF(COUNTIF($A$6:$A853,$A853)=1,1,0))</f>
        <v/>
      </c>
      <c r="AB853">
        <f>SUM($AA$6:$AA853)</f>
        <v/>
      </c>
      <c r="AC853">
        <f>IFERROR(INDEX($A$6:$A$1005,MATCH(ROW()-5,$AB$6:$AB$1005,0)),"")</f>
        <v/>
      </c>
    </row>
    <row r="854">
      <c r="A854">
        <f>IF(OR(Entry!$B857="",Entry!$E857="",$E854="نامعتبر"),"",Entry!$E857)</f>
        <v/>
      </c>
      <c r="B854">
        <f>IF($A854="","",LEFT($E854,4)&amp;MID($E854,6,2)&amp;RIGHT($E854,2)&amp;$F854&amp;"|"&amp;"1"&amp;RIGHT("00000"&amp;849,5))</f>
        <v/>
      </c>
      <c r="C854">
        <f>IF($B854="","",COUNTIFS($A$6:$A$1005,$A854,$B$6:$B$1005,"&lt;"&amp;$B854)+COUNTIFS($N$6:$N$2005,$A854,$P$6:$P$2005,"&lt;"&amp;$B854)+1)</f>
        <v/>
      </c>
      <c r="D854">
        <f>IF($C854="","",$A854&amp;"|"&amp;RIGHT("000000"&amp;$C854,6))</f>
        <v/>
      </c>
      <c r="E854">
        <f>IF(Entry!$B857="","",IF(ISNUMBER(Entry!$B857),IF(AND(Entry!$B857&gt;=10000101,Entry!$B857&lt;=99991231),INT(Entry!$B857/10000)&amp;"/"&amp;RIGHT("00"&amp;INT(MOD(Entry!$B857,10000)/100),2)&amp;"/"&amp;RIGHT("00"&amp;MOD(Entry!$B857,100),2),"نامعتبر"),IF(LEN(Entry!$B857)=10,Entry!$B857,"نامعتبر")))</f>
        <v/>
      </c>
      <c r="F854">
        <f>IF(Entry!$B857="","",IF(Entry!$C857="","0000",IF(AND(ISNUMBER(Entry!$C857),Entry!$C857&gt;=0,Entry!$C857&lt;1),RIGHT("00"&amp;HOUR(Entry!$C857),2)&amp;RIGHT("00"&amp;MINUTE(Entry!$C857),2),IFERROR(RIGHT("00"&amp;VALUE(LEFT(Entry!$C857,FIND(":",Entry!$C857)-1)),2)&amp;RIGHT("00"&amp;VALUE(MID(Entry!$C857,FIND(":",Entry!$C857)+1,2)),2),"0000"))))</f>
        <v/>
      </c>
      <c r="G854">
        <f>IF($A854="","",Entry!$G857)</f>
        <v/>
      </c>
      <c r="H854">
        <f>IF($A854="","",IF(Entry!$H857="",0,Entry!$H857))</f>
        <v/>
      </c>
      <c r="I854">
        <f>IF($A854="","",IF(Entry!$I857="",0,Entry!$I857))</f>
        <v/>
      </c>
      <c r="J854">
        <f>IF($A854="","",ROUND($H854*$I854,0))</f>
        <v/>
      </c>
      <c r="K854">
        <f>IF($A854="","",Entry!$D857)</f>
        <v/>
      </c>
      <c r="L854">
        <f>IF($A854="","",Entry!$L857)</f>
        <v/>
      </c>
      <c r="N854">
        <f>IF(OR(Sync!$M854="",$Q854="",$Q854="نامعتبر"),"",Sync!$M854)</f>
        <v/>
      </c>
      <c r="O854">
        <f>IF($N854="","",$Q854)</f>
        <v/>
      </c>
      <c r="P854">
        <f>IF($N854="","",LEFT($Q854,4)&amp;MID($Q854,6,2)&amp;RIGHT($Q854,2)&amp;IF(Sync!$K854="","0000",IF(AND(ISNUMBER(Sync!$K854),Sync!$K854&gt;=0,Sync!$K854&lt;1),RIGHT("00"&amp;HOUR(Sync!$K854),2)&amp;RIGHT("00"&amp;MINUTE(Sync!$K854),2),IFERROR(RIGHT("00"&amp;VALUE(LEFT(Sync!$K854,FIND(":",Sync!$K854)-1)),2)&amp;RIGHT("00"&amp;VALUE(MID(Sync!$K854,FIND(":",Sync!$K854)+1,2)),2),"0000")))&amp;"|"&amp;"2"&amp;RIGHT("00000"&amp;849,5))</f>
        <v/>
      </c>
      <c r="Q854">
        <f>IF(Sync!$J854="","",IF(ISNUMBER(Sync!$J854),IF(AND(Sync!$J854&gt;=10000101,Sync!$J854&lt;=99991231),INT(Sync!$J854/10000)&amp;"/"&amp;RIGHT("00"&amp;INT(MOD(Sync!$J854,10000)/100),2)&amp;"/"&amp;RIGHT("00"&amp;MOD(Sync!$J854,100),2),"نامعتبر"),IF(LEN(Sync!$J854)=10,Sync!$J854,"نامعتبر")))</f>
        <v/>
      </c>
      <c r="R854">
        <f>IF($P854="","",COUNTIFS($N$6:$N$2005,$N854,$P$6:$P$2005,"&lt;"&amp;$P854)+COUNTIFS($A$6:$A$1005,$N854,$B$6:$B$1005,"&lt;"&amp;$P854)+1)</f>
        <v/>
      </c>
      <c r="S854">
        <f>IF($N854="","",$N854&amp;"|"&amp;RIGHT("000000"&amp;$R854,6))</f>
        <v/>
      </c>
      <c r="T854">
        <f>IF($N854="","",IF(Sync!$N854="",0,Sync!$N854))</f>
        <v/>
      </c>
      <c r="U854">
        <f>IF($N854="","",IF(Sync!$O854="",0,Sync!$O854))</f>
        <v/>
      </c>
      <c r="V854">
        <f>IF($N854="","",Sync!$L854)</f>
        <v/>
      </c>
      <c r="W854">
        <f>IF($N854="","",Sync!$P854)</f>
        <v/>
      </c>
      <c r="AA854">
        <f>IF($A854="","",IF(COUNTIF($A$6:$A854,$A854)=1,1,0))</f>
        <v/>
      </c>
      <c r="AB854">
        <f>SUM($AA$6:$AA854)</f>
        <v/>
      </c>
      <c r="AC854">
        <f>IFERROR(INDEX($A$6:$A$1005,MATCH(ROW()-5,$AB$6:$AB$1005,0)),"")</f>
        <v/>
      </c>
    </row>
    <row r="855">
      <c r="A855">
        <f>IF(OR(Entry!$B858="",Entry!$E858="",$E855="نامعتبر"),"",Entry!$E858)</f>
        <v/>
      </c>
      <c r="B855">
        <f>IF($A855="","",LEFT($E855,4)&amp;MID($E855,6,2)&amp;RIGHT($E855,2)&amp;$F855&amp;"|"&amp;"1"&amp;RIGHT("00000"&amp;850,5))</f>
        <v/>
      </c>
      <c r="C855">
        <f>IF($B855="","",COUNTIFS($A$6:$A$1005,$A855,$B$6:$B$1005,"&lt;"&amp;$B855)+COUNTIFS($N$6:$N$2005,$A855,$P$6:$P$2005,"&lt;"&amp;$B855)+1)</f>
        <v/>
      </c>
      <c r="D855">
        <f>IF($C855="","",$A855&amp;"|"&amp;RIGHT("000000"&amp;$C855,6))</f>
        <v/>
      </c>
      <c r="E855">
        <f>IF(Entry!$B858="","",IF(ISNUMBER(Entry!$B858),IF(AND(Entry!$B858&gt;=10000101,Entry!$B858&lt;=99991231),INT(Entry!$B858/10000)&amp;"/"&amp;RIGHT("00"&amp;INT(MOD(Entry!$B858,10000)/100),2)&amp;"/"&amp;RIGHT("00"&amp;MOD(Entry!$B858,100),2),"نامعتبر"),IF(LEN(Entry!$B858)=10,Entry!$B858,"نامعتبر")))</f>
        <v/>
      </c>
      <c r="F855">
        <f>IF(Entry!$B858="","",IF(Entry!$C858="","0000",IF(AND(ISNUMBER(Entry!$C858),Entry!$C858&gt;=0,Entry!$C858&lt;1),RIGHT("00"&amp;HOUR(Entry!$C858),2)&amp;RIGHT("00"&amp;MINUTE(Entry!$C858),2),IFERROR(RIGHT("00"&amp;VALUE(LEFT(Entry!$C858,FIND(":",Entry!$C858)-1)),2)&amp;RIGHT("00"&amp;VALUE(MID(Entry!$C858,FIND(":",Entry!$C858)+1,2)),2),"0000"))))</f>
        <v/>
      </c>
      <c r="G855">
        <f>IF($A855="","",Entry!$G858)</f>
        <v/>
      </c>
      <c r="H855">
        <f>IF($A855="","",IF(Entry!$H858="",0,Entry!$H858))</f>
        <v/>
      </c>
      <c r="I855">
        <f>IF($A855="","",IF(Entry!$I858="",0,Entry!$I858))</f>
        <v/>
      </c>
      <c r="J855">
        <f>IF($A855="","",ROUND($H855*$I855,0))</f>
        <v/>
      </c>
      <c r="K855">
        <f>IF($A855="","",Entry!$D858)</f>
        <v/>
      </c>
      <c r="L855">
        <f>IF($A855="","",Entry!$L858)</f>
        <v/>
      </c>
      <c r="N855">
        <f>IF(OR(Sync!$M855="",$Q855="",$Q855="نامعتبر"),"",Sync!$M855)</f>
        <v/>
      </c>
      <c r="O855">
        <f>IF($N855="","",$Q855)</f>
        <v/>
      </c>
      <c r="P855">
        <f>IF($N855="","",LEFT($Q855,4)&amp;MID($Q855,6,2)&amp;RIGHT($Q855,2)&amp;IF(Sync!$K855="","0000",IF(AND(ISNUMBER(Sync!$K855),Sync!$K855&gt;=0,Sync!$K855&lt;1),RIGHT("00"&amp;HOUR(Sync!$K855),2)&amp;RIGHT("00"&amp;MINUTE(Sync!$K855),2),IFERROR(RIGHT("00"&amp;VALUE(LEFT(Sync!$K855,FIND(":",Sync!$K855)-1)),2)&amp;RIGHT("00"&amp;VALUE(MID(Sync!$K855,FIND(":",Sync!$K855)+1,2)),2),"0000")))&amp;"|"&amp;"2"&amp;RIGHT("00000"&amp;850,5))</f>
        <v/>
      </c>
      <c r="Q855">
        <f>IF(Sync!$J855="","",IF(ISNUMBER(Sync!$J855),IF(AND(Sync!$J855&gt;=10000101,Sync!$J855&lt;=99991231),INT(Sync!$J855/10000)&amp;"/"&amp;RIGHT("00"&amp;INT(MOD(Sync!$J855,10000)/100),2)&amp;"/"&amp;RIGHT("00"&amp;MOD(Sync!$J855,100),2),"نامعتبر"),IF(LEN(Sync!$J855)=10,Sync!$J855,"نامعتبر")))</f>
        <v/>
      </c>
      <c r="R855">
        <f>IF($P855="","",COUNTIFS($N$6:$N$2005,$N855,$P$6:$P$2005,"&lt;"&amp;$P855)+COUNTIFS($A$6:$A$1005,$N855,$B$6:$B$1005,"&lt;"&amp;$P855)+1)</f>
        <v/>
      </c>
      <c r="S855">
        <f>IF($N855="","",$N855&amp;"|"&amp;RIGHT("000000"&amp;$R855,6))</f>
        <v/>
      </c>
      <c r="T855">
        <f>IF($N855="","",IF(Sync!$N855="",0,Sync!$N855))</f>
        <v/>
      </c>
      <c r="U855">
        <f>IF($N855="","",IF(Sync!$O855="",0,Sync!$O855))</f>
        <v/>
      </c>
      <c r="V855">
        <f>IF($N855="","",Sync!$L855)</f>
        <v/>
      </c>
      <c r="W855">
        <f>IF($N855="","",Sync!$P855)</f>
        <v/>
      </c>
      <c r="AA855">
        <f>IF($A855="","",IF(COUNTIF($A$6:$A855,$A855)=1,1,0))</f>
        <v/>
      </c>
      <c r="AB855">
        <f>SUM($AA$6:$AA855)</f>
        <v/>
      </c>
      <c r="AC855">
        <f>IFERROR(INDEX($A$6:$A$1005,MATCH(ROW()-5,$AB$6:$AB$1005,0)),"")</f>
        <v/>
      </c>
    </row>
    <row r="856">
      <c r="A856">
        <f>IF(OR(Entry!$B859="",Entry!$E859="",$E856="نامعتبر"),"",Entry!$E859)</f>
        <v/>
      </c>
      <c r="B856">
        <f>IF($A856="","",LEFT($E856,4)&amp;MID($E856,6,2)&amp;RIGHT($E856,2)&amp;$F856&amp;"|"&amp;"1"&amp;RIGHT("00000"&amp;851,5))</f>
        <v/>
      </c>
      <c r="C856">
        <f>IF($B856="","",COUNTIFS($A$6:$A$1005,$A856,$B$6:$B$1005,"&lt;"&amp;$B856)+COUNTIFS($N$6:$N$2005,$A856,$P$6:$P$2005,"&lt;"&amp;$B856)+1)</f>
        <v/>
      </c>
      <c r="D856">
        <f>IF($C856="","",$A856&amp;"|"&amp;RIGHT("000000"&amp;$C856,6))</f>
        <v/>
      </c>
      <c r="E856">
        <f>IF(Entry!$B859="","",IF(ISNUMBER(Entry!$B859),IF(AND(Entry!$B859&gt;=10000101,Entry!$B859&lt;=99991231),INT(Entry!$B859/10000)&amp;"/"&amp;RIGHT("00"&amp;INT(MOD(Entry!$B859,10000)/100),2)&amp;"/"&amp;RIGHT("00"&amp;MOD(Entry!$B859,100),2),"نامعتبر"),IF(LEN(Entry!$B859)=10,Entry!$B859,"نامعتبر")))</f>
        <v/>
      </c>
      <c r="F856">
        <f>IF(Entry!$B859="","",IF(Entry!$C859="","0000",IF(AND(ISNUMBER(Entry!$C859),Entry!$C859&gt;=0,Entry!$C859&lt;1),RIGHT("00"&amp;HOUR(Entry!$C859),2)&amp;RIGHT("00"&amp;MINUTE(Entry!$C859),2),IFERROR(RIGHT("00"&amp;VALUE(LEFT(Entry!$C859,FIND(":",Entry!$C859)-1)),2)&amp;RIGHT("00"&amp;VALUE(MID(Entry!$C859,FIND(":",Entry!$C859)+1,2)),2),"0000"))))</f>
        <v/>
      </c>
      <c r="G856">
        <f>IF($A856="","",Entry!$G859)</f>
        <v/>
      </c>
      <c r="H856">
        <f>IF($A856="","",IF(Entry!$H859="",0,Entry!$H859))</f>
        <v/>
      </c>
      <c r="I856">
        <f>IF($A856="","",IF(Entry!$I859="",0,Entry!$I859))</f>
        <v/>
      </c>
      <c r="J856">
        <f>IF($A856="","",ROUND($H856*$I856,0))</f>
        <v/>
      </c>
      <c r="K856">
        <f>IF($A856="","",Entry!$D859)</f>
        <v/>
      </c>
      <c r="L856">
        <f>IF($A856="","",Entry!$L859)</f>
        <v/>
      </c>
      <c r="N856">
        <f>IF(OR(Sync!$M856="",$Q856="",$Q856="نامعتبر"),"",Sync!$M856)</f>
        <v/>
      </c>
      <c r="O856">
        <f>IF($N856="","",$Q856)</f>
        <v/>
      </c>
      <c r="P856">
        <f>IF($N856="","",LEFT($Q856,4)&amp;MID($Q856,6,2)&amp;RIGHT($Q856,2)&amp;IF(Sync!$K856="","0000",IF(AND(ISNUMBER(Sync!$K856),Sync!$K856&gt;=0,Sync!$K856&lt;1),RIGHT("00"&amp;HOUR(Sync!$K856),2)&amp;RIGHT("00"&amp;MINUTE(Sync!$K856),2),IFERROR(RIGHT("00"&amp;VALUE(LEFT(Sync!$K856,FIND(":",Sync!$K856)-1)),2)&amp;RIGHT("00"&amp;VALUE(MID(Sync!$K856,FIND(":",Sync!$K856)+1,2)),2),"0000")))&amp;"|"&amp;"2"&amp;RIGHT("00000"&amp;851,5))</f>
        <v/>
      </c>
      <c r="Q856">
        <f>IF(Sync!$J856="","",IF(ISNUMBER(Sync!$J856),IF(AND(Sync!$J856&gt;=10000101,Sync!$J856&lt;=99991231),INT(Sync!$J856/10000)&amp;"/"&amp;RIGHT("00"&amp;INT(MOD(Sync!$J856,10000)/100),2)&amp;"/"&amp;RIGHT("00"&amp;MOD(Sync!$J856,100),2),"نامعتبر"),IF(LEN(Sync!$J856)=10,Sync!$J856,"نامعتبر")))</f>
        <v/>
      </c>
      <c r="R856">
        <f>IF($P856="","",COUNTIFS($N$6:$N$2005,$N856,$P$6:$P$2005,"&lt;"&amp;$P856)+COUNTIFS($A$6:$A$1005,$N856,$B$6:$B$1005,"&lt;"&amp;$P856)+1)</f>
        <v/>
      </c>
      <c r="S856">
        <f>IF($N856="","",$N856&amp;"|"&amp;RIGHT("000000"&amp;$R856,6))</f>
        <v/>
      </c>
      <c r="T856">
        <f>IF($N856="","",IF(Sync!$N856="",0,Sync!$N856))</f>
        <v/>
      </c>
      <c r="U856">
        <f>IF($N856="","",IF(Sync!$O856="",0,Sync!$O856))</f>
        <v/>
      </c>
      <c r="V856">
        <f>IF($N856="","",Sync!$L856)</f>
        <v/>
      </c>
      <c r="W856">
        <f>IF($N856="","",Sync!$P856)</f>
        <v/>
      </c>
      <c r="AA856">
        <f>IF($A856="","",IF(COUNTIF($A$6:$A856,$A856)=1,1,0))</f>
        <v/>
      </c>
      <c r="AB856">
        <f>SUM($AA$6:$AA856)</f>
        <v/>
      </c>
      <c r="AC856">
        <f>IFERROR(INDEX($A$6:$A$1005,MATCH(ROW()-5,$AB$6:$AB$1005,0)),"")</f>
        <v/>
      </c>
    </row>
    <row r="857">
      <c r="A857">
        <f>IF(OR(Entry!$B860="",Entry!$E860="",$E857="نامعتبر"),"",Entry!$E860)</f>
        <v/>
      </c>
      <c r="B857">
        <f>IF($A857="","",LEFT($E857,4)&amp;MID($E857,6,2)&amp;RIGHT($E857,2)&amp;$F857&amp;"|"&amp;"1"&amp;RIGHT("00000"&amp;852,5))</f>
        <v/>
      </c>
      <c r="C857">
        <f>IF($B857="","",COUNTIFS($A$6:$A$1005,$A857,$B$6:$B$1005,"&lt;"&amp;$B857)+COUNTIFS($N$6:$N$2005,$A857,$P$6:$P$2005,"&lt;"&amp;$B857)+1)</f>
        <v/>
      </c>
      <c r="D857">
        <f>IF($C857="","",$A857&amp;"|"&amp;RIGHT("000000"&amp;$C857,6))</f>
        <v/>
      </c>
      <c r="E857">
        <f>IF(Entry!$B860="","",IF(ISNUMBER(Entry!$B860),IF(AND(Entry!$B860&gt;=10000101,Entry!$B860&lt;=99991231),INT(Entry!$B860/10000)&amp;"/"&amp;RIGHT("00"&amp;INT(MOD(Entry!$B860,10000)/100),2)&amp;"/"&amp;RIGHT("00"&amp;MOD(Entry!$B860,100),2),"نامعتبر"),IF(LEN(Entry!$B860)=10,Entry!$B860,"نامعتبر")))</f>
        <v/>
      </c>
      <c r="F857">
        <f>IF(Entry!$B860="","",IF(Entry!$C860="","0000",IF(AND(ISNUMBER(Entry!$C860),Entry!$C860&gt;=0,Entry!$C860&lt;1),RIGHT("00"&amp;HOUR(Entry!$C860),2)&amp;RIGHT("00"&amp;MINUTE(Entry!$C860),2),IFERROR(RIGHT("00"&amp;VALUE(LEFT(Entry!$C860,FIND(":",Entry!$C860)-1)),2)&amp;RIGHT("00"&amp;VALUE(MID(Entry!$C860,FIND(":",Entry!$C860)+1,2)),2),"0000"))))</f>
        <v/>
      </c>
      <c r="G857">
        <f>IF($A857="","",Entry!$G860)</f>
        <v/>
      </c>
      <c r="H857">
        <f>IF($A857="","",IF(Entry!$H860="",0,Entry!$H860))</f>
        <v/>
      </c>
      <c r="I857">
        <f>IF($A857="","",IF(Entry!$I860="",0,Entry!$I860))</f>
        <v/>
      </c>
      <c r="J857">
        <f>IF($A857="","",ROUND($H857*$I857,0))</f>
        <v/>
      </c>
      <c r="K857">
        <f>IF($A857="","",Entry!$D860)</f>
        <v/>
      </c>
      <c r="L857">
        <f>IF($A857="","",Entry!$L860)</f>
        <v/>
      </c>
      <c r="N857">
        <f>IF(OR(Sync!$M857="",$Q857="",$Q857="نامعتبر"),"",Sync!$M857)</f>
        <v/>
      </c>
      <c r="O857">
        <f>IF($N857="","",$Q857)</f>
        <v/>
      </c>
      <c r="P857">
        <f>IF($N857="","",LEFT($Q857,4)&amp;MID($Q857,6,2)&amp;RIGHT($Q857,2)&amp;IF(Sync!$K857="","0000",IF(AND(ISNUMBER(Sync!$K857),Sync!$K857&gt;=0,Sync!$K857&lt;1),RIGHT("00"&amp;HOUR(Sync!$K857),2)&amp;RIGHT("00"&amp;MINUTE(Sync!$K857),2),IFERROR(RIGHT("00"&amp;VALUE(LEFT(Sync!$K857,FIND(":",Sync!$K857)-1)),2)&amp;RIGHT("00"&amp;VALUE(MID(Sync!$K857,FIND(":",Sync!$K857)+1,2)),2),"0000")))&amp;"|"&amp;"2"&amp;RIGHT("00000"&amp;852,5))</f>
        <v/>
      </c>
      <c r="Q857">
        <f>IF(Sync!$J857="","",IF(ISNUMBER(Sync!$J857),IF(AND(Sync!$J857&gt;=10000101,Sync!$J857&lt;=99991231),INT(Sync!$J857/10000)&amp;"/"&amp;RIGHT("00"&amp;INT(MOD(Sync!$J857,10000)/100),2)&amp;"/"&amp;RIGHT("00"&amp;MOD(Sync!$J857,100),2),"نامعتبر"),IF(LEN(Sync!$J857)=10,Sync!$J857,"نامعتبر")))</f>
        <v/>
      </c>
      <c r="R857">
        <f>IF($P857="","",COUNTIFS($N$6:$N$2005,$N857,$P$6:$P$2005,"&lt;"&amp;$P857)+COUNTIFS($A$6:$A$1005,$N857,$B$6:$B$1005,"&lt;"&amp;$P857)+1)</f>
        <v/>
      </c>
      <c r="S857">
        <f>IF($N857="","",$N857&amp;"|"&amp;RIGHT("000000"&amp;$R857,6))</f>
        <v/>
      </c>
      <c r="T857">
        <f>IF($N857="","",IF(Sync!$N857="",0,Sync!$N857))</f>
        <v/>
      </c>
      <c r="U857">
        <f>IF($N857="","",IF(Sync!$O857="",0,Sync!$O857))</f>
        <v/>
      </c>
      <c r="V857">
        <f>IF($N857="","",Sync!$L857)</f>
        <v/>
      </c>
      <c r="W857">
        <f>IF($N857="","",Sync!$P857)</f>
        <v/>
      </c>
      <c r="AA857">
        <f>IF($A857="","",IF(COUNTIF($A$6:$A857,$A857)=1,1,0))</f>
        <v/>
      </c>
      <c r="AB857">
        <f>SUM($AA$6:$AA857)</f>
        <v/>
      </c>
      <c r="AC857">
        <f>IFERROR(INDEX($A$6:$A$1005,MATCH(ROW()-5,$AB$6:$AB$1005,0)),"")</f>
        <v/>
      </c>
    </row>
    <row r="858">
      <c r="A858">
        <f>IF(OR(Entry!$B861="",Entry!$E861="",$E858="نامعتبر"),"",Entry!$E861)</f>
        <v/>
      </c>
      <c r="B858">
        <f>IF($A858="","",LEFT($E858,4)&amp;MID($E858,6,2)&amp;RIGHT($E858,2)&amp;$F858&amp;"|"&amp;"1"&amp;RIGHT("00000"&amp;853,5))</f>
        <v/>
      </c>
      <c r="C858">
        <f>IF($B858="","",COUNTIFS($A$6:$A$1005,$A858,$B$6:$B$1005,"&lt;"&amp;$B858)+COUNTIFS($N$6:$N$2005,$A858,$P$6:$P$2005,"&lt;"&amp;$B858)+1)</f>
        <v/>
      </c>
      <c r="D858">
        <f>IF($C858="","",$A858&amp;"|"&amp;RIGHT("000000"&amp;$C858,6))</f>
        <v/>
      </c>
      <c r="E858">
        <f>IF(Entry!$B861="","",IF(ISNUMBER(Entry!$B861),IF(AND(Entry!$B861&gt;=10000101,Entry!$B861&lt;=99991231),INT(Entry!$B861/10000)&amp;"/"&amp;RIGHT("00"&amp;INT(MOD(Entry!$B861,10000)/100),2)&amp;"/"&amp;RIGHT("00"&amp;MOD(Entry!$B861,100),2),"نامعتبر"),IF(LEN(Entry!$B861)=10,Entry!$B861,"نامعتبر")))</f>
        <v/>
      </c>
      <c r="F858">
        <f>IF(Entry!$B861="","",IF(Entry!$C861="","0000",IF(AND(ISNUMBER(Entry!$C861),Entry!$C861&gt;=0,Entry!$C861&lt;1),RIGHT("00"&amp;HOUR(Entry!$C861),2)&amp;RIGHT("00"&amp;MINUTE(Entry!$C861),2),IFERROR(RIGHT("00"&amp;VALUE(LEFT(Entry!$C861,FIND(":",Entry!$C861)-1)),2)&amp;RIGHT("00"&amp;VALUE(MID(Entry!$C861,FIND(":",Entry!$C861)+1,2)),2),"0000"))))</f>
        <v/>
      </c>
      <c r="G858">
        <f>IF($A858="","",Entry!$G861)</f>
        <v/>
      </c>
      <c r="H858">
        <f>IF($A858="","",IF(Entry!$H861="",0,Entry!$H861))</f>
        <v/>
      </c>
      <c r="I858">
        <f>IF($A858="","",IF(Entry!$I861="",0,Entry!$I861))</f>
        <v/>
      </c>
      <c r="J858">
        <f>IF($A858="","",ROUND($H858*$I858,0))</f>
        <v/>
      </c>
      <c r="K858">
        <f>IF($A858="","",Entry!$D861)</f>
        <v/>
      </c>
      <c r="L858">
        <f>IF($A858="","",Entry!$L861)</f>
        <v/>
      </c>
      <c r="N858">
        <f>IF(OR(Sync!$M858="",$Q858="",$Q858="نامعتبر"),"",Sync!$M858)</f>
        <v/>
      </c>
      <c r="O858">
        <f>IF($N858="","",$Q858)</f>
        <v/>
      </c>
      <c r="P858">
        <f>IF($N858="","",LEFT($Q858,4)&amp;MID($Q858,6,2)&amp;RIGHT($Q858,2)&amp;IF(Sync!$K858="","0000",IF(AND(ISNUMBER(Sync!$K858),Sync!$K858&gt;=0,Sync!$K858&lt;1),RIGHT("00"&amp;HOUR(Sync!$K858),2)&amp;RIGHT("00"&amp;MINUTE(Sync!$K858),2),IFERROR(RIGHT("00"&amp;VALUE(LEFT(Sync!$K858,FIND(":",Sync!$K858)-1)),2)&amp;RIGHT("00"&amp;VALUE(MID(Sync!$K858,FIND(":",Sync!$K858)+1,2)),2),"0000")))&amp;"|"&amp;"2"&amp;RIGHT("00000"&amp;853,5))</f>
        <v/>
      </c>
      <c r="Q858">
        <f>IF(Sync!$J858="","",IF(ISNUMBER(Sync!$J858),IF(AND(Sync!$J858&gt;=10000101,Sync!$J858&lt;=99991231),INT(Sync!$J858/10000)&amp;"/"&amp;RIGHT("00"&amp;INT(MOD(Sync!$J858,10000)/100),2)&amp;"/"&amp;RIGHT("00"&amp;MOD(Sync!$J858,100),2),"نامعتبر"),IF(LEN(Sync!$J858)=10,Sync!$J858,"نامعتبر")))</f>
        <v/>
      </c>
      <c r="R858">
        <f>IF($P858="","",COUNTIFS($N$6:$N$2005,$N858,$P$6:$P$2005,"&lt;"&amp;$P858)+COUNTIFS($A$6:$A$1005,$N858,$B$6:$B$1005,"&lt;"&amp;$P858)+1)</f>
        <v/>
      </c>
      <c r="S858">
        <f>IF($N858="","",$N858&amp;"|"&amp;RIGHT("000000"&amp;$R858,6))</f>
        <v/>
      </c>
      <c r="T858">
        <f>IF($N858="","",IF(Sync!$N858="",0,Sync!$N858))</f>
        <v/>
      </c>
      <c r="U858">
        <f>IF($N858="","",IF(Sync!$O858="",0,Sync!$O858))</f>
        <v/>
      </c>
      <c r="V858">
        <f>IF($N858="","",Sync!$L858)</f>
        <v/>
      </c>
      <c r="W858">
        <f>IF($N858="","",Sync!$P858)</f>
        <v/>
      </c>
      <c r="AA858">
        <f>IF($A858="","",IF(COUNTIF($A$6:$A858,$A858)=1,1,0))</f>
        <v/>
      </c>
      <c r="AB858">
        <f>SUM($AA$6:$AA858)</f>
        <v/>
      </c>
      <c r="AC858">
        <f>IFERROR(INDEX($A$6:$A$1005,MATCH(ROW()-5,$AB$6:$AB$1005,0)),"")</f>
        <v/>
      </c>
    </row>
    <row r="859">
      <c r="A859">
        <f>IF(OR(Entry!$B862="",Entry!$E862="",$E859="نامعتبر"),"",Entry!$E862)</f>
        <v/>
      </c>
      <c r="B859">
        <f>IF($A859="","",LEFT($E859,4)&amp;MID($E859,6,2)&amp;RIGHT($E859,2)&amp;$F859&amp;"|"&amp;"1"&amp;RIGHT("00000"&amp;854,5))</f>
        <v/>
      </c>
      <c r="C859">
        <f>IF($B859="","",COUNTIFS($A$6:$A$1005,$A859,$B$6:$B$1005,"&lt;"&amp;$B859)+COUNTIFS($N$6:$N$2005,$A859,$P$6:$P$2005,"&lt;"&amp;$B859)+1)</f>
        <v/>
      </c>
      <c r="D859">
        <f>IF($C859="","",$A859&amp;"|"&amp;RIGHT("000000"&amp;$C859,6))</f>
        <v/>
      </c>
      <c r="E859">
        <f>IF(Entry!$B862="","",IF(ISNUMBER(Entry!$B862),IF(AND(Entry!$B862&gt;=10000101,Entry!$B862&lt;=99991231),INT(Entry!$B862/10000)&amp;"/"&amp;RIGHT("00"&amp;INT(MOD(Entry!$B862,10000)/100),2)&amp;"/"&amp;RIGHT("00"&amp;MOD(Entry!$B862,100),2),"نامعتبر"),IF(LEN(Entry!$B862)=10,Entry!$B862,"نامعتبر")))</f>
        <v/>
      </c>
      <c r="F859">
        <f>IF(Entry!$B862="","",IF(Entry!$C862="","0000",IF(AND(ISNUMBER(Entry!$C862),Entry!$C862&gt;=0,Entry!$C862&lt;1),RIGHT("00"&amp;HOUR(Entry!$C862),2)&amp;RIGHT("00"&amp;MINUTE(Entry!$C862),2),IFERROR(RIGHT("00"&amp;VALUE(LEFT(Entry!$C862,FIND(":",Entry!$C862)-1)),2)&amp;RIGHT("00"&amp;VALUE(MID(Entry!$C862,FIND(":",Entry!$C862)+1,2)),2),"0000"))))</f>
        <v/>
      </c>
      <c r="G859">
        <f>IF($A859="","",Entry!$G862)</f>
        <v/>
      </c>
      <c r="H859">
        <f>IF($A859="","",IF(Entry!$H862="",0,Entry!$H862))</f>
        <v/>
      </c>
      <c r="I859">
        <f>IF($A859="","",IF(Entry!$I862="",0,Entry!$I862))</f>
        <v/>
      </c>
      <c r="J859">
        <f>IF($A859="","",ROUND($H859*$I859,0))</f>
        <v/>
      </c>
      <c r="K859">
        <f>IF($A859="","",Entry!$D862)</f>
        <v/>
      </c>
      <c r="L859">
        <f>IF($A859="","",Entry!$L862)</f>
        <v/>
      </c>
      <c r="N859">
        <f>IF(OR(Sync!$M859="",$Q859="",$Q859="نامعتبر"),"",Sync!$M859)</f>
        <v/>
      </c>
      <c r="O859">
        <f>IF($N859="","",$Q859)</f>
        <v/>
      </c>
      <c r="P859">
        <f>IF($N859="","",LEFT($Q859,4)&amp;MID($Q859,6,2)&amp;RIGHT($Q859,2)&amp;IF(Sync!$K859="","0000",IF(AND(ISNUMBER(Sync!$K859),Sync!$K859&gt;=0,Sync!$K859&lt;1),RIGHT("00"&amp;HOUR(Sync!$K859),2)&amp;RIGHT("00"&amp;MINUTE(Sync!$K859),2),IFERROR(RIGHT("00"&amp;VALUE(LEFT(Sync!$K859,FIND(":",Sync!$K859)-1)),2)&amp;RIGHT("00"&amp;VALUE(MID(Sync!$K859,FIND(":",Sync!$K859)+1,2)),2),"0000")))&amp;"|"&amp;"2"&amp;RIGHT("00000"&amp;854,5))</f>
        <v/>
      </c>
      <c r="Q859">
        <f>IF(Sync!$J859="","",IF(ISNUMBER(Sync!$J859),IF(AND(Sync!$J859&gt;=10000101,Sync!$J859&lt;=99991231),INT(Sync!$J859/10000)&amp;"/"&amp;RIGHT("00"&amp;INT(MOD(Sync!$J859,10000)/100),2)&amp;"/"&amp;RIGHT("00"&amp;MOD(Sync!$J859,100),2),"نامعتبر"),IF(LEN(Sync!$J859)=10,Sync!$J859,"نامعتبر")))</f>
        <v/>
      </c>
      <c r="R859">
        <f>IF($P859="","",COUNTIFS($N$6:$N$2005,$N859,$P$6:$P$2005,"&lt;"&amp;$P859)+COUNTIFS($A$6:$A$1005,$N859,$B$6:$B$1005,"&lt;"&amp;$P859)+1)</f>
        <v/>
      </c>
      <c r="S859">
        <f>IF($N859="","",$N859&amp;"|"&amp;RIGHT("000000"&amp;$R859,6))</f>
        <v/>
      </c>
      <c r="T859">
        <f>IF($N859="","",IF(Sync!$N859="",0,Sync!$N859))</f>
        <v/>
      </c>
      <c r="U859">
        <f>IF($N859="","",IF(Sync!$O859="",0,Sync!$O859))</f>
        <v/>
      </c>
      <c r="V859">
        <f>IF($N859="","",Sync!$L859)</f>
        <v/>
      </c>
      <c r="W859">
        <f>IF($N859="","",Sync!$P859)</f>
        <v/>
      </c>
      <c r="AA859">
        <f>IF($A859="","",IF(COUNTIF($A$6:$A859,$A859)=1,1,0))</f>
        <v/>
      </c>
      <c r="AB859">
        <f>SUM($AA$6:$AA859)</f>
        <v/>
      </c>
      <c r="AC859">
        <f>IFERROR(INDEX($A$6:$A$1005,MATCH(ROW()-5,$AB$6:$AB$1005,0)),"")</f>
        <v/>
      </c>
    </row>
    <row r="860">
      <c r="A860">
        <f>IF(OR(Entry!$B863="",Entry!$E863="",$E860="نامعتبر"),"",Entry!$E863)</f>
        <v/>
      </c>
      <c r="B860">
        <f>IF($A860="","",LEFT($E860,4)&amp;MID($E860,6,2)&amp;RIGHT($E860,2)&amp;$F860&amp;"|"&amp;"1"&amp;RIGHT("00000"&amp;855,5))</f>
        <v/>
      </c>
      <c r="C860">
        <f>IF($B860="","",COUNTIFS($A$6:$A$1005,$A860,$B$6:$B$1005,"&lt;"&amp;$B860)+COUNTIFS($N$6:$N$2005,$A860,$P$6:$P$2005,"&lt;"&amp;$B860)+1)</f>
        <v/>
      </c>
      <c r="D860">
        <f>IF($C860="","",$A860&amp;"|"&amp;RIGHT("000000"&amp;$C860,6))</f>
        <v/>
      </c>
      <c r="E860">
        <f>IF(Entry!$B863="","",IF(ISNUMBER(Entry!$B863),IF(AND(Entry!$B863&gt;=10000101,Entry!$B863&lt;=99991231),INT(Entry!$B863/10000)&amp;"/"&amp;RIGHT("00"&amp;INT(MOD(Entry!$B863,10000)/100),2)&amp;"/"&amp;RIGHT("00"&amp;MOD(Entry!$B863,100),2),"نامعتبر"),IF(LEN(Entry!$B863)=10,Entry!$B863,"نامعتبر")))</f>
        <v/>
      </c>
      <c r="F860">
        <f>IF(Entry!$B863="","",IF(Entry!$C863="","0000",IF(AND(ISNUMBER(Entry!$C863),Entry!$C863&gt;=0,Entry!$C863&lt;1),RIGHT("00"&amp;HOUR(Entry!$C863),2)&amp;RIGHT("00"&amp;MINUTE(Entry!$C863),2),IFERROR(RIGHT("00"&amp;VALUE(LEFT(Entry!$C863,FIND(":",Entry!$C863)-1)),2)&amp;RIGHT("00"&amp;VALUE(MID(Entry!$C863,FIND(":",Entry!$C863)+1,2)),2),"0000"))))</f>
        <v/>
      </c>
      <c r="G860">
        <f>IF($A860="","",Entry!$G863)</f>
        <v/>
      </c>
      <c r="H860">
        <f>IF($A860="","",IF(Entry!$H863="",0,Entry!$H863))</f>
        <v/>
      </c>
      <c r="I860">
        <f>IF($A860="","",IF(Entry!$I863="",0,Entry!$I863))</f>
        <v/>
      </c>
      <c r="J860">
        <f>IF($A860="","",ROUND($H860*$I860,0))</f>
        <v/>
      </c>
      <c r="K860">
        <f>IF($A860="","",Entry!$D863)</f>
        <v/>
      </c>
      <c r="L860">
        <f>IF($A860="","",Entry!$L863)</f>
        <v/>
      </c>
      <c r="N860">
        <f>IF(OR(Sync!$M860="",$Q860="",$Q860="نامعتبر"),"",Sync!$M860)</f>
        <v/>
      </c>
      <c r="O860">
        <f>IF($N860="","",$Q860)</f>
        <v/>
      </c>
      <c r="P860">
        <f>IF($N860="","",LEFT($Q860,4)&amp;MID($Q860,6,2)&amp;RIGHT($Q860,2)&amp;IF(Sync!$K860="","0000",IF(AND(ISNUMBER(Sync!$K860),Sync!$K860&gt;=0,Sync!$K860&lt;1),RIGHT("00"&amp;HOUR(Sync!$K860),2)&amp;RIGHT("00"&amp;MINUTE(Sync!$K860),2),IFERROR(RIGHT("00"&amp;VALUE(LEFT(Sync!$K860,FIND(":",Sync!$K860)-1)),2)&amp;RIGHT("00"&amp;VALUE(MID(Sync!$K860,FIND(":",Sync!$K860)+1,2)),2),"0000")))&amp;"|"&amp;"2"&amp;RIGHT("00000"&amp;855,5))</f>
        <v/>
      </c>
      <c r="Q860">
        <f>IF(Sync!$J860="","",IF(ISNUMBER(Sync!$J860),IF(AND(Sync!$J860&gt;=10000101,Sync!$J860&lt;=99991231),INT(Sync!$J860/10000)&amp;"/"&amp;RIGHT("00"&amp;INT(MOD(Sync!$J860,10000)/100),2)&amp;"/"&amp;RIGHT("00"&amp;MOD(Sync!$J860,100),2),"نامعتبر"),IF(LEN(Sync!$J860)=10,Sync!$J860,"نامعتبر")))</f>
        <v/>
      </c>
      <c r="R860">
        <f>IF($P860="","",COUNTIFS($N$6:$N$2005,$N860,$P$6:$P$2005,"&lt;"&amp;$P860)+COUNTIFS($A$6:$A$1005,$N860,$B$6:$B$1005,"&lt;"&amp;$P860)+1)</f>
        <v/>
      </c>
      <c r="S860">
        <f>IF($N860="","",$N860&amp;"|"&amp;RIGHT("000000"&amp;$R860,6))</f>
        <v/>
      </c>
      <c r="T860">
        <f>IF($N860="","",IF(Sync!$N860="",0,Sync!$N860))</f>
        <v/>
      </c>
      <c r="U860">
        <f>IF($N860="","",IF(Sync!$O860="",0,Sync!$O860))</f>
        <v/>
      </c>
      <c r="V860">
        <f>IF($N860="","",Sync!$L860)</f>
        <v/>
      </c>
      <c r="W860">
        <f>IF($N860="","",Sync!$P860)</f>
        <v/>
      </c>
      <c r="AA860">
        <f>IF($A860="","",IF(COUNTIF($A$6:$A860,$A860)=1,1,0))</f>
        <v/>
      </c>
      <c r="AB860">
        <f>SUM($AA$6:$AA860)</f>
        <v/>
      </c>
      <c r="AC860">
        <f>IFERROR(INDEX($A$6:$A$1005,MATCH(ROW()-5,$AB$6:$AB$1005,0)),"")</f>
        <v/>
      </c>
    </row>
    <row r="861">
      <c r="A861">
        <f>IF(OR(Entry!$B864="",Entry!$E864="",$E861="نامعتبر"),"",Entry!$E864)</f>
        <v/>
      </c>
      <c r="B861">
        <f>IF($A861="","",LEFT($E861,4)&amp;MID($E861,6,2)&amp;RIGHT($E861,2)&amp;$F861&amp;"|"&amp;"1"&amp;RIGHT("00000"&amp;856,5))</f>
        <v/>
      </c>
      <c r="C861">
        <f>IF($B861="","",COUNTIFS($A$6:$A$1005,$A861,$B$6:$B$1005,"&lt;"&amp;$B861)+COUNTIFS($N$6:$N$2005,$A861,$P$6:$P$2005,"&lt;"&amp;$B861)+1)</f>
        <v/>
      </c>
      <c r="D861">
        <f>IF($C861="","",$A861&amp;"|"&amp;RIGHT("000000"&amp;$C861,6))</f>
        <v/>
      </c>
      <c r="E861">
        <f>IF(Entry!$B864="","",IF(ISNUMBER(Entry!$B864),IF(AND(Entry!$B864&gt;=10000101,Entry!$B864&lt;=99991231),INT(Entry!$B864/10000)&amp;"/"&amp;RIGHT("00"&amp;INT(MOD(Entry!$B864,10000)/100),2)&amp;"/"&amp;RIGHT("00"&amp;MOD(Entry!$B864,100),2),"نامعتبر"),IF(LEN(Entry!$B864)=10,Entry!$B864,"نامعتبر")))</f>
        <v/>
      </c>
      <c r="F861">
        <f>IF(Entry!$B864="","",IF(Entry!$C864="","0000",IF(AND(ISNUMBER(Entry!$C864),Entry!$C864&gt;=0,Entry!$C864&lt;1),RIGHT("00"&amp;HOUR(Entry!$C864),2)&amp;RIGHT("00"&amp;MINUTE(Entry!$C864),2),IFERROR(RIGHT("00"&amp;VALUE(LEFT(Entry!$C864,FIND(":",Entry!$C864)-1)),2)&amp;RIGHT("00"&amp;VALUE(MID(Entry!$C864,FIND(":",Entry!$C864)+1,2)),2),"0000"))))</f>
        <v/>
      </c>
      <c r="G861">
        <f>IF($A861="","",Entry!$G864)</f>
        <v/>
      </c>
      <c r="H861">
        <f>IF($A861="","",IF(Entry!$H864="",0,Entry!$H864))</f>
        <v/>
      </c>
      <c r="I861">
        <f>IF($A861="","",IF(Entry!$I864="",0,Entry!$I864))</f>
        <v/>
      </c>
      <c r="J861">
        <f>IF($A861="","",ROUND($H861*$I861,0))</f>
        <v/>
      </c>
      <c r="K861">
        <f>IF($A861="","",Entry!$D864)</f>
        <v/>
      </c>
      <c r="L861">
        <f>IF($A861="","",Entry!$L864)</f>
        <v/>
      </c>
      <c r="N861">
        <f>IF(OR(Sync!$M861="",$Q861="",$Q861="نامعتبر"),"",Sync!$M861)</f>
        <v/>
      </c>
      <c r="O861">
        <f>IF($N861="","",$Q861)</f>
        <v/>
      </c>
      <c r="P861">
        <f>IF($N861="","",LEFT($Q861,4)&amp;MID($Q861,6,2)&amp;RIGHT($Q861,2)&amp;IF(Sync!$K861="","0000",IF(AND(ISNUMBER(Sync!$K861),Sync!$K861&gt;=0,Sync!$K861&lt;1),RIGHT("00"&amp;HOUR(Sync!$K861),2)&amp;RIGHT("00"&amp;MINUTE(Sync!$K861),2),IFERROR(RIGHT("00"&amp;VALUE(LEFT(Sync!$K861,FIND(":",Sync!$K861)-1)),2)&amp;RIGHT("00"&amp;VALUE(MID(Sync!$K861,FIND(":",Sync!$K861)+1,2)),2),"0000")))&amp;"|"&amp;"2"&amp;RIGHT("00000"&amp;856,5))</f>
        <v/>
      </c>
      <c r="Q861">
        <f>IF(Sync!$J861="","",IF(ISNUMBER(Sync!$J861),IF(AND(Sync!$J861&gt;=10000101,Sync!$J861&lt;=99991231),INT(Sync!$J861/10000)&amp;"/"&amp;RIGHT("00"&amp;INT(MOD(Sync!$J861,10000)/100),2)&amp;"/"&amp;RIGHT("00"&amp;MOD(Sync!$J861,100),2),"نامعتبر"),IF(LEN(Sync!$J861)=10,Sync!$J861,"نامعتبر")))</f>
        <v/>
      </c>
      <c r="R861">
        <f>IF($P861="","",COUNTIFS($N$6:$N$2005,$N861,$P$6:$P$2005,"&lt;"&amp;$P861)+COUNTIFS($A$6:$A$1005,$N861,$B$6:$B$1005,"&lt;"&amp;$P861)+1)</f>
        <v/>
      </c>
      <c r="S861">
        <f>IF($N861="","",$N861&amp;"|"&amp;RIGHT("000000"&amp;$R861,6))</f>
        <v/>
      </c>
      <c r="T861">
        <f>IF($N861="","",IF(Sync!$N861="",0,Sync!$N861))</f>
        <v/>
      </c>
      <c r="U861">
        <f>IF($N861="","",IF(Sync!$O861="",0,Sync!$O861))</f>
        <v/>
      </c>
      <c r="V861">
        <f>IF($N861="","",Sync!$L861)</f>
        <v/>
      </c>
      <c r="W861">
        <f>IF($N861="","",Sync!$P861)</f>
        <v/>
      </c>
      <c r="AA861">
        <f>IF($A861="","",IF(COUNTIF($A$6:$A861,$A861)=1,1,0))</f>
        <v/>
      </c>
      <c r="AB861">
        <f>SUM($AA$6:$AA861)</f>
        <v/>
      </c>
      <c r="AC861">
        <f>IFERROR(INDEX($A$6:$A$1005,MATCH(ROW()-5,$AB$6:$AB$1005,0)),"")</f>
        <v/>
      </c>
    </row>
    <row r="862">
      <c r="A862">
        <f>IF(OR(Entry!$B865="",Entry!$E865="",$E862="نامعتبر"),"",Entry!$E865)</f>
        <v/>
      </c>
      <c r="B862">
        <f>IF($A862="","",LEFT($E862,4)&amp;MID($E862,6,2)&amp;RIGHT($E862,2)&amp;$F862&amp;"|"&amp;"1"&amp;RIGHT("00000"&amp;857,5))</f>
        <v/>
      </c>
      <c r="C862">
        <f>IF($B862="","",COUNTIFS($A$6:$A$1005,$A862,$B$6:$B$1005,"&lt;"&amp;$B862)+COUNTIFS($N$6:$N$2005,$A862,$P$6:$P$2005,"&lt;"&amp;$B862)+1)</f>
        <v/>
      </c>
      <c r="D862">
        <f>IF($C862="","",$A862&amp;"|"&amp;RIGHT("000000"&amp;$C862,6))</f>
        <v/>
      </c>
      <c r="E862">
        <f>IF(Entry!$B865="","",IF(ISNUMBER(Entry!$B865),IF(AND(Entry!$B865&gt;=10000101,Entry!$B865&lt;=99991231),INT(Entry!$B865/10000)&amp;"/"&amp;RIGHT("00"&amp;INT(MOD(Entry!$B865,10000)/100),2)&amp;"/"&amp;RIGHT("00"&amp;MOD(Entry!$B865,100),2),"نامعتبر"),IF(LEN(Entry!$B865)=10,Entry!$B865,"نامعتبر")))</f>
        <v/>
      </c>
      <c r="F862">
        <f>IF(Entry!$B865="","",IF(Entry!$C865="","0000",IF(AND(ISNUMBER(Entry!$C865),Entry!$C865&gt;=0,Entry!$C865&lt;1),RIGHT("00"&amp;HOUR(Entry!$C865),2)&amp;RIGHT("00"&amp;MINUTE(Entry!$C865),2),IFERROR(RIGHT("00"&amp;VALUE(LEFT(Entry!$C865,FIND(":",Entry!$C865)-1)),2)&amp;RIGHT("00"&amp;VALUE(MID(Entry!$C865,FIND(":",Entry!$C865)+1,2)),2),"0000"))))</f>
        <v/>
      </c>
      <c r="G862">
        <f>IF($A862="","",Entry!$G865)</f>
        <v/>
      </c>
      <c r="H862">
        <f>IF($A862="","",IF(Entry!$H865="",0,Entry!$H865))</f>
        <v/>
      </c>
      <c r="I862">
        <f>IF($A862="","",IF(Entry!$I865="",0,Entry!$I865))</f>
        <v/>
      </c>
      <c r="J862">
        <f>IF($A862="","",ROUND($H862*$I862,0))</f>
        <v/>
      </c>
      <c r="K862">
        <f>IF($A862="","",Entry!$D865)</f>
        <v/>
      </c>
      <c r="L862">
        <f>IF($A862="","",Entry!$L865)</f>
        <v/>
      </c>
      <c r="N862">
        <f>IF(OR(Sync!$M862="",$Q862="",$Q862="نامعتبر"),"",Sync!$M862)</f>
        <v/>
      </c>
      <c r="O862">
        <f>IF($N862="","",$Q862)</f>
        <v/>
      </c>
      <c r="P862">
        <f>IF($N862="","",LEFT($Q862,4)&amp;MID($Q862,6,2)&amp;RIGHT($Q862,2)&amp;IF(Sync!$K862="","0000",IF(AND(ISNUMBER(Sync!$K862),Sync!$K862&gt;=0,Sync!$K862&lt;1),RIGHT("00"&amp;HOUR(Sync!$K862),2)&amp;RIGHT("00"&amp;MINUTE(Sync!$K862),2),IFERROR(RIGHT("00"&amp;VALUE(LEFT(Sync!$K862,FIND(":",Sync!$K862)-1)),2)&amp;RIGHT("00"&amp;VALUE(MID(Sync!$K862,FIND(":",Sync!$K862)+1,2)),2),"0000")))&amp;"|"&amp;"2"&amp;RIGHT("00000"&amp;857,5))</f>
        <v/>
      </c>
      <c r="Q862">
        <f>IF(Sync!$J862="","",IF(ISNUMBER(Sync!$J862),IF(AND(Sync!$J862&gt;=10000101,Sync!$J862&lt;=99991231),INT(Sync!$J862/10000)&amp;"/"&amp;RIGHT("00"&amp;INT(MOD(Sync!$J862,10000)/100),2)&amp;"/"&amp;RIGHT("00"&amp;MOD(Sync!$J862,100),2),"نامعتبر"),IF(LEN(Sync!$J862)=10,Sync!$J862,"نامعتبر")))</f>
        <v/>
      </c>
      <c r="R862">
        <f>IF($P862="","",COUNTIFS($N$6:$N$2005,$N862,$P$6:$P$2005,"&lt;"&amp;$P862)+COUNTIFS($A$6:$A$1005,$N862,$B$6:$B$1005,"&lt;"&amp;$P862)+1)</f>
        <v/>
      </c>
      <c r="S862">
        <f>IF($N862="","",$N862&amp;"|"&amp;RIGHT("000000"&amp;$R862,6))</f>
        <v/>
      </c>
      <c r="T862">
        <f>IF($N862="","",IF(Sync!$N862="",0,Sync!$N862))</f>
        <v/>
      </c>
      <c r="U862">
        <f>IF($N862="","",IF(Sync!$O862="",0,Sync!$O862))</f>
        <v/>
      </c>
      <c r="V862">
        <f>IF($N862="","",Sync!$L862)</f>
        <v/>
      </c>
      <c r="W862">
        <f>IF($N862="","",Sync!$P862)</f>
        <v/>
      </c>
      <c r="AA862">
        <f>IF($A862="","",IF(COUNTIF($A$6:$A862,$A862)=1,1,0))</f>
        <v/>
      </c>
      <c r="AB862">
        <f>SUM($AA$6:$AA862)</f>
        <v/>
      </c>
      <c r="AC862">
        <f>IFERROR(INDEX($A$6:$A$1005,MATCH(ROW()-5,$AB$6:$AB$1005,0)),"")</f>
        <v/>
      </c>
    </row>
    <row r="863">
      <c r="A863">
        <f>IF(OR(Entry!$B866="",Entry!$E866="",$E863="نامعتبر"),"",Entry!$E866)</f>
        <v/>
      </c>
      <c r="B863">
        <f>IF($A863="","",LEFT($E863,4)&amp;MID($E863,6,2)&amp;RIGHT($E863,2)&amp;$F863&amp;"|"&amp;"1"&amp;RIGHT("00000"&amp;858,5))</f>
        <v/>
      </c>
      <c r="C863">
        <f>IF($B863="","",COUNTIFS($A$6:$A$1005,$A863,$B$6:$B$1005,"&lt;"&amp;$B863)+COUNTIFS($N$6:$N$2005,$A863,$P$6:$P$2005,"&lt;"&amp;$B863)+1)</f>
        <v/>
      </c>
      <c r="D863">
        <f>IF($C863="","",$A863&amp;"|"&amp;RIGHT("000000"&amp;$C863,6))</f>
        <v/>
      </c>
      <c r="E863">
        <f>IF(Entry!$B866="","",IF(ISNUMBER(Entry!$B866),IF(AND(Entry!$B866&gt;=10000101,Entry!$B866&lt;=99991231),INT(Entry!$B866/10000)&amp;"/"&amp;RIGHT("00"&amp;INT(MOD(Entry!$B866,10000)/100),2)&amp;"/"&amp;RIGHT("00"&amp;MOD(Entry!$B866,100),2),"نامعتبر"),IF(LEN(Entry!$B866)=10,Entry!$B866,"نامعتبر")))</f>
        <v/>
      </c>
      <c r="F863">
        <f>IF(Entry!$B866="","",IF(Entry!$C866="","0000",IF(AND(ISNUMBER(Entry!$C866),Entry!$C866&gt;=0,Entry!$C866&lt;1),RIGHT("00"&amp;HOUR(Entry!$C866),2)&amp;RIGHT("00"&amp;MINUTE(Entry!$C866),2),IFERROR(RIGHT("00"&amp;VALUE(LEFT(Entry!$C866,FIND(":",Entry!$C866)-1)),2)&amp;RIGHT("00"&amp;VALUE(MID(Entry!$C866,FIND(":",Entry!$C866)+1,2)),2),"0000"))))</f>
        <v/>
      </c>
      <c r="G863">
        <f>IF($A863="","",Entry!$G866)</f>
        <v/>
      </c>
      <c r="H863">
        <f>IF($A863="","",IF(Entry!$H866="",0,Entry!$H866))</f>
        <v/>
      </c>
      <c r="I863">
        <f>IF($A863="","",IF(Entry!$I866="",0,Entry!$I866))</f>
        <v/>
      </c>
      <c r="J863">
        <f>IF($A863="","",ROUND($H863*$I863,0))</f>
        <v/>
      </c>
      <c r="K863">
        <f>IF($A863="","",Entry!$D866)</f>
        <v/>
      </c>
      <c r="L863">
        <f>IF($A863="","",Entry!$L866)</f>
        <v/>
      </c>
      <c r="N863">
        <f>IF(OR(Sync!$M863="",$Q863="",$Q863="نامعتبر"),"",Sync!$M863)</f>
        <v/>
      </c>
      <c r="O863">
        <f>IF($N863="","",$Q863)</f>
        <v/>
      </c>
      <c r="P863">
        <f>IF($N863="","",LEFT($Q863,4)&amp;MID($Q863,6,2)&amp;RIGHT($Q863,2)&amp;IF(Sync!$K863="","0000",IF(AND(ISNUMBER(Sync!$K863),Sync!$K863&gt;=0,Sync!$K863&lt;1),RIGHT("00"&amp;HOUR(Sync!$K863),2)&amp;RIGHT("00"&amp;MINUTE(Sync!$K863),2),IFERROR(RIGHT("00"&amp;VALUE(LEFT(Sync!$K863,FIND(":",Sync!$K863)-1)),2)&amp;RIGHT("00"&amp;VALUE(MID(Sync!$K863,FIND(":",Sync!$K863)+1,2)),2),"0000")))&amp;"|"&amp;"2"&amp;RIGHT("00000"&amp;858,5))</f>
        <v/>
      </c>
      <c r="Q863">
        <f>IF(Sync!$J863="","",IF(ISNUMBER(Sync!$J863),IF(AND(Sync!$J863&gt;=10000101,Sync!$J863&lt;=99991231),INT(Sync!$J863/10000)&amp;"/"&amp;RIGHT("00"&amp;INT(MOD(Sync!$J863,10000)/100),2)&amp;"/"&amp;RIGHT("00"&amp;MOD(Sync!$J863,100),2),"نامعتبر"),IF(LEN(Sync!$J863)=10,Sync!$J863,"نامعتبر")))</f>
        <v/>
      </c>
      <c r="R863">
        <f>IF($P863="","",COUNTIFS($N$6:$N$2005,$N863,$P$6:$P$2005,"&lt;"&amp;$P863)+COUNTIFS($A$6:$A$1005,$N863,$B$6:$B$1005,"&lt;"&amp;$P863)+1)</f>
        <v/>
      </c>
      <c r="S863">
        <f>IF($N863="","",$N863&amp;"|"&amp;RIGHT("000000"&amp;$R863,6))</f>
        <v/>
      </c>
      <c r="T863">
        <f>IF($N863="","",IF(Sync!$N863="",0,Sync!$N863))</f>
        <v/>
      </c>
      <c r="U863">
        <f>IF($N863="","",IF(Sync!$O863="",0,Sync!$O863))</f>
        <v/>
      </c>
      <c r="V863">
        <f>IF($N863="","",Sync!$L863)</f>
        <v/>
      </c>
      <c r="W863">
        <f>IF($N863="","",Sync!$P863)</f>
        <v/>
      </c>
      <c r="AA863">
        <f>IF($A863="","",IF(COUNTIF($A$6:$A863,$A863)=1,1,0))</f>
        <v/>
      </c>
      <c r="AB863">
        <f>SUM($AA$6:$AA863)</f>
        <v/>
      </c>
      <c r="AC863">
        <f>IFERROR(INDEX($A$6:$A$1005,MATCH(ROW()-5,$AB$6:$AB$1005,0)),"")</f>
        <v/>
      </c>
    </row>
    <row r="864">
      <c r="A864">
        <f>IF(OR(Entry!$B867="",Entry!$E867="",$E864="نامعتبر"),"",Entry!$E867)</f>
        <v/>
      </c>
      <c r="B864">
        <f>IF($A864="","",LEFT($E864,4)&amp;MID($E864,6,2)&amp;RIGHT($E864,2)&amp;$F864&amp;"|"&amp;"1"&amp;RIGHT("00000"&amp;859,5))</f>
        <v/>
      </c>
      <c r="C864">
        <f>IF($B864="","",COUNTIFS($A$6:$A$1005,$A864,$B$6:$B$1005,"&lt;"&amp;$B864)+COUNTIFS($N$6:$N$2005,$A864,$P$6:$P$2005,"&lt;"&amp;$B864)+1)</f>
        <v/>
      </c>
      <c r="D864">
        <f>IF($C864="","",$A864&amp;"|"&amp;RIGHT("000000"&amp;$C864,6))</f>
        <v/>
      </c>
      <c r="E864">
        <f>IF(Entry!$B867="","",IF(ISNUMBER(Entry!$B867),IF(AND(Entry!$B867&gt;=10000101,Entry!$B867&lt;=99991231),INT(Entry!$B867/10000)&amp;"/"&amp;RIGHT("00"&amp;INT(MOD(Entry!$B867,10000)/100),2)&amp;"/"&amp;RIGHT("00"&amp;MOD(Entry!$B867,100),2),"نامعتبر"),IF(LEN(Entry!$B867)=10,Entry!$B867,"نامعتبر")))</f>
        <v/>
      </c>
      <c r="F864">
        <f>IF(Entry!$B867="","",IF(Entry!$C867="","0000",IF(AND(ISNUMBER(Entry!$C867),Entry!$C867&gt;=0,Entry!$C867&lt;1),RIGHT("00"&amp;HOUR(Entry!$C867),2)&amp;RIGHT("00"&amp;MINUTE(Entry!$C867),2),IFERROR(RIGHT("00"&amp;VALUE(LEFT(Entry!$C867,FIND(":",Entry!$C867)-1)),2)&amp;RIGHT("00"&amp;VALUE(MID(Entry!$C867,FIND(":",Entry!$C867)+1,2)),2),"0000"))))</f>
        <v/>
      </c>
      <c r="G864">
        <f>IF($A864="","",Entry!$G867)</f>
        <v/>
      </c>
      <c r="H864">
        <f>IF($A864="","",IF(Entry!$H867="",0,Entry!$H867))</f>
        <v/>
      </c>
      <c r="I864">
        <f>IF($A864="","",IF(Entry!$I867="",0,Entry!$I867))</f>
        <v/>
      </c>
      <c r="J864">
        <f>IF($A864="","",ROUND($H864*$I864,0))</f>
        <v/>
      </c>
      <c r="K864">
        <f>IF($A864="","",Entry!$D867)</f>
        <v/>
      </c>
      <c r="L864">
        <f>IF($A864="","",Entry!$L867)</f>
        <v/>
      </c>
      <c r="N864">
        <f>IF(OR(Sync!$M864="",$Q864="",$Q864="نامعتبر"),"",Sync!$M864)</f>
        <v/>
      </c>
      <c r="O864">
        <f>IF($N864="","",$Q864)</f>
        <v/>
      </c>
      <c r="P864">
        <f>IF($N864="","",LEFT($Q864,4)&amp;MID($Q864,6,2)&amp;RIGHT($Q864,2)&amp;IF(Sync!$K864="","0000",IF(AND(ISNUMBER(Sync!$K864),Sync!$K864&gt;=0,Sync!$K864&lt;1),RIGHT("00"&amp;HOUR(Sync!$K864),2)&amp;RIGHT("00"&amp;MINUTE(Sync!$K864),2),IFERROR(RIGHT("00"&amp;VALUE(LEFT(Sync!$K864,FIND(":",Sync!$K864)-1)),2)&amp;RIGHT("00"&amp;VALUE(MID(Sync!$K864,FIND(":",Sync!$K864)+1,2)),2),"0000")))&amp;"|"&amp;"2"&amp;RIGHT("00000"&amp;859,5))</f>
        <v/>
      </c>
      <c r="Q864">
        <f>IF(Sync!$J864="","",IF(ISNUMBER(Sync!$J864),IF(AND(Sync!$J864&gt;=10000101,Sync!$J864&lt;=99991231),INT(Sync!$J864/10000)&amp;"/"&amp;RIGHT("00"&amp;INT(MOD(Sync!$J864,10000)/100),2)&amp;"/"&amp;RIGHT("00"&amp;MOD(Sync!$J864,100),2),"نامعتبر"),IF(LEN(Sync!$J864)=10,Sync!$J864,"نامعتبر")))</f>
        <v/>
      </c>
      <c r="R864">
        <f>IF($P864="","",COUNTIFS($N$6:$N$2005,$N864,$P$6:$P$2005,"&lt;"&amp;$P864)+COUNTIFS($A$6:$A$1005,$N864,$B$6:$B$1005,"&lt;"&amp;$P864)+1)</f>
        <v/>
      </c>
      <c r="S864">
        <f>IF($N864="","",$N864&amp;"|"&amp;RIGHT("000000"&amp;$R864,6))</f>
        <v/>
      </c>
      <c r="T864">
        <f>IF($N864="","",IF(Sync!$N864="",0,Sync!$N864))</f>
        <v/>
      </c>
      <c r="U864">
        <f>IF($N864="","",IF(Sync!$O864="",0,Sync!$O864))</f>
        <v/>
      </c>
      <c r="V864">
        <f>IF($N864="","",Sync!$L864)</f>
        <v/>
      </c>
      <c r="W864">
        <f>IF($N864="","",Sync!$P864)</f>
        <v/>
      </c>
      <c r="AA864">
        <f>IF($A864="","",IF(COUNTIF($A$6:$A864,$A864)=1,1,0))</f>
        <v/>
      </c>
      <c r="AB864">
        <f>SUM($AA$6:$AA864)</f>
        <v/>
      </c>
      <c r="AC864">
        <f>IFERROR(INDEX($A$6:$A$1005,MATCH(ROW()-5,$AB$6:$AB$1005,0)),"")</f>
        <v/>
      </c>
    </row>
    <row r="865">
      <c r="A865">
        <f>IF(OR(Entry!$B868="",Entry!$E868="",$E865="نامعتبر"),"",Entry!$E868)</f>
        <v/>
      </c>
      <c r="B865">
        <f>IF($A865="","",LEFT($E865,4)&amp;MID($E865,6,2)&amp;RIGHT($E865,2)&amp;$F865&amp;"|"&amp;"1"&amp;RIGHT("00000"&amp;860,5))</f>
        <v/>
      </c>
      <c r="C865">
        <f>IF($B865="","",COUNTIFS($A$6:$A$1005,$A865,$B$6:$B$1005,"&lt;"&amp;$B865)+COUNTIFS($N$6:$N$2005,$A865,$P$6:$P$2005,"&lt;"&amp;$B865)+1)</f>
        <v/>
      </c>
      <c r="D865">
        <f>IF($C865="","",$A865&amp;"|"&amp;RIGHT("000000"&amp;$C865,6))</f>
        <v/>
      </c>
      <c r="E865">
        <f>IF(Entry!$B868="","",IF(ISNUMBER(Entry!$B868),IF(AND(Entry!$B868&gt;=10000101,Entry!$B868&lt;=99991231),INT(Entry!$B868/10000)&amp;"/"&amp;RIGHT("00"&amp;INT(MOD(Entry!$B868,10000)/100),2)&amp;"/"&amp;RIGHT("00"&amp;MOD(Entry!$B868,100),2),"نامعتبر"),IF(LEN(Entry!$B868)=10,Entry!$B868,"نامعتبر")))</f>
        <v/>
      </c>
      <c r="F865">
        <f>IF(Entry!$B868="","",IF(Entry!$C868="","0000",IF(AND(ISNUMBER(Entry!$C868),Entry!$C868&gt;=0,Entry!$C868&lt;1),RIGHT("00"&amp;HOUR(Entry!$C868),2)&amp;RIGHT("00"&amp;MINUTE(Entry!$C868),2),IFERROR(RIGHT("00"&amp;VALUE(LEFT(Entry!$C868,FIND(":",Entry!$C868)-1)),2)&amp;RIGHT("00"&amp;VALUE(MID(Entry!$C868,FIND(":",Entry!$C868)+1,2)),2),"0000"))))</f>
        <v/>
      </c>
      <c r="G865">
        <f>IF($A865="","",Entry!$G868)</f>
        <v/>
      </c>
      <c r="H865">
        <f>IF($A865="","",IF(Entry!$H868="",0,Entry!$H868))</f>
        <v/>
      </c>
      <c r="I865">
        <f>IF($A865="","",IF(Entry!$I868="",0,Entry!$I868))</f>
        <v/>
      </c>
      <c r="J865">
        <f>IF($A865="","",ROUND($H865*$I865,0))</f>
        <v/>
      </c>
      <c r="K865">
        <f>IF($A865="","",Entry!$D868)</f>
        <v/>
      </c>
      <c r="L865">
        <f>IF($A865="","",Entry!$L868)</f>
        <v/>
      </c>
      <c r="N865">
        <f>IF(OR(Sync!$M865="",$Q865="",$Q865="نامعتبر"),"",Sync!$M865)</f>
        <v/>
      </c>
      <c r="O865">
        <f>IF($N865="","",$Q865)</f>
        <v/>
      </c>
      <c r="P865">
        <f>IF($N865="","",LEFT($Q865,4)&amp;MID($Q865,6,2)&amp;RIGHT($Q865,2)&amp;IF(Sync!$K865="","0000",IF(AND(ISNUMBER(Sync!$K865),Sync!$K865&gt;=0,Sync!$K865&lt;1),RIGHT("00"&amp;HOUR(Sync!$K865),2)&amp;RIGHT("00"&amp;MINUTE(Sync!$K865),2),IFERROR(RIGHT("00"&amp;VALUE(LEFT(Sync!$K865,FIND(":",Sync!$K865)-1)),2)&amp;RIGHT("00"&amp;VALUE(MID(Sync!$K865,FIND(":",Sync!$K865)+1,2)),2),"0000")))&amp;"|"&amp;"2"&amp;RIGHT("00000"&amp;860,5))</f>
        <v/>
      </c>
      <c r="Q865">
        <f>IF(Sync!$J865="","",IF(ISNUMBER(Sync!$J865),IF(AND(Sync!$J865&gt;=10000101,Sync!$J865&lt;=99991231),INT(Sync!$J865/10000)&amp;"/"&amp;RIGHT("00"&amp;INT(MOD(Sync!$J865,10000)/100),2)&amp;"/"&amp;RIGHT("00"&amp;MOD(Sync!$J865,100),2),"نامعتبر"),IF(LEN(Sync!$J865)=10,Sync!$J865,"نامعتبر")))</f>
        <v/>
      </c>
      <c r="R865">
        <f>IF($P865="","",COUNTIFS($N$6:$N$2005,$N865,$P$6:$P$2005,"&lt;"&amp;$P865)+COUNTIFS($A$6:$A$1005,$N865,$B$6:$B$1005,"&lt;"&amp;$P865)+1)</f>
        <v/>
      </c>
      <c r="S865">
        <f>IF($N865="","",$N865&amp;"|"&amp;RIGHT("000000"&amp;$R865,6))</f>
        <v/>
      </c>
      <c r="T865">
        <f>IF($N865="","",IF(Sync!$N865="",0,Sync!$N865))</f>
        <v/>
      </c>
      <c r="U865">
        <f>IF($N865="","",IF(Sync!$O865="",0,Sync!$O865))</f>
        <v/>
      </c>
      <c r="V865">
        <f>IF($N865="","",Sync!$L865)</f>
        <v/>
      </c>
      <c r="W865">
        <f>IF($N865="","",Sync!$P865)</f>
        <v/>
      </c>
      <c r="AA865">
        <f>IF($A865="","",IF(COUNTIF($A$6:$A865,$A865)=1,1,0))</f>
        <v/>
      </c>
      <c r="AB865">
        <f>SUM($AA$6:$AA865)</f>
        <v/>
      </c>
      <c r="AC865">
        <f>IFERROR(INDEX($A$6:$A$1005,MATCH(ROW()-5,$AB$6:$AB$1005,0)),"")</f>
        <v/>
      </c>
    </row>
    <row r="866">
      <c r="A866">
        <f>IF(OR(Entry!$B869="",Entry!$E869="",$E866="نامعتبر"),"",Entry!$E869)</f>
        <v/>
      </c>
      <c r="B866">
        <f>IF($A866="","",LEFT($E866,4)&amp;MID($E866,6,2)&amp;RIGHT($E866,2)&amp;$F866&amp;"|"&amp;"1"&amp;RIGHT("00000"&amp;861,5))</f>
        <v/>
      </c>
      <c r="C866">
        <f>IF($B866="","",COUNTIFS($A$6:$A$1005,$A866,$B$6:$B$1005,"&lt;"&amp;$B866)+COUNTIFS($N$6:$N$2005,$A866,$P$6:$P$2005,"&lt;"&amp;$B866)+1)</f>
        <v/>
      </c>
      <c r="D866">
        <f>IF($C866="","",$A866&amp;"|"&amp;RIGHT("000000"&amp;$C866,6))</f>
        <v/>
      </c>
      <c r="E866">
        <f>IF(Entry!$B869="","",IF(ISNUMBER(Entry!$B869),IF(AND(Entry!$B869&gt;=10000101,Entry!$B869&lt;=99991231),INT(Entry!$B869/10000)&amp;"/"&amp;RIGHT("00"&amp;INT(MOD(Entry!$B869,10000)/100),2)&amp;"/"&amp;RIGHT("00"&amp;MOD(Entry!$B869,100),2),"نامعتبر"),IF(LEN(Entry!$B869)=10,Entry!$B869,"نامعتبر")))</f>
        <v/>
      </c>
      <c r="F866">
        <f>IF(Entry!$B869="","",IF(Entry!$C869="","0000",IF(AND(ISNUMBER(Entry!$C869),Entry!$C869&gt;=0,Entry!$C869&lt;1),RIGHT("00"&amp;HOUR(Entry!$C869),2)&amp;RIGHT("00"&amp;MINUTE(Entry!$C869),2),IFERROR(RIGHT("00"&amp;VALUE(LEFT(Entry!$C869,FIND(":",Entry!$C869)-1)),2)&amp;RIGHT("00"&amp;VALUE(MID(Entry!$C869,FIND(":",Entry!$C869)+1,2)),2),"0000"))))</f>
        <v/>
      </c>
      <c r="G866">
        <f>IF($A866="","",Entry!$G869)</f>
        <v/>
      </c>
      <c r="H866">
        <f>IF($A866="","",IF(Entry!$H869="",0,Entry!$H869))</f>
        <v/>
      </c>
      <c r="I866">
        <f>IF($A866="","",IF(Entry!$I869="",0,Entry!$I869))</f>
        <v/>
      </c>
      <c r="J866">
        <f>IF($A866="","",ROUND($H866*$I866,0))</f>
        <v/>
      </c>
      <c r="K866">
        <f>IF($A866="","",Entry!$D869)</f>
        <v/>
      </c>
      <c r="L866">
        <f>IF($A866="","",Entry!$L869)</f>
        <v/>
      </c>
      <c r="N866">
        <f>IF(OR(Sync!$M866="",$Q866="",$Q866="نامعتبر"),"",Sync!$M866)</f>
        <v/>
      </c>
      <c r="O866">
        <f>IF($N866="","",$Q866)</f>
        <v/>
      </c>
      <c r="P866">
        <f>IF($N866="","",LEFT($Q866,4)&amp;MID($Q866,6,2)&amp;RIGHT($Q866,2)&amp;IF(Sync!$K866="","0000",IF(AND(ISNUMBER(Sync!$K866),Sync!$K866&gt;=0,Sync!$K866&lt;1),RIGHT("00"&amp;HOUR(Sync!$K866),2)&amp;RIGHT("00"&amp;MINUTE(Sync!$K866),2),IFERROR(RIGHT("00"&amp;VALUE(LEFT(Sync!$K866,FIND(":",Sync!$K866)-1)),2)&amp;RIGHT("00"&amp;VALUE(MID(Sync!$K866,FIND(":",Sync!$K866)+1,2)),2),"0000")))&amp;"|"&amp;"2"&amp;RIGHT("00000"&amp;861,5))</f>
        <v/>
      </c>
      <c r="Q866">
        <f>IF(Sync!$J866="","",IF(ISNUMBER(Sync!$J866),IF(AND(Sync!$J866&gt;=10000101,Sync!$J866&lt;=99991231),INT(Sync!$J866/10000)&amp;"/"&amp;RIGHT("00"&amp;INT(MOD(Sync!$J866,10000)/100),2)&amp;"/"&amp;RIGHT("00"&amp;MOD(Sync!$J866,100),2),"نامعتبر"),IF(LEN(Sync!$J866)=10,Sync!$J866,"نامعتبر")))</f>
        <v/>
      </c>
      <c r="R866">
        <f>IF($P866="","",COUNTIFS($N$6:$N$2005,$N866,$P$6:$P$2005,"&lt;"&amp;$P866)+COUNTIFS($A$6:$A$1005,$N866,$B$6:$B$1005,"&lt;"&amp;$P866)+1)</f>
        <v/>
      </c>
      <c r="S866">
        <f>IF($N866="","",$N866&amp;"|"&amp;RIGHT("000000"&amp;$R866,6))</f>
        <v/>
      </c>
      <c r="T866">
        <f>IF($N866="","",IF(Sync!$N866="",0,Sync!$N866))</f>
        <v/>
      </c>
      <c r="U866">
        <f>IF($N866="","",IF(Sync!$O866="",0,Sync!$O866))</f>
        <v/>
      </c>
      <c r="V866">
        <f>IF($N866="","",Sync!$L866)</f>
        <v/>
      </c>
      <c r="W866">
        <f>IF($N866="","",Sync!$P866)</f>
        <v/>
      </c>
      <c r="AA866">
        <f>IF($A866="","",IF(COUNTIF($A$6:$A866,$A866)=1,1,0))</f>
        <v/>
      </c>
      <c r="AB866">
        <f>SUM($AA$6:$AA866)</f>
        <v/>
      </c>
      <c r="AC866">
        <f>IFERROR(INDEX($A$6:$A$1005,MATCH(ROW()-5,$AB$6:$AB$1005,0)),"")</f>
        <v/>
      </c>
    </row>
    <row r="867">
      <c r="A867">
        <f>IF(OR(Entry!$B870="",Entry!$E870="",$E867="نامعتبر"),"",Entry!$E870)</f>
        <v/>
      </c>
      <c r="B867">
        <f>IF($A867="","",LEFT($E867,4)&amp;MID($E867,6,2)&amp;RIGHT($E867,2)&amp;$F867&amp;"|"&amp;"1"&amp;RIGHT("00000"&amp;862,5))</f>
        <v/>
      </c>
      <c r="C867">
        <f>IF($B867="","",COUNTIFS($A$6:$A$1005,$A867,$B$6:$B$1005,"&lt;"&amp;$B867)+COUNTIFS($N$6:$N$2005,$A867,$P$6:$P$2005,"&lt;"&amp;$B867)+1)</f>
        <v/>
      </c>
      <c r="D867">
        <f>IF($C867="","",$A867&amp;"|"&amp;RIGHT("000000"&amp;$C867,6))</f>
        <v/>
      </c>
      <c r="E867">
        <f>IF(Entry!$B870="","",IF(ISNUMBER(Entry!$B870),IF(AND(Entry!$B870&gt;=10000101,Entry!$B870&lt;=99991231),INT(Entry!$B870/10000)&amp;"/"&amp;RIGHT("00"&amp;INT(MOD(Entry!$B870,10000)/100),2)&amp;"/"&amp;RIGHT("00"&amp;MOD(Entry!$B870,100),2),"نامعتبر"),IF(LEN(Entry!$B870)=10,Entry!$B870,"نامعتبر")))</f>
        <v/>
      </c>
      <c r="F867">
        <f>IF(Entry!$B870="","",IF(Entry!$C870="","0000",IF(AND(ISNUMBER(Entry!$C870),Entry!$C870&gt;=0,Entry!$C870&lt;1),RIGHT("00"&amp;HOUR(Entry!$C870),2)&amp;RIGHT("00"&amp;MINUTE(Entry!$C870),2),IFERROR(RIGHT("00"&amp;VALUE(LEFT(Entry!$C870,FIND(":",Entry!$C870)-1)),2)&amp;RIGHT("00"&amp;VALUE(MID(Entry!$C870,FIND(":",Entry!$C870)+1,2)),2),"0000"))))</f>
        <v/>
      </c>
      <c r="G867">
        <f>IF($A867="","",Entry!$G870)</f>
        <v/>
      </c>
      <c r="H867">
        <f>IF($A867="","",IF(Entry!$H870="",0,Entry!$H870))</f>
        <v/>
      </c>
      <c r="I867">
        <f>IF($A867="","",IF(Entry!$I870="",0,Entry!$I870))</f>
        <v/>
      </c>
      <c r="J867">
        <f>IF($A867="","",ROUND($H867*$I867,0))</f>
        <v/>
      </c>
      <c r="K867">
        <f>IF($A867="","",Entry!$D870)</f>
        <v/>
      </c>
      <c r="L867">
        <f>IF($A867="","",Entry!$L870)</f>
        <v/>
      </c>
      <c r="N867">
        <f>IF(OR(Sync!$M867="",$Q867="",$Q867="نامعتبر"),"",Sync!$M867)</f>
        <v/>
      </c>
      <c r="O867">
        <f>IF($N867="","",$Q867)</f>
        <v/>
      </c>
      <c r="P867">
        <f>IF($N867="","",LEFT($Q867,4)&amp;MID($Q867,6,2)&amp;RIGHT($Q867,2)&amp;IF(Sync!$K867="","0000",IF(AND(ISNUMBER(Sync!$K867),Sync!$K867&gt;=0,Sync!$K867&lt;1),RIGHT("00"&amp;HOUR(Sync!$K867),2)&amp;RIGHT("00"&amp;MINUTE(Sync!$K867),2),IFERROR(RIGHT("00"&amp;VALUE(LEFT(Sync!$K867,FIND(":",Sync!$K867)-1)),2)&amp;RIGHT("00"&amp;VALUE(MID(Sync!$K867,FIND(":",Sync!$K867)+1,2)),2),"0000")))&amp;"|"&amp;"2"&amp;RIGHT("00000"&amp;862,5))</f>
        <v/>
      </c>
      <c r="Q867">
        <f>IF(Sync!$J867="","",IF(ISNUMBER(Sync!$J867),IF(AND(Sync!$J867&gt;=10000101,Sync!$J867&lt;=99991231),INT(Sync!$J867/10000)&amp;"/"&amp;RIGHT("00"&amp;INT(MOD(Sync!$J867,10000)/100),2)&amp;"/"&amp;RIGHT("00"&amp;MOD(Sync!$J867,100),2),"نامعتبر"),IF(LEN(Sync!$J867)=10,Sync!$J867,"نامعتبر")))</f>
        <v/>
      </c>
      <c r="R867">
        <f>IF($P867="","",COUNTIFS($N$6:$N$2005,$N867,$P$6:$P$2005,"&lt;"&amp;$P867)+COUNTIFS($A$6:$A$1005,$N867,$B$6:$B$1005,"&lt;"&amp;$P867)+1)</f>
        <v/>
      </c>
      <c r="S867">
        <f>IF($N867="","",$N867&amp;"|"&amp;RIGHT("000000"&amp;$R867,6))</f>
        <v/>
      </c>
      <c r="T867">
        <f>IF($N867="","",IF(Sync!$N867="",0,Sync!$N867))</f>
        <v/>
      </c>
      <c r="U867">
        <f>IF($N867="","",IF(Sync!$O867="",0,Sync!$O867))</f>
        <v/>
      </c>
      <c r="V867">
        <f>IF($N867="","",Sync!$L867)</f>
        <v/>
      </c>
      <c r="W867">
        <f>IF($N867="","",Sync!$P867)</f>
        <v/>
      </c>
      <c r="AA867">
        <f>IF($A867="","",IF(COUNTIF($A$6:$A867,$A867)=1,1,0))</f>
        <v/>
      </c>
      <c r="AB867">
        <f>SUM($AA$6:$AA867)</f>
        <v/>
      </c>
      <c r="AC867">
        <f>IFERROR(INDEX($A$6:$A$1005,MATCH(ROW()-5,$AB$6:$AB$1005,0)),"")</f>
        <v/>
      </c>
    </row>
    <row r="868">
      <c r="A868">
        <f>IF(OR(Entry!$B871="",Entry!$E871="",$E868="نامعتبر"),"",Entry!$E871)</f>
        <v/>
      </c>
      <c r="B868">
        <f>IF($A868="","",LEFT($E868,4)&amp;MID($E868,6,2)&amp;RIGHT($E868,2)&amp;$F868&amp;"|"&amp;"1"&amp;RIGHT("00000"&amp;863,5))</f>
        <v/>
      </c>
      <c r="C868">
        <f>IF($B868="","",COUNTIFS($A$6:$A$1005,$A868,$B$6:$B$1005,"&lt;"&amp;$B868)+COUNTIFS($N$6:$N$2005,$A868,$P$6:$P$2005,"&lt;"&amp;$B868)+1)</f>
        <v/>
      </c>
      <c r="D868">
        <f>IF($C868="","",$A868&amp;"|"&amp;RIGHT("000000"&amp;$C868,6))</f>
        <v/>
      </c>
      <c r="E868">
        <f>IF(Entry!$B871="","",IF(ISNUMBER(Entry!$B871),IF(AND(Entry!$B871&gt;=10000101,Entry!$B871&lt;=99991231),INT(Entry!$B871/10000)&amp;"/"&amp;RIGHT("00"&amp;INT(MOD(Entry!$B871,10000)/100),2)&amp;"/"&amp;RIGHT("00"&amp;MOD(Entry!$B871,100),2),"نامعتبر"),IF(LEN(Entry!$B871)=10,Entry!$B871,"نامعتبر")))</f>
        <v/>
      </c>
      <c r="F868">
        <f>IF(Entry!$B871="","",IF(Entry!$C871="","0000",IF(AND(ISNUMBER(Entry!$C871),Entry!$C871&gt;=0,Entry!$C871&lt;1),RIGHT("00"&amp;HOUR(Entry!$C871),2)&amp;RIGHT("00"&amp;MINUTE(Entry!$C871),2),IFERROR(RIGHT("00"&amp;VALUE(LEFT(Entry!$C871,FIND(":",Entry!$C871)-1)),2)&amp;RIGHT("00"&amp;VALUE(MID(Entry!$C871,FIND(":",Entry!$C871)+1,2)),2),"0000"))))</f>
        <v/>
      </c>
      <c r="G868">
        <f>IF($A868="","",Entry!$G871)</f>
        <v/>
      </c>
      <c r="H868">
        <f>IF($A868="","",IF(Entry!$H871="",0,Entry!$H871))</f>
        <v/>
      </c>
      <c r="I868">
        <f>IF($A868="","",IF(Entry!$I871="",0,Entry!$I871))</f>
        <v/>
      </c>
      <c r="J868">
        <f>IF($A868="","",ROUND($H868*$I868,0))</f>
        <v/>
      </c>
      <c r="K868">
        <f>IF($A868="","",Entry!$D871)</f>
        <v/>
      </c>
      <c r="L868">
        <f>IF($A868="","",Entry!$L871)</f>
        <v/>
      </c>
      <c r="N868">
        <f>IF(OR(Sync!$M868="",$Q868="",$Q868="نامعتبر"),"",Sync!$M868)</f>
        <v/>
      </c>
      <c r="O868">
        <f>IF($N868="","",$Q868)</f>
        <v/>
      </c>
      <c r="P868">
        <f>IF($N868="","",LEFT($Q868,4)&amp;MID($Q868,6,2)&amp;RIGHT($Q868,2)&amp;IF(Sync!$K868="","0000",IF(AND(ISNUMBER(Sync!$K868),Sync!$K868&gt;=0,Sync!$K868&lt;1),RIGHT("00"&amp;HOUR(Sync!$K868),2)&amp;RIGHT("00"&amp;MINUTE(Sync!$K868),2),IFERROR(RIGHT("00"&amp;VALUE(LEFT(Sync!$K868,FIND(":",Sync!$K868)-1)),2)&amp;RIGHT("00"&amp;VALUE(MID(Sync!$K868,FIND(":",Sync!$K868)+1,2)),2),"0000")))&amp;"|"&amp;"2"&amp;RIGHT("00000"&amp;863,5))</f>
        <v/>
      </c>
      <c r="Q868">
        <f>IF(Sync!$J868="","",IF(ISNUMBER(Sync!$J868),IF(AND(Sync!$J868&gt;=10000101,Sync!$J868&lt;=99991231),INT(Sync!$J868/10000)&amp;"/"&amp;RIGHT("00"&amp;INT(MOD(Sync!$J868,10000)/100),2)&amp;"/"&amp;RIGHT("00"&amp;MOD(Sync!$J868,100),2),"نامعتبر"),IF(LEN(Sync!$J868)=10,Sync!$J868,"نامعتبر")))</f>
        <v/>
      </c>
      <c r="R868">
        <f>IF($P868="","",COUNTIFS($N$6:$N$2005,$N868,$P$6:$P$2005,"&lt;"&amp;$P868)+COUNTIFS($A$6:$A$1005,$N868,$B$6:$B$1005,"&lt;"&amp;$P868)+1)</f>
        <v/>
      </c>
      <c r="S868">
        <f>IF($N868="","",$N868&amp;"|"&amp;RIGHT("000000"&amp;$R868,6))</f>
        <v/>
      </c>
      <c r="T868">
        <f>IF($N868="","",IF(Sync!$N868="",0,Sync!$N868))</f>
        <v/>
      </c>
      <c r="U868">
        <f>IF($N868="","",IF(Sync!$O868="",0,Sync!$O868))</f>
        <v/>
      </c>
      <c r="V868">
        <f>IF($N868="","",Sync!$L868)</f>
        <v/>
      </c>
      <c r="W868">
        <f>IF($N868="","",Sync!$P868)</f>
        <v/>
      </c>
      <c r="AA868">
        <f>IF($A868="","",IF(COUNTIF($A$6:$A868,$A868)=1,1,0))</f>
        <v/>
      </c>
      <c r="AB868">
        <f>SUM($AA$6:$AA868)</f>
        <v/>
      </c>
      <c r="AC868">
        <f>IFERROR(INDEX($A$6:$A$1005,MATCH(ROW()-5,$AB$6:$AB$1005,0)),"")</f>
        <v/>
      </c>
    </row>
    <row r="869">
      <c r="A869">
        <f>IF(OR(Entry!$B872="",Entry!$E872="",$E869="نامعتبر"),"",Entry!$E872)</f>
        <v/>
      </c>
      <c r="B869">
        <f>IF($A869="","",LEFT($E869,4)&amp;MID($E869,6,2)&amp;RIGHT($E869,2)&amp;$F869&amp;"|"&amp;"1"&amp;RIGHT("00000"&amp;864,5))</f>
        <v/>
      </c>
      <c r="C869">
        <f>IF($B869="","",COUNTIFS($A$6:$A$1005,$A869,$B$6:$B$1005,"&lt;"&amp;$B869)+COUNTIFS($N$6:$N$2005,$A869,$P$6:$P$2005,"&lt;"&amp;$B869)+1)</f>
        <v/>
      </c>
      <c r="D869">
        <f>IF($C869="","",$A869&amp;"|"&amp;RIGHT("000000"&amp;$C869,6))</f>
        <v/>
      </c>
      <c r="E869">
        <f>IF(Entry!$B872="","",IF(ISNUMBER(Entry!$B872),IF(AND(Entry!$B872&gt;=10000101,Entry!$B872&lt;=99991231),INT(Entry!$B872/10000)&amp;"/"&amp;RIGHT("00"&amp;INT(MOD(Entry!$B872,10000)/100),2)&amp;"/"&amp;RIGHT("00"&amp;MOD(Entry!$B872,100),2),"نامعتبر"),IF(LEN(Entry!$B872)=10,Entry!$B872,"نامعتبر")))</f>
        <v/>
      </c>
      <c r="F869">
        <f>IF(Entry!$B872="","",IF(Entry!$C872="","0000",IF(AND(ISNUMBER(Entry!$C872),Entry!$C872&gt;=0,Entry!$C872&lt;1),RIGHT("00"&amp;HOUR(Entry!$C872),2)&amp;RIGHT("00"&amp;MINUTE(Entry!$C872),2),IFERROR(RIGHT("00"&amp;VALUE(LEFT(Entry!$C872,FIND(":",Entry!$C872)-1)),2)&amp;RIGHT("00"&amp;VALUE(MID(Entry!$C872,FIND(":",Entry!$C872)+1,2)),2),"0000"))))</f>
        <v/>
      </c>
      <c r="G869">
        <f>IF($A869="","",Entry!$G872)</f>
        <v/>
      </c>
      <c r="H869">
        <f>IF($A869="","",IF(Entry!$H872="",0,Entry!$H872))</f>
        <v/>
      </c>
      <c r="I869">
        <f>IF($A869="","",IF(Entry!$I872="",0,Entry!$I872))</f>
        <v/>
      </c>
      <c r="J869">
        <f>IF($A869="","",ROUND($H869*$I869,0))</f>
        <v/>
      </c>
      <c r="K869">
        <f>IF($A869="","",Entry!$D872)</f>
        <v/>
      </c>
      <c r="L869">
        <f>IF($A869="","",Entry!$L872)</f>
        <v/>
      </c>
      <c r="N869">
        <f>IF(OR(Sync!$M869="",$Q869="",$Q869="نامعتبر"),"",Sync!$M869)</f>
        <v/>
      </c>
      <c r="O869">
        <f>IF($N869="","",$Q869)</f>
        <v/>
      </c>
      <c r="P869">
        <f>IF($N869="","",LEFT($Q869,4)&amp;MID($Q869,6,2)&amp;RIGHT($Q869,2)&amp;IF(Sync!$K869="","0000",IF(AND(ISNUMBER(Sync!$K869),Sync!$K869&gt;=0,Sync!$K869&lt;1),RIGHT("00"&amp;HOUR(Sync!$K869),2)&amp;RIGHT("00"&amp;MINUTE(Sync!$K869),2),IFERROR(RIGHT("00"&amp;VALUE(LEFT(Sync!$K869,FIND(":",Sync!$K869)-1)),2)&amp;RIGHT("00"&amp;VALUE(MID(Sync!$K869,FIND(":",Sync!$K869)+1,2)),2),"0000")))&amp;"|"&amp;"2"&amp;RIGHT("00000"&amp;864,5))</f>
        <v/>
      </c>
      <c r="Q869">
        <f>IF(Sync!$J869="","",IF(ISNUMBER(Sync!$J869),IF(AND(Sync!$J869&gt;=10000101,Sync!$J869&lt;=99991231),INT(Sync!$J869/10000)&amp;"/"&amp;RIGHT("00"&amp;INT(MOD(Sync!$J869,10000)/100),2)&amp;"/"&amp;RIGHT("00"&amp;MOD(Sync!$J869,100),2),"نامعتبر"),IF(LEN(Sync!$J869)=10,Sync!$J869,"نامعتبر")))</f>
        <v/>
      </c>
      <c r="R869">
        <f>IF($P869="","",COUNTIFS($N$6:$N$2005,$N869,$P$6:$P$2005,"&lt;"&amp;$P869)+COUNTIFS($A$6:$A$1005,$N869,$B$6:$B$1005,"&lt;"&amp;$P869)+1)</f>
        <v/>
      </c>
      <c r="S869">
        <f>IF($N869="","",$N869&amp;"|"&amp;RIGHT("000000"&amp;$R869,6))</f>
        <v/>
      </c>
      <c r="T869">
        <f>IF($N869="","",IF(Sync!$N869="",0,Sync!$N869))</f>
        <v/>
      </c>
      <c r="U869">
        <f>IF($N869="","",IF(Sync!$O869="",0,Sync!$O869))</f>
        <v/>
      </c>
      <c r="V869">
        <f>IF($N869="","",Sync!$L869)</f>
        <v/>
      </c>
      <c r="W869">
        <f>IF($N869="","",Sync!$P869)</f>
        <v/>
      </c>
      <c r="AA869">
        <f>IF($A869="","",IF(COUNTIF($A$6:$A869,$A869)=1,1,0))</f>
        <v/>
      </c>
      <c r="AB869">
        <f>SUM($AA$6:$AA869)</f>
        <v/>
      </c>
      <c r="AC869">
        <f>IFERROR(INDEX($A$6:$A$1005,MATCH(ROW()-5,$AB$6:$AB$1005,0)),"")</f>
        <v/>
      </c>
    </row>
    <row r="870">
      <c r="A870">
        <f>IF(OR(Entry!$B873="",Entry!$E873="",$E870="نامعتبر"),"",Entry!$E873)</f>
        <v/>
      </c>
      <c r="B870">
        <f>IF($A870="","",LEFT($E870,4)&amp;MID($E870,6,2)&amp;RIGHT($E870,2)&amp;$F870&amp;"|"&amp;"1"&amp;RIGHT("00000"&amp;865,5))</f>
        <v/>
      </c>
      <c r="C870">
        <f>IF($B870="","",COUNTIFS($A$6:$A$1005,$A870,$B$6:$B$1005,"&lt;"&amp;$B870)+COUNTIFS($N$6:$N$2005,$A870,$P$6:$P$2005,"&lt;"&amp;$B870)+1)</f>
        <v/>
      </c>
      <c r="D870">
        <f>IF($C870="","",$A870&amp;"|"&amp;RIGHT("000000"&amp;$C870,6))</f>
        <v/>
      </c>
      <c r="E870">
        <f>IF(Entry!$B873="","",IF(ISNUMBER(Entry!$B873),IF(AND(Entry!$B873&gt;=10000101,Entry!$B873&lt;=99991231),INT(Entry!$B873/10000)&amp;"/"&amp;RIGHT("00"&amp;INT(MOD(Entry!$B873,10000)/100),2)&amp;"/"&amp;RIGHT("00"&amp;MOD(Entry!$B873,100),2),"نامعتبر"),IF(LEN(Entry!$B873)=10,Entry!$B873,"نامعتبر")))</f>
        <v/>
      </c>
      <c r="F870">
        <f>IF(Entry!$B873="","",IF(Entry!$C873="","0000",IF(AND(ISNUMBER(Entry!$C873),Entry!$C873&gt;=0,Entry!$C873&lt;1),RIGHT("00"&amp;HOUR(Entry!$C873),2)&amp;RIGHT("00"&amp;MINUTE(Entry!$C873),2),IFERROR(RIGHT("00"&amp;VALUE(LEFT(Entry!$C873,FIND(":",Entry!$C873)-1)),2)&amp;RIGHT("00"&amp;VALUE(MID(Entry!$C873,FIND(":",Entry!$C873)+1,2)),2),"0000"))))</f>
        <v/>
      </c>
      <c r="G870">
        <f>IF($A870="","",Entry!$G873)</f>
        <v/>
      </c>
      <c r="H870">
        <f>IF($A870="","",IF(Entry!$H873="",0,Entry!$H873))</f>
        <v/>
      </c>
      <c r="I870">
        <f>IF($A870="","",IF(Entry!$I873="",0,Entry!$I873))</f>
        <v/>
      </c>
      <c r="J870">
        <f>IF($A870="","",ROUND($H870*$I870,0))</f>
        <v/>
      </c>
      <c r="K870">
        <f>IF($A870="","",Entry!$D873)</f>
        <v/>
      </c>
      <c r="L870">
        <f>IF($A870="","",Entry!$L873)</f>
        <v/>
      </c>
      <c r="N870">
        <f>IF(OR(Sync!$M870="",$Q870="",$Q870="نامعتبر"),"",Sync!$M870)</f>
        <v/>
      </c>
      <c r="O870">
        <f>IF($N870="","",$Q870)</f>
        <v/>
      </c>
      <c r="P870">
        <f>IF($N870="","",LEFT($Q870,4)&amp;MID($Q870,6,2)&amp;RIGHT($Q870,2)&amp;IF(Sync!$K870="","0000",IF(AND(ISNUMBER(Sync!$K870),Sync!$K870&gt;=0,Sync!$K870&lt;1),RIGHT("00"&amp;HOUR(Sync!$K870),2)&amp;RIGHT("00"&amp;MINUTE(Sync!$K870),2),IFERROR(RIGHT("00"&amp;VALUE(LEFT(Sync!$K870,FIND(":",Sync!$K870)-1)),2)&amp;RIGHT("00"&amp;VALUE(MID(Sync!$K870,FIND(":",Sync!$K870)+1,2)),2),"0000")))&amp;"|"&amp;"2"&amp;RIGHT("00000"&amp;865,5))</f>
        <v/>
      </c>
      <c r="Q870">
        <f>IF(Sync!$J870="","",IF(ISNUMBER(Sync!$J870),IF(AND(Sync!$J870&gt;=10000101,Sync!$J870&lt;=99991231),INT(Sync!$J870/10000)&amp;"/"&amp;RIGHT("00"&amp;INT(MOD(Sync!$J870,10000)/100),2)&amp;"/"&amp;RIGHT("00"&amp;MOD(Sync!$J870,100),2),"نامعتبر"),IF(LEN(Sync!$J870)=10,Sync!$J870,"نامعتبر")))</f>
        <v/>
      </c>
      <c r="R870">
        <f>IF($P870="","",COUNTIFS($N$6:$N$2005,$N870,$P$6:$P$2005,"&lt;"&amp;$P870)+COUNTIFS($A$6:$A$1005,$N870,$B$6:$B$1005,"&lt;"&amp;$P870)+1)</f>
        <v/>
      </c>
      <c r="S870">
        <f>IF($N870="","",$N870&amp;"|"&amp;RIGHT("000000"&amp;$R870,6))</f>
        <v/>
      </c>
      <c r="T870">
        <f>IF($N870="","",IF(Sync!$N870="",0,Sync!$N870))</f>
        <v/>
      </c>
      <c r="U870">
        <f>IF($N870="","",IF(Sync!$O870="",0,Sync!$O870))</f>
        <v/>
      </c>
      <c r="V870">
        <f>IF($N870="","",Sync!$L870)</f>
        <v/>
      </c>
      <c r="W870">
        <f>IF($N870="","",Sync!$P870)</f>
        <v/>
      </c>
      <c r="AA870">
        <f>IF($A870="","",IF(COUNTIF($A$6:$A870,$A870)=1,1,0))</f>
        <v/>
      </c>
      <c r="AB870">
        <f>SUM($AA$6:$AA870)</f>
        <v/>
      </c>
      <c r="AC870">
        <f>IFERROR(INDEX($A$6:$A$1005,MATCH(ROW()-5,$AB$6:$AB$1005,0)),"")</f>
        <v/>
      </c>
    </row>
    <row r="871">
      <c r="A871">
        <f>IF(OR(Entry!$B874="",Entry!$E874="",$E871="نامعتبر"),"",Entry!$E874)</f>
        <v/>
      </c>
      <c r="B871">
        <f>IF($A871="","",LEFT($E871,4)&amp;MID($E871,6,2)&amp;RIGHT($E871,2)&amp;$F871&amp;"|"&amp;"1"&amp;RIGHT("00000"&amp;866,5))</f>
        <v/>
      </c>
      <c r="C871">
        <f>IF($B871="","",COUNTIFS($A$6:$A$1005,$A871,$B$6:$B$1005,"&lt;"&amp;$B871)+COUNTIFS($N$6:$N$2005,$A871,$P$6:$P$2005,"&lt;"&amp;$B871)+1)</f>
        <v/>
      </c>
      <c r="D871">
        <f>IF($C871="","",$A871&amp;"|"&amp;RIGHT("000000"&amp;$C871,6))</f>
        <v/>
      </c>
      <c r="E871">
        <f>IF(Entry!$B874="","",IF(ISNUMBER(Entry!$B874),IF(AND(Entry!$B874&gt;=10000101,Entry!$B874&lt;=99991231),INT(Entry!$B874/10000)&amp;"/"&amp;RIGHT("00"&amp;INT(MOD(Entry!$B874,10000)/100),2)&amp;"/"&amp;RIGHT("00"&amp;MOD(Entry!$B874,100),2),"نامعتبر"),IF(LEN(Entry!$B874)=10,Entry!$B874,"نامعتبر")))</f>
        <v/>
      </c>
      <c r="F871">
        <f>IF(Entry!$B874="","",IF(Entry!$C874="","0000",IF(AND(ISNUMBER(Entry!$C874),Entry!$C874&gt;=0,Entry!$C874&lt;1),RIGHT("00"&amp;HOUR(Entry!$C874),2)&amp;RIGHT("00"&amp;MINUTE(Entry!$C874),2),IFERROR(RIGHT("00"&amp;VALUE(LEFT(Entry!$C874,FIND(":",Entry!$C874)-1)),2)&amp;RIGHT("00"&amp;VALUE(MID(Entry!$C874,FIND(":",Entry!$C874)+1,2)),2),"0000"))))</f>
        <v/>
      </c>
      <c r="G871">
        <f>IF($A871="","",Entry!$G874)</f>
        <v/>
      </c>
      <c r="H871">
        <f>IF($A871="","",IF(Entry!$H874="",0,Entry!$H874))</f>
        <v/>
      </c>
      <c r="I871">
        <f>IF($A871="","",IF(Entry!$I874="",0,Entry!$I874))</f>
        <v/>
      </c>
      <c r="J871">
        <f>IF($A871="","",ROUND($H871*$I871,0))</f>
        <v/>
      </c>
      <c r="K871">
        <f>IF($A871="","",Entry!$D874)</f>
        <v/>
      </c>
      <c r="L871">
        <f>IF($A871="","",Entry!$L874)</f>
        <v/>
      </c>
      <c r="N871">
        <f>IF(OR(Sync!$M871="",$Q871="",$Q871="نامعتبر"),"",Sync!$M871)</f>
        <v/>
      </c>
      <c r="O871">
        <f>IF($N871="","",$Q871)</f>
        <v/>
      </c>
      <c r="P871">
        <f>IF($N871="","",LEFT($Q871,4)&amp;MID($Q871,6,2)&amp;RIGHT($Q871,2)&amp;IF(Sync!$K871="","0000",IF(AND(ISNUMBER(Sync!$K871),Sync!$K871&gt;=0,Sync!$K871&lt;1),RIGHT("00"&amp;HOUR(Sync!$K871),2)&amp;RIGHT("00"&amp;MINUTE(Sync!$K871),2),IFERROR(RIGHT("00"&amp;VALUE(LEFT(Sync!$K871,FIND(":",Sync!$K871)-1)),2)&amp;RIGHT("00"&amp;VALUE(MID(Sync!$K871,FIND(":",Sync!$K871)+1,2)),2),"0000")))&amp;"|"&amp;"2"&amp;RIGHT("00000"&amp;866,5))</f>
        <v/>
      </c>
      <c r="Q871">
        <f>IF(Sync!$J871="","",IF(ISNUMBER(Sync!$J871),IF(AND(Sync!$J871&gt;=10000101,Sync!$J871&lt;=99991231),INT(Sync!$J871/10000)&amp;"/"&amp;RIGHT("00"&amp;INT(MOD(Sync!$J871,10000)/100),2)&amp;"/"&amp;RIGHT("00"&amp;MOD(Sync!$J871,100),2),"نامعتبر"),IF(LEN(Sync!$J871)=10,Sync!$J871,"نامعتبر")))</f>
        <v/>
      </c>
      <c r="R871">
        <f>IF($P871="","",COUNTIFS($N$6:$N$2005,$N871,$P$6:$P$2005,"&lt;"&amp;$P871)+COUNTIFS($A$6:$A$1005,$N871,$B$6:$B$1005,"&lt;"&amp;$P871)+1)</f>
        <v/>
      </c>
      <c r="S871">
        <f>IF($N871="","",$N871&amp;"|"&amp;RIGHT("000000"&amp;$R871,6))</f>
        <v/>
      </c>
      <c r="T871">
        <f>IF($N871="","",IF(Sync!$N871="",0,Sync!$N871))</f>
        <v/>
      </c>
      <c r="U871">
        <f>IF($N871="","",IF(Sync!$O871="",0,Sync!$O871))</f>
        <v/>
      </c>
      <c r="V871">
        <f>IF($N871="","",Sync!$L871)</f>
        <v/>
      </c>
      <c r="W871">
        <f>IF($N871="","",Sync!$P871)</f>
        <v/>
      </c>
      <c r="AA871">
        <f>IF($A871="","",IF(COUNTIF($A$6:$A871,$A871)=1,1,0))</f>
        <v/>
      </c>
      <c r="AB871">
        <f>SUM($AA$6:$AA871)</f>
        <v/>
      </c>
      <c r="AC871">
        <f>IFERROR(INDEX($A$6:$A$1005,MATCH(ROW()-5,$AB$6:$AB$1005,0)),"")</f>
        <v/>
      </c>
    </row>
    <row r="872">
      <c r="A872">
        <f>IF(OR(Entry!$B875="",Entry!$E875="",$E872="نامعتبر"),"",Entry!$E875)</f>
        <v/>
      </c>
      <c r="B872">
        <f>IF($A872="","",LEFT($E872,4)&amp;MID($E872,6,2)&amp;RIGHT($E872,2)&amp;$F872&amp;"|"&amp;"1"&amp;RIGHT("00000"&amp;867,5))</f>
        <v/>
      </c>
      <c r="C872">
        <f>IF($B872="","",COUNTIFS($A$6:$A$1005,$A872,$B$6:$B$1005,"&lt;"&amp;$B872)+COUNTIFS($N$6:$N$2005,$A872,$P$6:$P$2005,"&lt;"&amp;$B872)+1)</f>
        <v/>
      </c>
      <c r="D872">
        <f>IF($C872="","",$A872&amp;"|"&amp;RIGHT("000000"&amp;$C872,6))</f>
        <v/>
      </c>
      <c r="E872">
        <f>IF(Entry!$B875="","",IF(ISNUMBER(Entry!$B875),IF(AND(Entry!$B875&gt;=10000101,Entry!$B875&lt;=99991231),INT(Entry!$B875/10000)&amp;"/"&amp;RIGHT("00"&amp;INT(MOD(Entry!$B875,10000)/100),2)&amp;"/"&amp;RIGHT("00"&amp;MOD(Entry!$B875,100),2),"نامعتبر"),IF(LEN(Entry!$B875)=10,Entry!$B875,"نامعتبر")))</f>
        <v/>
      </c>
      <c r="F872">
        <f>IF(Entry!$B875="","",IF(Entry!$C875="","0000",IF(AND(ISNUMBER(Entry!$C875),Entry!$C875&gt;=0,Entry!$C875&lt;1),RIGHT("00"&amp;HOUR(Entry!$C875),2)&amp;RIGHT("00"&amp;MINUTE(Entry!$C875),2),IFERROR(RIGHT("00"&amp;VALUE(LEFT(Entry!$C875,FIND(":",Entry!$C875)-1)),2)&amp;RIGHT("00"&amp;VALUE(MID(Entry!$C875,FIND(":",Entry!$C875)+1,2)),2),"0000"))))</f>
        <v/>
      </c>
      <c r="G872">
        <f>IF($A872="","",Entry!$G875)</f>
        <v/>
      </c>
      <c r="H872">
        <f>IF($A872="","",IF(Entry!$H875="",0,Entry!$H875))</f>
        <v/>
      </c>
      <c r="I872">
        <f>IF($A872="","",IF(Entry!$I875="",0,Entry!$I875))</f>
        <v/>
      </c>
      <c r="J872">
        <f>IF($A872="","",ROUND($H872*$I872,0))</f>
        <v/>
      </c>
      <c r="K872">
        <f>IF($A872="","",Entry!$D875)</f>
        <v/>
      </c>
      <c r="L872">
        <f>IF($A872="","",Entry!$L875)</f>
        <v/>
      </c>
      <c r="N872">
        <f>IF(OR(Sync!$M872="",$Q872="",$Q872="نامعتبر"),"",Sync!$M872)</f>
        <v/>
      </c>
      <c r="O872">
        <f>IF($N872="","",$Q872)</f>
        <v/>
      </c>
      <c r="P872">
        <f>IF($N872="","",LEFT($Q872,4)&amp;MID($Q872,6,2)&amp;RIGHT($Q872,2)&amp;IF(Sync!$K872="","0000",IF(AND(ISNUMBER(Sync!$K872),Sync!$K872&gt;=0,Sync!$K872&lt;1),RIGHT("00"&amp;HOUR(Sync!$K872),2)&amp;RIGHT("00"&amp;MINUTE(Sync!$K872),2),IFERROR(RIGHT("00"&amp;VALUE(LEFT(Sync!$K872,FIND(":",Sync!$K872)-1)),2)&amp;RIGHT("00"&amp;VALUE(MID(Sync!$K872,FIND(":",Sync!$K872)+1,2)),2),"0000")))&amp;"|"&amp;"2"&amp;RIGHT("00000"&amp;867,5))</f>
        <v/>
      </c>
      <c r="Q872">
        <f>IF(Sync!$J872="","",IF(ISNUMBER(Sync!$J872),IF(AND(Sync!$J872&gt;=10000101,Sync!$J872&lt;=99991231),INT(Sync!$J872/10000)&amp;"/"&amp;RIGHT("00"&amp;INT(MOD(Sync!$J872,10000)/100),2)&amp;"/"&amp;RIGHT("00"&amp;MOD(Sync!$J872,100),2),"نامعتبر"),IF(LEN(Sync!$J872)=10,Sync!$J872,"نامعتبر")))</f>
        <v/>
      </c>
      <c r="R872">
        <f>IF($P872="","",COUNTIFS($N$6:$N$2005,$N872,$P$6:$P$2005,"&lt;"&amp;$P872)+COUNTIFS($A$6:$A$1005,$N872,$B$6:$B$1005,"&lt;"&amp;$P872)+1)</f>
        <v/>
      </c>
      <c r="S872">
        <f>IF($N872="","",$N872&amp;"|"&amp;RIGHT("000000"&amp;$R872,6))</f>
        <v/>
      </c>
      <c r="T872">
        <f>IF($N872="","",IF(Sync!$N872="",0,Sync!$N872))</f>
        <v/>
      </c>
      <c r="U872">
        <f>IF($N872="","",IF(Sync!$O872="",0,Sync!$O872))</f>
        <v/>
      </c>
      <c r="V872">
        <f>IF($N872="","",Sync!$L872)</f>
        <v/>
      </c>
      <c r="W872">
        <f>IF($N872="","",Sync!$P872)</f>
        <v/>
      </c>
      <c r="AA872">
        <f>IF($A872="","",IF(COUNTIF($A$6:$A872,$A872)=1,1,0))</f>
        <v/>
      </c>
      <c r="AB872">
        <f>SUM($AA$6:$AA872)</f>
        <v/>
      </c>
      <c r="AC872">
        <f>IFERROR(INDEX($A$6:$A$1005,MATCH(ROW()-5,$AB$6:$AB$1005,0)),"")</f>
        <v/>
      </c>
    </row>
    <row r="873">
      <c r="A873">
        <f>IF(OR(Entry!$B876="",Entry!$E876="",$E873="نامعتبر"),"",Entry!$E876)</f>
        <v/>
      </c>
      <c r="B873">
        <f>IF($A873="","",LEFT($E873,4)&amp;MID($E873,6,2)&amp;RIGHT($E873,2)&amp;$F873&amp;"|"&amp;"1"&amp;RIGHT("00000"&amp;868,5))</f>
        <v/>
      </c>
      <c r="C873">
        <f>IF($B873="","",COUNTIFS($A$6:$A$1005,$A873,$B$6:$B$1005,"&lt;"&amp;$B873)+COUNTIFS($N$6:$N$2005,$A873,$P$6:$P$2005,"&lt;"&amp;$B873)+1)</f>
        <v/>
      </c>
      <c r="D873">
        <f>IF($C873="","",$A873&amp;"|"&amp;RIGHT("000000"&amp;$C873,6))</f>
        <v/>
      </c>
      <c r="E873">
        <f>IF(Entry!$B876="","",IF(ISNUMBER(Entry!$B876),IF(AND(Entry!$B876&gt;=10000101,Entry!$B876&lt;=99991231),INT(Entry!$B876/10000)&amp;"/"&amp;RIGHT("00"&amp;INT(MOD(Entry!$B876,10000)/100),2)&amp;"/"&amp;RIGHT("00"&amp;MOD(Entry!$B876,100),2),"نامعتبر"),IF(LEN(Entry!$B876)=10,Entry!$B876,"نامعتبر")))</f>
        <v/>
      </c>
      <c r="F873">
        <f>IF(Entry!$B876="","",IF(Entry!$C876="","0000",IF(AND(ISNUMBER(Entry!$C876),Entry!$C876&gt;=0,Entry!$C876&lt;1),RIGHT("00"&amp;HOUR(Entry!$C876),2)&amp;RIGHT("00"&amp;MINUTE(Entry!$C876),2),IFERROR(RIGHT("00"&amp;VALUE(LEFT(Entry!$C876,FIND(":",Entry!$C876)-1)),2)&amp;RIGHT("00"&amp;VALUE(MID(Entry!$C876,FIND(":",Entry!$C876)+1,2)),2),"0000"))))</f>
        <v/>
      </c>
      <c r="G873">
        <f>IF($A873="","",Entry!$G876)</f>
        <v/>
      </c>
      <c r="H873">
        <f>IF($A873="","",IF(Entry!$H876="",0,Entry!$H876))</f>
        <v/>
      </c>
      <c r="I873">
        <f>IF($A873="","",IF(Entry!$I876="",0,Entry!$I876))</f>
        <v/>
      </c>
      <c r="J873">
        <f>IF($A873="","",ROUND($H873*$I873,0))</f>
        <v/>
      </c>
      <c r="K873">
        <f>IF($A873="","",Entry!$D876)</f>
        <v/>
      </c>
      <c r="L873">
        <f>IF($A873="","",Entry!$L876)</f>
        <v/>
      </c>
      <c r="N873">
        <f>IF(OR(Sync!$M873="",$Q873="",$Q873="نامعتبر"),"",Sync!$M873)</f>
        <v/>
      </c>
      <c r="O873">
        <f>IF($N873="","",$Q873)</f>
        <v/>
      </c>
      <c r="P873">
        <f>IF($N873="","",LEFT($Q873,4)&amp;MID($Q873,6,2)&amp;RIGHT($Q873,2)&amp;IF(Sync!$K873="","0000",IF(AND(ISNUMBER(Sync!$K873),Sync!$K873&gt;=0,Sync!$K873&lt;1),RIGHT("00"&amp;HOUR(Sync!$K873),2)&amp;RIGHT("00"&amp;MINUTE(Sync!$K873),2),IFERROR(RIGHT("00"&amp;VALUE(LEFT(Sync!$K873,FIND(":",Sync!$K873)-1)),2)&amp;RIGHT("00"&amp;VALUE(MID(Sync!$K873,FIND(":",Sync!$K873)+1,2)),2),"0000")))&amp;"|"&amp;"2"&amp;RIGHT("00000"&amp;868,5))</f>
        <v/>
      </c>
      <c r="Q873">
        <f>IF(Sync!$J873="","",IF(ISNUMBER(Sync!$J873),IF(AND(Sync!$J873&gt;=10000101,Sync!$J873&lt;=99991231),INT(Sync!$J873/10000)&amp;"/"&amp;RIGHT("00"&amp;INT(MOD(Sync!$J873,10000)/100),2)&amp;"/"&amp;RIGHT("00"&amp;MOD(Sync!$J873,100),2),"نامعتبر"),IF(LEN(Sync!$J873)=10,Sync!$J873,"نامعتبر")))</f>
        <v/>
      </c>
      <c r="R873">
        <f>IF($P873="","",COUNTIFS($N$6:$N$2005,$N873,$P$6:$P$2005,"&lt;"&amp;$P873)+COUNTIFS($A$6:$A$1005,$N873,$B$6:$B$1005,"&lt;"&amp;$P873)+1)</f>
        <v/>
      </c>
      <c r="S873">
        <f>IF($N873="","",$N873&amp;"|"&amp;RIGHT("000000"&amp;$R873,6))</f>
        <v/>
      </c>
      <c r="T873">
        <f>IF($N873="","",IF(Sync!$N873="",0,Sync!$N873))</f>
        <v/>
      </c>
      <c r="U873">
        <f>IF($N873="","",IF(Sync!$O873="",0,Sync!$O873))</f>
        <v/>
      </c>
      <c r="V873">
        <f>IF($N873="","",Sync!$L873)</f>
        <v/>
      </c>
      <c r="W873">
        <f>IF($N873="","",Sync!$P873)</f>
        <v/>
      </c>
      <c r="AA873">
        <f>IF($A873="","",IF(COUNTIF($A$6:$A873,$A873)=1,1,0))</f>
        <v/>
      </c>
      <c r="AB873">
        <f>SUM($AA$6:$AA873)</f>
        <v/>
      </c>
      <c r="AC873">
        <f>IFERROR(INDEX($A$6:$A$1005,MATCH(ROW()-5,$AB$6:$AB$1005,0)),"")</f>
        <v/>
      </c>
    </row>
    <row r="874">
      <c r="A874">
        <f>IF(OR(Entry!$B877="",Entry!$E877="",$E874="نامعتبر"),"",Entry!$E877)</f>
        <v/>
      </c>
      <c r="B874">
        <f>IF($A874="","",LEFT($E874,4)&amp;MID($E874,6,2)&amp;RIGHT($E874,2)&amp;$F874&amp;"|"&amp;"1"&amp;RIGHT("00000"&amp;869,5))</f>
        <v/>
      </c>
      <c r="C874">
        <f>IF($B874="","",COUNTIFS($A$6:$A$1005,$A874,$B$6:$B$1005,"&lt;"&amp;$B874)+COUNTIFS($N$6:$N$2005,$A874,$P$6:$P$2005,"&lt;"&amp;$B874)+1)</f>
        <v/>
      </c>
      <c r="D874">
        <f>IF($C874="","",$A874&amp;"|"&amp;RIGHT("000000"&amp;$C874,6))</f>
        <v/>
      </c>
      <c r="E874">
        <f>IF(Entry!$B877="","",IF(ISNUMBER(Entry!$B877),IF(AND(Entry!$B877&gt;=10000101,Entry!$B877&lt;=99991231),INT(Entry!$B877/10000)&amp;"/"&amp;RIGHT("00"&amp;INT(MOD(Entry!$B877,10000)/100),2)&amp;"/"&amp;RIGHT("00"&amp;MOD(Entry!$B877,100),2),"نامعتبر"),IF(LEN(Entry!$B877)=10,Entry!$B877,"نامعتبر")))</f>
        <v/>
      </c>
      <c r="F874">
        <f>IF(Entry!$B877="","",IF(Entry!$C877="","0000",IF(AND(ISNUMBER(Entry!$C877),Entry!$C877&gt;=0,Entry!$C877&lt;1),RIGHT("00"&amp;HOUR(Entry!$C877),2)&amp;RIGHT("00"&amp;MINUTE(Entry!$C877),2),IFERROR(RIGHT("00"&amp;VALUE(LEFT(Entry!$C877,FIND(":",Entry!$C877)-1)),2)&amp;RIGHT("00"&amp;VALUE(MID(Entry!$C877,FIND(":",Entry!$C877)+1,2)),2),"0000"))))</f>
        <v/>
      </c>
      <c r="G874">
        <f>IF($A874="","",Entry!$G877)</f>
        <v/>
      </c>
      <c r="H874">
        <f>IF($A874="","",IF(Entry!$H877="",0,Entry!$H877))</f>
        <v/>
      </c>
      <c r="I874">
        <f>IF($A874="","",IF(Entry!$I877="",0,Entry!$I877))</f>
        <v/>
      </c>
      <c r="J874">
        <f>IF($A874="","",ROUND($H874*$I874,0))</f>
        <v/>
      </c>
      <c r="K874">
        <f>IF($A874="","",Entry!$D877)</f>
        <v/>
      </c>
      <c r="L874">
        <f>IF($A874="","",Entry!$L877)</f>
        <v/>
      </c>
      <c r="N874">
        <f>IF(OR(Sync!$M874="",$Q874="",$Q874="نامعتبر"),"",Sync!$M874)</f>
        <v/>
      </c>
      <c r="O874">
        <f>IF($N874="","",$Q874)</f>
        <v/>
      </c>
      <c r="P874">
        <f>IF($N874="","",LEFT($Q874,4)&amp;MID($Q874,6,2)&amp;RIGHT($Q874,2)&amp;IF(Sync!$K874="","0000",IF(AND(ISNUMBER(Sync!$K874),Sync!$K874&gt;=0,Sync!$K874&lt;1),RIGHT("00"&amp;HOUR(Sync!$K874),2)&amp;RIGHT("00"&amp;MINUTE(Sync!$K874),2),IFERROR(RIGHT("00"&amp;VALUE(LEFT(Sync!$K874,FIND(":",Sync!$K874)-1)),2)&amp;RIGHT("00"&amp;VALUE(MID(Sync!$K874,FIND(":",Sync!$K874)+1,2)),2),"0000")))&amp;"|"&amp;"2"&amp;RIGHT("00000"&amp;869,5))</f>
        <v/>
      </c>
      <c r="Q874">
        <f>IF(Sync!$J874="","",IF(ISNUMBER(Sync!$J874),IF(AND(Sync!$J874&gt;=10000101,Sync!$J874&lt;=99991231),INT(Sync!$J874/10000)&amp;"/"&amp;RIGHT("00"&amp;INT(MOD(Sync!$J874,10000)/100),2)&amp;"/"&amp;RIGHT("00"&amp;MOD(Sync!$J874,100),2),"نامعتبر"),IF(LEN(Sync!$J874)=10,Sync!$J874,"نامعتبر")))</f>
        <v/>
      </c>
      <c r="R874">
        <f>IF($P874="","",COUNTIFS($N$6:$N$2005,$N874,$P$6:$P$2005,"&lt;"&amp;$P874)+COUNTIFS($A$6:$A$1005,$N874,$B$6:$B$1005,"&lt;"&amp;$P874)+1)</f>
        <v/>
      </c>
      <c r="S874">
        <f>IF($N874="","",$N874&amp;"|"&amp;RIGHT("000000"&amp;$R874,6))</f>
        <v/>
      </c>
      <c r="T874">
        <f>IF($N874="","",IF(Sync!$N874="",0,Sync!$N874))</f>
        <v/>
      </c>
      <c r="U874">
        <f>IF($N874="","",IF(Sync!$O874="",0,Sync!$O874))</f>
        <v/>
      </c>
      <c r="V874">
        <f>IF($N874="","",Sync!$L874)</f>
        <v/>
      </c>
      <c r="W874">
        <f>IF($N874="","",Sync!$P874)</f>
        <v/>
      </c>
      <c r="AA874">
        <f>IF($A874="","",IF(COUNTIF($A$6:$A874,$A874)=1,1,0))</f>
        <v/>
      </c>
      <c r="AB874">
        <f>SUM($AA$6:$AA874)</f>
        <v/>
      </c>
      <c r="AC874">
        <f>IFERROR(INDEX($A$6:$A$1005,MATCH(ROW()-5,$AB$6:$AB$1005,0)),"")</f>
        <v/>
      </c>
    </row>
    <row r="875">
      <c r="A875">
        <f>IF(OR(Entry!$B878="",Entry!$E878="",$E875="نامعتبر"),"",Entry!$E878)</f>
        <v/>
      </c>
      <c r="B875">
        <f>IF($A875="","",LEFT($E875,4)&amp;MID($E875,6,2)&amp;RIGHT($E875,2)&amp;$F875&amp;"|"&amp;"1"&amp;RIGHT("00000"&amp;870,5))</f>
        <v/>
      </c>
      <c r="C875">
        <f>IF($B875="","",COUNTIFS($A$6:$A$1005,$A875,$B$6:$B$1005,"&lt;"&amp;$B875)+COUNTIFS($N$6:$N$2005,$A875,$P$6:$P$2005,"&lt;"&amp;$B875)+1)</f>
        <v/>
      </c>
      <c r="D875">
        <f>IF($C875="","",$A875&amp;"|"&amp;RIGHT("000000"&amp;$C875,6))</f>
        <v/>
      </c>
      <c r="E875">
        <f>IF(Entry!$B878="","",IF(ISNUMBER(Entry!$B878),IF(AND(Entry!$B878&gt;=10000101,Entry!$B878&lt;=99991231),INT(Entry!$B878/10000)&amp;"/"&amp;RIGHT("00"&amp;INT(MOD(Entry!$B878,10000)/100),2)&amp;"/"&amp;RIGHT("00"&amp;MOD(Entry!$B878,100),2),"نامعتبر"),IF(LEN(Entry!$B878)=10,Entry!$B878,"نامعتبر")))</f>
        <v/>
      </c>
      <c r="F875">
        <f>IF(Entry!$B878="","",IF(Entry!$C878="","0000",IF(AND(ISNUMBER(Entry!$C878),Entry!$C878&gt;=0,Entry!$C878&lt;1),RIGHT("00"&amp;HOUR(Entry!$C878),2)&amp;RIGHT("00"&amp;MINUTE(Entry!$C878),2),IFERROR(RIGHT("00"&amp;VALUE(LEFT(Entry!$C878,FIND(":",Entry!$C878)-1)),2)&amp;RIGHT("00"&amp;VALUE(MID(Entry!$C878,FIND(":",Entry!$C878)+1,2)),2),"0000"))))</f>
        <v/>
      </c>
      <c r="G875">
        <f>IF($A875="","",Entry!$G878)</f>
        <v/>
      </c>
      <c r="H875">
        <f>IF($A875="","",IF(Entry!$H878="",0,Entry!$H878))</f>
        <v/>
      </c>
      <c r="I875">
        <f>IF($A875="","",IF(Entry!$I878="",0,Entry!$I878))</f>
        <v/>
      </c>
      <c r="J875">
        <f>IF($A875="","",ROUND($H875*$I875,0))</f>
        <v/>
      </c>
      <c r="K875">
        <f>IF($A875="","",Entry!$D878)</f>
        <v/>
      </c>
      <c r="L875">
        <f>IF($A875="","",Entry!$L878)</f>
        <v/>
      </c>
      <c r="N875">
        <f>IF(OR(Sync!$M875="",$Q875="",$Q875="نامعتبر"),"",Sync!$M875)</f>
        <v/>
      </c>
      <c r="O875">
        <f>IF($N875="","",$Q875)</f>
        <v/>
      </c>
      <c r="P875">
        <f>IF($N875="","",LEFT($Q875,4)&amp;MID($Q875,6,2)&amp;RIGHT($Q875,2)&amp;IF(Sync!$K875="","0000",IF(AND(ISNUMBER(Sync!$K875),Sync!$K875&gt;=0,Sync!$K875&lt;1),RIGHT("00"&amp;HOUR(Sync!$K875),2)&amp;RIGHT("00"&amp;MINUTE(Sync!$K875),2),IFERROR(RIGHT("00"&amp;VALUE(LEFT(Sync!$K875,FIND(":",Sync!$K875)-1)),2)&amp;RIGHT("00"&amp;VALUE(MID(Sync!$K875,FIND(":",Sync!$K875)+1,2)),2),"0000")))&amp;"|"&amp;"2"&amp;RIGHT("00000"&amp;870,5))</f>
        <v/>
      </c>
      <c r="Q875">
        <f>IF(Sync!$J875="","",IF(ISNUMBER(Sync!$J875),IF(AND(Sync!$J875&gt;=10000101,Sync!$J875&lt;=99991231),INT(Sync!$J875/10000)&amp;"/"&amp;RIGHT("00"&amp;INT(MOD(Sync!$J875,10000)/100),2)&amp;"/"&amp;RIGHT("00"&amp;MOD(Sync!$J875,100),2),"نامعتبر"),IF(LEN(Sync!$J875)=10,Sync!$J875,"نامعتبر")))</f>
        <v/>
      </c>
      <c r="R875">
        <f>IF($P875="","",COUNTIFS($N$6:$N$2005,$N875,$P$6:$P$2005,"&lt;"&amp;$P875)+COUNTIFS($A$6:$A$1005,$N875,$B$6:$B$1005,"&lt;"&amp;$P875)+1)</f>
        <v/>
      </c>
      <c r="S875">
        <f>IF($N875="","",$N875&amp;"|"&amp;RIGHT("000000"&amp;$R875,6))</f>
        <v/>
      </c>
      <c r="T875">
        <f>IF($N875="","",IF(Sync!$N875="",0,Sync!$N875))</f>
        <v/>
      </c>
      <c r="U875">
        <f>IF($N875="","",IF(Sync!$O875="",0,Sync!$O875))</f>
        <v/>
      </c>
      <c r="V875">
        <f>IF($N875="","",Sync!$L875)</f>
        <v/>
      </c>
      <c r="W875">
        <f>IF($N875="","",Sync!$P875)</f>
        <v/>
      </c>
      <c r="AA875">
        <f>IF($A875="","",IF(COUNTIF($A$6:$A875,$A875)=1,1,0))</f>
        <v/>
      </c>
      <c r="AB875">
        <f>SUM($AA$6:$AA875)</f>
        <v/>
      </c>
      <c r="AC875">
        <f>IFERROR(INDEX($A$6:$A$1005,MATCH(ROW()-5,$AB$6:$AB$1005,0)),"")</f>
        <v/>
      </c>
    </row>
    <row r="876">
      <c r="A876">
        <f>IF(OR(Entry!$B879="",Entry!$E879="",$E876="نامعتبر"),"",Entry!$E879)</f>
        <v/>
      </c>
      <c r="B876">
        <f>IF($A876="","",LEFT($E876,4)&amp;MID($E876,6,2)&amp;RIGHT($E876,2)&amp;$F876&amp;"|"&amp;"1"&amp;RIGHT("00000"&amp;871,5))</f>
        <v/>
      </c>
      <c r="C876">
        <f>IF($B876="","",COUNTIFS($A$6:$A$1005,$A876,$B$6:$B$1005,"&lt;"&amp;$B876)+COUNTIFS($N$6:$N$2005,$A876,$P$6:$P$2005,"&lt;"&amp;$B876)+1)</f>
        <v/>
      </c>
      <c r="D876">
        <f>IF($C876="","",$A876&amp;"|"&amp;RIGHT("000000"&amp;$C876,6))</f>
        <v/>
      </c>
      <c r="E876">
        <f>IF(Entry!$B879="","",IF(ISNUMBER(Entry!$B879),IF(AND(Entry!$B879&gt;=10000101,Entry!$B879&lt;=99991231),INT(Entry!$B879/10000)&amp;"/"&amp;RIGHT("00"&amp;INT(MOD(Entry!$B879,10000)/100),2)&amp;"/"&amp;RIGHT("00"&amp;MOD(Entry!$B879,100),2),"نامعتبر"),IF(LEN(Entry!$B879)=10,Entry!$B879,"نامعتبر")))</f>
        <v/>
      </c>
      <c r="F876">
        <f>IF(Entry!$B879="","",IF(Entry!$C879="","0000",IF(AND(ISNUMBER(Entry!$C879),Entry!$C879&gt;=0,Entry!$C879&lt;1),RIGHT("00"&amp;HOUR(Entry!$C879),2)&amp;RIGHT("00"&amp;MINUTE(Entry!$C879),2),IFERROR(RIGHT("00"&amp;VALUE(LEFT(Entry!$C879,FIND(":",Entry!$C879)-1)),2)&amp;RIGHT("00"&amp;VALUE(MID(Entry!$C879,FIND(":",Entry!$C879)+1,2)),2),"0000"))))</f>
        <v/>
      </c>
      <c r="G876">
        <f>IF($A876="","",Entry!$G879)</f>
        <v/>
      </c>
      <c r="H876">
        <f>IF($A876="","",IF(Entry!$H879="",0,Entry!$H879))</f>
        <v/>
      </c>
      <c r="I876">
        <f>IF($A876="","",IF(Entry!$I879="",0,Entry!$I879))</f>
        <v/>
      </c>
      <c r="J876">
        <f>IF($A876="","",ROUND($H876*$I876,0))</f>
        <v/>
      </c>
      <c r="K876">
        <f>IF($A876="","",Entry!$D879)</f>
        <v/>
      </c>
      <c r="L876">
        <f>IF($A876="","",Entry!$L879)</f>
        <v/>
      </c>
      <c r="N876">
        <f>IF(OR(Sync!$M876="",$Q876="",$Q876="نامعتبر"),"",Sync!$M876)</f>
        <v/>
      </c>
      <c r="O876">
        <f>IF($N876="","",$Q876)</f>
        <v/>
      </c>
      <c r="P876">
        <f>IF($N876="","",LEFT($Q876,4)&amp;MID($Q876,6,2)&amp;RIGHT($Q876,2)&amp;IF(Sync!$K876="","0000",IF(AND(ISNUMBER(Sync!$K876),Sync!$K876&gt;=0,Sync!$K876&lt;1),RIGHT("00"&amp;HOUR(Sync!$K876),2)&amp;RIGHT("00"&amp;MINUTE(Sync!$K876),2),IFERROR(RIGHT("00"&amp;VALUE(LEFT(Sync!$K876,FIND(":",Sync!$K876)-1)),2)&amp;RIGHT("00"&amp;VALUE(MID(Sync!$K876,FIND(":",Sync!$K876)+1,2)),2),"0000")))&amp;"|"&amp;"2"&amp;RIGHT("00000"&amp;871,5))</f>
        <v/>
      </c>
      <c r="Q876">
        <f>IF(Sync!$J876="","",IF(ISNUMBER(Sync!$J876),IF(AND(Sync!$J876&gt;=10000101,Sync!$J876&lt;=99991231),INT(Sync!$J876/10000)&amp;"/"&amp;RIGHT("00"&amp;INT(MOD(Sync!$J876,10000)/100),2)&amp;"/"&amp;RIGHT("00"&amp;MOD(Sync!$J876,100),2),"نامعتبر"),IF(LEN(Sync!$J876)=10,Sync!$J876,"نامعتبر")))</f>
        <v/>
      </c>
      <c r="R876">
        <f>IF($P876="","",COUNTIFS($N$6:$N$2005,$N876,$P$6:$P$2005,"&lt;"&amp;$P876)+COUNTIFS($A$6:$A$1005,$N876,$B$6:$B$1005,"&lt;"&amp;$P876)+1)</f>
        <v/>
      </c>
      <c r="S876">
        <f>IF($N876="","",$N876&amp;"|"&amp;RIGHT("000000"&amp;$R876,6))</f>
        <v/>
      </c>
      <c r="T876">
        <f>IF($N876="","",IF(Sync!$N876="",0,Sync!$N876))</f>
        <v/>
      </c>
      <c r="U876">
        <f>IF($N876="","",IF(Sync!$O876="",0,Sync!$O876))</f>
        <v/>
      </c>
      <c r="V876">
        <f>IF($N876="","",Sync!$L876)</f>
        <v/>
      </c>
      <c r="W876">
        <f>IF($N876="","",Sync!$P876)</f>
        <v/>
      </c>
      <c r="AA876">
        <f>IF($A876="","",IF(COUNTIF($A$6:$A876,$A876)=1,1,0))</f>
        <v/>
      </c>
      <c r="AB876">
        <f>SUM($AA$6:$AA876)</f>
        <v/>
      </c>
      <c r="AC876">
        <f>IFERROR(INDEX($A$6:$A$1005,MATCH(ROW()-5,$AB$6:$AB$1005,0)),"")</f>
        <v/>
      </c>
    </row>
    <row r="877">
      <c r="A877">
        <f>IF(OR(Entry!$B880="",Entry!$E880="",$E877="نامعتبر"),"",Entry!$E880)</f>
        <v/>
      </c>
      <c r="B877">
        <f>IF($A877="","",LEFT($E877,4)&amp;MID($E877,6,2)&amp;RIGHT($E877,2)&amp;$F877&amp;"|"&amp;"1"&amp;RIGHT("00000"&amp;872,5))</f>
        <v/>
      </c>
      <c r="C877">
        <f>IF($B877="","",COUNTIFS($A$6:$A$1005,$A877,$B$6:$B$1005,"&lt;"&amp;$B877)+COUNTIFS($N$6:$N$2005,$A877,$P$6:$P$2005,"&lt;"&amp;$B877)+1)</f>
        <v/>
      </c>
      <c r="D877">
        <f>IF($C877="","",$A877&amp;"|"&amp;RIGHT("000000"&amp;$C877,6))</f>
        <v/>
      </c>
      <c r="E877">
        <f>IF(Entry!$B880="","",IF(ISNUMBER(Entry!$B880),IF(AND(Entry!$B880&gt;=10000101,Entry!$B880&lt;=99991231),INT(Entry!$B880/10000)&amp;"/"&amp;RIGHT("00"&amp;INT(MOD(Entry!$B880,10000)/100),2)&amp;"/"&amp;RIGHT("00"&amp;MOD(Entry!$B880,100),2),"نامعتبر"),IF(LEN(Entry!$B880)=10,Entry!$B880,"نامعتبر")))</f>
        <v/>
      </c>
      <c r="F877">
        <f>IF(Entry!$B880="","",IF(Entry!$C880="","0000",IF(AND(ISNUMBER(Entry!$C880),Entry!$C880&gt;=0,Entry!$C880&lt;1),RIGHT("00"&amp;HOUR(Entry!$C880),2)&amp;RIGHT("00"&amp;MINUTE(Entry!$C880),2),IFERROR(RIGHT("00"&amp;VALUE(LEFT(Entry!$C880,FIND(":",Entry!$C880)-1)),2)&amp;RIGHT("00"&amp;VALUE(MID(Entry!$C880,FIND(":",Entry!$C880)+1,2)),2),"0000"))))</f>
        <v/>
      </c>
      <c r="G877">
        <f>IF($A877="","",Entry!$G880)</f>
        <v/>
      </c>
      <c r="H877">
        <f>IF($A877="","",IF(Entry!$H880="",0,Entry!$H880))</f>
        <v/>
      </c>
      <c r="I877">
        <f>IF($A877="","",IF(Entry!$I880="",0,Entry!$I880))</f>
        <v/>
      </c>
      <c r="J877">
        <f>IF($A877="","",ROUND($H877*$I877,0))</f>
        <v/>
      </c>
      <c r="K877">
        <f>IF($A877="","",Entry!$D880)</f>
        <v/>
      </c>
      <c r="L877">
        <f>IF($A877="","",Entry!$L880)</f>
        <v/>
      </c>
      <c r="N877">
        <f>IF(OR(Sync!$M877="",$Q877="",$Q877="نامعتبر"),"",Sync!$M877)</f>
        <v/>
      </c>
      <c r="O877">
        <f>IF($N877="","",$Q877)</f>
        <v/>
      </c>
      <c r="P877">
        <f>IF($N877="","",LEFT($Q877,4)&amp;MID($Q877,6,2)&amp;RIGHT($Q877,2)&amp;IF(Sync!$K877="","0000",IF(AND(ISNUMBER(Sync!$K877),Sync!$K877&gt;=0,Sync!$K877&lt;1),RIGHT("00"&amp;HOUR(Sync!$K877),2)&amp;RIGHT("00"&amp;MINUTE(Sync!$K877),2),IFERROR(RIGHT("00"&amp;VALUE(LEFT(Sync!$K877,FIND(":",Sync!$K877)-1)),2)&amp;RIGHT("00"&amp;VALUE(MID(Sync!$K877,FIND(":",Sync!$K877)+1,2)),2),"0000")))&amp;"|"&amp;"2"&amp;RIGHT("00000"&amp;872,5))</f>
        <v/>
      </c>
      <c r="Q877">
        <f>IF(Sync!$J877="","",IF(ISNUMBER(Sync!$J877),IF(AND(Sync!$J877&gt;=10000101,Sync!$J877&lt;=99991231),INT(Sync!$J877/10000)&amp;"/"&amp;RIGHT("00"&amp;INT(MOD(Sync!$J877,10000)/100),2)&amp;"/"&amp;RIGHT("00"&amp;MOD(Sync!$J877,100),2),"نامعتبر"),IF(LEN(Sync!$J877)=10,Sync!$J877,"نامعتبر")))</f>
        <v/>
      </c>
      <c r="R877">
        <f>IF($P877="","",COUNTIFS($N$6:$N$2005,$N877,$P$6:$P$2005,"&lt;"&amp;$P877)+COUNTIFS($A$6:$A$1005,$N877,$B$6:$B$1005,"&lt;"&amp;$P877)+1)</f>
        <v/>
      </c>
      <c r="S877">
        <f>IF($N877="","",$N877&amp;"|"&amp;RIGHT("000000"&amp;$R877,6))</f>
        <v/>
      </c>
      <c r="T877">
        <f>IF($N877="","",IF(Sync!$N877="",0,Sync!$N877))</f>
        <v/>
      </c>
      <c r="U877">
        <f>IF($N877="","",IF(Sync!$O877="",0,Sync!$O877))</f>
        <v/>
      </c>
      <c r="V877">
        <f>IF($N877="","",Sync!$L877)</f>
        <v/>
      </c>
      <c r="W877">
        <f>IF($N877="","",Sync!$P877)</f>
        <v/>
      </c>
      <c r="AA877">
        <f>IF($A877="","",IF(COUNTIF($A$6:$A877,$A877)=1,1,0))</f>
        <v/>
      </c>
      <c r="AB877">
        <f>SUM($AA$6:$AA877)</f>
        <v/>
      </c>
      <c r="AC877">
        <f>IFERROR(INDEX($A$6:$A$1005,MATCH(ROW()-5,$AB$6:$AB$1005,0)),"")</f>
        <v/>
      </c>
    </row>
    <row r="878">
      <c r="A878">
        <f>IF(OR(Entry!$B881="",Entry!$E881="",$E878="نامعتبر"),"",Entry!$E881)</f>
        <v/>
      </c>
      <c r="B878">
        <f>IF($A878="","",LEFT($E878,4)&amp;MID($E878,6,2)&amp;RIGHT($E878,2)&amp;$F878&amp;"|"&amp;"1"&amp;RIGHT("00000"&amp;873,5))</f>
        <v/>
      </c>
      <c r="C878">
        <f>IF($B878="","",COUNTIFS($A$6:$A$1005,$A878,$B$6:$B$1005,"&lt;"&amp;$B878)+COUNTIFS($N$6:$N$2005,$A878,$P$6:$P$2005,"&lt;"&amp;$B878)+1)</f>
        <v/>
      </c>
      <c r="D878">
        <f>IF($C878="","",$A878&amp;"|"&amp;RIGHT("000000"&amp;$C878,6))</f>
        <v/>
      </c>
      <c r="E878">
        <f>IF(Entry!$B881="","",IF(ISNUMBER(Entry!$B881),IF(AND(Entry!$B881&gt;=10000101,Entry!$B881&lt;=99991231),INT(Entry!$B881/10000)&amp;"/"&amp;RIGHT("00"&amp;INT(MOD(Entry!$B881,10000)/100),2)&amp;"/"&amp;RIGHT("00"&amp;MOD(Entry!$B881,100),2),"نامعتبر"),IF(LEN(Entry!$B881)=10,Entry!$B881,"نامعتبر")))</f>
        <v/>
      </c>
      <c r="F878">
        <f>IF(Entry!$B881="","",IF(Entry!$C881="","0000",IF(AND(ISNUMBER(Entry!$C881),Entry!$C881&gt;=0,Entry!$C881&lt;1),RIGHT("00"&amp;HOUR(Entry!$C881),2)&amp;RIGHT("00"&amp;MINUTE(Entry!$C881),2),IFERROR(RIGHT("00"&amp;VALUE(LEFT(Entry!$C881,FIND(":",Entry!$C881)-1)),2)&amp;RIGHT("00"&amp;VALUE(MID(Entry!$C881,FIND(":",Entry!$C881)+1,2)),2),"0000"))))</f>
        <v/>
      </c>
      <c r="G878">
        <f>IF($A878="","",Entry!$G881)</f>
        <v/>
      </c>
      <c r="H878">
        <f>IF($A878="","",IF(Entry!$H881="",0,Entry!$H881))</f>
        <v/>
      </c>
      <c r="I878">
        <f>IF($A878="","",IF(Entry!$I881="",0,Entry!$I881))</f>
        <v/>
      </c>
      <c r="J878">
        <f>IF($A878="","",ROUND($H878*$I878,0))</f>
        <v/>
      </c>
      <c r="K878">
        <f>IF($A878="","",Entry!$D881)</f>
        <v/>
      </c>
      <c r="L878">
        <f>IF($A878="","",Entry!$L881)</f>
        <v/>
      </c>
      <c r="N878">
        <f>IF(OR(Sync!$M878="",$Q878="",$Q878="نامعتبر"),"",Sync!$M878)</f>
        <v/>
      </c>
      <c r="O878">
        <f>IF($N878="","",$Q878)</f>
        <v/>
      </c>
      <c r="P878">
        <f>IF($N878="","",LEFT($Q878,4)&amp;MID($Q878,6,2)&amp;RIGHT($Q878,2)&amp;IF(Sync!$K878="","0000",IF(AND(ISNUMBER(Sync!$K878),Sync!$K878&gt;=0,Sync!$K878&lt;1),RIGHT("00"&amp;HOUR(Sync!$K878),2)&amp;RIGHT("00"&amp;MINUTE(Sync!$K878),2),IFERROR(RIGHT("00"&amp;VALUE(LEFT(Sync!$K878,FIND(":",Sync!$K878)-1)),2)&amp;RIGHT("00"&amp;VALUE(MID(Sync!$K878,FIND(":",Sync!$K878)+1,2)),2),"0000")))&amp;"|"&amp;"2"&amp;RIGHT("00000"&amp;873,5))</f>
        <v/>
      </c>
      <c r="Q878">
        <f>IF(Sync!$J878="","",IF(ISNUMBER(Sync!$J878),IF(AND(Sync!$J878&gt;=10000101,Sync!$J878&lt;=99991231),INT(Sync!$J878/10000)&amp;"/"&amp;RIGHT("00"&amp;INT(MOD(Sync!$J878,10000)/100),2)&amp;"/"&amp;RIGHT("00"&amp;MOD(Sync!$J878,100),2),"نامعتبر"),IF(LEN(Sync!$J878)=10,Sync!$J878,"نامعتبر")))</f>
        <v/>
      </c>
      <c r="R878">
        <f>IF($P878="","",COUNTIFS($N$6:$N$2005,$N878,$P$6:$P$2005,"&lt;"&amp;$P878)+COUNTIFS($A$6:$A$1005,$N878,$B$6:$B$1005,"&lt;"&amp;$P878)+1)</f>
        <v/>
      </c>
      <c r="S878">
        <f>IF($N878="","",$N878&amp;"|"&amp;RIGHT("000000"&amp;$R878,6))</f>
        <v/>
      </c>
      <c r="T878">
        <f>IF($N878="","",IF(Sync!$N878="",0,Sync!$N878))</f>
        <v/>
      </c>
      <c r="U878">
        <f>IF($N878="","",IF(Sync!$O878="",0,Sync!$O878))</f>
        <v/>
      </c>
      <c r="V878">
        <f>IF($N878="","",Sync!$L878)</f>
        <v/>
      </c>
      <c r="W878">
        <f>IF($N878="","",Sync!$P878)</f>
        <v/>
      </c>
      <c r="AA878">
        <f>IF($A878="","",IF(COUNTIF($A$6:$A878,$A878)=1,1,0))</f>
        <v/>
      </c>
      <c r="AB878">
        <f>SUM($AA$6:$AA878)</f>
        <v/>
      </c>
      <c r="AC878">
        <f>IFERROR(INDEX($A$6:$A$1005,MATCH(ROW()-5,$AB$6:$AB$1005,0)),"")</f>
        <v/>
      </c>
    </row>
    <row r="879">
      <c r="A879">
        <f>IF(OR(Entry!$B882="",Entry!$E882="",$E879="نامعتبر"),"",Entry!$E882)</f>
        <v/>
      </c>
      <c r="B879">
        <f>IF($A879="","",LEFT($E879,4)&amp;MID($E879,6,2)&amp;RIGHT($E879,2)&amp;$F879&amp;"|"&amp;"1"&amp;RIGHT("00000"&amp;874,5))</f>
        <v/>
      </c>
      <c r="C879">
        <f>IF($B879="","",COUNTIFS($A$6:$A$1005,$A879,$B$6:$B$1005,"&lt;"&amp;$B879)+COUNTIFS($N$6:$N$2005,$A879,$P$6:$P$2005,"&lt;"&amp;$B879)+1)</f>
        <v/>
      </c>
      <c r="D879">
        <f>IF($C879="","",$A879&amp;"|"&amp;RIGHT("000000"&amp;$C879,6))</f>
        <v/>
      </c>
      <c r="E879">
        <f>IF(Entry!$B882="","",IF(ISNUMBER(Entry!$B882),IF(AND(Entry!$B882&gt;=10000101,Entry!$B882&lt;=99991231),INT(Entry!$B882/10000)&amp;"/"&amp;RIGHT("00"&amp;INT(MOD(Entry!$B882,10000)/100),2)&amp;"/"&amp;RIGHT("00"&amp;MOD(Entry!$B882,100),2),"نامعتبر"),IF(LEN(Entry!$B882)=10,Entry!$B882,"نامعتبر")))</f>
        <v/>
      </c>
      <c r="F879">
        <f>IF(Entry!$B882="","",IF(Entry!$C882="","0000",IF(AND(ISNUMBER(Entry!$C882),Entry!$C882&gt;=0,Entry!$C882&lt;1),RIGHT("00"&amp;HOUR(Entry!$C882),2)&amp;RIGHT("00"&amp;MINUTE(Entry!$C882),2),IFERROR(RIGHT("00"&amp;VALUE(LEFT(Entry!$C882,FIND(":",Entry!$C882)-1)),2)&amp;RIGHT("00"&amp;VALUE(MID(Entry!$C882,FIND(":",Entry!$C882)+1,2)),2),"0000"))))</f>
        <v/>
      </c>
      <c r="G879">
        <f>IF($A879="","",Entry!$G882)</f>
        <v/>
      </c>
      <c r="H879">
        <f>IF($A879="","",IF(Entry!$H882="",0,Entry!$H882))</f>
        <v/>
      </c>
      <c r="I879">
        <f>IF($A879="","",IF(Entry!$I882="",0,Entry!$I882))</f>
        <v/>
      </c>
      <c r="J879">
        <f>IF($A879="","",ROUND($H879*$I879,0))</f>
        <v/>
      </c>
      <c r="K879">
        <f>IF($A879="","",Entry!$D882)</f>
        <v/>
      </c>
      <c r="L879">
        <f>IF($A879="","",Entry!$L882)</f>
        <v/>
      </c>
      <c r="N879">
        <f>IF(OR(Sync!$M879="",$Q879="",$Q879="نامعتبر"),"",Sync!$M879)</f>
        <v/>
      </c>
      <c r="O879">
        <f>IF($N879="","",$Q879)</f>
        <v/>
      </c>
      <c r="P879">
        <f>IF($N879="","",LEFT($Q879,4)&amp;MID($Q879,6,2)&amp;RIGHT($Q879,2)&amp;IF(Sync!$K879="","0000",IF(AND(ISNUMBER(Sync!$K879),Sync!$K879&gt;=0,Sync!$K879&lt;1),RIGHT("00"&amp;HOUR(Sync!$K879),2)&amp;RIGHT("00"&amp;MINUTE(Sync!$K879),2),IFERROR(RIGHT("00"&amp;VALUE(LEFT(Sync!$K879,FIND(":",Sync!$K879)-1)),2)&amp;RIGHT("00"&amp;VALUE(MID(Sync!$K879,FIND(":",Sync!$K879)+1,2)),2),"0000")))&amp;"|"&amp;"2"&amp;RIGHT("00000"&amp;874,5))</f>
        <v/>
      </c>
      <c r="Q879">
        <f>IF(Sync!$J879="","",IF(ISNUMBER(Sync!$J879),IF(AND(Sync!$J879&gt;=10000101,Sync!$J879&lt;=99991231),INT(Sync!$J879/10000)&amp;"/"&amp;RIGHT("00"&amp;INT(MOD(Sync!$J879,10000)/100),2)&amp;"/"&amp;RIGHT("00"&amp;MOD(Sync!$J879,100),2),"نامعتبر"),IF(LEN(Sync!$J879)=10,Sync!$J879,"نامعتبر")))</f>
        <v/>
      </c>
      <c r="R879">
        <f>IF($P879="","",COUNTIFS($N$6:$N$2005,$N879,$P$6:$P$2005,"&lt;"&amp;$P879)+COUNTIFS($A$6:$A$1005,$N879,$B$6:$B$1005,"&lt;"&amp;$P879)+1)</f>
        <v/>
      </c>
      <c r="S879">
        <f>IF($N879="","",$N879&amp;"|"&amp;RIGHT("000000"&amp;$R879,6))</f>
        <v/>
      </c>
      <c r="T879">
        <f>IF($N879="","",IF(Sync!$N879="",0,Sync!$N879))</f>
        <v/>
      </c>
      <c r="U879">
        <f>IF($N879="","",IF(Sync!$O879="",0,Sync!$O879))</f>
        <v/>
      </c>
      <c r="V879">
        <f>IF($N879="","",Sync!$L879)</f>
        <v/>
      </c>
      <c r="W879">
        <f>IF($N879="","",Sync!$P879)</f>
        <v/>
      </c>
      <c r="AA879">
        <f>IF($A879="","",IF(COUNTIF($A$6:$A879,$A879)=1,1,0))</f>
        <v/>
      </c>
      <c r="AB879">
        <f>SUM($AA$6:$AA879)</f>
        <v/>
      </c>
      <c r="AC879">
        <f>IFERROR(INDEX($A$6:$A$1005,MATCH(ROW()-5,$AB$6:$AB$1005,0)),"")</f>
        <v/>
      </c>
    </row>
    <row r="880">
      <c r="A880">
        <f>IF(OR(Entry!$B883="",Entry!$E883="",$E880="نامعتبر"),"",Entry!$E883)</f>
        <v/>
      </c>
      <c r="B880">
        <f>IF($A880="","",LEFT($E880,4)&amp;MID($E880,6,2)&amp;RIGHT($E880,2)&amp;$F880&amp;"|"&amp;"1"&amp;RIGHT("00000"&amp;875,5))</f>
        <v/>
      </c>
      <c r="C880">
        <f>IF($B880="","",COUNTIFS($A$6:$A$1005,$A880,$B$6:$B$1005,"&lt;"&amp;$B880)+COUNTIFS($N$6:$N$2005,$A880,$P$6:$P$2005,"&lt;"&amp;$B880)+1)</f>
        <v/>
      </c>
      <c r="D880">
        <f>IF($C880="","",$A880&amp;"|"&amp;RIGHT("000000"&amp;$C880,6))</f>
        <v/>
      </c>
      <c r="E880">
        <f>IF(Entry!$B883="","",IF(ISNUMBER(Entry!$B883),IF(AND(Entry!$B883&gt;=10000101,Entry!$B883&lt;=99991231),INT(Entry!$B883/10000)&amp;"/"&amp;RIGHT("00"&amp;INT(MOD(Entry!$B883,10000)/100),2)&amp;"/"&amp;RIGHT("00"&amp;MOD(Entry!$B883,100),2),"نامعتبر"),IF(LEN(Entry!$B883)=10,Entry!$B883,"نامعتبر")))</f>
        <v/>
      </c>
      <c r="F880">
        <f>IF(Entry!$B883="","",IF(Entry!$C883="","0000",IF(AND(ISNUMBER(Entry!$C883),Entry!$C883&gt;=0,Entry!$C883&lt;1),RIGHT("00"&amp;HOUR(Entry!$C883),2)&amp;RIGHT("00"&amp;MINUTE(Entry!$C883),2),IFERROR(RIGHT("00"&amp;VALUE(LEFT(Entry!$C883,FIND(":",Entry!$C883)-1)),2)&amp;RIGHT("00"&amp;VALUE(MID(Entry!$C883,FIND(":",Entry!$C883)+1,2)),2),"0000"))))</f>
        <v/>
      </c>
      <c r="G880">
        <f>IF($A880="","",Entry!$G883)</f>
        <v/>
      </c>
      <c r="H880">
        <f>IF($A880="","",IF(Entry!$H883="",0,Entry!$H883))</f>
        <v/>
      </c>
      <c r="I880">
        <f>IF($A880="","",IF(Entry!$I883="",0,Entry!$I883))</f>
        <v/>
      </c>
      <c r="J880">
        <f>IF($A880="","",ROUND($H880*$I880,0))</f>
        <v/>
      </c>
      <c r="K880">
        <f>IF($A880="","",Entry!$D883)</f>
        <v/>
      </c>
      <c r="L880">
        <f>IF($A880="","",Entry!$L883)</f>
        <v/>
      </c>
      <c r="N880">
        <f>IF(OR(Sync!$M880="",$Q880="",$Q880="نامعتبر"),"",Sync!$M880)</f>
        <v/>
      </c>
      <c r="O880">
        <f>IF($N880="","",$Q880)</f>
        <v/>
      </c>
      <c r="P880">
        <f>IF($N880="","",LEFT($Q880,4)&amp;MID($Q880,6,2)&amp;RIGHT($Q880,2)&amp;IF(Sync!$K880="","0000",IF(AND(ISNUMBER(Sync!$K880),Sync!$K880&gt;=0,Sync!$K880&lt;1),RIGHT("00"&amp;HOUR(Sync!$K880),2)&amp;RIGHT("00"&amp;MINUTE(Sync!$K880),2),IFERROR(RIGHT("00"&amp;VALUE(LEFT(Sync!$K880,FIND(":",Sync!$K880)-1)),2)&amp;RIGHT("00"&amp;VALUE(MID(Sync!$K880,FIND(":",Sync!$K880)+1,2)),2),"0000")))&amp;"|"&amp;"2"&amp;RIGHT("00000"&amp;875,5))</f>
        <v/>
      </c>
      <c r="Q880">
        <f>IF(Sync!$J880="","",IF(ISNUMBER(Sync!$J880),IF(AND(Sync!$J880&gt;=10000101,Sync!$J880&lt;=99991231),INT(Sync!$J880/10000)&amp;"/"&amp;RIGHT("00"&amp;INT(MOD(Sync!$J880,10000)/100),2)&amp;"/"&amp;RIGHT("00"&amp;MOD(Sync!$J880,100),2),"نامعتبر"),IF(LEN(Sync!$J880)=10,Sync!$J880,"نامعتبر")))</f>
        <v/>
      </c>
      <c r="R880">
        <f>IF($P880="","",COUNTIFS($N$6:$N$2005,$N880,$P$6:$P$2005,"&lt;"&amp;$P880)+COUNTIFS($A$6:$A$1005,$N880,$B$6:$B$1005,"&lt;"&amp;$P880)+1)</f>
        <v/>
      </c>
      <c r="S880">
        <f>IF($N880="","",$N880&amp;"|"&amp;RIGHT("000000"&amp;$R880,6))</f>
        <v/>
      </c>
      <c r="T880">
        <f>IF($N880="","",IF(Sync!$N880="",0,Sync!$N880))</f>
        <v/>
      </c>
      <c r="U880">
        <f>IF($N880="","",IF(Sync!$O880="",0,Sync!$O880))</f>
        <v/>
      </c>
      <c r="V880">
        <f>IF($N880="","",Sync!$L880)</f>
        <v/>
      </c>
      <c r="W880">
        <f>IF($N880="","",Sync!$P880)</f>
        <v/>
      </c>
      <c r="AA880">
        <f>IF($A880="","",IF(COUNTIF($A$6:$A880,$A880)=1,1,0))</f>
        <v/>
      </c>
      <c r="AB880">
        <f>SUM($AA$6:$AA880)</f>
        <v/>
      </c>
      <c r="AC880">
        <f>IFERROR(INDEX($A$6:$A$1005,MATCH(ROW()-5,$AB$6:$AB$1005,0)),"")</f>
        <v/>
      </c>
    </row>
    <row r="881">
      <c r="A881">
        <f>IF(OR(Entry!$B884="",Entry!$E884="",$E881="نامعتبر"),"",Entry!$E884)</f>
        <v/>
      </c>
      <c r="B881">
        <f>IF($A881="","",LEFT($E881,4)&amp;MID($E881,6,2)&amp;RIGHT($E881,2)&amp;$F881&amp;"|"&amp;"1"&amp;RIGHT("00000"&amp;876,5))</f>
        <v/>
      </c>
      <c r="C881">
        <f>IF($B881="","",COUNTIFS($A$6:$A$1005,$A881,$B$6:$B$1005,"&lt;"&amp;$B881)+COUNTIFS($N$6:$N$2005,$A881,$P$6:$P$2005,"&lt;"&amp;$B881)+1)</f>
        <v/>
      </c>
      <c r="D881">
        <f>IF($C881="","",$A881&amp;"|"&amp;RIGHT("000000"&amp;$C881,6))</f>
        <v/>
      </c>
      <c r="E881">
        <f>IF(Entry!$B884="","",IF(ISNUMBER(Entry!$B884),IF(AND(Entry!$B884&gt;=10000101,Entry!$B884&lt;=99991231),INT(Entry!$B884/10000)&amp;"/"&amp;RIGHT("00"&amp;INT(MOD(Entry!$B884,10000)/100),2)&amp;"/"&amp;RIGHT("00"&amp;MOD(Entry!$B884,100),2),"نامعتبر"),IF(LEN(Entry!$B884)=10,Entry!$B884,"نامعتبر")))</f>
        <v/>
      </c>
      <c r="F881">
        <f>IF(Entry!$B884="","",IF(Entry!$C884="","0000",IF(AND(ISNUMBER(Entry!$C884),Entry!$C884&gt;=0,Entry!$C884&lt;1),RIGHT("00"&amp;HOUR(Entry!$C884),2)&amp;RIGHT("00"&amp;MINUTE(Entry!$C884),2),IFERROR(RIGHT("00"&amp;VALUE(LEFT(Entry!$C884,FIND(":",Entry!$C884)-1)),2)&amp;RIGHT("00"&amp;VALUE(MID(Entry!$C884,FIND(":",Entry!$C884)+1,2)),2),"0000"))))</f>
        <v/>
      </c>
      <c r="G881">
        <f>IF($A881="","",Entry!$G884)</f>
        <v/>
      </c>
      <c r="H881">
        <f>IF($A881="","",IF(Entry!$H884="",0,Entry!$H884))</f>
        <v/>
      </c>
      <c r="I881">
        <f>IF($A881="","",IF(Entry!$I884="",0,Entry!$I884))</f>
        <v/>
      </c>
      <c r="J881">
        <f>IF($A881="","",ROUND($H881*$I881,0))</f>
        <v/>
      </c>
      <c r="K881">
        <f>IF($A881="","",Entry!$D884)</f>
        <v/>
      </c>
      <c r="L881">
        <f>IF($A881="","",Entry!$L884)</f>
        <v/>
      </c>
      <c r="N881">
        <f>IF(OR(Sync!$M881="",$Q881="",$Q881="نامعتبر"),"",Sync!$M881)</f>
        <v/>
      </c>
      <c r="O881">
        <f>IF($N881="","",$Q881)</f>
        <v/>
      </c>
      <c r="P881">
        <f>IF($N881="","",LEFT($Q881,4)&amp;MID($Q881,6,2)&amp;RIGHT($Q881,2)&amp;IF(Sync!$K881="","0000",IF(AND(ISNUMBER(Sync!$K881),Sync!$K881&gt;=0,Sync!$K881&lt;1),RIGHT("00"&amp;HOUR(Sync!$K881),2)&amp;RIGHT("00"&amp;MINUTE(Sync!$K881),2),IFERROR(RIGHT("00"&amp;VALUE(LEFT(Sync!$K881,FIND(":",Sync!$K881)-1)),2)&amp;RIGHT("00"&amp;VALUE(MID(Sync!$K881,FIND(":",Sync!$K881)+1,2)),2),"0000")))&amp;"|"&amp;"2"&amp;RIGHT("00000"&amp;876,5))</f>
        <v/>
      </c>
      <c r="Q881">
        <f>IF(Sync!$J881="","",IF(ISNUMBER(Sync!$J881),IF(AND(Sync!$J881&gt;=10000101,Sync!$J881&lt;=99991231),INT(Sync!$J881/10000)&amp;"/"&amp;RIGHT("00"&amp;INT(MOD(Sync!$J881,10000)/100),2)&amp;"/"&amp;RIGHT("00"&amp;MOD(Sync!$J881,100),2),"نامعتبر"),IF(LEN(Sync!$J881)=10,Sync!$J881,"نامعتبر")))</f>
        <v/>
      </c>
      <c r="R881">
        <f>IF($P881="","",COUNTIFS($N$6:$N$2005,$N881,$P$6:$P$2005,"&lt;"&amp;$P881)+COUNTIFS($A$6:$A$1005,$N881,$B$6:$B$1005,"&lt;"&amp;$P881)+1)</f>
        <v/>
      </c>
      <c r="S881">
        <f>IF($N881="","",$N881&amp;"|"&amp;RIGHT("000000"&amp;$R881,6))</f>
        <v/>
      </c>
      <c r="T881">
        <f>IF($N881="","",IF(Sync!$N881="",0,Sync!$N881))</f>
        <v/>
      </c>
      <c r="U881">
        <f>IF($N881="","",IF(Sync!$O881="",0,Sync!$O881))</f>
        <v/>
      </c>
      <c r="V881">
        <f>IF($N881="","",Sync!$L881)</f>
        <v/>
      </c>
      <c r="W881">
        <f>IF($N881="","",Sync!$P881)</f>
        <v/>
      </c>
      <c r="AA881">
        <f>IF($A881="","",IF(COUNTIF($A$6:$A881,$A881)=1,1,0))</f>
        <v/>
      </c>
      <c r="AB881">
        <f>SUM($AA$6:$AA881)</f>
        <v/>
      </c>
      <c r="AC881">
        <f>IFERROR(INDEX($A$6:$A$1005,MATCH(ROW()-5,$AB$6:$AB$1005,0)),"")</f>
        <v/>
      </c>
    </row>
    <row r="882">
      <c r="A882">
        <f>IF(OR(Entry!$B885="",Entry!$E885="",$E882="نامعتبر"),"",Entry!$E885)</f>
        <v/>
      </c>
      <c r="B882">
        <f>IF($A882="","",LEFT($E882,4)&amp;MID($E882,6,2)&amp;RIGHT($E882,2)&amp;$F882&amp;"|"&amp;"1"&amp;RIGHT("00000"&amp;877,5))</f>
        <v/>
      </c>
      <c r="C882">
        <f>IF($B882="","",COUNTIFS($A$6:$A$1005,$A882,$B$6:$B$1005,"&lt;"&amp;$B882)+COUNTIFS($N$6:$N$2005,$A882,$P$6:$P$2005,"&lt;"&amp;$B882)+1)</f>
        <v/>
      </c>
      <c r="D882">
        <f>IF($C882="","",$A882&amp;"|"&amp;RIGHT("000000"&amp;$C882,6))</f>
        <v/>
      </c>
      <c r="E882">
        <f>IF(Entry!$B885="","",IF(ISNUMBER(Entry!$B885),IF(AND(Entry!$B885&gt;=10000101,Entry!$B885&lt;=99991231),INT(Entry!$B885/10000)&amp;"/"&amp;RIGHT("00"&amp;INT(MOD(Entry!$B885,10000)/100),2)&amp;"/"&amp;RIGHT("00"&amp;MOD(Entry!$B885,100),2),"نامعتبر"),IF(LEN(Entry!$B885)=10,Entry!$B885,"نامعتبر")))</f>
        <v/>
      </c>
      <c r="F882">
        <f>IF(Entry!$B885="","",IF(Entry!$C885="","0000",IF(AND(ISNUMBER(Entry!$C885),Entry!$C885&gt;=0,Entry!$C885&lt;1),RIGHT("00"&amp;HOUR(Entry!$C885),2)&amp;RIGHT("00"&amp;MINUTE(Entry!$C885),2),IFERROR(RIGHT("00"&amp;VALUE(LEFT(Entry!$C885,FIND(":",Entry!$C885)-1)),2)&amp;RIGHT("00"&amp;VALUE(MID(Entry!$C885,FIND(":",Entry!$C885)+1,2)),2),"0000"))))</f>
        <v/>
      </c>
      <c r="G882">
        <f>IF($A882="","",Entry!$G885)</f>
        <v/>
      </c>
      <c r="H882">
        <f>IF($A882="","",IF(Entry!$H885="",0,Entry!$H885))</f>
        <v/>
      </c>
      <c r="I882">
        <f>IF($A882="","",IF(Entry!$I885="",0,Entry!$I885))</f>
        <v/>
      </c>
      <c r="J882">
        <f>IF($A882="","",ROUND($H882*$I882,0))</f>
        <v/>
      </c>
      <c r="K882">
        <f>IF($A882="","",Entry!$D885)</f>
        <v/>
      </c>
      <c r="L882">
        <f>IF($A882="","",Entry!$L885)</f>
        <v/>
      </c>
      <c r="N882">
        <f>IF(OR(Sync!$M882="",$Q882="",$Q882="نامعتبر"),"",Sync!$M882)</f>
        <v/>
      </c>
      <c r="O882">
        <f>IF($N882="","",$Q882)</f>
        <v/>
      </c>
      <c r="P882">
        <f>IF($N882="","",LEFT($Q882,4)&amp;MID($Q882,6,2)&amp;RIGHT($Q882,2)&amp;IF(Sync!$K882="","0000",IF(AND(ISNUMBER(Sync!$K882),Sync!$K882&gt;=0,Sync!$K882&lt;1),RIGHT("00"&amp;HOUR(Sync!$K882),2)&amp;RIGHT("00"&amp;MINUTE(Sync!$K882),2),IFERROR(RIGHT("00"&amp;VALUE(LEFT(Sync!$K882,FIND(":",Sync!$K882)-1)),2)&amp;RIGHT("00"&amp;VALUE(MID(Sync!$K882,FIND(":",Sync!$K882)+1,2)),2),"0000")))&amp;"|"&amp;"2"&amp;RIGHT("00000"&amp;877,5))</f>
        <v/>
      </c>
      <c r="Q882">
        <f>IF(Sync!$J882="","",IF(ISNUMBER(Sync!$J882),IF(AND(Sync!$J882&gt;=10000101,Sync!$J882&lt;=99991231),INT(Sync!$J882/10000)&amp;"/"&amp;RIGHT("00"&amp;INT(MOD(Sync!$J882,10000)/100),2)&amp;"/"&amp;RIGHT("00"&amp;MOD(Sync!$J882,100),2),"نامعتبر"),IF(LEN(Sync!$J882)=10,Sync!$J882,"نامعتبر")))</f>
        <v/>
      </c>
      <c r="R882">
        <f>IF($P882="","",COUNTIFS($N$6:$N$2005,$N882,$P$6:$P$2005,"&lt;"&amp;$P882)+COUNTIFS($A$6:$A$1005,$N882,$B$6:$B$1005,"&lt;"&amp;$P882)+1)</f>
        <v/>
      </c>
      <c r="S882">
        <f>IF($N882="","",$N882&amp;"|"&amp;RIGHT("000000"&amp;$R882,6))</f>
        <v/>
      </c>
      <c r="T882">
        <f>IF($N882="","",IF(Sync!$N882="",0,Sync!$N882))</f>
        <v/>
      </c>
      <c r="U882">
        <f>IF($N882="","",IF(Sync!$O882="",0,Sync!$O882))</f>
        <v/>
      </c>
      <c r="V882">
        <f>IF($N882="","",Sync!$L882)</f>
        <v/>
      </c>
      <c r="W882">
        <f>IF($N882="","",Sync!$P882)</f>
        <v/>
      </c>
      <c r="AA882">
        <f>IF($A882="","",IF(COUNTIF($A$6:$A882,$A882)=1,1,0))</f>
        <v/>
      </c>
      <c r="AB882">
        <f>SUM($AA$6:$AA882)</f>
        <v/>
      </c>
      <c r="AC882">
        <f>IFERROR(INDEX($A$6:$A$1005,MATCH(ROW()-5,$AB$6:$AB$1005,0)),"")</f>
        <v/>
      </c>
    </row>
    <row r="883">
      <c r="A883">
        <f>IF(OR(Entry!$B886="",Entry!$E886="",$E883="نامعتبر"),"",Entry!$E886)</f>
        <v/>
      </c>
      <c r="B883">
        <f>IF($A883="","",LEFT($E883,4)&amp;MID($E883,6,2)&amp;RIGHT($E883,2)&amp;$F883&amp;"|"&amp;"1"&amp;RIGHT("00000"&amp;878,5))</f>
        <v/>
      </c>
      <c r="C883">
        <f>IF($B883="","",COUNTIFS($A$6:$A$1005,$A883,$B$6:$B$1005,"&lt;"&amp;$B883)+COUNTIFS($N$6:$N$2005,$A883,$P$6:$P$2005,"&lt;"&amp;$B883)+1)</f>
        <v/>
      </c>
      <c r="D883">
        <f>IF($C883="","",$A883&amp;"|"&amp;RIGHT("000000"&amp;$C883,6))</f>
        <v/>
      </c>
      <c r="E883">
        <f>IF(Entry!$B886="","",IF(ISNUMBER(Entry!$B886),IF(AND(Entry!$B886&gt;=10000101,Entry!$B886&lt;=99991231),INT(Entry!$B886/10000)&amp;"/"&amp;RIGHT("00"&amp;INT(MOD(Entry!$B886,10000)/100),2)&amp;"/"&amp;RIGHT("00"&amp;MOD(Entry!$B886,100),2),"نامعتبر"),IF(LEN(Entry!$B886)=10,Entry!$B886,"نامعتبر")))</f>
        <v/>
      </c>
      <c r="F883">
        <f>IF(Entry!$B886="","",IF(Entry!$C886="","0000",IF(AND(ISNUMBER(Entry!$C886),Entry!$C886&gt;=0,Entry!$C886&lt;1),RIGHT("00"&amp;HOUR(Entry!$C886),2)&amp;RIGHT("00"&amp;MINUTE(Entry!$C886),2),IFERROR(RIGHT("00"&amp;VALUE(LEFT(Entry!$C886,FIND(":",Entry!$C886)-1)),2)&amp;RIGHT("00"&amp;VALUE(MID(Entry!$C886,FIND(":",Entry!$C886)+1,2)),2),"0000"))))</f>
        <v/>
      </c>
      <c r="G883">
        <f>IF($A883="","",Entry!$G886)</f>
        <v/>
      </c>
      <c r="H883">
        <f>IF($A883="","",IF(Entry!$H886="",0,Entry!$H886))</f>
        <v/>
      </c>
      <c r="I883">
        <f>IF($A883="","",IF(Entry!$I886="",0,Entry!$I886))</f>
        <v/>
      </c>
      <c r="J883">
        <f>IF($A883="","",ROUND($H883*$I883,0))</f>
        <v/>
      </c>
      <c r="K883">
        <f>IF($A883="","",Entry!$D886)</f>
        <v/>
      </c>
      <c r="L883">
        <f>IF($A883="","",Entry!$L886)</f>
        <v/>
      </c>
      <c r="N883">
        <f>IF(OR(Sync!$M883="",$Q883="",$Q883="نامعتبر"),"",Sync!$M883)</f>
        <v/>
      </c>
      <c r="O883">
        <f>IF($N883="","",$Q883)</f>
        <v/>
      </c>
      <c r="P883">
        <f>IF($N883="","",LEFT($Q883,4)&amp;MID($Q883,6,2)&amp;RIGHT($Q883,2)&amp;IF(Sync!$K883="","0000",IF(AND(ISNUMBER(Sync!$K883),Sync!$K883&gt;=0,Sync!$K883&lt;1),RIGHT("00"&amp;HOUR(Sync!$K883),2)&amp;RIGHT("00"&amp;MINUTE(Sync!$K883),2),IFERROR(RIGHT("00"&amp;VALUE(LEFT(Sync!$K883,FIND(":",Sync!$K883)-1)),2)&amp;RIGHT("00"&amp;VALUE(MID(Sync!$K883,FIND(":",Sync!$K883)+1,2)),2),"0000")))&amp;"|"&amp;"2"&amp;RIGHT("00000"&amp;878,5))</f>
        <v/>
      </c>
      <c r="Q883">
        <f>IF(Sync!$J883="","",IF(ISNUMBER(Sync!$J883),IF(AND(Sync!$J883&gt;=10000101,Sync!$J883&lt;=99991231),INT(Sync!$J883/10000)&amp;"/"&amp;RIGHT("00"&amp;INT(MOD(Sync!$J883,10000)/100),2)&amp;"/"&amp;RIGHT("00"&amp;MOD(Sync!$J883,100),2),"نامعتبر"),IF(LEN(Sync!$J883)=10,Sync!$J883,"نامعتبر")))</f>
        <v/>
      </c>
      <c r="R883">
        <f>IF($P883="","",COUNTIFS($N$6:$N$2005,$N883,$P$6:$P$2005,"&lt;"&amp;$P883)+COUNTIFS($A$6:$A$1005,$N883,$B$6:$B$1005,"&lt;"&amp;$P883)+1)</f>
        <v/>
      </c>
      <c r="S883">
        <f>IF($N883="","",$N883&amp;"|"&amp;RIGHT("000000"&amp;$R883,6))</f>
        <v/>
      </c>
      <c r="T883">
        <f>IF($N883="","",IF(Sync!$N883="",0,Sync!$N883))</f>
        <v/>
      </c>
      <c r="U883">
        <f>IF($N883="","",IF(Sync!$O883="",0,Sync!$O883))</f>
        <v/>
      </c>
      <c r="V883">
        <f>IF($N883="","",Sync!$L883)</f>
        <v/>
      </c>
      <c r="W883">
        <f>IF($N883="","",Sync!$P883)</f>
        <v/>
      </c>
      <c r="AA883">
        <f>IF($A883="","",IF(COUNTIF($A$6:$A883,$A883)=1,1,0))</f>
        <v/>
      </c>
      <c r="AB883">
        <f>SUM($AA$6:$AA883)</f>
        <v/>
      </c>
      <c r="AC883">
        <f>IFERROR(INDEX($A$6:$A$1005,MATCH(ROW()-5,$AB$6:$AB$1005,0)),"")</f>
        <v/>
      </c>
    </row>
    <row r="884">
      <c r="A884">
        <f>IF(OR(Entry!$B887="",Entry!$E887="",$E884="نامعتبر"),"",Entry!$E887)</f>
        <v/>
      </c>
      <c r="B884">
        <f>IF($A884="","",LEFT($E884,4)&amp;MID($E884,6,2)&amp;RIGHT($E884,2)&amp;$F884&amp;"|"&amp;"1"&amp;RIGHT("00000"&amp;879,5))</f>
        <v/>
      </c>
      <c r="C884">
        <f>IF($B884="","",COUNTIFS($A$6:$A$1005,$A884,$B$6:$B$1005,"&lt;"&amp;$B884)+COUNTIFS($N$6:$N$2005,$A884,$P$6:$P$2005,"&lt;"&amp;$B884)+1)</f>
        <v/>
      </c>
      <c r="D884">
        <f>IF($C884="","",$A884&amp;"|"&amp;RIGHT("000000"&amp;$C884,6))</f>
        <v/>
      </c>
      <c r="E884">
        <f>IF(Entry!$B887="","",IF(ISNUMBER(Entry!$B887),IF(AND(Entry!$B887&gt;=10000101,Entry!$B887&lt;=99991231),INT(Entry!$B887/10000)&amp;"/"&amp;RIGHT("00"&amp;INT(MOD(Entry!$B887,10000)/100),2)&amp;"/"&amp;RIGHT("00"&amp;MOD(Entry!$B887,100),2),"نامعتبر"),IF(LEN(Entry!$B887)=10,Entry!$B887,"نامعتبر")))</f>
        <v/>
      </c>
      <c r="F884">
        <f>IF(Entry!$B887="","",IF(Entry!$C887="","0000",IF(AND(ISNUMBER(Entry!$C887),Entry!$C887&gt;=0,Entry!$C887&lt;1),RIGHT("00"&amp;HOUR(Entry!$C887),2)&amp;RIGHT("00"&amp;MINUTE(Entry!$C887),2),IFERROR(RIGHT("00"&amp;VALUE(LEFT(Entry!$C887,FIND(":",Entry!$C887)-1)),2)&amp;RIGHT("00"&amp;VALUE(MID(Entry!$C887,FIND(":",Entry!$C887)+1,2)),2),"0000"))))</f>
        <v/>
      </c>
      <c r="G884">
        <f>IF($A884="","",Entry!$G887)</f>
        <v/>
      </c>
      <c r="H884">
        <f>IF($A884="","",IF(Entry!$H887="",0,Entry!$H887))</f>
        <v/>
      </c>
      <c r="I884">
        <f>IF($A884="","",IF(Entry!$I887="",0,Entry!$I887))</f>
        <v/>
      </c>
      <c r="J884">
        <f>IF($A884="","",ROUND($H884*$I884,0))</f>
        <v/>
      </c>
      <c r="K884">
        <f>IF($A884="","",Entry!$D887)</f>
        <v/>
      </c>
      <c r="L884">
        <f>IF($A884="","",Entry!$L887)</f>
        <v/>
      </c>
      <c r="N884">
        <f>IF(OR(Sync!$M884="",$Q884="",$Q884="نامعتبر"),"",Sync!$M884)</f>
        <v/>
      </c>
      <c r="O884">
        <f>IF($N884="","",$Q884)</f>
        <v/>
      </c>
      <c r="P884">
        <f>IF($N884="","",LEFT($Q884,4)&amp;MID($Q884,6,2)&amp;RIGHT($Q884,2)&amp;IF(Sync!$K884="","0000",IF(AND(ISNUMBER(Sync!$K884),Sync!$K884&gt;=0,Sync!$K884&lt;1),RIGHT("00"&amp;HOUR(Sync!$K884),2)&amp;RIGHT("00"&amp;MINUTE(Sync!$K884),2),IFERROR(RIGHT("00"&amp;VALUE(LEFT(Sync!$K884,FIND(":",Sync!$K884)-1)),2)&amp;RIGHT("00"&amp;VALUE(MID(Sync!$K884,FIND(":",Sync!$K884)+1,2)),2),"0000")))&amp;"|"&amp;"2"&amp;RIGHT("00000"&amp;879,5))</f>
        <v/>
      </c>
      <c r="Q884">
        <f>IF(Sync!$J884="","",IF(ISNUMBER(Sync!$J884),IF(AND(Sync!$J884&gt;=10000101,Sync!$J884&lt;=99991231),INT(Sync!$J884/10000)&amp;"/"&amp;RIGHT("00"&amp;INT(MOD(Sync!$J884,10000)/100),2)&amp;"/"&amp;RIGHT("00"&amp;MOD(Sync!$J884,100),2),"نامعتبر"),IF(LEN(Sync!$J884)=10,Sync!$J884,"نامعتبر")))</f>
        <v/>
      </c>
      <c r="R884">
        <f>IF($P884="","",COUNTIFS($N$6:$N$2005,$N884,$P$6:$P$2005,"&lt;"&amp;$P884)+COUNTIFS($A$6:$A$1005,$N884,$B$6:$B$1005,"&lt;"&amp;$P884)+1)</f>
        <v/>
      </c>
      <c r="S884">
        <f>IF($N884="","",$N884&amp;"|"&amp;RIGHT("000000"&amp;$R884,6))</f>
        <v/>
      </c>
      <c r="T884">
        <f>IF($N884="","",IF(Sync!$N884="",0,Sync!$N884))</f>
        <v/>
      </c>
      <c r="U884">
        <f>IF($N884="","",IF(Sync!$O884="",0,Sync!$O884))</f>
        <v/>
      </c>
      <c r="V884">
        <f>IF($N884="","",Sync!$L884)</f>
        <v/>
      </c>
      <c r="W884">
        <f>IF($N884="","",Sync!$P884)</f>
        <v/>
      </c>
      <c r="AA884">
        <f>IF($A884="","",IF(COUNTIF($A$6:$A884,$A884)=1,1,0))</f>
        <v/>
      </c>
      <c r="AB884">
        <f>SUM($AA$6:$AA884)</f>
        <v/>
      </c>
      <c r="AC884">
        <f>IFERROR(INDEX($A$6:$A$1005,MATCH(ROW()-5,$AB$6:$AB$1005,0)),"")</f>
        <v/>
      </c>
    </row>
    <row r="885">
      <c r="A885">
        <f>IF(OR(Entry!$B888="",Entry!$E888="",$E885="نامعتبر"),"",Entry!$E888)</f>
        <v/>
      </c>
      <c r="B885">
        <f>IF($A885="","",LEFT($E885,4)&amp;MID($E885,6,2)&amp;RIGHT($E885,2)&amp;$F885&amp;"|"&amp;"1"&amp;RIGHT("00000"&amp;880,5))</f>
        <v/>
      </c>
      <c r="C885">
        <f>IF($B885="","",COUNTIFS($A$6:$A$1005,$A885,$B$6:$B$1005,"&lt;"&amp;$B885)+COUNTIFS($N$6:$N$2005,$A885,$P$6:$P$2005,"&lt;"&amp;$B885)+1)</f>
        <v/>
      </c>
      <c r="D885">
        <f>IF($C885="","",$A885&amp;"|"&amp;RIGHT("000000"&amp;$C885,6))</f>
        <v/>
      </c>
      <c r="E885">
        <f>IF(Entry!$B888="","",IF(ISNUMBER(Entry!$B888),IF(AND(Entry!$B888&gt;=10000101,Entry!$B888&lt;=99991231),INT(Entry!$B888/10000)&amp;"/"&amp;RIGHT("00"&amp;INT(MOD(Entry!$B888,10000)/100),2)&amp;"/"&amp;RIGHT("00"&amp;MOD(Entry!$B888,100),2),"نامعتبر"),IF(LEN(Entry!$B888)=10,Entry!$B888,"نامعتبر")))</f>
        <v/>
      </c>
      <c r="F885">
        <f>IF(Entry!$B888="","",IF(Entry!$C888="","0000",IF(AND(ISNUMBER(Entry!$C888),Entry!$C888&gt;=0,Entry!$C888&lt;1),RIGHT("00"&amp;HOUR(Entry!$C888),2)&amp;RIGHT("00"&amp;MINUTE(Entry!$C888),2),IFERROR(RIGHT("00"&amp;VALUE(LEFT(Entry!$C888,FIND(":",Entry!$C888)-1)),2)&amp;RIGHT("00"&amp;VALUE(MID(Entry!$C888,FIND(":",Entry!$C888)+1,2)),2),"0000"))))</f>
        <v/>
      </c>
      <c r="G885">
        <f>IF($A885="","",Entry!$G888)</f>
        <v/>
      </c>
      <c r="H885">
        <f>IF($A885="","",IF(Entry!$H888="",0,Entry!$H888))</f>
        <v/>
      </c>
      <c r="I885">
        <f>IF($A885="","",IF(Entry!$I888="",0,Entry!$I888))</f>
        <v/>
      </c>
      <c r="J885">
        <f>IF($A885="","",ROUND($H885*$I885,0))</f>
        <v/>
      </c>
      <c r="K885">
        <f>IF($A885="","",Entry!$D888)</f>
        <v/>
      </c>
      <c r="L885">
        <f>IF($A885="","",Entry!$L888)</f>
        <v/>
      </c>
      <c r="N885">
        <f>IF(OR(Sync!$M885="",$Q885="",$Q885="نامعتبر"),"",Sync!$M885)</f>
        <v/>
      </c>
      <c r="O885">
        <f>IF($N885="","",$Q885)</f>
        <v/>
      </c>
      <c r="P885">
        <f>IF($N885="","",LEFT($Q885,4)&amp;MID($Q885,6,2)&amp;RIGHT($Q885,2)&amp;IF(Sync!$K885="","0000",IF(AND(ISNUMBER(Sync!$K885),Sync!$K885&gt;=0,Sync!$K885&lt;1),RIGHT("00"&amp;HOUR(Sync!$K885),2)&amp;RIGHT("00"&amp;MINUTE(Sync!$K885),2),IFERROR(RIGHT("00"&amp;VALUE(LEFT(Sync!$K885,FIND(":",Sync!$K885)-1)),2)&amp;RIGHT("00"&amp;VALUE(MID(Sync!$K885,FIND(":",Sync!$K885)+1,2)),2),"0000")))&amp;"|"&amp;"2"&amp;RIGHT("00000"&amp;880,5))</f>
        <v/>
      </c>
      <c r="Q885">
        <f>IF(Sync!$J885="","",IF(ISNUMBER(Sync!$J885),IF(AND(Sync!$J885&gt;=10000101,Sync!$J885&lt;=99991231),INT(Sync!$J885/10000)&amp;"/"&amp;RIGHT("00"&amp;INT(MOD(Sync!$J885,10000)/100),2)&amp;"/"&amp;RIGHT("00"&amp;MOD(Sync!$J885,100),2),"نامعتبر"),IF(LEN(Sync!$J885)=10,Sync!$J885,"نامعتبر")))</f>
        <v/>
      </c>
      <c r="R885">
        <f>IF($P885="","",COUNTIFS($N$6:$N$2005,$N885,$P$6:$P$2005,"&lt;"&amp;$P885)+COUNTIFS($A$6:$A$1005,$N885,$B$6:$B$1005,"&lt;"&amp;$P885)+1)</f>
        <v/>
      </c>
      <c r="S885">
        <f>IF($N885="","",$N885&amp;"|"&amp;RIGHT("000000"&amp;$R885,6))</f>
        <v/>
      </c>
      <c r="T885">
        <f>IF($N885="","",IF(Sync!$N885="",0,Sync!$N885))</f>
        <v/>
      </c>
      <c r="U885">
        <f>IF($N885="","",IF(Sync!$O885="",0,Sync!$O885))</f>
        <v/>
      </c>
      <c r="V885">
        <f>IF($N885="","",Sync!$L885)</f>
        <v/>
      </c>
      <c r="W885">
        <f>IF($N885="","",Sync!$P885)</f>
        <v/>
      </c>
      <c r="AA885">
        <f>IF($A885="","",IF(COUNTIF($A$6:$A885,$A885)=1,1,0))</f>
        <v/>
      </c>
      <c r="AB885">
        <f>SUM($AA$6:$AA885)</f>
        <v/>
      </c>
      <c r="AC885">
        <f>IFERROR(INDEX($A$6:$A$1005,MATCH(ROW()-5,$AB$6:$AB$1005,0)),"")</f>
        <v/>
      </c>
    </row>
    <row r="886">
      <c r="A886">
        <f>IF(OR(Entry!$B889="",Entry!$E889="",$E886="نامعتبر"),"",Entry!$E889)</f>
        <v/>
      </c>
      <c r="B886">
        <f>IF($A886="","",LEFT($E886,4)&amp;MID($E886,6,2)&amp;RIGHT($E886,2)&amp;$F886&amp;"|"&amp;"1"&amp;RIGHT("00000"&amp;881,5))</f>
        <v/>
      </c>
      <c r="C886">
        <f>IF($B886="","",COUNTIFS($A$6:$A$1005,$A886,$B$6:$B$1005,"&lt;"&amp;$B886)+COUNTIFS($N$6:$N$2005,$A886,$P$6:$P$2005,"&lt;"&amp;$B886)+1)</f>
        <v/>
      </c>
      <c r="D886">
        <f>IF($C886="","",$A886&amp;"|"&amp;RIGHT("000000"&amp;$C886,6))</f>
        <v/>
      </c>
      <c r="E886">
        <f>IF(Entry!$B889="","",IF(ISNUMBER(Entry!$B889),IF(AND(Entry!$B889&gt;=10000101,Entry!$B889&lt;=99991231),INT(Entry!$B889/10000)&amp;"/"&amp;RIGHT("00"&amp;INT(MOD(Entry!$B889,10000)/100),2)&amp;"/"&amp;RIGHT("00"&amp;MOD(Entry!$B889,100),2),"نامعتبر"),IF(LEN(Entry!$B889)=10,Entry!$B889,"نامعتبر")))</f>
        <v/>
      </c>
      <c r="F886">
        <f>IF(Entry!$B889="","",IF(Entry!$C889="","0000",IF(AND(ISNUMBER(Entry!$C889),Entry!$C889&gt;=0,Entry!$C889&lt;1),RIGHT("00"&amp;HOUR(Entry!$C889),2)&amp;RIGHT("00"&amp;MINUTE(Entry!$C889),2),IFERROR(RIGHT("00"&amp;VALUE(LEFT(Entry!$C889,FIND(":",Entry!$C889)-1)),2)&amp;RIGHT("00"&amp;VALUE(MID(Entry!$C889,FIND(":",Entry!$C889)+1,2)),2),"0000"))))</f>
        <v/>
      </c>
      <c r="G886">
        <f>IF($A886="","",Entry!$G889)</f>
        <v/>
      </c>
      <c r="H886">
        <f>IF($A886="","",IF(Entry!$H889="",0,Entry!$H889))</f>
        <v/>
      </c>
      <c r="I886">
        <f>IF($A886="","",IF(Entry!$I889="",0,Entry!$I889))</f>
        <v/>
      </c>
      <c r="J886">
        <f>IF($A886="","",ROUND($H886*$I886,0))</f>
        <v/>
      </c>
      <c r="K886">
        <f>IF($A886="","",Entry!$D889)</f>
        <v/>
      </c>
      <c r="L886">
        <f>IF($A886="","",Entry!$L889)</f>
        <v/>
      </c>
      <c r="N886">
        <f>IF(OR(Sync!$M886="",$Q886="",$Q886="نامعتبر"),"",Sync!$M886)</f>
        <v/>
      </c>
      <c r="O886">
        <f>IF($N886="","",$Q886)</f>
        <v/>
      </c>
      <c r="P886">
        <f>IF($N886="","",LEFT($Q886,4)&amp;MID($Q886,6,2)&amp;RIGHT($Q886,2)&amp;IF(Sync!$K886="","0000",IF(AND(ISNUMBER(Sync!$K886),Sync!$K886&gt;=0,Sync!$K886&lt;1),RIGHT("00"&amp;HOUR(Sync!$K886),2)&amp;RIGHT("00"&amp;MINUTE(Sync!$K886),2),IFERROR(RIGHT("00"&amp;VALUE(LEFT(Sync!$K886,FIND(":",Sync!$K886)-1)),2)&amp;RIGHT("00"&amp;VALUE(MID(Sync!$K886,FIND(":",Sync!$K886)+1,2)),2),"0000")))&amp;"|"&amp;"2"&amp;RIGHT("00000"&amp;881,5))</f>
        <v/>
      </c>
      <c r="Q886">
        <f>IF(Sync!$J886="","",IF(ISNUMBER(Sync!$J886),IF(AND(Sync!$J886&gt;=10000101,Sync!$J886&lt;=99991231),INT(Sync!$J886/10000)&amp;"/"&amp;RIGHT("00"&amp;INT(MOD(Sync!$J886,10000)/100),2)&amp;"/"&amp;RIGHT("00"&amp;MOD(Sync!$J886,100),2),"نامعتبر"),IF(LEN(Sync!$J886)=10,Sync!$J886,"نامعتبر")))</f>
        <v/>
      </c>
      <c r="R886">
        <f>IF($P886="","",COUNTIFS($N$6:$N$2005,$N886,$P$6:$P$2005,"&lt;"&amp;$P886)+COUNTIFS($A$6:$A$1005,$N886,$B$6:$B$1005,"&lt;"&amp;$P886)+1)</f>
        <v/>
      </c>
      <c r="S886">
        <f>IF($N886="","",$N886&amp;"|"&amp;RIGHT("000000"&amp;$R886,6))</f>
        <v/>
      </c>
      <c r="T886">
        <f>IF($N886="","",IF(Sync!$N886="",0,Sync!$N886))</f>
        <v/>
      </c>
      <c r="U886">
        <f>IF($N886="","",IF(Sync!$O886="",0,Sync!$O886))</f>
        <v/>
      </c>
      <c r="V886">
        <f>IF($N886="","",Sync!$L886)</f>
        <v/>
      </c>
      <c r="W886">
        <f>IF($N886="","",Sync!$P886)</f>
        <v/>
      </c>
      <c r="AA886">
        <f>IF($A886="","",IF(COUNTIF($A$6:$A886,$A886)=1,1,0))</f>
        <v/>
      </c>
      <c r="AB886">
        <f>SUM($AA$6:$AA886)</f>
        <v/>
      </c>
      <c r="AC886">
        <f>IFERROR(INDEX($A$6:$A$1005,MATCH(ROW()-5,$AB$6:$AB$1005,0)),"")</f>
        <v/>
      </c>
    </row>
    <row r="887">
      <c r="A887">
        <f>IF(OR(Entry!$B890="",Entry!$E890="",$E887="نامعتبر"),"",Entry!$E890)</f>
        <v/>
      </c>
      <c r="B887">
        <f>IF($A887="","",LEFT($E887,4)&amp;MID($E887,6,2)&amp;RIGHT($E887,2)&amp;$F887&amp;"|"&amp;"1"&amp;RIGHT("00000"&amp;882,5))</f>
        <v/>
      </c>
      <c r="C887">
        <f>IF($B887="","",COUNTIFS($A$6:$A$1005,$A887,$B$6:$B$1005,"&lt;"&amp;$B887)+COUNTIFS($N$6:$N$2005,$A887,$P$6:$P$2005,"&lt;"&amp;$B887)+1)</f>
        <v/>
      </c>
      <c r="D887">
        <f>IF($C887="","",$A887&amp;"|"&amp;RIGHT("000000"&amp;$C887,6))</f>
        <v/>
      </c>
      <c r="E887">
        <f>IF(Entry!$B890="","",IF(ISNUMBER(Entry!$B890),IF(AND(Entry!$B890&gt;=10000101,Entry!$B890&lt;=99991231),INT(Entry!$B890/10000)&amp;"/"&amp;RIGHT("00"&amp;INT(MOD(Entry!$B890,10000)/100),2)&amp;"/"&amp;RIGHT("00"&amp;MOD(Entry!$B890,100),2),"نامعتبر"),IF(LEN(Entry!$B890)=10,Entry!$B890,"نامعتبر")))</f>
        <v/>
      </c>
      <c r="F887">
        <f>IF(Entry!$B890="","",IF(Entry!$C890="","0000",IF(AND(ISNUMBER(Entry!$C890),Entry!$C890&gt;=0,Entry!$C890&lt;1),RIGHT("00"&amp;HOUR(Entry!$C890),2)&amp;RIGHT("00"&amp;MINUTE(Entry!$C890),2),IFERROR(RIGHT("00"&amp;VALUE(LEFT(Entry!$C890,FIND(":",Entry!$C890)-1)),2)&amp;RIGHT("00"&amp;VALUE(MID(Entry!$C890,FIND(":",Entry!$C890)+1,2)),2),"0000"))))</f>
        <v/>
      </c>
      <c r="G887">
        <f>IF($A887="","",Entry!$G890)</f>
        <v/>
      </c>
      <c r="H887">
        <f>IF($A887="","",IF(Entry!$H890="",0,Entry!$H890))</f>
        <v/>
      </c>
      <c r="I887">
        <f>IF($A887="","",IF(Entry!$I890="",0,Entry!$I890))</f>
        <v/>
      </c>
      <c r="J887">
        <f>IF($A887="","",ROUND($H887*$I887,0))</f>
        <v/>
      </c>
      <c r="K887">
        <f>IF($A887="","",Entry!$D890)</f>
        <v/>
      </c>
      <c r="L887">
        <f>IF($A887="","",Entry!$L890)</f>
        <v/>
      </c>
      <c r="N887">
        <f>IF(OR(Sync!$M887="",$Q887="",$Q887="نامعتبر"),"",Sync!$M887)</f>
        <v/>
      </c>
      <c r="O887">
        <f>IF($N887="","",$Q887)</f>
        <v/>
      </c>
      <c r="P887">
        <f>IF($N887="","",LEFT($Q887,4)&amp;MID($Q887,6,2)&amp;RIGHT($Q887,2)&amp;IF(Sync!$K887="","0000",IF(AND(ISNUMBER(Sync!$K887),Sync!$K887&gt;=0,Sync!$K887&lt;1),RIGHT("00"&amp;HOUR(Sync!$K887),2)&amp;RIGHT("00"&amp;MINUTE(Sync!$K887),2),IFERROR(RIGHT("00"&amp;VALUE(LEFT(Sync!$K887,FIND(":",Sync!$K887)-1)),2)&amp;RIGHT("00"&amp;VALUE(MID(Sync!$K887,FIND(":",Sync!$K887)+1,2)),2),"0000")))&amp;"|"&amp;"2"&amp;RIGHT("00000"&amp;882,5))</f>
        <v/>
      </c>
      <c r="Q887">
        <f>IF(Sync!$J887="","",IF(ISNUMBER(Sync!$J887),IF(AND(Sync!$J887&gt;=10000101,Sync!$J887&lt;=99991231),INT(Sync!$J887/10000)&amp;"/"&amp;RIGHT("00"&amp;INT(MOD(Sync!$J887,10000)/100),2)&amp;"/"&amp;RIGHT("00"&amp;MOD(Sync!$J887,100),2),"نامعتبر"),IF(LEN(Sync!$J887)=10,Sync!$J887,"نامعتبر")))</f>
        <v/>
      </c>
      <c r="R887">
        <f>IF($P887="","",COUNTIFS($N$6:$N$2005,$N887,$P$6:$P$2005,"&lt;"&amp;$P887)+COUNTIFS($A$6:$A$1005,$N887,$B$6:$B$1005,"&lt;"&amp;$P887)+1)</f>
        <v/>
      </c>
      <c r="S887">
        <f>IF($N887="","",$N887&amp;"|"&amp;RIGHT("000000"&amp;$R887,6))</f>
        <v/>
      </c>
      <c r="T887">
        <f>IF($N887="","",IF(Sync!$N887="",0,Sync!$N887))</f>
        <v/>
      </c>
      <c r="U887">
        <f>IF($N887="","",IF(Sync!$O887="",0,Sync!$O887))</f>
        <v/>
      </c>
      <c r="V887">
        <f>IF($N887="","",Sync!$L887)</f>
        <v/>
      </c>
      <c r="W887">
        <f>IF($N887="","",Sync!$P887)</f>
        <v/>
      </c>
      <c r="AA887">
        <f>IF($A887="","",IF(COUNTIF($A$6:$A887,$A887)=1,1,0))</f>
        <v/>
      </c>
      <c r="AB887">
        <f>SUM($AA$6:$AA887)</f>
        <v/>
      </c>
      <c r="AC887">
        <f>IFERROR(INDEX($A$6:$A$1005,MATCH(ROW()-5,$AB$6:$AB$1005,0)),"")</f>
        <v/>
      </c>
    </row>
    <row r="888">
      <c r="A888">
        <f>IF(OR(Entry!$B891="",Entry!$E891="",$E888="نامعتبر"),"",Entry!$E891)</f>
        <v/>
      </c>
      <c r="B888">
        <f>IF($A888="","",LEFT($E888,4)&amp;MID($E888,6,2)&amp;RIGHT($E888,2)&amp;$F888&amp;"|"&amp;"1"&amp;RIGHT("00000"&amp;883,5))</f>
        <v/>
      </c>
      <c r="C888">
        <f>IF($B888="","",COUNTIFS($A$6:$A$1005,$A888,$B$6:$B$1005,"&lt;"&amp;$B888)+COUNTIFS($N$6:$N$2005,$A888,$P$6:$P$2005,"&lt;"&amp;$B888)+1)</f>
        <v/>
      </c>
      <c r="D888">
        <f>IF($C888="","",$A888&amp;"|"&amp;RIGHT("000000"&amp;$C888,6))</f>
        <v/>
      </c>
      <c r="E888">
        <f>IF(Entry!$B891="","",IF(ISNUMBER(Entry!$B891),IF(AND(Entry!$B891&gt;=10000101,Entry!$B891&lt;=99991231),INT(Entry!$B891/10000)&amp;"/"&amp;RIGHT("00"&amp;INT(MOD(Entry!$B891,10000)/100),2)&amp;"/"&amp;RIGHT("00"&amp;MOD(Entry!$B891,100),2),"نامعتبر"),IF(LEN(Entry!$B891)=10,Entry!$B891,"نامعتبر")))</f>
        <v/>
      </c>
      <c r="F888">
        <f>IF(Entry!$B891="","",IF(Entry!$C891="","0000",IF(AND(ISNUMBER(Entry!$C891),Entry!$C891&gt;=0,Entry!$C891&lt;1),RIGHT("00"&amp;HOUR(Entry!$C891),2)&amp;RIGHT("00"&amp;MINUTE(Entry!$C891),2),IFERROR(RIGHT("00"&amp;VALUE(LEFT(Entry!$C891,FIND(":",Entry!$C891)-1)),2)&amp;RIGHT("00"&amp;VALUE(MID(Entry!$C891,FIND(":",Entry!$C891)+1,2)),2),"0000"))))</f>
        <v/>
      </c>
      <c r="G888">
        <f>IF($A888="","",Entry!$G891)</f>
        <v/>
      </c>
      <c r="H888">
        <f>IF($A888="","",IF(Entry!$H891="",0,Entry!$H891))</f>
        <v/>
      </c>
      <c r="I888">
        <f>IF($A888="","",IF(Entry!$I891="",0,Entry!$I891))</f>
        <v/>
      </c>
      <c r="J888">
        <f>IF($A888="","",ROUND($H888*$I888,0))</f>
        <v/>
      </c>
      <c r="K888">
        <f>IF($A888="","",Entry!$D891)</f>
        <v/>
      </c>
      <c r="L888">
        <f>IF($A888="","",Entry!$L891)</f>
        <v/>
      </c>
      <c r="N888">
        <f>IF(OR(Sync!$M888="",$Q888="",$Q888="نامعتبر"),"",Sync!$M888)</f>
        <v/>
      </c>
      <c r="O888">
        <f>IF($N888="","",$Q888)</f>
        <v/>
      </c>
      <c r="P888">
        <f>IF($N888="","",LEFT($Q888,4)&amp;MID($Q888,6,2)&amp;RIGHT($Q888,2)&amp;IF(Sync!$K888="","0000",IF(AND(ISNUMBER(Sync!$K888),Sync!$K888&gt;=0,Sync!$K888&lt;1),RIGHT("00"&amp;HOUR(Sync!$K888),2)&amp;RIGHT("00"&amp;MINUTE(Sync!$K888),2),IFERROR(RIGHT("00"&amp;VALUE(LEFT(Sync!$K888,FIND(":",Sync!$K888)-1)),2)&amp;RIGHT("00"&amp;VALUE(MID(Sync!$K888,FIND(":",Sync!$K888)+1,2)),2),"0000")))&amp;"|"&amp;"2"&amp;RIGHT("00000"&amp;883,5))</f>
        <v/>
      </c>
      <c r="Q888">
        <f>IF(Sync!$J888="","",IF(ISNUMBER(Sync!$J888),IF(AND(Sync!$J888&gt;=10000101,Sync!$J888&lt;=99991231),INT(Sync!$J888/10000)&amp;"/"&amp;RIGHT("00"&amp;INT(MOD(Sync!$J888,10000)/100),2)&amp;"/"&amp;RIGHT("00"&amp;MOD(Sync!$J888,100),2),"نامعتبر"),IF(LEN(Sync!$J888)=10,Sync!$J888,"نامعتبر")))</f>
        <v/>
      </c>
      <c r="R888">
        <f>IF($P888="","",COUNTIFS($N$6:$N$2005,$N888,$P$6:$P$2005,"&lt;"&amp;$P888)+COUNTIFS($A$6:$A$1005,$N888,$B$6:$B$1005,"&lt;"&amp;$P888)+1)</f>
        <v/>
      </c>
      <c r="S888">
        <f>IF($N888="","",$N888&amp;"|"&amp;RIGHT("000000"&amp;$R888,6))</f>
        <v/>
      </c>
      <c r="T888">
        <f>IF($N888="","",IF(Sync!$N888="",0,Sync!$N888))</f>
        <v/>
      </c>
      <c r="U888">
        <f>IF($N888="","",IF(Sync!$O888="",0,Sync!$O888))</f>
        <v/>
      </c>
      <c r="V888">
        <f>IF($N888="","",Sync!$L888)</f>
        <v/>
      </c>
      <c r="W888">
        <f>IF($N888="","",Sync!$P888)</f>
        <v/>
      </c>
      <c r="AA888">
        <f>IF($A888="","",IF(COUNTIF($A$6:$A888,$A888)=1,1,0))</f>
        <v/>
      </c>
      <c r="AB888">
        <f>SUM($AA$6:$AA888)</f>
        <v/>
      </c>
      <c r="AC888">
        <f>IFERROR(INDEX($A$6:$A$1005,MATCH(ROW()-5,$AB$6:$AB$1005,0)),"")</f>
        <v/>
      </c>
    </row>
    <row r="889">
      <c r="A889">
        <f>IF(OR(Entry!$B892="",Entry!$E892="",$E889="نامعتبر"),"",Entry!$E892)</f>
        <v/>
      </c>
      <c r="B889">
        <f>IF($A889="","",LEFT($E889,4)&amp;MID($E889,6,2)&amp;RIGHT($E889,2)&amp;$F889&amp;"|"&amp;"1"&amp;RIGHT("00000"&amp;884,5))</f>
        <v/>
      </c>
      <c r="C889">
        <f>IF($B889="","",COUNTIFS($A$6:$A$1005,$A889,$B$6:$B$1005,"&lt;"&amp;$B889)+COUNTIFS($N$6:$N$2005,$A889,$P$6:$P$2005,"&lt;"&amp;$B889)+1)</f>
        <v/>
      </c>
      <c r="D889">
        <f>IF($C889="","",$A889&amp;"|"&amp;RIGHT("000000"&amp;$C889,6))</f>
        <v/>
      </c>
      <c r="E889">
        <f>IF(Entry!$B892="","",IF(ISNUMBER(Entry!$B892),IF(AND(Entry!$B892&gt;=10000101,Entry!$B892&lt;=99991231),INT(Entry!$B892/10000)&amp;"/"&amp;RIGHT("00"&amp;INT(MOD(Entry!$B892,10000)/100),2)&amp;"/"&amp;RIGHT("00"&amp;MOD(Entry!$B892,100),2),"نامعتبر"),IF(LEN(Entry!$B892)=10,Entry!$B892,"نامعتبر")))</f>
        <v/>
      </c>
      <c r="F889">
        <f>IF(Entry!$B892="","",IF(Entry!$C892="","0000",IF(AND(ISNUMBER(Entry!$C892),Entry!$C892&gt;=0,Entry!$C892&lt;1),RIGHT("00"&amp;HOUR(Entry!$C892),2)&amp;RIGHT("00"&amp;MINUTE(Entry!$C892),2),IFERROR(RIGHT("00"&amp;VALUE(LEFT(Entry!$C892,FIND(":",Entry!$C892)-1)),2)&amp;RIGHT("00"&amp;VALUE(MID(Entry!$C892,FIND(":",Entry!$C892)+1,2)),2),"0000"))))</f>
        <v/>
      </c>
      <c r="G889">
        <f>IF($A889="","",Entry!$G892)</f>
        <v/>
      </c>
      <c r="H889">
        <f>IF($A889="","",IF(Entry!$H892="",0,Entry!$H892))</f>
        <v/>
      </c>
      <c r="I889">
        <f>IF($A889="","",IF(Entry!$I892="",0,Entry!$I892))</f>
        <v/>
      </c>
      <c r="J889">
        <f>IF($A889="","",ROUND($H889*$I889,0))</f>
        <v/>
      </c>
      <c r="K889">
        <f>IF($A889="","",Entry!$D892)</f>
        <v/>
      </c>
      <c r="L889">
        <f>IF($A889="","",Entry!$L892)</f>
        <v/>
      </c>
      <c r="N889">
        <f>IF(OR(Sync!$M889="",$Q889="",$Q889="نامعتبر"),"",Sync!$M889)</f>
        <v/>
      </c>
      <c r="O889">
        <f>IF($N889="","",$Q889)</f>
        <v/>
      </c>
      <c r="P889">
        <f>IF($N889="","",LEFT($Q889,4)&amp;MID($Q889,6,2)&amp;RIGHT($Q889,2)&amp;IF(Sync!$K889="","0000",IF(AND(ISNUMBER(Sync!$K889),Sync!$K889&gt;=0,Sync!$K889&lt;1),RIGHT("00"&amp;HOUR(Sync!$K889),2)&amp;RIGHT("00"&amp;MINUTE(Sync!$K889),2),IFERROR(RIGHT("00"&amp;VALUE(LEFT(Sync!$K889,FIND(":",Sync!$K889)-1)),2)&amp;RIGHT("00"&amp;VALUE(MID(Sync!$K889,FIND(":",Sync!$K889)+1,2)),2),"0000")))&amp;"|"&amp;"2"&amp;RIGHT("00000"&amp;884,5))</f>
        <v/>
      </c>
      <c r="Q889">
        <f>IF(Sync!$J889="","",IF(ISNUMBER(Sync!$J889),IF(AND(Sync!$J889&gt;=10000101,Sync!$J889&lt;=99991231),INT(Sync!$J889/10000)&amp;"/"&amp;RIGHT("00"&amp;INT(MOD(Sync!$J889,10000)/100),2)&amp;"/"&amp;RIGHT("00"&amp;MOD(Sync!$J889,100),2),"نامعتبر"),IF(LEN(Sync!$J889)=10,Sync!$J889,"نامعتبر")))</f>
        <v/>
      </c>
      <c r="R889">
        <f>IF($P889="","",COUNTIFS($N$6:$N$2005,$N889,$P$6:$P$2005,"&lt;"&amp;$P889)+COUNTIFS($A$6:$A$1005,$N889,$B$6:$B$1005,"&lt;"&amp;$P889)+1)</f>
        <v/>
      </c>
      <c r="S889">
        <f>IF($N889="","",$N889&amp;"|"&amp;RIGHT("000000"&amp;$R889,6))</f>
        <v/>
      </c>
      <c r="T889">
        <f>IF($N889="","",IF(Sync!$N889="",0,Sync!$N889))</f>
        <v/>
      </c>
      <c r="U889">
        <f>IF($N889="","",IF(Sync!$O889="",0,Sync!$O889))</f>
        <v/>
      </c>
      <c r="V889">
        <f>IF($N889="","",Sync!$L889)</f>
        <v/>
      </c>
      <c r="W889">
        <f>IF($N889="","",Sync!$P889)</f>
        <v/>
      </c>
      <c r="AA889">
        <f>IF($A889="","",IF(COUNTIF($A$6:$A889,$A889)=1,1,0))</f>
        <v/>
      </c>
      <c r="AB889">
        <f>SUM($AA$6:$AA889)</f>
        <v/>
      </c>
      <c r="AC889">
        <f>IFERROR(INDEX($A$6:$A$1005,MATCH(ROW()-5,$AB$6:$AB$1005,0)),"")</f>
        <v/>
      </c>
    </row>
    <row r="890">
      <c r="A890">
        <f>IF(OR(Entry!$B893="",Entry!$E893="",$E890="نامعتبر"),"",Entry!$E893)</f>
        <v/>
      </c>
      <c r="B890">
        <f>IF($A890="","",LEFT($E890,4)&amp;MID($E890,6,2)&amp;RIGHT($E890,2)&amp;$F890&amp;"|"&amp;"1"&amp;RIGHT("00000"&amp;885,5))</f>
        <v/>
      </c>
      <c r="C890">
        <f>IF($B890="","",COUNTIFS($A$6:$A$1005,$A890,$B$6:$B$1005,"&lt;"&amp;$B890)+COUNTIFS($N$6:$N$2005,$A890,$P$6:$P$2005,"&lt;"&amp;$B890)+1)</f>
        <v/>
      </c>
      <c r="D890">
        <f>IF($C890="","",$A890&amp;"|"&amp;RIGHT("000000"&amp;$C890,6))</f>
        <v/>
      </c>
      <c r="E890">
        <f>IF(Entry!$B893="","",IF(ISNUMBER(Entry!$B893),IF(AND(Entry!$B893&gt;=10000101,Entry!$B893&lt;=99991231),INT(Entry!$B893/10000)&amp;"/"&amp;RIGHT("00"&amp;INT(MOD(Entry!$B893,10000)/100),2)&amp;"/"&amp;RIGHT("00"&amp;MOD(Entry!$B893,100),2),"نامعتبر"),IF(LEN(Entry!$B893)=10,Entry!$B893,"نامعتبر")))</f>
        <v/>
      </c>
      <c r="F890">
        <f>IF(Entry!$B893="","",IF(Entry!$C893="","0000",IF(AND(ISNUMBER(Entry!$C893),Entry!$C893&gt;=0,Entry!$C893&lt;1),RIGHT("00"&amp;HOUR(Entry!$C893),2)&amp;RIGHT("00"&amp;MINUTE(Entry!$C893),2),IFERROR(RIGHT("00"&amp;VALUE(LEFT(Entry!$C893,FIND(":",Entry!$C893)-1)),2)&amp;RIGHT("00"&amp;VALUE(MID(Entry!$C893,FIND(":",Entry!$C893)+1,2)),2),"0000"))))</f>
        <v/>
      </c>
      <c r="G890">
        <f>IF($A890="","",Entry!$G893)</f>
        <v/>
      </c>
      <c r="H890">
        <f>IF($A890="","",IF(Entry!$H893="",0,Entry!$H893))</f>
        <v/>
      </c>
      <c r="I890">
        <f>IF($A890="","",IF(Entry!$I893="",0,Entry!$I893))</f>
        <v/>
      </c>
      <c r="J890">
        <f>IF($A890="","",ROUND($H890*$I890,0))</f>
        <v/>
      </c>
      <c r="K890">
        <f>IF($A890="","",Entry!$D893)</f>
        <v/>
      </c>
      <c r="L890">
        <f>IF($A890="","",Entry!$L893)</f>
        <v/>
      </c>
      <c r="N890">
        <f>IF(OR(Sync!$M890="",$Q890="",$Q890="نامعتبر"),"",Sync!$M890)</f>
        <v/>
      </c>
      <c r="O890">
        <f>IF($N890="","",$Q890)</f>
        <v/>
      </c>
      <c r="P890">
        <f>IF($N890="","",LEFT($Q890,4)&amp;MID($Q890,6,2)&amp;RIGHT($Q890,2)&amp;IF(Sync!$K890="","0000",IF(AND(ISNUMBER(Sync!$K890),Sync!$K890&gt;=0,Sync!$K890&lt;1),RIGHT("00"&amp;HOUR(Sync!$K890),2)&amp;RIGHT("00"&amp;MINUTE(Sync!$K890),2),IFERROR(RIGHT("00"&amp;VALUE(LEFT(Sync!$K890,FIND(":",Sync!$K890)-1)),2)&amp;RIGHT("00"&amp;VALUE(MID(Sync!$K890,FIND(":",Sync!$K890)+1,2)),2),"0000")))&amp;"|"&amp;"2"&amp;RIGHT("00000"&amp;885,5))</f>
        <v/>
      </c>
      <c r="Q890">
        <f>IF(Sync!$J890="","",IF(ISNUMBER(Sync!$J890),IF(AND(Sync!$J890&gt;=10000101,Sync!$J890&lt;=99991231),INT(Sync!$J890/10000)&amp;"/"&amp;RIGHT("00"&amp;INT(MOD(Sync!$J890,10000)/100),2)&amp;"/"&amp;RIGHT("00"&amp;MOD(Sync!$J890,100),2),"نامعتبر"),IF(LEN(Sync!$J890)=10,Sync!$J890,"نامعتبر")))</f>
        <v/>
      </c>
      <c r="R890">
        <f>IF($P890="","",COUNTIFS($N$6:$N$2005,$N890,$P$6:$P$2005,"&lt;"&amp;$P890)+COUNTIFS($A$6:$A$1005,$N890,$B$6:$B$1005,"&lt;"&amp;$P890)+1)</f>
        <v/>
      </c>
      <c r="S890">
        <f>IF($N890="","",$N890&amp;"|"&amp;RIGHT("000000"&amp;$R890,6))</f>
        <v/>
      </c>
      <c r="T890">
        <f>IF($N890="","",IF(Sync!$N890="",0,Sync!$N890))</f>
        <v/>
      </c>
      <c r="U890">
        <f>IF($N890="","",IF(Sync!$O890="",0,Sync!$O890))</f>
        <v/>
      </c>
      <c r="V890">
        <f>IF($N890="","",Sync!$L890)</f>
        <v/>
      </c>
      <c r="W890">
        <f>IF($N890="","",Sync!$P890)</f>
        <v/>
      </c>
      <c r="AA890">
        <f>IF($A890="","",IF(COUNTIF($A$6:$A890,$A890)=1,1,0))</f>
        <v/>
      </c>
      <c r="AB890">
        <f>SUM($AA$6:$AA890)</f>
        <v/>
      </c>
      <c r="AC890">
        <f>IFERROR(INDEX($A$6:$A$1005,MATCH(ROW()-5,$AB$6:$AB$1005,0)),"")</f>
        <v/>
      </c>
    </row>
    <row r="891">
      <c r="A891">
        <f>IF(OR(Entry!$B894="",Entry!$E894="",$E891="نامعتبر"),"",Entry!$E894)</f>
        <v/>
      </c>
      <c r="B891">
        <f>IF($A891="","",LEFT($E891,4)&amp;MID($E891,6,2)&amp;RIGHT($E891,2)&amp;$F891&amp;"|"&amp;"1"&amp;RIGHT("00000"&amp;886,5))</f>
        <v/>
      </c>
      <c r="C891">
        <f>IF($B891="","",COUNTIFS($A$6:$A$1005,$A891,$B$6:$B$1005,"&lt;"&amp;$B891)+COUNTIFS($N$6:$N$2005,$A891,$P$6:$P$2005,"&lt;"&amp;$B891)+1)</f>
        <v/>
      </c>
      <c r="D891">
        <f>IF($C891="","",$A891&amp;"|"&amp;RIGHT("000000"&amp;$C891,6))</f>
        <v/>
      </c>
      <c r="E891">
        <f>IF(Entry!$B894="","",IF(ISNUMBER(Entry!$B894),IF(AND(Entry!$B894&gt;=10000101,Entry!$B894&lt;=99991231),INT(Entry!$B894/10000)&amp;"/"&amp;RIGHT("00"&amp;INT(MOD(Entry!$B894,10000)/100),2)&amp;"/"&amp;RIGHT("00"&amp;MOD(Entry!$B894,100),2),"نامعتبر"),IF(LEN(Entry!$B894)=10,Entry!$B894,"نامعتبر")))</f>
        <v/>
      </c>
      <c r="F891">
        <f>IF(Entry!$B894="","",IF(Entry!$C894="","0000",IF(AND(ISNUMBER(Entry!$C894),Entry!$C894&gt;=0,Entry!$C894&lt;1),RIGHT("00"&amp;HOUR(Entry!$C894),2)&amp;RIGHT("00"&amp;MINUTE(Entry!$C894),2),IFERROR(RIGHT("00"&amp;VALUE(LEFT(Entry!$C894,FIND(":",Entry!$C894)-1)),2)&amp;RIGHT("00"&amp;VALUE(MID(Entry!$C894,FIND(":",Entry!$C894)+1,2)),2),"0000"))))</f>
        <v/>
      </c>
      <c r="G891">
        <f>IF($A891="","",Entry!$G894)</f>
        <v/>
      </c>
      <c r="H891">
        <f>IF($A891="","",IF(Entry!$H894="",0,Entry!$H894))</f>
        <v/>
      </c>
      <c r="I891">
        <f>IF($A891="","",IF(Entry!$I894="",0,Entry!$I894))</f>
        <v/>
      </c>
      <c r="J891">
        <f>IF($A891="","",ROUND($H891*$I891,0))</f>
        <v/>
      </c>
      <c r="K891">
        <f>IF($A891="","",Entry!$D894)</f>
        <v/>
      </c>
      <c r="L891">
        <f>IF($A891="","",Entry!$L894)</f>
        <v/>
      </c>
      <c r="N891">
        <f>IF(OR(Sync!$M891="",$Q891="",$Q891="نامعتبر"),"",Sync!$M891)</f>
        <v/>
      </c>
      <c r="O891">
        <f>IF($N891="","",$Q891)</f>
        <v/>
      </c>
      <c r="P891">
        <f>IF($N891="","",LEFT($Q891,4)&amp;MID($Q891,6,2)&amp;RIGHT($Q891,2)&amp;IF(Sync!$K891="","0000",IF(AND(ISNUMBER(Sync!$K891),Sync!$K891&gt;=0,Sync!$K891&lt;1),RIGHT("00"&amp;HOUR(Sync!$K891),2)&amp;RIGHT("00"&amp;MINUTE(Sync!$K891),2),IFERROR(RIGHT("00"&amp;VALUE(LEFT(Sync!$K891,FIND(":",Sync!$K891)-1)),2)&amp;RIGHT("00"&amp;VALUE(MID(Sync!$K891,FIND(":",Sync!$K891)+1,2)),2),"0000")))&amp;"|"&amp;"2"&amp;RIGHT("00000"&amp;886,5))</f>
        <v/>
      </c>
      <c r="Q891">
        <f>IF(Sync!$J891="","",IF(ISNUMBER(Sync!$J891),IF(AND(Sync!$J891&gt;=10000101,Sync!$J891&lt;=99991231),INT(Sync!$J891/10000)&amp;"/"&amp;RIGHT("00"&amp;INT(MOD(Sync!$J891,10000)/100),2)&amp;"/"&amp;RIGHT("00"&amp;MOD(Sync!$J891,100),2),"نامعتبر"),IF(LEN(Sync!$J891)=10,Sync!$J891,"نامعتبر")))</f>
        <v/>
      </c>
      <c r="R891">
        <f>IF($P891="","",COUNTIFS($N$6:$N$2005,$N891,$P$6:$P$2005,"&lt;"&amp;$P891)+COUNTIFS($A$6:$A$1005,$N891,$B$6:$B$1005,"&lt;"&amp;$P891)+1)</f>
        <v/>
      </c>
      <c r="S891">
        <f>IF($N891="","",$N891&amp;"|"&amp;RIGHT("000000"&amp;$R891,6))</f>
        <v/>
      </c>
      <c r="T891">
        <f>IF($N891="","",IF(Sync!$N891="",0,Sync!$N891))</f>
        <v/>
      </c>
      <c r="U891">
        <f>IF($N891="","",IF(Sync!$O891="",0,Sync!$O891))</f>
        <v/>
      </c>
      <c r="V891">
        <f>IF($N891="","",Sync!$L891)</f>
        <v/>
      </c>
      <c r="W891">
        <f>IF($N891="","",Sync!$P891)</f>
        <v/>
      </c>
      <c r="AA891">
        <f>IF($A891="","",IF(COUNTIF($A$6:$A891,$A891)=1,1,0))</f>
        <v/>
      </c>
      <c r="AB891">
        <f>SUM($AA$6:$AA891)</f>
        <v/>
      </c>
      <c r="AC891">
        <f>IFERROR(INDEX($A$6:$A$1005,MATCH(ROW()-5,$AB$6:$AB$1005,0)),"")</f>
        <v/>
      </c>
    </row>
    <row r="892">
      <c r="A892">
        <f>IF(OR(Entry!$B895="",Entry!$E895="",$E892="نامعتبر"),"",Entry!$E895)</f>
        <v/>
      </c>
      <c r="B892">
        <f>IF($A892="","",LEFT($E892,4)&amp;MID($E892,6,2)&amp;RIGHT($E892,2)&amp;$F892&amp;"|"&amp;"1"&amp;RIGHT("00000"&amp;887,5))</f>
        <v/>
      </c>
      <c r="C892">
        <f>IF($B892="","",COUNTIFS($A$6:$A$1005,$A892,$B$6:$B$1005,"&lt;"&amp;$B892)+COUNTIFS($N$6:$N$2005,$A892,$P$6:$P$2005,"&lt;"&amp;$B892)+1)</f>
        <v/>
      </c>
      <c r="D892">
        <f>IF($C892="","",$A892&amp;"|"&amp;RIGHT("000000"&amp;$C892,6))</f>
        <v/>
      </c>
      <c r="E892">
        <f>IF(Entry!$B895="","",IF(ISNUMBER(Entry!$B895),IF(AND(Entry!$B895&gt;=10000101,Entry!$B895&lt;=99991231),INT(Entry!$B895/10000)&amp;"/"&amp;RIGHT("00"&amp;INT(MOD(Entry!$B895,10000)/100),2)&amp;"/"&amp;RIGHT("00"&amp;MOD(Entry!$B895,100),2),"نامعتبر"),IF(LEN(Entry!$B895)=10,Entry!$B895,"نامعتبر")))</f>
        <v/>
      </c>
      <c r="F892">
        <f>IF(Entry!$B895="","",IF(Entry!$C895="","0000",IF(AND(ISNUMBER(Entry!$C895),Entry!$C895&gt;=0,Entry!$C895&lt;1),RIGHT("00"&amp;HOUR(Entry!$C895),2)&amp;RIGHT("00"&amp;MINUTE(Entry!$C895),2),IFERROR(RIGHT("00"&amp;VALUE(LEFT(Entry!$C895,FIND(":",Entry!$C895)-1)),2)&amp;RIGHT("00"&amp;VALUE(MID(Entry!$C895,FIND(":",Entry!$C895)+1,2)),2),"0000"))))</f>
        <v/>
      </c>
      <c r="G892">
        <f>IF($A892="","",Entry!$G895)</f>
        <v/>
      </c>
      <c r="H892">
        <f>IF($A892="","",IF(Entry!$H895="",0,Entry!$H895))</f>
        <v/>
      </c>
      <c r="I892">
        <f>IF($A892="","",IF(Entry!$I895="",0,Entry!$I895))</f>
        <v/>
      </c>
      <c r="J892">
        <f>IF($A892="","",ROUND($H892*$I892,0))</f>
        <v/>
      </c>
      <c r="K892">
        <f>IF($A892="","",Entry!$D895)</f>
        <v/>
      </c>
      <c r="L892">
        <f>IF($A892="","",Entry!$L895)</f>
        <v/>
      </c>
      <c r="N892">
        <f>IF(OR(Sync!$M892="",$Q892="",$Q892="نامعتبر"),"",Sync!$M892)</f>
        <v/>
      </c>
      <c r="O892">
        <f>IF($N892="","",$Q892)</f>
        <v/>
      </c>
      <c r="P892">
        <f>IF($N892="","",LEFT($Q892,4)&amp;MID($Q892,6,2)&amp;RIGHT($Q892,2)&amp;IF(Sync!$K892="","0000",IF(AND(ISNUMBER(Sync!$K892),Sync!$K892&gt;=0,Sync!$K892&lt;1),RIGHT("00"&amp;HOUR(Sync!$K892),2)&amp;RIGHT("00"&amp;MINUTE(Sync!$K892),2),IFERROR(RIGHT("00"&amp;VALUE(LEFT(Sync!$K892,FIND(":",Sync!$K892)-1)),2)&amp;RIGHT("00"&amp;VALUE(MID(Sync!$K892,FIND(":",Sync!$K892)+1,2)),2),"0000")))&amp;"|"&amp;"2"&amp;RIGHT("00000"&amp;887,5))</f>
        <v/>
      </c>
      <c r="Q892">
        <f>IF(Sync!$J892="","",IF(ISNUMBER(Sync!$J892),IF(AND(Sync!$J892&gt;=10000101,Sync!$J892&lt;=99991231),INT(Sync!$J892/10000)&amp;"/"&amp;RIGHT("00"&amp;INT(MOD(Sync!$J892,10000)/100),2)&amp;"/"&amp;RIGHT("00"&amp;MOD(Sync!$J892,100),2),"نامعتبر"),IF(LEN(Sync!$J892)=10,Sync!$J892,"نامعتبر")))</f>
        <v/>
      </c>
      <c r="R892">
        <f>IF($P892="","",COUNTIFS($N$6:$N$2005,$N892,$P$6:$P$2005,"&lt;"&amp;$P892)+COUNTIFS($A$6:$A$1005,$N892,$B$6:$B$1005,"&lt;"&amp;$P892)+1)</f>
        <v/>
      </c>
      <c r="S892">
        <f>IF($N892="","",$N892&amp;"|"&amp;RIGHT("000000"&amp;$R892,6))</f>
        <v/>
      </c>
      <c r="T892">
        <f>IF($N892="","",IF(Sync!$N892="",0,Sync!$N892))</f>
        <v/>
      </c>
      <c r="U892">
        <f>IF($N892="","",IF(Sync!$O892="",0,Sync!$O892))</f>
        <v/>
      </c>
      <c r="V892">
        <f>IF($N892="","",Sync!$L892)</f>
        <v/>
      </c>
      <c r="W892">
        <f>IF($N892="","",Sync!$P892)</f>
        <v/>
      </c>
      <c r="AA892">
        <f>IF($A892="","",IF(COUNTIF($A$6:$A892,$A892)=1,1,0))</f>
        <v/>
      </c>
      <c r="AB892">
        <f>SUM($AA$6:$AA892)</f>
        <v/>
      </c>
      <c r="AC892">
        <f>IFERROR(INDEX($A$6:$A$1005,MATCH(ROW()-5,$AB$6:$AB$1005,0)),"")</f>
        <v/>
      </c>
    </row>
    <row r="893">
      <c r="A893">
        <f>IF(OR(Entry!$B896="",Entry!$E896="",$E893="نامعتبر"),"",Entry!$E896)</f>
        <v/>
      </c>
      <c r="B893">
        <f>IF($A893="","",LEFT($E893,4)&amp;MID($E893,6,2)&amp;RIGHT($E893,2)&amp;$F893&amp;"|"&amp;"1"&amp;RIGHT("00000"&amp;888,5))</f>
        <v/>
      </c>
      <c r="C893">
        <f>IF($B893="","",COUNTIFS($A$6:$A$1005,$A893,$B$6:$B$1005,"&lt;"&amp;$B893)+COUNTIFS($N$6:$N$2005,$A893,$P$6:$P$2005,"&lt;"&amp;$B893)+1)</f>
        <v/>
      </c>
      <c r="D893">
        <f>IF($C893="","",$A893&amp;"|"&amp;RIGHT("000000"&amp;$C893,6))</f>
        <v/>
      </c>
      <c r="E893">
        <f>IF(Entry!$B896="","",IF(ISNUMBER(Entry!$B896),IF(AND(Entry!$B896&gt;=10000101,Entry!$B896&lt;=99991231),INT(Entry!$B896/10000)&amp;"/"&amp;RIGHT("00"&amp;INT(MOD(Entry!$B896,10000)/100),2)&amp;"/"&amp;RIGHT("00"&amp;MOD(Entry!$B896,100),2),"نامعتبر"),IF(LEN(Entry!$B896)=10,Entry!$B896,"نامعتبر")))</f>
        <v/>
      </c>
      <c r="F893">
        <f>IF(Entry!$B896="","",IF(Entry!$C896="","0000",IF(AND(ISNUMBER(Entry!$C896),Entry!$C896&gt;=0,Entry!$C896&lt;1),RIGHT("00"&amp;HOUR(Entry!$C896),2)&amp;RIGHT("00"&amp;MINUTE(Entry!$C896),2),IFERROR(RIGHT("00"&amp;VALUE(LEFT(Entry!$C896,FIND(":",Entry!$C896)-1)),2)&amp;RIGHT("00"&amp;VALUE(MID(Entry!$C896,FIND(":",Entry!$C896)+1,2)),2),"0000"))))</f>
        <v/>
      </c>
      <c r="G893">
        <f>IF($A893="","",Entry!$G896)</f>
        <v/>
      </c>
      <c r="H893">
        <f>IF($A893="","",IF(Entry!$H896="",0,Entry!$H896))</f>
        <v/>
      </c>
      <c r="I893">
        <f>IF($A893="","",IF(Entry!$I896="",0,Entry!$I896))</f>
        <v/>
      </c>
      <c r="J893">
        <f>IF($A893="","",ROUND($H893*$I893,0))</f>
        <v/>
      </c>
      <c r="K893">
        <f>IF($A893="","",Entry!$D896)</f>
        <v/>
      </c>
      <c r="L893">
        <f>IF($A893="","",Entry!$L896)</f>
        <v/>
      </c>
      <c r="N893">
        <f>IF(OR(Sync!$M893="",$Q893="",$Q893="نامعتبر"),"",Sync!$M893)</f>
        <v/>
      </c>
      <c r="O893">
        <f>IF($N893="","",$Q893)</f>
        <v/>
      </c>
      <c r="P893">
        <f>IF($N893="","",LEFT($Q893,4)&amp;MID($Q893,6,2)&amp;RIGHT($Q893,2)&amp;IF(Sync!$K893="","0000",IF(AND(ISNUMBER(Sync!$K893),Sync!$K893&gt;=0,Sync!$K893&lt;1),RIGHT("00"&amp;HOUR(Sync!$K893),2)&amp;RIGHT("00"&amp;MINUTE(Sync!$K893),2),IFERROR(RIGHT("00"&amp;VALUE(LEFT(Sync!$K893,FIND(":",Sync!$K893)-1)),2)&amp;RIGHT("00"&amp;VALUE(MID(Sync!$K893,FIND(":",Sync!$K893)+1,2)),2),"0000")))&amp;"|"&amp;"2"&amp;RIGHT("00000"&amp;888,5))</f>
        <v/>
      </c>
      <c r="Q893">
        <f>IF(Sync!$J893="","",IF(ISNUMBER(Sync!$J893),IF(AND(Sync!$J893&gt;=10000101,Sync!$J893&lt;=99991231),INT(Sync!$J893/10000)&amp;"/"&amp;RIGHT("00"&amp;INT(MOD(Sync!$J893,10000)/100),2)&amp;"/"&amp;RIGHT("00"&amp;MOD(Sync!$J893,100),2),"نامعتبر"),IF(LEN(Sync!$J893)=10,Sync!$J893,"نامعتبر")))</f>
        <v/>
      </c>
      <c r="R893">
        <f>IF($P893="","",COUNTIFS($N$6:$N$2005,$N893,$P$6:$P$2005,"&lt;"&amp;$P893)+COUNTIFS($A$6:$A$1005,$N893,$B$6:$B$1005,"&lt;"&amp;$P893)+1)</f>
        <v/>
      </c>
      <c r="S893">
        <f>IF($N893="","",$N893&amp;"|"&amp;RIGHT("000000"&amp;$R893,6))</f>
        <v/>
      </c>
      <c r="T893">
        <f>IF($N893="","",IF(Sync!$N893="",0,Sync!$N893))</f>
        <v/>
      </c>
      <c r="U893">
        <f>IF($N893="","",IF(Sync!$O893="",0,Sync!$O893))</f>
        <v/>
      </c>
      <c r="V893">
        <f>IF($N893="","",Sync!$L893)</f>
        <v/>
      </c>
      <c r="W893">
        <f>IF($N893="","",Sync!$P893)</f>
        <v/>
      </c>
      <c r="AA893">
        <f>IF($A893="","",IF(COUNTIF($A$6:$A893,$A893)=1,1,0))</f>
        <v/>
      </c>
      <c r="AB893">
        <f>SUM($AA$6:$AA893)</f>
        <v/>
      </c>
      <c r="AC893">
        <f>IFERROR(INDEX($A$6:$A$1005,MATCH(ROW()-5,$AB$6:$AB$1005,0)),"")</f>
        <v/>
      </c>
    </row>
    <row r="894">
      <c r="A894">
        <f>IF(OR(Entry!$B897="",Entry!$E897="",$E894="نامعتبر"),"",Entry!$E897)</f>
        <v/>
      </c>
      <c r="B894">
        <f>IF($A894="","",LEFT($E894,4)&amp;MID($E894,6,2)&amp;RIGHT($E894,2)&amp;$F894&amp;"|"&amp;"1"&amp;RIGHT("00000"&amp;889,5))</f>
        <v/>
      </c>
      <c r="C894">
        <f>IF($B894="","",COUNTIFS($A$6:$A$1005,$A894,$B$6:$B$1005,"&lt;"&amp;$B894)+COUNTIFS($N$6:$N$2005,$A894,$P$6:$P$2005,"&lt;"&amp;$B894)+1)</f>
        <v/>
      </c>
      <c r="D894">
        <f>IF($C894="","",$A894&amp;"|"&amp;RIGHT("000000"&amp;$C894,6))</f>
        <v/>
      </c>
      <c r="E894">
        <f>IF(Entry!$B897="","",IF(ISNUMBER(Entry!$B897),IF(AND(Entry!$B897&gt;=10000101,Entry!$B897&lt;=99991231),INT(Entry!$B897/10000)&amp;"/"&amp;RIGHT("00"&amp;INT(MOD(Entry!$B897,10000)/100),2)&amp;"/"&amp;RIGHT("00"&amp;MOD(Entry!$B897,100),2),"نامعتبر"),IF(LEN(Entry!$B897)=10,Entry!$B897,"نامعتبر")))</f>
        <v/>
      </c>
      <c r="F894">
        <f>IF(Entry!$B897="","",IF(Entry!$C897="","0000",IF(AND(ISNUMBER(Entry!$C897),Entry!$C897&gt;=0,Entry!$C897&lt;1),RIGHT("00"&amp;HOUR(Entry!$C897),2)&amp;RIGHT("00"&amp;MINUTE(Entry!$C897),2),IFERROR(RIGHT("00"&amp;VALUE(LEFT(Entry!$C897,FIND(":",Entry!$C897)-1)),2)&amp;RIGHT("00"&amp;VALUE(MID(Entry!$C897,FIND(":",Entry!$C897)+1,2)),2),"0000"))))</f>
        <v/>
      </c>
      <c r="G894">
        <f>IF($A894="","",Entry!$G897)</f>
        <v/>
      </c>
      <c r="H894">
        <f>IF($A894="","",IF(Entry!$H897="",0,Entry!$H897))</f>
        <v/>
      </c>
      <c r="I894">
        <f>IF($A894="","",IF(Entry!$I897="",0,Entry!$I897))</f>
        <v/>
      </c>
      <c r="J894">
        <f>IF($A894="","",ROUND($H894*$I894,0))</f>
        <v/>
      </c>
      <c r="K894">
        <f>IF($A894="","",Entry!$D897)</f>
        <v/>
      </c>
      <c r="L894">
        <f>IF($A894="","",Entry!$L897)</f>
        <v/>
      </c>
      <c r="N894">
        <f>IF(OR(Sync!$M894="",$Q894="",$Q894="نامعتبر"),"",Sync!$M894)</f>
        <v/>
      </c>
      <c r="O894">
        <f>IF($N894="","",$Q894)</f>
        <v/>
      </c>
      <c r="P894">
        <f>IF($N894="","",LEFT($Q894,4)&amp;MID($Q894,6,2)&amp;RIGHT($Q894,2)&amp;IF(Sync!$K894="","0000",IF(AND(ISNUMBER(Sync!$K894),Sync!$K894&gt;=0,Sync!$K894&lt;1),RIGHT("00"&amp;HOUR(Sync!$K894),2)&amp;RIGHT("00"&amp;MINUTE(Sync!$K894),2),IFERROR(RIGHT("00"&amp;VALUE(LEFT(Sync!$K894,FIND(":",Sync!$K894)-1)),2)&amp;RIGHT("00"&amp;VALUE(MID(Sync!$K894,FIND(":",Sync!$K894)+1,2)),2),"0000")))&amp;"|"&amp;"2"&amp;RIGHT("00000"&amp;889,5))</f>
        <v/>
      </c>
      <c r="Q894">
        <f>IF(Sync!$J894="","",IF(ISNUMBER(Sync!$J894),IF(AND(Sync!$J894&gt;=10000101,Sync!$J894&lt;=99991231),INT(Sync!$J894/10000)&amp;"/"&amp;RIGHT("00"&amp;INT(MOD(Sync!$J894,10000)/100),2)&amp;"/"&amp;RIGHT("00"&amp;MOD(Sync!$J894,100),2),"نامعتبر"),IF(LEN(Sync!$J894)=10,Sync!$J894,"نامعتبر")))</f>
        <v/>
      </c>
      <c r="R894">
        <f>IF($P894="","",COUNTIFS($N$6:$N$2005,$N894,$P$6:$P$2005,"&lt;"&amp;$P894)+COUNTIFS($A$6:$A$1005,$N894,$B$6:$B$1005,"&lt;"&amp;$P894)+1)</f>
        <v/>
      </c>
      <c r="S894">
        <f>IF($N894="","",$N894&amp;"|"&amp;RIGHT("000000"&amp;$R894,6))</f>
        <v/>
      </c>
      <c r="T894">
        <f>IF($N894="","",IF(Sync!$N894="",0,Sync!$N894))</f>
        <v/>
      </c>
      <c r="U894">
        <f>IF($N894="","",IF(Sync!$O894="",0,Sync!$O894))</f>
        <v/>
      </c>
      <c r="V894">
        <f>IF($N894="","",Sync!$L894)</f>
        <v/>
      </c>
      <c r="W894">
        <f>IF($N894="","",Sync!$P894)</f>
        <v/>
      </c>
      <c r="AA894">
        <f>IF($A894="","",IF(COUNTIF($A$6:$A894,$A894)=1,1,0))</f>
        <v/>
      </c>
      <c r="AB894">
        <f>SUM($AA$6:$AA894)</f>
        <v/>
      </c>
      <c r="AC894">
        <f>IFERROR(INDEX($A$6:$A$1005,MATCH(ROW()-5,$AB$6:$AB$1005,0)),"")</f>
        <v/>
      </c>
    </row>
    <row r="895">
      <c r="A895">
        <f>IF(OR(Entry!$B898="",Entry!$E898="",$E895="نامعتبر"),"",Entry!$E898)</f>
        <v/>
      </c>
      <c r="B895">
        <f>IF($A895="","",LEFT($E895,4)&amp;MID($E895,6,2)&amp;RIGHT($E895,2)&amp;$F895&amp;"|"&amp;"1"&amp;RIGHT("00000"&amp;890,5))</f>
        <v/>
      </c>
      <c r="C895">
        <f>IF($B895="","",COUNTIFS($A$6:$A$1005,$A895,$B$6:$B$1005,"&lt;"&amp;$B895)+COUNTIFS($N$6:$N$2005,$A895,$P$6:$P$2005,"&lt;"&amp;$B895)+1)</f>
        <v/>
      </c>
      <c r="D895">
        <f>IF($C895="","",$A895&amp;"|"&amp;RIGHT("000000"&amp;$C895,6))</f>
        <v/>
      </c>
      <c r="E895">
        <f>IF(Entry!$B898="","",IF(ISNUMBER(Entry!$B898),IF(AND(Entry!$B898&gt;=10000101,Entry!$B898&lt;=99991231),INT(Entry!$B898/10000)&amp;"/"&amp;RIGHT("00"&amp;INT(MOD(Entry!$B898,10000)/100),2)&amp;"/"&amp;RIGHT("00"&amp;MOD(Entry!$B898,100),2),"نامعتبر"),IF(LEN(Entry!$B898)=10,Entry!$B898,"نامعتبر")))</f>
        <v/>
      </c>
      <c r="F895">
        <f>IF(Entry!$B898="","",IF(Entry!$C898="","0000",IF(AND(ISNUMBER(Entry!$C898),Entry!$C898&gt;=0,Entry!$C898&lt;1),RIGHT("00"&amp;HOUR(Entry!$C898),2)&amp;RIGHT("00"&amp;MINUTE(Entry!$C898),2),IFERROR(RIGHT("00"&amp;VALUE(LEFT(Entry!$C898,FIND(":",Entry!$C898)-1)),2)&amp;RIGHT("00"&amp;VALUE(MID(Entry!$C898,FIND(":",Entry!$C898)+1,2)),2),"0000"))))</f>
        <v/>
      </c>
      <c r="G895">
        <f>IF($A895="","",Entry!$G898)</f>
        <v/>
      </c>
      <c r="H895">
        <f>IF($A895="","",IF(Entry!$H898="",0,Entry!$H898))</f>
        <v/>
      </c>
      <c r="I895">
        <f>IF($A895="","",IF(Entry!$I898="",0,Entry!$I898))</f>
        <v/>
      </c>
      <c r="J895">
        <f>IF($A895="","",ROUND($H895*$I895,0))</f>
        <v/>
      </c>
      <c r="K895">
        <f>IF($A895="","",Entry!$D898)</f>
        <v/>
      </c>
      <c r="L895">
        <f>IF($A895="","",Entry!$L898)</f>
        <v/>
      </c>
      <c r="N895">
        <f>IF(OR(Sync!$M895="",$Q895="",$Q895="نامعتبر"),"",Sync!$M895)</f>
        <v/>
      </c>
      <c r="O895">
        <f>IF($N895="","",$Q895)</f>
        <v/>
      </c>
      <c r="P895">
        <f>IF($N895="","",LEFT($Q895,4)&amp;MID($Q895,6,2)&amp;RIGHT($Q895,2)&amp;IF(Sync!$K895="","0000",IF(AND(ISNUMBER(Sync!$K895),Sync!$K895&gt;=0,Sync!$K895&lt;1),RIGHT("00"&amp;HOUR(Sync!$K895),2)&amp;RIGHT("00"&amp;MINUTE(Sync!$K895),2),IFERROR(RIGHT("00"&amp;VALUE(LEFT(Sync!$K895,FIND(":",Sync!$K895)-1)),2)&amp;RIGHT("00"&amp;VALUE(MID(Sync!$K895,FIND(":",Sync!$K895)+1,2)),2),"0000")))&amp;"|"&amp;"2"&amp;RIGHT("00000"&amp;890,5))</f>
        <v/>
      </c>
      <c r="Q895">
        <f>IF(Sync!$J895="","",IF(ISNUMBER(Sync!$J895),IF(AND(Sync!$J895&gt;=10000101,Sync!$J895&lt;=99991231),INT(Sync!$J895/10000)&amp;"/"&amp;RIGHT("00"&amp;INT(MOD(Sync!$J895,10000)/100),2)&amp;"/"&amp;RIGHT("00"&amp;MOD(Sync!$J895,100),2),"نامعتبر"),IF(LEN(Sync!$J895)=10,Sync!$J895,"نامعتبر")))</f>
        <v/>
      </c>
      <c r="R895">
        <f>IF($P895="","",COUNTIFS($N$6:$N$2005,$N895,$P$6:$P$2005,"&lt;"&amp;$P895)+COUNTIFS($A$6:$A$1005,$N895,$B$6:$B$1005,"&lt;"&amp;$P895)+1)</f>
        <v/>
      </c>
      <c r="S895">
        <f>IF($N895="","",$N895&amp;"|"&amp;RIGHT("000000"&amp;$R895,6))</f>
        <v/>
      </c>
      <c r="T895">
        <f>IF($N895="","",IF(Sync!$N895="",0,Sync!$N895))</f>
        <v/>
      </c>
      <c r="U895">
        <f>IF($N895="","",IF(Sync!$O895="",0,Sync!$O895))</f>
        <v/>
      </c>
      <c r="V895">
        <f>IF($N895="","",Sync!$L895)</f>
        <v/>
      </c>
      <c r="W895">
        <f>IF($N895="","",Sync!$P895)</f>
        <v/>
      </c>
      <c r="AA895">
        <f>IF($A895="","",IF(COUNTIF($A$6:$A895,$A895)=1,1,0))</f>
        <v/>
      </c>
      <c r="AB895">
        <f>SUM($AA$6:$AA895)</f>
        <v/>
      </c>
      <c r="AC895">
        <f>IFERROR(INDEX($A$6:$A$1005,MATCH(ROW()-5,$AB$6:$AB$1005,0)),"")</f>
        <v/>
      </c>
    </row>
    <row r="896">
      <c r="A896">
        <f>IF(OR(Entry!$B899="",Entry!$E899="",$E896="نامعتبر"),"",Entry!$E899)</f>
        <v/>
      </c>
      <c r="B896">
        <f>IF($A896="","",LEFT($E896,4)&amp;MID($E896,6,2)&amp;RIGHT($E896,2)&amp;$F896&amp;"|"&amp;"1"&amp;RIGHT("00000"&amp;891,5))</f>
        <v/>
      </c>
      <c r="C896">
        <f>IF($B896="","",COUNTIFS($A$6:$A$1005,$A896,$B$6:$B$1005,"&lt;"&amp;$B896)+COUNTIFS($N$6:$N$2005,$A896,$P$6:$P$2005,"&lt;"&amp;$B896)+1)</f>
        <v/>
      </c>
      <c r="D896">
        <f>IF($C896="","",$A896&amp;"|"&amp;RIGHT("000000"&amp;$C896,6))</f>
        <v/>
      </c>
      <c r="E896">
        <f>IF(Entry!$B899="","",IF(ISNUMBER(Entry!$B899),IF(AND(Entry!$B899&gt;=10000101,Entry!$B899&lt;=99991231),INT(Entry!$B899/10000)&amp;"/"&amp;RIGHT("00"&amp;INT(MOD(Entry!$B899,10000)/100),2)&amp;"/"&amp;RIGHT("00"&amp;MOD(Entry!$B899,100),2),"نامعتبر"),IF(LEN(Entry!$B899)=10,Entry!$B899,"نامعتبر")))</f>
        <v/>
      </c>
      <c r="F896">
        <f>IF(Entry!$B899="","",IF(Entry!$C899="","0000",IF(AND(ISNUMBER(Entry!$C899),Entry!$C899&gt;=0,Entry!$C899&lt;1),RIGHT("00"&amp;HOUR(Entry!$C899),2)&amp;RIGHT("00"&amp;MINUTE(Entry!$C899),2),IFERROR(RIGHT("00"&amp;VALUE(LEFT(Entry!$C899,FIND(":",Entry!$C899)-1)),2)&amp;RIGHT("00"&amp;VALUE(MID(Entry!$C899,FIND(":",Entry!$C899)+1,2)),2),"0000"))))</f>
        <v/>
      </c>
      <c r="G896">
        <f>IF($A896="","",Entry!$G899)</f>
        <v/>
      </c>
      <c r="H896">
        <f>IF($A896="","",IF(Entry!$H899="",0,Entry!$H899))</f>
        <v/>
      </c>
      <c r="I896">
        <f>IF($A896="","",IF(Entry!$I899="",0,Entry!$I899))</f>
        <v/>
      </c>
      <c r="J896">
        <f>IF($A896="","",ROUND($H896*$I896,0))</f>
        <v/>
      </c>
      <c r="K896">
        <f>IF($A896="","",Entry!$D899)</f>
        <v/>
      </c>
      <c r="L896">
        <f>IF($A896="","",Entry!$L899)</f>
        <v/>
      </c>
      <c r="N896">
        <f>IF(OR(Sync!$M896="",$Q896="",$Q896="نامعتبر"),"",Sync!$M896)</f>
        <v/>
      </c>
      <c r="O896">
        <f>IF($N896="","",$Q896)</f>
        <v/>
      </c>
      <c r="P896">
        <f>IF($N896="","",LEFT($Q896,4)&amp;MID($Q896,6,2)&amp;RIGHT($Q896,2)&amp;IF(Sync!$K896="","0000",IF(AND(ISNUMBER(Sync!$K896),Sync!$K896&gt;=0,Sync!$K896&lt;1),RIGHT("00"&amp;HOUR(Sync!$K896),2)&amp;RIGHT("00"&amp;MINUTE(Sync!$K896),2),IFERROR(RIGHT("00"&amp;VALUE(LEFT(Sync!$K896,FIND(":",Sync!$K896)-1)),2)&amp;RIGHT("00"&amp;VALUE(MID(Sync!$K896,FIND(":",Sync!$K896)+1,2)),2),"0000")))&amp;"|"&amp;"2"&amp;RIGHT("00000"&amp;891,5))</f>
        <v/>
      </c>
      <c r="Q896">
        <f>IF(Sync!$J896="","",IF(ISNUMBER(Sync!$J896),IF(AND(Sync!$J896&gt;=10000101,Sync!$J896&lt;=99991231),INT(Sync!$J896/10000)&amp;"/"&amp;RIGHT("00"&amp;INT(MOD(Sync!$J896,10000)/100),2)&amp;"/"&amp;RIGHT("00"&amp;MOD(Sync!$J896,100),2),"نامعتبر"),IF(LEN(Sync!$J896)=10,Sync!$J896,"نامعتبر")))</f>
        <v/>
      </c>
      <c r="R896">
        <f>IF($P896="","",COUNTIFS($N$6:$N$2005,$N896,$P$6:$P$2005,"&lt;"&amp;$P896)+COUNTIFS($A$6:$A$1005,$N896,$B$6:$B$1005,"&lt;"&amp;$P896)+1)</f>
        <v/>
      </c>
      <c r="S896">
        <f>IF($N896="","",$N896&amp;"|"&amp;RIGHT("000000"&amp;$R896,6))</f>
        <v/>
      </c>
      <c r="T896">
        <f>IF($N896="","",IF(Sync!$N896="",0,Sync!$N896))</f>
        <v/>
      </c>
      <c r="U896">
        <f>IF($N896="","",IF(Sync!$O896="",0,Sync!$O896))</f>
        <v/>
      </c>
      <c r="V896">
        <f>IF($N896="","",Sync!$L896)</f>
        <v/>
      </c>
      <c r="W896">
        <f>IF($N896="","",Sync!$P896)</f>
        <v/>
      </c>
      <c r="AA896">
        <f>IF($A896="","",IF(COUNTIF($A$6:$A896,$A896)=1,1,0))</f>
        <v/>
      </c>
      <c r="AB896">
        <f>SUM($AA$6:$AA896)</f>
        <v/>
      </c>
      <c r="AC896">
        <f>IFERROR(INDEX($A$6:$A$1005,MATCH(ROW()-5,$AB$6:$AB$1005,0)),"")</f>
        <v/>
      </c>
    </row>
    <row r="897">
      <c r="A897">
        <f>IF(OR(Entry!$B900="",Entry!$E900="",$E897="نامعتبر"),"",Entry!$E900)</f>
        <v/>
      </c>
      <c r="B897">
        <f>IF($A897="","",LEFT($E897,4)&amp;MID($E897,6,2)&amp;RIGHT($E897,2)&amp;$F897&amp;"|"&amp;"1"&amp;RIGHT("00000"&amp;892,5))</f>
        <v/>
      </c>
      <c r="C897">
        <f>IF($B897="","",COUNTIFS($A$6:$A$1005,$A897,$B$6:$B$1005,"&lt;"&amp;$B897)+COUNTIFS($N$6:$N$2005,$A897,$P$6:$P$2005,"&lt;"&amp;$B897)+1)</f>
        <v/>
      </c>
      <c r="D897">
        <f>IF($C897="","",$A897&amp;"|"&amp;RIGHT("000000"&amp;$C897,6))</f>
        <v/>
      </c>
      <c r="E897">
        <f>IF(Entry!$B900="","",IF(ISNUMBER(Entry!$B900),IF(AND(Entry!$B900&gt;=10000101,Entry!$B900&lt;=99991231),INT(Entry!$B900/10000)&amp;"/"&amp;RIGHT("00"&amp;INT(MOD(Entry!$B900,10000)/100),2)&amp;"/"&amp;RIGHT("00"&amp;MOD(Entry!$B900,100),2),"نامعتبر"),IF(LEN(Entry!$B900)=10,Entry!$B900,"نامعتبر")))</f>
        <v/>
      </c>
      <c r="F897">
        <f>IF(Entry!$B900="","",IF(Entry!$C900="","0000",IF(AND(ISNUMBER(Entry!$C900),Entry!$C900&gt;=0,Entry!$C900&lt;1),RIGHT("00"&amp;HOUR(Entry!$C900),2)&amp;RIGHT("00"&amp;MINUTE(Entry!$C900),2),IFERROR(RIGHT("00"&amp;VALUE(LEFT(Entry!$C900,FIND(":",Entry!$C900)-1)),2)&amp;RIGHT("00"&amp;VALUE(MID(Entry!$C900,FIND(":",Entry!$C900)+1,2)),2),"0000"))))</f>
        <v/>
      </c>
      <c r="G897">
        <f>IF($A897="","",Entry!$G900)</f>
        <v/>
      </c>
      <c r="H897">
        <f>IF($A897="","",IF(Entry!$H900="",0,Entry!$H900))</f>
        <v/>
      </c>
      <c r="I897">
        <f>IF($A897="","",IF(Entry!$I900="",0,Entry!$I900))</f>
        <v/>
      </c>
      <c r="J897">
        <f>IF($A897="","",ROUND($H897*$I897,0))</f>
        <v/>
      </c>
      <c r="K897">
        <f>IF($A897="","",Entry!$D900)</f>
        <v/>
      </c>
      <c r="L897">
        <f>IF($A897="","",Entry!$L900)</f>
        <v/>
      </c>
      <c r="N897">
        <f>IF(OR(Sync!$M897="",$Q897="",$Q897="نامعتبر"),"",Sync!$M897)</f>
        <v/>
      </c>
      <c r="O897">
        <f>IF($N897="","",$Q897)</f>
        <v/>
      </c>
      <c r="P897">
        <f>IF($N897="","",LEFT($Q897,4)&amp;MID($Q897,6,2)&amp;RIGHT($Q897,2)&amp;IF(Sync!$K897="","0000",IF(AND(ISNUMBER(Sync!$K897),Sync!$K897&gt;=0,Sync!$K897&lt;1),RIGHT("00"&amp;HOUR(Sync!$K897),2)&amp;RIGHT("00"&amp;MINUTE(Sync!$K897),2),IFERROR(RIGHT("00"&amp;VALUE(LEFT(Sync!$K897,FIND(":",Sync!$K897)-1)),2)&amp;RIGHT("00"&amp;VALUE(MID(Sync!$K897,FIND(":",Sync!$K897)+1,2)),2),"0000")))&amp;"|"&amp;"2"&amp;RIGHT("00000"&amp;892,5))</f>
        <v/>
      </c>
      <c r="Q897">
        <f>IF(Sync!$J897="","",IF(ISNUMBER(Sync!$J897),IF(AND(Sync!$J897&gt;=10000101,Sync!$J897&lt;=99991231),INT(Sync!$J897/10000)&amp;"/"&amp;RIGHT("00"&amp;INT(MOD(Sync!$J897,10000)/100),2)&amp;"/"&amp;RIGHT("00"&amp;MOD(Sync!$J897,100),2),"نامعتبر"),IF(LEN(Sync!$J897)=10,Sync!$J897,"نامعتبر")))</f>
        <v/>
      </c>
      <c r="R897">
        <f>IF($P897="","",COUNTIFS($N$6:$N$2005,$N897,$P$6:$P$2005,"&lt;"&amp;$P897)+COUNTIFS($A$6:$A$1005,$N897,$B$6:$B$1005,"&lt;"&amp;$P897)+1)</f>
        <v/>
      </c>
      <c r="S897">
        <f>IF($N897="","",$N897&amp;"|"&amp;RIGHT("000000"&amp;$R897,6))</f>
        <v/>
      </c>
      <c r="T897">
        <f>IF($N897="","",IF(Sync!$N897="",0,Sync!$N897))</f>
        <v/>
      </c>
      <c r="U897">
        <f>IF($N897="","",IF(Sync!$O897="",0,Sync!$O897))</f>
        <v/>
      </c>
      <c r="V897">
        <f>IF($N897="","",Sync!$L897)</f>
        <v/>
      </c>
      <c r="W897">
        <f>IF($N897="","",Sync!$P897)</f>
        <v/>
      </c>
      <c r="AA897">
        <f>IF($A897="","",IF(COUNTIF($A$6:$A897,$A897)=1,1,0))</f>
        <v/>
      </c>
      <c r="AB897">
        <f>SUM($AA$6:$AA897)</f>
        <v/>
      </c>
      <c r="AC897">
        <f>IFERROR(INDEX($A$6:$A$1005,MATCH(ROW()-5,$AB$6:$AB$1005,0)),"")</f>
        <v/>
      </c>
    </row>
    <row r="898">
      <c r="A898">
        <f>IF(OR(Entry!$B901="",Entry!$E901="",$E898="نامعتبر"),"",Entry!$E901)</f>
        <v/>
      </c>
      <c r="B898">
        <f>IF($A898="","",LEFT($E898,4)&amp;MID($E898,6,2)&amp;RIGHT($E898,2)&amp;$F898&amp;"|"&amp;"1"&amp;RIGHT("00000"&amp;893,5))</f>
        <v/>
      </c>
      <c r="C898">
        <f>IF($B898="","",COUNTIFS($A$6:$A$1005,$A898,$B$6:$B$1005,"&lt;"&amp;$B898)+COUNTIFS($N$6:$N$2005,$A898,$P$6:$P$2005,"&lt;"&amp;$B898)+1)</f>
        <v/>
      </c>
      <c r="D898">
        <f>IF($C898="","",$A898&amp;"|"&amp;RIGHT("000000"&amp;$C898,6))</f>
        <v/>
      </c>
      <c r="E898">
        <f>IF(Entry!$B901="","",IF(ISNUMBER(Entry!$B901),IF(AND(Entry!$B901&gt;=10000101,Entry!$B901&lt;=99991231),INT(Entry!$B901/10000)&amp;"/"&amp;RIGHT("00"&amp;INT(MOD(Entry!$B901,10000)/100),2)&amp;"/"&amp;RIGHT("00"&amp;MOD(Entry!$B901,100),2),"نامعتبر"),IF(LEN(Entry!$B901)=10,Entry!$B901,"نامعتبر")))</f>
        <v/>
      </c>
      <c r="F898">
        <f>IF(Entry!$B901="","",IF(Entry!$C901="","0000",IF(AND(ISNUMBER(Entry!$C901),Entry!$C901&gt;=0,Entry!$C901&lt;1),RIGHT("00"&amp;HOUR(Entry!$C901),2)&amp;RIGHT("00"&amp;MINUTE(Entry!$C901),2),IFERROR(RIGHT("00"&amp;VALUE(LEFT(Entry!$C901,FIND(":",Entry!$C901)-1)),2)&amp;RIGHT("00"&amp;VALUE(MID(Entry!$C901,FIND(":",Entry!$C901)+1,2)),2),"0000"))))</f>
        <v/>
      </c>
      <c r="G898">
        <f>IF($A898="","",Entry!$G901)</f>
        <v/>
      </c>
      <c r="H898">
        <f>IF($A898="","",IF(Entry!$H901="",0,Entry!$H901))</f>
        <v/>
      </c>
      <c r="I898">
        <f>IF($A898="","",IF(Entry!$I901="",0,Entry!$I901))</f>
        <v/>
      </c>
      <c r="J898">
        <f>IF($A898="","",ROUND($H898*$I898,0))</f>
        <v/>
      </c>
      <c r="K898">
        <f>IF($A898="","",Entry!$D901)</f>
        <v/>
      </c>
      <c r="L898">
        <f>IF($A898="","",Entry!$L901)</f>
        <v/>
      </c>
      <c r="N898">
        <f>IF(OR(Sync!$M898="",$Q898="",$Q898="نامعتبر"),"",Sync!$M898)</f>
        <v/>
      </c>
      <c r="O898">
        <f>IF($N898="","",$Q898)</f>
        <v/>
      </c>
      <c r="P898">
        <f>IF($N898="","",LEFT($Q898,4)&amp;MID($Q898,6,2)&amp;RIGHT($Q898,2)&amp;IF(Sync!$K898="","0000",IF(AND(ISNUMBER(Sync!$K898),Sync!$K898&gt;=0,Sync!$K898&lt;1),RIGHT("00"&amp;HOUR(Sync!$K898),2)&amp;RIGHT("00"&amp;MINUTE(Sync!$K898),2),IFERROR(RIGHT("00"&amp;VALUE(LEFT(Sync!$K898,FIND(":",Sync!$K898)-1)),2)&amp;RIGHT("00"&amp;VALUE(MID(Sync!$K898,FIND(":",Sync!$K898)+1,2)),2),"0000")))&amp;"|"&amp;"2"&amp;RIGHT("00000"&amp;893,5))</f>
        <v/>
      </c>
      <c r="Q898">
        <f>IF(Sync!$J898="","",IF(ISNUMBER(Sync!$J898),IF(AND(Sync!$J898&gt;=10000101,Sync!$J898&lt;=99991231),INT(Sync!$J898/10000)&amp;"/"&amp;RIGHT("00"&amp;INT(MOD(Sync!$J898,10000)/100),2)&amp;"/"&amp;RIGHT("00"&amp;MOD(Sync!$J898,100),2),"نامعتبر"),IF(LEN(Sync!$J898)=10,Sync!$J898,"نامعتبر")))</f>
        <v/>
      </c>
      <c r="R898">
        <f>IF($P898="","",COUNTIFS($N$6:$N$2005,$N898,$P$6:$P$2005,"&lt;"&amp;$P898)+COUNTIFS($A$6:$A$1005,$N898,$B$6:$B$1005,"&lt;"&amp;$P898)+1)</f>
        <v/>
      </c>
      <c r="S898">
        <f>IF($N898="","",$N898&amp;"|"&amp;RIGHT("000000"&amp;$R898,6))</f>
        <v/>
      </c>
      <c r="T898">
        <f>IF($N898="","",IF(Sync!$N898="",0,Sync!$N898))</f>
        <v/>
      </c>
      <c r="U898">
        <f>IF($N898="","",IF(Sync!$O898="",0,Sync!$O898))</f>
        <v/>
      </c>
      <c r="V898">
        <f>IF($N898="","",Sync!$L898)</f>
        <v/>
      </c>
      <c r="W898">
        <f>IF($N898="","",Sync!$P898)</f>
        <v/>
      </c>
      <c r="AA898">
        <f>IF($A898="","",IF(COUNTIF($A$6:$A898,$A898)=1,1,0))</f>
        <v/>
      </c>
      <c r="AB898">
        <f>SUM($AA$6:$AA898)</f>
        <v/>
      </c>
      <c r="AC898">
        <f>IFERROR(INDEX($A$6:$A$1005,MATCH(ROW()-5,$AB$6:$AB$1005,0)),"")</f>
        <v/>
      </c>
    </row>
    <row r="899">
      <c r="A899">
        <f>IF(OR(Entry!$B902="",Entry!$E902="",$E899="نامعتبر"),"",Entry!$E902)</f>
        <v/>
      </c>
      <c r="B899">
        <f>IF($A899="","",LEFT($E899,4)&amp;MID($E899,6,2)&amp;RIGHT($E899,2)&amp;$F899&amp;"|"&amp;"1"&amp;RIGHT("00000"&amp;894,5))</f>
        <v/>
      </c>
      <c r="C899">
        <f>IF($B899="","",COUNTIFS($A$6:$A$1005,$A899,$B$6:$B$1005,"&lt;"&amp;$B899)+COUNTIFS($N$6:$N$2005,$A899,$P$6:$P$2005,"&lt;"&amp;$B899)+1)</f>
        <v/>
      </c>
      <c r="D899">
        <f>IF($C899="","",$A899&amp;"|"&amp;RIGHT("000000"&amp;$C899,6))</f>
        <v/>
      </c>
      <c r="E899">
        <f>IF(Entry!$B902="","",IF(ISNUMBER(Entry!$B902),IF(AND(Entry!$B902&gt;=10000101,Entry!$B902&lt;=99991231),INT(Entry!$B902/10000)&amp;"/"&amp;RIGHT("00"&amp;INT(MOD(Entry!$B902,10000)/100),2)&amp;"/"&amp;RIGHT("00"&amp;MOD(Entry!$B902,100),2),"نامعتبر"),IF(LEN(Entry!$B902)=10,Entry!$B902,"نامعتبر")))</f>
        <v/>
      </c>
      <c r="F899">
        <f>IF(Entry!$B902="","",IF(Entry!$C902="","0000",IF(AND(ISNUMBER(Entry!$C902),Entry!$C902&gt;=0,Entry!$C902&lt;1),RIGHT("00"&amp;HOUR(Entry!$C902),2)&amp;RIGHT("00"&amp;MINUTE(Entry!$C902),2),IFERROR(RIGHT("00"&amp;VALUE(LEFT(Entry!$C902,FIND(":",Entry!$C902)-1)),2)&amp;RIGHT("00"&amp;VALUE(MID(Entry!$C902,FIND(":",Entry!$C902)+1,2)),2),"0000"))))</f>
        <v/>
      </c>
      <c r="G899">
        <f>IF($A899="","",Entry!$G902)</f>
        <v/>
      </c>
      <c r="H899">
        <f>IF($A899="","",IF(Entry!$H902="",0,Entry!$H902))</f>
        <v/>
      </c>
      <c r="I899">
        <f>IF($A899="","",IF(Entry!$I902="",0,Entry!$I902))</f>
        <v/>
      </c>
      <c r="J899">
        <f>IF($A899="","",ROUND($H899*$I899,0))</f>
        <v/>
      </c>
      <c r="K899">
        <f>IF($A899="","",Entry!$D902)</f>
        <v/>
      </c>
      <c r="L899">
        <f>IF($A899="","",Entry!$L902)</f>
        <v/>
      </c>
      <c r="N899">
        <f>IF(OR(Sync!$M899="",$Q899="",$Q899="نامعتبر"),"",Sync!$M899)</f>
        <v/>
      </c>
      <c r="O899">
        <f>IF($N899="","",$Q899)</f>
        <v/>
      </c>
      <c r="P899">
        <f>IF($N899="","",LEFT($Q899,4)&amp;MID($Q899,6,2)&amp;RIGHT($Q899,2)&amp;IF(Sync!$K899="","0000",IF(AND(ISNUMBER(Sync!$K899),Sync!$K899&gt;=0,Sync!$K899&lt;1),RIGHT("00"&amp;HOUR(Sync!$K899),2)&amp;RIGHT("00"&amp;MINUTE(Sync!$K899),2),IFERROR(RIGHT("00"&amp;VALUE(LEFT(Sync!$K899,FIND(":",Sync!$K899)-1)),2)&amp;RIGHT("00"&amp;VALUE(MID(Sync!$K899,FIND(":",Sync!$K899)+1,2)),2),"0000")))&amp;"|"&amp;"2"&amp;RIGHT("00000"&amp;894,5))</f>
        <v/>
      </c>
      <c r="Q899">
        <f>IF(Sync!$J899="","",IF(ISNUMBER(Sync!$J899),IF(AND(Sync!$J899&gt;=10000101,Sync!$J899&lt;=99991231),INT(Sync!$J899/10000)&amp;"/"&amp;RIGHT("00"&amp;INT(MOD(Sync!$J899,10000)/100),2)&amp;"/"&amp;RIGHT("00"&amp;MOD(Sync!$J899,100),2),"نامعتبر"),IF(LEN(Sync!$J899)=10,Sync!$J899,"نامعتبر")))</f>
        <v/>
      </c>
      <c r="R899">
        <f>IF($P899="","",COUNTIFS($N$6:$N$2005,$N899,$P$6:$P$2005,"&lt;"&amp;$P899)+COUNTIFS($A$6:$A$1005,$N899,$B$6:$B$1005,"&lt;"&amp;$P899)+1)</f>
        <v/>
      </c>
      <c r="S899">
        <f>IF($N899="","",$N899&amp;"|"&amp;RIGHT("000000"&amp;$R899,6))</f>
        <v/>
      </c>
      <c r="T899">
        <f>IF($N899="","",IF(Sync!$N899="",0,Sync!$N899))</f>
        <v/>
      </c>
      <c r="U899">
        <f>IF($N899="","",IF(Sync!$O899="",0,Sync!$O899))</f>
        <v/>
      </c>
      <c r="V899">
        <f>IF($N899="","",Sync!$L899)</f>
        <v/>
      </c>
      <c r="W899">
        <f>IF($N899="","",Sync!$P899)</f>
        <v/>
      </c>
      <c r="AA899">
        <f>IF($A899="","",IF(COUNTIF($A$6:$A899,$A899)=1,1,0))</f>
        <v/>
      </c>
      <c r="AB899">
        <f>SUM($AA$6:$AA899)</f>
        <v/>
      </c>
      <c r="AC899">
        <f>IFERROR(INDEX($A$6:$A$1005,MATCH(ROW()-5,$AB$6:$AB$1005,0)),"")</f>
        <v/>
      </c>
    </row>
    <row r="900">
      <c r="A900">
        <f>IF(OR(Entry!$B903="",Entry!$E903="",$E900="نامعتبر"),"",Entry!$E903)</f>
        <v/>
      </c>
      <c r="B900">
        <f>IF($A900="","",LEFT($E900,4)&amp;MID($E900,6,2)&amp;RIGHT($E900,2)&amp;$F900&amp;"|"&amp;"1"&amp;RIGHT("00000"&amp;895,5))</f>
        <v/>
      </c>
      <c r="C900">
        <f>IF($B900="","",COUNTIFS($A$6:$A$1005,$A900,$B$6:$B$1005,"&lt;"&amp;$B900)+COUNTIFS($N$6:$N$2005,$A900,$P$6:$P$2005,"&lt;"&amp;$B900)+1)</f>
        <v/>
      </c>
      <c r="D900">
        <f>IF($C900="","",$A900&amp;"|"&amp;RIGHT("000000"&amp;$C900,6))</f>
        <v/>
      </c>
      <c r="E900">
        <f>IF(Entry!$B903="","",IF(ISNUMBER(Entry!$B903),IF(AND(Entry!$B903&gt;=10000101,Entry!$B903&lt;=99991231),INT(Entry!$B903/10000)&amp;"/"&amp;RIGHT("00"&amp;INT(MOD(Entry!$B903,10000)/100),2)&amp;"/"&amp;RIGHT("00"&amp;MOD(Entry!$B903,100),2),"نامعتبر"),IF(LEN(Entry!$B903)=10,Entry!$B903,"نامعتبر")))</f>
        <v/>
      </c>
      <c r="F900">
        <f>IF(Entry!$B903="","",IF(Entry!$C903="","0000",IF(AND(ISNUMBER(Entry!$C903),Entry!$C903&gt;=0,Entry!$C903&lt;1),RIGHT("00"&amp;HOUR(Entry!$C903),2)&amp;RIGHT("00"&amp;MINUTE(Entry!$C903),2),IFERROR(RIGHT("00"&amp;VALUE(LEFT(Entry!$C903,FIND(":",Entry!$C903)-1)),2)&amp;RIGHT("00"&amp;VALUE(MID(Entry!$C903,FIND(":",Entry!$C903)+1,2)),2),"0000"))))</f>
        <v/>
      </c>
      <c r="G900">
        <f>IF($A900="","",Entry!$G903)</f>
        <v/>
      </c>
      <c r="H900">
        <f>IF($A900="","",IF(Entry!$H903="",0,Entry!$H903))</f>
        <v/>
      </c>
      <c r="I900">
        <f>IF($A900="","",IF(Entry!$I903="",0,Entry!$I903))</f>
        <v/>
      </c>
      <c r="J900">
        <f>IF($A900="","",ROUND($H900*$I900,0))</f>
        <v/>
      </c>
      <c r="K900">
        <f>IF($A900="","",Entry!$D903)</f>
        <v/>
      </c>
      <c r="L900">
        <f>IF($A900="","",Entry!$L903)</f>
        <v/>
      </c>
      <c r="N900">
        <f>IF(OR(Sync!$M900="",$Q900="",$Q900="نامعتبر"),"",Sync!$M900)</f>
        <v/>
      </c>
      <c r="O900">
        <f>IF($N900="","",$Q900)</f>
        <v/>
      </c>
      <c r="P900">
        <f>IF($N900="","",LEFT($Q900,4)&amp;MID($Q900,6,2)&amp;RIGHT($Q900,2)&amp;IF(Sync!$K900="","0000",IF(AND(ISNUMBER(Sync!$K900),Sync!$K900&gt;=0,Sync!$K900&lt;1),RIGHT("00"&amp;HOUR(Sync!$K900),2)&amp;RIGHT("00"&amp;MINUTE(Sync!$K900),2),IFERROR(RIGHT("00"&amp;VALUE(LEFT(Sync!$K900,FIND(":",Sync!$K900)-1)),2)&amp;RIGHT("00"&amp;VALUE(MID(Sync!$K900,FIND(":",Sync!$K900)+1,2)),2),"0000")))&amp;"|"&amp;"2"&amp;RIGHT("00000"&amp;895,5))</f>
        <v/>
      </c>
      <c r="Q900">
        <f>IF(Sync!$J900="","",IF(ISNUMBER(Sync!$J900),IF(AND(Sync!$J900&gt;=10000101,Sync!$J900&lt;=99991231),INT(Sync!$J900/10000)&amp;"/"&amp;RIGHT("00"&amp;INT(MOD(Sync!$J900,10000)/100),2)&amp;"/"&amp;RIGHT("00"&amp;MOD(Sync!$J900,100),2),"نامعتبر"),IF(LEN(Sync!$J900)=10,Sync!$J900,"نامعتبر")))</f>
        <v/>
      </c>
      <c r="R900">
        <f>IF($P900="","",COUNTIFS($N$6:$N$2005,$N900,$P$6:$P$2005,"&lt;"&amp;$P900)+COUNTIFS($A$6:$A$1005,$N900,$B$6:$B$1005,"&lt;"&amp;$P900)+1)</f>
        <v/>
      </c>
      <c r="S900">
        <f>IF($N900="","",$N900&amp;"|"&amp;RIGHT("000000"&amp;$R900,6))</f>
        <v/>
      </c>
      <c r="T900">
        <f>IF($N900="","",IF(Sync!$N900="",0,Sync!$N900))</f>
        <v/>
      </c>
      <c r="U900">
        <f>IF($N900="","",IF(Sync!$O900="",0,Sync!$O900))</f>
        <v/>
      </c>
      <c r="V900">
        <f>IF($N900="","",Sync!$L900)</f>
        <v/>
      </c>
      <c r="W900">
        <f>IF($N900="","",Sync!$P900)</f>
        <v/>
      </c>
      <c r="AA900">
        <f>IF($A900="","",IF(COUNTIF($A$6:$A900,$A900)=1,1,0))</f>
        <v/>
      </c>
      <c r="AB900">
        <f>SUM($AA$6:$AA900)</f>
        <v/>
      </c>
      <c r="AC900">
        <f>IFERROR(INDEX($A$6:$A$1005,MATCH(ROW()-5,$AB$6:$AB$1005,0)),"")</f>
        <v/>
      </c>
    </row>
    <row r="901">
      <c r="A901">
        <f>IF(OR(Entry!$B904="",Entry!$E904="",$E901="نامعتبر"),"",Entry!$E904)</f>
        <v/>
      </c>
      <c r="B901">
        <f>IF($A901="","",LEFT($E901,4)&amp;MID($E901,6,2)&amp;RIGHT($E901,2)&amp;$F901&amp;"|"&amp;"1"&amp;RIGHT("00000"&amp;896,5))</f>
        <v/>
      </c>
      <c r="C901">
        <f>IF($B901="","",COUNTIFS($A$6:$A$1005,$A901,$B$6:$B$1005,"&lt;"&amp;$B901)+COUNTIFS($N$6:$N$2005,$A901,$P$6:$P$2005,"&lt;"&amp;$B901)+1)</f>
        <v/>
      </c>
      <c r="D901">
        <f>IF($C901="","",$A901&amp;"|"&amp;RIGHT("000000"&amp;$C901,6))</f>
        <v/>
      </c>
      <c r="E901">
        <f>IF(Entry!$B904="","",IF(ISNUMBER(Entry!$B904),IF(AND(Entry!$B904&gt;=10000101,Entry!$B904&lt;=99991231),INT(Entry!$B904/10000)&amp;"/"&amp;RIGHT("00"&amp;INT(MOD(Entry!$B904,10000)/100),2)&amp;"/"&amp;RIGHT("00"&amp;MOD(Entry!$B904,100),2),"نامعتبر"),IF(LEN(Entry!$B904)=10,Entry!$B904,"نامعتبر")))</f>
        <v/>
      </c>
      <c r="F901">
        <f>IF(Entry!$B904="","",IF(Entry!$C904="","0000",IF(AND(ISNUMBER(Entry!$C904),Entry!$C904&gt;=0,Entry!$C904&lt;1),RIGHT("00"&amp;HOUR(Entry!$C904),2)&amp;RIGHT("00"&amp;MINUTE(Entry!$C904),2),IFERROR(RIGHT("00"&amp;VALUE(LEFT(Entry!$C904,FIND(":",Entry!$C904)-1)),2)&amp;RIGHT("00"&amp;VALUE(MID(Entry!$C904,FIND(":",Entry!$C904)+1,2)),2),"0000"))))</f>
        <v/>
      </c>
      <c r="G901">
        <f>IF($A901="","",Entry!$G904)</f>
        <v/>
      </c>
      <c r="H901">
        <f>IF($A901="","",IF(Entry!$H904="",0,Entry!$H904))</f>
        <v/>
      </c>
      <c r="I901">
        <f>IF($A901="","",IF(Entry!$I904="",0,Entry!$I904))</f>
        <v/>
      </c>
      <c r="J901">
        <f>IF($A901="","",ROUND($H901*$I901,0))</f>
        <v/>
      </c>
      <c r="K901">
        <f>IF($A901="","",Entry!$D904)</f>
        <v/>
      </c>
      <c r="L901">
        <f>IF($A901="","",Entry!$L904)</f>
        <v/>
      </c>
      <c r="N901">
        <f>IF(OR(Sync!$M901="",$Q901="",$Q901="نامعتبر"),"",Sync!$M901)</f>
        <v/>
      </c>
      <c r="O901">
        <f>IF($N901="","",$Q901)</f>
        <v/>
      </c>
      <c r="P901">
        <f>IF($N901="","",LEFT($Q901,4)&amp;MID($Q901,6,2)&amp;RIGHT($Q901,2)&amp;IF(Sync!$K901="","0000",IF(AND(ISNUMBER(Sync!$K901),Sync!$K901&gt;=0,Sync!$K901&lt;1),RIGHT("00"&amp;HOUR(Sync!$K901),2)&amp;RIGHT("00"&amp;MINUTE(Sync!$K901),2),IFERROR(RIGHT("00"&amp;VALUE(LEFT(Sync!$K901,FIND(":",Sync!$K901)-1)),2)&amp;RIGHT("00"&amp;VALUE(MID(Sync!$K901,FIND(":",Sync!$K901)+1,2)),2),"0000")))&amp;"|"&amp;"2"&amp;RIGHT("00000"&amp;896,5))</f>
        <v/>
      </c>
      <c r="Q901">
        <f>IF(Sync!$J901="","",IF(ISNUMBER(Sync!$J901),IF(AND(Sync!$J901&gt;=10000101,Sync!$J901&lt;=99991231),INT(Sync!$J901/10000)&amp;"/"&amp;RIGHT("00"&amp;INT(MOD(Sync!$J901,10000)/100),2)&amp;"/"&amp;RIGHT("00"&amp;MOD(Sync!$J901,100),2),"نامعتبر"),IF(LEN(Sync!$J901)=10,Sync!$J901,"نامعتبر")))</f>
        <v/>
      </c>
      <c r="R901">
        <f>IF($P901="","",COUNTIFS($N$6:$N$2005,$N901,$P$6:$P$2005,"&lt;"&amp;$P901)+COUNTIFS($A$6:$A$1005,$N901,$B$6:$B$1005,"&lt;"&amp;$P901)+1)</f>
        <v/>
      </c>
      <c r="S901">
        <f>IF($N901="","",$N901&amp;"|"&amp;RIGHT("000000"&amp;$R901,6))</f>
        <v/>
      </c>
      <c r="T901">
        <f>IF($N901="","",IF(Sync!$N901="",0,Sync!$N901))</f>
        <v/>
      </c>
      <c r="U901">
        <f>IF($N901="","",IF(Sync!$O901="",0,Sync!$O901))</f>
        <v/>
      </c>
      <c r="V901">
        <f>IF($N901="","",Sync!$L901)</f>
        <v/>
      </c>
      <c r="W901">
        <f>IF($N901="","",Sync!$P901)</f>
        <v/>
      </c>
      <c r="AA901">
        <f>IF($A901="","",IF(COUNTIF($A$6:$A901,$A901)=1,1,0))</f>
        <v/>
      </c>
      <c r="AB901">
        <f>SUM($AA$6:$AA901)</f>
        <v/>
      </c>
      <c r="AC901">
        <f>IFERROR(INDEX($A$6:$A$1005,MATCH(ROW()-5,$AB$6:$AB$1005,0)),"")</f>
        <v/>
      </c>
    </row>
    <row r="902">
      <c r="A902">
        <f>IF(OR(Entry!$B905="",Entry!$E905="",$E902="نامعتبر"),"",Entry!$E905)</f>
        <v/>
      </c>
      <c r="B902">
        <f>IF($A902="","",LEFT($E902,4)&amp;MID($E902,6,2)&amp;RIGHT($E902,2)&amp;$F902&amp;"|"&amp;"1"&amp;RIGHT("00000"&amp;897,5))</f>
        <v/>
      </c>
      <c r="C902">
        <f>IF($B902="","",COUNTIFS($A$6:$A$1005,$A902,$B$6:$B$1005,"&lt;"&amp;$B902)+COUNTIFS($N$6:$N$2005,$A902,$P$6:$P$2005,"&lt;"&amp;$B902)+1)</f>
        <v/>
      </c>
      <c r="D902">
        <f>IF($C902="","",$A902&amp;"|"&amp;RIGHT("000000"&amp;$C902,6))</f>
        <v/>
      </c>
      <c r="E902">
        <f>IF(Entry!$B905="","",IF(ISNUMBER(Entry!$B905),IF(AND(Entry!$B905&gt;=10000101,Entry!$B905&lt;=99991231),INT(Entry!$B905/10000)&amp;"/"&amp;RIGHT("00"&amp;INT(MOD(Entry!$B905,10000)/100),2)&amp;"/"&amp;RIGHT("00"&amp;MOD(Entry!$B905,100),2),"نامعتبر"),IF(LEN(Entry!$B905)=10,Entry!$B905,"نامعتبر")))</f>
        <v/>
      </c>
      <c r="F902">
        <f>IF(Entry!$B905="","",IF(Entry!$C905="","0000",IF(AND(ISNUMBER(Entry!$C905),Entry!$C905&gt;=0,Entry!$C905&lt;1),RIGHT("00"&amp;HOUR(Entry!$C905),2)&amp;RIGHT("00"&amp;MINUTE(Entry!$C905),2),IFERROR(RIGHT("00"&amp;VALUE(LEFT(Entry!$C905,FIND(":",Entry!$C905)-1)),2)&amp;RIGHT("00"&amp;VALUE(MID(Entry!$C905,FIND(":",Entry!$C905)+1,2)),2),"0000"))))</f>
        <v/>
      </c>
      <c r="G902">
        <f>IF($A902="","",Entry!$G905)</f>
        <v/>
      </c>
      <c r="H902">
        <f>IF($A902="","",IF(Entry!$H905="",0,Entry!$H905))</f>
        <v/>
      </c>
      <c r="I902">
        <f>IF($A902="","",IF(Entry!$I905="",0,Entry!$I905))</f>
        <v/>
      </c>
      <c r="J902">
        <f>IF($A902="","",ROUND($H902*$I902,0))</f>
        <v/>
      </c>
      <c r="K902">
        <f>IF($A902="","",Entry!$D905)</f>
        <v/>
      </c>
      <c r="L902">
        <f>IF($A902="","",Entry!$L905)</f>
        <v/>
      </c>
      <c r="N902">
        <f>IF(OR(Sync!$M902="",$Q902="",$Q902="نامعتبر"),"",Sync!$M902)</f>
        <v/>
      </c>
      <c r="O902">
        <f>IF($N902="","",$Q902)</f>
        <v/>
      </c>
      <c r="P902">
        <f>IF($N902="","",LEFT($Q902,4)&amp;MID($Q902,6,2)&amp;RIGHT($Q902,2)&amp;IF(Sync!$K902="","0000",IF(AND(ISNUMBER(Sync!$K902),Sync!$K902&gt;=0,Sync!$K902&lt;1),RIGHT("00"&amp;HOUR(Sync!$K902),2)&amp;RIGHT("00"&amp;MINUTE(Sync!$K902),2),IFERROR(RIGHT("00"&amp;VALUE(LEFT(Sync!$K902,FIND(":",Sync!$K902)-1)),2)&amp;RIGHT("00"&amp;VALUE(MID(Sync!$K902,FIND(":",Sync!$K902)+1,2)),2),"0000")))&amp;"|"&amp;"2"&amp;RIGHT("00000"&amp;897,5))</f>
        <v/>
      </c>
      <c r="Q902">
        <f>IF(Sync!$J902="","",IF(ISNUMBER(Sync!$J902),IF(AND(Sync!$J902&gt;=10000101,Sync!$J902&lt;=99991231),INT(Sync!$J902/10000)&amp;"/"&amp;RIGHT("00"&amp;INT(MOD(Sync!$J902,10000)/100),2)&amp;"/"&amp;RIGHT("00"&amp;MOD(Sync!$J902,100),2),"نامعتبر"),IF(LEN(Sync!$J902)=10,Sync!$J902,"نامعتبر")))</f>
        <v/>
      </c>
      <c r="R902">
        <f>IF($P902="","",COUNTIFS($N$6:$N$2005,$N902,$P$6:$P$2005,"&lt;"&amp;$P902)+COUNTIFS($A$6:$A$1005,$N902,$B$6:$B$1005,"&lt;"&amp;$P902)+1)</f>
        <v/>
      </c>
      <c r="S902">
        <f>IF($N902="","",$N902&amp;"|"&amp;RIGHT("000000"&amp;$R902,6))</f>
        <v/>
      </c>
      <c r="T902">
        <f>IF($N902="","",IF(Sync!$N902="",0,Sync!$N902))</f>
        <v/>
      </c>
      <c r="U902">
        <f>IF($N902="","",IF(Sync!$O902="",0,Sync!$O902))</f>
        <v/>
      </c>
      <c r="V902">
        <f>IF($N902="","",Sync!$L902)</f>
        <v/>
      </c>
      <c r="W902">
        <f>IF($N902="","",Sync!$P902)</f>
        <v/>
      </c>
      <c r="AA902">
        <f>IF($A902="","",IF(COUNTIF($A$6:$A902,$A902)=1,1,0))</f>
        <v/>
      </c>
      <c r="AB902">
        <f>SUM($AA$6:$AA902)</f>
        <v/>
      </c>
      <c r="AC902">
        <f>IFERROR(INDEX($A$6:$A$1005,MATCH(ROW()-5,$AB$6:$AB$1005,0)),"")</f>
        <v/>
      </c>
    </row>
    <row r="903">
      <c r="A903">
        <f>IF(OR(Entry!$B906="",Entry!$E906="",$E903="نامعتبر"),"",Entry!$E906)</f>
        <v/>
      </c>
      <c r="B903">
        <f>IF($A903="","",LEFT($E903,4)&amp;MID($E903,6,2)&amp;RIGHT($E903,2)&amp;$F903&amp;"|"&amp;"1"&amp;RIGHT("00000"&amp;898,5))</f>
        <v/>
      </c>
      <c r="C903">
        <f>IF($B903="","",COUNTIFS($A$6:$A$1005,$A903,$B$6:$B$1005,"&lt;"&amp;$B903)+COUNTIFS($N$6:$N$2005,$A903,$P$6:$P$2005,"&lt;"&amp;$B903)+1)</f>
        <v/>
      </c>
      <c r="D903">
        <f>IF($C903="","",$A903&amp;"|"&amp;RIGHT("000000"&amp;$C903,6))</f>
        <v/>
      </c>
      <c r="E903">
        <f>IF(Entry!$B906="","",IF(ISNUMBER(Entry!$B906),IF(AND(Entry!$B906&gt;=10000101,Entry!$B906&lt;=99991231),INT(Entry!$B906/10000)&amp;"/"&amp;RIGHT("00"&amp;INT(MOD(Entry!$B906,10000)/100),2)&amp;"/"&amp;RIGHT("00"&amp;MOD(Entry!$B906,100),2),"نامعتبر"),IF(LEN(Entry!$B906)=10,Entry!$B906,"نامعتبر")))</f>
        <v/>
      </c>
      <c r="F903">
        <f>IF(Entry!$B906="","",IF(Entry!$C906="","0000",IF(AND(ISNUMBER(Entry!$C906),Entry!$C906&gt;=0,Entry!$C906&lt;1),RIGHT("00"&amp;HOUR(Entry!$C906),2)&amp;RIGHT("00"&amp;MINUTE(Entry!$C906),2),IFERROR(RIGHT("00"&amp;VALUE(LEFT(Entry!$C906,FIND(":",Entry!$C906)-1)),2)&amp;RIGHT("00"&amp;VALUE(MID(Entry!$C906,FIND(":",Entry!$C906)+1,2)),2),"0000"))))</f>
        <v/>
      </c>
      <c r="G903">
        <f>IF($A903="","",Entry!$G906)</f>
        <v/>
      </c>
      <c r="H903">
        <f>IF($A903="","",IF(Entry!$H906="",0,Entry!$H906))</f>
        <v/>
      </c>
      <c r="I903">
        <f>IF($A903="","",IF(Entry!$I906="",0,Entry!$I906))</f>
        <v/>
      </c>
      <c r="J903">
        <f>IF($A903="","",ROUND($H903*$I903,0))</f>
        <v/>
      </c>
      <c r="K903">
        <f>IF($A903="","",Entry!$D906)</f>
        <v/>
      </c>
      <c r="L903">
        <f>IF($A903="","",Entry!$L906)</f>
        <v/>
      </c>
      <c r="N903">
        <f>IF(OR(Sync!$M903="",$Q903="",$Q903="نامعتبر"),"",Sync!$M903)</f>
        <v/>
      </c>
      <c r="O903">
        <f>IF($N903="","",$Q903)</f>
        <v/>
      </c>
      <c r="P903">
        <f>IF($N903="","",LEFT($Q903,4)&amp;MID($Q903,6,2)&amp;RIGHT($Q903,2)&amp;IF(Sync!$K903="","0000",IF(AND(ISNUMBER(Sync!$K903),Sync!$K903&gt;=0,Sync!$K903&lt;1),RIGHT("00"&amp;HOUR(Sync!$K903),2)&amp;RIGHT("00"&amp;MINUTE(Sync!$K903),2),IFERROR(RIGHT("00"&amp;VALUE(LEFT(Sync!$K903,FIND(":",Sync!$K903)-1)),2)&amp;RIGHT("00"&amp;VALUE(MID(Sync!$K903,FIND(":",Sync!$K903)+1,2)),2),"0000")))&amp;"|"&amp;"2"&amp;RIGHT("00000"&amp;898,5))</f>
        <v/>
      </c>
      <c r="Q903">
        <f>IF(Sync!$J903="","",IF(ISNUMBER(Sync!$J903),IF(AND(Sync!$J903&gt;=10000101,Sync!$J903&lt;=99991231),INT(Sync!$J903/10000)&amp;"/"&amp;RIGHT("00"&amp;INT(MOD(Sync!$J903,10000)/100),2)&amp;"/"&amp;RIGHT("00"&amp;MOD(Sync!$J903,100),2),"نامعتبر"),IF(LEN(Sync!$J903)=10,Sync!$J903,"نامعتبر")))</f>
        <v/>
      </c>
      <c r="R903">
        <f>IF($P903="","",COUNTIFS($N$6:$N$2005,$N903,$P$6:$P$2005,"&lt;"&amp;$P903)+COUNTIFS($A$6:$A$1005,$N903,$B$6:$B$1005,"&lt;"&amp;$P903)+1)</f>
        <v/>
      </c>
      <c r="S903">
        <f>IF($N903="","",$N903&amp;"|"&amp;RIGHT("000000"&amp;$R903,6))</f>
        <v/>
      </c>
      <c r="T903">
        <f>IF($N903="","",IF(Sync!$N903="",0,Sync!$N903))</f>
        <v/>
      </c>
      <c r="U903">
        <f>IF($N903="","",IF(Sync!$O903="",0,Sync!$O903))</f>
        <v/>
      </c>
      <c r="V903">
        <f>IF($N903="","",Sync!$L903)</f>
        <v/>
      </c>
      <c r="W903">
        <f>IF($N903="","",Sync!$P903)</f>
        <v/>
      </c>
      <c r="AA903">
        <f>IF($A903="","",IF(COUNTIF($A$6:$A903,$A903)=1,1,0))</f>
        <v/>
      </c>
      <c r="AB903">
        <f>SUM($AA$6:$AA903)</f>
        <v/>
      </c>
      <c r="AC903">
        <f>IFERROR(INDEX($A$6:$A$1005,MATCH(ROW()-5,$AB$6:$AB$1005,0)),"")</f>
        <v/>
      </c>
    </row>
    <row r="904">
      <c r="A904">
        <f>IF(OR(Entry!$B907="",Entry!$E907="",$E904="نامعتبر"),"",Entry!$E907)</f>
        <v/>
      </c>
      <c r="B904">
        <f>IF($A904="","",LEFT($E904,4)&amp;MID($E904,6,2)&amp;RIGHT($E904,2)&amp;$F904&amp;"|"&amp;"1"&amp;RIGHT("00000"&amp;899,5))</f>
        <v/>
      </c>
      <c r="C904">
        <f>IF($B904="","",COUNTIFS($A$6:$A$1005,$A904,$B$6:$B$1005,"&lt;"&amp;$B904)+COUNTIFS($N$6:$N$2005,$A904,$P$6:$P$2005,"&lt;"&amp;$B904)+1)</f>
        <v/>
      </c>
      <c r="D904">
        <f>IF($C904="","",$A904&amp;"|"&amp;RIGHT("000000"&amp;$C904,6))</f>
        <v/>
      </c>
      <c r="E904">
        <f>IF(Entry!$B907="","",IF(ISNUMBER(Entry!$B907),IF(AND(Entry!$B907&gt;=10000101,Entry!$B907&lt;=99991231),INT(Entry!$B907/10000)&amp;"/"&amp;RIGHT("00"&amp;INT(MOD(Entry!$B907,10000)/100),2)&amp;"/"&amp;RIGHT("00"&amp;MOD(Entry!$B907,100),2),"نامعتبر"),IF(LEN(Entry!$B907)=10,Entry!$B907,"نامعتبر")))</f>
        <v/>
      </c>
      <c r="F904">
        <f>IF(Entry!$B907="","",IF(Entry!$C907="","0000",IF(AND(ISNUMBER(Entry!$C907),Entry!$C907&gt;=0,Entry!$C907&lt;1),RIGHT("00"&amp;HOUR(Entry!$C907),2)&amp;RIGHT("00"&amp;MINUTE(Entry!$C907),2),IFERROR(RIGHT("00"&amp;VALUE(LEFT(Entry!$C907,FIND(":",Entry!$C907)-1)),2)&amp;RIGHT("00"&amp;VALUE(MID(Entry!$C907,FIND(":",Entry!$C907)+1,2)),2),"0000"))))</f>
        <v/>
      </c>
      <c r="G904">
        <f>IF($A904="","",Entry!$G907)</f>
        <v/>
      </c>
      <c r="H904">
        <f>IF($A904="","",IF(Entry!$H907="",0,Entry!$H907))</f>
        <v/>
      </c>
      <c r="I904">
        <f>IF($A904="","",IF(Entry!$I907="",0,Entry!$I907))</f>
        <v/>
      </c>
      <c r="J904">
        <f>IF($A904="","",ROUND($H904*$I904,0))</f>
        <v/>
      </c>
      <c r="K904">
        <f>IF($A904="","",Entry!$D907)</f>
        <v/>
      </c>
      <c r="L904">
        <f>IF($A904="","",Entry!$L907)</f>
        <v/>
      </c>
      <c r="N904">
        <f>IF(OR(Sync!$M904="",$Q904="",$Q904="نامعتبر"),"",Sync!$M904)</f>
        <v/>
      </c>
      <c r="O904">
        <f>IF($N904="","",$Q904)</f>
        <v/>
      </c>
      <c r="P904">
        <f>IF($N904="","",LEFT($Q904,4)&amp;MID($Q904,6,2)&amp;RIGHT($Q904,2)&amp;IF(Sync!$K904="","0000",IF(AND(ISNUMBER(Sync!$K904),Sync!$K904&gt;=0,Sync!$K904&lt;1),RIGHT("00"&amp;HOUR(Sync!$K904),2)&amp;RIGHT("00"&amp;MINUTE(Sync!$K904),2),IFERROR(RIGHT("00"&amp;VALUE(LEFT(Sync!$K904,FIND(":",Sync!$K904)-1)),2)&amp;RIGHT("00"&amp;VALUE(MID(Sync!$K904,FIND(":",Sync!$K904)+1,2)),2),"0000")))&amp;"|"&amp;"2"&amp;RIGHT("00000"&amp;899,5))</f>
        <v/>
      </c>
      <c r="Q904">
        <f>IF(Sync!$J904="","",IF(ISNUMBER(Sync!$J904),IF(AND(Sync!$J904&gt;=10000101,Sync!$J904&lt;=99991231),INT(Sync!$J904/10000)&amp;"/"&amp;RIGHT("00"&amp;INT(MOD(Sync!$J904,10000)/100),2)&amp;"/"&amp;RIGHT("00"&amp;MOD(Sync!$J904,100),2),"نامعتبر"),IF(LEN(Sync!$J904)=10,Sync!$J904,"نامعتبر")))</f>
        <v/>
      </c>
      <c r="R904">
        <f>IF($P904="","",COUNTIFS($N$6:$N$2005,$N904,$P$6:$P$2005,"&lt;"&amp;$P904)+COUNTIFS($A$6:$A$1005,$N904,$B$6:$B$1005,"&lt;"&amp;$P904)+1)</f>
        <v/>
      </c>
      <c r="S904">
        <f>IF($N904="","",$N904&amp;"|"&amp;RIGHT("000000"&amp;$R904,6))</f>
        <v/>
      </c>
      <c r="T904">
        <f>IF($N904="","",IF(Sync!$N904="",0,Sync!$N904))</f>
        <v/>
      </c>
      <c r="U904">
        <f>IF($N904="","",IF(Sync!$O904="",0,Sync!$O904))</f>
        <v/>
      </c>
      <c r="V904">
        <f>IF($N904="","",Sync!$L904)</f>
        <v/>
      </c>
      <c r="W904">
        <f>IF($N904="","",Sync!$P904)</f>
        <v/>
      </c>
      <c r="AA904">
        <f>IF($A904="","",IF(COUNTIF($A$6:$A904,$A904)=1,1,0))</f>
        <v/>
      </c>
      <c r="AB904">
        <f>SUM($AA$6:$AA904)</f>
        <v/>
      </c>
      <c r="AC904">
        <f>IFERROR(INDEX($A$6:$A$1005,MATCH(ROW()-5,$AB$6:$AB$1005,0)),"")</f>
        <v/>
      </c>
    </row>
    <row r="905">
      <c r="A905">
        <f>IF(OR(Entry!$B908="",Entry!$E908="",$E905="نامعتبر"),"",Entry!$E908)</f>
        <v/>
      </c>
      <c r="B905">
        <f>IF($A905="","",LEFT($E905,4)&amp;MID($E905,6,2)&amp;RIGHT($E905,2)&amp;$F905&amp;"|"&amp;"1"&amp;RIGHT("00000"&amp;900,5))</f>
        <v/>
      </c>
      <c r="C905">
        <f>IF($B905="","",COUNTIFS($A$6:$A$1005,$A905,$B$6:$B$1005,"&lt;"&amp;$B905)+COUNTIFS($N$6:$N$2005,$A905,$P$6:$P$2005,"&lt;"&amp;$B905)+1)</f>
        <v/>
      </c>
      <c r="D905">
        <f>IF($C905="","",$A905&amp;"|"&amp;RIGHT("000000"&amp;$C905,6))</f>
        <v/>
      </c>
      <c r="E905">
        <f>IF(Entry!$B908="","",IF(ISNUMBER(Entry!$B908),IF(AND(Entry!$B908&gt;=10000101,Entry!$B908&lt;=99991231),INT(Entry!$B908/10000)&amp;"/"&amp;RIGHT("00"&amp;INT(MOD(Entry!$B908,10000)/100),2)&amp;"/"&amp;RIGHT("00"&amp;MOD(Entry!$B908,100),2),"نامعتبر"),IF(LEN(Entry!$B908)=10,Entry!$B908,"نامعتبر")))</f>
        <v/>
      </c>
      <c r="F905">
        <f>IF(Entry!$B908="","",IF(Entry!$C908="","0000",IF(AND(ISNUMBER(Entry!$C908),Entry!$C908&gt;=0,Entry!$C908&lt;1),RIGHT("00"&amp;HOUR(Entry!$C908),2)&amp;RIGHT("00"&amp;MINUTE(Entry!$C908),2),IFERROR(RIGHT("00"&amp;VALUE(LEFT(Entry!$C908,FIND(":",Entry!$C908)-1)),2)&amp;RIGHT("00"&amp;VALUE(MID(Entry!$C908,FIND(":",Entry!$C908)+1,2)),2),"0000"))))</f>
        <v/>
      </c>
      <c r="G905">
        <f>IF($A905="","",Entry!$G908)</f>
        <v/>
      </c>
      <c r="H905">
        <f>IF($A905="","",IF(Entry!$H908="",0,Entry!$H908))</f>
        <v/>
      </c>
      <c r="I905">
        <f>IF($A905="","",IF(Entry!$I908="",0,Entry!$I908))</f>
        <v/>
      </c>
      <c r="J905">
        <f>IF($A905="","",ROUND($H905*$I905,0))</f>
        <v/>
      </c>
      <c r="K905">
        <f>IF($A905="","",Entry!$D908)</f>
        <v/>
      </c>
      <c r="L905">
        <f>IF($A905="","",Entry!$L908)</f>
        <v/>
      </c>
      <c r="N905">
        <f>IF(OR(Sync!$M905="",$Q905="",$Q905="نامعتبر"),"",Sync!$M905)</f>
        <v/>
      </c>
      <c r="O905">
        <f>IF($N905="","",$Q905)</f>
        <v/>
      </c>
      <c r="P905">
        <f>IF($N905="","",LEFT($Q905,4)&amp;MID($Q905,6,2)&amp;RIGHT($Q905,2)&amp;IF(Sync!$K905="","0000",IF(AND(ISNUMBER(Sync!$K905),Sync!$K905&gt;=0,Sync!$K905&lt;1),RIGHT("00"&amp;HOUR(Sync!$K905),2)&amp;RIGHT("00"&amp;MINUTE(Sync!$K905),2),IFERROR(RIGHT("00"&amp;VALUE(LEFT(Sync!$K905,FIND(":",Sync!$K905)-1)),2)&amp;RIGHT("00"&amp;VALUE(MID(Sync!$K905,FIND(":",Sync!$K905)+1,2)),2),"0000")))&amp;"|"&amp;"2"&amp;RIGHT("00000"&amp;900,5))</f>
        <v/>
      </c>
      <c r="Q905">
        <f>IF(Sync!$J905="","",IF(ISNUMBER(Sync!$J905),IF(AND(Sync!$J905&gt;=10000101,Sync!$J905&lt;=99991231),INT(Sync!$J905/10000)&amp;"/"&amp;RIGHT("00"&amp;INT(MOD(Sync!$J905,10000)/100),2)&amp;"/"&amp;RIGHT("00"&amp;MOD(Sync!$J905,100),2),"نامعتبر"),IF(LEN(Sync!$J905)=10,Sync!$J905,"نامعتبر")))</f>
        <v/>
      </c>
      <c r="R905">
        <f>IF($P905="","",COUNTIFS($N$6:$N$2005,$N905,$P$6:$P$2005,"&lt;"&amp;$P905)+COUNTIFS($A$6:$A$1005,$N905,$B$6:$B$1005,"&lt;"&amp;$P905)+1)</f>
        <v/>
      </c>
      <c r="S905">
        <f>IF($N905="","",$N905&amp;"|"&amp;RIGHT("000000"&amp;$R905,6))</f>
        <v/>
      </c>
      <c r="T905">
        <f>IF($N905="","",IF(Sync!$N905="",0,Sync!$N905))</f>
        <v/>
      </c>
      <c r="U905">
        <f>IF($N905="","",IF(Sync!$O905="",0,Sync!$O905))</f>
        <v/>
      </c>
      <c r="V905">
        <f>IF($N905="","",Sync!$L905)</f>
        <v/>
      </c>
      <c r="W905">
        <f>IF($N905="","",Sync!$P905)</f>
        <v/>
      </c>
      <c r="AA905">
        <f>IF($A905="","",IF(COUNTIF($A$6:$A905,$A905)=1,1,0))</f>
        <v/>
      </c>
      <c r="AB905">
        <f>SUM($AA$6:$AA905)</f>
        <v/>
      </c>
      <c r="AC905">
        <f>IFERROR(INDEX($A$6:$A$1005,MATCH(ROW()-5,$AB$6:$AB$1005,0)),"")</f>
        <v/>
      </c>
    </row>
    <row r="906">
      <c r="A906">
        <f>IF(OR(Entry!$B909="",Entry!$E909="",$E906="نامعتبر"),"",Entry!$E909)</f>
        <v/>
      </c>
      <c r="B906">
        <f>IF($A906="","",LEFT($E906,4)&amp;MID($E906,6,2)&amp;RIGHT($E906,2)&amp;$F906&amp;"|"&amp;"1"&amp;RIGHT("00000"&amp;901,5))</f>
        <v/>
      </c>
      <c r="C906">
        <f>IF($B906="","",COUNTIFS($A$6:$A$1005,$A906,$B$6:$B$1005,"&lt;"&amp;$B906)+COUNTIFS($N$6:$N$2005,$A906,$P$6:$P$2005,"&lt;"&amp;$B906)+1)</f>
        <v/>
      </c>
      <c r="D906">
        <f>IF($C906="","",$A906&amp;"|"&amp;RIGHT("000000"&amp;$C906,6))</f>
        <v/>
      </c>
      <c r="E906">
        <f>IF(Entry!$B909="","",IF(ISNUMBER(Entry!$B909),IF(AND(Entry!$B909&gt;=10000101,Entry!$B909&lt;=99991231),INT(Entry!$B909/10000)&amp;"/"&amp;RIGHT("00"&amp;INT(MOD(Entry!$B909,10000)/100),2)&amp;"/"&amp;RIGHT("00"&amp;MOD(Entry!$B909,100),2),"نامعتبر"),IF(LEN(Entry!$B909)=10,Entry!$B909,"نامعتبر")))</f>
        <v/>
      </c>
      <c r="F906">
        <f>IF(Entry!$B909="","",IF(Entry!$C909="","0000",IF(AND(ISNUMBER(Entry!$C909),Entry!$C909&gt;=0,Entry!$C909&lt;1),RIGHT("00"&amp;HOUR(Entry!$C909),2)&amp;RIGHT("00"&amp;MINUTE(Entry!$C909),2),IFERROR(RIGHT("00"&amp;VALUE(LEFT(Entry!$C909,FIND(":",Entry!$C909)-1)),2)&amp;RIGHT("00"&amp;VALUE(MID(Entry!$C909,FIND(":",Entry!$C909)+1,2)),2),"0000"))))</f>
        <v/>
      </c>
      <c r="G906">
        <f>IF($A906="","",Entry!$G909)</f>
        <v/>
      </c>
      <c r="H906">
        <f>IF($A906="","",IF(Entry!$H909="",0,Entry!$H909))</f>
        <v/>
      </c>
      <c r="I906">
        <f>IF($A906="","",IF(Entry!$I909="",0,Entry!$I909))</f>
        <v/>
      </c>
      <c r="J906">
        <f>IF($A906="","",ROUND($H906*$I906,0))</f>
        <v/>
      </c>
      <c r="K906">
        <f>IF($A906="","",Entry!$D909)</f>
        <v/>
      </c>
      <c r="L906">
        <f>IF($A906="","",Entry!$L909)</f>
        <v/>
      </c>
      <c r="N906">
        <f>IF(OR(Sync!$M906="",$Q906="",$Q906="نامعتبر"),"",Sync!$M906)</f>
        <v/>
      </c>
      <c r="O906">
        <f>IF($N906="","",$Q906)</f>
        <v/>
      </c>
      <c r="P906">
        <f>IF($N906="","",LEFT($Q906,4)&amp;MID($Q906,6,2)&amp;RIGHT($Q906,2)&amp;IF(Sync!$K906="","0000",IF(AND(ISNUMBER(Sync!$K906),Sync!$K906&gt;=0,Sync!$K906&lt;1),RIGHT("00"&amp;HOUR(Sync!$K906),2)&amp;RIGHT("00"&amp;MINUTE(Sync!$K906),2),IFERROR(RIGHT("00"&amp;VALUE(LEFT(Sync!$K906,FIND(":",Sync!$K906)-1)),2)&amp;RIGHT("00"&amp;VALUE(MID(Sync!$K906,FIND(":",Sync!$K906)+1,2)),2),"0000")))&amp;"|"&amp;"2"&amp;RIGHT("00000"&amp;901,5))</f>
        <v/>
      </c>
      <c r="Q906">
        <f>IF(Sync!$J906="","",IF(ISNUMBER(Sync!$J906),IF(AND(Sync!$J906&gt;=10000101,Sync!$J906&lt;=99991231),INT(Sync!$J906/10000)&amp;"/"&amp;RIGHT("00"&amp;INT(MOD(Sync!$J906,10000)/100),2)&amp;"/"&amp;RIGHT("00"&amp;MOD(Sync!$J906,100),2),"نامعتبر"),IF(LEN(Sync!$J906)=10,Sync!$J906,"نامعتبر")))</f>
        <v/>
      </c>
      <c r="R906">
        <f>IF($P906="","",COUNTIFS($N$6:$N$2005,$N906,$P$6:$P$2005,"&lt;"&amp;$P906)+COUNTIFS($A$6:$A$1005,$N906,$B$6:$B$1005,"&lt;"&amp;$P906)+1)</f>
        <v/>
      </c>
      <c r="S906">
        <f>IF($N906="","",$N906&amp;"|"&amp;RIGHT("000000"&amp;$R906,6))</f>
        <v/>
      </c>
      <c r="T906">
        <f>IF($N906="","",IF(Sync!$N906="",0,Sync!$N906))</f>
        <v/>
      </c>
      <c r="U906">
        <f>IF($N906="","",IF(Sync!$O906="",0,Sync!$O906))</f>
        <v/>
      </c>
      <c r="V906">
        <f>IF($N906="","",Sync!$L906)</f>
        <v/>
      </c>
      <c r="W906">
        <f>IF($N906="","",Sync!$P906)</f>
        <v/>
      </c>
      <c r="AA906">
        <f>IF($A906="","",IF(COUNTIF($A$6:$A906,$A906)=1,1,0))</f>
        <v/>
      </c>
      <c r="AB906">
        <f>SUM($AA$6:$AA906)</f>
        <v/>
      </c>
      <c r="AC906">
        <f>IFERROR(INDEX($A$6:$A$1005,MATCH(ROW()-5,$AB$6:$AB$1005,0)),"")</f>
        <v/>
      </c>
    </row>
    <row r="907">
      <c r="A907">
        <f>IF(OR(Entry!$B910="",Entry!$E910="",$E907="نامعتبر"),"",Entry!$E910)</f>
        <v/>
      </c>
      <c r="B907">
        <f>IF($A907="","",LEFT($E907,4)&amp;MID($E907,6,2)&amp;RIGHT($E907,2)&amp;$F907&amp;"|"&amp;"1"&amp;RIGHT("00000"&amp;902,5))</f>
        <v/>
      </c>
      <c r="C907">
        <f>IF($B907="","",COUNTIFS($A$6:$A$1005,$A907,$B$6:$B$1005,"&lt;"&amp;$B907)+COUNTIFS($N$6:$N$2005,$A907,$P$6:$P$2005,"&lt;"&amp;$B907)+1)</f>
        <v/>
      </c>
      <c r="D907">
        <f>IF($C907="","",$A907&amp;"|"&amp;RIGHT("000000"&amp;$C907,6))</f>
        <v/>
      </c>
      <c r="E907">
        <f>IF(Entry!$B910="","",IF(ISNUMBER(Entry!$B910),IF(AND(Entry!$B910&gt;=10000101,Entry!$B910&lt;=99991231),INT(Entry!$B910/10000)&amp;"/"&amp;RIGHT("00"&amp;INT(MOD(Entry!$B910,10000)/100),2)&amp;"/"&amp;RIGHT("00"&amp;MOD(Entry!$B910,100),2),"نامعتبر"),IF(LEN(Entry!$B910)=10,Entry!$B910,"نامعتبر")))</f>
        <v/>
      </c>
      <c r="F907">
        <f>IF(Entry!$B910="","",IF(Entry!$C910="","0000",IF(AND(ISNUMBER(Entry!$C910),Entry!$C910&gt;=0,Entry!$C910&lt;1),RIGHT("00"&amp;HOUR(Entry!$C910),2)&amp;RIGHT("00"&amp;MINUTE(Entry!$C910),2),IFERROR(RIGHT("00"&amp;VALUE(LEFT(Entry!$C910,FIND(":",Entry!$C910)-1)),2)&amp;RIGHT("00"&amp;VALUE(MID(Entry!$C910,FIND(":",Entry!$C910)+1,2)),2),"0000"))))</f>
        <v/>
      </c>
      <c r="G907">
        <f>IF($A907="","",Entry!$G910)</f>
        <v/>
      </c>
      <c r="H907">
        <f>IF($A907="","",IF(Entry!$H910="",0,Entry!$H910))</f>
        <v/>
      </c>
      <c r="I907">
        <f>IF($A907="","",IF(Entry!$I910="",0,Entry!$I910))</f>
        <v/>
      </c>
      <c r="J907">
        <f>IF($A907="","",ROUND($H907*$I907,0))</f>
        <v/>
      </c>
      <c r="K907">
        <f>IF($A907="","",Entry!$D910)</f>
        <v/>
      </c>
      <c r="L907">
        <f>IF($A907="","",Entry!$L910)</f>
        <v/>
      </c>
      <c r="N907">
        <f>IF(OR(Sync!$M907="",$Q907="",$Q907="نامعتبر"),"",Sync!$M907)</f>
        <v/>
      </c>
      <c r="O907">
        <f>IF($N907="","",$Q907)</f>
        <v/>
      </c>
      <c r="P907">
        <f>IF($N907="","",LEFT($Q907,4)&amp;MID($Q907,6,2)&amp;RIGHT($Q907,2)&amp;IF(Sync!$K907="","0000",IF(AND(ISNUMBER(Sync!$K907),Sync!$K907&gt;=0,Sync!$K907&lt;1),RIGHT("00"&amp;HOUR(Sync!$K907),2)&amp;RIGHT("00"&amp;MINUTE(Sync!$K907),2),IFERROR(RIGHT("00"&amp;VALUE(LEFT(Sync!$K907,FIND(":",Sync!$K907)-1)),2)&amp;RIGHT("00"&amp;VALUE(MID(Sync!$K907,FIND(":",Sync!$K907)+1,2)),2),"0000")))&amp;"|"&amp;"2"&amp;RIGHT("00000"&amp;902,5))</f>
        <v/>
      </c>
      <c r="Q907">
        <f>IF(Sync!$J907="","",IF(ISNUMBER(Sync!$J907),IF(AND(Sync!$J907&gt;=10000101,Sync!$J907&lt;=99991231),INT(Sync!$J907/10000)&amp;"/"&amp;RIGHT("00"&amp;INT(MOD(Sync!$J907,10000)/100),2)&amp;"/"&amp;RIGHT("00"&amp;MOD(Sync!$J907,100),2),"نامعتبر"),IF(LEN(Sync!$J907)=10,Sync!$J907,"نامعتبر")))</f>
        <v/>
      </c>
      <c r="R907">
        <f>IF($P907="","",COUNTIFS($N$6:$N$2005,$N907,$P$6:$P$2005,"&lt;"&amp;$P907)+COUNTIFS($A$6:$A$1005,$N907,$B$6:$B$1005,"&lt;"&amp;$P907)+1)</f>
        <v/>
      </c>
      <c r="S907">
        <f>IF($N907="","",$N907&amp;"|"&amp;RIGHT("000000"&amp;$R907,6))</f>
        <v/>
      </c>
      <c r="T907">
        <f>IF($N907="","",IF(Sync!$N907="",0,Sync!$N907))</f>
        <v/>
      </c>
      <c r="U907">
        <f>IF($N907="","",IF(Sync!$O907="",0,Sync!$O907))</f>
        <v/>
      </c>
      <c r="V907">
        <f>IF($N907="","",Sync!$L907)</f>
        <v/>
      </c>
      <c r="W907">
        <f>IF($N907="","",Sync!$P907)</f>
        <v/>
      </c>
      <c r="AA907">
        <f>IF($A907="","",IF(COUNTIF($A$6:$A907,$A907)=1,1,0))</f>
        <v/>
      </c>
      <c r="AB907">
        <f>SUM($AA$6:$AA907)</f>
        <v/>
      </c>
      <c r="AC907">
        <f>IFERROR(INDEX($A$6:$A$1005,MATCH(ROW()-5,$AB$6:$AB$1005,0)),"")</f>
        <v/>
      </c>
    </row>
    <row r="908">
      <c r="A908">
        <f>IF(OR(Entry!$B911="",Entry!$E911="",$E908="نامعتبر"),"",Entry!$E911)</f>
        <v/>
      </c>
      <c r="B908">
        <f>IF($A908="","",LEFT($E908,4)&amp;MID($E908,6,2)&amp;RIGHT($E908,2)&amp;$F908&amp;"|"&amp;"1"&amp;RIGHT("00000"&amp;903,5))</f>
        <v/>
      </c>
      <c r="C908">
        <f>IF($B908="","",COUNTIFS($A$6:$A$1005,$A908,$B$6:$B$1005,"&lt;"&amp;$B908)+COUNTIFS($N$6:$N$2005,$A908,$P$6:$P$2005,"&lt;"&amp;$B908)+1)</f>
        <v/>
      </c>
      <c r="D908">
        <f>IF($C908="","",$A908&amp;"|"&amp;RIGHT("000000"&amp;$C908,6))</f>
        <v/>
      </c>
      <c r="E908">
        <f>IF(Entry!$B911="","",IF(ISNUMBER(Entry!$B911),IF(AND(Entry!$B911&gt;=10000101,Entry!$B911&lt;=99991231),INT(Entry!$B911/10000)&amp;"/"&amp;RIGHT("00"&amp;INT(MOD(Entry!$B911,10000)/100),2)&amp;"/"&amp;RIGHT("00"&amp;MOD(Entry!$B911,100),2),"نامعتبر"),IF(LEN(Entry!$B911)=10,Entry!$B911,"نامعتبر")))</f>
        <v/>
      </c>
      <c r="F908">
        <f>IF(Entry!$B911="","",IF(Entry!$C911="","0000",IF(AND(ISNUMBER(Entry!$C911),Entry!$C911&gt;=0,Entry!$C911&lt;1),RIGHT("00"&amp;HOUR(Entry!$C911),2)&amp;RIGHT("00"&amp;MINUTE(Entry!$C911),2),IFERROR(RIGHT("00"&amp;VALUE(LEFT(Entry!$C911,FIND(":",Entry!$C911)-1)),2)&amp;RIGHT("00"&amp;VALUE(MID(Entry!$C911,FIND(":",Entry!$C911)+1,2)),2),"0000"))))</f>
        <v/>
      </c>
      <c r="G908">
        <f>IF($A908="","",Entry!$G911)</f>
        <v/>
      </c>
      <c r="H908">
        <f>IF($A908="","",IF(Entry!$H911="",0,Entry!$H911))</f>
        <v/>
      </c>
      <c r="I908">
        <f>IF($A908="","",IF(Entry!$I911="",0,Entry!$I911))</f>
        <v/>
      </c>
      <c r="J908">
        <f>IF($A908="","",ROUND($H908*$I908,0))</f>
        <v/>
      </c>
      <c r="K908">
        <f>IF($A908="","",Entry!$D911)</f>
        <v/>
      </c>
      <c r="L908">
        <f>IF($A908="","",Entry!$L911)</f>
        <v/>
      </c>
      <c r="N908">
        <f>IF(OR(Sync!$M908="",$Q908="",$Q908="نامعتبر"),"",Sync!$M908)</f>
        <v/>
      </c>
      <c r="O908">
        <f>IF($N908="","",$Q908)</f>
        <v/>
      </c>
      <c r="P908">
        <f>IF($N908="","",LEFT($Q908,4)&amp;MID($Q908,6,2)&amp;RIGHT($Q908,2)&amp;IF(Sync!$K908="","0000",IF(AND(ISNUMBER(Sync!$K908),Sync!$K908&gt;=0,Sync!$K908&lt;1),RIGHT("00"&amp;HOUR(Sync!$K908),2)&amp;RIGHT("00"&amp;MINUTE(Sync!$K908),2),IFERROR(RIGHT("00"&amp;VALUE(LEFT(Sync!$K908,FIND(":",Sync!$K908)-1)),2)&amp;RIGHT("00"&amp;VALUE(MID(Sync!$K908,FIND(":",Sync!$K908)+1,2)),2),"0000")))&amp;"|"&amp;"2"&amp;RIGHT("00000"&amp;903,5))</f>
        <v/>
      </c>
      <c r="Q908">
        <f>IF(Sync!$J908="","",IF(ISNUMBER(Sync!$J908),IF(AND(Sync!$J908&gt;=10000101,Sync!$J908&lt;=99991231),INT(Sync!$J908/10000)&amp;"/"&amp;RIGHT("00"&amp;INT(MOD(Sync!$J908,10000)/100),2)&amp;"/"&amp;RIGHT("00"&amp;MOD(Sync!$J908,100),2),"نامعتبر"),IF(LEN(Sync!$J908)=10,Sync!$J908,"نامعتبر")))</f>
        <v/>
      </c>
      <c r="R908">
        <f>IF($P908="","",COUNTIFS($N$6:$N$2005,$N908,$P$6:$P$2005,"&lt;"&amp;$P908)+COUNTIFS($A$6:$A$1005,$N908,$B$6:$B$1005,"&lt;"&amp;$P908)+1)</f>
        <v/>
      </c>
      <c r="S908">
        <f>IF($N908="","",$N908&amp;"|"&amp;RIGHT("000000"&amp;$R908,6))</f>
        <v/>
      </c>
      <c r="T908">
        <f>IF($N908="","",IF(Sync!$N908="",0,Sync!$N908))</f>
        <v/>
      </c>
      <c r="U908">
        <f>IF($N908="","",IF(Sync!$O908="",0,Sync!$O908))</f>
        <v/>
      </c>
      <c r="V908">
        <f>IF($N908="","",Sync!$L908)</f>
        <v/>
      </c>
      <c r="W908">
        <f>IF($N908="","",Sync!$P908)</f>
        <v/>
      </c>
      <c r="AA908">
        <f>IF($A908="","",IF(COUNTIF($A$6:$A908,$A908)=1,1,0))</f>
        <v/>
      </c>
      <c r="AB908">
        <f>SUM($AA$6:$AA908)</f>
        <v/>
      </c>
      <c r="AC908">
        <f>IFERROR(INDEX($A$6:$A$1005,MATCH(ROW()-5,$AB$6:$AB$1005,0)),"")</f>
        <v/>
      </c>
    </row>
    <row r="909">
      <c r="A909">
        <f>IF(OR(Entry!$B912="",Entry!$E912="",$E909="نامعتبر"),"",Entry!$E912)</f>
        <v/>
      </c>
      <c r="B909">
        <f>IF($A909="","",LEFT($E909,4)&amp;MID($E909,6,2)&amp;RIGHT($E909,2)&amp;$F909&amp;"|"&amp;"1"&amp;RIGHT("00000"&amp;904,5))</f>
        <v/>
      </c>
      <c r="C909">
        <f>IF($B909="","",COUNTIFS($A$6:$A$1005,$A909,$B$6:$B$1005,"&lt;"&amp;$B909)+COUNTIFS($N$6:$N$2005,$A909,$P$6:$P$2005,"&lt;"&amp;$B909)+1)</f>
        <v/>
      </c>
      <c r="D909">
        <f>IF($C909="","",$A909&amp;"|"&amp;RIGHT("000000"&amp;$C909,6))</f>
        <v/>
      </c>
      <c r="E909">
        <f>IF(Entry!$B912="","",IF(ISNUMBER(Entry!$B912),IF(AND(Entry!$B912&gt;=10000101,Entry!$B912&lt;=99991231),INT(Entry!$B912/10000)&amp;"/"&amp;RIGHT("00"&amp;INT(MOD(Entry!$B912,10000)/100),2)&amp;"/"&amp;RIGHT("00"&amp;MOD(Entry!$B912,100),2),"نامعتبر"),IF(LEN(Entry!$B912)=10,Entry!$B912,"نامعتبر")))</f>
        <v/>
      </c>
      <c r="F909">
        <f>IF(Entry!$B912="","",IF(Entry!$C912="","0000",IF(AND(ISNUMBER(Entry!$C912),Entry!$C912&gt;=0,Entry!$C912&lt;1),RIGHT("00"&amp;HOUR(Entry!$C912),2)&amp;RIGHT("00"&amp;MINUTE(Entry!$C912),2),IFERROR(RIGHT("00"&amp;VALUE(LEFT(Entry!$C912,FIND(":",Entry!$C912)-1)),2)&amp;RIGHT("00"&amp;VALUE(MID(Entry!$C912,FIND(":",Entry!$C912)+1,2)),2),"0000"))))</f>
        <v/>
      </c>
      <c r="G909">
        <f>IF($A909="","",Entry!$G912)</f>
        <v/>
      </c>
      <c r="H909">
        <f>IF($A909="","",IF(Entry!$H912="",0,Entry!$H912))</f>
        <v/>
      </c>
      <c r="I909">
        <f>IF($A909="","",IF(Entry!$I912="",0,Entry!$I912))</f>
        <v/>
      </c>
      <c r="J909">
        <f>IF($A909="","",ROUND($H909*$I909,0))</f>
        <v/>
      </c>
      <c r="K909">
        <f>IF($A909="","",Entry!$D912)</f>
        <v/>
      </c>
      <c r="L909">
        <f>IF($A909="","",Entry!$L912)</f>
        <v/>
      </c>
      <c r="N909">
        <f>IF(OR(Sync!$M909="",$Q909="",$Q909="نامعتبر"),"",Sync!$M909)</f>
        <v/>
      </c>
      <c r="O909">
        <f>IF($N909="","",$Q909)</f>
        <v/>
      </c>
      <c r="P909">
        <f>IF($N909="","",LEFT($Q909,4)&amp;MID($Q909,6,2)&amp;RIGHT($Q909,2)&amp;IF(Sync!$K909="","0000",IF(AND(ISNUMBER(Sync!$K909),Sync!$K909&gt;=0,Sync!$K909&lt;1),RIGHT("00"&amp;HOUR(Sync!$K909),2)&amp;RIGHT("00"&amp;MINUTE(Sync!$K909),2),IFERROR(RIGHT("00"&amp;VALUE(LEFT(Sync!$K909,FIND(":",Sync!$K909)-1)),2)&amp;RIGHT("00"&amp;VALUE(MID(Sync!$K909,FIND(":",Sync!$K909)+1,2)),2),"0000")))&amp;"|"&amp;"2"&amp;RIGHT("00000"&amp;904,5))</f>
        <v/>
      </c>
      <c r="Q909">
        <f>IF(Sync!$J909="","",IF(ISNUMBER(Sync!$J909),IF(AND(Sync!$J909&gt;=10000101,Sync!$J909&lt;=99991231),INT(Sync!$J909/10000)&amp;"/"&amp;RIGHT("00"&amp;INT(MOD(Sync!$J909,10000)/100),2)&amp;"/"&amp;RIGHT("00"&amp;MOD(Sync!$J909,100),2),"نامعتبر"),IF(LEN(Sync!$J909)=10,Sync!$J909,"نامعتبر")))</f>
        <v/>
      </c>
      <c r="R909">
        <f>IF($P909="","",COUNTIFS($N$6:$N$2005,$N909,$P$6:$P$2005,"&lt;"&amp;$P909)+COUNTIFS($A$6:$A$1005,$N909,$B$6:$B$1005,"&lt;"&amp;$P909)+1)</f>
        <v/>
      </c>
      <c r="S909">
        <f>IF($N909="","",$N909&amp;"|"&amp;RIGHT("000000"&amp;$R909,6))</f>
        <v/>
      </c>
      <c r="T909">
        <f>IF($N909="","",IF(Sync!$N909="",0,Sync!$N909))</f>
        <v/>
      </c>
      <c r="U909">
        <f>IF($N909="","",IF(Sync!$O909="",0,Sync!$O909))</f>
        <v/>
      </c>
      <c r="V909">
        <f>IF($N909="","",Sync!$L909)</f>
        <v/>
      </c>
      <c r="W909">
        <f>IF($N909="","",Sync!$P909)</f>
        <v/>
      </c>
      <c r="AA909">
        <f>IF($A909="","",IF(COUNTIF($A$6:$A909,$A909)=1,1,0))</f>
        <v/>
      </c>
      <c r="AB909">
        <f>SUM($AA$6:$AA909)</f>
        <v/>
      </c>
      <c r="AC909">
        <f>IFERROR(INDEX($A$6:$A$1005,MATCH(ROW()-5,$AB$6:$AB$1005,0)),"")</f>
        <v/>
      </c>
    </row>
    <row r="910">
      <c r="A910">
        <f>IF(OR(Entry!$B913="",Entry!$E913="",$E910="نامعتبر"),"",Entry!$E913)</f>
        <v/>
      </c>
      <c r="B910">
        <f>IF($A910="","",LEFT($E910,4)&amp;MID($E910,6,2)&amp;RIGHT($E910,2)&amp;$F910&amp;"|"&amp;"1"&amp;RIGHT("00000"&amp;905,5))</f>
        <v/>
      </c>
      <c r="C910">
        <f>IF($B910="","",COUNTIFS($A$6:$A$1005,$A910,$B$6:$B$1005,"&lt;"&amp;$B910)+COUNTIFS($N$6:$N$2005,$A910,$P$6:$P$2005,"&lt;"&amp;$B910)+1)</f>
        <v/>
      </c>
      <c r="D910">
        <f>IF($C910="","",$A910&amp;"|"&amp;RIGHT("000000"&amp;$C910,6))</f>
        <v/>
      </c>
      <c r="E910">
        <f>IF(Entry!$B913="","",IF(ISNUMBER(Entry!$B913),IF(AND(Entry!$B913&gt;=10000101,Entry!$B913&lt;=99991231),INT(Entry!$B913/10000)&amp;"/"&amp;RIGHT("00"&amp;INT(MOD(Entry!$B913,10000)/100),2)&amp;"/"&amp;RIGHT("00"&amp;MOD(Entry!$B913,100),2),"نامعتبر"),IF(LEN(Entry!$B913)=10,Entry!$B913,"نامعتبر")))</f>
        <v/>
      </c>
      <c r="F910">
        <f>IF(Entry!$B913="","",IF(Entry!$C913="","0000",IF(AND(ISNUMBER(Entry!$C913),Entry!$C913&gt;=0,Entry!$C913&lt;1),RIGHT("00"&amp;HOUR(Entry!$C913),2)&amp;RIGHT("00"&amp;MINUTE(Entry!$C913),2),IFERROR(RIGHT("00"&amp;VALUE(LEFT(Entry!$C913,FIND(":",Entry!$C913)-1)),2)&amp;RIGHT("00"&amp;VALUE(MID(Entry!$C913,FIND(":",Entry!$C913)+1,2)),2),"0000"))))</f>
        <v/>
      </c>
      <c r="G910">
        <f>IF($A910="","",Entry!$G913)</f>
        <v/>
      </c>
      <c r="H910">
        <f>IF($A910="","",IF(Entry!$H913="",0,Entry!$H913))</f>
        <v/>
      </c>
      <c r="I910">
        <f>IF($A910="","",IF(Entry!$I913="",0,Entry!$I913))</f>
        <v/>
      </c>
      <c r="J910">
        <f>IF($A910="","",ROUND($H910*$I910,0))</f>
        <v/>
      </c>
      <c r="K910">
        <f>IF($A910="","",Entry!$D913)</f>
        <v/>
      </c>
      <c r="L910">
        <f>IF($A910="","",Entry!$L913)</f>
        <v/>
      </c>
      <c r="N910">
        <f>IF(OR(Sync!$M910="",$Q910="",$Q910="نامعتبر"),"",Sync!$M910)</f>
        <v/>
      </c>
      <c r="O910">
        <f>IF($N910="","",$Q910)</f>
        <v/>
      </c>
      <c r="P910">
        <f>IF($N910="","",LEFT($Q910,4)&amp;MID($Q910,6,2)&amp;RIGHT($Q910,2)&amp;IF(Sync!$K910="","0000",IF(AND(ISNUMBER(Sync!$K910),Sync!$K910&gt;=0,Sync!$K910&lt;1),RIGHT("00"&amp;HOUR(Sync!$K910),2)&amp;RIGHT("00"&amp;MINUTE(Sync!$K910),2),IFERROR(RIGHT("00"&amp;VALUE(LEFT(Sync!$K910,FIND(":",Sync!$K910)-1)),2)&amp;RIGHT("00"&amp;VALUE(MID(Sync!$K910,FIND(":",Sync!$K910)+1,2)),2),"0000")))&amp;"|"&amp;"2"&amp;RIGHT("00000"&amp;905,5))</f>
        <v/>
      </c>
      <c r="Q910">
        <f>IF(Sync!$J910="","",IF(ISNUMBER(Sync!$J910),IF(AND(Sync!$J910&gt;=10000101,Sync!$J910&lt;=99991231),INT(Sync!$J910/10000)&amp;"/"&amp;RIGHT("00"&amp;INT(MOD(Sync!$J910,10000)/100),2)&amp;"/"&amp;RIGHT("00"&amp;MOD(Sync!$J910,100),2),"نامعتبر"),IF(LEN(Sync!$J910)=10,Sync!$J910,"نامعتبر")))</f>
        <v/>
      </c>
      <c r="R910">
        <f>IF($P910="","",COUNTIFS($N$6:$N$2005,$N910,$P$6:$P$2005,"&lt;"&amp;$P910)+COUNTIFS($A$6:$A$1005,$N910,$B$6:$B$1005,"&lt;"&amp;$P910)+1)</f>
        <v/>
      </c>
      <c r="S910">
        <f>IF($N910="","",$N910&amp;"|"&amp;RIGHT("000000"&amp;$R910,6))</f>
        <v/>
      </c>
      <c r="T910">
        <f>IF($N910="","",IF(Sync!$N910="",0,Sync!$N910))</f>
        <v/>
      </c>
      <c r="U910">
        <f>IF($N910="","",IF(Sync!$O910="",0,Sync!$O910))</f>
        <v/>
      </c>
      <c r="V910">
        <f>IF($N910="","",Sync!$L910)</f>
        <v/>
      </c>
      <c r="W910">
        <f>IF($N910="","",Sync!$P910)</f>
        <v/>
      </c>
      <c r="AA910">
        <f>IF($A910="","",IF(COUNTIF($A$6:$A910,$A910)=1,1,0))</f>
        <v/>
      </c>
      <c r="AB910">
        <f>SUM($AA$6:$AA910)</f>
        <v/>
      </c>
      <c r="AC910">
        <f>IFERROR(INDEX($A$6:$A$1005,MATCH(ROW()-5,$AB$6:$AB$1005,0)),"")</f>
        <v/>
      </c>
    </row>
    <row r="911">
      <c r="A911">
        <f>IF(OR(Entry!$B914="",Entry!$E914="",$E911="نامعتبر"),"",Entry!$E914)</f>
        <v/>
      </c>
      <c r="B911">
        <f>IF($A911="","",LEFT($E911,4)&amp;MID($E911,6,2)&amp;RIGHT($E911,2)&amp;$F911&amp;"|"&amp;"1"&amp;RIGHT("00000"&amp;906,5))</f>
        <v/>
      </c>
      <c r="C911">
        <f>IF($B911="","",COUNTIFS($A$6:$A$1005,$A911,$B$6:$B$1005,"&lt;"&amp;$B911)+COUNTIFS($N$6:$N$2005,$A911,$P$6:$P$2005,"&lt;"&amp;$B911)+1)</f>
        <v/>
      </c>
      <c r="D911">
        <f>IF($C911="","",$A911&amp;"|"&amp;RIGHT("000000"&amp;$C911,6))</f>
        <v/>
      </c>
      <c r="E911">
        <f>IF(Entry!$B914="","",IF(ISNUMBER(Entry!$B914),IF(AND(Entry!$B914&gt;=10000101,Entry!$B914&lt;=99991231),INT(Entry!$B914/10000)&amp;"/"&amp;RIGHT("00"&amp;INT(MOD(Entry!$B914,10000)/100),2)&amp;"/"&amp;RIGHT("00"&amp;MOD(Entry!$B914,100),2),"نامعتبر"),IF(LEN(Entry!$B914)=10,Entry!$B914,"نامعتبر")))</f>
        <v/>
      </c>
      <c r="F911">
        <f>IF(Entry!$B914="","",IF(Entry!$C914="","0000",IF(AND(ISNUMBER(Entry!$C914),Entry!$C914&gt;=0,Entry!$C914&lt;1),RIGHT("00"&amp;HOUR(Entry!$C914),2)&amp;RIGHT("00"&amp;MINUTE(Entry!$C914),2),IFERROR(RIGHT("00"&amp;VALUE(LEFT(Entry!$C914,FIND(":",Entry!$C914)-1)),2)&amp;RIGHT("00"&amp;VALUE(MID(Entry!$C914,FIND(":",Entry!$C914)+1,2)),2),"0000"))))</f>
        <v/>
      </c>
      <c r="G911">
        <f>IF($A911="","",Entry!$G914)</f>
        <v/>
      </c>
      <c r="H911">
        <f>IF($A911="","",IF(Entry!$H914="",0,Entry!$H914))</f>
        <v/>
      </c>
      <c r="I911">
        <f>IF($A911="","",IF(Entry!$I914="",0,Entry!$I914))</f>
        <v/>
      </c>
      <c r="J911">
        <f>IF($A911="","",ROUND($H911*$I911,0))</f>
        <v/>
      </c>
      <c r="K911">
        <f>IF($A911="","",Entry!$D914)</f>
        <v/>
      </c>
      <c r="L911">
        <f>IF($A911="","",Entry!$L914)</f>
        <v/>
      </c>
      <c r="N911">
        <f>IF(OR(Sync!$M911="",$Q911="",$Q911="نامعتبر"),"",Sync!$M911)</f>
        <v/>
      </c>
      <c r="O911">
        <f>IF($N911="","",$Q911)</f>
        <v/>
      </c>
      <c r="P911">
        <f>IF($N911="","",LEFT($Q911,4)&amp;MID($Q911,6,2)&amp;RIGHT($Q911,2)&amp;IF(Sync!$K911="","0000",IF(AND(ISNUMBER(Sync!$K911),Sync!$K911&gt;=0,Sync!$K911&lt;1),RIGHT("00"&amp;HOUR(Sync!$K911),2)&amp;RIGHT("00"&amp;MINUTE(Sync!$K911),2),IFERROR(RIGHT("00"&amp;VALUE(LEFT(Sync!$K911,FIND(":",Sync!$K911)-1)),2)&amp;RIGHT("00"&amp;VALUE(MID(Sync!$K911,FIND(":",Sync!$K911)+1,2)),2),"0000")))&amp;"|"&amp;"2"&amp;RIGHT("00000"&amp;906,5))</f>
        <v/>
      </c>
      <c r="Q911">
        <f>IF(Sync!$J911="","",IF(ISNUMBER(Sync!$J911),IF(AND(Sync!$J911&gt;=10000101,Sync!$J911&lt;=99991231),INT(Sync!$J911/10000)&amp;"/"&amp;RIGHT("00"&amp;INT(MOD(Sync!$J911,10000)/100),2)&amp;"/"&amp;RIGHT("00"&amp;MOD(Sync!$J911,100),2),"نامعتبر"),IF(LEN(Sync!$J911)=10,Sync!$J911,"نامعتبر")))</f>
        <v/>
      </c>
      <c r="R911">
        <f>IF($P911="","",COUNTIFS($N$6:$N$2005,$N911,$P$6:$P$2005,"&lt;"&amp;$P911)+COUNTIFS($A$6:$A$1005,$N911,$B$6:$B$1005,"&lt;"&amp;$P911)+1)</f>
        <v/>
      </c>
      <c r="S911">
        <f>IF($N911="","",$N911&amp;"|"&amp;RIGHT("000000"&amp;$R911,6))</f>
        <v/>
      </c>
      <c r="T911">
        <f>IF($N911="","",IF(Sync!$N911="",0,Sync!$N911))</f>
        <v/>
      </c>
      <c r="U911">
        <f>IF($N911="","",IF(Sync!$O911="",0,Sync!$O911))</f>
        <v/>
      </c>
      <c r="V911">
        <f>IF($N911="","",Sync!$L911)</f>
        <v/>
      </c>
      <c r="W911">
        <f>IF($N911="","",Sync!$P911)</f>
        <v/>
      </c>
      <c r="AA911">
        <f>IF($A911="","",IF(COUNTIF($A$6:$A911,$A911)=1,1,0))</f>
        <v/>
      </c>
      <c r="AB911">
        <f>SUM($AA$6:$AA911)</f>
        <v/>
      </c>
      <c r="AC911">
        <f>IFERROR(INDEX($A$6:$A$1005,MATCH(ROW()-5,$AB$6:$AB$1005,0)),"")</f>
        <v/>
      </c>
    </row>
    <row r="912">
      <c r="A912">
        <f>IF(OR(Entry!$B915="",Entry!$E915="",$E912="نامعتبر"),"",Entry!$E915)</f>
        <v/>
      </c>
      <c r="B912">
        <f>IF($A912="","",LEFT($E912,4)&amp;MID($E912,6,2)&amp;RIGHT($E912,2)&amp;$F912&amp;"|"&amp;"1"&amp;RIGHT("00000"&amp;907,5))</f>
        <v/>
      </c>
      <c r="C912">
        <f>IF($B912="","",COUNTIFS($A$6:$A$1005,$A912,$B$6:$B$1005,"&lt;"&amp;$B912)+COUNTIFS($N$6:$N$2005,$A912,$P$6:$P$2005,"&lt;"&amp;$B912)+1)</f>
        <v/>
      </c>
      <c r="D912">
        <f>IF($C912="","",$A912&amp;"|"&amp;RIGHT("000000"&amp;$C912,6))</f>
        <v/>
      </c>
      <c r="E912">
        <f>IF(Entry!$B915="","",IF(ISNUMBER(Entry!$B915),IF(AND(Entry!$B915&gt;=10000101,Entry!$B915&lt;=99991231),INT(Entry!$B915/10000)&amp;"/"&amp;RIGHT("00"&amp;INT(MOD(Entry!$B915,10000)/100),2)&amp;"/"&amp;RIGHT("00"&amp;MOD(Entry!$B915,100),2),"نامعتبر"),IF(LEN(Entry!$B915)=10,Entry!$B915,"نامعتبر")))</f>
        <v/>
      </c>
      <c r="F912">
        <f>IF(Entry!$B915="","",IF(Entry!$C915="","0000",IF(AND(ISNUMBER(Entry!$C915),Entry!$C915&gt;=0,Entry!$C915&lt;1),RIGHT("00"&amp;HOUR(Entry!$C915),2)&amp;RIGHT("00"&amp;MINUTE(Entry!$C915),2),IFERROR(RIGHT("00"&amp;VALUE(LEFT(Entry!$C915,FIND(":",Entry!$C915)-1)),2)&amp;RIGHT("00"&amp;VALUE(MID(Entry!$C915,FIND(":",Entry!$C915)+1,2)),2),"0000"))))</f>
        <v/>
      </c>
      <c r="G912">
        <f>IF($A912="","",Entry!$G915)</f>
        <v/>
      </c>
      <c r="H912">
        <f>IF($A912="","",IF(Entry!$H915="",0,Entry!$H915))</f>
        <v/>
      </c>
      <c r="I912">
        <f>IF($A912="","",IF(Entry!$I915="",0,Entry!$I915))</f>
        <v/>
      </c>
      <c r="J912">
        <f>IF($A912="","",ROUND($H912*$I912,0))</f>
        <v/>
      </c>
      <c r="K912">
        <f>IF($A912="","",Entry!$D915)</f>
        <v/>
      </c>
      <c r="L912">
        <f>IF($A912="","",Entry!$L915)</f>
        <v/>
      </c>
      <c r="N912">
        <f>IF(OR(Sync!$M912="",$Q912="",$Q912="نامعتبر"),"",Sync!$M912)</f>
        <v/>
      </c>
      <c r="O912">
        <f>IF($N912="","",$Q912)</f>
        <v/>
      </c>
      <c r="P912">
        <f>IF($N912="","",LEFT($Q912,4)&amp;MID($Q912,6,2)&amp;RIGHT($Q912,2)&amp;IF(Sync!$K912="","0000",IF(AND(ISNUMBER(Sync!$K912),Sync!$K912&gt;=0,Sync!$K912&lt;1),RIGHT("00"&amp;HOUR(Sync!$K912),2)&amp;RIGHT("00"&amp;MINUTE(Sync!$K912),2),IFERROR(RIGHT("00"&amp;VALUE(LEFT(Sync!$K912,FIND(":",Sync!$K912)-1)),2)&amp;RIGHT("00"&amp;VALUE(MID(Sync!$K912,FIND(":",Sync!$K912)+1,2)),2),"0000")))&amp;"|"&amp;"2"&amp;RIGHT("00000"&amp;907,5))</f>
        <v/>
      </c>
      <c r="Q912">
        <f>IF(Sync!$J912="","",IF(ISNUMBER(Sync!$J912),IF(AND(Sync!$J912&gt;=10000101,Sync!$J912&lt;=99991231),INT(Sync!$J912/10000)&amp;"/"&amp;RIGHT("00"&amp;INT(MOD(Sync!$J912,10000)/100),2)&amp;"/"&amp;RIGHT("00"&amp;MOD(Sync!$J912,100),2),"نامعتبر"),IF(LEN(Sync!$J912)=10,Sync!$J912,"نامعتبر")))</f>
        <v/>
      </c>
      <c r="R912">
        <f>IF($P912="","",COUNTIFS($N$6:$N$2005,$N912,$P$6:$P$2005,"&lt;"&amp;$P912)+COUNTIFS($A$6:$A$1005,$N912,$B$6:$B$1005,"&lt;"&amp;$P912)+1)</f>
        <v/>
      </c>
      <c r="S912">
        <f>IF($N912="","",$N912&amp;"|"&amp;RIGHT("000000"&amp;$R912,6))</f>
        <v/>
      </c>
      <c r="T912">
        <f>IF($N912="","",IF(Sync!$N912="",0,Sync!$N912))</f>
        <v/>
      </c>
      <c r="U912">
        <f>IF($N912="","",IF(Sync!$O912="",0,Sync!$O912))</f>
        <v/>
      </c>
      <c r="V912">
        <f>IF($N912="","",Sync!$L912)</f>
        <v/>
      </c>
      <c r="W912">
        <f>IF($N912="","",Sync!$P912)</f>
        <v/>
      </c>
      <c r="AA912">
        <f>IF($A912="","",IF(COUNTIF($A$6:$A912,$A912)=1,1,0))</f>
        <v/>
      </c>
      <c r="AB912">
        <f>SUM($AA$6:$AA912)</f>
        <v/>
      </c>
      <c r="AC912">
        <f>IFERROR(INDEX($A$6:$A$1005,MATCH(ROW()-5,$AB$6:$AB$1005,0)),"")</f>
        <v/>
      </c>
    </row>
    <row r="913">
      <c r="A913">
        <f>IF(OR(Entry!$B916="",Entry!$E916="",$E913="نامعتبر"),"",Entry!$E916)</f>
        <v/>
      </c>
      <c r="B913">
        <f>IF($A913="","",LEFT($E913,4)&amp;MID($E913,6,2)&amp;RIGHT($E913,2)&amp;$F913&amp;"|"&amp;"1"&amp;RIGHT("00000"&amp;908,5))</f>
        <v/>
      </c>
      <c r="C913">
        <f>IF($B913="","",COUNTIFS($A$6:$A$1005,$A913,$B$6:$B$1005,"&lt;"&amp;$B913)+COUNTIFS($N$6:$N$2005,$A913,$P$6:$P$2005,"&lt;"&amp;$B913)+1)</f>
        <v/>
      </c>
      <c r="D913">
        <f>IF($C913="","",$A913&amp;"|"&amp;RIGHT("000000"&amp;$C913,6))</f>
        <v/>
      </c>
      <c r="E913">
        <f>IF(Entry!$B916="","",IF(ISNUMBER(Entry!$B916),IF(AND(Entry!$B916&gt;=10000101,Entry!$B916&lt;=99991231),INT(Entry!$B916/10000)&amp;"/"&amp;RIGHT("00"&amp;INT(MOD(Entry!$B916,10000)/100),2)&amp;"/"&amp;RIGHT("00"&amp;MOD(Entry!$B916,100),2),"نامعتبر"),IF(LEN(Entry!$B916)=10,Entry!$B916,"نامعتبر")))</f>
        <v/>
      </c>
      <c r="F913">
        <f>IF(Entry!$B916="","",IF(Entry!$C916="","0000",IF(AND(ISNUMBER(Entry!$C916),Entry!$C916&gt;=0,Entry!$C916&lt;1),RIGHT("00"&amp;HOUR(Entry!$C916),2)&amp;RIGHT("00"&amp;MINUTE(Entry!$C916),2),IFERROR(RIGHT("00"&amp;VALUE(LEFT(Entry!$C916,FIND(":",Entry!$C916)-1)),2)&amp;RIGHT("00"&amp;VALUE(MID(Entry!$C916,FIND(":",Entry!$C916)+1,2)),2),"0000"))))</f>
        <v/>
      </c>
      <c r="G913">
        <f>IF($A913="","",Entry!$G916)</f>
        <v/>
      </c>
      <c r="H913">
        <f>IF($A913="","",IF(Entry!$H916="",0,Entry!$H916))</f>
        <v/>
      </c>
      <c r="I913">
        <f>IF($A913="","",IF(Entry!$I916="",0,Entry!$I916))</f>
        <v/>
      </c>
      <c r="J913">
        <f>IF($A913="","",ROUND($H913*$I913,0))</f>
        <v/>
      </c>
      <c r="K913">
        <f>IF($A913="","",Entry!$D916)</f>
        <v/>
      </c>
      <c r="L913">
        <f>IF($A913="","",Entry!$L916)</f>
        <v/>
      </c>
      <c r="N913">
        <f>IF(OR(Sync!$M913="",$Q913="",$Q913="نامعتبر"),"",Sync!$M913)</f>
        <v/>
      </c>
      <c r="O913">
        <f>IF($N913="","",$Q913)</f>
        <v/>
      </c>
      <c r="P913">
        <f>IF($N913="","",LEFT($Q913,4)&amp;MID($Q913,6,2)&amp;RIGHT($Q913,2)&amp;IF(Sync!$K913="","0000",IF(AND(ISNUMBER(Sync!$K913),Sync!$K913&gt;=0,Sync!$K913&lt;1),RIGHT("00"&amp;HOUR(Sync!$K913),2)&amp;RIGHT("00"&amp;MINUTE(Sync!$K913),2),IFERROR(RIGHT("00"&amp;VALUE(LEFT(Sync!$K913,FIND(":",Sync!$K913)-1)),2)&amp;RIGHT("00"&amp;VALUE(MID(Sync!$K913,FIND(":",Sync!$K913)+1,2)),2),"0000")))&amp;"|"&amp;"2"&amp;RIGHT("00000"&amp;908,5))</f>
        <v/>
      </c>
      <c r="Q913">
        <f>IF(Sync!$J913="","",IF(ISNUMBER(Sync!$J913),IF(AND(Sync!$J913&gt;=10000101,Sync!$J913&lt;=99991231),INT(Sync!$J913/10000)&amp;"/"&amp;RIGHT("00"&amp;INT(MOD(Sync!$J913,10000)/100),2)&amp;"/"&amp;RIGHT("00"&amp;MOD(Sync!$J913,100),2),"نامعتبر"),IF(LEN(Sync!$J913)=10,Sync!$J913,"نامعتبر")))</f>
        <v/>
      </c>
      <c r="R913">
        <f>IF($P913="","",COUNTIFS($N$6:$N$2005,$N913,$P$6:$P$2005,"&lt;"&amp;$P913)+COUNTIFS($A$6:$A$1005,$N913,$B$6:$B$1005,"&lt;"&amp;$P913)+1)</f>
        <v/>
      </c>
      <c r="S913">
        <f>IF($N913="","",$N913&amp;"|"&amp;RIGHT("000000"&amp;$R913,6))</f>
        <v/>
      </c>
      <c r="T913">
        <f>IF($N913="","",IF(Sync!$N913="",0,Sync!$N913))</f>
        <v/>
      </c>
      <c r="U913">
        <f>IF($N913="","",IF(Sync!$O913="",0,Sync!$O913))</f>
        <v/>
      </c>
      <c r="V913">
        <f>IF($N913="","",Sync!$L913)</f>
        <v/>
      </c>
      <c r="W913">
        <f>IF($N913="","",Sync!$P913)</f>
        <v/>
      </c>
      <c r="AA913">
        <f>IF($A913="","",IF(COUNTIF($A$6:$A913,$A913)=1,1,0))</f>
        <v/>
      </c>
      <c r="AB913">
        <f>SUM($AA$6:$AA913)</f>
        <v/>
      </c>
      <c r="AC913">
        <f>IFERROR(INDEX($A$6:$A$1005,MATCH(ROW()-5,$AB$6:$AB$1005,0)),"")</f>
        <v/>
      </c>
    </row>
    <row r="914">
      <c r="A914">
        <f>IF(OR(Entry!$B917="",Entry!$E917="",$E914="نامعتبر"),"",Entry!$E917)</f>
        <v/>
      </c>
      <c r="B914">
        <f>IF($A914="","",LEFT($E914,4)&amp;MID($E914,6,2)&amp;RIGHT($E914,2)&amp;$F914&amp;"|"&amp;"1"&amp;RIGHT("00000"&amp;909,5))</f>
        <v/>
      </c>
      <c r="C914">
        <f>IF($B914="","",COUNTIFS($A$6:$A$1005,$A914,$B$6:$B$1005,"&lt;"&amp;$B914)+COUNTIFS($N$6:$N$2005,$A914,$P$6:$P$2005,"&lt;"&amp;$B914)+1)</f>
        <v/>
      </c>
      <c r="D914">
        <f>IF($C914="","",$A914&amp;"|"&amp;RIGHT("000000"&amp;$C914,6))</f>
        <v/>
      </c>
      <c r="E914">
        <f>IF(Entry!$B917="","",IF(ISNUMBER(Entry!$B917),IF(AND(Entry!$B917&gt;=10000101,Entry!$B917&lt;=99991231),INT(Entry!$B917/10000)&amp;"/"&amp;RIGHT("00"&amp;INT(MOD(Entry!$B917,10000)/100),2)&amp;"/"&amp;RIGHT("00"&amp;MOD(Entry!$B917,100),2),"نامعتبر"),IF(LEN(Entry!$B917)=10,Entry!$B917,"نامعتبر")))</f>
        <v/>
      </c>
      <c r="F914">
        <f>IF(Entry!$B917="","",IF(Entry!$C917="","0000",IF(AND(ISNUMBER(Entry!$C917),Entry!$C917&gt;=0,Entry!$C917&lt;1),RIGHT("00"&amp;HOUR(Entry!$C917),2)&amp;RIGHT("00"&amp;MINUTE(Entry!$C917),2),IFERROR(RIGHT("00"&amp;VALUE(LEFT(Entry!$C917,FIND(":",Entry!$C917)-1)),2)&amp;RIGHT("00"&amp;VALUE(MID(Entry!$C917,FIND(":",Entry!$C917)+1,2)),2),"0000"))))</f>
        <v/>
      </c>
      <c r="G914">
        <f>IF($A914="","",Entry!$G917)</f>
        <v/>
      </c>
      <c r="H914">
        <f>IF($A914="","",IF(Entry!$H917="",0,Entry!$H917))</f>
        <v/>
      </c>
      <c r="I914">
        <f>IF($A914="","",IF(Entry!$I917="",0,Entry!$I917))</f>
        <v/>
      </c>
      <c r="J914">
        <f>IF($A914="","",ROUND($H914*$I914,0))</f>
        <v/>
      </c>
      <c r="K914">
        <f>IF($A914="","",Entry!$D917)</f>
        <v/>
      </c>
      <c r="L914">
        <f>IF($A914="","",Entry!$L917)</f>
        <v/>
      </c>
      <c r="N914">
        <f>IF(OR(Sync!$M914="",$Q914="",$Q914="نامعتبر"),"",Sync!$M914)</f>
        <v/>
      </c>
      <c r="O914">
        <f>IF($N914="","",$Q914)</f>
        <v/>
      </c>
      <c r="P914">
        <f>IF($N914="","",LEFT($Q914,4)&amp;MID($Q914,6,2)&amp;RIGHT($Q914,2)&amp;IF(Sync!$K914="","0000",IF(AND(ISNUMBER(Sync!$K914),Sync!$K914&gt;=0,Sync!$K914&lt;1),RIGHT("00"&amp;HOUR(Sync!$K914),2)&amp;RIGHT("00"&amp;MINUTE(Sync!$K914),2),IFERROR(RIGHT("00"&amp;VALUE(LEFT(Sync!$K914,FIND(":",Sync!$K914)-1)),2)&amp;RIGHT("00"&amp;VALUE(MID(Sync!$K914,FIND(":",Sync!$K914)+1,2)),2),"0000")))&amp;"|"&amp;"2"&amp;RIGHT("00000"&amp;909,5))</f>
        <v/>
      </c>
      <c r="Q914">
        <f>IF(Sync!$J914="","",IF(ISNUMBER(Sync!$J914),IF(AND(Sync!$J914&gt;=10000101,Sync!$J914&lt;=99991231),INT(Sync!$J914/10000)&amp;"/"&amp;RIGHT("00"&amp;INT(MOD(Sync!$J914,10000)/100),2)&amp;"/"&amp;RIGHT("00"&amp;MOD(Sync!$J914,100),2),"نامعتبر"),IF(LEN(Sync!$J914)=10,Sync!$J914,"نامعتبر")))</f>
        <v/>
      </c>
      <c r="R914">
        <f>IF($P914="","",COUNTIFS($N$6:$N$2005,$N914,$P$6:$P$2005,"&lt;"&amp;$P914)+COUNTIFS($A$6:$A$1005,$N914,$B$6:$B$1005,"&lt;"&amp;$P914)+1)</f>
        <v/>
      </c>
      <c r="S914">
        <f>IF($N914="","",$N914&amp;"|"&amp;RIGHT("000000"&amp;$R914,6))</f>
        <v/>
      </c>
      <c r="T914">
        <f>IF($N914="","",IF(Sync!$N914="",0,Sync!$N914))</f>
        <v/>
      </c>
      <c r="U914">
        <f>IF($N914="","",IF(Sync!$O914="",0,Sync!$O914))</f>
        <v/>
      </c>
      <c r="V914">
        <f>IF($N914="","",Sync!$L914)</f>
        <v/>
      </c>
      <c r="W914">
        <f>IF($N914="","",Sync!$P914)</f>
        <v/>
      </c>
      <c r="AA914">
        <f>IF($A914="","",IF(COUNTIF($A$6:$A914,$A914)=1,1,0))</f>
        <v/>
      </c>
      <c r="AB914">
        <f>SUM($AA$6:$AA914)</f>
        <v/>
      </c>
      <c r="AC914">
        <f>IFERROR(INDEX($A$6:$A$1005,MATCH(ROW()-5,$AB$6:$AB$1005,0)),"")</f>
        <v/>
      </c>
    </row>
    <row r="915">
      <c r="A915">
        <f>IF(OR(Entry!$B918="",Entry!$E918="",$E915="نامعتبر"),"",Entry!$E918)</f>
        <v/>
      </c>
      <c r="B915">
        <f>IF($A915="","",LEFT($E915,4)&amp;MID($E915,6,2)&amp;RIGHT($E915,2)&amp;$F915&amp;"|"&amp;"1"&amp;RIGHT("00000"&amp;910,5))</f>
        <v/>
      </c>
      <c r="C915">
        <f>IF($B915="","",COUNTIFS($A$6:$A$1005,$A915,$B$6:$B$1005,"&lt;"&amp;$B915)+COUNTIFS($N$6:$N$2005,$A915,$P$6:$P$2005,"&lt;"&amp;$B915)+1)</f>
        <v/>
      </c>
      <c r="D915">
        <f>IF($C915="","",$A915&amp;"|"&amp;RIGHT("000000"&amp;$C915,6))</f>
        <v/>
      </c>
      <c r="E915">
        <f>IF(Entry!$B918="","",IF(ISNUMBER(Entry!$B918),IF(AND(Entry!$B918&gt;=10000101,Entry!$B918&lt;=99991231),INT(Entry!$B918/10000)&amp;"/"&amp;RIGHT("00"&amp;INT(MOD(Entry!$B918,10000)/100),2)&amp;"/"&amp;RIGHT("00"&amp;MOD(Entry!$B918,100),2),"نامعتبر"),IF(LEN(Entry!$B918)=10,Entry!$B918,"نامعتبر")))</f>
        <v/>
      </c>
      <c r="F915">
        <f>IF(Entry!$B918="","",IF(Entry!$C918="","0000",IF(AND(ISNUMBER(Entry!$C918),Entry!$C918&gt;=0,Entry!$C918&lt;1),RIGHT("00"&amp;HOUR(Entry!$C918),2)&amp;RIGHT("00"&amp;MINUTE(Entry!$C918),2),IFERROR(RIGHT("00"&amp;VALUE(LEFT(Entry!$C918,FIND(":",Entry!$C918)-1)),2)&amp;RIGHT("00"&amp;VALUE(MID(Entry!$C918,FIND(":",Entry!$C918)+1,2)),2),"0000"))))</f>
        <v/>
      </c>
      <c r="G915">
        <f>IF($A915="","",Entry!$G918)</f>
        <v/>
      </c>
      <c r="H915">
        <f>IF($A915="","",IF(Entry!$H918="",0,Entry!$H918))</f>
        <v/>
      </c>
      <c r="I915">
        <f>IF($A915="","",IF(Entry!$I918="",0,Entry!$I918))</f>
        <v/>
      </c>
      <c r="J915">
        <f>IF($A915="","",ROUND($H915*$I915,0))</f>
        <v/>
      </c>
      <c r="K915">
        <f>IF($A915="","",Entry!$D918)</f>
        <v/>
      </c>
      <c r="L915">
        <f>IF($A915="","",Entry!$L918)</f>
        <v/>
      </c>
      <c r="N915">
        <f>IF(OR(Sync!$M915="",$Q915="",$Q915="نامعتبر"),"",Sync!$M915)</f>
        <v/>
      </c>
      <c r="O915">
        <f>IF($N915="","",$Q915)</f>
        <v/>
      </c>
      <c r="P915">
        <f>IF($N915="","",LEFT($Q915,4)&amp;MID($Q915,6,2)&amp;RIGHT($Q915,2)&amp;IF(Sync!$K915="","0000",IF(AND(ISNUMBER(Sync!$K915),Sync!$K915&gt;=0,Sync!$K915&lt;1),RIGHT("00"&amp;HOUR(Sync!$K915),2)&amp;RIGHT("00"&amp;MINUTE(Sync!$K915),2),IFERROR(RIGHT("00"&amp;VALUE(LEFT(Sync!$K915,FIND(":",Sync!$K915)-1)),2)&amp;RIGHT("00"&amp;VALUE(MID(Sync!$K915,FIND(":",Sync!$K915)+1,2)),2),"0000")))&amp;"|"&amp;"2"&amp;RIGHT("00000"&amp;910,5))</f>
        <v/>
      </c>
      <c r="Q915">
        <f>IF(Sync!$J915="","",IF(ISNUMBER(Sync!$J915),IF(AND(Sync!$J915&gt;=10000101,Sync!$J915&lt;=99991231),INT(Sync!$J915/10000)&amp;"/"&amp;RIGHT("00"&amp;INT(MOD(Sync!$J915,10000)/100),2)&amp;"/"&amp;RIGHT("00"&amp;MOD(Sync!$J915,100),2),"نامعتبر"),IF(LEN(Sync!$J915)=10,Sync!$J915,"نامعتبر")))</f>
        <v/>
      </c>
      <c r="R915">
        <f>IF($P915="","",COUNTIFS($N$6:$N$2005,$N915,$P$6:$P$2005,"&lt;"&amp;$P915)+COUNTIFS($A$6:$A$1005,$N915,$B$6:$B$1005,"&lt;"&amp;$P915)+1)</f>
        <v/>
      </c>
      <c r="S915">
        <f>IF($N915="","",$N915&amp;"|"&amp;RIGHT("000000"&amp;$R915,6))</f>
        <v/>
      </c>
      <c r="T915">
        <f>IF($N915="","",IF(Sync!$N915="",0,Sync!$N915))</f>
        <v/>
      </c>
      <c r="U915">
        <f>IF($N915="","",IF(Sync!$O915="",0,Sync!$O915))</f>
        <v/>
      </c>
      <c r="V915">
        <f>IF($N915="","",Sync!$L915)</f>
        <v/>
      </c>
      <c r="W915">
        <f>IF($N915="","",Sync!$P915)</f>
        <v/>
      </c>
      <c r="AA915">
        <f>IF($A915="","",IF(COUNTIF($A$6:$A915,$A915)=1,1,0))</f>
        <v/>
      </c>
      <c r="AB915">
        <f>SUM($AA$6:$AA915)</f>
        <v/>
      </c>
      <c r="AC915">
        <f>IFERROR(INDEX($A$6:$A$1005,MATCH(ROW()-5,$AB$6:$AB$1005,0)),"")</f>
        <v/>
      </c>
    </row>
    <row r="916">
      <c r="A916">
        <f>IF(OR(Entry!$B919="",Entry!$E919="",$E916="نامعتبر"),"",Entry!$E919)</f>
        <v/>
      </c>
      <c r="B916">
        <f>IF($A916="","",LEFT($E916,4)&amp;MID($E916,6,2)&amp;RIGHT($E916,2)&amp;$F916&amp;"|"&amp;"1"&amp;RIGHT("00000"&amp;911,5))</f>
        <v/>
      </c>
      <c r="C916">
        <f>IF($B916="","",COUNTIFS($A$6:$A$1005,$A916,$B$6:$B$1005,"&lt;"&amp;$B916)+COUNTIFS($N$6:$N$2005,$A916,$P$6:$P$2005,"&lt;"&amp;$B916)+1)</f>
        <v/>
      </c>
      <c r="D916">
        <f>IF($C916="","",$A916&amp;"|"&amp;RIGHT("000000"&amp;$C916,6))</f>
        <v/>
      </c>
      <c r="E916">
        <f>IF(Entry!$B919="","",IF(ISNUMBER(Entry!$B919),IF(AND(Entry!$B919&gt;=10000101,Entry!$B919&lt;=99991231),INT(Entry!$B919/10000)&amp;"/"&amp;RIGHT("00"&amp;INT(MOD(Entry!$B919,10000)/100),2)&amp;"/"&amp;RIGHT("00"&amp;MOD(Entry!$B919,100),2),"نامعتبر"),IF(LEN(Entry!$B919)=10,Entry!$B919,"نامعتبر")))</f>
        <v/>
      </c>
      <c r="F916">
        <f>IF(Entry!$B919="","",IF(Entry!$C919="","0000",IF(AND(ISNUMBER(Entry!$C919),Entry!$C919&gt;=0,Entry!$C919&lt;1),RIGHT("00"&amp;HOUR(Entry!$C919),2)&amp;RIGHT("00"&amp;MINUTE(Entry!$C919),2),IFERROR(RIGHT("00"&amp;VALUE(LEFT(Entry!$C919,FIND(":",Entry!$C919)-1)),2)&amp;RIGHT("00"&amp;VALUE(MID(Entry!$C919,FIND(":",Entry!$C919)+1,2)),2),"0000"))))</f>
        <v/>
      </c>
      <c r="G916">
        <f>IF($A916="","",Entry!$G919)</f>
        <v/>
      </c>
      <c r="H916">
        <f>IF($A916="","",IF(Entry!$H919="",0,Entry!$H919))</f>
        <v/>
      </c>
      <c r="I916">
        <f>IF($A916="","",IF(Entry!$I919="",0,Entry!$I919))</f>
        <v/>
      </c>
      <c r="J916">
        <f>IF($A916="","",ROUND($H916*$I916,0))</f>
        <v/>
      </c>
      <c r="K916">
        <f>IF($A916="","",Entry!$D919)</f>
        <v/>
      </c>
      <c r="L916">
        <f>IF($A916="","",Entry!$L919)</f>
        <v/>
      </c>
      <c r="N916">
        <f>IF(OR(Sync!$M916="",$Q916="",$Q916="نامعتبر"),"",Sync!$M916)</f>
        <v/>
      </c>
      <c r="O916">
        <f>IF($N916="","",$Q916)</f>
        <v/>
      </c>
      <c r="P916">
        <f>IF($N916="","",LEFT($Q916,4)&amp;MID($Q916,6,2)&amp;RIGHT($Q916,2)&amp;IF(Sync!$K916="","0000",IF(AND(ISNUMBER(Sync!$K916),Sync!$K916&gt;=0,Sync!$K916&lt;1),RIGHT("00"&amp;HOUR(Sync!$K916),2)&amp;RIGHT("00"&amp;MINUTE(Sync!$K916),2),IFERROR(RIGHT("00"&amp;VALUE(LEFT(Sync!$K916,FIND(":",Sync!$K916)-1)),2)&amp;RIGHT("00"&amp;VALUE(MID(Sync!$K916,FIND(":",Sync!$K916)+1,2)),2),"0000")))&amp;"|"&amp;"2"&amp;RIGHT("00000"&amp;911,5))</f>
        <v/>
      </c>
      <c r="Q916">
        <f>IF(Sync!$J916="","",IF(ISNUMBER(Sync!$J916),IF(AND(Sync!$J916&gt;=10000101,Sync!$J916&lt;=99991231),INT(Sync!$J916/10000)&amp;"/"&amp;RIGHT("00"&amp;INT(MOD(Sync!$J916,10000)/100),2)&amp;"/"&amp;RIGHT("00"&amp;MOD(Sync!$J916,100),2),"نامعتبر"),IF(LEN(Sync!$J916)=10,Sync!$J916,"نامعتبر")))</f>
        <v/>
      </c>
      <c r="R916">
        <f>IF($P916="","",COUNTIFS($N$6:$N$2005,$N916,$P$6:$P$2005,"&lt;"&amp;$P916)+COUNTIFS($A$6:$A$1005,$N916,$B$6:$B$1005,"&lt;"&amp;$P916)+1)</f>
        <v/>
      </c>
      <c r="S916">
        <f>IF($N916="","",$N916&amp;"|"&amp;RIGHT("000000"&amp;$R916,6))</f>
        <v/>
      </c>
      <c r="T916">
        <f>IF($N916="","",IF(Sync!$N916="",0,Sync!$N916))</f>
        <v/>
      </c>
      <c r="U916">
        <f>IF($N916="","",IF(Sync!$O916="",0,Sync!$O916))</f>
        <v/>
      </c>
      <c r="V916">
        <f>IF($N916="","",Sync!$L916)</f>
        <v/>
      </c>
      <c r="W916">
        <f>IF($N916="","",Sync!$P916)</f>
        <v/>
      </c>
      <c r="AA916">
        <f>IF($A916="","",IF(COUNTIF($A$6:$A916,$A916)=1,1,0))</f>
        <v/>
      </c>
      <c r="AB916">
        <f>SUM($AA$6:$AA916)</f>
        <v/>
      </c>
      <c r="AC916">
        <f>IFERROR(INDEX($A$6:$A$1005,MATCH(ROW()-5,$AB$6:$AB$1005,0)),"")</f>
        <v/>
      </c>
    </row>
    <row r="917">
      <c r="A917">
        <f>IF(OR(Entry!$B920="",Entry!$E920="",$E917="نامعتبر"),"",Entry!$E920)</f>
        <v/>
      </c>
      <c r="B917">
        <f>IF($A917="","",LEFT($E917,4)&amp;MID($E917,6,2)&amp;RIGHT($E917,2)&amp;$F917&amp;"|"&amp;"1"&amp;RIGHT("00000"&amp;912,5))</f>
        <v/>
      </c>
      <c r="C917">
        <f>IF($B917="","",COUNTIFS($A$6:$A$1005,$A917,$B$6:$B$1005,"&lt;"&amp;$B917)+COUNTIFS($N$6:$N$2005,$A917,$P$6:$P$2005,"&lt;"&amp;$B917)+1)</f>
        <v/>
      </c>
      <c r="D917">
        <f>IF($C917="","",$A917&amp;"|"&amp;RIGHT("000000"&amp;$C917,6))</f>
        <v/>
      </c>
      <c r="E917">
        <f>IF(Entry!$B920="","",IF(ISNUMBER(Entry!$B920),IF(AND(Entry!$B920&gt;=10000101,Entry!$B920&lt;=99991231),INT(Entry!$B920/10000)&amp;"/"&amp;RIGHT("00"&amp;INT(MOD(Entry!$B920,10000)/100),2)&amp;"/"&amp;RIGHT("00"&amp;MOD(Entry!$B920,100),2),"نامعتبر"),IF(LEN(Entry!$B920)=10,Entry!$B920,"نامعتبر")))</f>
        <v/>
      </c>
      <c r="F917">
        <f>IF(Entry!$B920="","",IF(Entry!$C920="","0000",IF(AND(ISNUMBER(Entry!$C920),Entry!$C920&gt;=0,Entry!$C920&lt;1),RIGHT("00"&amp;HOUR(Entry!$C920),2)&amp;RIGHT("00"&amp;MINUTE(Entry!$C920),2),IFERROR(RIGHT("00"&amp;VALUE(LEFT(Entry!$C920,FIND(":",Entry!$C920)-1)),2)&amp;RIGHT("00"&amp;VALUE(MID(Entry!$C920,FIND(":",Entry!$C920)+1,2)),2),"0000"))))</f>
        <v/>
      </c>
      <c r="G917">
        <f>IF($A917="","",Entry!$G920)</f>
        <v/>
      </c>
      <c r="H917">
        <f>IF($A917="","",IF(Entry!$H920="",0,Entry!$H920))</f>
        <v/>
      </c>
      <c r="I917">
        <f>IF($A917="","",IF(Entry!$I920="",0,Entry!$I920))</f>
        <v/>
      </c>
      <c r="J917">
        <f>IF($A917="","",ROUND($H917*$I917,0))</f>
        <v/>
      </c>
      <c r="K917">
        <f>IF($A917="","",Entry!$D920)</f>
        <v/>
      </c>
      <c r="L917">
        <f>IF($A917="","",Entry!$L920)</f>
        <v/>
      </c>
      <c r="N917">
        <f>IF(OR(Sync!$M917="",$Q917="",$Q917="نامعتبر"),"",Sync!$M917)</f>
        <v/>
      </c>
      <c r="O917">
        <f>IF($N917="","",$Q917)</f>
        <v/>
      </c>
      <c r="P917">
        <f>IF($N917="","",LEFT($Q917,4)&amp;MID($Q917,6,2)&amp;RIGHT($Q917,2)&amp;IF(Sync!$K917="","0000",IF(AND(ISNUMBER(Sync!$K917),Sync!$K917&gt;=0,Sync!$K917&lt;1),RIGHT("00"&amp;HOUR(Sync!$K917),2)&amp;RIGHT("00"&amp;MINUTE(Sync!$K917),2),IFERROR(RIGHT("00"&amp;VALUE(LEFT(Sync!$K917,FIND(":",Sync!$K917)-1)),2)&amp;RIGHT("00"&amp;VALUE(MID(Sync!$K917,FIND(":",Sync!$K917)+1,2)),2),"0000")))&amp;"|"&amp;"2"&amp;RIGHT("00000"&amp;912,5))</f>
        <v/>
      </c>
      <c r="Q917">
        <f>IF(Sync!$J917="","",IF(ISNUMBER(Sync!$J917),IF(AND(Sync!$J917&gt;=10000101,Sync!$J917&lt;=99991231),INT(Sync!$J917/10000)&amp;"/"&amp;RIGHT("00"&amp;INT(MOD(Sync!$J917,10000)/100),2)&amp;"/"&amp;RIGHT("00"&amp;MOD(Sync!$J917,100),2),"نامعتبر"),IF(LEN(Sync!$J917)=10,Sync!$J917,"نامعتبر")))</f>
        <v/>
      </c>
      <c r="R917">
        <f>IF($P917="","",COUNTIFS($N$6:$N$2005,$N917,$P$6:$P$2005,"&lt;"&amp;$P917)+COUNTIFS($A$6:$A$1005,$N917,$B$6:$B$1005,"&lt;"&amp;$P917)+1)</f>
        <v/>
      </c>
      <c r="S917">
        <f>IF($N917="","",$N917&amp;"|"&amp;RIGHT("000000"&amp;$R917,6))</f>
        <v/>
      </c>
      <c r="T917">
        <f>IF($N917="","",IF(Sync!$N917="",0,Sync!$N917))</f>
        <v/>
      </c>
      <c r="U917">
        <f>IF($N917="","",IF(Sync!$O917="",0,Sync!$O917))</f>
        <v/>
      </c>
      <c r="V917">
        <f>IF($N917="","",Sync!$L917)</f>
        <v/>
      </c>
      <c r="W917">
        <f>IF($N917="","",Sync!$P917)</f>
        <v/>
      </c>
      <c r="AA917">
        <f>IF($A917="","",IF(COUNTIF($A$6:$A917,$A917)=1,1,0))</f>
        <v/>
      </c>
      <c r="AB917">
        <f>SUM($AA$6:$AA917)</f>
        <v/>
      </c>
      <c r="AC917">
        <f>IFERROR(INDEX($A$6:$A$1005,MATCH(ROW()-5,$AB$6:$AB$1005,0)),"")</f>
        <v/>
      </c>
    </row>
    <row r="918">
      <c r="A918">
        <f>IF(OR(Entry!$B921="",Entry!$E921="",$E918="نامعتبر"),"",Entry!$E921)</f>
        <v/>
      </c>
      <c r="B918">
        <f>IF($A918="","",LEFT($E918,4)&amp;MID($E918,6,2)&amp;RIGHT($E918,2)&amp;$F918&amp;"|"&amp;"1"&amp;RIGHT("00000"&amp;913,5))</f>
        <v/>
      </c>
      <c r="C918">
        <f>IF($B918="","",COUNTIFS($A$6:$A$1005,$A918,$B$6:$B$1005,"&lt;"&amp;$B918)+COUNTIFS($N$6:$N$2005,$A918,$P$6:$P$2005,"&lt;"&amp;$B918)+1)</f>
        <v/>
      </c>
      <c r="D918">
        <f>IF($C918="","",$A918&amp;"|"&amp;RIGHT("000000"&amp;$C918,6))</f>
        <v/>
      </c>
      <c r="E918">
        <f>IF(Entry!$B921="","",IF(ISNUMBER(Entry!$B921),IF(AND(Entry!$B921&gt;=10000101,Entry!$B921&lt;=99991231),INT(Entry!$B921/10000)&amp;"/"&amp;RIGHT("00"&amp;INT(MOD(Entry!$B921,10000)/100),2)&amp;"/"&amp;RIGHT("00"&amp;MOD(Entry!$B921,100),2),"نامعتبر"),IF(LEN(Entry!$B921)=10,Entry!$B921,"نامعتبر")))</f>
        <v/>
      </c>
      <c r="F918">
        <f>IF(Entry!$B921="","",IF(Entry!$C921="","0000",IF(AND(ISNUMBER(Entry!$C921),Entry!$C921&gt;=0,Entry!$C921&lt;1),RIGHT("00"&amp;HOUR(Entry!$C921),2)&amp;RIGHT("00"&amp;MINUTE(Entry!$C921),2),IFERROR(RIGHT("00"&amp;VALUE(LEFT(Entry!$C921,FIND(":",Entry!$C921)-1)),2)&amp;RIGHT("00"&amp;VALUE(MID(Entry!$C921,FIND(":",Entry!$C921)+1,2)),2),"0000"))))</f>
        <v/>
      </c>
      <c r="G918">
        <f>IF($A918="","",Entry!$G921)</f>
        <v/>
      </c>
      <c r="H918">
        <f>IF($A918="","",IF(Entry!$H921="",0,Entry!$H921))</f>
        <v/>
      </c>
      <c r="I918">
        <f>IF($A918="","",IF(Entry!$I921="",0,Entry!$I921))</f>
        <v/>
      </c>
      <c r="J918">
        <f>IF($A918="","",ROUND($H918*$I918,0))</f>
        <v/>
      </c>
      <c r="K918">
        <f>IF($A918="","",Entry!$D921)</f>
        <v/>
      </c>
      <c r="L918">
        <f>IF($A918="","",Entry!$L921)</f>
        <v/>
      </c>
      <c r="N918">
        <f>IF(OR(Sync!$M918="",$Q918="",$Q918="نامعتبر"),"",Sync!$M918)</f>
        <v/>
      </c>
      <c r="O918">
        <f>IF($N918="","",$Q918)</f>
        <v/>
      </c>
      <c r="P918">
        <f>IF($N918="","",LEFT($Q918,4)&amp;MID($Q918,6,2)&amp;RIGHT($Q918,2)&amp;IF(Sync!$K918="","0000",IF(AND(ISNUMBER(Sync!$K918),Sync!$K918&gt;=0,Sync!$K918&lt;1),RIGHT("00"&amp;HOUR(Sync!$K918),2)&amp;RIGHT("00"&amp;MINUTE(Sync!$K918),2),IFERROR(RIGHT("00"&amp;VALUE(LEFT(Sync!$K918,FIND(":",Sync!$K918)-1)),2)&amp;RIGHT("00"&amp;VALUE(MID(Sync!$K918,FIND(":",Sync!$K918)+1,2)),2),"0000")))&amp;"|"&amp;"2"&amp;RIGHT("00000"&amp;913,5))</f>
        <v/>
      </c>
      <c r="Q918">
        <f>IF(Sync!$J918="","",IF(ISNUMBER(Sync!$J918),IF(AND(Sync!$J918&gt;=10000101,Sync!$J918&lt;=99991231),INT(Sync!$J918/10000)&amp;"/"&amp;RIGHT("00"&amp;INT(MOD(Sync!$J918,10000)/100),2)&amp;"/"&amp;RIGHT("00"&amp;MOD(Sync!$J918,100),2),"نامعتبر"),IF(LEN(Sync!$J918)=10,Sync!$J918,"نامعتبر")))</f>
        <v/>
      </c>
      <c r="R918">
        <f>IF($P918="","",COUNTIFS($N$6:$N$2005,$N918,$P$6:$P$2005,"&lt;"&amp;$P918)+COUNTIFS($A$6:$A$1005,$N918,$B$6:$B$1005,"&lt;"&amp;$P918)+1)</f>
        <v/>
      </c>
      <c r="S918">
        <f>IF($N918="","",$N918&amp;"|"&amp;RIGHT("000000"&amp;$R918,6))</f>
        <v/>
      </c>
      <c r="T918">
        <f>IF($N918="","",IF(Sync!$N918="",0,Sync!$N918))</f>
        <v/>
      </c>
      <c r="U918">
        <f>IF($N918="","",IF(Sync!$O918="",0,Sync!$O918))</f>
        <v/>
      </c>
      <c r="V918">
        <f>IF($N918="","",Sync!$L918)</f>
        <v/>
      </c>
      <c r="W918">
        <f>IF($N918="","",Sync!$P918)</f>
        <v/>
      </c>
      <c r="AA918">
        <f>IF($A918="","",IF(COUNTIF($A$6:$A918,$A918)=1,1,0))</f>
        <v/>
      </c>
      <c r="AB918">
        <f>SUM($AA$6:$AA918)</f>
        <v/>
      </c>
      <c r="AC918">
        <f>IFERROR(INDEX($A$6:$A$1005,MATCH(ROW()-5,$AB$6:$AB$1005,0)),"")</f>
        <v/>
      </c>
    </row>
    <row r="919">
      <c r="A919">
        <f>IF(OR(Entry!$B922="",Entry!$E922="",$E919="نامعتبر"),"",Entry!$E922)</f>
        <v/>
      </c>
      <c r="B919">
        <f>IF($A919="","",LEFT($E919,4)&amp;MID($E919,6,2)&amp;RIGHT($E919,2)&amp;$F919&amp;"|"&amp;"1"&amp;RIGHT("00000"&amp;914,5))</f>
        <v/>
      </c>
      <c r="C919">
        <f>IF($B919="","",COUNTIFS($A$6:$A$1005,$A919,$B$6:$B$1005,"&lt;"&amp;$B919)+COUNTIFS($N$6:$N$2005,$A919,$P$6:$P$2005,"&lt;"&amp;$B919)+1)</f>
        <v/>
      </c>
      <c r="D919">
        <f>IF($C919="","",$A919&amp;"|"&amp;RIGHT("000000"&amp;$C919,6))</f>
        <v/>
      </c>
      <c r="E919">
        <f>IF(Entry!$B922="","",IF(ISNUMBER(Entry!$B922),IF(AND(Entry!$B922&gt;=10000101,Entry!$B922&lt;=99991231),INT(Entry!$B922/10000)&amp;"/"&amp;RIGHT("00"&amp;INT(MOD(Entry!$B922,10000)/100),2)&amp;"/"&amp;RIGHT("00"&amp;MOD(Entry!$B922,100),2),"نامعتبر"),IF(LEN(Entry!$B922)=10,Entry!$B922,"نامعتبر")))</f>
        <v/>
      </c>
      <c r="F919">
        <f>IF(Entry!$B922="","",IF(Entry!$C922="","0000",IF(AND(ISNUMBER(Entry!$C922),Entry!$C922&gt;=0,Entry!$C922&lt;1),RIGHT("00"&amp;HOUR(Entry!$C922),2)&amp;RIGHT("00"&amp;MINUTE(Entry!$C922),2),IFERROR(RIGHT("00"&amp;VALUE(LEFT(Entry!$C922,FIND(":",Entry!$C922)-1)),2)&amp;RIGHT("00"&amp;VALUE(MID(Entry!$C922,FIND(":",Entry!$C922)+1,2)),2),"0000"))))</f>
        <v/>
      </c>
      <c r="G919">
        <f>IF($A919="","",Entry!$G922)</f>
        <v/>
      </c>
      <c r="H919">
        <f>IF($A919="","",IF(Entry!$H922="",0,Entry!$H922))</f>
        <v/>
      </c>
      <c r="I919">
        <f>IF($A919="","",IF(Entry!$I922="",0,Entry!$I922))</f>
        <v/>
      </c>
      <c r="J919">
        <f>IF($A919="","",ROUND($H919*$I919,0))</f>
        <v/>
      </c>
      <c r="K919">
        <f>IF($A919="","",Entry!$D922)</f>
        <v/>
      </c>
      <c r="L919">
        <f>IF($A919="","",Entry!$L922)</f>
        <v/>
      </c>
      <c r="N919">
        <f>IF(OR(Sync!$M919="",$Q919="",$Q919="نامعتبر"),"",Sync!$M919)</f>
        <v/>
      </c>
      <c r="O919">
        <f>IF($N919="","",$Q919)</f>
        <v/>
      </c>
      <c r="P919">
        <f>IF($N919="","",LEFT($Q919,4)&amp;MID($Q919,6,2)&amp;RIGHT($Q919,2)&amp;IF(Sync!$K919="","0000",IF(AND(ISNUMBER(Sync!$K919),Sync!$K919&gt;=0,Sync!$K919&lt;1),RIGHT("00"&amp;HOUR(Sync!$K919),2)&amp;RIGHT("00"&amp;MINUTE(Sync!$K919),2),IFERROR(RIGHT("00"&amp;VALUE(LEFT(Sync!$K919,FIND(":",Sync!$K919)-1)),2)&amp;RIGHT("00"&amp;VALUE(MID(Sync!$K919,FIND(":",Sync!$K919)+1,2)),2),"0000")))&amp;"|"&amp;"2"&amp;RIGHT("00000"&amp;914,5))</f>
        <v/>
      </c>
      <c r="Q919">
        <f>IF(Sync!$J919="","",IF(ISNUMBER(Sync!$J919),IF(AND(Sync!$J919&gt;=10000101,Sync!$J919&lt;=99991231),INT(Sync!$J919/10000)&amp;"/"&amp;RIGHT("00"&amp;INT(MOD(Sync!$J919,10000)/100),2)&amp;"/"&amp;RIGHT("00"&amp;MOD(Sync!$J919,100),2),"نامعتبر"),IF(LEN(Sync!$J919)=10,Sync!$J919,"نامعتبر")))</f>
        <v/>
      </c>
      <c r="R919">
        <f>IF($P919="","",COUNTIFS($N$6:$N$2005,$N919,$P$6:$P$2005,"&lt;"&amp;$P919)+COUNTIFS($A$6:$A$1005,$N919,$B$6:$B$1005,"&lt;"&amp;$P919)+1)</f>
        <v/>
      </c>
      <c r="S919">
        <f>IF($N919="","",$N919&amp;"|"&amp;RIGHT("000000"&amp;$R919,6))</f>
        <v/>
      </c>
      <c r="T919">
        <f>IF($N919="","",IF(Sync!$N919="",0,Sync!$N919))</f>
        <v/>
      </c>
      <c r="U919">
        <f>IF($N919="","",IF(Sync!$O919="",0,Sync!$O919))</f>
        <v/>
      </c>
      <c r="V919">
        <f>IF($N919="","",Sync!$L919)</f>
        <v/>
      </c>
      <c r="W919">
        <f>IF($N919="","",Sync!$P919)</f>
        <v/>
      </c>
      <c r="AA919">
        <f>IF($A919="","",IF(COUNTIF($A$6:$A919,$A919)=1,1,0))</f>
        <v/>
      </c>
      <c r="AB919">
        <f>SUM($AA$6:$AA919)</f>
        <v/>
      </c>
      <c r="AC919">
        <f>IFERROR(INDEX($A$6:$A$1005,MATCH(ROW()-5,$AB$6:$AB$1005,0)),"")</f>
        <v/>
      </c>
    </row>
    <row r="920">
      <c r="A920">
        <f>IF(OR(Entry!$B923="",Entry!$E923="",$E920="نامعتبر"),"",Entry!$E923)</f>
        <v/>
      </c>
      <c r="B920">
        <f>IF($A920="","",LEFT($E920,4)&amp;MID($E920,6,2)&amp;RIGHT($E920,2)&amp;$F920&amp;"|"&amp;"1"&amp;RIGHT("00000"&amp;915,5))</f>
        <v/>
      </c>
      <c r="C920">
        <f>IF($B920="","",COUNTIFS($A$6:$A$1005,$A920,$B$6:$B$1005,"&lt;"&amp;$B920)+COUNTIFS($N$6:$N$2005,$A920,$P$6:$P$2005,"&lt;"&amp;$B920)+1)</f>
        <v/>
      </c>
      <c r="D920">
        <f>IF($C920="","",$A920&amp;"|"&amp;RIGHT("000000"&amp;$C920,6))</f>
        <v/>
      </c>
      <c r="E920">
        <f>IF(Entry!$B923="","",IF(ISNUMBER(Entry!$B923),IF(AND(Entry!$B923&gt;=10000101,Entry!$B923&lt;=99991231),INT(Entry!$B923/10000)&amp;"/"&amp;RIGHT("00"&amp;INT(MOD(Entry!$B923,10000)/100),2)&amp;"/"&amp;RIGHT("00"&amp;MOD(Entry!$B923,100),2),"نامعتبر"),IF(LEN(Entry!$B923)=10,Entry!$B923,"نامعتبر")))</f>
        <v/>
      </c>
      <c r="F920">
        <f>IF(Entry!$B923="","",IF(Entry!$C923="","0000",IF(AND(ISNUMBER(Entry!$C923),Entry!$C923&gt;=0,Entry!$C923&lt;1),RIGHT("00"&amp;HOUR(Entry!$C923),2)&amp;RIGHT("00"&amp;MINUTE(Entry!$C923),2),IFERROR(RIGHT("00"&amp;VALUE(LEFT(Entry!$C923,FIND(":",Entry!$C923)-1)),2)&amp;RIGHT("00"&amp;VALUE(MID(Entry!$C923,FIND(":",Entry!$C923)+1,2)),2),"0000"))))</f>
        <v/>
      </c>
      <c r="G920">
        <f>IF($A920="","",Entry!$G923)</f>
        <v/>
      </c>
      <c r="H920">
        <f>IF($A920="","",IF(Entry!$H923="",0,Entry!$H923))</f>
        <v/>
      </c>
      <c r="I920">
        <f>IF($A920="","",IF(Entry!$I923="",0,Entry!$I923))</f>
        <v/>
      </c>
      <c r="J920">
        <f>IF($A920="","",ROUND($H920*$I920,0))</f>
        <v/>
      </c>
      <c r="K920">
        <f>IF($A920="","",Entry!$D923)</f>
        <v/>
      </c>
      <c r="L920">
        <f>IF($A920="","",Entry!$L923)</f>
        <v/>
      </c>
      <c r="N920">
        <f>IF(OR(Sync!$M920="",$Q920="",$Q920="نامعتبر"),"",Sync!$M920)</f>
        <v/>
      </c>
      <c r="O920">
        <f>IF($N920="","",$Q920)</f>
        <v/>
      </c>
      <c r="P920">
        <f>IF($N920="","",LEFT($Q920,4)&amp;MID($Q920,6,2)&amp;RIGHT($Q920,2)&amp;IF(Sync!$K920="","0000",IF(AND(ISNUMBER(Sync!$K920),Sync!$K920&gt;=0,Sync!$K920&lt;1),RIGHT("00"&amp;HOUR(Sync!$K920),2)&amp;RIGHT("00"&amp;MINUTE(Sync!$K920),2),IFERROR(RIGHT("00"&amp;VALUE(LEFT(Sync!$K920,FIND(":",Sync!$K920)-1)),2)&amp;RIGHT("00"&amp;VALUE(MID(Sync!$K920,FIND(":",Sync!$K920)+1,2)),2),"0000")))&amp;"|"&amp;"2"&amp;RIGHT("00000"&amp;915,5))</f>
        <v/>
      </c>
      <c r="Q920">
        <f>IF(Sync!$J920="","",IF(ISNUMBER(Sync!$J920),IF(AND(Sync!$J920&gt;=10000101,Sync!$J920&lt;=99991231),INT(Sync!$J920/10000)&amp;"/"&amp;RIGHT("00"&amp;INT(MOD(Sync!$J920,10000)/100),2)&amp;"/"&amp;RIGHT("00"&amp;MOD(Sync!$J920,100),2),"نامعتبر"),IF(LEN(Sync!$J920)=10,Sync!$J920,"نامعتبر")))</f>
        <v/>
      </c>
      <c r="R920">
        <f>IF($P920="","",COUNTIFS($N$6:$N$2005,$N920,$P$6:$P$2005,"&lt;"&amp;$P920)+COUNTIFS($A$6:$A$1005,$N920,$B$6:$B$1005,"&lt;"&amp;$P920)+1)</f>
        <v/>
      </c>
      <c r="S920">
        <f>IF($N920="","",$N920&amp;"|"&amp;RIGHT("000000"&amp;$R920,6))</f>
        <v/>
      </c>
      <c r="T920">
        <f>IF($N920="","",IF(Sync!$N920="",0,Sync!$N920))</f>
        <v/>
      </c>
      <c r="U920">
        <f>IF($N920="","",IF(Sync!$O920="",0,Sync!$O920))</f>
        <v/>
      </c>
      <c r="V920">
        <f>IF($N920="","",Sync!$L920)</f>
        <v/>
      </c>
      <c r="W920">
        <f>IF($N920="","",Sync!$P920)</f>
        <v/>
      </c>
      <c r="AA920">
        <f>IF($A920="","",IF(COUNTIF($A$6:$A920,$A920)=1,1,0))</f>
        <v/>
      </c>
      <c r="AB920">
        <f>SUM($AA$6:$AA920)</f>
        <v/>
      </c>
      <c r="AC920">
        <f>IFERROR(INDEX($A$6:$A$1005,MATCH(ROW()-5,$AB$6:$AB$1005,0)),"")</f>
        <v/>
      </c>
    </row>
    <row r="921">
      <c r="A921">
        <f>IF(OR(Entry!$B924="",Entry!$E924="",$E921="نامعتبر"),"",Entry!$E924)</f>
        <v/>
      </c>
      <c r="B921">
        <f>IF($A921="","",LEFT($E921,4)&amp;MID($E921,6,2)&amp;RIGHT($E921,2)&amp;$F921&amp;"|"&amp;"1"&amp;RIGHT("00000"&amp;916,5))</f>
        <v/>
      </c>
      <c r="C921">
        <f>IF($B921="","",COUNTIFS($A$6:$A$1005,$A921,$B$6:$B$1005,"&lt;"&amp;$B921)+COUNTIFS($N$6:$N$2005,$A921,$P$6:$P$2005,"&lt;"&amp;$B921)+1)</f>
        <v/>
      </c>
      <c r="D921">
        <f>IF($C921="","",$A921&amp;"|"&amp;RIGHT("000000"&amp;$C921,6))</f>
        <v/>
      </c>
      <c r="E921">
        <f>IF(Entry!$B924="","",IF(ISNUMBER(Entry!$B924),IF(AND(Entry!$B924&gt;=10000101,Entry!$B924&lt;=99991231),INT(Entry!$B924/10000)&amp;"/"&amp;RIGHT("00"&amp;INT(MOD(Entry!$B924,10000)/100),2)&amp;"/"&amp;RIGHT("00"&amp;MOD(Entry!$B924,100),2),"نامعتبر"),IF(LEN(Entry!$B924)=10,Entry!$B924,"نامعتبر")))</f>
        <v/>
      </c>
      <c r="F921">
        <f>IF(Entry!$B924="","",IF(Entry!$C924="","0000",IF(AND(ISNUMBER(Entry!$C924),Entry!$C924&gt;=0,Entry!$C924&lt;1),RIGHT("00"&amp;HOUR(Entry!$C924),2)&amp;RIGHT("00"&amp;MINUTE(Entry!$C924),2),IFERROR(RIGHT("00"&amp;VALUE(LEFT(Entry!$C924,FIND(":",Entry!$C924)-1)),2)&amp;RIGHT("00"&amp;VALUE(MID(Entry!$C924,FIND(":",Entry!$C924)+1,2)),2),"0000"))))</f>
        <v/>
      </c>
      <c r="G921">
        <f>IF($A921="","",Entry!$G924)</f>
        <v/>
      </c>
      <c r="H921">
        <f>IF($A921="","",IF(Entry!$H924="",0,Entry!$H924))</f>
        <v/>
      </c>
      <c r="I921">
        <f>IF($A921="","",IF(Entry!$I924="",0,Entry!$I924))</f>
        <v/>
      </c>
      <c r="J921">
        <f>IF($A921="","",ROUND($H921*$I921,0))</f>
        <v/>
      </c>
      <c r="K921">
        <f>IF($A921="","",Entry!$D924)</f>
        <v/>
      </c>
      <c r="L921">
        <f>IF($A921="","",Entry!$L924)</f>
        <v/>
      </c>
      <c r="N921">
        <f>IF(OR(Sync!$M921="",$Q921="",$Q921="نامعتبر"),"",Sync!$M921)</f>
        <v/>
      </c>
      <c r="O921">
        <f>IF($N921="","",$Q921)</f>
        <v/>
      </c>
      <c r="P921">
        <f>IF($N921="","",LEFT($Q921,4)&amp;MID($Q921,6,2)&amp;RIGHT($Q921,2)&amp;IF(Sync!$K921="","0000",IF(AND(ISNUMBER(Sync!$K921),Sync!$K921&gt;=0,Sync!$K921&lt;1),RIGHT("00"&amp;HOUR(Sync!$K921),2)&amp;RIGHT("00"&amp;MINUTE(Sync!$K921),2),IFERROR(RIGHT("00"&amp;VALUE(LEFT(Sync!$K921,FIND(":",Sync!$K921)-1)),2)&amp;RIGHT("00"&amp;VALUE(MID(Sync!$K921,FIND(":",Sync!$K921)+1,2)),2),"0000")))&amp;"|"&amp;"2"&amp;RIGHT("00000"&amp;916,5))</f>
        <v/>
      </c>
      <c r="Q921">
        <f>IF(Sync!$J921="","",IF(ISNUMBER(Sync!$J921),IF(AND(Sync!$J921&gt;=10000101,Sync!$J921&lt;=99991231),INT(Sync!$J921/10000)&amp;"/"&amp;RIGHT("00"&amp;INT(MOD(Sync!$J921,10000)/100),2)&amp;"/"&amp;RIGHT("00"&amp;MOD(Sync!$J921,100),2),"نامعتبر"),IF(LEN(Sync!$J921)=10,Sync!$J921,"نامعتبر")))</f>
        <v/>
      </c>
      <c r="R921">
        <f>IF($P921="","",COUNTIFS($N$6:$N$2005,$N921,$P$6:$P$2005,"&lt;"&amp;$P921)+COUNTIFS($A$6:$A$1005,$N921,$B$6:$B$1005,"&lt;"&amp;$P921)+1)</f>
        <v/>
      </c>
      <c r="S921">
        <f>IF($N921="","",$N921&amp;"|"&amp;RIGHT("000000"&amp;$R921,6))</f>
        <v/>
      </c>
      <c r="T921">
        <f>IF($N921="","",IF(Sync!$N921="",0,Sync!$N921))</f>
        <v/>
      </c>
      <c r="U921">
        <f>IF($N921="","",IF(Sync!$O921="",0,Sync!$O921))</f>
        <v/>
      </c>
      <c r="V921">
        <f>IF($N921="","",Sync!$L921)</f>
        <v/>
      </c>
      <c r="W921">
        <f>IF($N921="","",Sync!$P921)</f>
        <v/>
      </c>
      <c r="AA921">
        <f>IF($A921="","",IF(COUNTIF($A$6:$A921,$A921)=1,1,0))</f>
        <v/>
      </c>
      <c r="AB921">
        <f>SUM($AA$6:$AA921)</f>
        <v/>
      </c>
      <c r="AC921">
        <f>IFERROR(INDEX($A$6:$A$1005,MATCH(ROW()-5,$AB$6:$AB$1005,0)),"")</f>
        <v/>
      </c>
    </row>
    <row r="922">
      <c r="A922">
        <f>IF(OR(Entry!$B925="",Entry!$E925="",$E922="نامعتبر"),"",Entry!$E925)</f>
        <v/>
      </c>
      <c r="B922">
        <f>IF($A922="","",LEFT($E922,4)&amp;MID($E922,6,2)&amp;RIGHT($E922,2)&amp;$F922&amp;"|"&amp;"1"&amp;RIGHT("00000"&amp;917,5))</f>
        <v/>
      </c>
      <c r="C922">
        <f>IF($B922="","",COUNTIFS($A$6:$A$1005,$A922,$B$6:$B$1005,"&lt;"&amp;$B922)+COUNTIFS($N$6:$N$2005,$A922,$P$6:$P$2005,"&lt;"&amp;$B922)+1)</f>
        <v/>
      </c>
      <c r="D922">
        <f>IF($C922="","",$A922&amp;"|"&amp;RIGHT("000000"&amp;$C922,6))</f>
        <v/>
      </c>
      <c r="E922">
        <f>IF(Entry!$B925="","",IF(ISNUMBER(Entry!$B925),IF(AND(Entry!$B925&gt;=10000101,Entry!$B925&lt;=99991231),INT(Entry!$B925/10000)&amp;"/"&amp;RIGHT("00"&amp;INT(MOD(Entry!$B925,10000)/100),2)&amp;"/"&amp;RIGHT("00"&amp;MOD(Entry!$B925,100),2),"نامعتبر"),IF(LEN(Entry!$B925)=10,Entry!$B925,"نامعتبر")))</f>
        <v/>
      </c>
      <c r="F922">
        <f>IF(Entry!$B925="","",IF(Entry!$C925="","0000",IF(AND(ISNUMBER(Entry!$C925),Entry!$C925&gt;=0,Entry!$C925&lt;1),RIGHT("00"&amp;HOUR(Entry!$C925),2)&amp;RIGHT("00"&amp;MINUTE(Entry!$C925),2),IFERROR(RIGHT("00"&amp;VALUE(LEFT(Entry!$C925,FIND(":",Entry!$C925)-1)),2)&amp;RIGHT("00"&amp;VALUE(MID(Entry!$C925,FIND(":",Entry!$C925)+1,2)),2),"0000"))))</f>
        <v/>
      </c>
      <c r="G922">
        <f>IF($A922="","",Entry!$G925)</f>
        <v/>
      </c>
      <c r="H922">
        <f>IF($A922="","",IF(Entry!$H925="",0,Entry!$H925))</f>
        <v/>
      </c>
      <c r="I922">
        <f>IF($A922="","",IF(Entry!$I925="",0,Entry!$I925))</f>
        <v/>
      </c>
      <c r="J922">
        <f>IF($A922="","",ROUND($H922*$I922,0))</f>
        <v/>
      </c>
      <c r="K922">
        <f>IF($A922="","",Entry!$D925)</f>
        <v/>
      </c>
      <c r="L922">
        <f>IF($A922="","",Entry!$L925)</f>
        <v/>
      </c>
      <c r="N922">
        <f>IF(OR(Sync!$M922="",$Q922="",$Q922="نامعتبر"),"",Sync!$M922)</f>
        <v/>
      </c>
      <c r="O922">
        <f>IF($N922="","",$Q922)</f>
        <v/>
      </c>
      <c r="P922">
        <f>IF($N922="","",LEFT($Q922,4)&amp;MID($Q922,6,2)&amp;RIGHT($Q922,2)&amp;IF(Sync!$K922="","0000",IF(AND(ISNUMBER(Sync!$K922),Sync!$K922&gt;=0,Sync!$K922&lt;1),RIGHT("00"&amp;HOUR(Sync!$K922),2)&amp;RIGHT("00"&amp;MINUTE(Sync!$K922),2),IFERROR(RIGHT("00"&amp;VALUE(LEFT(Sync!$K922,FIND(":",Sync!$K922)-1)),2)&amp;RIGHT("00"&amp;VALUE(MID(Sync!$K922,FIND(":",Sync!$K922)+1,2)),2),"0000")))&amp;"|"&amp;"2"&amp;RIGHT("00000"&amp;917,5))</f>
        <v/>
      </c>
      <c r="Q922">
        <f>IF(Sync!$J922="","",IF(ISNUMBER(Sync!$J922),IF(AND(Sync!$J922&gt;=10000101,Sync!$J922&lt;=99991231),INT(Sync!$J922/10000)&amp;"/"&amp;RIGHT("00"&amp;INT(MOD(Sync!$J922,10000)/100),2)&amp;"/"&amp;RIGHT("00"&amp;MOD(Sync!$J922,100),2),"نامعتبر"),IF(LEN(Sync!$J922)=10,Sync!$J922,"نامعتبر")))</f>
        <v/>
      </c>
      <c r="R922">
        <f>IF($P922="","",COUNTIFS($N$6:$N$2005,$N922,$P$6:$P$2005,"&lt;"&amp;$P922)+COUNTIFS($A$6:$A$1005,$N922,$B$6:$B$1005,"&lt;"&amp;$P922)+1)</f>
        <v/>
      </c>
      <c r="S922">
        <f>IF($N922="","",$N922&amp;"|"&amp;RIGHT("000000"&amp;$R922,6))</f>
        <v/>
      </c>
      <c r="T922">
        <f>IF($N922="","",IF(Sync!$N922="",0,Sync!$N922))</f>
        <v/>
      </c>
      <c r="U922">
        <f>IF($N922="","",IF(Sync!$O922="",0,Sync!$O922))</f>
        <v/>
      </c>
      <c r="V922">
        <f>IF($N922="","",Sync!$L922)</f>
        <v/>
      </c>
      <c r="W922">
        <f>IF($N922="","",Sync!$P922)</f>
        <v/>
      </c>
      <c r="AA922">
        <f>IF($A922="","",IF(COUNTIF($A$6:$A922,$A922)=1,1,0))</f>
        <v/>
      </c>
      <c r="AB922">
        <f>SUM($AA$6:$AA922)</f>
        <v/>
      </c>
      <c r="AC922">
        <f>IFERROR(INDEX($A$6:$A$1005,MATCH(ROW()-5,$AB$6:$AB$1005,0)),"")</f>
        <v/>
      </c>
    </row>
    <row r="923">
      <c r="A923">
        <f>IF(OR(Entry!$B926="",Entry!$E926="",$E923="نامعتبر"),"",Entry!$E926)</f>
        <v/>
      </c>
      <c r="B923">
        <f>IF($A923="","",LEFT($E923,4)&amp;MID($E923,6,2)&amp;RIGHT($E923,2)&amp;$F923&amp;"|"&amp;"1"&amp;RIGHT("00000"&amp;918,5))</f>
        <v/>
      </c>
      <c r="C923">
        <f>IF($B923="","",COUNTIFS($A$6:$A$1005,$A923,$B$6:$B$1005,"&lt;"&amp;$B923)+COUNTIFS($N$6:$N$2005,$A923,$P$6:$P$2005,"&lt;"&amp;$B923)+1)</f>
        <v/>
      </c>
      <c r="D923">
        <f>IF($C923="","",$A923&amp;"|"&amp;RIGHT("000000"&amp;$C923,6))</f>
        <v/>
      </c>
      <c r="E923">
        <f>IF(Entry!$B926="","",IF(ISNUMBER(Entry!$B926),IF(AND(Entry!$B926&gt;=10000101,Entry!$B926&lt;=99991231),INT(Entry!$B926/10000)&amp;"/"&amp;RIGHT("00"&amp;INT(MOD(Entry!$B926,10000)/100),2)&amp;"/"&amp;RIGHT("00"&amp;MOD(Entry!$B926,100),2),"نامعتبر"),IF(LEN(Entry!$B926)=10,Entry!$B926,"نامعتبر")))</f>
        <v/>
      </c>
      <c r="F923">
        <f>IF(Entry!$B926="","",IF(Entry!$C926="","0000",IF(AND(ISNUMBER(Entry!$C926),Entry!$C926&gt;=0,Entry!$C926&lt;1),RIGHT("00"&amp;HOUR(Entry!$C926),2)&amp;RIGHT("00"&amp;MINUTE(Entry!$C926),2),IFERROR(RIGHT("00"&amp;VALUE(LEFT(Entry!$C926,FIND(":",Entry!$C926)-1)),2)&amp;RIGHT("00"&amp;VALUE(MID(Entry!$C926,FIND(":",Entry!$C926)+1,2)),2),"0000"))))</f>
        <v/>
      </c>
      <c r="G923">
        <f>IF($A923="","",Entry!$G926)</f>
        <v/>
      </c>
      <c r="H923">
        <f>IF($A923="","",IF(Entry!$H926="",0,Entry!$H926))</f>
        <v/>
      </c>
      <c r="I923">
        <f>IF($A923="","",IF(Entry!$I926="",0,Entry!$I926))</f>
        <v/>
      </c>
      <c r="J923">
        <f>IF($A923="","",ROUND($H923*$I923,0))</f>
        <v/>
      </c>
      <c r="K923">
        <f>IF($A923="","",Entry!$D926)</f>
        <v/>
      </c>
      <c r="L923">
        <f>IF($A923="","",Entry!$L926)</f>
        <v/>
      </c>
      <c r="N923">
        <f>IF(OR(Sync!$M923="",$Q923="",$Q923="نامعتبر"),"",Sync!$M923)</f>
        <v/>
      </c>
      <c r="O923">
        <f>IF($N923="","",$Q923)</f>
        <v/>
      </c>
      <c r="P923">
        <f>IF($N923="","",LEFT($Q923,4)&amp;MID($Q923,6,2)&amp;RIGHT($Q923,2)&amp;IF(Sync!$K923="","0000",IF(AND(ISNUMBER(Sync!$K923),Sync!$K923&gt;=0,Sync!$K923&lt;1),RIGHT("00"&amp;HOUR(Sync!$K923),2)&amp;RIGHT("00"&amp;MINUTE(Sync!$K923),2),IFERROR(RIGHT("00"&amp;VALUE(LEFT(Sync!$K923,FIND(":",Sync!$K923)-1)),2)&amp;RIGHT("00"&amp;VALUE(MID(Sync!$K923,FIND(":",Sync!$K923)+1,2)),2),"0000")))&amp;"|"&amp;"2"&amp;RIGHT("00000"&amp;918,5))</f>
        <v/>
      </c>
      <c r="Q923">
        <f>IF(Sync!$J923="","",IF(ISNUMBER(Sync!$J923),IF(AND(Sync!$J923&gt;=10000101,Sync!$J923&lt;=99991231),INT(Sync!$J923/10000)&amp;"/"&amp;RIGHT("00"&amp;INT(MOD(Sync!$J923,10000)/100),2)&amp;"/"&amp;RIGHT("00"&amp;MOD(Sync!$J923,100),2),"نامعتبر"),IF(LEN(Sync!$J923)=10,Sync!$J923,"نامعتبر")))</f>
        <v/>
      </c>
      <c r="R923">
        <f>IF($P923="","",COUNTIFS($N$6:$N$2005,$N923,$P$6:$P$2005,"&lt;"&amp;$P923)+COUNTIFS($A$6:$A$1005,$N923,$B$6:$B$1005,"&lt;"&amp;$P923)+1)</f>
        <v/>
      </c>
      <c r="S923">
        <f>IF($N923="","",$N923&amp;"|"&amp;RIGHT("000000"&amp;$R923,6))</f>
        <v/>
      </c>
      <c r="T923">
        <f>IF($N923="","",IF(Sync!$N923="",0,Sync!$N923))</f>
        <v/>
      </c>
      <c r="U923">
        <f>IF($N923="","",IF(Sync!$O923="",0,Sync!$O923))</f>
        <v/>
      </c>
      <c r="V923">
        <f>IF($N923="","",Sync!$L923)</f>
        <v/>
      </c>
      <c r="W923">
        <f>IF($N923="","",Sync!$P923)</f>
        <v/>
      </c>
      <c r="AA923">
        <f>IF($A923="","",IF(COUNTIF($A$6:$A923,$A923)=1,1,0))</f>
        <v/>
      </c>
      <c r="AB923">
        <f>SUM($AA$6:$AA923)</f>
        <v/>
      </c>
      <c r="AC923">
        <f>IFERROR(INDEX($A$6:$A$1005,MATCH(ROW()-5,$AB$6:$AB$1005,0)),"")</f>
        <v/>
      </c>
    </row>
    <row r="924">
      <c r="A924">
        <f>IF(OR(Entry!$B927="",Entry!$E927="",$E924="نامعتبر"),"",Entry!$E927)</f>
        <v/>
      </c>
      <c r="B924">
        <f>IF($A924="","",LEFT($E924,4)&amp;MID($E924,6,2)&amp;RIGHT($E924,2)&amp;$F924&amp;"|"&amp;"1"&amp;RIGHT("00000"&amp;919,5))</f>
        <v/>
      </c>
      <c r="C924">
        <f>IF($B924="","",COUNTIFS($A$6:$A$1005,$A924,$B$6:$B$1005,"&lt;"&amp;$B924)+COUNTIFS($N$6:$N$2005,$A924,$P$6:$P$2005,"&lt;"&amp;$B924)+1)</f>
        <v/>
      </c>
      <c r="D924">
        <f>IF($C924="","",$A924&amp;"|"&amp;RIGHT("000000"&amp;$C924,6))</f>
        <v/>
      </c>
      <c r="E924">
        <f>IF(Entry!$B927="","",IF(ISNUMBER(Entry!$B927),IF(AND(Entry!$B927&gt;=10000101,Entry!$B927&lt;=99991231),INT(Entry!$B927/10000)&amp;"/"&amp;RIGHT("00"&amp;INT(MOD(Entry!$B927,10000)/100),2)&amp;"/"&amp;RIGHT("00"&amp;MOD(Entry!$B927,100),2),"نامعتبر"),IF(LEN(Entry!$B927)=10,Entry!$B927,"نامعتبر")))</f>
        <v/>
      </c>
      <c r="F924">
        <f>IF(Entry!$B927="","",IF(Entry!$C927="","0000",IF(AND(ISNUMBER(Entry!$C927),Entry!$C927&gt;=0,Entry!$C927&lt;1),RIGHT("00"&amp;HOUR(Entry!$C927),2)&amp;RIGHT("00"&amp;MINUTE(Entry!$C927),2),IFERROR(RIGHT("00"&amp;VALUE(LEFT(Entry!$C927,FIND(":",Entry!$C927)-1)),2)&amp;RIGHT("00"&amp;VALUE(MID(Entry!$C927,FIND(":",Entry!$C927)+1,2)),2),"0000"))))</f>
        <v/>
      </c>
      <c r="G924">
        <f>IF($A924="","",Entry!$G927)</f>
        <v/>
      </c>
      <c r="H924">
        <f>IF($A924="","",IF(Entry!$H927="",0,Entry!$H927))</f>
        <v/>
      </c>
      <c r="I924">
        <f>IF($A924="","",IF(Entry!$I927="",0,Entry!$I927))</f>
        <v/>
      </c>
      <c r="J924">
        <f>IF($A924="","",ROUND($H924*$I924,0))</f>
        <v/>
      </c>
      <c r="K924">
        <f>IF($A924="","",Entry!$D927)</f>
        <v/>
      </c>
      <c r="L924">
        <f>IF($A924="","",Entry!$L927)</f>
        <v/>
      </c>
      <c r="N924">
        <f>IF(OR(Sync!$M924="",$Q924="",$Q924="نامعتبر"),"",Sync!$M924)</f>
        <v/>
      </c>
      <c r="O924">
        <f>IF($N924="","",$Q924)</f>
        <v/>
      </c>
      <c r="P924">
        <f>IF($N924="","",LEFT($Q924,4)&amp;MID($Q924,6,2)&amp;RIGHT($Q924,2)&amp;IF(Sync!$K924="","0000",IF(AND(ISNUMBER(Sync!$K924),Sync!$K924&gt;=0,Sync!$K924&lt;1),RIGHT("00"&amp;HOUR(Sync!$K924),2)&amp;RIGHT("00"&amp;MINUTE(Sync!$K924),2),IFERROR(RIGHT("00"&amp;VALUE(LEFT(Sync!$K924,FIND(":",Sync!$K924)-1)),2)&amp;RIGHT("00"&amp;VALUE(MID(Sync!$K924,FIND(":",Sync!$K924)+1,2)),2),"0000")))&amp;"|"&amp;"2"&amp;RIGHT("00000"&amp;919,5))</f>
        <v/>
      </c>
      <c r="Q924">
        <f>IF(Sync!$J924="","",IF(ISNUMBER(Sync!$J924),IF(AND(Sync!$J924&gt;=10000101,Sync!$J924&lt;=99991231),INT(Sync!$J924/10000)&amp;"/"&amp;RIGHT("00"&amp;INT(MOD(Sync!$J924,10000)/100),2)&amp;"/"&amp;RIGHT("00"&amp;MOD(Sync!$J924,100),2),"نامعتبر"),IF(LEN(Sync!$J924)=10,Sync!$J924,"نامعتبر")))</f>
        <v/>
      </c>
      <c r="R924">
        <f>IF($P924="","",COUNTIFS($N$6:$N$2005,$N924,$P$6:$P$2005,"&lt;"&amp;$P924)+COUNTIFS($A$6:$A$1005,$N924,$B$6:$B$1005,"&lt;"&amp;$P924)+1)</f>
        <v/>
      </c>
      <c r="S924">
        <f>IF($N924="","",$N924&amp;"|"&amp;RIGHT("000000"&amp;$R924,6))</f>
        <v/>
      </c>
      <c r="T924">
        <f>IF($N924="","",IF(Sync!$N924="",0,Sync!$N924))</f>
        <v/>
      </c>
      <c r="U924">
        <f>IF($N924="","",IF(Sync!$O924="",0,Sync!$O924))</f>
        <v/>
      </c>
      <c r="V924">
        <f>IF($N924="","",Sync!$L924)</f>
        <v/>
      </c>
      <c r="W924">
        <f>IF($N924="","",Sync!$P924)</f>
        <v/>
      </c>
      <c r="AA924">
        <f>IF($A924="","",IF(COUNTIF($A$6:$A924,$A924)=1,1,0))</f>
        <v/>
      </c>
      <c r="AB924">
        <f>SUM($AA$6:$AA924)</f>
        <v/>
      </c>
      <c r="AC924">
        <f>IFERROR(INDEX($A$6:$A$1005,MATCH(ROW()-5,$AB$6:$AB$1005,0)),"")</f>
        <v/>
      </c>
    </row>
    <row r="925">
      <c r="A925">
        <f>IF(OR(Entry!$B928="",Entry!$E928="",$E925="نامعتبر"),"",Entry!$E928)</f>
        <v/>
      </c>
      <c r="B925">
        <f>IF($A925="","",LEFT($E925,4)&amp;MID($E925,6,2)&amp;RIGHT($E925,2)&amp;$F925&amp;"|"&amp;"1"&amp;RIGHT("00000"&amp;920,5))</f>
        <v/>
      </c>
      <c r="C925">
        <f>IF($B925="","",COUNTIFS($A$6:$A$1005,$A925,$B$6:$B$1005,"&lt;"&amp;$B925)+COUNTIFS($N$6:$N$2005,$A925,$P$6:$P$2005,"&lt;"&amp;$B925)+1)</f>
        <v/>
      </c>
      <c r="D925">
        <f>IF($C925="","",$A925&amp;"|"&amp;RIGHT("000000"&amp;$C925,6))</f>
        <v/>
      </c>
      <c r="E925">
        <f>IF(Entry!$B928="","",IF(ISNUMBER(Entry!$B928),IF(AND(Entry!$B928&gt;=10000101,Entry!$B928&lt;=99991231),INT(Entry!$B928/10000)&amp;"/"&amp;RIGHT("00"&amp;INT(MOD(Entry!$B928,10000)/100),2)&amp;"/"&amp;RIGHT("00"&amp;MOD(Entry!$B928,100),2),"نامعتبر"),IF(LEN(Entry!$B928)=10,Entry!$B928,"نامعتبر")))</f>
        <v/>
      </c>
      <c r="F925">
        <f>IF(Entry!$B928="","",IF(Entry!$C928="","0000",IF(AND(ISNUMBER(Entry!$C928),Entry!$C928&gt;=0,Entry!$C928&lt;1),RIGHT("00"&amp;HOUR(Entry!$C928),2)&amp;RIGHT("00"&amp;MINUTE(Entry!$C928),2),IFERROR(RIGHT("00"&amp;VALUE(LEFT(Entry!$C928,FIND(":",Entry!$C928)-1)),2)&amp;RIGHT("00"&amp;VALUE(MID(Entry!$C928,FIND(":",Entry!$C928)+1,2)),2),"0000"))))</f>
        <v/>
      </c>
      <c r="G925">
        <f>IF($A925="","",Entry!$G928)</f>
        <v/>
      </c>
      <c r="H925">
        <f>IF($A925="","",IF(Entry!$H928="",0,Entry!$H928))</f>
        <v/>
      </c>
      <c r="I925">
        <f>IF($A925="","",IF(Entry!$I928="",0,Entry!$I928))</f>
        <v/>
      </c>
      <c r="J925">
        <f>IF($A925="","",ROUND($H925*$I925,0))</f>
        <v/>
      </c>
      <c r="K925">
        <f>IF($A925="","",Entry!$D928)</f>
        <v/>
      </c>
      <c r="L925">
        <f>IF($A925="","",Entry!$L928)</f>
        <v/>
      </c>
      <c r="N925">
        <f>IF(OR(Sync!$M925="",$Q925="",$Q925="نامعتبر"),"",Sync!$M925)</f>
        <v/>
      </c>
      <c r="O925">
        <f>IF($N925="","",$Q925)</f>
        <v/>
      </c>
      <c r="P925">
        <f>IF($N925="","",LEFT($Q925,4)&amp;MID($Q925,6,2)&amp;RIGHT($Q925,2)&amp;IF(Sync!$K925="","0000",IF(AND(ISNUMBER(Sync!$K925),Sync!$K925&gt;=0,Sync!$K925&lt;1),RIGHT("00"&amp;HOUR(Sync!$K925),2)&amp;RIGHT("00"&amp;MINUTE(Sync!$K925),2),IFERROR(RIGHT("00"&amp;VALUE(LEFT(Sync!$K925,FIND(":",Sync!$K925)-1)),2)&amp;RIGHT("00"&amp;VALUE(MID(Sync!$K925,FIND(":",Sync!$K925)+1,2)),2),"0000")))&amp;"|"&amp;"2"&amp;RIGHT("00000"&amp;920,5))</f>
        <v/>
      </c>
      <c r="Q925">
        <f>IF(Sync!$J925="","",IF(ISNUMBER(Sync!$J925),IF(AND(Sync!$J925&gt;=10000101,Sync!$J925&lt;=99991231),INT(Sync!$J925/10000)&amp;"/"&amp;RIGHT("00"&amp;INT(MOD(Sync!$J925,10000)/100),2)&amp;"/"&amp;RIGHT("00"&amp;MOD(Sync!$J925,100),2),"نامعتبر"),IF(LEN(Sync!$J925)=10,Sync!$J925,"نامعتبر")))</f>
        <v/>
      </c>
      <c r="R925">
        <f>IF($P925="","",COUNTIFS($N$6:$N$2005,$N925,$P$6:$P$2005,"&lt;"&amp;$P925)+COUNTIFS($A$6:$A$1005,$N925,$B$6:$B$1005,"&lt;"&amp;$P925)+1)</f>
        <v/>
      </c>
      <c r="S925">
        <f>IF($N925="","",$N925&amp;"|"&amp;RIGHT("000000"&amp;$R925,6))</f>
        <v/>
      </c>
      <c r="T925">
        <f>IF($N925="","",IF(Sync!$N925="",0,Sync!$N925))</f>
        <v/>
      </c>
      <c r="U925">
        <f>IF($N925="","",IF(Sync!$O925="",0,Sync!$O925))</f>
        <v/>
      </c>
      <c r="V925">
        <f>IF($N925="","",Sync!$L925)</f>
        <v/>
      </c>
      <c r="W925">
        <f>IF($N925="","",Sync!$P925)</f>
        <v/>
      </c>
      <c r="AA925">
        <f>IF($A925="","",IF(COUNTIF($A$6:$A925,$A925)=1,1,0))</f>
        <v/>
      </c>
      <c r="AB925">
        <f>SUM($AA$6:$AA925)</f>
        <v/>
      </c>
      <c r="AC925">
        <f>IFERROR(INDEX($A$6:$A$1005,MATCH(ROW()-5,$AB$6:$AB$1005,0)),"")</f>
        <v/>
      </c>
    </row>
    <row r="926">
      <c r="A926">
        <f>IF(OR(Entry!$B929="",Entry!$E929="",$E926="نامعتبر"),"",Entry!$E929)</f>
        <v/>
      </c>
      <c r="B926">
        <f>IF($A926="","",LEFT($E926,4)&amp;MID($E926,6,2)&amp;RIGHT($E926,2)&amp;$F926&amp;"|"&amp;"1"&amp;RIGHT("00000"&amp;921,5))</f>
        <v/>
      </c>
      <c r="C926">
        <f>IF($B926="","",COUNTIFS($A$6:$A$1005,$A926,$B$6:$B$1005,"&lt;"&amp;$B926)+COUNTIFS($N$6:$N$2005,$A926,$P$6:$P$2005,"&lt;"&amp;$B926)+1)</f>
        <v/>
      </c>
      <c r="D926">
        <f>IF($C926="","",$A926&amp;"|"&amp;RIGHT("000000"&amp;$C926,6))</f>
        <v/>
      </c>
      <c r="E926">
        <f>IF(Entry!$B929="","",IF(ISNUMBER(Entry!$B929),IF(AND(Entry!$B929&gt;=10000101,Entry!$B929&lt;=99991231),INT(Entry!$B929/10000)&amp;"/"&amp;RIGHT("00"&amp;INT(MOD(Entry!$B929,10000)/100),2)&amp;"/"&amp;RIGHT("00"&amp;MOD(Entry!$B929,100),2),"نامعتبر"),IF(LEN(Entry!$B929)=10,Entry!$B929,"نامعتبر")))</f>
        <v/>
      </c>
      <c r="F926">
        <f>IF(Entry!$B929="","",IF(Entry!$C929="","0000",IF(AND(ISNUMBER(Entry!$C929),Entry!$C929&gt;=0,Entry!$C929&lt;1),RIGHT("00"&amp;HOUR(Entry!$C929),2)&amp;RIGHT("00"&amp;MINUTE(Entry!$C929),2),IFERROR(RIGHT("00"&amp;VALUE(LEFT(Entry!$C929,FIND(":",Entry!$C929)-1)),2)&amp;RIGHT("00"&amp;VALUE(MID(Entry!$C929,FIND(":",Entry!$C929)+1,2)),2),"0000"))))</f>
        <v/>
      </c>
      <c r="G926">
        <f>IF($A926="","",Entry!$G929)</f>
        <v/>
      </c>
      <c r="H926">
        <f>IF($A926="","",IF(Entry!$H929="",0,Entry!$H929))</f>
        <v/>
      </c>
      <c r="I926">
        <f>IF($A926="","",IF(Entry!$I929="",0,Entry!$I929))</f>
        <v/>
      </c>
      <c r="J926">
        <f>IF($A926="","",ROUND($H926*$I926,0))</f>
        <v/>
      </c>
      <c r="K926">
        <f>IF($A926="","",Entry!$D929)</f>
        <v/>
      </c>
      <c r="L926">
        <f>IF($A926="","",Entry!$L929)</f>
        <v/>
      </c>
      <c r="N926">
        <f>IF(OR(Sync!$M926="",$Q926="",$Q926="نامعتبر"),"",Sync!$M926)</f>
        <v/>
      </c>
      <c r="O926">
        <f>IF($N926="","",$Q926)</f>
        <v/>
      </c>
      <c r="P926">
        <f>IF($N926="","",LEFT($Q926,4)&amp;MID($Q926,6,2)&amp;RIGHT($Q926,2)&amp;IF(Sync!$K926="","0000",IF(AND(ISNUMBER(Sync!$K926),Sync!$K926&gt;=0,Sync!$K926&lt;1),RIGHT("00"&amp;HOUR(Sync!$K926),2)&amp;RIGHT("00"&amp;MINUTE(Sync!$K926),2),IFERROR(RIGHT("00"&amp;VALUE(LEFT(Sync!$K926,FIND(":",Sync!$K926)-1)),2)&amp;RIGHT("00"&amp;VALUE(MID(Sync!$K926,FIND(":",Sync!$K926)+1,2)),2),"0000")))&amp;"|"&amp;"2"&amp;RIGHT("00000"&amp;921,5))</f>
        <v/>
      </c>
      <c r="Q926">
        <f>IF(Sync!$J926="","",IF(ISNUMBER(Sync!$J926),IF(AND(Sync!$J926&gt;=10000101,Sync!$J926&lt;=99991231),INT(Sync!$J926/10000)&amp;"/"&amp;RIGHT("00"&amp;INT(MOD(Sync!$J926,10000)/100),2)&amp;"/"&amp;RIGHT("00"&amp;MOD(Sync!$J926,100),2),"نامعتبر"),IF(LEN(Sync!$J926)=10,Sync!$J926,"نامعتبر")))</f>
        <v/>
      </c>
      <c r="R926">
        <f>IF($P926="","",COUNTIFS($N$6:$N$2005,$N926,$P$6:$P$2005,"&lt;"&amp;$P926)+COUNTIFS($A$6:$A$1005,$N926,$B$6:$B$1005,"&lt;"&amp;$P926)+1)</f>
        <v/>
      </c>
      <c r="S926">
        <f>IF($N926="","",$N926&amp;"|"&amp;RIGHT("000000"&amp;$R926,6))</f>
        <v/>
      </c>
      <c r="T926">
        <f>IF($N926="","",IF(Sync!$N926="",0,Sync!$N926))</f>
        <v/>
      </c>
      <c r="U926">
        <f>IF($N926="","",IF(Sync!$O926="",0,Sync!$O926))</f>
        <v/>
      </c>
      <c r="V926">
        <f>IF($N926="","",Sync!$L926)</f>
        <v/>
      </c>
      <c r="W926">
        <f>IF($N926="","",Sync!$P926)</f>
        <v/>
      </c>
      <c r="AA926">
        <f>IF($A926="","",IF(COUNTIF($A$6:$A926,$A926)=1,1,0))</f>
        <v/>
      </c>
      <c r="AB926">
        <f>SUM($AA$6:$AA926)</f>
        <v/>
      </c>
      <c r="AC926">
        <f>IFERROR(INDEX($A$6:$A$1005,MATCH(ROW()-5,$AB$6:$AB$1005,0)),"")</f>
        <v/>
      </c>
    </row>
    <row r="927">
      <c r="A927">
        <f>IF(OR(Entry!$B930="",Entry!$E930="",$E927="نامعتبر"),"",Entry!$E930)</f>
        <v/>
      </c>
      <c r="B927">
        <f>IF($A927="","",LEFT($E927,4)&amp;MID($E927,6,2)&amp;RIGHT($E927,2)&amp;$F927&amp;"|"&amp;"1"&amp;RIGHT("00000"&amp;922,5))</f>
        <v/>
      </c>
      <c r="C927">
        <f>IF($B927="","",COUNTIFS($A$6:$A$1005,$A927,$B$6:$B$1005,"&lt;"&amp;$B927)+COUNTIFS($N$6:$N$2005,$A927,$P$6:$P$2005,"&lt;"&amp;$B927)+1)</f>
        <v/>
      </c>
      <c r="D927">
        <f>IF($C927="","",$A927&amp;"|"&amp;RIGHT("000000"&amp;$C927,6))</f>
        <v/>
      </c>
      <c r="E927">
        <f>IF(Entry!$B930="","",IF(ISNUMBER(Entry!$B930),IF(AND(Entry!$B930&gt;=10000101,Entry!$B930&lt;=99991231),INT(Entry!$B930/10000)&amp;"/"&amp;RIGHT("00"&amp;INT(MOD(Entry!$B930,10000)/100),2)&amp;"/"&amp;RIGHT("00"&amp;MOD(Entry!$B930,100),2),"نامعتبر"),IF(LEN(Entry!$B930)=10,Entry!$B930,"نامعتبر")))</f>
        <v/>
      </c>
      <c r="F927">
        <f>IF(Entry!$B930="","",IF(Entry!$C930="","0000",IF(AND(ISNUMBER(Entry!$C930),Entry!$C930&gt;=0,Entry!$C930&lt;1),RIGHT("00"&amp;HOUR(Entry!$C930),2)&amp;RIGHT("00"&amp;MINUTE(Entry!$C930),2),IFERROR(RIGHT("00"&amp;VALUE(LEFT(Entry!$C930,FIND(":",Entry!$C930)-1)),2)&amp;RIGHT("00"&amp;VALUE(MID(Entry!$C930,FIND(":",Entry!$C930)+1,2)),2),"0000"))))</f>
        <v/>
      </c>
      <c r="G927">
        <f>IF($A927="","",Entry!$G930)</f>
        <v/>
      </c>
      <c r="H927">
        <f>IF($A927="","",IF(Entry!$H930="",0,Entry!$H930))</f>
        <v/>
      </c>
      <c r="I927">
        <f>IF($A927="","",IF(Entry!$I930="",0,Entry!$I930))</f>
        <v/>
      </c>
      <c r="J927">
        <f>IF($A927="","",ROUND($H927*$I927,0))</f>
        <v/>
      </c>
      <c r="K927">
        <f>IF($A927="","",Entry!$D930)</f>
        <v/>
      </c>
      <c r="L927">
        <f>IF($A927="","",Entry!$L930)</f>
        <v/>
      </c>
      <c r="N927">
        <f>IF(OR(Sync!$M927="",$Q927="",$Q927="نامعتبر"),"",Sync!$M927)</f>
        <v/>
      </c>
      <c r="O927">
        <f>IF($N927="","",$Q927)</f>
        <v/>
      </c>
      <c r="P927">
        <f>IF($N927="","",LEFT($Q927,4)&amp;MID($Q927,6,2)&amp;RIGHT($Q927,2)&amp;IF(Sync!$K927="","0000",IF(AND(ISNUMBER(Sync!$K927),Sync!$K927&gt;=0,Sync!$K927&lt;1),RIGHT("00"&amp;HOUR(Sync!$K927),2)&amp;RIGHT("00"&amp;MINUTE(Sync!$K927),2),IFERROR(RIGHT("00"&amp;VALUE(LEFT(Sync!$K927,FIND(":",Sync!$K927)-1)),2)&amp;RIGHT("00"&amp;VALUE(MID(Sync!$K927,FIND(":",Sync!$K927)+1,2)),2),"0000")))&amp;"|"&amp;"2"&amp;RIGHT("00000"&amp;922,5))</f>
        <v/>
      </c>
      <c r="Q927">
        <f>IF(Sync!$J927="","",IF(ISNUMBER(Sync!$J927),IF(AND(Sync!$J927&gt;=10000101,Sync!$J927&lt;=99991231),INT(Sync!$J927/10000)&amp;"/"&amp;RIGHT("00"&amp;INT(MOD(Sync!$J927,10000)/100),2)&amp;"/"&amp;RIGHT("00"&amp;MOD(Sync!$J927,100),2),"نامعتبر"),IF(LEN(Sync!$J927)=10,Sync!$J927,"نامعتبر")))</f>
        <v/>
      </c>
      <c r="R927">
        <f>IF($P927="","",COUNTIFS($N$6:$N$2005,$N927,$P$6:$P$2005,"&lt;"&amp;$P927)+COUNTIFS($A$6:$A$1005,$N927,$B$6:$B$1005,"&lt;"&amp;$P927)+1)</f>
        <v/>
      </c>
      <c r="S927">
        <f>IF($N927="","",$N927&amp;"|"&amp;RIGHT("000000"&amp;$R927,6))</f>
        <v/>
      </c>
      <c r="T927">
        <f>IF($N927="","",IF(Sync!$N927="",0,Sync!$N927))</f>
        <v/>
      </c>
      <c r="U927">
        <f>IF($N927="","",IF(Sync!$O927="",0,Sync!$O927))</f>
        <v/>
      </c>
      <c r="V927">
        <f>IF($N927="","",Sync!$L927)</f>
        <v/>
      </c>
      <c r="W927">
        <f>IF($N927="","",Sync!$P927)</f>
        <v/>
      </c>
      <c r="AA927">
        <f>IF($A927="","",IF(COUNTIF($A$6:$A927,$A927)=1,1,0))</f>
        <v/>
      </c>
      <c r="AB927">
        <f>SUM($AA$6:$AA927)</f>
        <v/>
      </c>
      <c r="AC927">
        <f>IFERROR(INDEX($A$6:$A$1005,MATCH(ROW()-5,$AB$6:$AB$1005,0)),"")</f>
        <v/>
      </c>
    </row>
    <row r="928">
      <c r="A928">
        <f>IF(OR(Entry!$B931="",Entry!$E931="",$E928="نامعتبر"),"",Entry!$E931)</f>
        <v/>
      </c>
      <c r="B928">
        <f>IF($A928="","",LEFT($E928,4)&amp;MID($E928,6,2)&amp;RIGHT($E928,2)&amp;$F928&amp;"|"&amp;"1"&amp;RIGHT("00000"&amp;923,5))</f>
        <v/>
      </c>
      <c r="C928">
        <f>IF($B928="","",COUNTIFS($A$6:$A$1005,$A928,$B$6:$B$1005,"&lt;"&amp;$B928)+COUNTIFS($N$6:$N$2005,$A928,$P$6:$P$2005,"&lt;"&amp;$B928)+1)</f>
        <v/>
      </c>
      <c r="D928">
        <f>IF($C928="","",$A928&amp;"|"&amp;RIGHT("000000"&amp;$C928,6))</f>
        <v/>
      </c>
      <c r="E928">
        <f>IF(Entry!$B931="","",IF(ISNUMBER(Entry!$B931),IF(AND(Entry!$B931&gt;=10000101,Entry!$B931&lt;=99991231),INT(Entry!$B931/10000)&amp;"/"&amp;RIGHT("00"&amp;INT(MOD(Entry!$B931,10000)/100),2)&amp;"/"&amp;RIGHT("00"&amp;MOD(Entry!$B931,100),2),"نامعتبر"),IF(LEN(Entry!$B931)=10,Entry!$B931,"نامعتبر")))</f>
        <v/>
      </c>
      <c r="F928">
        <f>IF(Entry!$B931="","",IF(Entry!$C931="","0000",IF(AND(ISNUMBER(Entry!$C931),Entry!$C931&gt;=0,Entry!$C931&lt;1),RIGHT("00"&amp;HOUR(Entry!$C931),2)&amp;RIGHT("00"&amp;MINUTE(Entry!$C931),2),IFERROR(RIGHT("00"&amp;VALUE(LEFT(Entry!$C931,FIND(":",Entry!$C931)-1)),2)&amp;RIGHT("00"&amp;VALUE(MID(Entry!$C931,FIND(":",Entry!$C931)+1,2)),2),"0000"))))</f>
        <v/>
      </c>
      <c r="G928">
        <f>IF($A928="","",Entry!$G931)</f>
        <v/>
      </c>
      <c r="H928">
        <f>IF($A928="","",IF(Entry!$H931="",0,Entry!$H931))</f>
        <v/>
      </c>
      <c r="I928">
        <f>IF($A928="","",IF(Entry!$I931="",0,Entry!$I931))</f>
        <v/>
      </c>
      <c r="J928">
        <f>IF($A928="","",ROUND($H928*$I928,0))</f>
        <v/>
      </c>
      <c r="K928">
        <f>IF($A928="","",Entry!$D931)</f>
        <v/>
      </c>
      <c r="L928">
        <f>IF($A928="","",Entry!$L931)</f>
        <v/>
      </c>
      <c r="N928">
        <f>IF(OR(Sync!$M928="",$Q928="",$Q928="نامعتبر"),"",Sync!$M928)</f>
        <v/>
      </c>
      <c r="O928">
        <f>IF($N928="","",$Q928)</f>
        <v/>
      </c>
      <c r="P928">
        <f>IF($N928="","",LEFT($Q928,4)&amp;MID($Q928,6,2)&amp;RIGHT($Q928,2)&amp;IF(Sync!$K928="","0000",IF(AND(ISNUMBER(Sync!$K928),Sync!$K928&gt;=0,Sync!$K928&lt;1),RIGHT("00"&amp;HOUR(Sync!$K928),2)&amp;RIGHT("00"&amp;MINUTE(Sync!$K928),2),IFERROR(RIGHT("00"&amp;VALUE(LEFT(Sync!$K928,FIND(":",Sync!$K928)-1)),2)&amp;RIGHT("00"&amp;VALUE(MID(Sync!$K928,FIND(":",Sync!$K928)+1,2)),2),"0000")))&amp;"|"&amp;"2"&amp;RIGHT("00000"&amp;923,5))</f>
        <v/>
      </c>
      <c r="Q928">
        <f>IF(Sync!$J928="","",IF(ISNUMBER(Sync!$J928),IF(AND(Sync!$J928&gt;=10000101,Sync!$J928&lt;=99991231),INT(Sync!$J928/10000)&amp;"/"&amp;RIGHT("00"&amp;INT(MOD(Sync!$J928,10000)/100),2)&amp;"/"&amp;RIGHT("00"&amp;MOD(Sync!$J928,100),2),"نامعتبر"),IF(LEN(Sync!$J928)=10,Sync!$J928,"نامعتبر")))</f>
        <v/>
      </c>
      <c r="R928">
        <f>IF($P928="","",COUNTIFS($N$6:$N$2005,$N928,$P$6:$P$2005,"&lt;"&amp;$P928)+COUNTIFS($A$6:$A$1005,$N928,$B$6:$B$1005,"&lt;"&amp;$P928)+1)</f>
        <v/>
      </c>
      <c r="S928">
        <f>IF($N928="","",$N928&amp;"|"&amp;RIGHT("000000"&amp;$R928,6))</f>
        <v/>
      </c>
      <c r="T928">
        <f>IF($N928="","",IF(Sync!$N928="",0,Sync!$N928))</f>
        <v/>
      </c>
      <c r="U928">
        <f>IF($N928="","",IF(Sync!$O928="",0,Sync!$O928))</f>
        <v/>
      </c>
      <c r="V928">
        <f>IF($N928="","",Sync!$L928)</f>
        <v/>
      </c>
      <c r="W928">
        <f>IF($N928="","",Sync!$P928)</f>
        <v/>
      </c>
      <c r="AA928">
        <f>IF($A928="","",IF(COUNTIF($A$6:$A928,$A928)=1,1,0))</f>
        <v/>
      </c>
      <c r="AB928">
        <f>SUM($AA$6:$AA928)</f>
        <v/>
      </c>
      <c r="AC928">
        <f>IFERROR(INDEX($A$6:$A$1005,MATCH(ROW()-5,$AB$6:$AB$1005,0)),"")</f>
        <v/>
      </c>
    </row>
    <row r="929">
      <c r="A929">
        <f>IF(OR(Entry!$B932="",Entry!$E932="",$E929="نامعتبر"),"",Entry!$E932)</f>
        <v/>
      </c>
      <c r="B929">
        <f>IF($A929="","",LEFT($E929,4)&amp;MID($E929,6,2)&amp;RIGHT($E929,2)&amp;$F929&amp;"|"&amp;"1"&amp;RIGHT("00000"&amp;924,5))</f>
        <v/>
      </c>
      <c r="C929">
        <f>IF($B929="","",COUNTIFS($A$6:$A$1005,$A929,$B$6:$B$1005,"&lt;"&amp;$B929)+COUNTIFS($N$6:$N$2005,$A929,$P$6:$P$2005,"&lt;"&amp;$B929)+1)</f>
        <v/>
      </c>
      <c r="D929">
        <f>IF($C929="","",$A929&amp;"|"&amp;RIGHT("000000"&amp;$C929,6))</f>
        <v/>
      </c>
      <c r="E929">
        <f>IF(Entry!$B932="","",IF(ISNUMBER(Entry!$B932),IF(AND(Entry!$B932&gt;=10000101,Entry!$B932&lt;=99991231),INT(Entry!$B932/10000)&amp;"/"&amp;RIGHT("00"&amp;INT(MOD(Entry!$B932,10000)/100),2)&amp;"/"&amp;RIGHT("00"&amp;MOD(Entry!$B932,100),2),"نامعتبر"),IF(LEN(Entry!$B932)=10,Entry!$B932,"نامعتبر")))</f>
        <v/>
      </c>
      <c r="F929">
        <f>IF(Entry!$B932="","",IF(Entry!$C932="","0000",IF(AND(ISNUMBER(Entry!$C932),Entry!$C932&gt;=0,Entry!$C932&lt;1),RIGHT("00"&amp;HOUR(Entry!$C932),2)&amp;RIGHT("00"&amp;MINUTE(Entry!$C932),2),IFERROR(RIGHT("00"&amp;VALUE(LEFT(Entry!$C932,FIND(":",Entry!$C932)-1)),2)&amp;RIGHT("00"&amp;VALUE(MID(Entry!$C932,FIND(":",Entry!$C932)+1,2)),2),"0000"))))</f>
        <v/>
      </c>
      <c r="G929">
        <f>IF($A929="","",Entry!$G932)</f>
        <v/>
      </c>
      <c r="H929">
        <f>IF($A929="","",IF(Entry!$H932="",0,Entry!$H932))</f>
        <v/>
      </c>
      <c r="I929">
        <f>IF($A929="","",IF(Entry!$I932="",0,Entry!$I932))</f>
        <v/>
      </c>
      <c r="J929">
        <f>IF($A929="","",ROUND($H929*$I929,0))</f>
        <v/>
      </c>
      <c r="K929">
        <f>IF($A929="","",Entry!$D932)</f>
        <v/>
      </c>
      <c r="L929">
        <f>IF($A929="","",Entry!$L932)</f>
        <v/>
      </c>
      <c r="N929">
        <f>IF(OR(Sync!$M929="",$Q929="",$Q929="نامعتبر"),"",Sync!$M929)</f>
        <v/>
      </c>
      <c r="O929">
        <f>IF($N929="","",$Q929)</f>
        <v/>
      </c>
      <c r="P929">
        <f>IF($N929="","",LEFT($Q929,4)&amp;MID($Q929,6,2)&amp;RIGHT($Q929,2)&amp;IF(Sync!$K929="","0000",IF(AND(ISNUMBER(Sync!$K929),Sync!$K929&gt;=0,Sync!$K929&lt;1),RIGHT("00"&amp;HOUR(Sync!$K929),2)&amp;RIGHT("00"&amp;MINUTE(Sync!$K929),2),IFERROR(RIGHT("00"&amp;VALUE(LEFT(Sync!$K929,FIND(":",Sync!$K929)-1)),2)&amp;RIGHT("00"&amp;VALUE(MID(Sync!$K929,FIND(":",Sync!$K929)+1,2)),2),"0000")))&amp;"|"&amp;"2"&amp;RIGHT("00000"&amp;924,5))</f>
        <v/>
      </c>
      <c r="Q929">
        <f>IF(Sync!$J929="","",IF(ISNUMBER(Sync!$J929),IF(AND(Sync!$J929&gt;=10000101,Sync!$J929&lt;=99991231),INT(Sync!$J929/10000)&amp;"/"&amp;RIGHT("00"&amp;INT(MOD(Sync!$J929,10000)/100),2)&amp;"/"&amp;RIGHT("00"&amp;MOD(Sync!$J929,100),2),"نامعتبر"),IF(LEN(Sync!$J929)=10,Sync!$J929,"نامعتبر")))</f>
        <v/>
      </c>
      <c r="R929">
        <f>IF($P929="","",COUNTIFS($N$6:$N$2005,$N929,$P$6:$P$2005,"&lt;"&amp;$P929)+COUNTIFS($A$6:$A$1005,$N929,$B$6:$B$1005,"&lt;"&amp;$P929)+1)</f>
        <v/>
      </c>
      <c r="S929">
        <f>IF($N929="","",$N929&amp;"|"&amp;RIGHT("000000"&amp;$R929,6))</f>
        <v/>
      </c>
      <c r="T929">
        <f>IF($N929="","",IF(Sync!$N929="",0,Sync!$N929))</f>
        <v/>
      </c>
      <c r="U929">
        <f>IF($N929="","",IF(Sync!$O929="",0,Sync!$O929))</f>
        <v/>
      </c>
      <c r="V929">
        <f>IF($N929="","",Sync!$L929)</f>
        <v/>
      </c>
      <c r="W929">
        <f>IF($N929="","",Sync!$P929)</f>
        <v/>
      </c>
      <c r="AA929">
        <f>IF($A929="","",IF(COUNTIF($A$6:$A929,$A929)=1,1,0))</f>
        <v/>
      </c>
      <c r="AB929">
        <f>SUM($AA$6:$AA929)</f>
        <v/>
      </c>
      <c r="AC929">
        <f>IFERROR(INDEX($A$6:$A$1005,MATCH(ROW()-5,$AB$6:$AB$1005,0)),"")</f>
        <v/>
      </c>
    </row>
    <row r="930">
      <c r="A930">
        <f>IF(OR(Entry!$B933="",Entry!$E933="",$E930="نامعتبر"),"",Entry!$E933)</f>
        <v/>
      </c>
      <c r="B930">
        <f>IF($A930="","",LEFT($E930,4)&amp;MID($E930,6,2)&amp;RIGHT($E930,2)&amp;$F930&amp;"|"&amp;"1"&amp;RIGHT("00000"&amp;925,5))</f>
        <v/>
      </c>
      <c r="C930">
        <f>IF($B930="","",COUNTIFS($A$6:$A$1005,$A930,$B$6:$B$1005,"&lt;"&amp;$B930)+COUNTIFS($N$6:$N$2005,$A930,$P$6:$P$2005,"&lt;"&amp;$B930)+1)</f>
        <v/>
      </c>
      <c r="D930">
        <f>IF($C930="","",$A930&amp;"|"&amp;RIGHT("000000"&amp;$C930,6))</f>
        <v/>
      </c>
      <c r="E930">
        <f>IF(Entry!$B933="","",IF(ISNUMBER(Entry!$B933),IF(AND(Entry!$B933&gt;=10000101,Entry!$B933&lt;=99991231),INT(Entry!$B933/10000)&amp;"/"&amp;RIGHT("00"&amp;INT(MOD(Entry!$B933,10000)/100),2)&amp;"/"&amp;RIGHT("00"&amp;MOD(Entry!$B933,100),2),"نامعتبر"),IF(LEN(Entry!$B933)=10,Entry!$B933,"نامعتبر")))</f>
        <v/>
      </c>
      <c r="F930">
        <f>IF(Entry!$B933="","",IF(Entry!$C933="","0000",IF(AND(ISNUMBER(Entry!$C933),Entry!$C933&gt;=0,Entry!$C933&lt;1),RIGHT("00"&amp;HOUR(Entry!$C933),2)&amp;RIGHT("00"&amp;MINUTE(Entry!$C933),2),IFERROR(RIGHT("00"&amp;VALUE(LEFT(Entry!$C933,FIND(":",Entry!$C933)-1)),2)&amp;RIGHT("00"&amp;VALUE(MID(Entry!$C933,FIND(":",Entry!$C933)+1,2)),2),"0000"))))</f>
        <v/>
      </c>
      <c r="G930">
        <f>IF($A930="","",Entry!$G933)</f>
        <v/>
      </c>
      <c r="H930">
        <f>IF($A930="","",IF(Entry!$H933="",0,Entry!$H933))</f>
        <v/>
      </c>
      <c r="I930">
        <f>IF($A930="","",IF(Entry!$I933="",0,Entry!$I933))</f>
        <v/>
      </c>
      <c r="J930">
        <f>IF($A930="","",ROUND($H930*$I930,0))</f>
        <v/>
      </c>
      <c r="K930">
        <f>IF($A930="","",Entry!$D933)</f>
        <v/>
      </c>
      <c r="L930">
        <f>IF($A930="","",Entry!$L933)</f>
        <v/>
      </c>
      <c r="N930">
        <f>IF(OR(Sync!$M930="",$Q930="",$Q930="نامعتبر"),"",Sync!$M930)</f>
        <v/>
      </c>
      <c r="O930">
        <f>IF($N930="","",$Q930)</f>
        <v/>
      </c>
      <c r="P930">
        <f>IF($N930="","",LEFT($Q930,4)&amp;MID($Q930,6,2)&amp;RIGHT($Q930,2)&amp;IF(Sync!$K930="","0000",IF(AND(ISNUMBER(Sync!$K930),Sync!$K930&gt;=0,Sync!$K930&lt;1),RIGHT("00"&amp;HOUR(Sync!$K930),2)&amp;RIGHT("00"&amp;MINUTE(Sync!$K930),2),IFERROR(RIGHT("00"&amp;VALUE(LEFT(Sync!$K930,FIND(":",Sync!$K930)-1)),2)&amp;RIGHT("00"&amp;VALUE(MID(Sync!$K930,FIND(":",Sync!$K930)+1,2)),2),"0000")))&amp;"|"&amp;"2"&amp;RIGHT("00000"&amp;925,5))</f>
        <v/>
      </c>
      <c r="Q930">
        <f>IF(Sync!$J930="","",IF(ISNUMBER(Sync!$J930),IF(AND(Sync!$J930&gt;=10000101,Sync!$J930&lt;=99991231),INT(Sync!$J930/10000)&amp;"/"&amp;RIGHT("00"&amp;INT(MOD(Sync!$J930,10000)/100),2)&amp;"/"&amp;RIGHT("00"&amp;MOD(Sync!$J930,100),2),"نامعتبر"),IF(LEN(Sync!$J930)=10,Sync!$J930,"نامعتبر")))</f>
        <v/>
      </c>
      <c r="R930">
        <f>IF($P930="","",COUNTIFS($N$6:$N$2005,$N930,$P$6:$P$2005,"&lt;"&amp;$P930)+COUNTIFS($A$6:$A$1005,$N930,$B$6:$B$1005,"&lt;"&amp;$P930)+1)</f>
        <v/>
      </c>
      <c r="S930">
        <f>IF($N930="","",$N930&amp;"|"&amp;RIGHT("000000"&amp;$R930,6))</f>
        <v/>
      </c>
      <c r="T930">
        <f>IF($N930="","",IF(Sync!$N930="",0,Sync!$N930))</f>
        <v/>
      </c>
      <c r="U930">
        <f>IF($N930="","",IF(Sync!$O930="",0,Sync!$O930))</f>
        <v/>
      </c>
      <c r="V930">
        <f>IF($N930="","",Sync!$L930)</f>
        <v/>
      </c>
      <c r="W930">
        <f>IF($N930="","",Sync!$P930)</f>
        <v/>
      </c>
      <c r="AA930">
        <f>IF($A930="","",IF(COUNTIF($A$6:$A930,$A930)=1,1,0))</f>
        <v/>
      </c>
      <c r="AB930">
        <f>SUM($AA$6:$AA930)</f>
        <v/>
      </c>
      <c r="AC930">
        <f>IFERROR(INDEX($A$6:$A$1005,MATCH(ROW()-5,$AB$6:$AB$1005,0)),"")</f>
        <v/>
      </c>
    </row>
    <row r="931">
      <c r="A931">
        <f>IF(OR(Entry!$B934="",Entry!$E934="",$E931="نامعتبر"),"",Entry!$E934)</f>
        <v/>
      </c>
      <c r="B931">
        <f>IF($A931="","",LEFT($E931,4)&amp;MID($E931,6,2)&amp;RIGHT($E931,2)&amp;$F931&amp;"|"&amp;"1"&amp;RIGHT("00000"&amp;926,5))</f>
        <v/>
      </c>
      <c r="C931">
        <f>IF($B931="","",COUNTIFS($A$6:$A$1005,$A931,$B$6:$B$1005,"&lt;"&amp;$B931)+COUNTIFS($N$6:$N$2005,$A931,$P$6:$P$2005,"&lt;"&amp;$B931)+1)</f>
        <v/>
      </c>
      <c r="D931">
        <f>IF($C931="","",$A931&amp;"|"&amp;RIGHT("000000"&amp;$C931,6))</f>
        <v/>
      </c>
      <c r="E931">
        <f>IF(Entry!$B934="","",IF(ISNUMBER(Entry!$B934),IF(AND(Entry!$B934&gt;=10000101,Entry!$B934&lt;=99991231),INT(Entry!$B934/10000)&amp;"/"&amp;RIGHT("00"&amp;INT(MOD(Entry!$B934,10000)/100),2)&amp;"/"&amp;RIGHT("00"&amp;MOD(Entry!$B934,100),2),"نامعتبر"),IF(LEN(Entry!$B934)=10,Entry!$B934,"نامعتبر")))</f>
        <v/>
      </c>
      <c r="F931">
        <f>IF(Entry!$B934="","",IF(Entry!$C934="","0000",IF(AND(ISNUMBER(Entry!$C934),Entry!$C934&gt;=0,Entry!$C934&lt;1),RIGHT("00"&amp;HOUR(Entry!$C934),2)&amp;RIGHT("00"&amp;MINUTE(Entry!$C934),2),IFERROR(RIGHT("00"&amp;VALUE(LEFT(Entry!$C934,FIND(":",Entry!$C934)-1)),2)&amp;RIGHT("00"&amp;VALUE(MID(Entry!$C934,FIND(":",Entry!$C934)+1,2)),2),"0000"))))</f>
        <v/>
      </c>
      <c r="G931">
        <f>IF($A931="","",Entry!$G934)</f>
        <v/>
      </c>
      <c r="H931">
        <f>IF($A931="","",IF(Entry!$H934="",0,Entry!$H934))</f>
        <v/>
      </c>
      <c r="I931">
        <f>IF($A931="","",IF(Entry!$I934="",0,Entry!$I934))</f>
        <v/>
      </c>
      <c r="J931">
        <f>IF($A931="","",ROUND($H931*$I931,0))</f>
        <v/>
      </c>
      <c r="K931">
        <f>IF($A931="","",Entry!$D934)</f>
        <v/>
      </c>
      <c r="L931">
        <f>IF($A931="","",Entry!$L934)</f>
        <v/>
      </c>
      <c r="N931">
        <f>IF(OR(Sync!$M931="",$Q931="",$Q931="نامعتبر"),"",Sync!$M931)</f>
        <v/>
      </c>
      <c r="O931">
        <f>IF($N931="","",$Q931)</f>
        <v/>
      </c>
      <c r="P931">
        <f>IF($N931="","",LEFT($Q931,4)&amp;MID($Q931,6,2)&amp;RIGHT($Q931,2)&amp;IF(Sync!$K931="","0000",IF(AND(ISNUMBER(Sync!$K931),Sync!$K931&gt;=0,Sync!$K931&lt;1),RIGHT("00"&amp;HOUR(Sync!$K931),2)&amp;RIGHT("00"&amp;MINUTE(Sync!$K931),2),IFERROR(RIGHT("00"&amp;VALUE(LEFT(Sync!$K931,FIND(":",Sync!$K931)-1)),2)&amp;RIGHT("00"&amp;VALUE(MID(Sync!$K931,FIND(":",Sync!$K931)+1,2)),2),"0000")))&amp;"|"&amp;"2"&amp;RIGHT("00000"&amp;926,5))</f>
        <v/>
      </c>
      <c r="Q931">
        <f>IF(Sync!$J931="","",IF(ISNUMBER(Sync!$J931),IF(AND(Sync!$J931&gt;=10000101,Sync!$J931&lt;=99991231),INT(Sync!$J931/10000)&amp;"/"&amp;RIGHT("00"&amp;INT(MOD(Sync!$J931,10000)/100),2)&amp;"/"&amp;RIGHT("00"&amp;MOD(Sync!$J931,100),2),"نامعتبر"),IF(LEN(Sync!$J931)=10,Sync!$J931,"نامعتبر")))</f>
        <v/>
      </c>
      <c r="R931">
        <f>IF($P931="","",COUNTIFS($N$6:$N$2005,$N931,$P$6:$P$2005,"&lt;"&amp;$P931)+COUNTIFS($A$6:$A$1005,$N931,$B$6:$B$1005,"&lt;"&amp;$P931)+1)</f>
        <v/>
      </c>
      <c r="S931">
        <f>IF($N931="","",$N931&amp;"|"&amp;RIGHT("000000"&amp;$R931,6))</f>
        <v/>
      </c>
      <c r="T931">
        <f>IF($N931="","",IF(Sync!$N931="",0,Sync!$N931))</f>
        <v/>
      </c>
      <c r="U931">
        <f>IF($N931="","",IF(Sync!$O931="",0,Sync!$O931))</f>
        <v/>
      </c>
      <c r="V931">
        <f>IF($N931="","",Sync!$L931)</f>
        <v/>
      </c>
      <c r="W931">
        <f>IF($N931="","",Sync!$P931)</f>
        <v/>
      </c>
      <c r="AA931">
        <f>IF($A931="","",IF(COUNTIF($A$6:$A931,$A931)=1,1,0))</f>
        <v/>
      </c>
      <c r="AB931">
        <f>SUM($AA$6:$AA931)</f>
        <v/>
      </c>
      <c r="AC931">
        <f>IFERROR(INDEX($A$6:$A$1005,MATCH(ROW()-5,$AB$6:$AB$1005,0)),"")</f>
        <v/>
      </c>
    </row>
    <row r="932">
      <c r="A932">
        <f>IF(OR(Entry!$B935="",Entry!$E935="",$E932="نامعتبر"),"",Entry!$E935)</f>
        <v/>
      </c>
      <c r="B932">
        <f>IF($A932="","",LEFT($E932,4)&amp;MID($E932,6,2)&amp;RIGHT($E932,2)&amp;$F932&amp;"|"&amp;"1"&amp;RIGHT("00000"&amp;927,5))</f>
        <v/>
      </c>
      <c r="C932">
        <f>IF($B932="","",COUNTIFS($A$6:$A$1005,$A932,$B$6:$B$1005,"&lt;"&amp;$B932)+COUNTIFS($N$6:$N$2005,$A932,$P$6:$P$2005,"&lt;"&amp;$B932)+1)</f>
        <v/>
      </c>
      <c r="D932">
        <f>IF($C932="","",$A932&amp;"|"&amp;RIGHT("000000"&amp;$C932,6))</f>
        <v/>
      </c>
      <c r="E932">
        <f>IF(Entry!$B935="","",IF(ISNUMBER(Entry!$B935),IF(AND(Entry!$B935&gt;=10000101,Entry!$B935&lt;=99991231),INT(Entry!$B935/10000)&amp;"/"&amp;RIGHT("00"&amp;INT(MOD(Entry!$B935,10000)/100),2)&amp;"/"&amp;RIGHT("00"&amp;MOD(Entry!$B935,100),2),"نامعتبر"),IF(LEN(Entry!$B935)=10,Entry!$B935,"نامعتبر")))</f>
        <v/>
      </c>
      <c r="F932">
        <f>IF(Entry!$B935="","",IF(Entry!$C935="","0000",IF(AND(ISNUMBER(Entry!$C935),Entry!$C935&gt;=0,Entry!$C935&lt;1),RIGHT("00"&amp;HOUR(Entry!$C935),2)&amp;RIGHT("00"&amp;MINUTE(Entry!$C935),2),IFERROR(RIGHT("00"&amp;VALUE(LEFT(Entry!$C935,FIND(":",Entry!$C935)-1)),2)&amp;RIGHT("00"&amp;VALUE(MID(Entry!$C935,FIND(":",Entry!$C935)+1,2)),2),"0000"))))</f>
        <v/>
      </c>
      <c r="G932">
        <f>IF($A932="","",Entry!$G935)</f>
        <v/>
      </c>
      <c r="H932">
        <f>IF($A932="","",IF(Entry!$H935="",0,Entry!$H935))</f>
        <v/>
      </c>
      <c r="I932">
        <f>IF($A932="","",IF(Entry!$I935="",0,Entry!$I935))</f>
        <v/>
      </c>
      <c r="J932">
        <f>IF($A932="","",ROUND($H932*$I932,0))</f>
        <v/>
      </c>
      <c r="K932">
        <f>IF($A932="","",Entry!$D935)</f>
        <v/>
      </c>
      <c r="L932">
        <f>IF($A932="","",Entry!$L935)</f>
        <v/>
      </c>
      <c r="N932">
        <f>IF(OR(Sync!$M932="",$Q932="",$Q932="نامعتبر"),"",Sync!$M932)</f>
        <v/>
      </c>
      <c r="O932">
        <f>IF($N932="","",$Q932)</f>
        <v/>
      </c>
      <c r="P932">
        <f>IF($N932="","",LEFT($Q932,4)&amp;MID($Q932,6,2)&amp;RIGHT($Q932,2)&amp;IF(Sync!$K932="","0000",IF(AND(ISNUMBER(Sync!$K932),Sync!$K932&gt;=0,Sync!$K932&lt;1),RIGHT("00"&amp;HOUR(Sync!$K932),2)&amp;RIGHT("00"&amp;MINUTE(Sync!$K932),2),IFERROR(RIGHT("00"&amp;VALUE(LEFT(Sync!$K932,FIND(":",Sync!$K932)-1)),2)&amp;RIGHT("00"&amp;VALUE(MID(Sync!$K932,FIND(":",Sync!$K932)+1,2)),2),"0000")))&amp;"|"&amp;"2"&amp;RIGHT("00000"&amp;927,5))</f>
        <v/>
      </c>
      <c r="Q932">
        <f>IF(Sync!$J932="","",IF(ISNUMBER(Sync!$J932),IF(AND(Sync!$J932&gt;=10000101,Sync!$J932&lt;=99991231),INT(Sync!$J932/10000)&amp;"/"&amp;RIGHT("00"&amp;INT(MOD(Sync!$J932,10000)/100),2)&amp;"/"&amp;RIGHT("00"&amp;MOD(Sync!$J932,100),2),"نامعتبر"),IF(LEN(Sync!$J932)=10,Sync!$J932,"نامعتبر")))</f>
        <v/>
      </c>
      <c r="R932">
        <f>IF($P932="","",COUNTIFS($N$6:$N$2005,$N932,$P$6:$P$2005,"&lt;"&amp;$P932)+COUNTIFS($A$6:$A$1005,$N932,$B$6:$B$1005,"&lt;"&amp;$P932)+1)</f>
        <v/>
      </c>
      <c r="S932">
        <f>IF($N932="","",$N932&amp;"|"&amp;RIGHT("000000"&amp;$R932,6))</f>
        <v/>
      </c>
      <c r="T932">
        <f>IF($N932="","",IF(Sync!$N932="",0,Sync!$N932))</f>
        <v/>
      </c>
      <c r="U932">
        <f>IF($N932="","",IF(Sync!$O932="",0,Sync!$O932))</f>
        <v/>
      </c>
      <c r="V932">
        <f>IF($N932="","",Sync!$L932)</f>
        <v/>
      </c>
      <c r="W932">
        <f>IF($N932="","",Sync!$P932)</f>
        <v/>
      </c>
      <c r="AA932">
        <f>IF($A932="","",IF(COUNTIF($A$6:$A932,$A932)=1,1,0))</f>
        <v/>
      </c>
      <c r="AB932">
        <f>SUM($AA$6:$AA932)</f>
        <v/>
      </c>
      <c r="AC932">
        <f>IFERROR(INDEX($A$6:$A$1005,MATCH(ROW()-5,$AB$6:$AB$1005,0)),"")</f>
        <v/>
      </c>
    </row>
    <row r="933">
      <c r="A933">
        <f>IF(OR(Entry!$B936="",Entry!$E936="",$E933="نامعتبر"),"",Entry!$E936)</f>
        <v/>
      </c>
      <c r="B933">
        <f>IF($A933="","",LEFT($E933,4)&amp;MID($E933,6,2)&amp;RIGHT($E933,2)&amp;$F933&amp;"|"&amp;"1"&amp;RIGHT("00000"&amp;928,5))</f>
        <v/>
      </c>
      <c r="C933">
        <f>IF($B933="","",COUNTIFS($A$6:$A$1005,$A933,$B$6:$B$1005,"&lt;"&amp;$B933)+COUNTIFS($N$6:$N$2005,$A933,$P$6:$P$2005,"&lt;"&amp;$B933)+1)</f>
        <v/>
      </c>
      <c r="D933">
        <f>IF($C933="","",$A933&amp;"|"&amp;RIGHT("000000"&amp;$C933,6))</f>
        <v/>
      </c>
      <c r="E933">
        <f>IF(Entry!$B936="","",IF(ISNUMBER(Entry!$B936),IF(AND(Entry!$B936&gt;=10000101,Entry!$B936&lt;=99991231),INT(Entry!$B936/10000)&amp;"/"&amp;RIGHT("00"&amp;INT(MOD(Entry!$B936,10000)/100),2)&amp;"/"&amp;RIGHT("00"&amp;MOD(Entry!$B936,100),2),"نامعتبر"),IF(LEN(Entry!$B936)=10,Entry!$B936,"نامعتبر")))</f>
        <v/>
      </c>
      <c r="F933">
        <f>IF(Entry!$B936="","",IF(Entry!$C936="","0000",IF(AND(ISNUMBER(Entry!$C936),Entry!$C936&gt;=0,Entry!$C936&lt;1),RIGHT("00"&amp;HOUR(Entry!$C936),2)&amp;RIGHT("00"&amp;MINUTE(Entry!$C936),2),IFERROR(RIGHT("00"&amp;VALUE(LEFT(Entry!$C936,FIND(":",Entry!$C936)-1)),2)&amp;RIGHT("00"&amp;VALUE(MID(Entry!$C936,FIND(":",Entry!$C936)+1,2)),2),"0000"))))</f>
        <v/>
      </c>
      <c r="G933">
        <f>IF($A933="","",Entry!$G936)</f>
        <v/>
      </c>
      <c r="H933">
        <f>IF($A933="","",IF(Entry!$H936="",0,Entry!$H936))</f>
        <v/>
      </c>
      <c r="I933">
        <f>IF($A933="","",IF(Entry!$I936="",0,Entry!$I936))</f>
        <v/>
      </c>
      <c r="J933">
        <f>IF($A933="","",ROUND($H933*$I933,0))</f>
        <v/>
      </c>
      <c r="K933">
        <f>IF($A933="","",Entry!$D936)</f>
        <v/>
      </c>
      <c r="L933">
        <f>IF($A933="","",Entry!$L936)</f>
        <v/>
      </c>
      <c r="N933">
        <f>IF(OR(Sync!$M933="",$Q933="",$Q933="نامعتبر"),"",Sync!$M933)</f>
        <v/>
      </c>
      <c r="O933">
        <f>IF($N933="","",$Q933)</f>
        <v/>
      </c>
      <c r="P933">
        <f>IF($N933="","",LEFT($Q933,4)&amp;MID($Q933,6,2)&amp;RIGHT($Q933,2)&amp;IF(Sync!$K933="","0000",IF(AND(ISNUMBER(Sync!$K933),Sync!$K933&gt;=0,Sync!$K933&lt;1),RIGHT("00"&amp;HOUR(Sync!$K933),2)&amp;RIGHT("00"&amp;MINUTE(Sync!$K933),2),IFERROR(RIGHT("00"&amp;VALUE(LEFT(Sync!$K933,FIND(":",Sync!$K933)-1)),2)&amp;RIGHT("00"&amp;VALUE(MID(Sync!$K933,FIND(":",Sync!$K933)+1,2)),2),"0000")))&amp;"|"&amp;"2"&amp;RIGHT("00000"&amp;928,5))</f>
        <v/>
      </c>
      <c r="Q933">
        <f>IF(Sync!$J933="","",IF(ISNUMBER(Sync!$J933),IF(AND(Sync!$J933&gt;=10000101,Sync!$J933&lt;=99991231),INT(Sync!$J933/10000)&amp;"/"&amp;RIGHT("00"&amp;INT(MOD(Sync!$J933,10000)/100),2)&amp;"/"&amp;RIGHT("00"&amp;MOD(Sync!$J933,100),2),"نامعتبر"),IF(LEN(Sync!$J933)=10,Sync!$J933,"نامعتبر")))</f>
        <v/>
      </c>
      <c r="R933">
        <f>IF($P933="","",COUNTIFS($N$6:$N$2005,$N933,$P$6:$P$2005,"&lt;"&amp;$P933)+COUNTIFS($A$6:$A$1005,$N933,$B$6:$B$1005,"&lt;"&amp;$P933)+1)</f>
        <v/>
      </c>
      <c r="S933">
        <f>IF($N933="","",$N933&amp;"|"&amp;RIGHT("000000"&amp;$R933,6))</f>
        <v/>
      </c>
      <c r="T933">
        <f>IF($N933="","",IF(Sync!$N933="",0,Sync!$N933))</f>
        <v/>
      </c>
      <c r="U933">
        <f>IF($N933="","",IF(Sync!$O933="",0,Sync!$O933))</f>
        <v/>
      </c>
      <c r="V933">
        <f>IF($N933="","",Sync!$L933)</f>
        <v/>
      </c>
      <c r="W933">
        <f>IF($N933="","",Sync!$P933)</f>
        <v/>
      </c>
      <c r="AA933">
        <f>IF($A933="","",IF(COUNTIF($A$6:$A933,$A933)=1,1,0))</f>
        <v/>
      </c>
      <c r="AB933">
        <f>SUM($AA$6:$AA933)</f>
        <v/>
      </c>
      <c r="AC933">
        <f>IFERROR(INDEX($A$6:$A$1005,MATCH(ROW()-5,$AB$6:$AB$1005,0)),"")</f>
        <v/>
      </c>
    </row>
    <row r="934">
      <c r="A934">
        <f>IF(OR(Entry!$B937="",Entry!$E937="",$E934="نامعتبر"),"",Entry!$E937)</f>
        <v/>
      </c>
      <c r="B934">
        <f>IF($A934="","",LEFT($E934,4)&amp;MID($E934,6,2)&amp;RIGHT($E934,2)&amp;$F934&amp;"|"&amp;"1"&amp;RIGHT("00000"&amp;929,5))</f>
        <v/>
      </c>
      <c r="C934">
        <f>IF($B934="","",COUNTIFS($A$6:$A$1005,$A934,$B$6:$B$1005,"&lt;"&amp;$B934)+COUNTIFS($N$6:$N$2005,$A934,$P$6:$P$2005,"&lt;"&amp;$B934)+1)</f>
        <v/>
      </c>
      <c r="D934">
        <f>IF($C934="","",$A934&amp;"|"&amp;RIGHT("000000"&amp;$C934,6))</f>
        <v/>
      </c>
      <c r="E934">
        <f>IF(Entry!$B937="","",IF(ISNUMBER(Entry!$B937),IF(AND(Entry!$B937&gt;=10000101,Entry!$B937&lt;=99991231),INT(Entry!$B937/10000)&amp;"/"&amp;RIGHT("00"&amp;INT(MOD(Entry!$B937,10000)/100),2)&amp;"/"&amp;RIGHT("00"&amp;MOD(Entry!$B937,100),2),"نامعتبر"),IF(LEN(Entry!$B937)=10,Entry!$B937,"نامعتبر")))</f>
        <v/>
      </c>
      <c r="F934">
        <f>IF(Entry!$B937="","",IF(Entry!$C937="","0000",IF(AND(ISNUMBER(Entry!$C937),Entry!$C937&gt;=0,Entry!$C937&lt;1),RIGHT("00"&amp;HOUR(Entry!$C937),2)&amp;RIGHT("00"&amp;MINUTE(Entry!$C937),2),IFERROR(RIGHT("00"&amp;VALUE(LEFT(Entry!$C937,FIND(":",Entry!$C937)-1)),2)&amp;RIGHT("00"&amp;VALUE(MID(Entry!$C937,FIND(":",Entry!$C937)+1,2)),2),"0000"))))</f>
        <v/>
      </c>
      <c r="G934">
        <f>IF($A934="","",Entry!$G937)</f>
        <v/>
      </c>
      <c r="H934">
        <f>IF($A934="","",IF(Entry!$H937="",0,Entry!$H937))</f>
        <v/>
      </c>
      <c r="I934">
        <f>IF($A934="","",IF(Entry!$I937="",0,Entry!$I937))</f>
        <v/>
      </c>
      <c r="J934">
        <f>IF($A934="","",ROUND($H934*$I934,0))</f>
        <v/>
      </c>
      <c r="K934">
        <f>IF($A934="","",Entry!$D937)</f>
        <v/>
      </c>
      <c r="L934">
        <f>IF($A934="","",Entry!$L937)</f>
        <v/>
      </c>
      <c r="N934">
        <f>IF(OR(Sync!$M934="",$Q934="",$Q934="نامعتبر"),"",Sync!$M934)</f>
        <v/>
      </c>
      <c r="O934">
        <f>IF($N934="","",$Q934)</f>
        <v/>
      </c>
      <c r="P934">
        <f>IF($N934="","",LEFT($Q934,4)&amp;MID($Q934,6,2)&amp;RIGHT($Q934,2)&amp;IF(Sync!$K934="","0000",IF(AND(ISNUMBER(Sync!$K934),Sync!$K934&gt;=0,Sync!$K934&lt;1),RIGHT("00"&amp;HOUR(Sync!$K934),2)&amp;RIGHT("00"&amp;MINUTE(Sync!$K934),2),IFERROR(RIGHT("00"&amp;VALUE(LEFT(Sync!$K934,FIND(":",Sync!$K934)-1)),2)&amp;RIGHT("00"&amp;VALUE(MID(Sync!$K934,FIND(":",Sync!$K934)+1,2)),2),"0000")))&amp;"|"&amp;"2"&amp;RIGHT("00000"&amp;929,5))</f>
        <v/>
      </c>
      <c r="Q934">
        <f>IF(Sync!$J934="","",IF(ISNUMBER(Sync!$J934),IF(AND(Sync!$J934&gt;=10000101,Sync!$J934&lt;=99991231),INT(Sync!$J934/10000)&amp;"/"&amp;RIGHT("00"&amp;INT(MOD(Sync!$J934,10000)/100),2)&amp;"/"&amp;RIGHT("00"&amp;MOD(Sync!$J934,100),2),"نامعتبر"),IF(LEN(Sync!$J934)=10,Sync!$J934,"نامعتبر")))</f>
        <v/>
      </c>
      <c r="R934">
        <f>IF($P934="","",COUNTIFS($N$6:$N$2005,$N934,$P$6:$P$2005,"&lt;"&amp;$P934)+COUNTIFS($A$6:$A$1005,$N934,$B$6:$B$1005,"&lt;"&amp;$P934)+1)</f>
        <v/>
      </c>
      <c r="S934">
        <f>IF($N934="","",$N934&amp;"|"&amp;RIGHT("000000"&amp;$R934,6))</f>
        <v/>
      </c>
      <c r="T934">
        <f>IF($N934="","",IF(Sync!$N934="",0,Sync!$N934))</f>
        <v/>
      </c>
      <c r="U934">
        <f>IF($N934="","",IF(Sync!$O934="",0,Sync!$O934))</f>
        <v/>
      </c>
      <c r="V934">
        <f>IF($N934="","",Sync!$L934)</f>
        <v/>
      </c>
      <c r="W934">
        <f>IF($N934="","",Sync!$P934)</f>
        <v/>
      </c>
      <c r="AA934">
        <f>IF($A934="","",IF(COUNTIF($A$6:$A934,$A934)=1,1,0))</f>
        <v/>
      </c>
      <c r="AB934">
        <f>SUM($AA$6:$AA934)</f>
        <v/>
      </c>
      <c r="AC934">
        <f>IFERROR(INDEX($A$6:$A$1005,MATCH(ROW()-5,$AB$6:$AB$1005,0)),"")</f>
        <v/>
      </c>
    </row>
    <row r="935">
      <c r="A935">
        <f>IF(OR(Entry!$B938="",Entry!$E938="",$E935="نامعتبر"),"",Entry!$E938)</f>
        <v/>
      </c>
      <c r="B935">
        <f>IF($A935="","",LEFT($E935,4)&amp;MID($E935,6,2)&amp;RIGHT($E935,2)&amp;$F935&amp;"|"&amp;"1"&amp;RIGHT("00000"&amp;930,5))</f>
        <v/>
      </c>
      <c r="C935">
        <f>IF($B935="","",COUNTIFS($A$6:$A$1005,$A935,$B$6:$B$1005,"&lt;"&amp;$B935)+COUNTIFS($N$6:$N$2005,$A935,$P$6:$P$2005,"&lt;"&amp;$B935)+1)</f>
        <v/>
      </c>
      <c r="D935">
        <f>IF($C935="","",$A935&amp;"|"&amp;RIGHT("000000"&amp;$C935,6))</f>
        <v/>
      </c>
      <c r="E935">
        <f>IF(Entry!$B938="","",IF(ISNUMBER(Entry!$B938),IF(AND(Entry!$B938&gt;=10000101,Entry!$B938&lt;=99991231),INT(Entry!$B938/10000)&amp;"/"&amp;RIGHT("00"&amp;INT(MOD(Entry!$B938,10000)/100),2)&amp;"/"&amp;RIGHT("00"&amp;MOD(Entry!$B938,100),2),"نامعتبر"),IF(LEN(Entry!$B938)=10,Entry!$B938,"نامعتبر")))</f>
        <v/>
      </c>
      <c r="F935">
        <f>IF(Entry!$B938="","",IF(Entry!$C938="","0000",IF(AND(ISNUMBER(Entry!$C938),Entry!$C938&gt;=0,Entry!$C938&lt;1),RIGHT("00"&amp;HOUR(Entry!$C938),2)&amp;RIGHT("00"&amp;MINUTE(Entry!$C938),2),IFERROR(RIGHT("00"&amp;VALUE(LEFT(Entry!$C938,FIND(":",Entry!$C938)-1)),2)&amp;RIGHT("00"&amp;VALUE(MID(Entry!$C938,FIND(":",Entry!$C938)+1,2)),2),"0000"))))</f>
        <v/>
      </c>
      <c r="G935">
        <f>IF($A935="","",Entry!$G938)</f>
        <v/>
      </c>
      <c r="H935">
        <f>IF($A935="","",IF(Entry!$H938="",0,Entry!$H938))</f>
        <v/>
      </c>
      <c r="I935">
        <f>IF($A935="","",IF(Entry!$I938="",0,Entry!$I938))</f>
        <v/>
      </c>
      <c r="J935">
        <f>IF($A935="","",ROUND($H935*$I935,0))</f>
        <v/>
      </c>
      <c r="K935">
        <f>IF($A935="","",Entry!$D938)</f>
        <v/>
      </c>
      <c r="L935">
        <f>IF($A935="","",Entry!$L938)</f>
        <v/>
      </c>
      <c r="N935">
        <f>IF(OR(Sync!$M935="",$Q935="",$Q935="نامعتبر"),"",Sync!$M935)</f>
        <v/>
      </c>
      <c r="O935">
        <f>IF($N935="","",$Q935)</f>
        <v/>
      </c>
      <c r="P935">
        <f>IF($N935="","",LEFT($Q935,4)&amp;MID($Q935,6,2)&amp;RIGHT($Q935,2)&amp;IF(Sync!$K935="","0000",IF(AND(ISNUMBER(Sync!$K935),Sync!$K935&gt;=0,Sync!$K935&lt;1),RIGHT("00"&amp;HOUR(Sync!$K935),2)&amp;RIGHT("00"&amp;MINUTE(Sync!$K935),2),IFERROR(RIGHT("00"&amp;VALUE(LEFT(Sync!$K935,FIND(":",Sync!$K935)-1)),2)&amp;RIGHT("00"&amp;VALUE(MID(Sync!$K935,FIND(":",Sync!$K935)+1,2)),2),"0000")))&amp;"|"&amp;"2"&amp;RIGHT("00000"&amp;930,5))</f>
        <v/>
      </c>
      <c r="Q935">
        <f>IF(Sync!$J935="","",IF(ISNUMBER(Sync!$J935),IF(AND(Sync!$J935&gt;=10000101,Sync!$J935&lt;=99991231),INT(Sync!$J935/10000)&amp;"/"&amp;RIGHT("00"&amp;INT(MOD(Sync!$J935,10000)/100),2)&amp;"/"&amp;RIGHT("00"&amp;MOD(Sync!$J935,100),2),"نامعتبر"),IF(LEN(Sync!$J935)=10,Sync!$J935,"نامعتبر")))</f>
        <v/>
      </c>
      <c r="R935">
        <f>IF($P935="","",COUNTIFS($N$6:$N$2005,$N935,$P$6:$P$2005,"&lt;"&amp;$P935)+COUNTIFS($A$6:$A$1005,$N935,$B$6:$B$1005,"&lt;"&amp;$P935)+1)</f>
        <v/>
      </c>
      <c r="S935">
        <f>IF($N935="","",$N935&amp;"|"&amp;RIGHT("000000"&amp;$R935,6))</f>
        <v/>
      </c>
      <c r="T935">
        <f>IF($N935="","",IF(Sync!$N935="",0,Sync!$N935))</f>
        <v/>
      </c>
      <c r="U935">
        <f>IF($N935="","",IF(Sync!$O935="",0,Sync!$O935))</f>
        <v/>
      </c>
      <c r="V935">
        <f>IF($N935="","",Sync!$L935)</f>
        <v/>
      </c>
      <c r="W935">
        <f>IF($N935="","",Sync!$P935)</f>
        <v/>
      </c>
      <c r="AA935">
        <f>IF($A935="","",IF(COUNTIF($A$6:$A935,$A935)=1,1,0))</f>
        <v/>
      </c>
      <c r="AB935">
        <f>SUM($AA$6:$AA935)</f>
        <v/>
      </c>
      <c r="AC935">
        <f>IFERROR(INDEX($A$6:$A$1005,MATCH(ROW()-5,$AB$6:$AB$1005,0)),"")</f>
        <v/>
      </c>
    </row>
    <row r="936">
      <c r="A936">
        <f>IF(OR(Entry!$B939="",Entry!$E939="",$E936="نامعتبر"),"",Entry!$E939)</f>
        <v/>
      </c>
      <c r="B936">
        <f>IF($A936="","",LEFT($E936,4)&amp;MID($E936,6,2)&amp;RIGHT($E936,2)&amp;$F936&amp;"|"&amp;"1"&amp;RIGHT("00000"&amp;931,5))</f>
        <v/>
      </c>
      <c r="C936">
        <f>IF($B936="","",COUNTIFS($A$6:$A$1005,$A936,$B$6:$B$1005,"&lt;"&amp;$B936)+COUNTIFS($N$6:$N$2005,$A936,$P$6:$P$2005,"&lt;"&amp;$B936)+1)</f>
        <v/>
      </c>
      <c r="D936">
        <f>IF($C936="","",$A936&amp;"|"&amp;RIGHT("000000"&amp;$C936,6))</f>
        <v/>
      </c>
      <c r="E936">
        <f>IF(Entry!$B939="","",IF(ISNUMBER(Entry!$B939),IF(AND(Entry!$B939&gt;=10000101,Entry!$B939&lt;=99991231),INT(Entry!$B939/10000)&amp;"/"&amp;RIGHT("00"&amp;INT(MOD(Entry!$B939,10000)/100),2)&amp;"/"&amp;RIGHT("00"&amp;MOD(Entry!$B939,100),2),"نامعتبر"),IF(LEN(Entry!$B939)=10,Entry!$B939,"نامعتبر")))</f>
        <v/>
      </c>
      <c r="F936">
        <f>IF(Entry!$B939="","",IF(Entry!$C939="","0000",IF(AND(ISNUMBER(Entry!$C939),Entry!$C939&gt;=0,Entry!$C939&lt;1),RIGHT("00"&amp;HOUR(Entry!$C939),2)&amp;RIGHT("00"&amp;MINUTE(Entry!$C939),2),IFERROR(RIGHT("00"&amp;VALUE(LEFT(Entry!$C939,FIND(":",Entry!$C939)-1)),2)&amp;RIGHT("00"&amp;VALUE(MID(Entry!$C939,FIND(":",Entry!$C939)+1,2)),2),"0000"))))</f>
        <v/>
      </c>
      <c r="G936">
        <f>IF($A936="","",Entry!$G939)</f>
        <v/>
      </c>
      <c r="H936">
        <f>IF($A936="","",IF(Entry!$H939="",0,Entry!$H939))</f>
        <v/>
      </c>
      <c r="I936">
        <f>IF($A936="","",IF(Entry!$I939="",0,Entry!$I939))</f>
        <v/>
      </c>
      <c r="J936">
        <f>IF($A936="","",ROUND($H936*$I936,0))</f>
        <v/>
      </c>
      <c r="K936">
        <f>IF($A936="","",Entry!$D939)</f>
        <v/>
      </c>
      <c r="L936">
        <f>IF($A936="","",Entry!$L939)</f>
        <v/>
      </c>
      <c r="N936">
        <f>IF(OR(Sync!$M936="",$Q936="",$Q936="نامعتبر"),"",Sync!$M936)</f>
        <v/>
      </c>
      <c r="O936">
        <f>IF($N936="","",$Q936)</f>
        <v/>
      </c>
      <c r="P936">
        <f>IF($N936="","",LEFT($Q936,4)&amp;MID($Q936,6,2)&amp;RIGHT($Q936,2)&amp;IF(Sync!$K936="","0000",IF(AND(ISNUMBER(Sync!$K936),Sync!$K936&gt;=0,Sync!$K936&lt;1),RIGHT("00"&amp;HOUR(Sync!$K936),2)&amp;RIGHT("00"&amp;MINUTE(Sync!$K936),2),IFERROR(RIGHT("00"&amp;VALUE(LEFT(Sync!$K936,FIND(":",Sync!$K936)-1)),2)&amp;RIGHT("00"&amp;VALUE(MID(Sync!$K936,FIND(":",Sync!$K936)+1,2)),2),"0000")))&amp;"|"&amp;"2"&amp;RIGHT("00000"&amp;931,5))</f>
        <v/>
      </c>
      <c r="Q936">
        <f>IF(Sync!$J936="","",IF(ISNUMBER(Sync!$J936),IF(AND(Sync!$J936&gt;=10000101,Sync!$J936&lt;=99991231),INT(Sync!$J936/10000)&amp;"/"&amp;RIGHT("00"&amp;INT(MOD(Sync!$J936,10000)/100),2)&amp;"/"&amp;RIGHT("00"&amp;MOD(Sync!$J936,100),2),"نامعتبر"),IF(LEN(Sync!$J936)=10,Sync!$J936,"نامعتبر")))</f>
        <v/>
      </c>
      <c r="R936">
        <f>IF($P936="","",COUNTIFS($N$6:$N$2005,$N936,$P$6:$P$2005,"&lt;"&amp;$P936)+COUNTIFS($A$6:$A$1005,$N936,$B$6:$B$1005,"&lt;"&amp;$P936)+1)</f>
        <v/>
      </c>
      <c r="S936">
        <f>IF($N936="","",$N936&amp;"|"&amp;RIGHT("000000"&amp;$R936,6))</f>
        <v/>
      </c>
      <c r="T936">
        <f>IF($N936="","",IF(Sync!$N936="",0,Sync!$N936))</f>
        <v/>
      </c>
      <c r="U936">
        <f>IF($N936="","",IF(Sync!$O936="",0,Sync!$O936))</f>
        <v/>
      </c>
      <c r="V936">
        <f>IF($N936="","",Sync!$L936)</f>
        <v/>
      </c>
      <c r="W936">
        <f>IF($N936="","",Sync!$P936)</f>
        <v/>
      </c>
      <c r="AA936">
        <f>IF($A936="","",IF(COUNTIF($A$6:$A936,$A936)=1,1,0))</f>
        <v/>
      </c>
      <c r="AB936">
        <f>SUM($AA$6:$AA936)</f>
        <v/>
      </c>
      <c r="AC936">
        <f>IFERROR(INDEX($A$6:$A$1005,MATCH(ROW()-5,$AB$6:$AB$1005,0)),"")</f>
        <v/>
      </c>
    </row>
    <row r="937">
      <c r="A937">
        <f>IF(OR(Entry!$B940="",Entry!$E940="",$E937="نامعتبر"),"",Entry!$E940)</f>
        <v/>
      </c>
      <c r="B937">
        <f>IF($A937="","",LEFT($E937,4)&amp;MID($E937,6,2)&amp;RIGHT($E937,2)&amp;$F937&amp;"|"&amp;"1"&amp;RIGHT("00000"&amp;932,5))</f>
        <v/>
      </c>
      <c r="C937">
        <f>IF($B937="","",COUNTIFS($A$6:$A$1005,$A937,$B$6:$B$1005,"&lt;"&amp;$B937)+COUNTIFS($N$6:$N$2005,$A937,$P$6:$P$2005,"&lt;"&amp;$B937)+1)</f>
        <v/>
      </c>
      <c r="D937">
        <f>IF($C937="","",$A937&amp;"|"&amp;RIGHT("000000"&amp;$C937,6))</f>
        <v/>
      </c>
      <c r="E937">
        <f>IF(Entry!$B940="","",IF(ISNUMBER(Entry!$B940),IF(AND(Entry!$B940&gt;=10000101,Entry!$B940&lt;=99991231),INT(Entry!$B940/10000)&amp;"/"&amp;RIGHT("00"&amp;INT(MOD(Entry!$B940,10000)/100),2)&amp;"/"&amp;RIGHT("00"&amp;MOD(Entry!$B940,100),2),"نامعتبر"),IF(LEN(Entry!$B940)=10,Entry!$B940,"نامعتبر")))</f>
        <v/>
      </c>
      <c r="F937">
        <f>IF(Entry!$B940="","",IF(Entry!$C940="","0000",IF(AND(ISNUMBER(Entry!$C940),Entry!$C940&gt;=0,Entry!$C940&lt;1),RIGHT("00"&amp;HOUR(Entry!$C940),2)&amp;RIGHT("00"&amp;MINUTE(Entry!$C940),2),IFERROR(RIGHT("00"&amp;VALUE(LEFT(Entry!$C940,FIND(":",Entry!$C940)-1)),2)&amp;RIGHT("00"&amp;VALUE(MID(Entry!$C940,FIND(":",Entry!$C940)+1,2)),2),"0000"))))</f>
        <v/>
      </c>
      <c r="G937">
        <f>IF($A937="","",Entry!$G940)</f>
        <v/>
      </c>
      <c r="H937">
        <f>IF($A937="","",IF(Entry!$H940="",0,Entry!$H940))</f>
        <v/>
      </c>
      <c r="I937">
        <f>IF($A937="","",IF(Entry!$I940="",0,Entry!$I940))</f>
        <v/>
      </c>
      <c r="J937">
        <f>IF($A937="","",ROUND($H937*$I937,0))</f>
        <v/>
      </c>
      <c r="K937">
        <f>IF($A937="","",Entry!$D940)</f>
        <v/>
      </c>
      <c r="L937">
        <f>IF($A937="","",Entry!$L940)</f>
        <v/>
      </c>
      <c r="N937">
        <f>IF(OR(Sync!$M937="",$Q937="",$Q937="نامعتبر"),"",Sync!$M937)</f>
        <v/>
      </c>
      <c r="O937">
        <f>IF($N937="","",$Q937)</f>
        <v/>
      </c>
      <c r="P937">
        <f>IF($N937="","",LEFT($Q937,4)&amp;MID($Q937,6,2)&amp;RIGHT($Q937,2)&amp;IF(Sync!$K937="","0000",IF(AND(ISNUMBER(Sync!$K937),Sync!$K937&gt;=0,Sync!$K937&lt;1),RIGHT("00"&amp;HOUR(Sync!$K937),2)&amp;RIGHT("00"&amp;MINUTE(Sync!$K937),2),IFERROR(RIGHT("00"&amp;VALUE(LEFT(Sync!$K937,FIND(":",Sync!$K937)-1)),2)&amp;RIGHT("00"&amp;VALUE(MID(Sync!$K937,FIND(":",Sync!$K937)+1,2)),2),"0000")))&amp;"|"&amp;"2"&amp;RIGHT("00000"&amp;932,5))</f>
        <v/>
      </c>
      <c r="Q937">
        <f>IF(Sync!$J937="","",IF(ISNUMBER(Sync!$J937),IF(AND(Sync!$J937&gt;=10000101,Sync!$J937&lt;=99991231),INT(Sync!$J937/10000)&amp;"/"&amp;RIGHT("00"&amp;INT(MOD(Sync!$J937,10000)/100),2)&amp;"/"&amp;RIGHT("00"&amp;MOD(Sync!$J937,100),2),"نامعتبر"),IF(LEN(Sync!$J937)=10,Sync!$J937,"نامعتبر")))</f>
        <v/>
      </c>
      <c r="R937">
        <f>IF($P937="","",COUNTIFS($N$6:$N$2005,$N937,$P$6:$P$2005,"&lt;"&amp;$P937)+COUNTIFS($A$6:$A$1005,$N937,$B$6:$B$1005,"&lt;"&amp;$P937)+1)</f>
        <v/>
      </c>
      <c r="S937">
        <f>IF($N937="","",$N937&amp;"|"&amp;RIGHT("000000"&amp;$R937,6))</f>
        <v/>
      </c>
      <c r="T937">
        <f>IF($N937="","",IF(Sync!$N937="",0,Sync!$N937))</f>
        <v/>
      </c>
      <c r="U937">
        <f>IF($N937="","",IF(Sync!$O937="",0,Sync!$O937))</f>
        <v/>
      </c>
      <c r="V937">
        <f>IF($N937="","",Sync!$L937)</f>
        <v/>
      </c>
      <c r="W937">
        <f>IF($N937="","",Sync!$P937)</f>
        <v/>
      </c>
      <c r="AA937">
        <f>IF($A937="","",IF(COUNTIF($A$6:$A937,$A937)=1,1,0))</f>
        <v/>
      </c>
      <c r="AB937">
        <f>SUM($AA$6:$AA937)</f>
        <v/>
      </c>
      <c r="AC937">
        <f>IFERROR(INDEX($A$6:$A$1005,MATCH(ROW()-5,$AB$6:$AB$1005,0)),"")</f>
        <v/>
      </c>
    </row>
    <row r="938">
      <c r="A938">
        <f>IF(OR(Entry!$B941="",Entry!$E941="",$E938="نامعتبر"),"",Entry!$E941)</f>
        <v/>
      </c>
      <c r="B938">
        <f>IF($A938="","",LEFT($E938,4)&amp;MID($E938,6,2)&amp;RIGHT($E938,2)&amp;$F938&amp;"|"&amp;"1"&amp;RIGHT("00000"&amp;933,5))</f>
        <v/>
      </c>
      <c r="C938">
        <f>IF($B938="","",COUNTIFS($A$6:$A$1005,$A938,$B$6:$B$1005,"&lt;"&amp;$B938)+COUNTIFS($N$6:$N$2005,$A938,$P$6:$P$2005,"&lt;"&amp;$B938)+1)</f>
        <v/>
      </c>
      <c r="D938">
        <f>IF($C938="","",$A938&amp;"|"&amp;RIGHT("000000"&amp;$C938,6))</f>
        <v/>
      </c>
      <c r="E938">
        <f>IF(Entry!$B941="","",IF(ISNUMBER(Entry!$B941),IF(AND(Entry!$B941&gt;=10000101,Entry!$B941&lt;=99991231),INT(Entry!$B941/10000)&amp;"/"&amp;RIGHT("00"&amp;INT(MOD(Entry!$B941,10000)/100),2)&amp;"/"&amp;RIGHT("00"&amp;MOD(Entry!$B941,100),2),"نامعتبر"),IF(LEN(Entry!$B941)=10,Entry!$B941,"نامعتبر")))</f>
        <v/>
      </c>
      <c r="F938">
        <f>IF(Entry!$B941="","",IF(Entry!$C941="","0000",IF(AND(ISNUMBER(Entry!$C941),Entry!$C941&gt;=0,Entry!$C941&lt;1),RIGHT("00"&amp;HOUR(Entry!$C941),2)&amp;RIGHT("00"&amp;MINUTE(Entry!$C941),2),IFERROR(RIGHT("00"&amp;VALUE(LEFT(Entry!$C941,FIND(":",Entry!$C941)-1)),2)&amp;RIGHT("00"&amp;VALUE(MID(Entry!$C941,FIND(":",Entry!$C941)+1,2)),2),"0000"))))</f>
        <v/>
      </c>
      <c r="G938">
        <f>IF($A938="","",Entry!$G941)</f>
        <v/>
      </c>
      <c r="H938">
        <f>IF($A938="","",IF(Entry!$H941="",0,Entry!$H941))</f>
        <v/>
      </c>
      <c r="I938">
        <f>IF($A938="","",IF(Entry!$I941="",0,Entry!$I941))</f>
        <v/>
      </c>
      <c r="J938">
        <f>IF($A938="","",ROUND($H938*$I938,0))</f>
        <v/>
      </c>
      <c r="K938">
        <f>IF($A938="","",Entry!$D941)</f>
        <v/>
      </c>
      <c r="L938">
        <f>IF($A938="","",Entry!$L941)</f>
        <v/>
      </c>
      <c r="N938">
        <f>IF(OR(Sync!$M938="",$Q938="",$Q938="نامعتبر"),"",Sync!$M938)</f>
        <v/>
      </c>
      <c r="O938">
        <f>IF($N938="","",$Q938)</f>
        <v/>
      </c>
      <c r="P938">
        <f>IF($N938="","",LEFT($Q938,4)&amp;MID($Q938,6,2)&amp;RIGHT($Q938,2)&amp;IF(Sync!$K938="","0000",IF(AND(ISNUMBER(Sync!$K938),Sync!$K938&gt;=0,Sync!$K938&lt;1),RIGHT("00"&amp;HOUR(Sync!$K938),2)&amp;RIGHT("00"&amp;MINUTE(Sync!$K938),2),IFERROR(RIGHT("00"&amp;VALUE(LEFT(Sync!$K938,FIND(":",Sync!$K938)-1)),2)&amp;RIGHT("00"&amp;VALUE(MID(Sync!$K938,FIND(":",Sync!$K938)+1,2)),2),"0000")))&amp;"|"&amp;"2"&amp;RIGHT("00000"&amp;933,5))</f>
        <v/>
      </c>
      <c r="Q938">
        <f>IF(Sync!$J938="","",IF(ISNUMBER(Sync!$J938),IF(AND(Sync!$J938&gt;=10000101,Sync!$J938&lt;=99991231),INT(Sync!$J938/10000)&amp;"/"&amp;RIGHT("00"&amp;INT(MOD(Sync!$J938,10000)/100),2)&amp;"/"&amp;RIGHT("00"&amp;MOD(Sync!$J938,100),2),"نامعتبر"),IF(LEN(Sync!$J938)=10,Sync!$J938,"نامعتبر")))</f>
        <v/>
      </c>
      <c r="R938">
        <f>IF($P938="","",COUNTIFS($N$6:$N$2005,$N938,$P$6:$P$2005,"&lt;"&amp;$P938)+COUNTIFS($A$6:$A$1005,$N938,$B$6:$B$1005,"&lt;"&amp;$P938)+1)</f>
        <v/>
      </c>
      <c r="S938">
        <f>IF($N938="","",$N938&amp;"|"&amp;RIGHT("000000"&amp;$R938,6))</f>
        <v/>
      </c>
      <c r="T938">
        <f>IF($N938="","",IF(Sync!$N938="",0,Sync!$N938))</f>
        <v/>
      </c>
      <c r="U938">
        <f>IF($N938="","",IF(Sync!$O938="",0,Sync!$O938))</f>
        <v/>
      </c>
      <c r="V938">
        <f>IF($N938="","",Sync!$L938)</f>
        <v/>
      </c>
      <c r="W938">
        <f>IF($N938="","",Sync!$P938)</f>
        <v/>
      </c>
      <c r="AA938">
        <f>IF($A938="","",IF(COUNTIF($A$6:$A938,$A938)=1,1,0))</f>
        <v/>
      </c>
      <c r="AB938">
        <f>SUM($AA$6:$AA938)</f>
        <v/>
      </c>
      <c r="AC938">
        <f>IFERROR(INDEX($A$6:$A$1005,MATCH(ROW()-5,$AB$6:$AB$1005,0)),"")</f>
        <v/>
      </c>
    </row>
    <row r="939">
      <c r="A939">
        <f>IF(OR(Entry!$B942="",Entry!$E942="",$E939="نامعتبر"),"",Entry!$E942)</f>
        <v/>
      </c>
      <c r="B939">
        <f>IF($A939="","",LEFT($E939,4)&amp;MID($E939,6,2)&amp;RIGHT($E939,2)&amp;$F939&amp;"|"&amp;"1"&amp;RIGHT("00000"&amp;934,5))</f>
        <v/>
      </c>
      <c r="C939">
        <f>IF($B939="","",COUNTIFS($A$6:$A$1005,$A939,$B$6:$B$1005,"&lt;"&amp;$B939)+COUNTIFS($N$6:$N$2005,$A939,$P$6:$P$2005,"&lt;"&amp;$B939)+1)</f>
        <v/>
      </c>
      <c r="D939">
        <f>IF($C939="","",$A939&amp;"|"&amp;RIGHT("000000"&amp;$C939,6))</f>
        <v/>
      </c>
      <c r="E939">
        <f>IF(Entry!$B942="","",IF(ISNUMBER(Entry!$B942),IF(AND(Entry!$B942&gt;=10000101,Entry!$B942&lt;=99991231),INT(Entry!$B942/10000)&amp;"/"&amp;RIGHT("00"&amp;INT(MOD(Entry!$B942,10000)/100),2)&amp;"/"&amp;RIGHT("00"&amp;MOD(Entry!$B942,100),2),"نامعتبر"),IF(LEN(Entry!$B942)=10,Entry!$B942,"نامعتبر")))</f>
        <v/>
      </c>
      <c r="F939">
        <f>IF(Entry!$B942="","",IF(Entry!$C942="","0000",IF(AND(ISNUMBER(Entry!$C942),Entry!$C942&gt;=0,Entry!$C942&lt;1),RIGHT("00"&amp;HOUR(Entry!$C942),2)&amp;RIGHT("00"&amp;MINUTE(Entry!$C942),2),IFERROR(RIGHT("00"&amp;VALUE(LEFT(Entry!$C942,FIND(":",Entry!$C942)-1)),2)&amp;RIGHT("00"&amp;VALUE(MID(Entry!$C942,FIND(":",Entry!$C942)+1,2)),2),"0000"))))</f>
        <v/>
      </c>
      <c r="G939">
        <f>IF($A939="","",Entry!$G942)</f>
        <v/>
      </c>
      <c r="H939">
        <f>IF($A939="","",IF(Entry!$H942="",0,Entry!$H942))</f>
        <v/>
      </c>
      <c r="I939">
        <f>IF($A939="","",IF(Entry!$I942="",0,Entry!$I942))</f>
        <v/>
      </c>
      <c r="J939">
        <f>IF($A939="","",ROUND($H939*$I939,0))</f>
        <v/>
      </c>
      <c r="K939">
        <f>IF($A939="","",Entry!$D942)</f>
        <v/>
      </c>
      <c r="L939">
        <f>IF($A939="","",Entry!$L942)</f>
        <v/>
      </c>
      <c r="N939">
        <f>IF(OR(Sync!$M939="",$Q939="",$Q939="نامعتبر"),"",Sync!$M939)</f>
        <v/>
      </c>
      <c r="O939">
        <f>IF($N939="","",$Q939)</f>
        <v/>
      </c>
      <c r="P939">
        <f>IF($N939="","",LEFT($Q939,4)&amp;MID($Q939,6,2)&amp;RIGHT($Q939,2)&amp;IF(Sync!$K939="","0000",IF(AND(ISNUMBER(Sync!$K939),Sync!$K939&gt;=0,Sync!$K939&lt;1),RIGHT("00"&amp;HOUR(Sync!$K939),2)&amp;RIGHT("00"&amp;MINUTE(Sync!$K939),2),IFERROR(RIGHT("00"&amp;VALUE(LEFT(Sync!$K939,FIND(":",Sync!$K939)-1)),2)&amp;RIGHT("00"&amp;VALUE(MID(Sync!$K939,FIND(":",Sync!$K939)+1,2)),2),"0000")))&amp;"|"&amp;"2"&amp;RIGHT("00000"&amp;934,5))</f>
        <v/>
      </c>
      <c r="Q939">
        <f>IF(Sync!$J939="","",IF(ISNUMBER(Sync!$J939),IF(AND(Sync!$J939&gt;=10000101,Sync!$J939&lt;=99991231),INT(Sync!$J939/10000)&amp;"/"&amp;RIGHT("00"&amp;INT(MOD(Sync!$J939,10000)/100),2)&amp;"/"&amp;RIGHT("00"&amp;MOD(Sync!$J939,100),2),"نامعتبر"),IF(LEN(Sync!$J939)=10,Sync!$J939,"نامعتبر")))</f>
        <v/>
      </c>
      <c r="R939">
        <f>IF($P939="","",COUNTIFS($N$6:$N$2005,$N939,$P$6:$P$2005,"&lt;"&amp;$P939)+COUNTIFS($A$6:$A$1005,$N939,$B$6:$B$1005,"&lt;"&amp;$P939)+1)</f>
        <v/>
      </c>
      <c r="S939">
        <f>IF($N939="","",$N939&amp;"|"&amp;RIGHT("000000"&amp;$R939,6))</f>
        <v/>
      </c>
      <c r="T939">
        <f>IF($N939="","",IF(Sync!$N939="",0,Sync!$N939))</f>
        <v/>
      </c>
      <c r="U939">
        <f>IF($N939="","",IF(Sync!$O939="",0,Sync!$O939))</f>
        <v/>
      </c>
      <c r="V939">
        <f>IF($N939="","",Sync!$L939)</f>
        <v/>
      </c>
      <c r="W939">
        <f>IF($N939="","",Sync!$P939)</f>
        <v/>
      </c>
      <c r="AA939">
        <f>IF($A939="","",IF(COUNTIF($A$6:$A939,$A939)=1,1,0))</f>
        <v/>
      </c>
      <c r="AB939">
        <f>SUM($AA$6:$AA939)</f>
        <v/>
      </c>
      <c r="AC939">
        <f>IFERROR(INDEX($A$6:$A$1005,MATCH(ROW()-5,$AB$6:$AB$1005,0)),"")</f>
        <v/>
      </c>
    </row>
    <row r="940">
      <c r="A940">
        <f>IF(OR(Entry!$B943="",Entry!$E943="",$E940="نامعتبر"),"",Entry!$E943)</f>
        <v/>
      </c>
      <c r="B940">
        <f>IF($A940="","",LEFT($E940,4)&amp;MID($E940,6,2)&amp;RIGHT($E940,2)&amp;$F940&amp;"|"&amp;"1"&amp;RIGHT("00000"&amp;935,5))</f>
        <v/>
      </c>
      <c r="C940">
        <f>IF($B940="","",COUNTIFS($A$6:$A$1005,$A940,$B$6:$B$1005,"&lt;"&amp;$B940)+COUNTIFS($N$6:$N$2005,$A940,$P$6:$P$2005,"&lt;"&amp;$B940)+1)</f>
        <v/>
      </c>
      <c r="D940">
        <f>IF($C940="","",$A940&amp;"|"&amp;RIGHT("000000"&amp;$C940,6))</f>
        <v/>
      </c>
      <c r="E940">
        <f>IF(Entry!$B943="","",IF(ISNUMBER(Entry!$B943),IF(AND(Entry!$B943&gt;=10000101,Entry!$B943&lt;=99991231),INT(Entry!$B943/10000)&amp;"/"&amp;RIGHT("00"&amp;INT(MOD(Entry!$B943,10000)/100),2)&amp;"/"&amp;RIGHT("00"&amp;MOD(Entry!$B943,100),2),"نامعتبر"),IF(LEN(Entry!$B943)=10,Entry!$B943,"نامعتبر")))</f>
        <v/>
      </c>
      <c r="F940">
        <f>IF(Entry!$B943="","",IF(Entry!$C943="","0000",IF(AND(ISNUMBER(Entry!$C943),Entry!$C943&gt;=0,Entry!$C943&lt;1),RIGHT("00"&amp;HOUR(Entry!$C943),2)&amp;RIGHT("00"&amp;MINUTE(Entry!$C943),2),IFERROR(RIGHT("00"&amp;VALUE(LEFT(Entry!$C943,FIND(":",Entry!$C943)-1)),2)&amp;RIGHT("00"&amp;VALUE(MID(Entry!$C943,FIND(":",Entry!$C943)+1,2)),2),"0000"))))</f>
        <v/>
      </c>
      <c r="G940">
        <f>IF($A940="","",Entry!$G943)</f>
        <v/>
      </c>
      <c r="H940">
        <f>IF($A940="","",IF(Entry!$H943="",0,Entry!$H943))</f>
        <v/>
      </c>
      <c r="I940">
        <f>IF($A940="","",IF(Entry!$I943="",0,Entry!$I943))</f>
        <v/>
      </c>
      <c r="J940">
        <f>IF($A940="","",ROUND($H940*$I940,0))</f>
        <v/>
      </c>
      <c r="K940">
        <f>IF($A940="","",Entry!$D943)</f>
        <v/>
      </c>
      <c r="L940">
        <f>IF($A940="","",Entry!$L943)</f>
        <v/>
      </c>
      <c r="N940">
        <f>IF(OR(Sync!$M940="",$Q940="",$Q940="نامعتبر"),"",Sync!$M940)</f>
        <v/>
      </c>
      <c r="O940">
        <f>IF($N940="","",$Q940)</f>
        <v/>
      </c>
      <c r="P940">
        <f>IF($N940="","",LEFT($Q940,4)&amp;MID($Q940,6,2)&amp;RIGHT($Q940,2)&amp;IF(Sync!$K940="","0000",IF(AND(ISNUMBER(Sync!$K940),Sync!$K940&gt;=0,Sync!$K940&lt;1),RIGHT("00"&amp;HOUR(Sync!$K940),2)&amp;RIGHT("00"&amp;MINUTE(Sync!$K940),2),IFERROR(RIGHT("00"&amp;VALUE(LEFT(Sync!$K940,FIND(":",Sync!$K940)-1)),2)&amp;RIGHT("00"&amp;VALUE(MID(Sync!$K940,FIND(":",Sync!$K940)+1,2)),2),"0000")))&amp;"|"&amp;"2"&amp;RIGHT("00000"&amp;935,5))</f>
        <v/>
      </c>
      <c r="Q940">
        <f>IF(Sync!$J940="","",IF(ISNUMBER(Sync!$J940),IF(AND(Sync!$J940&gt;=10000101,Sync!$J940&lt;=99991231),INT(Sync!$J940/10000)&amp;"/"&amp;RIGHT("00"&amp;INT(MOD(Sync!$J940,10000)/100),2)&amp;"/"&amp;RIGHT("00"&amp;MOD(Sync!$J940,100),2),"نامعتبر"),IF(LEN(Sync!$J940)=10,Sync!$J940,"نامعتبر")))</f>
        <v/>
      </c>
      <c r="R940">
        <f>IF($P940="","",COUNTIFS($N$6:$N$2005,$N940,$P$6:$P$2005,"&lt;"&amp;$P940)+COUNTIFS($A$6:$A$1005,$N940,$B$6:$B$1005,"&lt;"&amp;$P940)+1)</f>
        <v/>
      </c>
      <c r="S940">
        <f>IF($N940="","",$N940&amp;"|"&amp;RIGHT("000000"&amp;$R940,6))</f>
        <v/>
      </c>
      <c r="T940">
        <f>IF($N940="","",IF(Sync!$N940="",0,Sync!$N940))</f>
        <v/>
      </c>
      <c r="U940">
        <f>IF($N940="","",IF(Sync!$O940="",0,Sync!$O940))</f>
        <v/>
      </c>
      <c r="V940">
        <f>IF($N940="","",Sync!$L940)</f>
        <v/>
      </c>
      <c r="W940">
        <f>IF($N940="","",Sync!$P940)</f>
        <v/>
      </c>
      <c r="AA940">
        <f>IF($A940="","",IF(COUNTIF($A$6:$A940,$A940)=1,1,0))</f>
        <v/>
      </c>
      <c r="AB940">
        <f>SUM($AA$6:$AA940)</f>
        <v/>
      </c>
      <c r="AC940">
        <f>IFERROR(INDEX($A$6:$A$1005,MATCH(ROW()-5,$AB$6:$AB$1005,0)),"")</f>
        <v/>
      </c>
    </row>
    <row r="941">
      <c r="A941">
        <f>IF(OR(Entry!$B944="",Entry!$E944="",$E941="نامعتبر"),"",Entry!$E944)</f>
        <v/>
      </c>
      <c r="B941">
        <f>IF($A941="","",LEFT($E941,4)&amp;MID($E941,6,2)&amp;RIGHT($E941,2)&amp;$F941&amp;"|"&amp;"1"&amp;RIGHT("00000"&amp;936,5))</f>
        <v/>
      </c>
      <c r="C941">
        <f>IF($B941="","",COUNTIFS($A$6:$A$1005,$A941,$B$6:$B$1005,"&lt;"&amp;$B941)+COUNTIFS($N$6:$N$2005,$A941,$P$6:$P$2005,"&lt;"&amp;$B941)+1)</f>
        <v/>
      </c>
      <c r="D941">
        <f>IF($C941="","",$A941&amp;"|"&amp;RIGHT("000000"&amp;$C941,6))</f>
        <v/>
      </c>
      <c r="E941">
        <f>IF(Entry!$B944="","",IF(ISNUMBER(Entry!$B944),IF(AND(Entry!$B944&gt;=10000101,Entry!$B944&lt;=99991231),INT(Entry!$B944/10000)&amp;"/"&amp;RIGHT("00"&amp;INT(MOD(Entry!$B944,10000)/100),2)&amp;"/"&amp;RIGHT("00"&amp;MOD(Entry!$B944,100),2),"نامعتبر"),IF(LEN(Entry!$B944)=10,Entry!$B944,"نامعتبر")))</f>
        <v/>
      </c>
      <c r="F941">
        <f>IF(Entry!$B944="","",IF(Entry!$C944="","0000",IF(AND(ISNUMBER(Entry!$C944),Entry!$C944&gt;=0,Entry!$C944&lt;1),RIGHT("00"&amp;HOUR(Entry!$C944),2)&amp;RIGHT("00"&amp;MINUTE(Entry!$C944),2),IFERROR(RIGHT("00"&amp;VALUE(LEFT(Entry!$C944,FIND(":",Entry!$C944)-1)),2)&amp;RIGHT("00"&amp;VALUE(MID(Entry!$C944,FIND(":",Entry!$C944)+1,2)),2),"0000"))))</f>
        <v/>
      </c>
      <c r="G941">
        <f>IF($A941="","",Entry!$G944)</f>
        <v/>
      </c>
      <c r="H941">
        <f>IF($A941="","",IF(Entry!$H944="",0,Entry!$H944))</f>
        <v/>
      </c>
      <c r="I941">
        <f>IF($A941="","",IF(Entry!$I944="",0,Entry!$I944))</f>
        <v/>
      </c>
      <c r="J941">
        <f>IF($A941="","",ROUND($H941*$I941,0))</f>
        <v/>
      </c>
      <c r="K941">
        <f>IF($A941="","",Entry!$D944)</f>
        <v/>
      </c>
      <c r="L941">
        <f>IF($A941="","",Entry!$L944)</f>
        <v/>
      </c>
      <c r="N941">
        <f>IF(OR(Sync!$M941="",$Q941="",$Q941="نامعتبر"),"",Sync!$M941)</f>
        <v/>
      </c>
      <c r="O941">
        <f>IF($N941="","",$Q941)</f>
        <v/>
      </c>
      <c r="P941">
        <f>IF($N941="","",LEFT($Q941,4)&amp;MID($Q941,6,2)&amp;RIGHT($Q941,2)&amp;IF(Sync!$K941="","0000",IF(AND(ISNUMBER(Sync!$K941),Sync!$K941&gt;=0,Sync!$K941&lt;1),RIGHT("00"&amp;HOUR(Sync!$K941),2)&amp;RIGHT("00"&amp;MINUTE(Sync!$K941),2),IFERROR(RIGHT("00"&amp;VALUE(LEFT(Sync!$K941,FIND(":",Sync!$K941)-1)),2)&amp;RIGHT("00"&amp;VALUE(MID(Sync!$K941,FIND(":",Sync!$K941)+1,2)),2),"0000")))&amp;"|"&amp;"2"&amp;RIGHT("00000"&amp;936,5))</f>
        <v/>
      </c>
      <c r="Q941">
        <f>IF(Sync!$J941="","",IF(ISNUMBER(Sync!$J941),IF(AND(Sync!$J941&gt;=10000101,Sync!$J941&lt;=99991231),INT(Sync!$J941/10000)&amp;"/"&amp;RIGHT("00"&amp;INT(MOD(Sync!$J941,10000)/100),2)&amp;"/"&amp;RIGHT("00"&amp;MOD(Sync!$J941,100),2),"نامعتبر"),IF(LEN(Sync!$J941)=10,Sync!$J941,"نامعتبر")))</f>
        <v/>
      </c>
      <c r="R941">
        <f>IF($P941="","",COUNTIFS($N$6:$N$2005,$N941,$P$6:$P$2005,"&lt;"&amp;$P941)+COUNTIFS($A$6:$A$1005,$N941,$B$6:$B$1005,"&lt;"&amp;$P941)+1)</f>
        <v/>
      </c>
      <c r="S941">
        <f>IF($N941="","",$N941&amp;"|"&amp;RIGHT("000000"&amp;$R941,6))</f>
        <v/>
      </c>
      <c r="T941">
        <f>IF($N941="","",IF(Sync!$N941="",0,Sync!$N941))</f>
        <v/>
      </c>
      <c r="U941">
        <f>IF($N941="","",IF(Sync!$O941="",0,Sync!$O941))</f>
        <v/>
      </c>
      <c r="V941">
        <f>IF($N941="","",Sync!$L941)</f>
        <v/>
      </c>
      <c r="W941">
        <f>IF($N941="","",Sync!$P941)</f>
        <v/>
      </c>
      <c r="AA941">
        <f>IF($A941="","",IF(COUNTIF($A$6:$A941,$A941)=1,1,0))</f>
        <v/>
      </c>
      <c r="AB941">
        <f>SUM($AA$6:$AA941)</f>
        <v/>
      </c>
      <c r="AC941">
        <f>IFERROR(INDEX($A$6:$A$1005,MATCH(ROW()-5,$AB$6:$AB$1005,0)),"")</f>
        <v/>
      </c>
    </row>
    <row r="942">
      <c r="A942">
        <f>IF(OR(Entry!$B945="",Entry!$E945="",$E942="نامعتبر"),"",Entry!$E945)</f>
        <v/>
      </c>
      <c r="B942">
        <f>IF($A942="","",LEFT($E942,4)&amp;MID($E942,6,2)&amp;RIGHT($E942,2)&amp;$F942&amp;"|"&amp;"1"&amp;RIGHT("00000"&amp;937,5))</f>
        <v/>
      </c>
      <c r="C942">
        <f>IF($B942="","",COUNTIFS($A$6:$A$1005,$A942,$B$6:$B$1005,"&lt;"&amp;$B942)+COUNTIFS($N$6:$N$2005,$A942,$P$6:$P$2005,"&lt;"&amp;$B942)+1)</f>
        <v/>
      </c>
      <c r="D942">
        <f>IF($C942="","",$A942&amp;"|"&amp;RIGHT("000000"&amp;$C942,6))</f>
        <v/>
      </c>
      <c r="E942">
        <f>IF(Entry!$B945="","",IF(ISNUMBER(Entry!$B945),IF(AND(Entry!$B945&gt;=10000101,Entry!$B945&lt;=99991231),INT(Entry!$B945/10000)&amp;"/"&amp;RIGHT("00"&amp;INT(MOD(Entry!$B945,10000)/100),2)&amp;"/"&amp;RIGHT("00"&amp;MOD(Entry!$B945,100),2),"نامعتبر"),IF(LEN(Entry!$B945)=10,Entry!$B945,"نامعتبر")))</f>
        <v/>
      </c>
      <c r="F942">
        <f>IF(Entry!$B945="","",IF(Entry!$C945="","0000",IF(AND(ISNUMBER(Entry!$C945),Entry!$C945&gt;=0,Entry!$C945&lt;1),RIGHT("00"&amp;HOUR(Entry!$C945),2)&amp;RIGHT("00"&amp;MINUTE(Entry!$C945),2),IFERROR(RIGHT("00"&amp;VALUE(LEFT(Entry!$C945,FIND(":",Entry!$C945)-1)),2)&amp;RIGHT("00"&amp;VALUE(MID(Entry!$C945,FIND(":",Entry!$C945)+1,2)),2),"0000"))))</f>
        <v/>
      </c>
      <c r="G942">
        <f>IF($A942="","",Entry!$G945)</f>
        <v/>
      </c>
      <c r="H942">
        <f>IF($A942="","",IF(Entry!$H945="",0,Entry!$H945))</f>
        <v/>
      </c>
      <c r="I942">
        <f>IF($A942="","",IF(Entry!$I945="",0,Entry!$I945))</f>
        <v/>
      </c>
      <c r="J942">
        <f>IF($A942="","",ROUND($H942*$I942,0))</f>
        <v/>
      </c>
      <c r="K942">
        <f>IF($A942="","",Entry!$D945)</f>
        <v/>
      </c>
      <c r="L942">
        <f>IF($A942="","",Entry!$L945)</f>
        <v/>
      </c>
      <c r="N942">
        <f>IF(OR(Sync!$M942="",$Q942="",$Q942="نامعتبر"),"",Sync!$M942)</f>
        <v/>
      </c>
      <c r="O942">
        <f>IF($N942="","",$Q942)</f>
        <v/>
      </c>
      <c r="P942">
        <f>IF($N942="","",LEFT($Q942,4)&amp;MID($Q942,6,2)&amp;RIGHT($Q942,2)&amp;IF(Sync!$K942="","0000",IF(AND(ISNUMBER(Sync!$K942),Sync!$K942&gt;=0,Sync!$K942&lt;1),RIGHT("00"&amp;HOUR(Sync!$K942),2)&amp;RIGHT("00"&amp;MINUTE(Sync!$K942),2),IFERROR(RIGHT("00"&amp;VALUE(LEFT(Sync!$K942,FIND(":",Sync!$K942)-1)),2)&amp;RIGHT("00"&amp;VALUE(MID(Sync!$K942,FIND(":",Sync!$K942)+1,2)),2),"0000")))&amp;"|"&amp;"2"&amp;RIGHT("00000"&amp;937,5))</f>
        <v/>
      </c>
      <c r="Q942">
        <f>IF(Sync!$J942="","",IF(ISNUMBER(Sync!$J942),IF(AND(Sync!$J942&gt;=10000101,Sync!$J942&lt;=99991231),INT(Sync!$J942/10000)&amp;"/"&amp;RIGHT("00"&amp;INT(MOD(Sync!$J942,10000)/100),2)&amp;"/"&amp;RIGHT("00"&amp;MOD(Sync!$J942,100),2),"نامعتبر"),IF(LEN(Sync!$J942)=10,Sync!$J942,"نامعتبر")))</f>
        <v/>
      </c>
      <c r="R942">
        <f>IF($P942="","",COUNTIFS($N$6:$N$2005,$N942,$P$6:$P$2005,"&lt;"&amp;$P942)+COUNTIFS($A$6:$A$1005,$N942,$B$6:$B$1005,"&lt;"&amp;$P942)+1)</f>
        <v/>
      </c>
      <c r="S942">
        <f>IF($N942="","",$N942&amp;"|"&amp;RIGHT("000000"&amp;$R942,6))</f>
        <v/>
      </c>
      <c r="T942">
        <f>IF($N942="","",IF(Sync!$N942="",0,Sync!$N942))</f>
        <v/>
      </c>
      <c r="U942">
        <f>IF($N942="","",IF(Sync!$O942="",0,Sync!$O942))</f>
        <v/>
      </c>
      <c r="V942">
        <f>IF($N942="","",Sync!$L942)</f>
        <v/>
      </c>
      <c r="W942">
        <f>IF($N942="","",Sync!$P942)</f>
        <v/>
      </c>
      <c r="AA942">
        <f>IF($A942="","",IF(COUNTIF($A$6:$A942,$A942)=1,1,0))</f>
        <v/>
      </c>
      <c r="AB942">
        <f>SUM($AA$6:$AA942)</f>
        <v/>
      </c>
      <c r="AC942">
        <f>IFERROR(INDEX($A$6:$A$1005,MATCH(ROW()-5,$AB$6:$AB$1005,0)),"")</f>
        <v/>
      </c>
    </row>
    <row r="943">
      <c r="A943">
        <f>IF(OR(Entry!$B946="",Entry!$E946="",$E943="نامعتبر"),"",Entry!$E946)</f>
        <v/>
      </c>
      <c r="B943">
        <f>IF($A943="","",LEFT($E943,4)&amp;MID($E943,6,2)&amp;RIGHT($E943,2)&amp;$F943&amp;"|"&amp;"1"&amp;RIGHT("00000"&amp;938,5))</f>
        <v/>
      </c>
      <c r="C943">
        <f>IF($B943="","",COUNTIFS($A$6:$A$1005,$A943,$B$6:$B$1005,"&lt;"&amp;$B943)+COUNTIFS($N$6:$N$2005,$A943,$P$6:$P$2005,"&lt;"&amp;$B943)+1)</f>
        <v/>
      </c>
      <c r="D943">
        <f>IF($C943="","",$A943&amp;"|"&amp;RIGHT("000000"&amp;$C943,6))</f>
        <v/>
      </c>
      <c r="E943">
        <f>IF(Entry!$B946="","",IF(ISNUMBER(Entry!$B946),IF(AND(Entry!$B946&gt;=10000101,Entry!$B946&lt;=99991231),INT(Entry!$B946/10000)&amp;"/"&amp;RIGHT("00"&amp;INT(MOD(Entry!$B946,10000)/100),2)&amp;"/"&amp;RIGHT("00"&amp;MOD(Entry!$B946,100),2),"نامعتبر"),IF(LEN(Entry!$B946)=10,Entry!$B946,"نامعتبر")))</f>
        <v/>
      </c>
      <c r="F943">
        <f>IF(Entry!$B946="","",IF(Entry!$C946="","0000",IF(AND(ISNUMBER(Entry!$C946),Entry!$C946&gt;=0,Entry!$C946&lt;1),RIGHT("00"&amp;HOUR(Entry!$C946),2)&amp;RIGHT("00"&amp;MINUTE(Entry!$C946),2),IFERROR(RIGHT("00"&amp;VALUE(LEFT(Entry!$C946,FIND(":",Entry!$C946)-1)),2)&amp;RIGHT("00"&amp;VALUE(MID(Entry!$C946,FIND(":",Entry!$C946)+1,2)),2),"0000"))))</f>
        <v/>
      </c>
      <c r="G943">
        <f>IF($A943="","",Entry!$G946)</f>
        <v/>
      </c>
      <c r="H943">
        <f>IF($A943="","",IF(Entry!$H946="",0,Entry!$H946))</f>
        <v/>
      </c>
      <c r="I943">
        <f>IF($A943="","",IF(Entry!$I946="",0,Entry!$I946))</f>
        <v/>
      </c>
      <c r="J943">
        <f>IF($A943="","",ROUND($H943*$I943,0))</f>
        <v/>
      </c>
      <c r="K943">
        <f>IF($A943="","",Entry!$D946)</f>
        <v/>
      </c>
      <c r="L943">
        <f>IF($A943="","",Entry!$L946)</f>
        <v/>
      </c>
      <c r="N943">
        <f>IF(OR(Sync!$M943="",$Q943="",$Q943="نامعتبر"),"",Sync!$M943)</f>
        <v/>
      </c>
      <c r="O943">
        <f>IF($N943="","",$Q943)</f>
        <v/>
      </c>
      <c r="P943">
        <f>IF($N943="","",LEFT($Q943,4)&amp;MID($Q943,6,2)&amp;RIGHT($Q943,2)&amp;IF(Sync!$K943="","0000",IF(AND(ISNUMBER(Sync!$K943),Sync!$K943&gt;=0,Sync!$K943&lt;1),RIGHT("00"&amp;HOUR(Sync!$K943),2)&amp;RIGHT("00"&amp;MINUTE(Sync!$K943),2),IFERROR(RIGHT("00"&amp;VALUE(LEFT(Sync!$K943,FIND(":",Sync!$K943)-1)),2)&amp;RIGHT("00"&amp;VALUE(MID(Sync!$K943,FIND(":",Sync!$K943)+1,2)),2),"0000")))&amp;"|"&amp;"2"&amp;RIGHT("00000"&amp;938,5))</f>
        <v/>
      </c>
      <c r="Q943">
        <f>IF(Sync!$J943="","",IF(ISNUMBER(Sync!$J943),IF(AND(Sync!$J943&gt;=10000101,Sync!$J943&lt;=99991231),INT(Sync!$J943/10000)&amp;"/"&amp;RIGHT("00"&amp;INT(MOD(Sync!$J943,10000)/100),2)&amp;"/"&amp;RIGHT("00"&amp;MOD(Sync!$J943,100),2),"نامعتبر"),IF(LEN(Sync!$J943)=10,Sync!$J943,"نامعتبر")))</f>
        <v/>
      </c>
      <c r="R943">
        <f>IF($P943="","",COUNTIFS($N$6:$N$2005,$N943,$P$6:$P$2005,"&lt;"&amp;$P943)+COUNTIFS($A$6:$A$1005,$N943,$B$6:$B$1005,"&lt;"&amp;$P943)+1)</f>
        <v/>
      </c>
      <c r="S943">
        <f>IF($N943="","",$N943&amp;"|"&amp;RIGHT("000000"&amp;$R943,6))</f>
        <v/>
      </c>
      <c r="T943">
        <f>IF($N943="","",IF(Sync!$N943="",0,Sync!$N943))</f>
        <v/>
      </c>
      <c r="U943">
        <f>IF($N943="","",IF(Sync!$O943="",0,Sync!$O943))</f>
        <v/>
      </c>
      <c r="V943">
        <f>IF($N943="","",Sync!$L943)</f>
        <v/>
      </c>
      <c r="W943">
        <f>IF($N943="","",Sync!$P943)</f>
        <v/>
      </c>
      <c r="AA943">
        <f>IF($A943="","",IF(COUNTIF($A$6:$A943,$A943)=1,1,0))</f>
        <v/>
      </c>
      <c r="AB943">
        <f>SUM($AA$6:$AA943)</f>
        <v/>
      </c>
      <c r="AC943">
        <f>IFERROR(INDEX($A$6:$A$1005,MATCH(ROW()-5,$AB$6:$AB$1005,0)),"")</f>
        <v/>
      </c>
    </row>
    <row r="944">
      <c r="A944">
        <f>IF(OR(Entry!$B947="",Entry!$E947="",$E944="نامعتبر"),"",Entry!$E947)</f>
        <v/>
      </c>
      <c r="B944">
        <f>IF($A944="","",LEFT($E944,4)&amp;MID($E944,6,2)&amp;RIGHT($E944,2)&amp;$F944&amp;"|"&amp;"1"&amp;RIGHT("00000"&amp;939,5))</f>
        <v/>
      </c>
      <c r="C944">
        <f>IF($B944="","",COUNTIFS($A$6:$A$1005,$A944,$B$6:$B$1005,"&lt;"&amp;$B944)+COUNTIFS($N$6:$N$2005,$A944,$P$6:$P$2005,"&lt;"&amp;$B944)+1)</f>
        <v/>
      </c>
      <c r="D944">
        <f>IF($C944="","",$A944&amp;"|"&amp;RIGHT("000000"&amp;$C944,6))</f>
        <v/>
      </c>
      <c r="E944">
        <f>IF(Entry!$B947="","",IF(ISNUMBER(Entry!$B947),IF(AND(Entry!$B947&gt;=10000101,Entry!$B947&lt;=99991231),INT(Entry!$B947/10000)&amp;"/"&amp;RIGHT("00"&amp;INT(MOD(Entry!$B947,10000)/100),2)&amp;"/"&amp;RIGHT("00"&amp;MOD(Entry!$B947,100),2),"نامعتبر"),IF(LEN(Entry!$B947)=10,Entry!$B947,"نامعتبر")))</f>
        <v/>
      </c>
      <c r="F944">
        <f>IF(Entry!$B947="","",IF(Entry!$C947="","0000",IF(AND(ISNUMBER(Entry!$C947),Entry!$C947&gt;=0,Entry!$C947&lt;1),RIGHT("00"&amp;HOUR(Entry!$C947),2)&amp;RIGHT("00"&amp;MINUTE(Entry!$C947),2),IFERROR(RIGHT("00"&amp;VALUE(LEFT(Entry!$C947,FIND(":",Entry!$C947)-1)),2)&amp;RIGHT("00"&amp;VALUE(MID(Entry!$C947,FIND(":",Entry!$C947)+1,2)),2),"0000"))))</f>
        <v/>
      </c>
      <c r="G944">
        <f>IF($A944="","",Entry!$G947)</f>
        <v/>
      </c>
      <c r="H944">
        <f>IF($A944="","",IF(Entry!$H947="",0,Entry!$H947))</f>
        <v/>
      </c>
      <c r="I944">
        <f>IF($A944="","",IF(Entry!$I947="",0,Entry!$I947))</f>
        <v/>
      </c>
      <c r="J944">
        <f>IF($A944="","",ROUND($H944*$I944,0))</f>
        <v/>
      </c>
      <c r="K944">
        <f>IF($A944="","",Entry!$D947)</f>
        <v/>
      </c>
      <c r="L944">
        <f>IF($A944="","",Entry!$L947)</f>
        <v/>
      </c>
      <c r="N944">
        <f>IF(OR(Sync!$M944="",$Q944="",$Q944="نامعتبر"),"",Sync!$M944)</f>
        <v/>
      </c>
      <c r="O944">
        <f>IF($N944="","",$Q944)</f>
        <v/>
      </c>
      <c r="P944">
        <f>IF($N944="","",LEFT($Q944,4)&amp;MID($Q944,6,2)&amp;RIGHT($Q944,2)&amp;IF(Sync!$K944="","0000",IF(AND(ISNUMBER(Sync!$K944),Sync!$K944&gt;=0,Sync!$K944&lt;1),RIGHT("00"&amp;HOUR(Sync!$K944),2)&amp;RIGHT("00"&amp;MINUTE(Sync!$K944),2),IFERROR(RIGHT("00"&amp;VALUE(LEFT(Sync!$K944,FIND(":",Sync!$K944)-1)),2)&amp;RIGHT("00"&amp;VALUE(MID(Sync!$K944,FIND(":",Sync!$K944)+1,2)),2),"0000")))&amp;"|"&amp;"2"&amp;RIGHT("00000"&amp;939,5))</f>
        <v/>
      </c>
      <c r="Q944">
        <f>IF(Sync!$J944="","",IF(ISNUMBER(Sync!$J944),IF(AND(Sync!$J944&gt;=10000101,Sync!$J944&lt;=99991231),INT(Sync!$J944/10000)&amp;"/"&amp;RIGHT("00"&amp;INT(MOD(Sync!$J944,10000)/100),2)&amp;"/"&amp;RIGHT("00"&amp;MOD(Sync!$J944,100),2),"نامعتبر"),IF(LEN(Sync!$J944)=10,Sync!$J944,"نامعتبر")))</f>
        <v/>
      </c>
      <c r="R944">
        <f>IF($P944="","",COUNTIFS($N$6:$N$2005,$N944,$P$6:$P$2005,"&lt;"&amp;$P944)+COUNTIFS($A$6:$A$1005,$N944,$B$6:$B$1005,"&lt;"&amp;$P944)+1)</f>
        <v/>
      </c>
      <c r="S944">
        <f>IF($N944="","",$N944&amp;"|"&amp;RIGHT("000000"&amp;$R944,6))</f>
        <v/>
      </c>
      <c r="T944">
        <f>IF($N944="","",IF(Sync!$N944="",0,Sync!$N944))</f>
        <v/>
      </c>
      <c r="U944">
        <f>IF($N944="","",IF(Sync!$O944="",0,Sync!$O944))</f>
        <v/>
      </c>
      <c r="V944">
        <f>IF($N944="","",Sync!$L944)</f>
        <v/>
      </c>
      <c r="W944">
        <f>IF($N944="","",Sync!$P944)</f>
        <v/>
      </c>
      <c r="AA944">
        <f>IF($A944="","",IF(COUNTIF($A$6:$A944,$A944)=1,1,0))</f>
        <v/>
      </c>
      <c r="AB944">
        <f>SUM($AA$6:$AA944)</f>
        <v/>
      </c>
      <c r="AC944">
        <f>IFERROR(INDEX($A$6:$A$1005,MATCH(ROW()-5,$AB$6:$AB$1005,0)),"")</f>
        <v/>
      </c>
    </row>
    <row r="945">
      <c r="A945">
        <f>IF(OR(Entry!$B948="",Entry!$E948="",$E945="نامعتبر"),"",Entry!$E948)</f>
        <v/>
      </c>
      <c r="B945">
        <f>IF($A945="","",LEFT($E945,4)&amp;MID($E945,6,2)&amp;RIGHT($E945,2)&amp;$F945&amp;"|"&amp;"1"&amp;RIGHT("00000"&amp;940,5))</f>
        <v/>
      </c>
      <c r="C945">
        <f>IF($B945="","",COUNTIFS($A$6:$A$1005,$A945,$B$6:$B$1005,"&lt;"&amp;$B945)+COUNTIFS($N$6:$N$2005,$A945,$P$6:$P$2005,"&lt;"&amp;$B945)+1)</f>
        <v/>
      </c>
      <c r="D945">
        <f>IF($C945="","",$A945&amp;"|"&amp;RIGHT("000000"&amp;$C945,6))</f>
        <v/>
      </c>
      <c r="E945">
        <f>IF(Entry!$B948="","",IF(ISNUMBER(Entry!$B948),IF(AND(Entry!$B948&gt;=10000101,Entry!$B948&lt;=99991231),INT(Entry!$B948/10000)&amp;"/"&amp;RIGHT("00"&amp;INT(MOD(Entry!$B948,10000)/100),2)&amp;"/"&amp;RIGHT("00"&amp;MOD(Entry!$B948,100),2),"نامعتبر"),IF(LEN(Entry!$B948)=10,Entry!$B948,"نامعتبر")))</f>
        <v/>
      </c>
      <c r="F945">
        <f>IF(Entry!$B948="","",IF(Entry!$C948="","0000",IF(AND(ISNUMBER(Entry!$C948),Entry!$C948&gt;=0,Entry!$C948&lt;1),RIGHT("00"&amp;HOUR(Entry!$C948),2)&amp;RIGHT("00"&amp;MINUTE(Entry!$C948),2),IFERROR(RIGHT("00"&amp;VALUE(LEFT(Entry!$C948,FIND(":",Entry!$C948)-1)),2)&amp;RIGHT("00"&amp;VALUE(MID(Entry!$C948,FIND(":",Entry!$C948)+1,2)),2),"0000"))))</f>
        <v/>
      </c>
      <c r="G945">
        <f>IF($A945="","",Entry!$G948)</f>
        <v/>
      </c>
      <c r="H945">
        <f>IF($A945="","",IF(Entry!$H948="",0,Entry!$H948))</f>
        <v/>
      </c>
      <c r="I945">
        <f>IF($A945="","",IF(Entry!$I948="",0,Entry!$I948))</f>
        <v/>
      </c>
      <c r="J945">
        <f>IF($A945="","",ROUND($H945*$I945,0))</f>
        <v/>
      </c>
      <c r="K945">
        <f>IF($A945="","",Entry!$D948)</f>
        <v/>
      </c>
      <c r="L945">
        <f>IF($A945="","",Entry!$L948)</f>
        <v/>
      </c>
      <c r="N945">
        <f>IF(OR(Sync!$M945="",$Q945="",$Q945="نامعتبر"),"",Sync!$M945)</f>
        <v/>
      </c>
      <c r="O945">
        <f>IF($N945="","",$Q945)</f>
        <v/>
      </c>
      <c r="P945">
        <f>IF($N945="","",LEFT($Q945,4)&amp;MID($Q945,6,2)&amp;RIGHT($Q945,2)&amp;IF(Sync!$K945="","0000",IF(AND(ISNUMBER(Sync!$K945),Sync!$K945&gt;=0,Sync!$K945&lt;1),RIGHT("00"&amp;HOUR(Sync!$K945),2)&amp;RIGHT("00"&amp;MINUTE(Sync!$K945),2),IFERROR(RIGHT("00"&amp;VALUE(LEFT(Sync!$K945,FIND(":",Sync!$K945)-1)),2)&amp;RIGHT("00"&amp;VALUE(MID(Sync!$K945,FIND(":",Sync!$K945)+1,2)),2),"0000")))&amp;"|"&amp;"2"&amp;RIGHT("00000"&amp;940,5))</f>
        <v/>
      </c>
      <c r="Q945">
        <f>IF(Sync!$J945="","",IF(ISNUMBER(Sync!$J945),IF(AND(Sync!$J945&gt;=10000101,Sync!$J945&lt;=99991231),INT(Sync!$J945/10000)&amp;"/"&amp;RIGHT("00"&amp;INT(MOD(Sync!$J945,10000)/100),2)&amp;"/"&amp;RIGHT("00"&amp;MOD(Sync!$J945,100),2),"نامعتبر"),IF(LEN(Sync!$J945)=10,Sync!$J945,"نامعتبر")))</f>
        <v/>
      </c>
      <c r="R945">
        <f>IF($P945="","",COUNTIFS($N$6:$N$2005,$N945,$P$6:$P$2005,"&lt;"&amp;$P945)+COUNTIFS($A$6:$A$1005,$N945,$B$6:$B$1005,"&lt;"&amp;$P945)+1)</f>
        <v/>
      </c>
      <c r="S945">
        <f>IF($N945="","",$N945&amp;"|"&amp;RIGHT("000000"&amp;$R945,6))</f>
        <v/>
      </c>
      <c r="T945">
        <f>IF($N945="","",IF(Sync!$N945="",0,Sync!$N945))</f>
        <v/>
      </c>
      <c r="U945">
        <f>IF($N945="","",IF(Sync!$O945="",0,Sync!$O945))</f>
        <v/>
      </c>
      <c r="V945">
        <f>IF($N945="","",Sync!$L945)</f>
        <v/>
      </c>
      <c r="W945">
        <f>IF($N945="","",Sync!$P945)</f>
        <v/>
      </c>
      <c r="AA945">
        <f>IF($A945="","",IF(COUNTIF($A$6:$A945,$A945)=1,1,0))</f>
        <v/>
      </c>
      <c r="AB945">
        <f>SUM($AA$6:$AA945)</f>
        <v/>
      </c>
      <c r="AC945">
        <f>IFERROR(INDEX($A$6:$A$1005,MATCH(ROW()-5,$AB$6:$AB$1005,0)),"")</f>
        <v/>
      </c>
    </row>
    <row r="946">
      <c r="A946">
        <f>IF(OR(Entry!$B949="",Entry!$E949="",$E946="نامعتبر"),"",Entry!$E949)</f>
        <v/>
      </c>
      <c r="B946">
        <f>IF($A946="","",LEFT($E946,4)&amp;MID($E946,6,2)&amp;RIGHT($E946,2)&amp;$F946&amp;"|"&amp;"1"&amp;RIGHT("00000"&amp;941,5))</f>
        <v/>
      </c>
      <c r="C946">
        <f>IF($B946="","",COUNTIFS($A$6:$A$1005,$A946,$B$6:$B$1005,"&lt;"&amp;$B946)+COUNTIFS($N$6:$N$2005,$A946,$P$6:$P$2005,"&lt;"&amp;$B946)+1)</f>
        <v/>
      </c>
      <c r="D946">
        <f>IF($C946="","",$A946&amp;"|"&amp;RIGHT("000000"&amp;$C946,6))</f>
        <v/>
      </c>
      <c r="E946">
        <f>IF(Entry!$B949="","",IF(ISNUMBER(Entry!$B949),IF(AND(Entry!$B949&gt;=10000101,Entry!$B949&lt;=99991231),INT(Entry!$B949/10000)&amp;"/"&amp;RIGHT("00"&amp;INT(MOD(Entry!$B949,10000)/100),2)&amp;"/"&amp;RIGHT("00"&amp;MOD(Entry!$B949,100),2),"نامعتبر"),IF(LEN(Entry!$B949)=10,Entry!$B949,"نامعتبر")))</f>
        <v/>
      </c>
      <c r="F946">
        <f>IF(Entry!$B949="","",IF(Entry!$C949="","0000",IF(AND(ISNUMBER(Entry!$C949),Entry!$C949&gt;=0,Entry!$C949&lt;1),RIGHT("00"&amp;HOUR(Entry!$C949),2)&amp;RIGHT("00"&amp;MINUTE(Entry!$C949),2),IFERROR(RIGHT("00"&amp;VALUE(LEFT(Entry!$C949,FIND(":",Entry!$C949)-1)),2)&amp;RIGHT("00"&amp;VALUE(MID(Entry!$C949,FIND(":",Entry!$C949)+1,2)),2),"0000"))))</f>
        <v/>
      </c>
      <c r="G946">
        <f>IF($A946="","",Entry!$G949)</f>
        <v/>
      </c>
      <c r="H946">
        <f>IF($A946="","",IF(Entry!$H949="",0,Entry!$H949))</f>
        <v/>
      </c>
      <c r="I946">
        <f>IF($A946="","",IF(Entry!$I949="",0,Entry!$I949))</f>
        <v/>
      </c>
      <c r="J946">
        <f>IF($A946="","",ROUND($H946*$I946,0))</f>
        <v/>
      </c>
      <c r="K946">
        <f>IF($A946="","",Entry!$D949)</f>
        <v/>
      </c>
      <c r="L946">
        <f>IF($A946="","",Entry!$L949)</f>
        <v/>
      </c>
      <c r="N946">
        <f>IF(OR(Sync!$M946="",$Q946="",$Q946="نامعتبر"),"",Sync!$M946)</f>
        <v/>
      </c>
      <c r="O946">
        <f>IF($N946="","",$Q946)</f>
        <v/>
      </c>
      <c r="P946">
        <f>IF($N946="","",LEFT($Q946,4)&amp;MID($Q946,6,2)&amp;RIGHT($Q946,2)&amp;IF(Sync!$K946="","0000",IF(AND(ISNUMBER(Sync!$K946),Sync!$K946&gt;=0,Sync!$K946&lt;1),RIGHT("00"&amp;HOUR(Sync!$K946),2)&amp;RIGHT("00"&amp;MINUTE(Sync!$K946),2),IFERROR(RIGHT("00"&amp;VALUE(LEFT(Sync!$K946,FIND(":",Sync!$K946)-1)),2)&amp;RIGHT("00"&amp;VALUE(MID(Sync!$K946,FIND(":",Sync!$K946)+1,2)),2),"0000")))&amp;"|"&amp;"2"&amp;RIGHT("00000"&amp;941,5))</f>
        <v/>
      </c>
      <c r="Q946">
        <f>IF(Sync!$J946="","",IF(ISNUMBER(Sync!$J946),IF(AND(Sync!$J946&gt;=10000101,Sync!$J946&lt;=99991231),INT(Sync!$J946/10000)&amp;"/"&amp;RIGHT("00"&amp;INT(MOD(Sync!$J946,10000)/100),2)&amp;"/"&amp;RIGHT("00"&amp;MOD(Sync!$J946,100),2),"نامعتبر"),IF(LEN(Sync!$J946)=10,Sync!$J946,"نامعتبر")))</f>
        <v/>
      </c>
      <c r="R946">
        <f>IF($P946="","",COUNTIFS($N$6:$N$2005,$N946,$P$6:$P$2005,"&lt;"&amp;$P946)+COUNTIFS($A$6:$A$1005,$N946,$B$6:$B$1005,"&lt;"&amp;$P946)+1)</f>
        <v/>
      </c>
      <c r="S946">
        <f>IF($N946="","",$N946&amp;"|"&amp;RIGHT("000000"&amp;$R946,6))</f>
        <v/>
      </c>
      <c r="T946">
        <f>IF($N946="","",IF(Sync!$N946="",0,Sync!$N946))</f>
        <v/>
      </c>
      <c r="U946">
        <f>IF($N946="","",IF(Sync!$O946="",0,Sync!$O946))</f>
        <v/>
      </c>
      <c r="V946">
        <f>IF($N946="","",Sync!$L946)</f>
        <v/>
      </c>
      <c r="W946">
        <f>IF($N946="","",Sync!$P946)</f>
        <v/>
      </c>
      <c r="AA946">
        <f>IF($A946="","",IF(COUNTIF($A$6:$A946,$A946)=1,1,0))</f>
        <v/>
      </c>
      <c r="AB946">
        <f>SUM($AA$6:$AA946)</f>
        <v/>
      </c>
      <c r="AC946">
        <f>IFERROR(INDEX($A$6:$A$1005,MATCH(ROW()-5,$AB$6:$AB$1005,0)),"")</f>
        <v/>
      </c>
    </row>
    <row r="947">
      <c r="A947">
        <f>IF(OR(Entry!$B950="",Entry!$E950="",$E947="نامعتبر"),"",Entry!$E950)</f>
        <v/>
      </c>
      <c r="B947">
        <f>IF($A947="","",LEFT($E947,4)&amp;MID($E947,6,2)&amp;RIGHT($E947,2)&amp;$F947&amp;"|"&amp;"1"&amp;RIGHT("00000"&amp;942,5))</f>
        <v/>
      </c>
      <c r="C947">
        <f>IF($B947="","",COUNTIFS($A$6:$A$1005,$A947,$B$6:$B$1005,"&lt;"&amp;$B947)+COUNTIFS($N$6:$N$2005,$A947,$P$6:$P$2005,"&lt;"&amp;$B947)+1)</f>
        <v/>
      </c>
      <c r="D947">
        <f>IF($C947="","",$A947&amp;"|"&amp;RIGHT("000000"&amp;$C947,6))</f>
        <v/>
      </c>
      <c r="E947">
        <f>IF(Entry!$B950="","",IF(ISNUMBER(Entry!$B950),IF(AND(Entry!$B950&gt;=10000101,Entry!$B950&lt;=99991231),INT(Entry!$B950/10000)&amp;"/"&amp;RIGHT("00"&amp;INT(MOD(Entry!$B950,10000)/100),2)&amp;"/"&amp;RIGHT("00"&amp;MOD(Entry!$B950,100),2),"نامعتبر"),IF(LEN(Entry!$B950)=10,Entry!$B950,"نامعتبر")))</f>
        <v/>
      </c>
      <c r="F947">
        <f>IF(Entry!$B950="","",IF(Entry!$C950="","0000",IF(AND(ISNUMBER(Entry!$C950),Entry!$C950&gt;=0,Entry!$C950&lt;1),RIGHT("00"&amp;HOUR(Entry!$C950),2)&amp;RIGHT("00"&amp;MINUTE(Entry!$C950),2),IFERROR(RIGHT("00"&amp;VALUE(LEFT(Entry!$C950,FIND(":",Entry!$C950)-1)),2)&amp;RIGHT("00"&amp;VALUE(MID(Entry!$C950,FIND(":",Entry!$C950)+1,2)),2),"0000"))))</f>
        <v/>
      </c>
      <c r="G947">
        <f>IF($A947="","",Entry!$G950)</f>
        <v/>
      </c>
      <c r="H947">
        <f>IF($A947="","",IF(Entry!$H950="",0,Entry!$H950))</f>
        <v/>
      </c>
      <c r="I947">
        <f>IF($A947="","",IF(Entry!$I950="",0,Entry!$I950))</f>
        <v/>
      </c>
      <c r="J947">
        <f>IF($A947="","",ROUND($H947*$I947,0))</f>
        <v/>
      </c>
      <c r="K947">
        <f>IF($A947="","",Entry!$D950)</f>
        <v/>
      </c>
      <c r="L947">
        <f>IF($A947="","",Entry!$L950)</f>
        <v/>
      </c>
      <c r="N947">
        <f>IF(OR(Sync!$M947="",$Q947="",$Q947="نامعتبر"),"",Sync!$M947)</f>
        <v/>
      </c>
      <c r="O947">
        <f>IF($N947="","",$Q947)</f>
        <v/>
      </c>
      <c r="P947">
        <f>IF($N947="","",LEFT($Q947,4)&amp;MID($Q947,6,2)&amp;RIGHT($Q947,2)&amp;IF(Sync!$K947="","0000",IF(AND(ISNUMBER(Sync!$K947),Sync!$K947&gt;=0,Sync!$K947&lt;1),RIGHT("00"&amp;HOUR(Sync!$K947),2)&amp;RIGHT("00"&amp;MINUTE(Sync!$K947),2),IFERROR(RIGHT("00"&amp;VALUE(LEFT(Sync!$K947,FIND(":",Sync!$K947)-1)),2)&amp;RIGHT("00"&amp;VALUE(MID(Sync!$K947,FIND(":",Sync!$K947)+1,2)),2),"0000")))&amp;"|"&amp;"2"&amp;RIGHT("00000"&amp;942,5))</f>
        <v/>
      </c>
      <c r="Q947">
        <f>IF(Sync!$J947="","",IF(ISNUMBER(Sync!$J947),IF(AND(Sync!$J947&gt;=10000101,Sync!$J947&lt;=99991231),INT(Sync!$J947/10000)&amp;"/"&amp;RIGHT("00"&amp;INT(MOD(Sync!$J947,10000)/100),2)&amp;"/"&amp;RIGHT("00"&amp;MOD(Sync!$J947,100),2),"نامعتبر"),IF(LEN(Sync!$J947)=10,Sync!$J947,"نامعتبر")))</f>
        <v/>
      </c>
      <c r="R947">
        <f>IF($P947="","",COUNTIFS($N$6:$N$2005,$N947,$P$6:$P$2005,"&lt;"&amp;$P947)+COUNTIFS($A$6:$A$1005,$N947,$B$6:$B$1005,"&lt;"&amp;$P947)+1)</f>
        <v/>
      </c>
      <c r="S947">
        <f>IF($N947="","",$N947&amp;"|"&amp;RIGHT("000000"&amp;$R947,6))</f>
        <v/>
      </c>
      <c r="T947">
        <f>IF($N947="","",IF(Sync!$N947="",0,Sync!$N947))</f>
        <v/>
      </c>
      <c r="U947">
        <f>IF($N947="","",IF(Sync!$O947="",0,Sync!$O947))</f>
        <v/>
      </c>
      <c r="V947">
        <f>IF($N947="","",Sync!$L947)</f>
        <v/>
      </c>
      <c r="W947">
        <f>IF($N947="","",Sync!$P947)</f>
        <v/>
      </c>
      <c r="AA947">
        <f>IF($A947="","",IF(COUNTIF($A$6:$A947,$A947)=1,1,0))</f>
        <v/>
      </c>
      <c r="AB947">
        <f>SUM($AA$6:$AA947)</f>
        <v/>
      </c>
      <c r="AC947">
        <f>IFERROR(INDEX($A$6:$A$1005,MATCH(ROW()-5,$AB$6:$AB$1005,0)),"")</f>
        <v/>
      </c>
    </row>
    <row r="948">
      <c r="A948">
        <f>IF(OR(Entry!$B951="",Entry!$E951="",$E948="نامعتبر"),"",Entry!$E951)</f>
        <v/>
      </c>
      <c r="B948">
        <f>IF($A948="","",LEFT($E948,4)&amp;MID($E948,6,2)&amp;RIGHT($E948,2)&amp;$F948&amp;"|"&amp;"1"&amp;RIGHT("00000"&amp;943,5))</f>
        <v/>
      </c>
      <c r="C948">
        <f>IF($B948="","",COUNTIFS($A$6:$A$1005,$A948,$B$6:$B$1005,"&lt;"&amp;$B948)+COUNTIFS($N$6:$N$2005,$A948,$P$6:$P$2005,"&lt;"&amp;$B948)+1)</f>
        <v/>
      </c>
      <c r="D948">
        <f>IF($C948="","",$A948&amp;"|"&amp;RIGHT("000000"&amp;$C948,6))</f>
        <v/>
      </c>
      <c r="E948">
        <f>IF(Entry!$B951="","",IF(ISNUMBER(Entry!$B951),IF(AND(Entry!$B951&gt;=10000101,Entry!$B951&lt;=99991231),INT(Entry!$B951/10000)&amp;"/"&amp;RIGHT("00"&amp;INT(MOD(Entry!$B951,10000)/100),2)&amp;"/"&amp;RIGHT("00"&amp;MOD(Entry!$B951,100),2),"نامعتبر"),IF(LEN(Entry!$B951)=10,Entry!$B951,"نامعتبر")))</f>
        <v/>
      </c>
      <c r="F948">
        <f>IF(Entry!$B951="","",IF(Entry!$C951="","0000",IF(AND(ISNUMBER(Entry!$C951),Entry!$C951&gt;=0,Entry!$C951&lt;1),RIGHT("00"&amp;HOUR(Entry!$C951),2)&amp;RIGHT("00"&amp;MINUTE(Entry!$C951),2),IFERROR(RIGHT("00"&amp;VALUE(LEFT(Entry!$C951,FIND(":",Entry!$C951)-1)),2)&amp;RIGHT("00"&amp;VALUE(MID(Entry!$C951,FIND(":",Entry!$C951)+1,2)),2),"0000"))))</f>
        <v/>
      </c>
      <c r="G948">
        <f>IF($A948="","",Entry!$G951)</f>
        <v/>
      </c>
      <c r="H948">
        <f>IF($A948="","",IF(Entry!$H951="",0,Entry!$H951))</f>
        <v/>
      </c>
      <c r="I948">
        <f>IF($A948="","",IF(Entry!$I951="",0,Entry!$I951))</f>
        <v/>
      </c>
      <c r="J948">
        <f>IF($A948="","",ROUND($H948*$I948,0))</f>
        <v/>
      </c>
      <c r="K948">
        <f>IF($A948="","",Entry!$D951)</f>
        <v/>
      </c>
      <c r="L948">
        <f>IF($A948="","",Entry!$L951)</f>
        <v/>
      </c>
      <c r="N948">
        <f>IF(OR(Sync!$M948="",$Q948="",$Q948="نامعتبر"),"",Sync!$M948)</f>
        <v/>
      </c>
      <c r="O948">
        <f>IF($N948="","",$Q948)</f>
        <v/>
      </c>
      <c r="P948">
        <f>IF($N948="","",LEFT($Q948,4)&amp;MID($Q948,6,2)&amp;RIGHT($Q948,2)&amp;IF(Sync!$K948="","0000",IF(AND(ISNUMBER(Sync!$K948),Sync!$K948&gt;=0,Sync!$K948&lt;1),RIGHT("00"&amp;HOUR(Sync!$K948),2)&amp;RIGHT("00"&amp;MINUTE(Sync!$K948),2),IFERROR(RIGHT("00"&amp;VALUE(LEFT(Sync!$K948,FIND(":",Sync!$K948)-1)),2)&amp;RIGHT("00"&amp;VALUE(MID(Sync!$K948,FIND(":",Sync!$K948)+1,2)),2),"0000")))&amp;"|"&amp;"2"&amp;RIGHT("00000"&amp;943,5))</f>
        <v/>
      </c>
      <c r="Q948">
        <f>IF(Sync!$J948="","",IF(ISNUMBER(Sync!$J948),IF(AND(Sync!$J948&gt;=10000101,Sync!$J948&lt;=99991231),INT(Sync!$J948/10000)&amp;"/"&amp;RIGHT("00"&amp;INT(MOD(Sync!$J948,10000)/100),2)&amp;"/"&amp;RIGHT("00"&amp;MOD(Sync!$J948,100),2),"نامعتبر"),IF(LEN(Sync!$J948)=10,Sync!$J948,"نامعتبر")))</f>
        <v/>
      </c>
      <c r="R948">
        <f>IF($P948="","",COUNTIFS($N$6:$N$2005,$N948,$P$6:$P$2005,"&lt;"&amp;$P948)+COUNTIFS($A$6:$A$1005,$N948,$B$6:$B$1005,"&lt;"&amp;$P948)+1)</f>
        <v/>
      </c>
      <c r="S948">
        <f>IF($N948="","",$N948&amp;"|"&amp;RIGHT("000000"&amp;$R948,6))</f>
        <v/>
      </c>
      <c r="T948">
        <f>IF($N948="","",IF(Sync!$N948="",0,Sync!$N948))</f>
        <v/>
      </c>
      <c r="U948">
        <f>IF($N948="","",IF(Sync!$O948="",0,Sync!$O948))</f>
        <v/>
      </c>
      <c r="V948">
        <f>IF($N948="","",Sync!$L948)</f>
        <v/>
      </c>
      <c r="W948">
        <f>IF($N948="","",Sync!$P948)</f>
        <v/>
      </c>
      <c r="AA948">
        <f>IF($A948="","",IF(COUNTIF($A$6:$A948,$A948)=1,1,0))</f>
        <v/>
      </c>
      <c r="AB948">
        <f>SUM($AA$6:$AA948)</f>
        <v/>
      </c>
      <c r="AC948">
        <f>IFERROR(INDEX($A$6:$A$1005,MATCH(ROW()-5,$AB$6:$AB$1005,0)),"")</f>
        <v/>
      </c>
    </row>
    <row r="949">
      <c r="A949">
        <f>IF(OR(Entry!$B952="",Entry!$E952="",$E949="نامعتبر"),"",Entry!$E952)</f>
        <v/>
      </c>
      <c r="B949">
        <f>IF($A949="","",LEFT($E949,4)&amp;MID($E949,6,2)&amp;RIGHT($E949,2)&amp;$F949&amp;"|"&amp;"1"&amp;RIGHT("00000"&amp;944,5))</f>
        <v/>
      </c>
      <c r="C949">
        <f>IF($B949="","",COUNTIFS($A$6:$A$1005,$A949,$B$6:$B$1005,"&lt;"&amp;$B949)+COUNTIFS($N$6:$N$2005,$A949,$P$6:$P$2005,"&lt;"&amp;$B949)+1)</f>
        <v/>
      </c>
      <c r="D949">
        <f>IF($C949="","",$A949&amp;"|"&amp;RIGHT("000000"&amp;$C949,6))</f>
        <v/>
      </c>
      <c r="E949">
        <f>IF(Entry!$B952="","",IF(ISNUMBER(Entry!$B952),IF(AND(Entry!$B952&gt;=10000101,Entry!$B952&lt;=99991231),INT(Entry!$B952/10000)&amp;"/"&amp;RIGHT("00"&amp;INT(MOD(Entry!$B952,10000)/100),2)&amp;"/"&amp;RIGHT("00"&amp;MOD(Entry!$B952,100),2),"نامعتبر"),IF(LEN(Entry!$B952)=10,Entry!$B952,"نامعتبر")))</f>
        <v/>
      </c>
      <c r="F949">
        <f>IF(Entry!$B952="","",IF(Entry!$C952="","0000",IF(AND(ISNUMBER(Entry!$C952),Entry!$C952&gt;=0,Entry!$C952&lt;1),RIGHT("00"&amp;HOUR(Entry!$C952),2)&amp;RIGHT("00"&amp;MINUTE(Entry!$C952),2),IFERROR(RIGHT("00"&amp;VALUE(LEFT(Entry!$C952,FIND(":",Entry!$C952)-1)),2)&amp;RIGHT("00"&amp;VALUE(MID(Entry!$C952,FIND(":",Entry!$C952)+1,2)),2),"0000"))))</f>
        <v/>
      </c>
      <c r="G949">
        <f>IF($A949="","",Entry!$G952)</f>
        <v/>
      </c>
      <c r="H949">
        <f>IF($A949="","",IF(Entry!$H952="",0,Entry!$H952))</f>
        <v/>
      </c>
      <c r="I949">
        <f>IF($A949="","",IF(Entry!$I952="",0,Entry!$I952))</f>
        <v/>
      </c>
      <c r="J949">
        <f>IF($A949="","",ROUND($H949*$I949,0))</f>
        <v/>
      </c>
      <c r="K949">
        <f>IF($A949="","",Entry!$D952)</f>
        <v/>
      </c>
      <c r="L949">
        <f>IF($A949="","",Entry!$L952)</f>
        <v/>
      </c>
      <c r="N949">
        <f>IF(OR(Sync!$M949="",$Q949="",$Q949="نامعتبر"),"",Sync!$M949)</f>
        <v/>
      </c>
      <c r="O949">
        <f>IF($N949="","",$Q949)</f>
        <v/>
      </c>
      <c r="P949">
        <f>IF($N949="","",LEFT($Q949,4)&amp;MID($Q949,6,2)&amp;RIGHT($Q949,2)&amp;IF(Sync!$K949="","0000",IF(AND(ISNUMBER(Sync!$K949),Sync!$K949&gt;=0,Sync!$K949&lt;1),RIGHT("00"&amp;HOUR(Sync!$K949),2)&amp;RIGHT("00"&amp;MINUTE(Sync!$K949),2),IFERROR(RIGHT("00"&amp;VALUE(LEFT(Sync!$K949,FIND(":",Sync!$K949)-1)),2)&amp;RIGHT("00"&amp;VALUE(MID(Sync!$K949,FIND(":",Sync!$K949)+1,2)),2),"0000")))&amp;"|"&amp;"2"&amp;RIGHT("00000"&amp;944,5))</f>
        <v/>
      </c>
      <c r="Q949">
        <f>IF(Sync!$J949="","",IF(ISNUMBER(Sync!$J949),IF(AND(Sync!$J949&gt;=10000101,Sync!$J949&lt;=99991231),INT(Sync!$J949/10000)&amp;"/"&amp;RIGHT("00"&amp;INT(MOD(Sync!$J949,10000)/100),2)&amp;"/"&amp;RIGHT("00"&amp;MOD(Sync!$J949,100),2),"نامعتبر"),IF(LEN(Sync!$J949)=10,Sync!$J949,"نامعتبر")))</f>
        <v/>
      </c>
      <c r="R949">
        <f>IF($P949="","",COUNTIFS($N$6:$N$2005,$N949,$P$6:$P$2005,"&lt;"&amp;$P949)+COUNTIFS($A$6:$A$1005,$N949,$B$6:$B$1005,"&lt;"&amp;$P949)+1)</f>
        <v/>
      </c>
      <c r="S949">
        <f>IF($N949="","",$N949&amp;"|"&amp;RIGHT("000000"&amp;$R949,6))</f>
        <v/>
      </c>
      <c r="T949">
        <f>IF($N949="","",IF(Sync!$N949="",0,Sync!$N949))</f>
        <v/>
      </c>
      <c r="U949">
        <f>IF($N949="","",IF(Sync!$O949="",0,Sync!$O949))</f>
        <v/>
      </c>
      <c r="V949">
        <f>IF($N949="","",Sync!$L949)</f>
        <v/>
      </c>
      <c r="W949">
        <f>IF($N949="","",Sync!$P949)</f>
        <v/>
      </c>
      <c r="AA949">
        <f>IF($A949="","",IF(COUNTIF($A$6:$A949,$A949)=1,1,0))</f>
        <v/>
      </c>
      <c r="AB949">
        <f>SUM($AA$6:$AA949)</f>
        <v/>
      </c>
      <c r="AC949">
        <f>IFERROR(INDEX($A$6:$A$1005,MATCH(ROW()-5,$AB$6:$AB$1005,0)),"")</f>
        <v/>
      </c>
    </row>
    <row r="950">
      <c r="A950">
        <f>IF(OR(Entry!$B953="",Entry!$E953="",$E950="نامعتبر"),"",Entry!$E953)</f>
        <v/>
      </c>
      <c r="B950">
        <f>IF($A950="","",LEFT($E950,4)&amp;MID($E950,6,2)&amp;RIGHT($E950,2)&amp;$F950&amp;"|"&amp;"1"&amp;RIGHT("00000"&amp;945,5))</f>
        <v/>
      </c>
      <c r="C950">
        <f>IF($B950="","",COUNTIFS($A$6:$A$1005,$A950,$B$6:$B$1005,"&lt;"&amp;$B950)+COUNTIFS($N$6:$N$2005,$A950,$P$6:$P$2005,"&lt;"&amp;$B950)+1)</f>
        <v/>
      </c>
      <c r="D950">
        <f>IF($C950="","",$A950&amp;"|"&amp;RIGHT("000000"&amp;$C950,6))</f>
        <v/>
      </c>
      <c r="E950">
        <f>IF(Entry!$B953="","",IF(ISNUMBER(Entry!$B953),IF(AND(Entry!$B953&gt;=10000101,Entry!$B953&lt;=99991231),INT(Entry!$B953/10000)&amp;"/"&amp;RIGHT("00"&amp;INT(MOD(Entry!$B953,10000)/100),2)&amp;"/"&amp;RIGHT("00"&amp;MOD(Entry!$B953,100),2),"نامعتبر"),IF(LEN(Entry!$B953)=10,Entry!$B953,"نامعتبر")))</f>
        <v/>
      </c>
      <c r="F950">
        <f>IF(Entry!$B953="","",IF(Entry!$C953="","0000",IF(AND(ISNUMBER(Entry!$C953),Entry!$C953&gt;=0,Entry!$C953&lt;1),RIGHT("00"&amp;HOUR(Entry!$C953),2)&amp;RIGHT("00"&amp;MINUTE(Entry!$C953),2),IFERROR(RIGHT("00"&amp;VALUE(LEFT(Entry!$C953,FIND(":",Entry!$C953)-1)),2)&amp;RIGHT("00"&amp;VALUE(MID(Entry!$C953,FIND(":",Entry!$C953)+1,2)),2),"0000"))))</f>
        <v/>
      </c>
      <c r="G950">
        <f>IF($A950="","",Entry!$G953)</f>
        <v/>
      </c>
      <c r="H950">
        <f>IF($A950="","",IF(Entry!$H953="",0,Entry!$H953))</f>
        <v/>
      </c>
      <c r="I950">
        <f>IF($A950="","",IF(Entry!$I953="",0,Entry!$I953))</f>
        <v/>
      </c>
      <c r="J950">
        <f>IF($A950="","",ROUND($H950*$I950,0))</f>
        <v/>
      </c>
      <c r="K950">
        <f>IF($A950="","",Entry!$D953)</f>
        <v/>
      </c>
      <c r="L950">
        <f>IF($A950="","",Entry!$L953)</f>
        <v/>
      </c>
      <c r="N950">
        <f>IF(OR(Sync!$M950="",$Q950="",$Q950="نامعتبر"),"",Sync!$M950)</f>
        <v/>
      </c>
      <c r="O950">
        <f>IF($N950="","",$Q950)</f>
        <v/>
      </c>
      <c r="P950">
        <f>IF($N950="","",LEFT($Q950,4)&amp;MID($Q950,6,2)&amp;RIGHT($Q950,2)&amp;IF(Sync!$K950="","0000",IF(AND(ISNUMBER(Sync!$K950),Sync!$K950&gt;=0,Sync!$K950&lt;1),RIGHT("00"&amp;HOUR(Sync!$K950),2)&amp;RIGHT("00"&amp;MINUTE(Sync!$K950),2),IFERROR(RIGHT("00"&amp;VALUE(LEFT(Sync!$K950,FIND(":",Sync!$K950)-1)),2)&amp;RIGHT("00"&amp;VALUE(MID(Sync!$K950,FIND(":",Sync!$K950)+1,2)),2),"0000")))&amp;"|"&amp;"2"&amp;RIGHT("00000"&amp;945,5))</f>
        <v/>
      </c>
      <c r="Q950">
        <f>IF(Sync!$J950="","",IF(ISNUMBER(Sync!$J950),IF(AND(Sync!$J950&gt;=10000101,Sync!$J950&lt;=99991231),INT(Sync!$J950/10000)&amp;"/"&amp;RIGHT("00"&amp;INT(MOD(Sync!$J950,10000)/100),2)&amp;"/"&amp;RIGHT("00"&amp;MOD(Sync!$J950,100),2),"نامعتبر"),IF(LEN(Sync!$J950)=10,Sync!$J950,"نامعتبر")))</f>
        <v/>
      </c>
      <c r="R950">
        <f>IF($P950="","",COUNTIFS($N$6:$N$2005,$N950,$P$6:$P$2005,"&lt;"&amp;$P950)+COUNTIFS($A$6:$A$1005,$N950,$B$6:$B$1005,"&lt;"&amp;$P950)+1)</f>
        <v/>
      </c>
      <c r="S950">
        <f>IF($N950="","",$N950&amp;"|"&amp;RIGHT("000000"&amp;$R950,6))</f>
        <v/>
      </c>
      <c r="T950">
        <f>IF($N950="","",IF(Sync!$N950="",0,Sync!$N950))</f>
        <v/>
      </c>
      <c r="U950">
        <f>IF($N950="","",IF(Sync!$O950="",0,Sync!$O950))</f>
        <v/>
      </c>
      <c r="V950">
        <f>IF($N950="","",Sync!$L950)</f>
        <v/>
      </c>
      <c r="W950">
        <f>IF($N950="","",Sync!$P950)</f>
        <v/>
      </c>
      <c r="AA950">
        <f>IF($A950="","",IF(COUNTIF($A$6:$A950,$A950)=1,1,0))</f>
        <v/>
      </c>
      <c r="AB950">
        <f>SUM($AA$6:$AA950)</f>
        <v/>
      </c>
      <c r="AC950">
        <f>IFERROR(INDEX($A$6:$A$1005,MATCH(ROW()-5,$AB$6:$AB$1005,0)),"")</f>
        <v/>
      </c>
    </row>
    <row r="951">
      <c r="A951">
        <f>IF(OR(Entry!$B954="",Entry!$E954="",$E951="نامعتبر"),"",Entry!$E954)</f>
        <v/>
      </c>
      <c r="B951">
        <f>IF($A951="","",LEFT($E951,4)&amp;MID($E951,6,2)&amp;RIGHT($E951,2)&amp;$F951&amp;"|"&amp;"1"&amp;RIGHT("00000"&amp;946,5))</f>
        <v/>
      </c>
      <c r="C951">
        <f>IF($B951="","",COUNTIFS($A$6:$A$1005,$A951,$B$6:$B$1005,"&lt;"&amp;$B951)+COUNTIFS($N$6:$N$2005,$A951,$P$6:$P$2005,"&lt;"&amp;$B951)+1)</f>
        <v/>
      </c>
      <c r="D951">
        <f>IF($C951="","",$A951&amp;"|"&amp;RIGHT("000000"&amp;$C951,6))</f>
        <v/>
      </c>
      <c r="E951">
        <f>IF(Entry!$B954="","",IF(ISNUMBER(Entry!$B954),IF(AND(Entry!$B954&gt;=10000101,Entry!$B954&lt;=99991231),INT(Entry!$B954/10000)&amp;"/"&amp;RIGHT("00"&amp;INT(MOD(Entry!$B954,10000)/100),2)&amp;"/"&amp;RIGHT("00"&amp;MOD(Entry!$B954,100),2),"نامعتبر"),IF(LEN(Entry!$B954)=10,Entry!$B954,"نامعتبر")))</f>
        <v/>
      </c>
      <c r="F951">
        <f>IF(Entry!$B954="","",IF(Entry!$C954="","0000",IF(AND(ISNUMBER(Entry!$C954),Entry!$C954&gt;=0,Entry!$C954&lt;1),RIGHT("00"&amp;HOUR(Entry!$C954),2)&amp;RIGHT("00"&amp;MINUTE(Entry!$C954),2),IFERROR(RIGHT("00"&amp;VALUE(LEFT(Entry!$C954,FIND(":",Entry!$C954)-1)),2)&amp;RIGHT("00"&amp;VALUE(MID(Entry!$C954,FIND(":",Entry!$C954)+1,2)),2),"0000"))))</f>
        <v/>
      </c>
      <c r="G951">
        <f>IF($A951="","",Entry!$G954)</f>
        <v/>
      </c>
      <c r="H951">
        <f>IF($A951="","",IF(Entry!$H954="",0,Entry!$H954))</f>
        <v/>
      </c>
      <c r="I951">
        <f>IF($A951="","",IF(Entry!$I954="",0,Entry!$I954))</f>
        <v/>
      </c>
      <c r="J951">
        <f>IF($A951="","",ROUND($H951*$I951,0))</f>
        <v/>
      </c>
      <c r="K951">
        <f>IF($A951="","",Entry!$D954)</f>
        <v/>
      </c>
      <c r="L951">
        <f>IF($A951="","",Entry!$L954)</f>
        <v/>
      </c>
      <c r="N951">
        <f>IF(OR(Sync!$M951="",$Q951="",$Q951="نامعتبر"),"",Sync!$M951)</f>
        <v/>
      </c>
      <c r="O951">
        <f>IF($N951="","",$Q951)</f>
        <v/>
      </c>
      <c r="P951">
        <f>IF($N951="","",LEFT($Q951,4)&amp;MID($Q951,6,2)&amp;RIGHT($Q951,2)&amp;IF(Sync!$K951="","0000",IF(AND(ISNUMBER(Sync!$K951),Sync!$K951&gt;=0,Sync!$K951&lt;1),RIGHT("00"&amp;HOUR(Sync!$K951),2)&amp;RIGHT("00"&amp;MINUTE(Sync!$K951),2),IFERROR(RIGHT("00"&amp;VALUE(LEFT(Sync!$K951,FIND(":",Sync!$K951)-1)),2)&amp;RIGHT("00"&amp;VALUE(MID(Sync!$K951,FIND(":",Sync!$K951)+1,2)),2),"0000")))&amp;"|"&amp;"2"&amp;RIGHT("00000"&amp;946,5))</f>
        <v/>
      </c>
      <c r="Q951">
        <f>IF(Sync!$J951="","",IF(ISNUMBER(Sync!$J951),IF(AND(Sync!$J951&gt;=10000101,Sync!$J951&lt;=99991231),INT(Sync!$J951/10000)&amp;"/"&amp;RIGHT("00"&amp;INT(MOD(Sync!$J951,10000)/100),2)&amp;"/"&amp;RIGHT("00"&amp;MOD(Sync!$J951,100),2),"نامعتبر"),IF(LEN(Sync!$J951)=10,Sync!$J951,"نامعتبر")))</f>
        <v/>
      </c>
      <c r="R951">
        <f>IF($P951="","",COUNTIFS($N$6:$N$2005,$N951,$P$6:$P$2005,"&lt;"&amp;$P951)+COUNTIFS($A$6:$A$1005,$N951,$B$6:$B$1005,"&lt;"&amp;$P951)+1)</f>
        <v/>
      </c>
      <c r="S951">
        <f>IF($N951="","",$N951&amp;"|"&amp;RIGHT("000000"&amp;$R951,6))</f>
        <v/>
      </c>
      <c r="T951">
        <f>IF($N951="","",IF(Sync!$N951="",0,Sync!$N951))</f>
        <v/>
      </c>
      <c r="U951">
        <f>IF($N951="","",IF(Sync!$O951="",0,Sync!$O951))</f>
        <v/>
      </c>
      <c r="V951">
        <f>IF($N951="","",Sync!$L951)</f>
        <v/>
      </c>
      <c r="W951">
        <f>IF($N951="","",Sync!$P951)</f>
        <v/>
      </c>
      <c r="AA951">
        <f>IF($A951="","",IF(COUNTIF($A$6:$A951,$A951)=1,1,0))</f>
        <v/>
      </c>
      <c r="AB951">
        <f>SUM($AA$6:$AA951)</f>
        <v/>
      </c>
      <c r="AC951">
        <f>IFERROR(INDEX($A$6:$A$1005,MATCH(ROW()-5,$AB$6:$AB$1005,0)),"")</f>
        <v/>
      </c>
    </row>
    <row r="952">
      <c r="A952">
        <f>IF(OR(Entry!$B955="",Entry!$E955="",$E952="نامعتبر"),"",Entry!$E955)</f>
        <v/>
      </c>
      <c r="B952">
        <f>IF($A952="","",LEFT($E952,4)&amp;MID($E952,6,2)&amp;RIGHT($E952,2)&amp;$F952&amp;"|"&amp;"1"&amp;RIGHT("00000"&amp;947,5))</f>
        <v/>
      </c>
      <c r="C952">
        <f>IF($B952="","",COUNTIFS($A$6:$A$1005,$A952,$B$6:$B$1005,"&lt;"&amp;$B952)+COUNTIFS($N$6:$N$2005,$A952,$P$6:$P$2005,"&lt;"&amp;$B952)+1)</f>
        <v/>
      </c>
      <c r="D952">
        <f>IF($C952="","",$A952&amp;"|"&amp;RIGHT("000000"&amp;$C952,6))</f>
        <v/>
      </c>
      <c r="E952">
        <f>IF(Entry!$B955="","",IF(ISNUMBER(Entry!$B955),IF(AND(Entry!$B955&gt;=10000101,Entry!$B955&lt;=99991231),INT(Entry!$B955/10000)&amp;"/"&amp;RIGHT("00"&amp;INT(MOD(Entry!$B955,10000)/100),2)&amp;"/"&amp;RIGHT("00"&amp;MOD(Entry!$B955,100),2),"نامعتبر"),IF(LEN(Entry!$B955)=10,Entry!$B955,"نامعتبر")))</f>
        <v/>
      </c>
      <c r="F952">
        <f>IF(Entry!$B955="","",IF(Entry!$C955="","0000",IF(AND(ISNUMBER(Entry!$C955),Entry!$C955&gt;=0,Entry!$C955&lt;1),RIGHT("00"&amp;HOUR(Entry!$C955),2)&amp;RIGHT("00"&amp;MINUTE(Entry!$C955),2),IFERROR(RIGHT("00"&amp;VALUE(LEFT(Entry!$C955,FIND(":",Entry!$C955)-1)),2)&amp;RIGHT("00"&amp;VALUE(MID(Entry!$C955,FIND(":",Entry!$C955)+1,2)),2),"0000"))))</f>
        <v/>
      </c>
      <c r="G952">
        <f>IF($A952="","",Entry!$G955)</f>
        <v/>
      </c>
      <c r="H952">
        <f>IF($A952="","",IF(Entry!$H955="",0,Entry!$H955))</f>
        <v/>
      </c>
      <c r="I952">
        <f>IF($A952="","",IF(Entry!$I955="",0,Entry!$I955))</f>
        <v/>
      </c>
      <c r="J952">
        <f>IF($A952="","",ROUND($H952*$I952,0))</f>
        <v/>
      </c>
      <c r="K952">
        <f>IF($A952="","",Entry!$D955)</f>
        <v/>
      </c>
      <c r="L952">
        <f>IF($A952="","",Entry!$L955)</f>
        <v/>
      </c>
      <c r="N952">
        <f>IF(OR(Sync!$M952="",$Q952="",$Q952="نامعتبر"),"",Sync!$M952)</f>
        <v/>
      </c>
      <c r="O952">
        <f>IF($N952="","",$Q952)</f>
        <v/>
      </c>
      <c r="P952">
        <f>IF($N952="","",LEFT($Q952,4)&amp;MID($Q952,6,2)&amp;RIGHT($Q952,2)&amp;IF(Sync!$K952="","0000",IF(AND(ISNUMBER(Sync!$K952),Sync!$K952&gt;=0,Sync!$K952&lt;1),RIGHT("00"&amp;HOUR(Sync!$K952),2)&amp;RIGHT("00"&amp;MINUTE(Sync!$K952),2),IFERROR(RIGHT("00"&amp;VALUE(LEFT(Sync!$K952,FIND(":",Sync!$K952)-1)),2)&amp;RIGHT("00"&amp;VALUE(MID(Sync!$K952,FIND(":",Sync!$K952)+1,2)),2),"0000")))&amp;"|"&amp;"2"&amp;RIGHT("00000"&amp;947,5))</f>
        <v/>
      </c>
      <c r="Q952">
        <f>IF(Sync!$J952="","",IF(ISNUMBER(Sync!$J952),IF(AND(Sync!$J952&gt;=10000101,Sync!$J952&lt;=99991231),INT(Sync!$J952/10000)&amp;"/"&amp;RIGHT("00"&amp;INT(MOD(Sync!$J952,10000)/100),2)&amp;"/"&amp;RIGHT("00"&amp;MOD(Sync!$J952,100),2),"نامعتبر"),IF(LEN(Sync!$J952)=10,Sync!$J952,"نامعتبر")))</f>
        <v/>
      </c>
      <c r="R952">
        <f>IF($P952="","",COUNTIFS($N$6:$N$2005,$N952,$P$6:$P$2005,"&lt;"&amp;$P952)+COUNTIFS($A$6:$A$1005,$N952,$B$6:$B$1005,"&lt;"&amp;$P952)+1)</f>
        <v/>
      </c>
      <c r="S952">
        <f>IF($N952="","",$N952&amp;"|"&amp;RIGHT("000000"&amp;$R952,6))</f>
        <v/>
      </c>
      <c r="T952">
        <f>IF($N952="","",IF(Sync!$N952="",0,Sync!$N952))</f>
        <v/>
      </c>
      <c r="U952">
        <f>IF($N952="","",IF(Sync!$O952="",0,Sync!$O952))</f>
        <v/>
      </c>
      <c r="V952">
        <f>IF($N952="","",Sync!$L952)</f>
        <v/>
      </c>
      <c r="W952">
        <f>IF($N952="","",Sync!$P952)</f>
        <v/>
      </c>
      <c r="AA952">
        <f>IF($A952="","",IF(COUNTIF($A$6:$A952,$A952)=1,1,0))</f>
        <v/>
      </c>
      <c r="AB952">
        <f>SUM($AA$6:$AA952)</f>
        <v/>
      </c>
      <c r="AC952">
        <f>IFERROR(INDEX($A$6:$A$1005,MATCH(ROW()-5,$AB$6:$AB$1005,0)),"")</f>
        <v/>
      </c>
    </row>
    <row r="953">
      <c r="A953">
        <f>IF(OR(Entry!$B956="",Entry!$E956="",$E953="نامعتبر"),"",Entry!$E956)</f>
        <v/>
      </c>
      <c r="B953">
        <f>IF($A953="","",LEFT($E953,4)&amp;MID($E953,6,2)&amp;RIGHT($E953,2)&amp;$F953&amp;"|"&amp;"1"&amp;RIGHT("00000"&amp;948,5))</f>
        <v/>
      </c>
      <c r="C953">
        <f>IF($B953="","",COUNTIFS($A$6:$A$1005,$A953,$B$6:$B$1005,"&lt;"&amp;$B953)+COUNTIFS($N$6:$N$2005,$A953,$P$6:$P$2005,"&lt;"&amp;$B953)+1)</f>
        <v/>
      </c>
      <c r="D953">
        <f>IF($C953="","",$A953&amp;"|"&amp;RIGHT("000000"&amp;$C953,6))</f>
        <v/>
      </c>
      <c r="E953">
        <f>IF(Entry!$B956="","",IF(ISNUMBER(Entry!$B956),IF(AND(Entry!$B956&gt;=10000101,Entry!$B956&lt;=99991231),INT(Entry!$B956/10000)&amp;"/"&amp;RIGHT("00"&amp;INT(MOD(Entry!$B956,10000)/100),2)&amp;"/"&amp;RIGHT("00"&amp;MOD(Entry!$B956,100),2),"نامعتبر"),IF(LEN(Entry!$B956)=10,Entry!$B956,"نامعتبر")))</f>
        <v/>
      </c>
      <c r="F953">
        <f>IF(Entry!$B956="","",IF(Entry!$C956="","0000",IF(AND(ISNUMBER(Entry!$C956),Entry!$C956&gt;=0,Entry!$C956&lt;1),RIGHT("00"&amp;HOUR(Entry!$C956),2)&amp;RIGHT("00"&amp;MINUTE(Entry!$C956),2),IFERROR(RIGHT("00"&amp;VALUE(LEFT(Entry!$C956,FIND(":",Entry!$C956)-1)),2)&amp;RIGHT("00"&amp;VALUE(MID(Entry!$C956,FIND(":",Entry!$C956)+1,2)),2),"0000"))))</f>
        <v/>
      </c>
      <c r="G953">
        <f>IF($A953="","",Entry!$G956)</f>
        <v/>
      </c>
      <c r="H953">
        <f>IF($A953="","",IF(Entry!$H956="",0,Entry!$H956))</f>
        <v/>
      </c>
      <c r="I953">
        <f>IF($A953="","",IF(Entry!$I956="",0,Entry!$I956))</f>
        <v/>
      </c>
      <c r="J953">
        <f>IF($A953="","",ROUND($H953*$I953,0))</f>
        <v/>
      </c>
      <c r="K953">
        <f>IF($A953="","",Entry!$D956)</f>
        <v/>
      </c>
      <c r="L953">
        <f>IF($A953="","",Entry!$L956)</f>
        <v/>
      </c>
      <c r="N953">
        <f>IF(OR(Sync!$M953="",$Q953="",$Q953="نامعتبر"),"",Sync!$M953)</f>
        <v/>
      </c>
      <c r="O953">
        <f>IF($N953="","",$Q953)</f>
        <v/>
      </c>
      <c r="P953">
        <f>IF($N953="","",LEFT($Q953,4)&amp;MID($Q953,6,2)&amp;RIGHT($Q953,2)&amp;IF(Sync!$K953="","0000",IF(AND(ISNUMBER(Sync!$K953),Sync!$K953&gt;=0,Sync!$K953&lt;1),RIGHT("00"&amp;HOUR(Sync!$K953),2)&amp;RIGHT("00"&amp;MINUTE(Sync!$K953),2),IFERROR(RIGHT("00"&amp;VALUE(LEFT(Sync!$K953,FIND(":",Sync!$K953)-1)),2)&amp;RIGHT("00"&amp;VALUE(MID(Sync!$K953,FIND(":",Sync!$K953)+1,2)),2),"0000")))&amp;"|"&amp;"2"&amp;RIGHT("00000"&amp;948,5))</f>
        <v/>
      </c>
      <c r="Q953">
        <f>IF(Sync!$J953="","",IF(ISNUMBER(Sync!$J953),IF(AND(Sync!$J953&gt;=10000101,Sync!$J953&lt;=99991231),INT(Sync!$J953/10000)&amp;"/"&amp;RIGHT("00"&amp;INT(MOD(Sync!$J953,10000)/100),2)&amp;"/"&amp;RIGHT("00"&amp;MOD(Sync!$J953,100),2),"نامعتبر"),IF(LEN(Sync!$J953)=10,Sync!$J953,"نامعتبر")))</f>
        <v/>
      </c>
      <c r="R953">
        <f>IF($P953="","",COUNTIFS($N$6:$N$2005,$N953,$P$6:$P$2005,"&lt;"&amp;$P953)+COUNTIFS($A$6:$A$1005,$N953,$B$6:$B$1005,"&lt;"&amp;$P953)+1)</f>
        <v/>
      </c>
      <c r="S953">
        <f>IF($N953="","",$N953&amp;"|"&amp;RIGHT("000000"&amp;$R953,6))</f>
        <v/>
      </c>
      <c r="T953">
        <f>IF($N953="","",IF(Sync!$N953="",0,Sync!$N953))</f>
        <v/>
      </c>
      <c r="U953">
        <f>IF($N953="","",IF(Sync!$O953="",0,Sync!$O953))</f>
        <v/>
      </c>
      <c r="V953">
        <f>IF($N953="","",Sync!$L953)</f>
        <v/>
      </c>
      <c r="W953">
        <f>IF($N953="","",Sync!$P953)</f>
        <v/>
      </c>
      <c r="AA953">
        <f>IF($A953="","",IF(COUNTIF($A$6:$A953,$A953)=1,1,0))</f>
        <v/>
      </c>
      <c r="AB953">
        <f>SUM($AA$6:$AA953)</f>
        <v/>
      </c>
      <c r="AC953">
        <f>IFERROR(INDEX($A$6:$A$1005,MATCH(ROW()-5,$AB$6:$AB$1005,0)),"")</f>
        <v/>
      </c>
    </row>
    <row r="954">
      <c r="A954">
        <f>IF(OR(Entry!$B957="",Entry!$E957="",$E954="نامعتبر"),"",Entry!$E957)</f>
        <v/>
      </c>
      <c r="B954">
        <f>IF($A954="","",LEFT($E954,4)&amp;MID($E954,6,2)&amp;RIGHT($E954,2)&amp;$F954&amp;"|"&amp;"1"&amp;RIGHT("00000"&amp;949,5))</f>
        <v/>
      </c>
      <c r="C954">
        <f>IF($B954="","",COUNTIFS($A$6:$A$1005,$A954,$B$6:$B$1005,"&lt;"&amp;$B954)+COUNTIFS($N$6:$N$2005,$A954,$P$6:$P$2005,"&lt;"&amp;$B954)+1)</f>
        <v/>
      </c>
      <c r="D954">
        <f>IF($C954="","",$A954&amp;"|"&amp;RIGHT("000000"&amp;$C954,6))</f>
        <v/>
      </c>
      <c r="E954">
        <f>IF(Entry!$B957="","",IF(ISNUMBER(Entry!$B957),IF(AND(Entry!$B957&gt;=10000101,Entry!$B957&lt;=99991231),INT(Entry!$B957/10000)&amp;"/"&amp;RIGHT("00"&amp;INT(MOD(Entry!$B957,10000)/100),2)&amp;"/"&amp;RIGHT("00"&amp;MOD(Entry!$B957,100),2),"نامعتبر"),IF(LEN(Entry!$B957)=10,Entry!$B957,"نامعتبر")))</f>
        <v/>
      </c>
      <c r="F954">
        <f>IF(Entry!$B957="","",IF(Entry!$C957="","0000",IF(AND(ISNUMBER(Entry!$C957),Entry!$C957&gt;=0,Entry!$C957&lt;1),RIGHT("00"&amp;HOUR(Entry!$C957),2)&amp;RIGHT("00"&amp;MINUTE(Entry!$C957),2),IFERROR(RIGHT("00"&amp;VALUE(LEFT(Entry!$C957,FIND(":",Entry!$C957)-1)),2)&amp;RIGHT("00"&amp;VALUE(MID(Entry!$C957,FIND(":",Entry!$C957)+1,2)),2),"0000"))))</f>
        <v/>
      </c>
      <c r="G954">
        <f>IF($A954="","",Entry!$G957)</f>
        <v/>
      </c>
      <c r="H954">
        <f>IF($A954="","",IF(Entry!$H957="",0,Entry!$H957))</f>
        <v/>
      </c>
      <c r="I954">
        <f>IF($A954="","",IF(Entry!$I957="",0,Entry!$I957))</f>
        <v/>
      </c>
      <c r="J954">
        <f>IF($A954="","",ROUND($H954*$I954,0))</f>
        <v/>
      </c>
      <c r="K954">
        <f>IF($A954="","",Entry!$D957)</f>
        <v/>
      </c>
      <c r="L954">
        <f>IF($A954="","",Entry!$L957)</f>
        <v/>
      </c>
      <c r="N954">
        <f>IF(OR(Sync!$M954="",$Q954="",$Q954="نامعتبر"),"",Sync!$M954)</f>
        <v/>
      </c>
      <c r="O954">
        <f>IF($N954="","",$Q954)</f>
        <v/>
      </c>
      <c r="P954">
        <f>IF($N954="","",LEFT($Q954,4)&amp;MID($Q954,6,2)&amp;RIGHT($Q954,2)&amp;IF(Sync!$K954="","0000",IF(AND(ISNUMBER(Sync!$K954),Sync!$K954&gt;=0,Sync!$K954&lt;1),RIGHT("00"&amp;HOUR(Sync!$K954),2)&amp;RIGHT("00"&amp;MINUTE(Sync!$K954),2),IFERROR(RIGHT("00"&amp;VALUE(LEFT(Sync!$K954,FIND(":",Sync!$K954)-1)),2)&amp;RIGHT("00"&amp;VALUE(MID(Sync!$K954,FIND(":",Sync!$K954)+1,2)),2),"0000")))&amp;"|"&amp;"2"&amp;RIGHT("00000"&amp;949,5))</f>
        <v/>
      </c>
      <c r="Q954">
        <f>IF(Sync!$J954="","",IF(ISNUMBER(Sync!$J954),IF(AND(Sync!$J954&gt;=10000101,Sync!$J954&lt;=99991231),INT(Sync!$J954/10000)&amp;"/"&amp;RIGHT("00"&amp;INT(MOD(Sync!$J954,10000)/100),2)&amp;"/"&amp;RIGHT("00"&amp;MOD(Sync!$J954,100),2),"نامعتبر"),IF(LEN(Sync!$J954)=10,Sync!$J954,"نامعتبر")))</f>
        <v/>
      </c>
      <c r="R954">
        <f>IF($P954="","",COUNTIFS($N$6:$N$2005,$N954,$P$6:$P$2005,"&lt;"&amp;$P954)+COUNTIFS($A$6:$A$1005,$N954,$B$6:$B$1005,"&lt;"&amp;$P954)+1)</f>
        <v/>
      </c>
      <c r="S954">
        <f>IF($N954="","",$N954&amp;"|"&amp;RIGHT("000000"&amp;$R954,6))</f>
        <v/>
      </c>
      <c r="T954">
        <f>IF($N954="","",IF(Sync!$N954="",0,Sync!$N954))</f>
        <v/>
      </c>
      <c r="U954">
        <f>IF($N954="","",IF(Sync!$O954="",0,Sync!$O954))</f>
        <v/>
      </c>
      <c r="V954">
        <f>IF($N954="","",Sync!$L954)</f>
        <v/>
      </c>
      <c r="W954">
        <f>IF($N954="","",Sync!$P954)</f>
        <v/>
      </c>
      <c r="AA954">
        <f>IF($A954="","",IF(COUNTIF($A$6:$A954,$A954)=1,1,0))</f>
        <v/>
      </c>
      <c r="AB954">
        <f>SUM($AA$6:$AA954)</f>
        <v/>
      </c>
      <c r="AC954">
        <f>IFERROR(INDEX($A$6:$A$1005,MATCH(ROW()-5,$AB$6:$AB$1005,0)),"")</f>
        <v/>
      </c>
    </row>
    <row r="955">
      <c r="A955">
        <f>IF(OR(Entry!$B958="",Entry!$E958="",$E955="نامعتبر"),"",Entry!$E958)</f>
        <v/>
      </c>
      <c r="B955">
        <f>IF($A955="","",LEFT($E955,4)&amp;MID($E955,6,2)&amp;RIGHT($E955,2)&amp;$F955&amp;"|"&amp;"1"&amp;RIGHT("00000"&amp;950,5))</f>
        <v/>
      </c>
      <c r="C955">
        <f>IF($B955="","",COUNTIFS($A$6:$A$1005,$A955,$B$6:$B$1005,"&lt;"&amp;$B955)+COUNTIFS($N$6:$N$2005,$A955,$P$6:$P$2005,"&lt;"&amp;$B955)+1)</f>
        <v/>
      </c>
      <c r="D955">
        <f>IF($C955="","",$A955&amp;"|"&amp;RIGHT("000000"&amp;$C955,6))</f>
        <v/>
      </c>
      <c r="E955">
        <f>IF(Entry!$B958="","",IF(ISNUMBER(Entry!$B958),IF(AND(Entry!$B958&gt;=10000101,Entry!$B958&lt;=99991231),INT(Entry!$B958/10000)&amp;"/"&amp;RIGHT("00"&amp;INT(MOD(Entry!$B958,10000)/100),2)&amp;"/"&amp;RIGHT("00"&amp;MOD(Entry!$B958,100),2),"نامعتبر"),IF(LEN(Entry!$B958)=10,Entry!$B958,"نامعتبر")))</f>
        <v/>
      </c>
      <c r="F955">
        <f>IF(Entry!$B958="","",IF(Entry!$C958="","0000",IF(AND(ISNUMBER(Entry!$C958),Entry!$C958&gt;=0,Entry!$C958&lt;1),RIGHT("00"&amp;HOUR(Entry!$C958),2)&amp;RIGHT("00"&amp;MINUTE(Entry!$C958),2),IFERROR(RIGHT("00"&amp;VALUE(LEFT(Entry!$C958,FIND(":",Entry!$C958)-1)),2)&amp;RIGHT("00"&amp;VALUE(MID(Entry!$C958,FIND(":",Entry!$C958)+1,2)),2),"0000"))))</f>
        <v/>
      </c>
      <c r="G955">
        <f>IF($A955="","",Entry!$G958)</f>
        <v/>
      </c>
      <c r="H955">
        <f>IF($A955="","",IF(Entry!$H958="",0,Entry!$H958))</f>
        <v/>
      </c>
      <c r="I955">
        <f>IF($A955="","",IF(Entry!$I958="",0,Entry!$I958))</f>
        <v/>
      </c>
      <c r="J955">
        <f>IF($A955="","",ROUND($H955*$I955,0))</f>
        <v/>
      </c>
      <c r="K955">
        <f>IF($A955="","",Entry!$D958)</f>
        <v/>
      </c>
      <c r="L955">
        <f>IF($A955="","",Entry!$L958)</f>
        <v/>
      </c>
      <c r="N955">
        <f>IF(OR(Sync!$M955="",$Q955="",$Q955="نامعتبر"),"",Sync!$M955)</f>
        <v/>
      </c>
      <c r="O955">
        <f>IF($N955="","",$Q955)</f>
        <v/>
      </c>
      <c r="P955">
        <f>IF($N955="","",LEFT($Q955,4)&amp;MID($Q955,6,2)&amp;RIGHT($Q955,2)&amp;IF(Sync!$K955="","0000",IF(AND(ISNUMBER(Sync!$K955),Sync!$K955&gt;=0,Sync!$K955&lt;1),RIGHT("00"&amp;HOUR(Sync!$K955),2)&amp;RIGHT("00"&amp;MINUTE(Sync!$K955),2),IFERROR(RIGHT("00"&amp;VALUE(LEFT(Sync!$K955,FIND(":",Sync!$K955)-1)),2)&amp;RIGHT("00"&amp;VALUE(MID(Sync!$K955,FIND(":",Sync!$K955)+1,2)),2),"0000")))&amp;"|"&amp;"2"&amp;RIGHT("00000"&amp;950,5))</f>
        <v/>
      </c>
      <c r="Q955">
        <f>IF(Sync!$J955="","",IF(ISNUMBER(Sync!$J955),IF(AND(Sync!$J955&gt;=10000101,Sync!$J955&lt;=99991231),INT(Sync!$J955/10000)&amp;"/"&amp;RIGHT("00"&amp;INT(MOD(Sync!$J955,10000)/100),2)&amp;"/"&amp;RIGHT("00"&amp;MOD(Sync!$J955,100),2),"نامعتبر"),IF(LEN(Sync!$J955)=10,Sync!$J955,"نامعتبر")))</f>
        <v/>
      </c>
      <c r="R955">
        <f>IF($P955="","",COUNTIFS($N$6:$N$2005,$N955,$P$6:$P$2005,"&lt;"&amp;$P955)+COUNTIFS($A$6:$A$1005,$N955,$B$6:$B$1005,"&lt;"&amp;$P955)+1)</f>
        <v/>
      </c>
      <c r="S955">
        <f>IF($N955="","",$N955&amp;"|"&amp;RIGHT("000000"&amp;$R955,6))</f>
        <v/>
      </c>
      <c r="T955">
        <f>IF($N955="","",IF(Sync!$N955="",0,Sync!$N955))</f>
        <v/>
      </c>
      <c r="U955">
        <f>IF($N955="","",IF(Sync!$O955="",0,Sync!$O955))</f>
        <v/>
      </c>
      <c r="V955">
        <f>IF($N955="","",Sync!$L955)</f>
        <v/>
      </c>
      <c r="W955">
        <f>IF($N955="","",Sync!$P955)</f>
        <v/>
      </c>
      <c r="AA955">
        <f>IF($A955="","",IF(COUNTIF($A$6:$A955,$A955)=1,1,0))</f>
        <v/>
      </c>
      <c r="AB955">
        <f>SUM($AA$6:$AA955)</f>
        <v/>
      </c>
      <c r="AC955">
        <f>IFERROR(INDEX($A$6:$A$1005,MATCH(ROW()-5,$AB$6:$AB$1005,0)),"")</f>
        <v/>
      </c>
    </row>
    <row r="956">
      <c r="A956">
        <f>IF(OR(Entry!$B959="",Entry!$E959="",$E956="نامعتبر"),"",Entry!$E959)</f>
        <v/>
      </c>
      <c r="B956">
        <f>IF($A956="","",LEFT($E956,4)&amp;MID($E956,6,2)&amp;RIGHT($E956,2)&amp;$F956&amp;"|"&amp;"1"&amp;RIGHT("00000"&amp;951,5))</f>
        <v/>
      </c>
      <c r="C956">
        <f>IF($B956="","",COUNTIFS($A$6:$A$1005,$A956,$B$6:$B$1005,"&lt;"&amp;$B956)+COUNTIFS($N$6:$N$2005,$A956,$P$6:$P$2005,"&lt;"&amp;$B956)+1)</f>
        <v/>
      </c>
      <c r="D956">
        <f>IF($C956="","",$A956&amp;"|"&amp;RIGHT("000000"&amp;$C956,6))</f>
        <v/>
      </c>
      <c r="E956">
        <f>IF(Entry!$B959="","",IF(ISNUMBER(Entry!$B959),IF(AND(Entry!$B959&gt;=10000101,Entry!$B959&lt;=99991231),INT(Entry!$B959/10000)&amp;"/"&amp;RIGHT("00"&amp;INT(MOD(Entry!$B959,10000)/100),2)&amp;"/"&amp;RIGHT("00"&amp;MOD(Entry!$B959,100),2),"نامعتبر"),IF(LEN(Entry!$B959)=10,Entry!$B959,"نامعتبر")))</f>
        <v/>
      </c>
      <c r="F956">
        <f>IF(Entry!$B959="","",IF(Entry!$C959="","0000",IF(AND(ISNUMBER(Entry!$C959),Entry!$C959&gt;=0,Entry!$C959&lt;1),RIGHT("00"&amp;HOUR(Entry!$C959),2)&amp;RIGHT("00"&amp;MINUTE(Entry!$C959),2),IFERROR(RIGHT("00"&amp;VALUE(LEFT(Entry!$C959,FIND(":",Entry!$C959)-1)),2)&amp;RIGHT("00"&amp;VALUE(MID(Entry!$C959,FIND(":",Entry!$C959)+1,2)),2),"0000"))))</f>
        <v/>
      </c>
      <c r="G956">
        <f>IF($A956="","",Entry!$G959)</f>
        <v/>
      </c>
      <c r="H956">
        <f>IF($A956="","",IF(Entry!$H959="",0,Entry!$H959))</f>
        <v/>
      </c>
      <c r="I956">
        <f>IF($A956="","",IF(Entry!$I959="",0,Entry!$I959))</f>
        <v/>
      </c>
      <c r="J956">
        <f>IF($A956="","",ROUND($H956*$I956,0))</f>
        <v/>
      </c>
      <c r="K956">
        <f>IF($A956="","",Entry!$D959)</f>
        <v/>
      </c>
      <c r="L956">
        <f>IF($A956="","",Entry!$L959)</f>
        <v/>
      </c>
      <c r="N956">
        <f>IF(OR(Sync!$M956="",$Q956="",$Q956="نامعتبر"),"",Sync!$M956)</f>
        <v/>
      </c>
      <c r="O956">
        <f>IF($N956="","",$Q956)</f>
        <v/>
      </c>
      <c r="P956">
        <f>IF($N956="","",LEFT($Q956,4)&amp;MID($Q956,6,2)&amp;RIGHT($Q956,2)&amp;IF(Sync!$K956="","0000",IF(AND(ISNUMBER(Sync!$K956),Sync!$K956&gt;=0,Sync!$K956&lt;1),RIGHT("00"&amp;HOUR(Sync!$K956),2)&amp;RIGHT("00"&amp;MINUTE(Sync!$K956),2),IFERROR(RIGHT("00"&amp;VALUE(LEFT(Sync!$K956,FIND(":",Sync!$K956)-1)),2)&amp;RIGHT("00"&amp;VALUE(MID(Sync!$K956,FIND(":",Sync!$K956)+1,2)),2),"0000")))&amp;"|"&amp;"2"&amp;RIGHT("00000"&amp;951,5))</f>
        <v/>
      </c>
      <c r="Q956">
        <f>IF(Sync!$J956="","",IF(ISNUMBER(Sync!$J956),IF(AND(Sync!$J956&gt;=10000101,Sync!$J956&lt;=99991231),INT(Sync!$J956/10000)&amp;"/"&amp;RIGHT("00"&amp;INT(MOD(Sync!$J956,10000)/100),2)&amp;"/"&amp;RIGHT("00"&amp;MOD(Sync!$J956,100),2),"نامعتبر"),IF(LEN(Sync!$J956)=10,Sync!$J956,"نامعتبر")))</f>
        <v/>
      </c>
      <c r="R956">
        <f>IF($P956="","",COUNTIFS($N$6:$N$2005,$N956,$P$6:$P$2005,"&lt;"&amp;$P956)+COUNTIFS($A$6:$A$1005,$N956,$B$6:$B$1005,"&lt;"&amp;$P956)+1)</f>
        <v/>
      </c>
      <c r="S956">
        <f>IF($N956="","",$N956&amp;"|"&amp;RIGHT("000000"&amp;$R956,6))</f>
        <v/>
      </c>
      <c r="T956">
        <f>IF($N956="","",IF(Sync!$N956="",0,Sync!$N956))</f>
        <v/>
      </c>
      <c r="U956">
        <f>IF($N956="","",IF(Sync!$O956="",0,Sync!$O956))</f>
        <v/>
      </c>
      <c r="V956">
        <f>IF($N956="","",Sync!$L956)</f>
        <v/>
      </c>
      <c r="W956">
        <f>IF($N956="","",Sync!$P956)</f>
        <v/>
      </c>
      <c r="AA956">
        <f>IF($A956="","",IF(COUNTIF($A$6:$A956,$A956)=1,1,0))</f>
        <v/>
      </c>
      <c r="AB956">
        <f>SUM($AA$6:$AA956)</f>
        <v/>
      </c>
      <c r="AC956">
        <f>IFERROR(INDEX($A$6:$A$1005,MATCH(ROW()-5,$AB$6:$AB$1005,0)),"")</f>
        <v/>
      </c>
    </row>
    <row r="957">
      <c r="A957">
        <f>IF(OR(Entry!$B960="",Entry!$E960="",$E957="نامعتبر"),"",Entry!$E960)</f>
        <v/>
      </c>
      <c r="B957">
        <f>IF($A957="","",LEFT($E957,4)&amp;MID($E957,6,2)&amp;RIGHT($E957,2)&amp;$F957&amp;"|"&amp;"1"&amp;RIGHT("00000"&amp;952,5))</f>
        <v/>
      </c>
      <c r="C957">
        <f>IF($B957="","",COUNTIFS($A$6:$A$1005,$A957,$B$6:$B$1005,"&lt;"&amp;$B957)+COUNTIFS($N$6:$N$2005,$A957,$P$6:$P$2005,"&lt;"&amp;$B957)+1)</f>
        <v/>
      </c>
      <c r="D957">
        <f>IF($C957="","",$A957&amp;"|"&amp;RIGHT("000000"&amp;$C957,6))</f>
        <v/>
      </c>
      <c r="E957">
        <f>IF(Entry!$B960="","",IF(ISNUMBER(Entry!$B960),IF(AND(Entry!$B960&gt;=10000101,Entry!$B960&lt;=99991231),INT(Entry!$B960/10000)&amp;"/"&amp;RIGHT("00"&amp;INT(MOD(Entry!$B960,10000)/100),2)&amp;"/"&amp;RIGHT("00"&amp;MOD(Entry!$B960,100),2),"نامعتبر"),IF(LEN(Entry!$B960)=10,Entry!$B960,"نامعتبر")))</f>
        <v/>
      </c>
      <c r="F957">
        <f>IF(Entry!$B960="","",IF(Entry!$C960="","0000",IF(AND(ISNUMBER(Entry!$C960),Entry!$C960&gt;=0,Entry!$C960&lt;1),RIGHT("00"&amp;HOUR(Entry!$C960),2)&amp;RIGHT("00"&amp;MINUTE(Entry!$C960),2),IFERROR(RIGHT("00"&amp;VALUE(LEFT(Entry!$C960,FIND(":",Entry!$C960)-1)),2)&amp;RIGHT("00"&amp;VALUE(MID(Entry!$C960,FIND(":",Entry!$C960)+1,2)),2),"0000"))))</f>
        <v/>
      </c>
      <c r="G957">
        <f>IF($A957="","",Entry!$G960)</f>
        <v/>
      </c>
      <c r="H957">
        <f>IF($A957="","",IF(Entry!$H960="",0,Entry!$H960))</f>
        <v/>
      </c>
      <c r="I957">
        <f>IF($A957="","",IF(Entry!$I960="",0,Entry!$I960))</f>
        <v/>
      </c>
      <c r="J957">
        <f>IF($A957="","",ROUND($H957*$I957,0))</f>
        <v/>
      </c>
      <c r="K957">
        <f>IF($A957="","",Entry!$D960)</f>
        <v/>
      </c>
      <c r="L957">
        <f>IF($A957="","",Entry!$L960)</f>
        <v/>
      </c>
      <c r="N957">
        <f>IF(OR(Sync!$M957="",$Q957="",$Q957="نامعتبر"),"",Sync!$M957)</f>
        <v/>
      </c>
      <c r="O957">
        <f>IF($N957="","",$Q957)</f>
        <v/>
      </c>
      <c r="P957">
        <f>IF($N957="","",LEFT($Q957,4)&amp;MID($Q957,6,2)&amp;RIGHT($Q957,2)&amp;IF(Sync!$K957="","0000",IF(AND(ISNUMBER(Sync!$K957),Sync!$K957&gt;=0,Sync!$K957&lt;1),RIGHT("00"&amp;HOUR(Sync!$K957),2)&amp;RIGHT("00"&amp;MINUTE(Sync!$K957),2),IFERROR(RIGHT("00"&amp;VALUE(LEFT(Sync!$K957,FIND(":",Sync!$K957)-1)),2)&amp;RIGHT("00"&amp;VALUE(MID(Sync!$K957,FIND(":",Sync!$K957)+1,2)),2),"0000")))&amp;"|"&amp;"2"&amp;RIGHT("00000"&amp;952,5))</f>
        <v/>
      </c>
      <c r="Q957">
        <f>IF(Sync!$J957="","",IF(ISNUMBER(Sync!$J957),IF(AND(Sync!$J957&gt;=10000101,Sync!$J957&lt;=99991231),INT(Sync!$J957/10000)&amp;"/"&amp;RIGHT("00"&amp;INT(MOD(Sync!$J957,10000)/100),2)&amp;"/"&amp;RIGHT("00"&amp;MOD(Sync!$J957,100),2),"نامعتبر"),IF(LEN(Sync!$J957)=10,Sync!$J957,"نامعتبر")))</f>
        <v/>
      </c>
      <c r="R957">
        <f>IF($P957="","",COUNTIFS($N$6:$N$2005,$N957,$P$6:$P$2005,"&lt;"&amp;$P957)+COUNTIFS($A$6:$A$1005,$N957,$B$6:$B$1005,"&lt;"&amp;$P957)+1)</f>
        <v/>
      </c>
      <c r="S957">
        <f>IF($N957="","",$N957&amp;"|"&amp;RIGHT("000000"&amp;$R957,6))</f>
        <v/>
      </c>
      <c r="T957">
        <f>IF($N957="","",IF(Sync!$N957="",0,Sync!$N957))</f>
        <v/>
      </c>
      <c r="U957">
        <f>IF($N957="","",IF(Sync!$O957="",0,Sync!$O957))</f>
        <v/>
      </c>
      <c r="V957">
        <f>IF($N957="","",Sync!$L957)</f>
        <v/>
      </c>
      <c r="W957">
        <f>IF($N957="","",Sync!$P957)</f>
        <v/>
      </c>
      <c r="AA957">
        <f>IF($A957="","",IF(COUNTIF($A$6:$A957,$A957)=1,1,0))</f>
        <v/>
      </c>
      <c r="AB957">
        <f>SUM($AA$6:$AA957)</f>
        <v/>
      </c>
      <c r="AC957">
        <f>IFERROR(INDEX($A$6:$A$1005,MATCH(ROW()-5,$AB$6:$AB$1005,0)),"")</f>
        <v/>
      </c>
    </row>
    <row r="958">
      <c r="A958">
        <f>IF(OR(Entry!$B961="",Entry!$E961="",$E958="نامعتبر"),"",Entry!$E961)</f>
        <v/>
      </c>
      <c r="B958">
        <f>IF($A958="","",LEFT($E958,4)&amp;MID($E958,6,2)&amp;RIGHT($E958,2)&amp;$F958&amp;"|"&amp;"1"&amp;RIGHT("00000"&amp;953,5))</f>
        <v/>
      </c>
      <c r="C958">
        <f>IF($B958="","",COUNTIFS($A$6:$A$1005,$A958,$B$6:$B$1005,"&lt;"&amp;$B958)+COUNTIFS($N$6:$N$2005,$A958,$P$6:$P$2005,"&lt;"&amp;$B958)+1)</f>
        <v/>
      </c>
      <c r="D958">
        <f>IF($C958="","",$A958&amp;"|"&amp;RIGHT("000000"&amp;$C958,6))</f>
        <v/>
      </c>
      <c r="E958">
        <f>IF(Entry!$B961="","",IF(ISNUMBER(Entry!$B961),IF(AND(Entry!$B961&gt;=10000101,Entry!$B961&lt;=99991231),INT(Entry!$B961/10000)&amp;"/"&amp;RIGHT("00"&amp;INT(MOD(Entry!$B961,10000)/100),2)&amp;"/"&amp;RIGHT("00"&amp;MOD(Entry!$B961,100),2),"نامعتبر"),IF(LEN(Entry!$B961)=10,Entry!$B961,"نامعتبر")))</f>
        <v/>
      </c>
      <c r="F958">
        <f>IF(Entry!$B961="","",IF(Entry!$C961="","0000",IF(AND(ISNUMBER(Entry!$C961),Entry!$C961&gt;=0,Entry!$C961&lt;1),RIGHT("00"&amp;HOUR(Entry!$C961),2)&amp;RIGHT("00"&amp;MINUTE(Entry!$C961),2),IFERROR(RIGHT("00"&amp;VALUE(LEFT(Entry!$C961,FIND(":",Entry!$C961)-1)),2)&amp;RIGHT("00"&amp;VALUE(MID(Entry!$C961,FIND(":",Entry!$C961)+1,2)),2),"0000"))))</f>
        <v/>
      </c>
      <c r="G958">
        <f>IF($A958="","",Entry!$G961)</f>
        <v/>
      </c>
      <c r="H958">
        <f>IF($A958="","",IF(Entry!$H961="",0,Entry!$H961))</f>
        <v/>
      </c>
      <c r="I958">
        <f>IF($A958="","",IF(Entry!$I961="",0,Entry!$I961))</f>
        <v/>
      </c>
      <c r="J958">
        <f>IF($A958="","",ROUND($H958*$I958,0))</f>
        <v/>
      </c>
      <c r="K958">
        <f>IF($A958="","",Entry!$D961)</f>
        <v/>
      </c>
      <c r="L958">
        <f>IF($A958="","",Entry!$L961)</f>
        <v/>
      </c>
      <c r="N958">
        <f>IF(OR(Sync!$M958="",$Q958="",$Q958="نامعتبر"),"",Sync!$M958)</f>
        <v/>
      </c>
      <c r="O958">
        <f>IF($N958="","",$Q958)</f>
        <v/>
      </c>
      <c r="P958">
        <f>IF($N958="","",LEFT($Q958,4)&amp;MID($Q958,6,2)&amp;RIGHT($Q958,2)&amp;IF(Sync!$K958="","0000",IF(AND(ISNUMBER(Sync!$K958),Sync!$K958&gt;=0,Sync!$K958&lt;1),RIGHT("00"&amp;HOUR(Sync!$K958),2)&amp;RIGHT("00"&amp;MINUTE(Sync!$K958),2),IFERROR(RIGHT("00"&amp;VALUE(LEFT(Sync!$K958,FIND(":",Sync!$K958)-1)),2)&amp;RIGHT("00"&amp;VALUE(MID(Sync!$K958,FIND(":",Sync!$K958)+1,2)),2),"0000")))&amp;"|"&amp;"2"&amp;RIGHT("00000"&amp;953,5))</f>
        <v/>
      </c>
      <c r="Q958">
        <f>IF(Sync!$J958="","",IF(ISNUMBER(Sync!$J958),IF(AND(Sync!$J958&gt;=10000101,Sync!$J958&lt;=99991231),INT(Sync!$J958/10000)&amp;"/"&amp;RIGHT("00"&amp;INT(MOD(Sync!$J958,10000)/100),2)&amp;"/"&amp;RIGHT("00"&amp;MOD(Sync!$J958,100),2),"نامعتبر"),IF(LEN(Sync!$J958)=10,Sync!$J958,"نامعتبر")))</f>
        <v/>
      </c>
      <c r="R958">
        <f>IF($P958="","",COUNTIFS($N$6:$N$2005,$N958,$P$6:$P$2005,"&lt;"&amp;$P958)+COUNTIFS($A$6:$A$1005,$N958,$B$6:$B$1005,"&lt;"&amp;$P958)+1)</f>
        <v/>
      </c>
      <c r="S958">
        <f>IF($N958="","",$N958&amp;"|"&amp;RIGHT("000000"&amp;$R958,6))</f>
        <v/>
      </c>
      <c r="T958">
        <f>IF($N958="","",IF(Sync!$N958="",0,Sync!$N958))</f>
        <v/>
      </c>
      <c r="U958">
        <f>IF($N958="","",IF(Sync!$O958="",0,Sync!$O958))</f>
        <v/>
      </c>
      <c r="V958">
        <f>IF($N958="","",Sync!$L958)</f>
        <v/>
      </c>
      <c r="W958">
        <f>IF($N958="","",Sync!$P958)</f>
        <v/>
      </c>
      <c r="AA958">
        <f>IF($A958="","",IF(COUNTIF($A$6:$A958,$A958)=1,1,0))</f>
        <v/>
      </c>
      <c r="AB958">
        <f>SUM($AA$6:$AA958)</f>
        <v/>
      </c>
      <c r="AC958">
        <f>IFERROR(INDEX($A$6:$A$1005,MATCH(ROW()-5,$AB$6:$AB$1005,0)),"")</f>
        <v/>
      </c>
    </row>
    <row r="959">
      <c r="A959">
        <f>IF(OR(Entry!$B962="",Entry!$E962="",$E959="نامعتبر"),"",Entry!$E962)</f>
        <v/>
      </c>
      <c r="B959">
        <f>IF($A959="","",LEFT($E959,4)&amp;MID($E959,6,2)&amp;RIGHT($E959,2)&amp;$F959&amp;"|"&amp;"1"&amp;RIGHT("00000"&amp;954,5))</f>
        <v/>
      </c>
      <c r="C959">
        <f>IF($B959="","",COUNTIFS($A$6:$A$1005,$A959,$B$6:$B$1005,"&lt;"&amp;$B959)+COUNTIFS($N$6:$N$2005,$A959,$P$6:$P$2005,"&lt;"&amp;$B959)+1)</f>
        <v/>
      </c>
      <c r="D959">
        <f>IF($C959="","",$A959&amp;"|"&amp;RIGHT("000000"&amp;$C959,6))</f>
        <v/>
      </c>
      <c r="E959">
        <f>IF(Entry!$B962="","",IF(ISNUMBER(Entry!$B962),IF(AND(Entry!$B962&gt;=10000101,Entry!$B962&lt;=99991231),INT(Entry!$B962/10000)&amp;"/"&amp;RIGHT("00"&amp;INT(MOD(Entry!$B962,10000)/100),2)&amp;"/"&amp;RIGHT("00"&amp;MOD(Entry!$B962,100),2),"نامعتبر"),IF(LEN(Entry!$B962)=10,Entry!$B962,"نامعتبر")))</f>
        <v/>
      </c>
      <c r="F959">
        <f>IF(Entry!$B962="","",IF(Entry!$C962="","0000",IF(AND(ISNUMBER(Entry!$C962),Entry!$C962&gt;=0,Entry!$C962&lt;1),RIGHT("00"&amp;HOUR(Entry!$C962),2)&amp;RIGHT("00"&amp;MINUTE(Entry!$C962),2),IFERROR(RIGHT("00"&amp;VALUE(LEFT(Entry!$C962,FIND(":",Entry!$C962)-1)),2)&amp;RIGHT("00"&amp;VALUE(MID(Entry!$C962,FIND(":",Entry!$C962)+1,2)),2),"0000"))))</f>
        <v/>
      </c>
      <c r="G959">
        <f>IF($A959="","",Entry!$G962)</f>
        <v/>
      </c>
      <c r="H959">
        <f>IF($A959="","",IF(Entry!$H962="",0,Entry!$H962))</f>
        <v/>
      </c>
      <c r="I959">
        <f>IF($A959="","",IF(Entry!$I962="",0,Entry!$I962))</f>
        <v/>
      </c>
      <c r="J959">
        <f>IF($A959="","",ROUND($H959*$I959,0))</f>
        <v/>
      </c>
      <c r="K959">
        <f>IF($A959="","",Entry!$D962)</f>
        <v/>
      </c>
      <c r="L959">
        <f>IF($A959="","",Entry!$L962)</f>
        <v/>
      </c>
      <c r="N959">
        <f>IF(OR(Sync!$M959="",$Q959="",$Q959="نامعتبر"),"",Sync!$M959)</f>
        <v/>
      </c>
      <c r="O959">
        <f>IF($N959="","",$Q959)</f>
        <v/>
      </c>
      <c r="P959">
        <f>IF($N959="","",LEFT($Q959,4)&amp;MID($Q959,6,2)&amp;RIGHT($Q959,2)&amp;IF(Sync!$K959="","0000",IF(AND(ISNUMBER(Sync!$K959),Sync!$K959&gt;=0,Sync!$K959&lt;1),RIGHT("00"&amp;HOUR(Sync!$K959),2)&amp;RIGHT("00"&amp;MINUTE(Sync!$K959),2),IFERROR(RIGHT("00"&amp;VALUE(LEFT(Sync!$K959,FIND(":",Sync!$K959)-1)),2)&amp;RIGHT("00"&amp;VALUE(MID(Sync!$K959,FIND(":",Sync!$K959)+1,2)),2),"0000")))&amp;"|"&amp;"2"&amp;RIGHT("00000"&amp;954,5))</f>
        <v/>
      </c>
      <c r="Q959">
        <f>IF(Sync!$J959="","",IF(ISNUMBER(Sync!$J959),IF(AND(Sync!$J959&gt;=10000101,Sync!$J959&lt;=99991231),INT(Sync!$J959/10000)&amp;"/"&amp;RIGHT("00"&amp;INT(MOD(Sync!$J959,10000)/100),2)&amp;"/"&amp;RIGHT("00"&amp;MOD(Sync!$J959,100),2),"نامعتبر"),IF(LEN(Sync!$J959)=10,Sync!$J959,"نامعتبر")))</f>
        <v/>
      </c>
      <c r="R959">
        <f>IF($P959="","",COUNTIFS($N$6:$N$2005,$N959,$P$6:$P$2005,"&lt;"&amp;$P959)+COUNTIFS($A$6:$A$1005,$N959,$B$6:$B$1005,"&lt;"&amp;$P959)+1)</f>
        <v/>
      </c>
      <c r="S959">
        <f>IF($N959="","",$N959&amp;"|"&amp;RIGHT("000000"&amp;$R959,6))</f>
        <v/>
      </c>
      <c r="T959">
        <f>IF($N959="","",IF(Sync!$N959="",0,Sync!$N959))</f>
        <v/>
      </c>
      <c r="U959">
        <f>IF($N959="","",IF(Sync!$O959="",0,Sync!$O959))</f>
        <v/>
      </c>
      <c r="V959">
        <f>IF($N959="","",Sync!$L959)</f>
        <v/>
      </c>
      <c r="W959">
        <f>IF($N959="","",Sync!$P959)</f>
        <v/>
      </c>
      <c r="AA959">
        <f>IF($A959="","",IF(COUNTIF($A$6:$A959,$A959)=1,1,0))</f>
        <v/>
      </c>
      <c r="AB959">
        <f>SUM($AA$6:$AA959)</f>
        <v/>
      </c>
      <c r="AC959">
        <f>IFERROR(INDEX($A$6:$A$1005,MATCH(ROW()-5,$AB$6:$AB$1005,0)),"")</f>
        <v/>
      </c>
    </row>
    <row r="960">
      <c r="A960">
        <f>IF(OR(Entry!$B963="",Entry!$E963="",$E960="نامعتبر"),"",Entry!$E963)</f>
        <v/>
      </c>
      <c r="B960">
        <f>IF($A960="","",LEFT($E960,4)&amp;MID($E960,6,2)&amp;RIGHT($E960,2)&amp;$F960&amp;"|"&amp;"1"&amp;RIGHT("00000"&amp;955,5))</f>
        <v/>
      </c>
      <c r="C960">
        <f>IF($B960="","",COUNTIFS($A$6:$A$1005,$A960,$B$6:$B$1005,"&lt;"&amp;$B960)+COUNTIFS($N$6:$N$2005,$A960,$P$6:$P$2005,"&lt;"&amp;$B960)+1)</f>
        <v/>
      </c>
      <c r="D960">
        <f>IF($C960="","",$A960&amp;"|"&amp;RIGHT("000000"&amp;$C960,6))</f>
        <v/>
      </c>
      <c r="E960">
        <f>IF(Entry!$B963="","",IF(ISNUMBER(Entry!$B963),IF(AND(Entry!$B963&gt;=10000101,Entry!$B963&lt;=99991231),INT(Entry!$B963/10000)&amp;"/"&amp;RIGHT("00"&amp;INT(MOD(Entry!$B963,10000)/100),2)&amp;"/"&amp;RIGHT("00"&amp;MOD(Entry!$B963,100),2),"نامعتبر"),IF(LEN(Entry!$B963)=10,Entry!$B963,"نامعتبر")))</f>
        <v/>
      </c>
      <c r="F960">
        <f>IF(Entry!$B963="","",IF(Entry!$C963="","0000",IF(AND(ISNUMBER(Entry!$C963),Entry!$C963&gt;=0,Entry!$C963&lt;1),RIGHT("00"&amp;HOUR(Entry!$C963),2)&amp;RIGHT("00"&amp;MINUTE(Entry!$C963),2),IFERROR(RIGHT("00"&amp;VALUE(LEFT(Entry!$C963,FIND(":",Entry!$C963)-1)),2)&amp;RIGHT("00"&amp;VALUE(MID(Entry!$C963,FIND(":",Entry!$C963)+1,2)),2),"0000"))))</f>
        <v/>
      </c>
      <c r="G960">
        <f>IF($A960="","",Entry!$G963)</f>
        <v/>
      </c>
      <c r="H960">
        <f>IF($A960="","",IF(Entry!$H963="",0,Entry!$H963))</f>
        <v/>
      </c>
      <c r="I960">
        <f>IF($A960="","",IF(Entry!$I963="",0,Entry!$I963))</f>
        <v/>
      </c>
      <c r="J960">
        <f>IF($A960="","",ROUND($H960*$I960,0))</f>
        <v/>
      </c>
      <c r="K960">
        <f>IF($A960="","",Entry!$D963)</f>
        <v/>
      </c>
      <c r="L960">
        <f>IF($A960="","",Entry!$L963)</f>
        <v/>
      </c>
      <c r="N960">
        <f>IF(OR(Sync!$M960="",$Q960="",$Q960="نامعتبر"),"",Sync!$M960)</f>
        <v/>
      </c>
      <c r="O960">
        <f>IF($N960="","",$Q960)</f>
        <v/>
      </c>
      <c r="P960">
        <f>IF($N960="","",LEFT($Q960,4)&amp;MID($Q960,6,2)&amp;RIGHT($Q960,2)&amp;IF(Sync!$K960="","0000",IF(AND(ISNUMBER(Sync!$K960),Sync!$K960&gt;=0,Sync!$K960&lt;1),RIGHT("00"&amp;HOUR(Sync!$K960),2)&amp;RIGHT("00"&amp;MINUTE(Sync!$K960),2),IFERROR(RIGHT("00"&amp;VALUE(LEFT(Sync!$K960,FIND(":",Sync!$K960)-1)),2)&amp;RIGHT("00"&amp;VALUE(MID(Sync!$K960,FIND(":",Sync!$K960)+1,2)),2),"0000")))&amp;"|"&amp;"2"&amp;RIGHT("00000"&amp;955,5))</f>
        <v/>
      </c>
      <c r="Q960">
        <f>IF(Sync!$J960="","",IF(ISNUMBER(Sync!$J960),IF(AND(Sync!$J960&gt;=10000101,Sync!$J960&lt;=99991231),INT(Sync!$J960/10000)&amp;"/"&amp;RIGHT("00"&amp;INT(MOD(Sync!$J960,10000)/100),2)&amp;"/"&amp;RIGHT("00"&amp;MOD(Sync!$J960,100),2),"نامعتبر"),IF(LEN(Sync!$J960)=10,Sync!$J960,"نامعتبر")))</f>
        <v/>
      </c>
      <c r="R960">
        <f>IF($P960="","",COUNTIFS($N$6:$N$2005,$N960,$P$6:$P$2005,"&lt;"&amp;$P960)+COUNTIFS($A$6:$A$1005,$N960,$B$6:$B$1005,"&lt;"&amp;$P960)+1)</f>
        <v/>
      </c>
      <c r="S960">
        <f>IF($N960="","",$N960&amp;"|"&amp;RIGHT("000000"&amp;$R960,6))</f>
        <v/>
      </c>
      <c r="T960">
        <f>IF($N960="","",IF(Sync!$N960="",0,Sync!$N960))</f>
        <v/>
      </c>
      <c r="U960">
        <f>IF($N960="","",IF(Sync!$O960="",0,Sync!$O960))</f>
        <v/>
      </c>
      <c r="V960">
        <f>IF($N960="","",Sync!$L960)</f>
        <v/>
      </c>
      <c r="W960">
        <f>IF($N960="","",Sync!$P960)</f>
        <v/>
      </c>
      <c r="AA960">
        <f>IF($A960="","",IF(COUNTIF($A$6:$A960,$A960)=1,1,0))</f>
        <v/>
      </c>
      <c r="AB960">
        <f>SUM($AA$6:$AA960)</f>
        <v/>
      </c>
      <c r="AC960">
        <f>IFERROR(INDEX($A$6:$A$1005,MATCH(ROW()-5,$AB$6:$AB$1005,0)),"")</f>
        <v/>
      </c>
    </row>
    <row r="961">
      <c r="A961">
        <f>IF(OR(Entry!$B964="",Entry!$E964="",$E961="نامعتبر"),"",Entry!$E964)</f>
        <v/>
      </c>
      <c r="B961">
        <f>IF($A961="","",LEFT($E961,4)&amp;MID($E961,6,2)&amp;RIGHT($E961,2)&amp;$F961&amp;"|"&amp;"1"&amp;RIGHT("00000"&amp;956,5))</f>
        <v/>
      </c>
      <c r="C961">
        <f>IF($B961="","",COUNTIFS($A$6:$A$1005,$A961,$B$6:$B$1005,"&lt;"&amp;$B961)+COUNTIFS($N$6:$N$2005,$A961,$P$6:$P$2005,"&lt;"&amp;$B961)+1)</f>
        <v/>
      </c>
      <c r="D961">
        <f>IF($C961="","",$A961&amp;"|"&amp;RIGHT("000000"&amp;$C961,6))</f>
        <v/>
      </c>
      <c r="E961">
        <f>IF(Entry!$B964="","",IF(ISNUMBER(Entry!$B964),IF(AND(Entry!$B964&gt;=10000101,Entry!$B964&lt;=99991231),INT(Entry!$B964/10000)&amp;"/"&amp;RIGHT("00"&amp;INT(MOD(Entry!$B964,10000)/100),2)&amp;"/"&amp;RIGHT("00"&amp;MOD(Entry!$B964,100),2),"نامعتبر"),IF(LEN(Entry!$B964)=10,Entry!$B964,"نامعتبر")))</f>
        <v/>
      </c>
      <c r="F961">
        <f>IF(Entry!$B964="","",IF(Entry!$C964="","0000",IF(AND(ISNUMBER(Entry!$C964),Entry!$C964&gt;=0,Entry!$C964&lt;1),RIGHT("00"&amp;HOUR(Entry!$C964),2)&amp;RIGHT("00"&amp;MINUTE(Entry!$C964),2),IFERROR(RIGHT("00"&amp;VALUE(LEFT(Entry!$C964,FIND(":",Entry!$C964)-1)),2)&amp;RIGHT("00"&amp;VALUE(MID(Entry!$C964,FIND(":",Entry!$C964)+1,2)),2),"0000"))))</f>
        <v/>
      </c>
      <c r="G961">
        <f>IF($A961="","",Entry!$G964)</f>
        <v/>
      </c>
      <c r="H961">
        <f>IF($A961="","",IF(Entry!$H964="",0,Entry!$H964))</f>
        <v/>
      </c>
      <c r="I961">
        <f>IF($A961="","",IF(Entry!$I964="",0,Entry!$I964))</f>
        <v/>
      </c>
      <c r="J961">
        <f>IF($A961="","",ROUND($H961*$I961,0))</f>
        <v/>
      </c>
      <c r="K961">
        <f>IF($A961="","",Entry!$D964)</f>
        <v/>
      </c>
      <c r="L961">
        <f>IF($A961="","",Entry!$L964)</f>
        <v/>
      </c>
      <c r="N961">
        <f>IF(OR(Sync!$M961="",$Q961="",$Q961="نامعتبر"),"",Sync!$M961)</f>
        <v/>
      </c>
      <c r="O961">
        <f>IF($N961="","",$Q961)</f>
        <v/>
      </c>
      <c r="P961">
        <f>IF($N961="","",LEFT($Q961,4)&amp;MID($Q961,6,2)&amp;RIGHT($Q961,2)&amp;IF(Sync!$K961="","0000",IF(AND(ISNUMBER(Sync!$K961),Sync!$K961&gt;=0,Sync!$K961&lt;1),RIGHT("00"&amp;HOUR(Sync!$K961),2)&amp;RIGHT("00"&amp;MINUTE(Sync!$K961),2),IFERROR(RIGHT("00"&amp;VALUE(LEFT(Sync!$K961,FIND(":",Sync!$K961)-1)),2)&amp;RIGHT("00"&amp;VALUE(MID(Sync!$K961,FIND(":",Sync!$K961)+1,2)),2),"0000")))&amp;"|"&amp;"2"&amp;RIGHT("00000"&amp;956,5))</f>
        <v/>
      </c>
      <c r="Q961">
        <f>IF(Sync!$J961="","",IF(ISNUMBER(Sync!$J961),IF(AND(Sync!$J961&gt;=10000101,Sync!$J961&lt;=99991231),INT(Sync!$J961/10000)&amp;"/"&amp;RIGHT("00"&amp;INT(MOD(Sync!$J961,10000)/100),2)&amp;"/"&amp;RIGHT("00"&amp;MOD(Sync!$J961,100),2),"نامعتبر"),IF(LEN(Sync!$J961)=10,Sync!$J961,"نامعتبر")))</f>
        <v/>
      </c>
      <c r="R961">
        <f>IF($P961="","",COUNTIFS($N$6:$N$2005,$N961,$P$6:$P$2005,"&lt;"&amp;$P961)+COUNTIFS($A$6:$A$1005,$N961,$B$6:$B$1005,"&lt;"&amp;$P961)+1)</f>
        <v/>
      </c>
      <c r="S961">
        <f>IF($N961="","",$N961&amp;"|"&amp;RIGHT("000000"&amp;$R961,6))</f>
        <v/>
      </c>
      <c r="T961">
        <f>IF($N961="","",IF(Sync!$N961="",0,Sync!$N961))</f>
        <v/>
      </c>
      <c r="U961">
        <f>IF($N961="","",IF(Sync!$O961="",0,Sync!$O961))</f>
        <v/>
      </c>
      <c r="V961">
        <f>IF($N961="","",Sync!$L961)</f>
        <v/>
      </c>
      <c r="W961">
        <f>IF($N961="","",Sync!$P961)</f>
        <v/>
      </c>
      <c r="AA961">
        <f>IF($A961="","",IF(COUNTIF($A$6:$A961,$A961)=1,1,0))</f>
        <v/>
      </c>
      <c r="AB961">
        <f>SUM($AA$6:$AA961)</f>
        <v/>
      </c>
      <c r="AC961">
        <f>IFERROR(INDEX($A$6:$A$1005,MATCH(ROW()-5,$AB$6:$AB$1005,0)),"")</f>
        <v/>
      </c>
    </row>
    <row r="962">
      <c r="A962">
        <f>IF(OR(Entry!$B965="",Entry!$E965="",$E962="نامعتبر"),"",Entry!$E965)</f>
        <v/>
      </c>
      <c r="B962">
        <f>IF($A962="","",LEFT($E962,4)&amp;MID($E962,6,2)&amp;RIGHT($E962,2)&amp;$F962&amp;"|"&amp;"1"&amp;RIGHT("00000"&amp;957,5))</f>
        <v/>
      </c>
      <c r="C962">
        <f>IF($B962="","",COUNTIFS($A$6:$A$1005,$A962,$B$6:$B$1005,"&lt;"&amp;$B962)+COUNTIFS($N$6:$N$2005,$A962,$P$6:$P$2005,"&lt;"&amp;$B962)+1)</f>
        <v/>
      </c>
      <c r="D962">
        <f>IF($C962="","",$A962&amp;"|"&amp;RIGHT("000000"&amp;$C962,6))</f>
        <v/>
      </c>
      <c r="E962">
        <f>IF(Entry!$B965="","",IF(ISNUMBER(Entry!$B965),IF(AND(Entry!$B965&gt;=10000101,Entry!$B965&lt;=99991231),INT(Entry!$B965/10000)&amp;"/"&amp;RIGHT("00"&amp;INT(MOD(Entry!$B965,10000)/100),2)&amp;"/"&amp;RIGHT("00"&amp;MOD(Entry!$B965,100),2),"نامعتبر"),IF(LEN(Entry!$B965)=10,Entry!$B965,"نامعتبر")))</f>
        <v/>
      </c>
      <c r="F962">
        <f>IF(Entry!$B965="","",IF(Entry!$C965="","0000",IF(AND(ISNUMBER(Entry!$C965),Entry!$C965&gt;=0,Entry!$C965&lt;1),RIGHT("00"&amp;HOUR(Entry!$C965),2)&amp;RIGHT("00"&amp;MINUTE(Entry!$C965),2),IFERROR(RIGHT("00"&amp;VALUE(LEFT(Entry!$C965,FIND(":",Entry!$C965)-1)),2)&amp;RIGHT("00"&amp;VALUE(MID(Entry!$C965,FIND(":",Entry!$C965)+1,2)),2),"0000"))))</f>
        <v/>
      </c>
      <c r="G962">
        <f>IF($A962="","",Entry!$G965)</f>
        <v/>
      </c>
      <c r="H962">
        <f>IF($A962="","",IF(Entry!$H965="",0,Entry!$H965))</f>
        <v/>
      </c>
      <c r="I962">
        <f>IF($A962="","",IF(Entry!$I965="",0,Entry!$I965))</f>
        <v/>
      </c>
      <c r="J962">
        <f>IF($A962="","",ROUND($H962*$I962,0))</f>
        <v/>
      </c>
      <c r="K962">
        <f>IF($A962="","",Entry!$D965)</f>
        <v/>
      </c>
      <c r="L962">
        <f>IF($A962="","",Entry!$L965)</f>
        <v/>
      </c>
      <c r="N962">
        <f>IF(OR(Sync!$M962="",$Q962="",$Q962="نامعتبر"),"",Sync!$M962)</f>
        <v/>
      </c>
      <c r="O962">
        <f>IF($N962="","",$Q962)</f>
        <v/>
      </c>
      <c r="P962">
        <f>IF($N962="","",LEFT($Q962,4)&amp;MID($Q962,6,2)&amp;RIGHT($Q962,2)&amp;IF(Sync!$K962="","0000",IF(AND(ISNUMBER(Sync!$K962),Sync!$K962&gt;=0,Sync!$K962&lt;1),RIGHT("00"&amp;HOUR(Sync!$K962),2)&amp;RIGHT("00"&amp;MINUTE(Sync!$K962),2),IFERROR(RIGHT("00"&amp;VALUE(LEFT(Sync!$K962,FIND(":",Sync!$K962)-1)),2)&amp;RIGHT("00"&amp;VALUE(MID(Sync!$K962,FIND(":",Sync!$K962)+1,2)),2),"0000")))&amp;"|"&amp;"2"&amp;RIGHT("00000"&amp;957,5))</f>
        <v/>
      </c>
      <c r="Q962">
        <f>IF(Sync!$J962="","",IF(ISNUMBER(Sync!$J962),IF(AND(Sync!$J962&gt;=10000101,Sync!$J962&lt;=99991231),INT(Sync!$J962/10000)&amp;"/"&amp;RIGHT("00"&amp;INT(MOD(Sync!$J962,10000)/100),2)&amp;"/"&amp;RIGHT("00"&amp;MOD(Sync!$J962,100),2),"نامعتبر"),IF(LEN(Sync!$J962)=10,Sync!$J962,"نامعتبر")))</f>
        <v/>
      </c>
      <c r="R962">
        <f>IF($P962="","",COUNTIFS($N$6:$N$2005,$N962,$P$6:$P$2005,"&lt;"&amp;$P962)+COUNTIFS($A$6:$A$1005,$N962,$B$6:$B$1005,"&lt;"&amp;$P962)+1)</f>
        <v/>
      </c>
      <c r="S962">
        <f>IF($N962="","",$N962&amp;"|"&amp;RIGHT("000000"&amp;$R962,6))</f>
        <v/>
      </c>
      <c r="T962">
        <f>IF($N962="","",IF(Sync!$N962="",0,Sync!$N962))</f>
        <v/>
      </c>
      <c r="U962">
        <f>IF($N962="","",IF(Sync!$O962="",0,Sync!$O962))</f>
        <v/>
      </c>
      <c r="V962">
        <f>IF($N962="","",Sync!$L962)</f>
        <v/>
      </c>
      <c r="W962">
        <f>IF($N962="","",Sync!$P962)</f>
        <v/>
      </c>
      <c r="AA962">
        <f>IF($A962="","",IF(COUNTIF($A$6:$A962,$A962)=1,1,0))</f>
        <v/>
      </c>
      <c r="AB962">
        <f>SUM($AA$6:$AA962)</f>
        <v/>
      </c>
      <c r="AC962">
        <f>IFERROR(INDEX($A$6:$A$1005,MATCH(ROW()-5,$AB$6:$AB$1005,0)),"")</f>
        <v/>
      </c>
    </row>
    <row r="963">
      <c r="A963">
        <f>IF(OR(Entry!$B966="",Entry!$E966="",$E963="نامعتبر"),"",Entry!$E966)</f>
        <v/>
      </c>
      <c r="B963">
        <f>IF($A963="","",LEFT($E963,4)&amp;MID($E963,6,2)&amp;RIGHT($E963,2)&amp;$F963&amp;"|"&amp;"1"&amp;RIGHT("00000"&amp;958,5))</f>
        <v/>
      </c>
      <c r="C963">
        <f>IF($B963="","",COUNTIFS($A$6:$A$1005,$A963,$B$6:$B$1005,"&lt;"&amp;$B963)+COUNTIFS($N$6:$N$2005,$A963,$P$6:$P$2005,"&lt;"&amp;$B963)+1)</f>
        <v/>
      </c>
      <c r="D963">
        <f>IF($C963="","",$A963&amp;"|"&amp;RIGHT("000000"&amp;$C963,6))</f>
        <v/>
      </c>
      <c r="E963">
        <f>IF(Entry!$B966="","",IF(ISNUMBER(Entry!$B966),IF(AND(Entry!$B966&gt;=10000101,Entry!$B966&lt;=99991231),INT(Entry!$B966/10000)&amp;"/"&amp;RIGHT("00"&amp;INT(MOD(Entry!$B966,10000)/100),2)&amp;"/"&amp;RIGHT("00"&amp;MOD(Entry!$B966,100),2),"نامعتبر"),IF(LEN(Entry!$B966)=10,Entry!$B966,"نامعتبر")))</f>
        <v/>
      </c>
      <c r="F963">
        <f>IF(Entry!$B966="","",IF(Entry!$C966="","0000",IF(AND(ISNUMBER(Entry!$C966),Entry!$C966&gt;=0,Entry!$C966&lt;1),RIGHT("00"&amp;HOUR(Entry!$C966),2)&amp;RIGHT("00"&amp;MINUTE(Entry!$C966),2),IFERROR(RIGHT("00"&amp;VALUE(LEFT(Entry!$C966,FIND(":",Entry!$C966)-1)),2)&amp;RIGHT("00"&amp;VALUE(MID(Entry!$C966,FIND(":",Entry!$C966)+1,2)),2),"0000"))))</f>
        <v/>
      </c>
      <c r="G963">
        <f>IF($A963="","",Entry!$G966)</f>
        <v/>
      </c>
      <c r="H963">
        <f>IF($A963="","",IF(Entry!$H966="",0,Entry!$H966))</f>
        <v/>
      </c>
      <c r="I963">
        <f>IF($A963="","",IF(Entry!$I966="",0,Entry!$I966))</f>
        <v/>
      </c>
      <c r="J963">
        <f>IF($A963="","",ROUND($H963*$I963,0))</f>
        <v/>
      </c>
      <c r="K963">
        <f>IF($A963="","",Entry!$D966)</f>
        <v/>
      </c>
      <c r="L963">
        <f>IF($A963="","",Entry!$L966)</f>
        <v/>
      </c>
      <c r="N963">
        <f>IF(OR(Sync!$M963="",$Q963="",$Q963="نامعتبر"),"",Sync!$M963)</f>
        <v/>
      </c>
      <c r="O963">
        <f>IF($N963="","",$Q963)</f>
        <v/>
      </c>
      <c r="P963">
        <f>IF($N963="","",LEFT($Q963,4)&amp;MID($Q963,6,2)&amp;RIGHT($Q963,2)&amp;IF(Sync!$K963="","0000",IF(AND(ISNUMBER(Sync!$K963),Sync!$K963&gt;=0,Sync!$K963&lt;1),RIGHT("00"&amp;HOUR(Sync!$K963),2)&amp;RIGHT("00"&amp;MINUTE(Sync!$K963),2),IFERROR(RIGHT("00"&amp;VALUE(LEFT(Sync!$K963,FIND(":",Sync!$K963)-1)),2)&amp;RIGHT("00"&amp;VALUE(MID(Sync!$K963,FIND(":",Sync!$K963)+1,2)),2),"0000")))&amp;"|"&amp;"2"&amp;RIGHT("00000"&amp;958,5))</f>
        <v/>
      </c>
      <c r="Q963">
        <f>IF(Sync!$J963="","",IF(ISNUMBER(Sync!$J963),IF(AND(Sync!$J963&gt;=10000101,Sync!$J963&lt;=99991231),INT(Sync!$J963/10000)&amp;"/"&amp;RIGHT("00"&amp;INT(MOD(Sync!$J963,10000)/100),2)&amp;"/"&amp;RIGHT("00"&amp;MOD(Sync!$J963,100),2),"نامعتبر"),IF(LEN(Sync!$J963)=10,Sync!$J963,"نامعتبر")))</f>
        <v/>
      </c>
      <c r="R963">
        <f>IF($P963="","",COUNTIFS($N$6:$N$2005,$N963,$P$6:$P$2005,"&lt;"&amp;$P963)+COUNTIFS($A$6:$A$1005,$N963,$B$6:$B$1005,"&lt;"&amp;$P963)+1)</f>
        <v/>
      </c>
      <c r="S963">
        <f>IF($N963="","",$N963&amp;"|"&amp;RIGHT("000000"&amp;$R963,6))</f>
        <v/>
      </c>
      <c r="T963">
        <f>IF($N963="","",IF(Sync!$N963="",0,Sync!$N963))</f>
        <v/>
      </c>
      <c r="U963">
        <f>IF($N963="","",IF(Sync!$O963="",0,Sync!$O963))</f>
        <v/>
      </c>
      <c r="V963">
        <f>IF($N963="","",Sync!$L963)</f>
        <v/>
      </c>
      <c r="W963">
        <f>IF($N963="","",Sync!$P963)</f>
        <v/>
      </c>
      <c r="AA963">
        <f>IF($A963="","",IF(COUNTIF($A$6:$A963,$A963)=1,1,0))</f>
        <v/>
      </c>
      <c r="AB963">
        <f>SUM($AA$6:$AA963)</f>
        <v/>
      </c>
      <c r="AC963">
        <f>IFERROR(INDEX($A$6:$A$1005,MATCH(ROW()-5,$AB$6:$AB$1005,0)),"")</f>
        <v/>
      </c>
    </row>
    <row r="964">
      <c r="A964">
        <f>IF(OR(Entry!$B967="",Entry!$E967="",$E964="نامعتبر"),"",Entry!$E967)</f>
        <v/>
      </c>
      <c r="B964">
        <f>IF($A964="","",LEFT($E964,4)&amp;MID($E964,6,2)&amp;RIGHT($E964,2)&amp;$F964&amp;"|"&amp;"1"&amp;RIGHT("00000"&amp;959,5))</f>
        <v/>
      </c>
      <c r="C964">
        <f>IF($B964="","",COUNTIFS($A$6:$A$1005,$A964,$B$6:$B$1005,"&lt;"&amp;$B964)+COUNTIFS($N$6:$N$2005,$A964,$P$6:$P$2005,"&lt;"&amp;$B964)+1)</f>
        <v/>
      </c>
      <c r="D964">
        <f>IF($C964="","",$A964&amp;"|"&amp;RIGHT("000000"&amp;$C964,6))</f>
        <v/>
      </c>
      <c r="E964">
        <f>IF(Entry!$B967="","",IF(ISNUMBER(Entry!$B967),IF(AND(Entry!$B967&gt;=10000101,Entry!$B967&lt;=99991231),INT(Entry!$B967/10000)&amp;"/"&amp;RIGHT("00"&amp;INT(MOD(Entry!$B967,10000)/100),2)&amp;"/"&amp;RIGHT("00"&amp;MOD(Entry!$B967,100),2),"نامعتبر"),IF(LEN(Entry!$B967)=10,Entry!$B967,"نامعتبر")))</f>
        <v/>
      </c>
      <c r="F964">
        <f>IF(Entry!$B967="","",IF(Entry!$C967="","0000",IF(AND(ISNUMBER(Entry!$C967),Entry!$C967&gt;=0,Entry!$C967&lt;1),RIGHT("00"&amp;HOUR(Entry!$C967),2)&amp;RIGHT("00"&amp;MINUTE(Entry!$C967),2),IFERROR(RIGHT("00"&amp;VALUE(LEFT(Entry!$C967,FIND(":",Entry!$C967)-1)),2)&amp;RIGHT("00"&amp;VALUE(MID(Entry!$C967,FIND(":",Entry!$C967)+1,2)),2),"0000"))))</f>
        <v/>
      </c>
      <c r="G964">
        <f>IF($A964="","",Entry!$G967)</f>
        <v/>
      </c>
      <c r="H964">
        <f>IF($A964="","",IF(Entry!$H967="",0,Entry!$H967))</f>
        <v/>
      </c>
      <c r="I964">
        <f>IF($A964="","",IF(Entry!$I967="",0,Entry!$I967))</f>
        <v/>
      </c>
      <c r="J964">
        <f>IF($A964="","",ROUND($H964*$I964,0))</f>
        <v/>
      </c>
      <c r="K964">
        <f>IF($A964="","",Entry!$D967)</f>
        <v/>
      </c>
      <c r="L964">
        <f>IF($A964="","",Entry!$L967)</f>
        <v/>
      </c>
      <c r="N964">
        <f>IF(OR(Sync!$M964="",$Q964="",$Q964="نامعتبر"),"",Sync!$M964)</f>
        <v/>
      </c>
      <c r="O964">
        <f>IF($N964="","",$Q964)</f>
        <v/>
      </c>
      <c r="P964">
        <f>IF($N964="","",LEFT($Q964,4)&amp;MID($Q964,6,2)&amp;RIGHT($Q964,2)&amp;IF(Sync!$K964="","0000",IF(AND(ISNUMBER(Sync!$K964),Sync!$K964&gt;=0,Sync!$K964&lt;1),RIGHT("00"&amp;HOUR(Sync!$K964),2)&amp;RIGHT("00"&amp;MINUTE(Sync!$K964),2),IFERROR(RIGHT("00"&amp;VALUE(LEFT(Sync!$K964,FIND(":",Sync!$K964)-1)),2)&amp;RIGHT("00"&amp;VALUE(MID(Sync!$K964,FIND(":",Sync!$K964)+1,2)),2),"0000")))&amp;"|"&amp;"2"&amp;RIGHT("00000"&amp;959,5))</f>
        <v/>
      </c>
      <c r="Q964">
        <f>IF(Sync!$J964="","",IF(ISNUMBER(Sync!$J964),IF(AND(Sync!$J964&gt;=10000101,Sync!$J964&lt;=99991231),INT(Sync!$J964/10000)&amp;"/"&amp;RIGHT("00"&amp;INT(MOD(Sync!$J964,10000)/100),2)&amp;"/"&amp;RIGHT("00"&amp;MOD(Sync!$J964,100),2),"نامعتبر"),IF(LEN(Sync!$J964)=10,Sync!$J964,"نامعتبر")))</f>
        <v/>
      </c>
      <c r="R964">
        <f>IF($P964="","",COUNTIFS($N$6:$N$2005,$N964,$P$6:$P$2005,"&lt;"&amp;$P964)+COUNTIFS($A$6:$A$1005,$N964,$B$6:$B$1005,"&lt;"&amp;$P964)+1)</f>
        <v/>
      </c>
      <c r="S964">
        <f>IF($N964="","",$N964&amp;"|"&amp;RIGHT("000000"&amp;$R964,6))</f>
        <v/>
      </c>
      <c r="T964">
        <f>IF($N964="","",IF(Sync!$N964="",0,Sync!$N964))</f>
        <v/>
      </c>
      <c r="U964">
        <f>IF($N964="","",IF(Sync!$O964="",0,Sync!$O964))</f>
        <v/>
      </c>
      <c r="V964">
        <f>IF($N964="","",Sync!$L964)</f>
        <v/>
      </c>
      <c r="W964">
        <f>IF($N964="","",Sync!$P964)</f>
        <v/>
      </c>
      <c r="AA964">
        <f>IF($A964="","",IF(COUNTIF($A$6:$A964,$A964)=1,1,0))</f>
        <v/>
      </c>
      <c r="AB964">
        <f>SUM($AA$6:$AA964)</f>
        <v/>
      </c>
      <c r="AC964">
        <f>IFERROR(INDEX($A$6:$A$1005,MATCH(ROW()-5,$AB$6:$AB$1005,0)),"")</f>
        <v/>
      </c>
    </row>
    <row r="965">
      <c r="A965">
        <f>IF(OR(Entry!$B968="",Entry!$E968="",$E965="نامعتبر"),"",Entry!$E968)</f>
        <v/>
      </c>
      <c r="B965">
        <f>IF($A965="","",LEFT($E965,4)&amp;MID($E965,6,2)&amp;RIGHT($E965,2)&amp;$F965&amp;"|"&amp;"1"&amp;RIGHT("00000"&amp;960,5))</f>
        <v/>
      </c>
      <c r="C965">
        <f>IF($B965="","",COUNTIFS($A$6:$A$1005,$A965,$B$6:$B$1005,"&lt;"&amp;$B965)+COUNTIFS($N$6:$N$2005,$A965,$P$6:$P$2005,"&lt;"&amp;$B965)+1)</f>
        <v/>
      </c>
      <c r="D965">
        <f>IF($C965="","",$A965&amp;"|"&amp;RIGHT("000000"&amp;$C965,6))</f>
        <v/>
      </c>
      <c r="E965">
        <f>IF(Entry!$B968="","",IF(ISNUMBER(Entry!$B968),IF(AND(Entry!$B968&gt;=10000101,Entry!$B968&lt;=99991231),INT(Entry!$B968/10000)&amp;"/"&amp;RIGHT("00"&amp;INT(MOD(Entry!$B968,10000)/100),2)&amp;"/"&amp;RIGHT("00"&amp;MOD(Entry!$B968,100),2),"نامعتبر"),IF(LEN(Entry!$B968)=10,Entry!$B968,"نامعتبر")))</f>
        <v/>
      </c>
      <c r="F965">
        <f>IF(Entry!$B968="","",IF(Entry!$C968="","0000",IF(AND(ISNUMBER(Entry!$C968),Entry!$C968&gt;=0,Entry!$C968&lt;1),RIGHT("00"&amp;HOUR(Entry!$C968),2)&amp;RIGHT("00"&amp;MINUTE(Entry!$C968),2),IFERROR(RIGHT("00"&amp;VALUE(LEFT(Entry!$C968,FIND(":",Entry!$C968)-1)),2)&amp;RIGHT("00"&amp;VALUE(MID(Entry!$C968,FIND(":",Entry!$C968)+1,2)),2),"0000"))))</f>
        <v/>
      </c>
      <c r="G965">
        <f>IF($A965="","",Entry!$G968)</f>
        <v/>
      </c>
      <c r="H965">
        <f>IF($A965="","",IF(Entry!$H968="",0,Entry!$H968))</f>
        <v/>
      </c>
      <c r="I965">
        <f>IF($A965="","",IF(Entry!$I968="",0,Entry!$I968))</f>
        <v/>
      </c>
      <c r="J965">
        <f>IF($A965="","",ROUND($H965*$I965,0))</f>
        <v/>
      </c>
      <c r="K965">
        <f>IF($A965="","",Entry!$D968)</f>
        <v/>
      </c>
      <c r="L965">
        <f>IF($A965="","",Entry!$L968)</f>
        <v/>
      </c>
      <c r="N965">
        <f>IF(OR(Sync!$M965="",$Q965="",$Q965="نامعتبر"),"",Sync!$M965)</f>
        <v/>
      </c>
      <c r="O965">
        <f>IF($N965="","",$Q965)</f>
        <v/>
      </c>
      <c r="P965">
        <f>IF($N965="","",LEFT($Q965,4)&amp;MID($Q965,6,2)&amp;RIGHT($Q965,2)&amp;IF(Sync!$K965="","0000",IF(AND(ISNUMBER(Sync!$K965),Sync!$K965&gt;=0,Sync!$K965&lt;1),RIGHT("00"&amp;HOUR(Sync!$K965),2)&amp;RIGHT("00"&amp;MINUTE(Sync!$K965),2),IFERROR(RIGHT("00"&amp;VALUE(LEFT(Sync!$K965,FIND(":",Sync!$K965)-1)),2)&amp;RIGHT("00"&amp;VALUE(MID(Sync!$K965,FIND(":",Sync!$K965)+1,2)),2),"0000")))&amp;"|"&amp;"2"&amp;RIGHT("00000"&amp;960,5))</f>
        <v/>
      </c>
      <c r="Q965">
        <f>IF(Sync!$J965="","",IF(ISNUMBER(Sync!$J965),IF(AND(Sync!$J965&gt;=10000101,Sync!$J965&lt;=99991231),INT(Sync!$J965/10000)&amp;"/"&amp;RIGHT("00"&amp;INT(MOD(Sync!$J965,10000)/100),2)&amp;"/"&amp;RIGHT("00"&amp;MOD(Sync!$J965,100),2),"نامعتبر"),IF(LEN(Sync!$J965)=10,Sync!$J965,"نامعتبر")))</f>
        <v/>
      </c>
      <c r="R965">
        <f>IF($P965="","",COUNTIFS($N$6:$N$2005,$N965,$P$6:$P$2005,"&lt;"&amp;$P965)+COUNTIFS($A$6:$A$1005,$N965,$B$6:$B$1005,"&lt;"&amp;$P965)+1)</f>
        <v/>
      </c>
      <c r="S965">
        <f>IF($N965="","",$N965&amp;"|"&amp;RIGHT("000000"&amp;$R965,6))</f>
        <v/>
      </c>
      <c r="T965">
        <f>IF($N965="","",IF(Sync!$N965="",0,Sync!$N965))</f>
        <v/>
      </c>
      <c r="U965">
        <f>IF($N965="","",IF(Sync!$O965="",0,Sync!$O965))</f>
        <v/>
      </c>
      <c r="V965">
        <f>IF($N965="","",Sync!$L965)</f>
        <v/>
      </c>
      <c r="W965">
        <f>IF($N965="","",Sync!$P965)</f>
        <v/>
      </c>
      <c r="AA965">
        <f>IF($A965="","",IF(COUNTIF($A$6:$A965,$A965)=1,1,0))</f>
        <v/>
      </c>
      <c r="AB965">
        <f>SUM($AA$6:$AA965)</f>
        <v/>
      </c>
      <c r="AC965">
        <f>IFERROR(INDEX($A$6:$A$1005,MATCH(ROW()-5,$AB$6:$AB$1005,0)),"")</f>
        <v/>
      </c>
    </row>
    <row r="966">
      <c r="A966">
        <f>IF(OR(Entry!$B969="",Entry!$E969="",$E966="نامعتبر"),"",Entry!$E969)</f>
        <v/>
      </c>
      <c r="B966">
        <f>IF($A966="","",LEFT($E966,4)&amp;MID($E966,6,2)&amp;RIGHT($E966,2)&amp;$F966&amp;"|"&amp;"1"&amp;RIGHT("00000"&amp;961,5))</f>
        <v/>
      </c>
      <c r="C966">
        <f>IF($B966="","",COUNTIFS($A$6:$A$1005,$A966,$B$6:$B$1005,"&lt;"&amp;$B966)+COUNTIFS($N$6:$N$2005,$A966,$P$6:$P$2005,"&lt;"&amp;$B966)+1)</f>
        <v/>
      </c>
      <c r="D966">
        <f>IF($C966="","",$A966&amp;"|"&amp;RIGHT("000000"&amp;$C966,6))</f>
        <v/>
      </c>
      <c r="E966">
        <f>IF(Entry!$B969="","",IF(ISNUMBER(Entry!$B969),IF(AND(Entry!$B969&gt;=10000101,Entry!$B969&lt;=99991231),INT(Entry!$B969/10000)&amp;"/"&amp;RIGHT("00"&amp;INT(MOD(Entry!$B969,10000)/100),2)&amp;"/"&amp;RIGHT("00"&amp;MOD(Entry!$B969,100),2),"نامعتبر"),IF(LEN(Entry!$B969)=10,Entry!$B969,"نامعتبر")))</f>
        <v/>
      </c>
      <c r="F966">
        <f>IF(Entry!$B969="","",IF(Entry!$C969="","0000",IF(AND(ISNUMBER(Entry!$C969),Entry!$C969&gt;=0,Entry!$C969&lt;1),RIGHT("00"&amp;HOUR(Entry!$C969),2)&amp;RIGHT("00"&amp;MINUTE(Entry!$C969),2),IFERROR(RIGHT("00"&amp;VALUE(LEFT(Entry!$C969,FIND(":",Entry!$C969)-1)),2)&amp;RIGHT("00"&amp;VALUE(MID(Entry!$C969,FIND(":",Entry!$C969)+1,2)),2),"0000"))))</f>
        <v/>
      </c>
      <c r="G966">
        <f>IF($A966="","",Entry!$G969)</f>
        <v/>
      </c>
      <c r="H966">
        <f>IF($A966="","",IF(Entry!$H969="",0,Entry!$H969))</f>
        <v/>
      </c>
      <c r="I966">
        <f>IF($A966="","",IF(Entry!$I969="",0,Entry!$I969))</f>
        <v/>
      </c>
      <c r="J966">
        <f>IF($A966="","",ROUND($H966*$I966,0))</f>
        <v/>
      </c>
      <c r="K966">
        <f>IF($A966="","",Entry!$D969)</f>
        <v/>
      </c>
      <c r="L966">
        <f>IF($A966="","",Entry!$L969)</f>
        <v/>
      </c>
      <c r="N966">
        <f>IF(OR(Sync!$M966="",$Q966="",$Q966="نامعتبر"),"",Sync!$M966)</f>
        <v/>
      </c>
      <c r="O966">
        <f>IF($N966="","",$Q966)</f>
        <v/>
      </c>
      <c r="P966">
        <f>IF($N966="","",LEFT($Q966,4)&amp;MID($Q966,6,2)&amp;RIGHT($Q966,2)&amp;IF(Sync!$K966="","0000",IF(AND(ISNUMBER(Sync!$K966),Sync!$K966&gt;=0,Sync!$K966&lt;1),RIGHT("00"&amp;HOUR(Sync!$K966),2)&amp;RIGHT("00"&amp;MINUTE(Sync!$K966),2),IFERROR(RIGHT("00"&amp;VALUE(LEFT(Sync!$K966,FIND(":",Sync!$K966)-1)),2)&amp;RIGHT("00"&amp;VALUE(MID(Sync!$K966,FIND(":",Sync!$K966)+1,2)),2),"0000")))&amp;"|"&amp;"2"&amp;RIGHT("00000"&amp;961,5))</f>
        <v/>
      </c>
      <c r="Q966">
        <f>IF(Sync!$J966="","",IF(ISNUMBER(Sync!$J966),IF(AND(Sync!$J966&gt;=10000101,Sync!$J966&lt;=99991231),INT(Sync!$J966/10000)&amp;"/"&amp;RIGHT("00"&amp;INT(MOD(Sync!$J966,10000)/100),2)&amp;"/"&amp;RIGHT("00"&amp;MOD(Sync!$J966,100),2),"نامعتبر"),IF(LEN(Sync!$J966)=10,Sync!$J966,"نامعتبر")))</f>
        <v/>
      </c>
      <c r="R966">
        <f>IF($P966="","",COUNTIFS($N$6:$N$2005,$N966,$P$6:$P$2005,"&lt;"&amp;$P966)+COUNTIFS($A$6:$A$1005,$N966,$B$6:$B$1005,"&lt;"&amp;$P966)+1)</f>
        <v/>
      </c>
      <c r="S966">
        <f>IF($N966="","",$N966&amp;"|"&amp;RIGHT("000000"&amp;$R966,6))</f>
        <v/>
      </c>
      <c r="T966">
        <f>IF($N966="","",IF(Sync!$N966="",0,Sync!$N966))</f>
        <v/>
      </c>
      <c r="U966">
        <f>IF($N966="","",IF(Sync!$O966="",0,Sync!$O966))</f>
        <v/>
      </c>
      <c r="V966">
        <f>IF($N966="","",Sync!$L966)</f>
        <v/>
      </c>
      <c r="W966">
        <f>IF($N966="","",Sync!$P966)</f>
        <v/>
      </c>
      <c r="AA966">
        <f>IF($A966="","",IF(COUNTIF($A$6:$A966,$A966)=1,1,0))</f>
        <v/>
      </c>
      <c r="AB966">
        <f>SUM($AA$6:$AA966)</f>
        <v/>
      </c>
      <c r="AC966">
        <f>IFERROR(INDEX($A$6:$A$1005,MATCH(ROW()-5,$AB$6:$AB$1005,0)),"")</f>
        <v/>
      </c>
    </row>
    <row r="967">
      <c r="A967">
        <f>IF(OR(Entry!$B970="",Entry!$E970="",$E967="نامعتبر"),"",Entry!$E970)</f>
        <v/>
      </c>
      <c r="B967">
        <f>IF($A967="","",LEFT($E967,4)&amp;MID($E967,6,2)&amp;RIGHT($E967,2)&amp;$F967&amp;"|"&amp;"1"&amp;RIGHT("00000"&amp;962,5))</f>
        <v/>
      </c>
      <c r="C967">
        <f>IF($B967="","",COUNTIFS($A$6:$A$1005,$A967,$B$6:$B$1005,"&lt;"&amp;$B967)+COUNTIFS($N$6:$N$2005,$A967,$P$6:$P$2005,"&lt;"&amp;$B967)+1)</f>
        <v/>
      </c>
      <c r="D967">
        <f>IF($C967="","",$A967&amp;"|"&amp;RIGHT("000000"&amp;$C967,6))</f>
        <v/>
      </c>
      <c r="E967">
        <f>IF(Entry!$B970="","",IF(ISNUMBER(Entry!$B970),IF(AND(Entry!$B970&gt;=10000101,Entry!$B970&lt;=99991231),INT(Entry!$B970/10000)&amp;"/"&amp;RIGHT("00"&amp;INT(MOD(Entry!$B970,10000)/100),2)&amp;"/"&amp;RIGHT("00"&amp;MOD(Entry!$B970,100),2),"نامعتبر"),IF(LEN(Entry!$B970)=10,Entry!$B970,"نامعتبر")))</f>
        <v/>
      </c>
      <c r="F967">
        <f>IF(Entry!$B970="","",IF(Entry!$C970="","0000",IF(AND(ISNUMBER(Entry!$C970),Entry!$C970&gt;=0,Entry!$C970&lt;1),RIGHT("00"&amp;HOUR(Entry!$C970),2)&amp;RIGHT("00"&amp;MINUTE(Entry!$C970),2),IFERROR(RIGHT("00"&amp;VALUE(LEFT(Entry!$C970,FIND(":",Entry!$C970)-1)),2)&amp;RIGHT("00"&amp;VALUE(MID(Entry!$C970,FIND(":",Entry!$C970)+1,2)),2),"0000"))))</f>
        <v/>
      </c>
      <c r="G967">
        <f>IF($A967="","",Entry!$G970)</f>
        <v/>
      </c>
      <c r="H967">
        <f>IF($A967="","",IF(Entry!$H970="",0,Entry!$H970))</f>
        <v/>
      </c>
      <c r="I967">
        <f>IF($A967="","",IF(Entry!$I970="",0,Entry!$I970))</f>
        <v/>
      </c>
      <c r="J967">
        <f>IF($A967="","",ROUND($H967*$I967,0))</f>
        <v/>
      </c>
      <c r="K967">
        <f>IF($A967="","",Entry!$D970)</f>
        <v/>
      </c>
      <c r="L967">
        <f>IF($A967="","",Entry!$L970)</f>
        <v/>
      </c>
      <c r="N967">
        <f>IF(OR(Sync!$M967="",$Q967="",$Q967="نامعتبر"),"",Sync!$M967)</f>
        <v/>
      </c>
      <c r="O967">
        <f>IF($N967="","",$Q967)</f>
        <v/>
      </c>
      <c r="P967">
        <f>IF($N967="","",LEFT($Q967,4)&amp;MID($Q967,6,2)&amp;RIGHT($Q967,2)&amp;IF(Sync!$K967="","0000",IF(AND(ISNUMBER(Sync!$K967),Sync!$K967&gt;=0,Sync!$K967&lt;1),RIGHT("00"&amp;HOUR(Sync!$K967),2)&amp;RIGHT("00"&amp;MINUTE(Sync!$K967),2),IFERROR(RIGHT("00"&amp;VALUE(LEFT(Sync!$K967,FIND(":",Sync!$K967)-1)),2)&amp;RIGHT("00"&amp;VALUE(MID(Sync!$K967,FIND(":",Sync!$K967)+1,2)),2),"0000")))&amp;"|"&amp;"2"&amp;RIGHT("00000"&amp;962,5))</f>
        <v/>
      </c>
      <c r="Q967">
        <f>IF(Sync!$J967="","",IF(ISNUMBER(Sync!$J967),IF(AND(Sync!$J967&gt;=10000101,Sync!$J967&lt;=99991231),INT(Sync!$J967/10000)&amp;"/"&amp;RIGHT("00"&amp;INT(MOD(Sync!$J967,10000)/100),2)&amp;"/"&amp;RIGHT("00"&amp;MOD(Sync!$J967,100),2),"نامعتبر"),IF(LEN(Sync!$J967)=10,Sync!$J967,"نامعتبر")))</f>
        <v/>
      </c>
      <c r="R967">
        <f>IF($P967="","",COUNTIFS($N$6:$N$2005,$N967,$P$6:$P$2005,"&lt;"&amp;$P967)+COUNTIFS($A$6:$A$1005,$N967,$B$6:$B$1005,"&lt;"&amp;$P967)+1)</f>
        <v/>
      </c>
      <c r="S967">
        <f>IF($N967="","",$N967&amp;"|"&amp;RIGHT("000000"&amp;$R967,6))</f>
        <v/>
      </c>
      <c r="T967">
        <f>IF($N967="","",IF(Sync!$N967="",0,Sync!$N967))</f>
        <v/>
      </c>
      <c r="U967">
        <f>IF($N967="","",IF(Sync!$O967="",0,Sync!$O967))</f>
        <v/>
      </c>
      <c r="V967">
        <f>IF($N967="","",Sync!$L967)</f>
        <v/>
      </c>
      <c r="W967">
        <f>IF($N967="","",Sync!$P967)</f>
        <v/>
      </c>
      <c r="AA967">
        <f>IF($A967="","",IF(COUNTIF($A$6:$A967,$A967)=1,1,0))</f>
        <v/>
      </c>
      <c r="AB967">
        <f>SUM($AA$6:$AA967)</f>
        <v/>
      </c>
      <c r="AC967">
        <f>IFERROR(INDEX($A$6:$A$1005,MATCH(ROW()-5,$AB$6:$AB$1005,0)),"")</f>
        <v/>
      </c>
    </row>
    <row r="968">
      <c r="A968">
        <f>IF(OR(Entry!$B971="",Entry!$E971="",$E968="نامعتبر"),"",Entry!$E971)</f>
        <v/>
      </c>
      <c r="B968">
        <f>IF($A968="","",LEFT($E968,4)&amp;MID($E968,6,2)&amp;RIGHT($E968,2)&amp;$F968&amp;"|"&amp;"1"&amp;RIGHT("00000"&amp;963,5))</f>
        <v/>
      </c>
      <c r="C968">
        <f>IF($B968="","",COUNTIFS($A$6:$A$1005,$A968,$B$6:$B$1005,"&lt;"&amp;$B968)+COUNTIFS($N$6:$N$2005,$A968,$P$6:$P$2005,"&lt;"&amp;$B968)+1)</f>
        <v/>
      </c>
      <c r="D968">
        <f>IF($C968="","",$A968&amp;"|"&amp;RIGHT("000000"&amp;$C968,6))</f>
        <v/>
      </c>
      <c r="E968">
        <f>IF(Entry!$B971="","",IF(ISNUMBER(Entry!$B971),IF(AND(Entry!$B971&gt;=10000101,Entry!$B971&lt;=99991231),INT(Entry!$B971/10000)&amp;"/"&amp;RIGHT("00"&amp;INT(MOD(Entry!$B971,10000)/100),2)&amp;"/"&amp;RIGHT("00"&amp;MOD(Entry!$B971,100),2),"نامعتبر"),IF(LEN(Entry!$B971)=10,Entry!$B971,"نامعتبر")))</f>
        <v/>
      </c>
      <c r="F968">
        <f>IF(Entry!$B971="","",IF(Entry!$C971="","0000",IF(AND(ISNUMBER(Entry!$C971),Entry!$C971&gt;=0,Entry!$C971&lt;1),RIGHT("00"&amp;HOUR(Entry!$C971),2)&amp;RIGHT("00"&amp;MINUTE(Entry!$C971),2),IFERROR(RIGHT("00"&amp;VALUE(LEFT(Entry!$C971,FIND(":",Entry!$C971)-1)),2)&amp;RIGHT("00"&amp;VALUE(MID(Entry!$C971,FIND(":",Entry!$C971)+1,2)),2),"0000"))))</f>
        <v/>
      </c>
      <c r="G968">
        <f>IF($A968="","",Entry!$G971)</f>
        <v/>
      </c>
      <c r="H968">
        <f>IF($A968="","",IF(Entry!$H971="",0,Entry!$H971))</f>
        <v/>
      </c>
      <c r="I968">
        <f>IF($A968="","",IF(Entry!$I971="",0,Entry!$I971))</f>
        <v/>
      </c>
      <c r="J968">
        <f>IF($A968="","",ROUND($H968*$I968,0))</f>
        <v/>
      </c>
      <c r="K968">
        <f>IF($A968="","",Entry!$D971)</f>
        <v/>
      </c>
      <c r="L968">
        <f>IF($A968="","",Entry!$L971)</f>
        <v/>
      </c>
      <c r="N968">
        <f>IF(OR(Sync!$M968="",$Q968="",$Q968="نامعتبر"),"",Sync!$M968)</f>
        <v/>
      </c>
      <c r="O968">
        <f>IF($N968="","",$Q968)</f>
        <v/>
      </c>
      <c r="P968">
        <f>IF($N968="","",LEFT($Q968,4)&amp;MID($Q968,6,2)&amp;RIGHT($Q968,2)&amp;IF(Sync!$K968="","0000",IF(AND(ISNUMBER(Sync!$K968),Sync!$K968&gt;=0,Sync!$K968&lt;1),RIGHT("00"&amp;HOUR(Sync!$K968),2)&amp;RIGHT("00"&amp;MINUTE(Sync!$K968),2),IFERROR(RIGHT("00"&amp;VALUE(LEFT(Sync!$K968,FIND(":",Sync!$K968)-1)),2)&amp;RIGHT("00"&amp;VALUE(MID(Sync!$K968,FIND(":",Sync!$K968)+1,2)),2),"0000")))&amp;"|"&amp;"2"&amp;RIGHT("00000"&amp;963,5))</f>
        <v/>
      </c>
      <c r="Q968">
        <f>IF(Sync!$J968="","",IF(ISNUMBER(Sync!$J968),IF(AND(Sync!$J968&gt;=10000101,Sync!$J968&lt;=99991231),INT(Sync!$J968/10000)&amp;"/"&amp;RIGHT("00"&amp;INT(MOD(Sync!$J968,10000)/100),2)&amp;"/"&amp;RIGHT("00"&amp;MOD(Sync!$J968,100),2),"نامعتبر"),IF(LEN(Sync!$J968)=10,Sync!$J968,"نامعتبر")))</f>
        <v/>
      </c>
      <c r="R968">
        <f>IF($P968="","",COUNTIFS($N$6:$N$2005,$N968,$P$6:$P$2005,"&lt;"&amp;$P968)+COUNTIFS($A$6:$A$1005,$N968,$B$6:$B$1005,"&lt;"&amp;$P968)+1)</f>
        <v/>
      </c>
      <c r="S968">
        <f>IF($N968="","",$N968&amp;"|"&amp;RIGHT("000000"&amp;$R968,6))</f>
        <v/>
      </c>
      <c r="T968">
        <f>IF($N968="","",IF(Sync!$N968="",0,Sync!$N968))</f>
        <v/>
      </c>
      <c r="U968">
        <f>IF($N968="","",IF(Sync!$O968="",0,Sync!$O968))</f>
        <v/>
      </c>
      <c r="V968">
        <f>IF($N968="","",Sync!$L968)</f>
        <v/>
      </c>
      <c r="W968">
        <f>IF($N968="","",Sync!$P968)</f>
        <v/>
      </c>
      <c r="AA968">
        <f>IF($A968="","",IF(COUNTIF($A$6:$A968,$A968)=1,1,0))</f>
        <v/>
      </c>
      <c r="AB968">
        <f>SUM($AA$6:$AA968)</f>
        <v/>
      </c>
      <c r="AC968">
        <f>IFERROR(INDEX($A$6:$A$1005,MATCH(ROW()-5,$AB$6:$AB$1005,0)),"")</f>
        <v/>
      </c>
    </row>
    <row r="969">
      <c r="A969">
        <f>IF(OR(Entry!$B972="",Entry!$E972="",$E969="نامعتبر"),"",Entry!$E972)</f>
        <v/>
      </c>
      <c r="B969">
        <f>IF($A969="","",LEFT($E969,4)&amp;MID($E969,6,2)&amp;RIGHT($E969,2)&amp;$F969&amp;"|"&amp;"1"&amp;RIGHT("00000"&amp;964,5))</f>
        <v/>
      </c>
      <c r="C969">
        <f>IF($B969="","",COUNTIFS($A$6:$A$1005,$A969,$B$6:$B$1005,"&lt;"&amp;$B969)+COUNTIFS($N$6:$N$2005,$A969,$P$6:$P$2005,"&lt;"&amp;$B969)+1)</f>
        <v/>
      </c>
      <c r="D969">
        <f>IF($C969="","",$A969&amp;"|"&amp;RIGHT("000000"&amp;$C969,6))</f>
        <v/>
      </c>
      <c r="E969">
        <f>IF(Entry!$B972="","",IF(ISNUMBER(Entry!$B972),IF(AND(Entry!$B972&gt;=10000101,Entry!$B972&lt;=99991231),INT(Entry!$B972/10000)&amp;"/"&amp;RIGHT("00"&amp;INT(MOD(Entry!$B972,10000)/100),2)&amp;"/"&amp;RIGHT("00"&amp;MOD(Entry!$B972,100),2),"نامعتبر"),IF(LEN(Entry!$B972)=10,Entry!$B972,"نامعتبر")))</f>
        <v/>
      </c>
      <c r="F969">
        <f>IF(Entry!$B972="","",IF(Entry!$C972="","0000",IF(AND(ISNUMBER(Entry!$C972),Entry!$C972&gt;=0,Entry!$C972&lt;1),RIGHT("00"&amp;HOUR(Entry!$C972),2)&amp;RIGHT("00"&amp;MINUTE(Entry!$C972),2),IFERROR(RIGHT("00"&amp;VALUE(LEFT(Entry!$C972,FIND(":",Entry!$C972)-1)),2)&amp;RIGHT("00"&amp;VALUE(MID(Entry!$C972,FIND(":",Entry!$C972)+1,2)),2),"0000"))))</f>
        <v/>
      </c>
      <c r="G969">
        <f>IF($A969="","",Entry!$G972)</f>
        <v/>
      </c>
      <c r="H969">
        <f>IF($A969="","",IF(Entry!$H972="",0,Entry!$H972))</f>
        <v/>
      </c>
      <c r="I969">
        <f>IF($A969="","",IF(Entry!$I972="",0,Entry!$I972))</f>
        <v/>
      </c>
      <c r="J969">
        <f>IF($A969="","",ROUND($H969*$I969,0))</f>
        <v/>
      </c>
      <c r="K969">
        <f>IF($A969="","",Entry!$D972)</f>
        <v/>
      </c>
      <c r="L969">
        <f>IF($A969="","",Entry!$L972)</f>
        <v/>
      </c>
      <c r="N969">
        <f>IF(OR(Sync!$M969="",$Q969="",$Q969="نامعتبر"),"",Sync!$M969)</f>
        <v/>
      </c>
      <c r="O969">
        <f>IF($N969="","",$Q969)</f>
        <v/>
      </c>
      <c r="P969">
        <f>IF($N969="","",LEFT($Q969,4)&amp;MID($Q969,6,2)&amp;RIGHT($Q969,2)&amp;IF(Sync!$K969="","0000",IF(AND(ISNUMBER(Sync!$K969),Sync!$K969&gt;=0,Sync!$K969&lt;1),RIGHT("00"&amp;HOUR(Sync!$K969),2)&amp;RIGHT("00"&amp;MINUTE(Sync!$K969),2),IFERROR(RIGHT("00"&amp;VALUE(LEFT(Sync!$K969,FIND(":",Sync!$K969)-1)),2)&amp;RIGHT("00"&amp;VALUE(MID(Sync!$K969,FIND(":",Sync!$K969)+1,2)),2),"0000")))&amp;"|"&amp;"2"&amp;RIGHT("00000"&amp;964,5))</f>
        <v/>
      </c>
      <c r="Q969">
        <f>IF(Sync!$J969="","",IF(ISNUMBER(Sync!$J969),IF(AND(Sync!$J969&gt;=10000101,Sync!$J969&lt;=99991231),INT(Sync!$J969/10000)&amp;"/"&amp;RIGHT("00"&amp;INT(MOD(Sync!$J969,10000)/100),2)&amp;"/"&amp;RIGHT("00"&amp;MOD(Sync!$J969,100),2),"نامعتبر"),IF(LEN(Sync!$J969)=10,Sync!$J969,"نامعتبر")))</f>
        <v/>
      </c>
      <c r="R969">
        <f>IF($P969="","",COUNTIFS($N$6:$N$2005,$N969,$P$6:$P$2005,"&lt;"&amp;$P969)+COUNTIFS($A$6:$A$1005,$N969,$B$6:$B$1005,"&lt;"&amp;$P969)+1)</f>
        <v/>
      </c>
      <c r="S969">
        <f>IF($N969="","",$N969&amp;"|"&amp;RIGHT("000000"&amp;$R969,6))</f>
        <v/>
      </c>
      <c r="T969">
        <f>IF($N969="","",IF(Sync!$N969="",0,Sync!$N969))</f>
        <v/>
      </c>
      <c r="U969">
        <f>IF($N969="","",IF(Sync!$O969="",0,Sync!$O969))</f>
        <v/>
      </c>
      <c r="V969">
        <f>IF($N969="","",Sync!$L969)</f>
        <v/>
      </c>
      <c r="W969">
        <f>IF($N969="","",Sync!$P969)</f>
        <v/>
      </c>
      <c r="AA969">
        <f>IF($A969="","",IF(COUNTIF($A$6:$A969,$A969)=1,1,0))</f>
        <v/>
      </c>
      <c r="AB969">
        <f>SUM($AA$6:$AA969)</f>
        <v/>
      </c>
      <c r="AC969">
        <f>IFERROR(INDEX($A$6:$A$1005,MATCH(ROW()-5,$AB$6:$AB$1005,0)),"")</f>
        <v/>
      </c>
    </row>
    <row r="970">
      <c r="A970">
        <f>IF(OR(Entry!$B973="",Entry!$E973="",$E970="نامعتبر"),"",Entry!$E973)</f>
        <v/>
      </c>
      <c r="B970">
        <f>IF($A970="","",LEFT($E970,4)&amp;MID($E970,6,2)&amp;RIGHT($E970,2)&amp;$F970&amp;"|"&amp;"1"&amp;RIGHT("00000"&amp;965,5))</f>
        <v/>
      </c>
      <c r="C970">
        <f>IF($B970="","",COUNTIFS($A$6:$A$1005,$A970,$B$6:$B$1005,"&lt;"&amp;$B970)+COUNTIFS($N$6:$N$2005,$A970,$P$6:$P$2005,"&lt;"&amp;$B970)+1)</f>
        <v/>
      </c>
      <c r="D970">
        <f>IF($C970="","",$A970&amp;"|"&amp;RIGHT("000000"&amp;$C970,6))</f>
        <v/>
      </c>
      <c r="E970">
        <f>IF(Entry!$B973="","",IF(ISNUMBER(Entry!$B973),IF(AND(Entry!$B973&gt;=10000101,Entry!$B973&lt;=99991231),INT(Entry!$B973/10000)&amp;"/"&amp;RIGHT("00"&amp;INT(MOD(Entry!$B973,10000)/100),2)&amp;"/"&amp;RIGHT("00"&amp;MOD(Entry!$B973,100),2),"نامعتبر"),IF(LEN(Entry!$B973)=10,Entry!$B973,"نامعتبر")))</f>
        <v/>
      </c>
      <c r="F970">
        <f>IF(Entry!$B973="","",IF(Entry!$C973="","0000",IF(AND(ISNUMBER(Entry!$C973),Entry!$C973&gt;=0,Entry!$C973&lt;1),RIGHT("00"&amp;HOUR(Entry!$C973),2)&amp;RIGHT("00"&amp;MINUTE(Entry!$C973),2),IFERROR(RIGHT("00"&amp;VALUE(LEFT(Entry!$C973,FIND(":",Entry!$C973)-1)),2)&amp;RIGHT("00"&amp;VALUE(MID(Entry!$C973,FIND(":",Entry!$C973)+1,2)),2),"0000"))))</f>
        <v/>
      </c>
      <c r="G970">
        <f>IF($A970="","",Entry!$G973)</f>
        <v/>
      </c>
      <c r="H970">
        <f>IF($A970="","",IF(Entry!$H973="",0,Entry!$H973))</f>
        <v/>
      </c>
      <c r="I970">
        <f>IF($A970="","",IF(Entry!$I973="",0,Entry!$I973))</f>
        <v/>
      </c>
      <c r="J970">
        <f>IF($A970="","",ROUND($H970*$I970,0))</f>
        <v/>
      </c>
      <c r="K970">
        <f>IF($A970="","",Entry!$D973)</f>
        <v/>
      </c>
      <c r="L970">
        <f>IF($A970="","",Entry!$L973)</f>
        <v/>
      </c>
      <c r="N970">
        <f>IF(OR(Sync!$M970="",$Q970="",$Q970="نامعتبر"),"",Sync!$M970)</f>
        <v/>
      </c>
      <c r="O970">
        <f>IF($N970="","",$Q970)</f>
        <v/>
      </c>
      <c r="P970">
        <f>IF($N970="","",LEFT($Q970,4)&amp;MID($Q970,6,2)&amp;RIGHT($Q970,2)&amp;IF(Sync!$K970="","0000",IF(AND(ISNUMBER(Sync!$K970),Sync!$K970&gt;=0,Sync!$K970&lt;1),RIGHT("00"&amp;HOUR(Sync!$K970),2)&amp;RIGHT("00"&amp;MINUTE(Sync!$K970),2),IFERROR(RIGHT("00"&amp;VALUE(LEFT(Sync!$K970,FIND(":",Sync!$K970)-1)),2)&amp;RIGHT("00"&amp;VALUE(MID(Sync!$K970,FIND(":",Sync!$K970)+1,2)),2),"0000")))&amp;"|"&amp;"2"&amp;RIGHT("00000"&amp;965,5))</f>
        <v/>
      </c>
      <c r="Q970">
        <f>IF(Sync!$J970="","",IF(ISNUMBER(Sync!$J970),IF(AND(Sync!$J970&gt;=10000101,Sync!$J970&lt;=99991231),INT(Sync!$J970/10000)&amp;"/"&amp;RIGHT("00"&amp;INT(MOD(Sync!$J970,10000)/100),2)&amp;"/"&amp;RIGHT("00"&amp;MOD(Sync!$J970,100),2),"نامعتبر"),IF(LEN(Sync!$J970)=10,Sync!$J970,"نامعتبر")))</f>
        <v/>
      </c>
      <c r="R970">
        <f>IF($P970="","",COUNTIFS($N$6:$N$2005,$N970,$P$6:$P$2005,"&lt;"&amp;$P970)+COUNTIFS($A$6:$A$1005,$N970,$B$6:$B$1005,"&lt;"&amp;$P970)+1)</f>
        <v/>
      </c>
      <c r="S970">
        <f>IF($N970="","",$N970&amp;"|"&amp;RIGHT("000000"&amp;$R970,6))</f>
        <v/>
      </c>
      <c r="T970">
        <f>IF($N970="","",IF(Sync!$N970="",0,Sync!$N970))</f>
        <v/>
      </c>
      <c r="U970">
        <f>IF($N970="","",IF(Sync!$O970="",0,Sync!$O970))</f>
        <v/>
      </c>
      <c r="V970">
        <f>IF($N970="","",Sync!$L970)</f>
        <v/>
      </c>
      <c r="W970">
        <f>IF($N970="","",Sync!$P970)</f>
        <v/>
      </c>
      <c r="AA970">
        <f>IF($A970="","",IF(COUNTIF($A$6:$A970,$A970)=1,1,0))</f>
        <v/>
      </c>
      <c r="AB970">
        <f>SUM($AA$6:$AA970)</f>
        <v/>
      </c>
      <c r="AC970">
        <f>IFERROR(INDEX($A$6:$A$1005,MATCH(ROW()-5,$AB$6:$AB$1005,0)),"")</f>
        <v/>
      </c>
    </row>
    <row r="971">
      <c r="A971">
        <f>IF(OR(Entry!$B974="",Entry!$E974="",$E971="نامعتبر"),"",Entry!$E974)</f>
        <v/>
      </c>
      <c r="B971">
        <f>IF($A971="","",LEFT($E971,4)&amp;MID($E971,6,2)&amp;RIGHT($E971,2)&amp;$F971&amp;"|"&amp;"1"&amp;RIGHT("00000"&amp;966,5))</f>
        <v/>
      </c>
      <c r="C971">
        <f>IF($B971="","",COUNTIFS($A$6:$A$1005,$A971,$B$6:$B$1005,"&lt;"&amp;$B971)+COUNTIFS($N$6:$N$2005,$A971,$P$6:$P$2005,"&lt;"&amp;$B971)+1)</f>
        <v/>
      </c>
      <c r="D971">
        <f>IF($C971="","",$A971&amp;"|"&amp;RIGHT("000000"&amp;$C971,6))</f>
        <v/>
      </c>
      <c r="E971">
        <f>IF(Entry!$B974="","",IF(ISNUMBER(Entry!$B974),IF(AND(Entry!$B974&gt;=10000101,Entry!$B974&lt;=99991231),INT(Entry!$B974/10000)&amp;"/"&amp;RIGHT("00"&amp;INT(MOD(Entry!$B974,10000)/100),2)&amp;"/"&amp;RIGHT("00"&amp;MOD(Entry!$B974,100),2),"نامعتبر"),IF(LEN(Entry!$B974)=10,Entry!$B974,"نامعتبر")))</f>
        <v/>
      </c>
      <c r="F971">
        <f>IF(Entry!$B974="","",IF(Entry!$C974="","0000",IF(AND(ISNUMBER(Entry!$C974),Entry!$C974&gt;=0,Entry!$C974&lt;1),RIGHT("00"&amp;HOUR(Entry!$C974),2)&amp;RIGHT("00"&amp;MINUTE(Entry!$C974),2),IFERROR(RIGHT("00"&amp;VALUE(LEFT(Entry!$C974,FIND(":",Entry!$C974)-1)),2)&amp;RIGHT("00"&amp;VALUE(MID(Entry!$C974,FIND(":",Entry!$C974)+1,2)),2),"0000"))))</f>
        <v/>
      </c>
      <c r="G971">
        <f>IF($A971="","",Entry!$G974)</f>
        <v/>
      </c>
      <c r="H971">
        <f>IF($A971="","",IF(Entry!$H974="",0,Entry!$H974))</f>
        <v/>
      </c>
      <c r="I971">
        <f>IF($A971="","",IF(Entry!$I974="",0,Entry!$I974))</f>
        <v/>
      </c>
      <c r="J971">
        <f>IF($A971="","",ROUND($H971*$I971,0))</f>
        <v/>
      </c>
      <c r="K971">
        <f>IF($A971="","",Entry!$D974)</f>
        <v/>
      </c>
      <c r="L971">
        <f>IF($A971="","",Entry!$L974)</f>
        <v/>
      </c>
      <c r="N971">
        <f>IF(OR(Sync!$M971="",$Q971="",$Q971="نامعتبر"),"",Sync!$M971)</f>
        <v/>
      </c>
      <c r="O971">
        <f>IF($N971="","",$Q971)</f>
        <v/>
      </c>
      <c r="P971">
        <f>IF($N971="","",LEFT($Q971,4)&amp;MID($Q971,6,2)&amp;RIGHT($Q971,2)&amp;IF(Sync!$K971="","0000",IF(AND(ISNUMBER(Sync!$K971),Sync!$K971&gt;=0,Sync!$K971&lt;1),RIGHT("00"&amp;HOUR(Sync!$K971),2)&amp;RIGHT("00"&amp;MINUTE(Sync!$K971),2),IFERROR(RIGHT("00"&amp;VALUE(LEFT(Sync!$K971,FIND(":",Sync!$K971)-1)),2)&amp;RIGHT("00"&amp;VALUE(MID(Sync!$K971,FIND(":",Sync!$K971)+1,2)),2),"0000")))&amp;"|"&amp;"2"&amp;RIGHT("00000"&amp;966,5))</f>
        <v/>
      </c>
      <c r="Q971">
        <f>IF(Sync!$J971="","",IF(ISNUMBER(Sync!$J971),IF(AND(Sync!$J971&gt;=10000101,Sync!$J971&lt;=99991231),INT(Sync!$J971/10000)&amp;"/"&amp;RIGHT("00"&amp;INT(MOD(Sync!$J971,10000)/100),2)&amp;"/"&amp;RIGHT("00"&amp;MOD(Sync!$J971,100),2),"نامعتبر"),IF(LEN(Sync!$J971)=10,Sync!$J971,"نامعتبر")))</f>
        <v/>
      </c>
      <c r="R971">
        <f>IF($P971="","",COUNTIFS($N$6:$N$2005,$N971,$P$6:$P$2005,"&lt;"&amp;$P971)+COUNTIFS($A$6:$A$1005,$N971,$B$6:$B$1005,"&lt;"&amp;$P971)+1)</f>
        <v/>
      </c>
      <c r="S971">
        <f>IF($N971="","",$N971&amp;"|"&amp;RIGHT("000000"&amp;$R971,6))</f>
        <v/>
      </c>
      <c r="T971">
        <f>IF($N971="","",IF(Sync!$N971="",0,Sync!$N971))</f>
        <v/>
      </c>
      <c r="U971">
        <f>IF($N971="","",IF(Sync!$O971="",0,Sync!$O971))</f>
        <v/>
      </c>
      <c r="V971">
        <f>IF($N971="","",Sync!$L971)</f>
        <v/>
      </c>
      <c r="W971">
        <f>IF($N971="","",Sync!$P971)</f>
        <v/>
      </c>
      <c r="AA971">
        <f>IF($A971="","",IF(COUNTIF($A$6:$A971,$A971)=1,1,0))</f>
        <v/>
      </c>
      <c r="AB971">
        <f>SUM($AA$6:$AA971)</f>
        <v/>
      </c>
      <c r="AC971">
        <f>IFERROR(INDEX($A$6:$A$1005,MATCH(ROW()-5,$AB$6:$AB$1005,0)),"")</f>
        <v/>
      </c>
    </row>
    <row r="972">
      <c r="A972">
        <f>IF(OR(Entry!$B975="",Entry!$E975="",$E972="نامعتبر"),"",Entry!$E975)</f>
        <v/>
      </c>
      <c r="B972">
        <f>IF($A972="","",LEFT($E972,4)&amp;MID($E972,6,2)&amp;RIGHT($E972,2)&amp;$F972&amp;"|"&amp;"1"&amp;RIGHT("00000"&amp;967,5))</f>
        <v/>
      </c>
      <c r="C972">
        <f>IF($B972="","",COUNTIFS($A$6:$A$1005,$A972,$B$6:$B$1005,"&lt;"&amp;$B972)+COUNTIFS($N$6:$N$2005,$A972,$P$6:$P$2005,"&lt;"&amp;$B972)+1)</f>
        <v/>
      </c>
      <c r="D972">
        <f>IF($C972="","",$A972&amp;"|"&amp;RIGHT("000000"&amp;$C972,6))</f>
        <v/>
      </c>
      <c r="E972">
        <f>IF(Entry!$B975="","",IF(ISNUMBER(Entry!$B975),IF(AND(Entry!$B975&gt;=10000101,Entry!$B975&lt;=99991231),INT(Entry!$B975/10000)&amp;"/"&amp;RIGHT("00"&amp;INT(MOD(Entry!$B975,10000)/100),2)&amp;"/"&amp;RIGHT("00"&amp;MOD(Entry!$B975,100),2),"نامعتبر"),IF(LEN(Entry!$B975)=10,Entry!$B975,"نامعتبر")))</f>
        <v/>
      </c>
      <c r="F972">
        <f>IF(Entry!$B975="","",IF(Entry!$C975="","0000",IF(AND(ISNUMBER(Entry!$C975),Entry!$C975&gt;=0,Entry!$C975&lt;1),RIGHT("00"&amp;HOUR(Entry!$C975),2)&amp;RIGHT("00"&amp;MINUTE(Entry!$C975),2),IFERROR(RIGHT("00"&amp;VALUE(LEFT(Entry!$C975,FIND(":",Entry!$C975)-1)),2)&amp;RIGHT("00"&amp;VALUE(MID(Entry!$C975,FIND(":",Entry!$C975)+1,2)),2),"0000"))))</f>
        <v/>
      </c>
      <c r="G972">
        <f>IF($A972="","",Entry!$G975)</f>
        <v/>
      </c>
      <c r="H972">
        <f>IF($A972="","",IF(Entry!$H975="",0,Entry!$H975))</f>
        <v/>
      </c>
      <c r="I972">
        <f>IF($A972="","",IF(Entry!$I975="",0,Entry!$I975))</f>
        <v/>
      </c>
      <c r="J972">
        <f>IF($A972="","",ROUND($H972*$I972,0))</f>
        <v/>
      </c>
      <c r="K972">
        <f>IF($A972="","",Entry!$D975)</f>
        <v/>
      </c>
      <c r="L972">
        <f>IF($A972="","",Entry!$L975)</f>
        <v/>
      </c>
      <c r="N972">
        <f>IF(OR(Sync!$M972="",$Q972="",$Q972="نامعتبر"),"",Sync!$M972)</f>
        <v/>
      </c>
      <c r="O972">
        <f>IF($N972="","",$Q972)</f>
        <v/>
      </c>
      <c r="P972">
        <f>IF($N972="","",LEFT($Q972,4)&amp;MID($Q972,6,2)&amp;RIGHT($Q972,2)&amp;IF(Sync!$K972="","0000",IF(AND(ISNUMBER(Sync!$K972),Sync!$K972&gt;=0,Sync!$K972&lt;1),RIGHT("00"&amp;HOUR(Sync!$K972),2)&amp;RIGHT("00"&amp;MINUTE(Sync!$K972),2),IFERROR(RIGHT("00"&amp;VALUE(LEFT(Sync!$K972,FIND(":",Sync!$K972)-1)),2)&amp;RIGHT("00"&amp;VALUE(MID(Sync!$K972,FIND(":",Sync!$K972)+1,2)),2),"0000")))&amp;"|"&amp;"2"&amp;RIGHT("00000"&amp;967,5))</f>
        <v/>
      </c>
      <c r="Q972">
        <f>IF(Sync!$J972="","",IF(ISNUMBER(Sync!$J972),IF(AND(Sync!$J972&gt;=10000101,Sync!$J972&lt;=99991231),INT(Sync!$J972/10000)&amp;"/"&amp;RIGHT("00"&amp;INT(MOD(Sync!$J972,10000)/100),2)&amp;"/"&amp;RIGHT("00"&amp;MOD(Sync!$J972,100),2),"نامعتبر"),IF(LEN(Sync!$J972)=10,Sync!$J972,"نامعتبر")))</f>
        <v/>
      </c>
      <c r="R972">
        <f>IF($P972="","",COUNTIFS($N$6:$N$2005,$N972,$P$6:$P$2005,"&lt;"&amp;$P972)+COUNTIFS($A$6:$A$1005,$N972,$B$6:$B$1005,"&lt;"&amp;$P972)+1)</f>
        <v/>
      </c>
      <c r="S972">
        <f>IF($N972="","",$N972&amp;"|"&amp;RIGHT("000000"&amp;$R972,6))</f>
        <v/>
      </c>
      <c r="T972">
        <f>IF($N972="","",IF(Sync!$N972="",0,Sync!$N972))</f>
        <v/>
      </c>
      <c r="U972">
        <f>IF($N972="","",IF(Sync!$O972="",0,Sync!$O972))</f>
        <v/>
      </c>
      <c r="V972">
        <f>IF($N972="","",Sync!$L972)</f>
        <v/>
      </c>
      <c r="W972">
        <f>IF($N972="","",Sync!$P972)</f>
        <v/>
      </c>
      <c r="AA972">
        <f>IF($A972="","",IF(COUNTIF($A$6:$A972,$A972)=1,1,0))</f>
        <v/>
      </c>
      <c r="AB972">
        <f>SUM($AA$6:$AA972)</f>
        <v/>
      </c>
      <c r="AC972">
        <f>IFERROR(INDEX($A$6:$A$1005,MATCH(ROW()-5,$AB$6:$AB$1005,0)),"")</f>
        <v/>
      </c>
    </row>
    <row r="973">
      <c r="A973">
        <f>IF(OR(Entry!$B976="",Entry!$E976="",$E973="نامعتبر"),"",Entry!$E976)</f>
        <v/>
      </c>
      <c r="B973">
        <f>IF($A973="","",LEFT($E973,4)&amp;MID($E973,6,2)&amp;RIGHT($E973,2)&amp;$F973&amp;"|"&amp;"1"&amp;RIGHT("00000"&amp;968,5))</f>
        <v/>
      </c>
      <c r="C973">
        <f>IF($B973="","",COUNTIFS($A$6:$A$1005,$A973,$B$6:$B$1005,"&lt;"&amp;$B973)+COUNTIFS($N$6:$N$2005,$A973,$P$6:$P$2005,"&lt;"&amp;$B973)+1)</f>
        <v/>
      </c>
      <c r="D973">
        <f>IF($C973="","",$A973&amp;"|"&amp;RIGHT("000000"&amp;$C973,6))</f>
        <v/>
      </c>
      <c r="E973">
        <f>IF(Entry!$B976="","",IF(ISNUMBER(Entry!$B976),IF(AND(Entry!$B976&gt;=10000101,Entry!$B976&lt;=99991231),INT(Entry!$B976/10000)&amp;"/"&amp;RIGHT("00"&amp;INT(MOD(Entry!$B976,10000)/100),2)&amp;"/"&amp;RIGHT("00"&amp;MOD(Entry!$B976,100),2),"نامعتبر"),IF(LEN(Entry!$B976)=10,Entry!$B976,"نامعتبر")))</f>
        <v/>
      </c>
      <c r="F973">
        <f>IF(Entry!$B976="","",IF(Entry!$C976="","0000",IF(AND(ISNUMBER(Entry!$C976),Entry!$C976&gt;=0,Entry!$C976&lt;1),RIGHT("00"&amp;HOUR(Entry!$C976),2)&amp;RIGHT("00"&amp;MINUTE(Entry!$C976),2),IFERROR(RIGHT("00"&amp;VALUE(LEFT(Entry!$C976,FIND(":",Entry!$C976)-1)),2)&amp;RIGHT("00"&amp;VALUE(MID(Entry!$C976,FIND(":",Entry!$C976)+1,2)),2),"0000"))))</f>
        <v/>
      </c>
      <c r="G973">
        <f>IF($A973="","",Entry!$G976)</f>
        <v/>
      </c>
      <c r="H973">
        <f>IF($A973="","",IF(Entry!$H976="",0,Entry!$H976))</f>
        <v/>
      </c>
      <c r="I973">
        <f>IF($A973="","",IF(Entry!$I976="",0,Entry!$I976))</f>
        <v/>
      </c>
      <c r="J973">
        <f>IF($A973="","",ROUND($H973*$I973,0))</f>
        <v/>
      </c>
      <c r="K973">
        <f>IF($A973="","",Entry!$D976)</f>
        <v/>
      </c>
      <c r="L973">
        <f>IF($A973="","",Entry!$L976)</f>
        <v/>
      </c>
      <c r="N973">
        <f>IF(OR(Sync!$M973="",$Q973="",$Q973="نامعتبر"),"",Sync!$M973)</f>
        <v/>
      </c>
      <c r="O973">
        <f>IF($N973="","",$Q973)</f>
        <v/>
      </c>
      <c r="P973">
        <f>IF($N973="","",LEFT($Q973,4)&amp;MID($Q973,6,2)&amp;RIGHT($Q973,2)&amp;IF(Sync!$K973="","0000",IF(AND(ISNUMBER(Sync!$K973),Sync!$K973&gt;=0,Sync!$K973&lt;1),RIGHT("00"&amp;HOUR(Sync!$K973),2)&amp;RIGHT("00"&amp;MINUTE(Sync!$K973),2),IFERROR(RIGHT("00"&amp;VALUE(LEFT(Sync!$K973,FIND(":",Sync!$K973)-1)),2)&amp;RIGHT("00"&amp;VALUE(MID(Sync!$K973,FIND(":",Sync!$K973)+1,2)),2),"0000")))&amp;"|"&amp;"2"&amp;RIGHT("00000"&amp;968,5))</f>
        <v/>
      </c>
      <c r="Q973">
        <f>IF(Sync!$J973="","",IF(ISNUMBER(Sync!$J973),IF(AND(Sync!$J973&gt;=10000101,Sync!$J973&lt;=99991231),INT(Sync!$J973/10000)&amp;"/"&amp;RIGHT("00"&amp;INT(MOD(Sync!$J973,10000)/100),2)&amp;"/"&amp;RIGHT("00"&amp;MOD(Sync!$J973,100),2),"نامعتبر"),IF(LEN(Sync!$J973)=10,Sync!$J973,"نامعتبر")))</f>
        <v/>
      </c>
      <c r="R973">
        <f>IF($P973="","",COUNTIFS($N$6:$N$2005,$N973,$P$6:$P$2005,"&lt;"&amp;$P973)+COUNTIFS($A$6:$A$1005,$N973,$B$6:$B$1005,"&lt;"&amp;$P973)+1)</f>
        <v/>
      </c>
      <c r="S973">
        <f>IF($N973="","",$N973&amp;"|"&amp;RIGHT("000000"&amp;$R973,6))</f>
        <v/>
      </c>
      <c r="T973">
        <f>IF($N973="","",IF(Sync!$N973="",0,Sync!$N973))</f>
        <v/>
      </c>
      <c r="U973">
        <f>IF($N973="","",IF(Sync!$O973="",0,Sync!$O973))</f>
        <v/>
      </c>
      <c r="V973">
        <f>IF($N973="","",Sync!$L973)</f>
        <v/>
      </c>
      <c r="W973">
        <f>IF($N973="","",Sync!$P973)</f>
        <v/>
      </c>
      <c r="AA973">
        <f>IF($A973="","",IF(COUNTIF($A$6:$A973,$A973)=1,1,0))</f>
        <v/>
      </c>
      <c r="AB973">
        <f>SUM($AA$6:$AA973)</f>
        <v/>
      </c>
      <c r="AC973">
        <f>IFERROR(INDEX($A$6:$A$1005,MATCH(ROW()-5,$AB$6:$AB$1005,0)),"")</f>
        <v/>
      </c>
    </row>
    <row r="974">
      <c r="A974">
        <f>IF(OR(Entry!$B977="",Entry!$E977="",$E974="نامعتبر"),"",Entry!$E977)</f>
        <v/>
      </c>
      <c r="B974">
        <f>IF($A974="","",LEFT($E974,4)&amp;MID($E974,6,2)&amp;RIGHT($E974,2)&amp;$F974&amp;"|"&amp;"1"&amp;RIGHT("00000"&amp;969,5))</f>
        <v/>
      </c>
      <c r="C974">
        <f>IF($B974="","",COUNTIFS($A$6:$A$1005,$A974,$B$6:$B$1005,"&lt;"&amp;$B974)+COUNTIFS($N$6:$N$2005,$A974,$P$6:$P$2005,"&lt;"&amp;$B974)+1)</f>
        <v/>
      </c>
      <c r="D974">
        <f>IF($C974="","",$A974&amp;"|"&amp;RIGHT("000000"&amp;$C974,6))</f>
        <v/>
      </c>
      <c r="E974">
        <f>IF(Entry!$B977="","",IF(ISNUMBER(Entry!$B977),IF(AND(Entry!$B977&gt;=10000101,Entry!$B977&lt;=99991231),INT(Entry!$B977/10000)&amp;"/"&amp;RIGHT("00"&amp;INT(MOD(Entry!$B977,10000)/100),2)&amp;"/"&amp;RIGHT("00"&amp;MOD(Entry!$B977,100),2),"نامعتبر"),IF(LEN(Entry!$B977)=10,Entry!$B977,"نامعتبر")))</f>
        <v/>
      </c>
      <c r="F974">
        <f>IF(Entry!$B977="","",IF(Entry!$C977="","0000",IF(AND(ISNUMBER(Entry!$C977),Entry!$C977&gt;=0,Entry!$C977&lt;1),RIGHT("00"&amp;HOUR(Entry!$C977),2)&amp;RIGHT("00"&amp;MINUTE(Entry!$C977),2),IFERROR(RIGHT("00"&amp;VALUE(LEFT(Entry!$C977,FIND(":",Entry!$C977)-1)),2)&amp;RIGHT("00"&amp;VALUE(MID(Entry!$C977,FIND(":",Entry!$C977)+1,2)),2),"0000"))))</f>
        <v/>
      </c>
      <c r="G974">
        <f>IF($A974="","",Entry!$G977)</f>
        <v/>
      </c>
      <c r="H974">
        <f>IF($A974="","",IF(Entry!$H977="",0,Entry!$H977))</f>
        <v/>
      </c>
      <c r="I974">
        <f>IF($A974="","",IF(Entry!$I977="",0,Entry!$I977))</f>
        <v/>
      </c>
      <c r="J974">
        <f>IF($A974="","",ROUND($H974*$I974,0))</f>
        <v/>
      </c>
      <c r="K974">
        <f>IF($A974="","",Entry!$D977)</f>
        <v/>
      </c>
      <c r="L974">
        <f>IF($A974="","",Entry!$L977)</f>
        <v/>
      </c>
      <c r="N974">
        <f>IF(OR(Sync!$M974="",$Q974="",$Q974="نامعتبر"),"",Sync!$M974)</f>
        <v/>
      </c>
      <c r="O974">
        <f>IF($N974="","",$Q974)</f>
        <v/>
      </c>
      <c r="P974">
        <f>IF($N974="","",LEFT($Q974,4)&amp;MID($Q974,6,2)&amp;RIGHT($Q974,2)&amp;IF(Sync!$K974="","0000",IF(AND(ISNUMBER(Sync!$K974),Sync!$K974&gt;=0,Sync!$K974&lt;1),RIGHT("00"&amp;HOUR(Sync!$K974),2)&amp;RIGHT("00"&amp;MINUTE(Sync!$K974),2),IFERROR(RIGHT("00"&amp;VALUE(LEFT(Sync!$K974,FIND(":",Sync!$K974)-1)),2)&amp;RIGHT("00"&amp;VALUE(MID(Sync!$K974,FIND(":",Sync!$K974)+1,2)),2),"0000")))&amp;"|"&amp;"2"&amp;RIGHT("00000"&amp;969,5))</f>
        <v/>
      </c>
      <c r="Q974">
        <f>IF(Sync!$J974="","",IF(ISNUMBER(Sync!$J974),IF(AND(Sync!$J974&gt;=10000101,Sync!$J974&lt;=99991231),INT(Sync!$J974/10000)&amp;"/"&amp;RIGHT("00"&amp;INT(MOD(Sync!$J974,10000)/100),2)&amp;"/"&amp;RIGHT("00"&amp;MOD(Sync!$J974,100),2),"نامعتبر"),IF(LEN(Sync!$J974)=10,Sync!$J974,"نامعتبر")))</f>
        <v/>
      </c>
      <c r="R974">
        <f>IF($P974="","",COUNTIFS($N$6:$N$2005,$N974,$P$6:$P$2005,"&lt;"&amp;$P974)+COUNTIFS($A$6:$A$1005,$N974,$B$6:$B$1005,"&lt;"&amp;$P974)+1)</f>
        <v/>
      </c>
      <c r="S974">
        <f>IF($N974="","",$N974&amp;"|"&amp;RIGHT("000000"&amp;$R974,6))</f>
        <v/>
      </c>
      <c r="T974">
        <f>IF($N974="","",IF(Sync!$N974="",0,Sync!$N974))</f>
        <v/>
      </c>
      <c r="U974">
        <f>IF($N974="","",IF(Sync!$O974="",0,Sync!$O974))</f>
        <v/>
      </c>
      <c r="V974">
        <f>IF($N974="","",Sync!$L974)</f>
        <v/>
      </c>
      <c r="W974">
        <f>IF($N974="","",Sync!$P974)</f>
        <v/>
      </c>
      <c r="AA974">
        <f>IF($A974="","",IF(COUNTIF($A$6:$A974,$A974)=1,1,0))</f>
        <v/>
      </c>
      <c r="AB974">
        <f>SUM($AA$6:$AA974)</f>
        <v/>
      </c>
      <c r="AC974">
        <f>IFERROR(INDEX($A$6:$A$1005,MATCH(ROW()-5,$AB$6:$AB$1005,0)),"")</f>
        <v/>
      </c>
    </row>
    <row r="975">
      <c r="A975">
        <f>IF(OR(Entry!$B978="",Entry!$E978="",$E975="نامعتبر"),"",Entry!$E978)</f>
        <v/>
      </c>
      <c r="B975">
        <f>IF($A975="","",LEFT($E975,4)&amp;MID($E975,6,2)&amp;RIGHT($E975,2)&amp;$F975&amp;"|"&amp;"1"&amp;RIGHT("00000"&amp;970,5))</f>
        <v/>
      </c>
      <c r="C975">
        <f>IF($B975="","",COUNTIFS($A$6:$A$1005,$A975,$B$6:$B$1005,"&lt;"&amp;$B975)+COUNTIFS($N$6:$N$2005,$A975,$P$6:$P$2005,"&lt;"&amp;$B975)+1)</f>
        <v/>
      </c>
      <c r="D975">
        <f>IF($C975="","",$A975&amp;"|"&amp;RIGHT("000000"&amp;$C975,6))</f>
        <v/>
      </c>
      <c r="E975">
        <f>IF(Entry!$B978="","",IF(ISNUMBER(Entry!$B978),IF(AND(Entry!$B978&gt;=10000101,Entry!$B978&lt;=99991231),INT(Entry!$B978/10000)&amp;"/"&amp;RIGHT("00"&amp;INT(MOD(Entry!$B978,10000)/100),2)&amp;"/"&amp;RIGHT("00"&amp;MOD(Entry!$B978,100),2),"نامعتبر"),IF(LEN(Entry!$B978)=10,Entry!$B978,"نامعتبر")))</f>
        <v/>
      </c>
      <c r="F975">
        <f>IF(Entry!$B978="","",IF(Entry!$C978="","0000",IF(AND(ISNUMBER(Entry!$C978),Entry!$C978&gt;=0,Entry!$C978&lt;1),RIGHT("00"&amp;HOUR(Entry!$C978),2)&amp;RIGHT("00"&amp;MINUTE(Entry!$C978),2),IFERROR(RIGHT("00"&amp;VALUE(LEFT(Entry!$C978,FIND(":",Entry!$C978)-1)),2)&amp;RIGHT("00"&amp;VALUE(MID(Entry!$C978,FIND(":",Entry!$C978)+1,2)),2),"0000"))))</f>
        <v/>
      </c>
      <c r="G975">
        <f>IF($A975="","",Entry!$G978)</f>
        <v/>
      </c>
      <c r="H975">
        <f>IF($A975="","",IF(Entry!$H978="",0,Entry!$H978))</f>
        <v/>
      </c>
      <c r="I975">
        <f>IF($A975="","",IF(Entry!$I978="",0,Entry!$I978))</f>
        <v/>
      </c>
      <c r="J975">
        <f>IF($A975="","",ROUND($H975*$I975,0))</f>
        <v/>
      </c>
      <c r="K975">
        <f>IF($A975="","",Entry!$D978)</f>
        <v/>
      </c>
      <c r="L975">
        <f>IF($A975="","",Entry!$L978)</f>
        <v/>
      </c>
      <c r="N975">
        <f>IF(OR(Sync!$M975="",$Q975="",$Q975="نامعتبر"),"",Sync!$M975)</f>
        <v/>
      </c>
      <c r="O975">
        <f>IF($N975="","",$Q975)</f>
        <v/>
      </c>
      <c r="P975">
        <f>IF($N975="","",LEFT($Q975,4)&amp;MID($Q975,6,2)&amp;RIGHT($Q975,2)&amp;IF(Sync!$K975="","0000",IF(AND(ISNUMBER(Sync!$K975),Sync!$K975&gt;=0,Sync!$K975&lt;1),RIGHT("00"&amp;HOUR(Sync!$K975),2)&amp;RIGHT("00"&amp;MINUTE(Sync!$K975),2),IFERROR(RIGHT("00"&amp;VALUE(LEFT(Sync!$K975,FIND(":",Sync!$K975)-1)),2)&amp;RIGHT("00"&amp;VALUE(MID(Sync!$K975,FIND(":",Sync!$K975)+1,2)),2),"0000")))&amp;"|"&amp;"2"&amp;RIGHT("00000"&amp;970,5))</f>
        <v/>
      </c>
      <c r="Q975">
        <f>IF(Sync!$J975="","",IF(ISNUMBER(Sync!$J975),IF(AND(Sync!$J975&gt;=10000101,Sync!$J975&lt;=99991231),INT(Sync!$J975/10000)&amp;"/"&amp;RIGHT("00"&amp;INT(MOD(Sync!$J975,10000)/100),2)&amp;"/"&amp;RIGHT("00"&amp;MOD(Sync!$J975,100),2),"نامعتبر"),IF(LEN(Sync!$J975)=10,Sync!$J975,"نامعتبر")))</f>
        <v/>
      </c>
      <c r="R975">
        <f>IF($P975="","",COUNTIFS($N$6:$N$2005,$N975,$P$6:$P$2005,"&lt;"&amp;$P975)+COUNTIFS($A$6:$A$1005,$N975,$B$6:$B$1005,"&lt;"&amp;$P975)+1)</f>
        <v/>
      </c>
      <c r="S975">
        <f>IF($N975="","",$N975&amp;"|"&amp;RIGHT("000000"&amp;$R975,6))</f>
        <v/>
      </c>
      <c r="T975">
        <f>IF($N975="","",IF(Sync!$N975="",0,Sync!$N975))</f>
        <v/>
      </c>
      <c r="U975">
        <f>IF($N975="","",IF(Sync!$O975="",0,Sync!$O975))</f>
        <v/>
      </c>
      <c r="V975">
        <f>IF($N975="","",Sync!$L975)</f>
        <v/>
      </c>
      <c r="W975">
        <f>IF($N975="","",Sync!$P975)</f>
        <v/>
      </c>
      <c r="AA975">
        <f>IF($A975="","",IF(COUNTIF($A$6:$A975,$A975)=1,1,0))</f>
        <v/>
      </c>
      <c r="AB975">
        <f>SUM($AA$6:$AA975)</f>
        <v/>
      </c>
      <c r="AC975">
        <f>IFERROR(INDEX($A$6:$A$1005,MATCH(ROW()-5,$AB$6:$AB$1005,0)),"")</f>
        <v/>
      </c>
    </row>
    <row r="976">
      <c r="A976">
        <f>IF(OR(Entry!$B979="",Entry!$E979="",$E976="نامعتبر"),"",Entry!$E979)</f>
        <v/>
      </c>
      <c r="B976">
        <f>IF($A976="","",LEFT($E976,4)&amp;MID($E976,6,2)&amp;RIGHT($E976,2)&amp;$F976&amp;"|"&amp;"1"&amp;RIGHT("00000"&amp;971,5))</f>
        <v/>
      </c>
      <c r="C976">
        <f>IF($B976="","",COUNTIFS($A$6:$A$1005,$A976,$B$6:$B$1005,"&lt;"&amp;$B976)+COUNTIFS($N$6:$N$2005,$A976,$P$6:$P$2005,"&lt;"&amp;$B976)+1)</f>
        <v/>
      </c>
      <c r="D976">
        <f>IF($C976="","",$A976&amp;"|"&amp;RIGHT("000000"&amp;$C976,6))</f>
        <v/>
      </c>
      <c r="E976">
        <f>IF(Entry!$B979="","",IF(ISNUMBER(Entry!$B979),IF(AND(Entry!$B979&gt;=10000101,Entry!$B979&lt;=99991231),INT(Entry!$B979/10000)&amp;"/"&amp;RIGHT("00"&amp;INT(MOD(Entry!$B979,10000)/100),2)&amp;"/"&amp;RIGHT("00"&amp;MOD(Entry!$B979,100),2),"نامعتبر"),IF(LEN(Entry!$B979)=10,Entry!$B979,"نامعتبر")))</f>
        <v/>
      </c>
      <c r="F976">
        <f>IF(Entry!$B979="","",IF(Entry!$C979="","0000",IF(AND(ISNUMBER(Entry!$C979),Entry!$C979&gt;=0,Entry!$C979&lt;1),RIGHT("00"&amp;HOUR(Entry!$C979),2)&amp;RIGHT("00"&amp;MINUTE(Entry!$C979),2),IFERROR(RIGHT("00"&amp;VALUE(LEFT(Entry!$C979,FIND(":",Entry!$C979)-1)),2)&amp;RIGHT("00"&amp;VALUE(MID(Entry!$C979,FIND(":",Entry!$C979)+1,2)),2),"0000"))))</f>
        <v/>
      </c>
      <c r="G976">
        <f>IF($A976="","",Entry!$G979)</f>
        <v/>
      </c>
      <c r="H976">
        <f>IF($A976="","",IF(Entry!$H979="",0,Entry!$H979))</f>
        <v/>
      </c>
      <c r="I976">
        <f>IF($A976="","",IF(Entry!$I979="",0,Entry!$I979))</f>
        <v/>
      </c>
      <c r="J976">
        <f>IF($A976="","",ROUND($H976*$I976,0))</f>
        <v/>
      </c>
      <c r="K976">
        <f>IF($A976="","",Entry!$D979)</f>
        <v/>
      </c>
      <c r="L976">
        <f>IF($A976="","",Entry!$L979)</f>
        <v/>
      </c>
      <c r="N976">
        <f>IF(OR(Sync!$M976="",$Q976="",$Q976="نامعتبر"),"",Sync!$M976)</f>
        <v/>
      </c>
      <c r="O976">
        <f>IF($N976="","",$Q976)</f>
        <v/>
      </c>
      <c r="P976">
        <f>IF($N976="","",LEFT($Q976,4)&amp;MID($Q976,6,2)&amp;RIGHT($Q976,2)&amp;IF(Sync!$K976="","0000",IF(AND(ISNUMBER(Sync!$K976),Sync!$K976&gt;=0,Sync!$K976&lt;1),RIGHT("00"&amp;HOUR(Sync!$K976),2)&amp;RIGHT("00"&amp;MINUTE(Sync!$K976),2),IFERROR(RIGHT("00"&amp;VALUE(LEFT(Sync!$K976,FIND(":",Sync!$K976)-1)),2)&amp;RIGHT("00"&amp;VALUE(MID(Sync!$K976,FIND(":",Sync!$K976)+1,2)),2),"0000")))&amp;"|"&amp;"2"&amp;RIGHT("00000"&amp;971,5))</f>
        <v/>
      </c>
      <c r="Q976">
        <f>IF(Sync!$J976="","",IF(ISNUMBER(Sync!$J976),IF(AND(Sync!$J976&gt;=10000101,Sync!$J976&lt;=99991231),INT(Sync!$J976/10000)&amp;"/"&amp;RIGHT("00"&amp;INT(MOD(Sync!$J976,10000)/100),2)&amp;"/"&amp;RIGHT("00"&amp;MOD(Sync!$J976,100),2),"نامعتبر"),IF(LEN(Sync!$J976)=10,Sync!$J976,"نامعتبر")))</f>
        <v/>
      </c>
      <c r="R976">
        <f>IF($P976="","",COUNTIFS($N$6:$N$2005,$N976,$P$6:$P$2005,"&lt;"&amp;$P976)+COUNTIFS($A$6:$A$1005,$N976,$B$6:$B$1005,"&lt;"&amp;$P976)+1)</f>
        <v/>
      </c>
      <c r="S976">
        <f>IF($N976="","",$N976&amp;"|"&amp;RIGHT("000000"&amp;$R976,6))</f>
        <v/>
      </c>
      <c r="T976">
        <f>IF($N976="","",IF(Sync!$N976="",0,Sync!$N976))</f>
        <v/>
      </c>
      <c r="U976">
        <f>IF($N976="","",IF(Sync!$O976="",0,Sync!$O976))</f>
        <v/>
      </c>
      <c r="V976">
        <f>IF($N976="","",Sync!$L976)</f>
        <v/>
      </c>
      <c r="W976">
        <f>IF($N976="","",Sync!$P976)</f>
        <v/>
      </c>
      <c r="AA976">
        <f>IF($A976="","",IF(COUNTIF($A$6:$A976,$A976)=1,1,0))</f>
        <v/>
      </c>
      <c r="AB976">
        <f>SUM($AA$6:$AA976)</f>
        <v/>
      </c>
      <c r="AC976">
        <f>IFERROR(INDEX($A$6:$A$1005,MATCH(ROW()-5,$AB$6:$AB$1005,0)),"")</f>
        <v/>
      </c>
    </row>
    <row r="977">
      <c r="A977">
        <f>IF(OR(Entry!$B980="",Entry!$E980="",$E977="نامعتبر"),"",Entry!$E980)</f>
        <v/>
      </c>
      <c r="B977">
        <f>IF($A977="","",LEFT($E977,4)&amp;MID($E977,6,2)&amp;RIGHT($E977,2)&amp;$F977&amp;"|"&amp;"1"&amp;RIGHT("00000"&amp;972,5))</f>
        <v/>
      </c>
      <c r="C977">
        <f>IF($B977="","",COUNTIFS($A$6:$A$1005,$A977,$B$6:$B$1005,"&lt;"&amp;$B977)+COUNTIFS($N$6:$N$2005,$A977,$P$6:$P$2005,"&lt;"&amp;$B977)+1)</f>
        <v/>
      </c>
      <c r="D977">
        <f>IF($C977="","",$A977&amp;"|"&amp;RIGHT("000000"&amp;$C977,6))</f>
        <v/>
      </c>
      <c r="E977">
        <f>IF(Entry!$B980="","",IF(ISNUMBER(Entry!$B980),IF(AND(Entry!$B980&gt;=10000101,Entry!$B980&lt;=99991231),INT(Entry!$B980/10000)&amp;"/"&amp;RIGHT("00"&amp;INT(MOD(Entry!$B980,10000)/100),2)&amp;"/"&amp;RIGHT("00"&amp;MOD(Entry!$B980,100),2),"نامعتبر"),IF(LEN(Entry!$B980)=10,Entry!$B980,"نامعتبر")))</f>
        <v/>
      </c>
      <c r="F977">
        <f>IF(Entry!$B980="","",IF(Entry!$C980="","0000",IF(AND(ISNUMBER(Entry!$C980),Entry!$C980&gt;=0,Entry!$C980&lt;1),RIGHT("00"&amp;HOUR(Entry!$C980),2)&amp;RIGHT("00"&amp;MINUTE(Entry!$C980),2),IFERROR(RIGHT("00"&amp;VALUE(LEFT(Entry!$C980,FIND(":",Entry!$C980)-1)),2)&amp;RIGHT("00"&amp;VALUE(MID(Entry!$C980,FIND(":",Entry!$C980)+1,2)),2),"0000"))))</f>
        <v/>
      </c>
      <c r="G977">
        <f>IF($A977="","",Entry!$G980)</f>
        <v/>
      </c>
      <c r="H977">
        <f>IF($A977="","",IF(Entry!$H980="",0,Entry!$H980))</f>
        <v/>
      </c>
      <c r="I977">
        <f>IF($A977="","",IF(Entry!$I980="",0,Entry!$I980))</f>
        <v/>
      </c>
      <c r="J977">
        <f>IF($A977="","",ROUND($H977*$I977,0))</f>
        <v/>
      </c>
      <c r="K977">
        <f>IF($A977="","",Entry!$D980)</f>
        <v/>
      </c>
      <c r="L977">
        <f>IF($A977="","",Entry!$L980)</f>
        <v/>
      </c>
      <c r="N977">
        <f>IF(OR(Sync!$M977="",$Q977="",$Q977="نامعتبر"),"",Sync!$M977)</f>
        <v/>
      </c>
      <c r="O977">
        <f>IF($N977="","",$Q977)</f>
        <v/>
      </c>
      <c r="P977">
        <f>IF($N977="","",LEFT($Q977,4)&amp;MID($Q977,6,2)&amp;RIGHT($Q977,2)&amp;IF(Sync!$K977="","0000",IF(AND(ISNUMBER(Sync!$K977),Sync!$K977&gt;=0,Sync!$K977&lt;1),RIGHT("00"&amp;HOUR(Sync!$K977),2)&amp;RIGHT("00"&amp;MINUTE(Sync!$K977),2),IFERROR(RIGHT("00"&amp;VALUE(LEFT(Sync!$K977,FIND(":",Sync!$K977)-1)),2)&amp;RIGHT("00"&amp;VALUE(MID(Sync!$K977,FIND(":",Sync!$K977)+1,2)),2),"0000")))&amp;"|"&amp;"2"&amp;RIGHT("00000"&amp;972,5))</f>
        <v/>
      </c>
      <c r="Q977">
        <f>IF(Sync!$J977="","",IF(ISNUMBER(Sync!$J977),IF(AND(Sync!$J977&gt;=10000101,Sync!$J977&lt;=99991231),INT(Sync!$J977/10000)&amp;"/"&amp;RIGHT("00"&amp;INT(MOD(Sync!$J977,10000)/100),2)&amp;"/"&amp;RIGHT("00"&amp;MOD(Sync!$J977,100),2),"نامعتبر"),IF(LEN(Sync!$J977)=10,Sync!$J977,"نامعتبر")))</f>
        <v/>
      </c>
      <c r="R977">
        <f>IF($P977="","",COUNTIFS($N$6:$N$2005,$N977,$P$6:$P$2005,"&lt;"&amp;$P977)+COUNTIFS($A$6:$A$1005,$N977,$B$6:$B$1005,"&lt;"&amp;$P977)+1)</f>
        <v/>
      </c>
      <c r="S977">
        <f>IF($N977="","",$N977&amp;"|"&amp;RIGHT("000000"&amp;$R977,6))</f>
        <v/>
      </c>
      <c r="T977">
        <f>IF($N977="","",IF(Sync!$N977="",0,Sync!$N977))</f>
        <v/>
      </c>
      <c r="U977">
        <f>IF($N977="","",IF(Sync!$O977="",0,Sync!$O977))</f>
        <v/>
      </c>
      <c r="V977">
        <f>IF($N977="","",Sync!$L977)</f>
        <v/>
      </c>
      <c r="W977">
        <f>IF($N977="","",Sync!$P977)</f>
        <v/>
      </c>
      <c r="AA977">
        <f>IF($A977="","",IF(COUNTIF($A$6:$A977,$A977)=1,1,0))</f>
        <v/>
      </c>
      <c r="AB977">
        <f>SUM($AA$6:$AA977)</f>
        <v/>
      </c>
      <c r="AC977">
        <f>IFERROR(INDEX($A$6:$A$1005,MATCH(ROW()-5,$AB$6:$AB$1005,0)),"")</f>
        <v/>
      </c>
    </row>
    <row r="978">
      <c r="A978">
        <f>IF(OR(Entry!$B981="",Entry!$E981="",$E978="نامعتبر"),"",Entry!$E981)</f>
        <v/>
      </c>
      <c r="B978">
        <f>IF($A978="","",LEFT($E978,4)&amp;MID($E978,6,2)&amp;RIGHT($E978,2)&amp;$F978&amp;"|"&amp;"1"&amp;RIGHT("00000"&amp;973,5))</f>
        <v/>
      </c>
      <c r="C978">
        <f>IF($B978="","",COUNTIFS($A$6:$A$1005,$A978,$B$6:$B$1005,"&lt;"&amp;$B978)+COUNTIFS($N$6:$N$2005,$A978,$P$6:$P$2005,"&lt;"&amp;$B978)+1)</f>
        <v/>
      </c>
      <c r="D978">
        <f>IF($C978="","",$A978&amp;"|"&amp;RIGHT("000000"&amp;$C978,6))</f>
        <v/>
      </c>
      <c r="E978">
        <f>IF(Entry!$B981="","",IF(ISNUMBER(Entry!$B981),IF(AND(Entry!$B981&gt;=10000101,Entry!$B981&lt;=99991231),INT(Entry!$B981/10000)&amp;"/"&amp;RIGHT("00"&amp;INT(MOD(Entry!$B981,10000)/100),2)&amp;"/"&amp;RIGHT("00"&amp;MOD(Entry!$B981,100),2),"نامعتبر"),IF(LEN(Entry!$B981)=10,Entry!$B981,"نامعتبر")))</f>
        <v/>
      </c>
      <c r="F978">
        <f>IF(Entry!$B981="","",IF(Entry!$C981="","0000",IF(AND(ISNUMBER(Entry!$C981),Entry!$C981&gt;=0,Entry!$C981&lt;1),RIGHT("00"&amp;HOUR(Entry!$C981),2)&amp;RIGHT("00"&amp;MINUTE(Entry!$C981),2),IFERROR(RIGHT("00"&amp;VALUE(LEFT(Entry!$C981,FIND(":",Entry!$C981)-1)),2)&amp;RIGHT("00"&amp;VALUE(MID(Entry!$C981,FIND(":",Entry!$C981)+1,2)),2),"0000"))))</f>
        <v/>
      </c>
      <c r="G978">
        <f>IF($A978="","",Entry!$G981)</f>
        <v/>
      </c>
      <c r="H978">
        <f>IF($A978="","",IF(Entry!$H981="",0,Entry!$H981))</f>
        <v/>
      </c>
      <c r="I978">
        <f>IF($A978="","",IF(Entry!$I981="",0,Entry!$I981))</f>
        <v/>
      </c>
      <c r="J978">
        <f>IF($A978="","",ROUND($H978*$I978,0))</f>
        <v/>
      </c>
      <c r="K978">
        <f>IF($A978="","",Entry!$D981)</f>
        <v/>
      </c>
      <c r="L978">
        <f>IF($A978="","",Entry!$L981)</f>
        <v/>
      </c>
      <c r="N978">
        <f>IF(OR(Sync!$M978="",$Q978="",$Q978="نامعتبر"),"",Sync!$M978)</f>
        <v/>
      </c>
      <c r="O978">
        <f>IF($N978="","",$Q978)</f>
        <v/>
      </c>
      <c r="P978">
        <f>IF($N978="","",LEFT($Q978,4)&amp;MID($Q978,6,2)&amp;RIGHT($Q978,2)&amp;IF(Sync!$K978="","0000",IF(AND(ISNUMBER(Sync!$K978),Sync!$K978&gt;=0,Sync!$K978&lt;1),RIGHT("00"&amp;HOUR(Sync!$K978),2)&amp;RIGHT("00"&amp;MINUTE(Sync!$K978),2),IFERROR(RIGHT("00"&amp;VALUE(LEFT(Sync!$K978,FIND(":",Sync!$K978)-1)),2)&amp;RIGHT("00"&amp;VALUE(MID(Sync!$K978,FIND(":",Sync!$K978)+1,2)),2),"0000")))&amp;"|"&amp;"2"&amp;RIGHT("00000"&amp;973,5))</f>
        <v/>
      </c>
      <c r="Q978">
        <f>IF(Sync!$J978="","",IF(ISNUMBER(Sync!$J978),IF(AND(Sync!$J978&gt;=10000101,Sync!$J978&lt;=99991231),INT(Sync!$J978/10000)&amp;"/"&amp;RIGHT("00"&amp;INT(MOD(Sync!$J978,10000)/100),2)&amp;"/"&amp;RIGHT("00"&amp;MOD(Sync!$J978,100),2),"نامعتبر"),IF(LEN(Sync!$J978)=10,Sync!$J978,"نامعتبر")))</f>
        <v/>
      </c>
      <c r="R978">
        <f>IF($P978="","",COUNTIFS($N$6:$N$2005,$N978,$P$6:$P$2005,"&lt;"&amp;$P978)+COUNTIFS($A$6:$A$1005,$N978,$B$6:$B$1005,"&lt;"&amp;$P978)+1)</f>
        <v/>
      </c>
      <c r="S978">
        <f>IF($N978="","",$N978&amp;"|"&amp;RIGHT("000000"&amp;$R978,6))</f>
        <v/>
      </c>
      <c r="T978">
        <f>IF($N978="","",IF(Sync!$N978="",0,Sync!$N978))</f>
        <v/>
      </c>
      <c r="U978">
        <f>IF($N978="","",IF(Sync!$O978="",0,Sync!$O978))</f>
        <v/>
      </c>
      <c r="V978">
        <f>IF($N978="","",Sync!$L978)</f>
        <v/>
      </c>
      <c r="W978">
        <f>IF($N978="","",Sync!$P978)</f>
        <v/>
      </c>
      <c r="AA978">
        <f>IF($A978="","",IF(COUNTIF($A$6:$A978,$A978)=1,1,0))</f>
        <v/>
      </c>
      <c r="AB978">
        <f>SUM($AA$6:$AA978)</f>
        <v/>
      </c>
      <c r="AC978">
        <f>IFERROR(INDEX($A$6:$A$1005,MATCH(ROW()-5,$AB$6:$AB$1005,0)),"")</f>
        <v/>
      </c>
    </row>
    <row r="979">
      <c r="A979">
        <f>IF(OR(Entry!$B982="",Entry!$E982="",$E979="نامعتبر"),"",Entry!$E982)</f>
        <v/>
      </c>
      <c r="B979">
        <f>IF($A979="","",LEFT($E979,4)&amp;MID($E979,6,2)&amp;RIGHT($E979,2)&amp;$F979&amp;"|"&amp;"1"&amp;RIGHT("00000"&amp;974,5))</f>
        <v/>
      </c>
      <c r="C979">
        <f>IF($B979="","",COUNTIFS($A$6:$A$1005,$A979,$B$6:$B$1005,"&lt;"&amp;$B979)+COUNTIFS($N$6:$N$2005,$A979,$P$6:$P$2005,"&lt;"&amp;$B979)+1)</f>
        <v/>
      </c>
      <c r="D979">
        <f>IF($C979="","",$A979&amp;"|"&amp;RIGHT("000000"&amp;$C979,6))</f>
        <v/>
      </c>
      <c r="E979">
        <f>IF(Entry!$B982="","",IF(ISNUMBER(Entry!$B982),IF(AND(Entry!$B982&gt;=10000101,Entry!$B982&lt;=99991231),INT(Entry!$B982/10000)&amp;"/"&amp;RIGHT("00"&amp;INT(MOD(Entry!$B982,10000)/100),2)&amp;"/"&amp;RIGHT("00"&amp;MOD(Entry!$B982,100),2),"نامعتبر"),IF(LEN(Entry!$B982)=10,Entry!$B982,"نامعتبر")))</f>
        <v/>
      </c>
      <c r="F979">
        <f>IF(Entry!$B982="","",IF(Entry!$C982="","0000",IF(AND(ISNUMBER(Entry!$C982),Entry!$C982&gt;=0,Entry!$C982&lt;1),RIGHT("00"&amp;HOUR(Entry!$C982),2)&amp;RIGHT("00"&amp;MINUTE(Entry!$C982),2),IFERROR(RIGHT("00"&amp;VALUE(LEFT(Entry!$C982,FIND(":",Entry!$C982)-1)),2)&amp;RIGHT("00"&amp;VALUE(MID(Entry!$C982,FIND(":",Entry!$C982)+1,2)),2),"0000"))))</f>
        <v/>
      </c>
      <c r="G979">
        <f>IF($A979="","",Entry!$G982)</f>
        <v/>
      </c>
      <c r="H979">
        <f>IF($A979="","",IF(Entry!$H982="",0,Entry!$H982))</f>
        <v/>
      </c>
      <c r="I979">
        <f>IF($A979="","",IF(Entry!$I982="",0,Entry!$I982))</f>
        <v/>
      </c>
      <c r="J979">
        <f>IF($A979="","",ROUND($H979*$I979,0))</f>
        <v/>
      </c>
      <c r="K979">
        <f>IF($A979="","",Entry!$D982)</f>
        <v/>
      </c>
      <c r="L979">
        <f>IF($A979="","",Entry!$L982)</f>
        <v/>
      </c>
      <c r="N979">
        <f>IF(OR(Sync!$M979="",$Q979="",$Q979="نامعتبر"),"",Sync!$M979)</f>
        <v/>
      </c>
      <c r="O979">
        <f>IF($N979="","",$Q979)</f>
        <v/>
      </c>
      <c r="P979">
        <f>IF($N979="","",LEFT($Q979,4)&amp;MID($Q979,6,2)&amp;RIGHT($Q979,2)&amp;IF(Sync!$K979="","0000",IF(AND(ISNUMBER(Sync!$K979),Sync!$K979&gt;=0,Sync!$K979&lt;1),RIGHT("00"&amp;HOUR(Sync!$K979),2)&amp;RIGHT("00"&amp;MINUTE(Sync!$K979),2),IFERROR(RIGHT("00"&amp;VALUE(LEFT(Sync!$K979,FIND(":",Sync!$K979)-1)),2)&amp;RIGHT("00"&amp;VALUE(MID(Sync!$K979,FIND(":",Sync!$K979)+1,2)),2),"0000")))&amp;"|"&amp;"2"&amp;RIGHT("00000"&amp;974,5))</f>
        <v/>
      </c>
      <c r="Q979">
        <f>IF(Sync!$J979="","",IF(ISNUMBER(Sync!$J979),IF(AND(Sync!$J979&gt;=10000101,Sync!$J979&lt;=99991231),INT(Sync!$J979/10000)&amp;"/"&amp;RIGHT("00"&amp;INT(MOD(Sync!$J979,10000)/100),2)&amp;"/"&amp;RIGHT("00"&amp;MOD(Sync!$J979,100),2),"نامعتبر"),IF(LEN(Sync!$J979)=10,Sync!$J979,"نامعتبر")))</f>
        <v/>
      </c>
      <c r="R979">
        <f>IF($P979="","",COUNTIFS($N$6:$N$2005,$N979,$P$6:$P$2005,"&lt;"&amp;$P979)+COUNTIFS($A$6:$A$1005,$N979,$B$6:$B$1005,"&lt;"&amp;$P979)+1)</f>
        <v/>
      </c>
      <c r="S979">
        <f>IF($N979="","",$N979&amp;"|"&amp;RIGHT("000000"&amp;$R979,6))</f>
        <v/>
      </c>
      <c r="T979">
        <f>IF($N979="","",IF(Sync!$N979="",0,Sync!$N979))</f>
        <v/>
      </c>
      <c r="U979">
        <f>IF($N979="","",IF(Sync!$O979="",0,Sync!$O979))</f>
        <v/>
      </c>
      <c r="V979">
        <f>IF($N979="","",Sync!$L979)</f>
        <v/>
      </c>
      <c r="W979">
        <f>IF($N979="","",Sync!$P979)</f>
        <v/>
      </c>
      <c r="AA979">
        <f>IF($A979="","",IF(COUNTIF($A$6:$A979,$A979)=1,1,0))</f>
        <v/>
      </c>
      <c r="AB979">
        <f>SUM($AA$6:$AA979)</f>
        <v/>
      </c>
      <c r="AC979">
        <f>IFERROR(INDEX($A$6:$A$1005,MATCH(ROW()-5,$AB$6:$AB$1005,0)),"")</f>
        <v/>
      </c>
    </row>
    <row r="980">
      <c r="A980">
        <f>IF(OR(Entry!$B983="",Entry!$E983="",$E980="نامعتبر"),"",Entry!$E983)</f>
        <v/>
      </c>
      <c r="B980">
        <f>IF($A980="","",LEFT($E980,4)&amp;MID($E980,6,2)&amp;RIGHT($E980,2)&amp;$F980&amp;"|"&amp;"1"&amp;RIGHT("00000"&amp;975,5))</f>
        <v/>
      </c>
      <c r="C980">
        <f>IF($B980="","",COUNTIFS($A$6:$A$1005,$A980,$B$6:$B$1005,"&lt;"&amp;$B980)+COUNTIFS($N$6:$N$2005,$A980,$P$6:$P$2005,"&lt;"&amp;$B980)+1)</f>
        <v/>
      </c>
      <c r="D980">
        <f>IF($C980="","",$A980&amp;"|"&amp;RIGHT("000000"&amp;$C980,6))</f>
        <v/>
      </c>
      <c r="E980">
        <f>IF(Entry!$B983="","",IF(ISNUMBER(Entry!$B983),IF(AND(Entry!$B983&gt;=10000101,Entry!$B983&lt;=99991231),INT(Entry!$B983/10000)&amp;"/"&amp;RIGHT("00"&amp;INT(MOD(Entry!$B983,10000)/100),2)&amp;"/"&amp;RIGHT("00"&amp;MOD(Entry!$B983,100),2),"نامعتبر"),IF(LEN(Entry!$B983)=10,Entry!$B983,"نامعتبر")))</f>
        <v/>
      </c>
      <c r="F980">
        <f>IF(Entry!$B983="","",IF(Entry!$C983="","0000",IF(AND(ISNUMBER(Entry!$C983),Entry!$C983&gt;=0,Entry!$C983&lt;1),RIGHT("00"&amp;HOUR(Entry!$C983),2)&amp;RIGHT("00"&amp;MINUTE(Entry!$C983),2),IFERROR(RIGHT("00"&amp;VALUE(LEFT(Entry!$C983,FIND(":",Entry!$C983)-1)),2)&amp;RIGHT("00"&amp;VALUE(MID(Entry!$C983,FIND(":",Entry!$C983)+1,2)),2),"0000"))))</f>
        <v/>
      </c>
      <c r="G980">
        <f>IF($A980="","",Entry!$G983)</f>
        <v/>
      </c>
      <c r="H980">
        <f>IF($A980="","",IF(Entry!$H983="",0,Entry!$H983))</f>
        <v/>
      </c>
      <c r="I980">
        <f>IF($A980="","",IF(Entry!$I983="",0,Entry!$I983))</f>
        <v/>
      </c>
      <c r="J980">
        <f>IF($A980="","",ROUND($H980*$I980,0))</f>
        <v/>
      </c>
      <c r="K980">
        <f>IF($A980="","",Entry!$D983)</f>
        <v/>
      </c>
      <c r="L980">
        <f>IF($A980="","",Entry!$L983)</f>
        <v/>
      </c>
      <c r="N980">
        <f>IF(OR(Sync!$M980="",$Q980="",$Q980="نامعتبر"),"",Sync!$M980)</f>
        <v/>
      </c>
      <c r="O980">
        <f>IF($N980="","",$Q980)</f>
        <v/>
      </c>
      <c r="P980">
        <f>IF($N980="","",LEFT($Q980,4)&amp;MID($Q980,6,2)&amp;RIGHT($Q980,2)&amp;IF(Sync!$K980="","0000",IF(AND(ISNUMBER(Sync!$K980),Sync!$K980&gt;=0,Sync!$K980&lt;1),RIGHT("00"&amp;HOUR(Sync!$K980),2)&amp;RIGHT("00"&amp;MINUTE(Sync!$K980),2),IFERROR(RIGHT("00"&amp;VALUE(LEFT(Sync!$K980,FIND(":",Sync!$K980)-1)),2)&amp;RIGHT("00"&amp;VALUE(MID(Sync!$K980,FIND(":",Sync!$K980)+1,2)),2),"0000")))&amp;"|"&amp;"2"&amp;RIGHT("00000"&amp;975,5))</f>
        <v/>
      </c>
      <c r="Q980">
        <f>IF(Sync!$J980="","",IF(ISNUMBER(Sync!$J980),IF(AND(Sync!$J980&gt;=10000101,Sync!$J980&lt;=99991231),INT(Sync!$J980/10000)&amp;"/"&amp;RIGHT("00"&amp;INT(MOD(Sync!$J980,10000)/100),2)&amp;"/"&amp;RIGHT("00"&amp;MOD(Sync!$J980,100),2),"نامعتبر"),IF(LEN(Sync!$J980)=10,Sync!$J980,"نامعتبر")))</f>
        <v/>
      </c>
      <c r="R980">
        <f>IF($P980="","",COUNTIFS($N$6:$N$2005,$N980,$P$6:$P$2005,"&lt;"&amp;$P980)+COUNTIFS($A$6:$A$1005,$N980,$B$6:$B$1005,"&lt;"&amp;$P980)+1)</f>
        <v/>
      </c>
      <c r="S980">
        <f>IF($N980="","",$N980&amp;"|"&amp;RIGHT("000000"&amp;$R980,6))</f>
        <v/>
      </c>
      <c r="T980">
        <f>IF($N980="","",IF(Sync!$N980="",0,Sync!$N980))</f>
        <v/>
      </c>
      <c r="U980">
        <f>IF($N980="","",IF(Sync!$O980="",0,Sync!$O980))</f>
        <v/>
      </c>
      <c r="V980">
        <f>IF($N980="","",Sync!$L980)</f>
        <v/>
      </c>
      <c r="W980">
        <f>IF($N980="","",Sync!$P980)</f>
        <v/>
      </c>
      <c r="AA980">
        <f>IF($A980="","",IF(COUNTIF($A$6:$A980,$A980)=1,1,0))</f>
        <v/>
      </c>
      <c r="AB980">
        <f>SUM($AA$6:$AA980)</f>
        <v/>
      </c>
      <c r="AC980">
        <f>IFERROR(INDEX($A$6:$A$1005,MATCH(ROW()-5,$AB$6:$AB$1005,0)),"")</f>
        <v/>
      </c>
    </row>
    <row r="981">
      <c r="A981">
        <f>IF(OR(Entry!$B984="",Entry!$E984="",$E981="نامعتبر"),"",Entry!$E984)</f>
        <v/>
      </c>
      <c r="B981">
        <f>IF($A981="","",LEFT($E981,4)&amp;MID($E981,6,2)&amp;RIGHT($E981,2)&amp;$F981&amp;"|"&amp;"1"&amp;RIGHT("00000"&amp;976,5))</f>
        <v/>
      </c>
      <c r="C981">
        <f>IF($B981="","",COUNTIFS($A$6:$A$1005,$A981,$B$6:$B$1005,"&lt;"&amp;$B981)+COUNTIFS($N$6:$N$2005,$A981,$P$6:$P$2005,"&lt;"&amp;$B981)+1)</f>
        <v/>
      </c>
      <c r="D981">
        <f>IF($C981="","",$A981&amp;"|"&amp;RIGHT("000000"&amp;$C981,6))</f>
        <v/>
      </c>
      <c r="E981">
        <f>IF(Entry!$B984="","",IF(ISNUMBER(Entry!$B984),IF(AND(Entry!$B984&gt;=10000101,Entry!$B984&lt;=99991231),INT(Entry!$B984/10000)&amp;"/"&amp;RIGHT("00"&amp;INT(MOD(Entry!$B984,10000)/100),2)&amp;"/"&amp;RIGHT("00"&amp;MOD(Entry!$B984,100),2),"نامعتبر"),IF(LEN(Entry!$B984)=10,Entry!$B984,"نامعتبر")))</f>
        <v/>
      </c>
      <c r="F981">
        <f>IF(Entry!$B984="","",IF(Entry!$C984="","0000",IF(AND(ISNUMBER(Entry!$C984),Entry!$C984&gt;=0,Entry!$C984&lt;1),RIGHT("00"&amp;HOUR(Entry!$C984),2)&amp;RIGHT("00"&amp;MINUTE(Entry!$C984),2),IFERROR(RIGHT("00"&amp;VALUE(LEFT(Entry!$C984,FIND(":",Entry!$C984)-1)),2)&amp;RIGHT("00"&amp;VALUE(MID(Entry!$C984,FIND(":",Entry!$C984)+1,2)),2),"0000"))))</f>
        <v/>
      </c>
      <c r="G981">
        <f>IF($A981="","",Entry!$G984)</f>
        <v/>
      </c>
      <c r="H981">
        <f>IF($A981="","",IF(Entry!$H984="",0,Entry!$H984))</f>
        <v/>
      </c>
      <c r="I981">
        <f>IF($A981="","",IF(Entry!$I984="",0,Entry!$I984))</f>
        <v/>
      </c>
      <c r="J981">
        <f>IF($A981="","",ROUND($H981*$I981,0))</f>
        <v/>
      </c>
      <c r="K981">
        <f>IF($A981="","",Entry!$D984)</f>
        <v/>
      </c>
      <c r="L981">
        <f>IF($A981="","",Entry!$L984)</f>
        <v/>
      </c>
      <c r="N981">
        <f>IF(OR(Sync!$M981="",$Q981="",$Q981="نامعتبر"),"",Sync!$M981)</f>
        <v/>
      </c>
      <c r="O981">
        <f>IF($N981="","",$Q981)</f>
        <v/>
      </c>
      <c r="P981">
        <f>IF($N981="","",LEFT($Q981,4)&amp;MID($Q981,6,2)&amp;RIGHT($Q981,2)&amp;IF(Sync!$K981="","0000",IF(AND(ISNUMBER(Sync!$K981),Sync!$K981&gt;=0,Sync!$K981&lt;1),RIGHT("00"&amp;HOUR(Sync!$K981),2)&amp;RIGHT("00"&amp;MINUTE(Sync!$K981),2),IFERROR(RIGHT("00"&amp;VALUE(LEFT(Sync!$K981,FIND(":",Sync!$K981)-1)),2)&amp;RIGHT("00"&amp;VALUE(MID(Sync!$K981,FIND(":",Sync!$K981)+1,2)),2),"0000")))&amp;"|"&amp;"2"&amp;RIGHT("00000"&amp;976,5))</f>
        <v/>
      </c>
      <c r="Q981">
        <f>IF(Sync!$J981="","",IF(ISNUMBER(Sync!$J981),IF(AND(Sync!$J981&gt;=10000101,Sync!$J981&lt;=99991231),INT(Sync!$J981/10000)&amp;"/"&amp;RIGHT("00"&amp;INT(MOD(Sync!$J981,10000)/100),2)&amp;"/"&amp;RIGHT("00"&amp;MOD(Sync!$J981,100),2),"نامعتبر"),IF(LEN(Sync!$J981)=10,Sync!$J981,"نامعتبر")))</f>
        <v/>
      </c>
      <c r="R981">
        <f>IF($P981="","",COUNTIFS($N$6:$N$2005,$N981,$P$6:$P$2005,"&lt;"&amp;$P981)+COUNTIFS($A$6:$A$1005,$N981,$B$6:$B$1005,"&lt;"&amp;$P981)+1)</f>
        <v/>
      </c>
      <c r="S981">
        <f>IF($N981="","",$N981&amp;"|"&amp;RIGHT("000000"&amp;$R981,6))</f>
        <v/>
      </c>
      <c r="T981">
        <f>IF($N981="","",IF(Sync!$N981="",0,Sync!$N981))</f>
        <v/>
      </c>
      <c r="U981">
        <f>IF($N981="","",IF(Sync!$O981="",0,Sync!$O981))</f>
        <v/>
      </c>
      <c r="V981">
        <f>IF($N981="","",Sync!$L981)</f>
        <v/>
      </c>
      <c r="W981">
        <f>IF($N981="","",Sync!$P981)</f>
        <v/>
      </c>
      <c r="AA981">
        <f>IF($A981="","",IF(COUNTIF($A$6:$A981,$A981)=1,1,0))</f>
        <v/>
      </c>
      <c r="AB981">
        <f>SUM($AA$6:$AA981)</f>
        <v/>
      </c>
      <c r="AC981">
        <f>IFERROR(INDEX($A$6:$A$1005,MATCH(ROW()-5,$AB$6:$AB$1005,0)),"")</f>
        <v/>
      </c>
    </row>
    <row r="982">
      <c r="A982">
        <f>IF(OR(Entry!$B985="",Entry!$E985="",$E982="نامعتبر"),"",Entry!$E985)</f>
        <v/>
      </c>
      <c r="B982">
        <f>IF($A982="","",LEFT($E982,4)&amp;MID($E982,6,2)&amp;RIGHT($E982,2)&amp;$F982&amp;"|"&amp;"1"&amp;RIGHT("00000"&amp;977,5))</f>
        <v/>
      </c>
      <c r="C982">
        <f>IF($B982="","",COUNTIFS($A$6:$A$1005,$A982,$B$6:$B$1005,"&lt;"&amp;$B982)+COUNTIFS($N$6:$N$2005,$A982,$P$6:$P$2005,"&lt;"&amp;$B982)+1)</f>
        <v/>
      </c>
      <c r="D982">
        <f>IF($C982="","",$A982&amp;"|"&amp;RIGHT("000000"&amp;$C982,6))</f>
        <v/>
      </c>
      <c r="E982">
        <f>IF(Entry!$B985="","",IF(ISNUMBER(Entry!$B985),IF(AND(Entry!$B985&gt;=10000101,Entry!$B985&lt;=99991231),INT(Entry!$B985/10000)&amp;"/"&amp;RIGHT("00"&amp;INT(MOD(Entry!$B985,10000)/100),2)&amp;"/"&amp;RIGHT("00"&amp;MOD(Entry!$B985,100),2),"نامعتبر"),IF(LEN(Entry!$B985)=10,Entry!$B985,"نامعتبر")))</f>
        <v/>
      </c>
      <c r="F982">
        <f>IF(Entry!$B985="","",IF(Entry!$C985="","0000",IF(AND(ISNUMBER(Entry!$C985),Entry!$C985&gt;=0,Entry!$C985&lt;1),RIGHT("00"&amp;HOUR(Entry!$C985),2)&amp;RIGHT("00"&amp;MINUTE(Entry!$C985),2),IFERROR(RIGHT("00"&amp;VALUE(LEFT(Entry!$C985,FIND(":",Entry!$C985)-1)),2)&amp;RIGHT("00"&amp;VALUE(MID(Entry!$C985,FIND(":",Entry!$C985)+1,2)),2),"0000"))))</f>
        <v/>
      </c>
      <c r="G982">
        <f>IF($A982="","",Entry!$G985)</f>
        <v/>
      </c>
      <c r="H982">
        <f>IF($A982="","",IF(Entry!$H985="",0,Entry!$H985))</f>
        <v/>
      </c>
      <c r="I982">
        <f>IF($A982="","",IF(Entry!$I985="",0,Entry!$I985))</f>
        <v/>
      </c>
      <c r="J982">
        <f>IF($A982="","",ROUND($H982*$I982,0))</f>
        <v/>
      </c>
      <c r="K982">
        <f>IF($A982="","",Entry!$D985)</f>
        <v/>
      </c>
      <c r="L982">
        <f>IF($A982="","",Entry!$L985)</f>
        <v/>
      </c>
      <c r="N982">
        <f>IF(OR(Sync!$M982="",$Q982="",$Q982="نامعتبر"),"",Sync!$M982)</f>
        <v/>
      </c>
      <c r="O982">
        <f>IF($N982="","",$Q982)</f>
        <v/>
      </c>
      <c r="P982">
        <f>IF($N982="","",LEFT($Q982,4)&amp;MID($Q982,6,2)&amp;RIGHT($Q982,2)&amp;IF(Sync!$K982="","0000",IF(AND(ISNUMBER(Sync!$K982),Sync!$K982&gt;=0,Sync!$K982&lt;1),RIGHT("00"&amp;HOUR(Sync!$K982),2)&amp;RIGHT("00"&amp;MINUTE(Sync!$K982),2),IFERROR(RIGHT("00"&amp;VALUE(LEFT(Sync!$K982,FIND(":",Sync!$K982)-1)),2)&amp;RIGHT("00"&amp;VALUE(MID(Sync!$K982,FIND(":",Sync!$K982)+1,2)),2),"0000")))&amp;"|"&amp;"2"&amp;RIGHT("00000"&amp;977,5))</f>
        <v/>
      </c>
      <c r="Q982">
        <f>IF(Sync!$J982="","",IF(ISNUMBER(Sync!$J982),IF(AND(Sync!$J982&gt;=10000101,Sync!$J982&lt;=99991231),INT(Sync!$J982/10000)&amp;"/"&amp;RIGHT("00"&amp;INT(MOD(Sync!$J982,10000)/100),2)&amp;"/"&amp;RIGHT("00"&amp;MOD(Sync!$J982,100),2),"نامعتبر"),IF(LEN(Sync!$J982)=10,Sync!$J982,"نامعتبر")))</f>
        <v/>
      </c>
      <c r="R982">
        <f>IF($P982="","",COUNTIFS($N$6:$N$2005,$N982,$P$6:$P$2005,"&lt;"&amp;$P982)+COUNTIFS($A$6:$A$1005,$N982,$B$6:$B$1005,"&lt;"&amp;$P982)+1)</f>
        <v/>
      </c>
      <c r="S982">
        <f>IF($N982="","",$N982&amp;"|"&amp;RIGHT("000000"&amp;$R982,6))</f>
        <v/>
      </c>
      <c r="T982">
        <f>IF($N982="","",IF(Sync!$N982="",0,Sync!$N982))</f>
        <v/>
      </c>
      <c r="U982">
        <f>IF($N982="","",IF(Sync!$O982="",0,Sync!$O982))</f>
        <v/>
      </c>
      <c r="V982">
        <f>IF($N982="","",Sync!$L982)</f>
        <v/>
      </c>
      <c r="W982">
        <f>IF($N982="","",Sync!$P982)</f>
        <v/>
      </c>
      <c r="AA982">
        <f>IF($A982="","",IF(COUNTIF($A$6:$A982,$A982)=1,1,0))</f>
        <v/>
      </c>
      <c r="AB982">
        <f>SUM($AA$6:$AA982)</f>
        <v/>
      </c>
      <c r="AC982">
        <f>IFERROR(INDEX($A$6:$A$1005,MATCH(ROW()-5,$AB$6:$AB$1005,0)),"")</f>
        <v/>
      </c>
    </row>
    <row r="983">
      <c r="A983">
        <f>IF(OR(Entry!$B986="",Entry!$E986="",$E983="نامعتبر"),"",Entry!$E986)</f>
        <v/>
      </c>
      <c r="B983">
        <f>IF($A983="","",LEFT($E983,4)&amp;MID($E983,6,2)&amp;RIGHT($E983,2)&amp;$F983&amp;"|"&amp;"1"&amp;RIGHT("00000"&amp;978,5))</f>
        <v/>
      </c>
      <c r="C983">
        <f>IF($B983="","",COUNTIFS($A$6:$A$1005,$A983,$B$6:$B$1005,"&lt;"&amp;$B983)+COUNTIFS($N$6:$N$2005,$A983,$P$6:$P$2005,"&lt;"&amp;$B983)+1)</f>
        <v/>
      </c>
      <c r="D983">
        <f>IF($C983="","",$A983&amp;"|"&amp;RIGHT("000000"&amp;$C983,6))</f>
        <v/>
      </c>
      <c r="E983">
        <f>IF(Entry!$B986="","",IF(ISNUMBER(Entry!$B986),IF(AND(Entry!$B986&gt;=10000101,Entry!$B986&lt;=99991231),INT(Entry!$B986/10000)&amp;"/"&amp;RIGHT("00"&amp;INT(MOD(Entry!$B986,10000)/100),2)&amp;"/"&amp;RIGHT("00"&amp;MOD(Entry!$B986,100),2),"نامعتبر"),IF(LEN(Entry!$B986)=10,Entry!$B986,"نامعتبر")))</f>
        <v/>
      </c>
      <c r="F983">
        <f>IF(Entry!$B986="","",IF(Entry!$C986="","0000",IF(AND(ISNUMBER(Entry!$C986),Entry!$C986&gt;=0,Entry!$C986&lt;1),RIGHT("00"&amp;HOUR(Entry!$C986),2)&amp;RIGHT("00"&amp;MINUTE(Entry!$C986),2),IFERROR(RIGHT("00"&amp;VALUE(LEFT(Entry!$C986,FIND(":",Entry!$C986)-1)),2)&amp;RIGHT("00"&amp;VALUE(MID(Entry!$C986,FIND(":",Entry!$C986)+1,2)),2),"0000"))))</f>
        <v/>
      </c>
      <c r="G983">
        <f>IF($A983="","",Entry!$G986)</f>
        <v/>
      </c>
      <c r="H983">
        <f>IF($A983="","",IF(Entry!$H986="",0,Entry!$H986))</f>
        <v/>
      </c>
      <c r="I983">
        <f>IF($A983="","",IF(Entry!$I986="",0,Entry!$I986))</f>
        <v/>
      </c>
      <c r="J983">
        <f>IF($A983="","",ROUND($H983*$I983,0))</f>
        <v/>
      </c>
      <c r="K983">
        <f>IF($A983="","",Entry!$D986)</f>
        <v/>
      </c>
      <c r="L983">
        <f>IF($A983="","",Entry!$L986)</f>
        <v/>
      </c>
      <c r="N983">
        <f>IF(OR(Sync!$M983="",$Q983="",$Q983="نامعتبر"),"",Sync!$M983)</f>
        <v/>
      </c>
      <c r="O983">
        <f>IF($N983="","",$Q983)</f>
        <v/>
      </c>
      <c r="P983">
        <f>IF($N983="","",LEFT($Q983,4)&amp;MID($Q983,6,2)&amp;RIGHT($Q983,2)&amp;IF(Sync!$K983="","0000",IF(AND(ISNUMBER(Sync!$K983),Sync!$K983&gt;=0,Sync!$K983&lt;1),RIGHT("00"&amp;HOUR(Sync!$K983),2)&amp;RIGHT("00"&amp;MINUTE(Sync!$K983),2),IFERROR(RIGHT("00"&amp;VALUE(LEFT(Sync!$K983,FIND(":",Sync!$K983)-1)),2)&amp;RIGHT("00"&amp;VALUE(MID(Sync!$K983,FIND(":",Sync!$K983)+1,2)),2),"0000")))&amp;"|"&amp;"2"&amp;RIGHT("00000"&amp;978,5))</f>
        <v/>
      </c>
      <c r="Q983">
        <f>IF(Sync!$J983="","",IF(ISNUMBER(Sync!$J983),IF(AND(Sync!$J983&gt;=10000101,Sync!$J983&lt;=99991231),INT(Sync!$J983/10000)&amp;"/"&amp;RIGHT("00"&amp;INT(MOD(Sync!$J983,10000)/100),2)&amp;"/"&amp;RIGHT("00"&amp;MOD(Sync!$J983,100),2),"نامعتبر"),IF(LEN(Sync!$J983)=10,Sync!$J983,"نامعتبر")))</f>
        <v/>
      </c>
      <c r="R983">
        <f>IF($P983="","",COUNTIFS($N$6:$N$2005,$N983,$P$6:$P$2005,"&lt;"&amp;$P983)+COUNTIFS($A$6:$A$1005,$N983,$B$6:$B$1005,"&lt;"&amp;$P983)+1)</f>
        <v/>
      </c>
      <c r="S983">
        <f>IF($N983="","",$N983&amp;"|"&amp;RIGHT("000000"&amp;$R983,6))</f>
        <v/>
      </c>
      <c r="T983">
        <f>IF($N983="","",IF(Sync!$N983="",0,Sync!$N983))</f>
        <v/>
      </c>
      <c r="U983">
        <f>IF($N983="","",IF(Sync!$O983="",0,Sync!$O983))</f>
        <v/>
      </c>
      <c r="V983">
        <f>IF($N983="","",Sync!$L983)</f>
        <v/>
      </c>
      <c r="W983">
        <f>IF($N983="","",Sync!$P983)</f>
        <v/>
      </c>
      <c r="AA983">
        <f>IF($A983="","",IF(COUNTIF($A$6:$A983,$A983)=1,1,0))</f>
        <v/>
      </c>
      <c r="AB983">
        <f>SUM($AA$6:$AA983)</f>
        <v/>
      </c>
      <c r="AC983">
        <f>IFERROR(INDEX($A$6:$A$1005,MATCH(ROW()-5,$AB$6:$AB$1005,0)),"")</f>
        <v/>
      </c>
    </row>
    <row r="984">
      <c r="A984">
        <f>IF(OR(Entry!$B987="",Entry!$E987="",$E984="نامعتبر"),"",Entry!$E987)</f>
        <v/>
      </c>
      <c r="B984">
        <f>IF($A984="","",LEFT($E984,4)&amp;MID($E984,6,2)&amp;RIGHT($E984,2)&amp;$F984&amp;"|"&amp;"1"&amp;RIGHT("00000"&amp;979,5))</f>
        <v/>
      </c>
      <c r="C984">
        <f>IF($B984="","",COUNTIFS($A$6:$A$1005,$A984,$B$6:$B$1005,"&lt;"&amp;$B984)+COUNTIFS($N$6:$N$2005,$A984,$P$6:$P$2005,"&lt;"&amp;$B984)+1)</f>
        <v/>
      </c>
      <c r="D984">
        <f>IF($C984="","",$A984&amp;"|"&amp;RIGHT("000000"&amp;$C984,6))</f>
        <v/>
      </c>
      <c r="E984">
        <f>IF(Entry!$B987="","",IF(ISNUMBER(Entry!$B987),IF(AND(Entry!$B987&gt;=10000101,Entry!$B987&lt;=99991231),INT(Entry!$B987/10000)&amp;"/"&amp;RIGHT("00"&amp;INT(MOD(Entry!$B987,10000)/100),2)&amp;"/"&amp;RIGHT("00"&amp;MOD(Entry!$B987,100),2),"نامعتبر"),IF(LEN(Entry!$B987)=10,Entry!$B987,"نامعتبر")))</f>
        <v/>
      </c>
      <c r="F984">
        <f>IF(Entry!$B987="","",IF(Entry!$C987="","0000",IF(AND(ISNUMBER(Entry!$C987),Entry!$C987&gt;=0,Entry!$C987&lt;1),RIGHT("00"&amp;HOUR(Entry!$C987),2)&amp;RIGHT("00"&amp;MINUTE(Entry!$C987),2),IFERROR(RIGHT("00"&amp;VALUE(LEFT(Entry!$C987,FIND(":",Entry!$C987)-1)),2)&amp;RIGHT("00"&amp;VALUE(MID(Entry!$C987,FIND(":",Entry!$C987)+1,2)),2),"0000"))))</f>
        <v/>
      </c>
      <c r="G984">
        <f>IF($A984="","",Entry!$G987)</f>
        <v/>
      </c>
      <c r="H984">
        <f>IF($A984="","",IF(Entry!$H987="",0,Entry!$H987))</f>
        <v/>
      </c>
      <c r="I984">
        <f>IF($A984="","",IF(Entry!$I987="",0,Entry!$I987))</f>
        <v/>
      </c>
      <c r="J984">
        <f>IF($A984="","",ROUND($H984*$I984,0))</f>
        <v/>
      </c>
      <c r="K984">
        <f>IF($A984="","",Entry!$D987)</f>
        <v/>
      </c>
      <c r="L984">
        <f>IF($A984="","",Entry!$L987)</f>
        <v/>
      </c>
      <c r="N984">
        <f>IF(OR(Sync!$M984="",$Q984="",$Q984="نامعتبر"),"",Sync!$M984)</f>
        <v/>
      </c>
      <c r="O984">
        <f>IF($N984="","",$Q984)</f>
        <v/>
      </c>
      <c r="P984">
        <f>IF($N984="","",LEFT($Q984,4)&amp;MID($Q984,6,2)&amp;RIGHT($Q984,2)&amp;IF(Sync!$K984="","0000",IF(AND(ISNUMBER(Sync!$K984),Sync!$K984&gt;=0,Sync!$K984&lt;1),RIGHT("00"&amp;HOUR(Sync!$K984),2)&amp;RIGHT("00"&amp;MINUTE(Sync!$K984),2),IFERROR(RIGHT("00"&amp;VALUE(LEFT(Sync!$K984,FIND(":",Sync!$K984)-1)),2)&amp;RIGHT("00"&amp;VALUE(MID(Sync!$K984,FIND(":",Sync!$K984)+1,2)),2),"0000")))&amp;"|"&amp;"2"&amp;RIGHT("00000"&amp;979,5))</f>
        <v/>
      </c>
      <c r="Q984">
        <f>IF(Sync!$J984="","",IF(ISNUMBER(Sync!$J984),IF(AND(Sync!$J984&gt;=10000101,Sync!$J984&lt;=99991231),INT(Sync!$J984/10000)&amp;"/"&amp;RIGHT("00"&amp;INT(MOD(Sync!$J984,10000)/100),2)&amp;"/"&amp;RIGHT("00"&amp;MOD(Sync!$J984,100),2),"نامعتبر"),IF(LEN(Sync!$J984)=10,Sync!$J984,"نامعتبر")))</f>
        <v/>
      </c>
      <c r="R984">
        <f>IF($P984="","",COUNTIFS($N$6:$N$2005,$N984,$P$6:$P$2005,"&lt;"&amp;$P984)+COUNTIFS($A$6:$A$1005,$N984,$B$6:$B$1005,"&lt;"&amp;$P984)+1)</f>
        <v/>
      </c>
      <c r="S984">
        <f>IF($N984="","",$N984&amp;"|"&amp;RIGHT("000000"&amp;$R984,6))</f>
        <v/>
      </c>
      <c r="T984">
        <f>IF($N984="","",IF(Sync!$N984="",0,Sync!$N984))</f>
        <v/>
      </c>
      <c r="U984">
        <f>IF($N984="","",IF(Sync!$O984="",0,Sync!$O984))</f>
        <v/>
      </c>
      <c r="V984">
        <f>IF($N984="","",Sync!$L984)</f>
        <v/>
      </c>
      <c r="W984">
        <f>IF($N984="","",Sync!$P984)</f>
        <v/>
      </c>
      <c r="AA984">
        <f>IF($A984="","",IF(COUNTIF($A$6:$A984,$A984)=1,1,0))</f>
        <v/>
      </c>
      <c r="AB984">
        <f>SUM($AA$6:$AA984)</f>
        <v/>
      </c>
      <c r="AC984">
        <f>IFERROR(INDEX($A$6:$A$1005,MATCH(ROW()-5,$AB$6:$AB$1005,0)),"")</f>
        <v/>
      </c>
    </row>
    <row r="985">
      <c r="A985">
        <f>IF(OR(Entry!$B988="",Entry!$E988="",$E985="نامعتبر"),"",Entry!$E988)</f>
        <v/>
      </c>
      <c r="B985">
        <f>IF($A985="","",LEFT($E985,4)&amp;MID($E985,6,2)&amp;RIGHT($E985,2)&amp;$F985&amp;"|"&amp;"1"&amp;RIGHT("00000"&amp;980,5))</f>
        <v/>
      </c>
      <c r="C985">
        <f>IF($B985="","",COUNTIFS($A$6:$A$1005,$A985,$B$6:$B$1005,"&lt;"&amp;$B985)+COUNTIFS($N$6:$N$2005,$A985,$P$6:$P$2005,"&lt;"&amp;$B985)+1)</f>
        <v/>
      </c>
      <c r="D985">
        <f>IF($C985="","",$A985&amp;"|"&amp;RIGHT("000000"&amp;$C985,6))</f>
        <v/>
      </c>
      <c r="E985">
        <f>IF(Entry!$B988="","",IF(ISNUMBER(Entry!$B988),IF(AND(Entry!$B988&gt;=10000101,Entry!$B988&lt;=99991231),INT(Entry!$B988/10000)&amp;"/"&amp;RIGHT("00"&amp;INT(MOD(Entry!$B988,10000)/100),2)&amp;"/"&amp;RIGHT("00"&amp;MOD(Entry!$B988,100),2),"نامعتبر"),IF(LEN(Entry!$B988)=10,Entry!$B988,"نامعتبر")))</f>
        <v/>
      </c>
      <c r="F985">
        <f>IF(Entry!$B988="","",IF(Entry!$C988="","0000",IF(AND(ISNUMBER(Entry!$C988),Entry!$C988&gt;=0,Entry!$C988&lt;1),RIGHT("00"&amp;HOUR(Entry!$C988),2)&amp;RIGHT("00"&amp;MINUTE(Entry!$C988),2),IFERROR(RIGHT("00"&amp;VALUE(LEFT(Entry!$C988,FIND(":",Entry!$C988)-1)),2)&amp;RIGHT("00"&amp;VALUE(MID(Entry!$C988,FIND(":",Entry!$C988)+1,2)),2),"0000"))))</f>
        <v/>
      </c>
      <c r="G985">
        <f>IF($A985="","",Entry!$G988)</f>
        <v/>
      </c>
      <c r="H985">
        <f>IF($A985="","",IF(Entry!$H988="",0,Entry!$H988))</f>
        <v/>
      </c>
      <c r="I985">
        <f>IF($A985="","",IF(Entry!$I988="",0,Entry!$I988))</f>
        <v/>
      </c>
      <c r="J985">
        <f>IF($A985="","",ROUND($H985*$I985,0))</f>
        <v/>
      </c>
      <c r="K985">
        <f>IF($A985="","",Entry!$D988)</f>
        <v/>
      </c>
      <c r="L985">
        <f>IF($A985="","",Entry!$L988)</f>
        <v/>
      </c>
      <c r="N985">
        <f>IF(OR(Sync!$M985="",$Q985="",$Q985="نامعتبر"),"",Sync!$M985)</f>
        <v/>
      </c>
      <c r="O985">
        <f>IF($N985="","",$Q985)</f>
        <v/>
      </c>
      <c r="P985">
        <f>IF($N985="","",LEFT($Q985,4)&amp;MID($Q985,6,2)&amp;RIGHT($Q985,2)&amp;IF(Sync!$K985="","0000",IF(AND(ISNUMBER(Sync!$K985),Sync!$K985&gt;=0,Sync!$K985&lt;1),RIGHT("00"&amp;HOUR(Sync!$K985),2)&amp;RIGHT("00"&amp;MINUTE(Sync!$K985),2),IFERROR(RIGHT("00"&amp;VALUE(LEFT(Sync!$K985,FIND(":",Sync!$K985)-1)),2)&amp;RIGHT("00"&amp;VALUE(MID(Sync!$K985,FIND(":",Sync!$K985)+1,2)),2),"0000")))&amp;"|"&amp;"2"&amp;RIGHT("00000"&amp;980,5))</f>
        <v/>
      </c>
      <c r="Q985">
        <f>IF(Sync!$J985="","",IF(ISNUMBER(Sync!$J985),IF(AND(Sync!$J985&gt;=10000101,Sync!$J985&lt;=99991231),INT(Sync!$J985/10000)&amp;"/"&amp;RIGHT("00"&amp;INT(MOD(Sync!$J985,10000)/100),2)&amp;"/"&amp;RIGHT("00"&amp;MOD(Sync!$J985,100),2),"نامعتبر"),IF(LEN(Sync!$J985)=10,Sync!$J985,"نامعتبر")))</f>
        <v/>
      </c>
      <c r="R985">
        <f>IF($P985="","",COUNTIFS($N$6:$N$2005,$N985,$P$6:$P$2005,"&lt;"&amp;$P985)+COUNTIFS($A$6:$A$1005,$N985,$B$6:$B$1005,"&lt;"&amp;$P985)+1)</f>
        <v/>
      </c>
      <c r="S985">
        <f>IF($N985="","",$N985&amp;"|"&amp;RIGHT("000000"&amp;$R985,6))</f>
        <v/>
      </c>
      <c r="T985">
        <f>IF($N985="","",IF(Sync!$N985="",0,Sync!$N985))</f>
        <v/>
      </c>
      <c r="U985">
        <f>IF($N985="","",IF(Sync!$O985="",0,Sync!$O985))</f>
        <v/>
      </c>
      <c r="V985">
        <f>IF($N985="","",Sync!$L985)</f>
        <v/>
      </c>
      <c r="W985">
        <f>IF($N985="","",Sync!$P985)</f>
        <v/>
      </c>
      <c r="AA985">
        <f>IF($A985="","",IF(COUNTIF($A$6:$A985,$A985)=1,1,0))</f>
        <v/>
      </c>
      <c r="AB985">
        <f>SUM($AA$6:$AA985)</f>
        <v/>
      </c>
      <c r="AC985">
        <f>IFERROR(INDEX($A$6:$A$1005,MATCH(ROW()-5,$AB$6:$AB$1005,0)),"")</f>
        <v/>
      </c>
    </row>
    <row r="986">
      <c r="A986">
        <f>IF(OR(Entry!$B989="",Entry!$E989="",$E986="نامعتبر"),"",Entry!$E989)</f>
        <v/>
      </c>
      <c r="B986">
        <f>IF($A986="","",LEFT($E986,4)&amp;MID($E986,6,2)&amp;RIGHT($E986,2)&amp;$F986&amp;"|"&amp;"1"&amp;RIGHT("00000"&amp;981,5))</f>
        <v/>
      </c>
      <c r="C986">
        <f>IF($B986="","",COUNTIFS($A$6:$A$1005,$A986,$B$6:$B$1005,"&lt;"&amp;$B986)+COUNTIFS($N$6:$N$2005,$A986,$P$6:$P$2005,"&lt;"&amp;$B986)+1)</f>
        <v/>
      </c>
      <c r="D986">
        <f>IF($C986="","",$A986&amp;"|"&amp;RIGHT("000000"&amp;$C986,6))</f>
        <v/>
      </c>
      <c r="E986">
        <f>IF(Entry!$B989="","",IF(ISNUMBER(Entry!$B989),IF(AND(Entry!$B989&gt;=10000101,Entry!$B989&lt;=99991231),INT(Entry!$B989/10000)&amp;"/"&amp;RIGHT("00"&amp;INT(MOD(Entry!$B989,10000)/100),2)&amp;"/"&amp;RIGHT("00"&amp;MOD(Entry!$B989,100),2),"نامعتبر"),IF(LEN(Entry!$B989)=10,Entry!$B989,"نامعتبر")))</f>
        <v/>
      </c>
      <c r="F986">
        <f>IF(Entry!$B989="","",IF(Entry!$C989="","0000",IF(AND(ISNUMBER(Entry!$C989),Entry!$C989&gt;=0,Entry!$C989&lt;1),RIGHT("00"&amp;HOUR(Entry!$C989),2)&amp;RIGHT("00"&amp;MINUTE(Entry!$C989),2),IFERROR(RIGHT("00"&amp;VALUE(LEFT(Entry!$C989,FIND(":",Entry!$C989)-1)),2)&amp;RIGHT("00"&amp;VALUE(MID(Entry!$C989,FIND(":",Entry!$C989)+1,2)),2),"0000"))))</f>
        <v/>
      </c>
      <c r="G986">
        <f>IF($A986="","",Entry!$G989)</f>
        <v/>
      </c>
      <c r="H986">
        <f>IF($A986="","",IF(Entry!$H989="",0,Entry!$H989))</f>
        <v/>
      </c>
      <c r="I986">
        <f>IF($A986="","",IF(Entry!$I989="",0,Entry!$I989))</f>
        <v/>
      </c>
      <c r="J986">
        <f>IF($A986="","",ROUND($H986*$I986,0))</f>
        <v/>
      </c>
      <c r="K986">
        <f>IF($A986="","",Entry!$D989)</f>
        <v/>
      </c>
      <c r="L986">
        <f>IF($A986="","",Entry!$L989)</f>
        <v/>
      </c>
      <c r="N986">
        <f>IF(OR(Sync!$M986="",$Q986="",$Q986="نامعتبر"),"",Sync!$M986)</f>
        <v/>
      </c>
      <c r="O986">
        <f>IF($N986="","",$Q986)</f>
        <v/>
      </c>
      <c r="P986">
        <f>IF($N986="","",LEFT($Q986,4)&amp;MID($Q986,6,2)&amp;RIGHT($Q986,2)&amp;IF(Sync!$K986="","0000",IF(AND(ISNUMBER(Sync!$K986),Sync!$K986&gt;=0,Sync!$K986&lt;1),RIGHT("00"&amp;HOUR(Sync!$K986),2)&amp;RIGHT("00"&amp;MINUTE(Sync!$K986),2),IFERROR(RIGHT("00"&amp;VALUE(LEFT(Sync!$K986,FIND(":",Sync!$K986)-1)),2)&amp;RIGHT("00"&amp;VALUE(MID(Sync!$K986,FIND(":",Sync!$K986)+1,2)),2),"0000")))&amp;"|"&amp;"2"&amp;RIGHT("00000"&amp;981,5))</f>
        <v/>
      </c>
      <c r="Q986">
        <f>IF(Sync!$J986="","",IF(ISNUMBER(Sync!$J986),IF(AND(Sync!$J986&gt;=10000101,Sync!$J986&lt;=99991231),INT(Sync!$J986/10000)&amp;"/"&amp;RIGHT("00"&amp;INT(MOD(Sync!$J986,10000)/100),2)&amp;"/"&amp;RIGHT("00"&amp;MOD(Sync!$J986,100),2),"نامعتبر"),IF(LEN(Sync!$J986)=10,Sync!$J986,"نامعتبر")))</f>
        <v/>
      </c>
      <c r="R986">
        <f>IF($P986="","",COUNTIFS($N$6:$N$2005,$N986,$P$6:$P$2005,"&lt;"&amp;$P986)+COUNTIFS($A$6:$A$1005,$N986,$B$6:$B$1005,"&lt;"&amp;$P986)+1)</f>
        <v/>
      </c>
      <c r="S986">
        <f>IF($N986="","",$N986&amp;"|"&amp;RIGHT("000000"&amp;$R986,6))</f>
        <v/>
      </c>
      <c r="T986">
        <f>IF($N986="","",IF(Sync!$N986="",0,Sync!$N986))</f>
        <v/>
      </c>
      <c r="U986">
        <f>IF($N986="","",IF(Sync!$O986="",0,Sync!$O986))</f>
        <v/>
      </c>
      <c r="V986">
        <f>IF($N986="","",Sync!$L986)</f>
        <v/>
      </c>
      <c r="W986">
        <f>IF($N986="","",Sync!$P986)</f>
        <v/>
      </c>
      <c r="AA986">
        <f>IF($A986="","",IF(COUNTIF($A$6:$A986,$A986)=1,1,0))</f>
        <v/>
      </c>
      <c r="AB986">
        <f>SUM($AA$6:$AA986)</f>
        <v/>
      </c>
      <c r="AC986">
        <f>IFERROR(INDEX($A$6:$A$1005,MATCH(ROW()-5,$AB$6:$AB$1005,0)),"")</f>
        <v/>
      </c>
    </row>
    <row r="987">
      <c r="A987">
        <f>IF(OR(Entry!$B990="",Entry!$E990="",$E987="نامعتبر"),"",Entry!$E990)</f>
        <v/>
      </c>
      <c r="B987">
        <f>IF($A987="","",LEFT($E987,4)&amp;MID($E987,6,2)&amp;RIGHT($E987,2)&amp;$F987&amp;"|"&amp;"1"&amp;RIGHT("00000"&amp;982,5))</f>
        <v/>
      </c>
      <c r="C987">
        <f>IF($B987="","",COUNTIFS($A$6:$A$1005,$A987,$B$6:$B$1005,"&lt;"&amp;$B987)+COUNTIFS($N$6:$N$2005,$A987,$P$6:$P$2005,"&lt;"&amp;$B987)+1)</f>
        <v/>
      </c>
      <c r="D987">
        <f>IF($C987="","",$A987&amp;"|"&amp;RIGHT("000000"&amp;$C987,6))</f>
        <v/>
      </c>
      <c r="E987">
        <f>IF(Entry!$B990="","",IF(ISNUMBER(Entry!$B990),IF(AND(Entry!$B990&gt;=10000101,Entry!$B990&lt;=99991231),INT(Entry!$B990/10000)&amp;"/"&amp;RIGHT("00"&amp;INT(MOD(Entry!$B990,10000)/100),2)&amp;"/"&amp;RIGHT("00"&amp;MOD(Entry!$B990,100),2),"نامعتبر"),IF(LEN(Entry!$B990)=10,Entry!$B990,"نامعتبر")))</f>
        <v/>
      </c>
      <c r="F987">
        <f>IF(Entry!$B990="","",IF(Entry!$C990="","0000",IF(AND(ISNUMBER(Entry!$C990),Entry!$C990&gt;=0,Entry!$C990&lt;1),RIGHT("00"&amp;HOUR(Entry!$C990),2)&amp;RIGHT("00"&amp;MINUTE(Entry!$C990),2),IFERROR(RIGHT("00"&amp;VALUE(LEFT(Entry!$C990,FIND(":",Entry!$C990)-1)),2)&amp;RIGHT("00"&amp;VALUE(MID(Entry!$C990,FIND(":",Entry!$C990)+1,2)),2),"0000"))))</f>
        <v/>
      </c>
      <c r="G987">
        <f>IF($A987="","",Entry!$G990)</f>
        <v/>
      </c>
      <c r="H987">
        <f>IF($A987="","",IF(Entry!$H990="",0,Entry!$H990))</f>
        <v/>
      </c>
      <c r="I987">
        <f>IF($A987="","",IF(Entry!$I990="",0,Entry!$I990))</f>
        <v/>
      </c>
      <c r="J987">
        <f>IF($A987="","",ROUND($H987*$I987,0))</f>
        <v/>
      </c>
      <c r="K987">
        <f>IF($A987="","",Entry!$D990)</f>
        <v/>
      </c>
      <c r="L987">
        <f>IF($A987="","",Entry!$L990)</f>
        <v/>
      </c>
      <c r="N987">
        <f>IF(OR(Sync!$M987="",$Q987="",$Q987="نامعتبر"),"",Sync!$M987)</f>
        <v/>
      </c>
      <c r="O987">
        <f>IF($N987="","",$Q987)</f>
        <v/>
      </c>
      <c r="P987">
        <f>IF($N987="","",LEFT($Q987,4)&amp;MID($Q987,6,2)&amp;RIGHT($Q987,2)&amp;IF(Sync!$K987="","0000",IF(AND(ISNUMBER(Sync!$K987),Sync!$K987&gt;=0,Sync!$K987&lt;1),RIGHT("00"&amp;HOUR(Sync!$K987),2)&amp;RIGHT("00"&amp;MINUTE(Sync!$K987),2),IFERROR(RIGHT("00"&amp;VALUE(LEFT(Sync!$K987,FIND(":",Sync!$K987)-1)),2)&amp;RIGHT("00"&amp;VALUE(MID(Sync!$K987,FIND(":",Sync!$K987)+1,2)),2),"0000")))&amp;"|"&amp;"2"&amp;RIGHT("00000"&amp;982,5))</f>
        <v/>
      </c>
      <c r="Q987">
        <f>IF(Sync!$J987="","",IF(ISNUMBER(Sync!$J987),IF(AND(Sync!$J987&gt;=10000101,Sync!$J987&lt;=99991231),INT(Sync!$J987/10000)&amp;"/"&amp;RIGHT("00"&amp;INT(MOD(Sync!$J987,10000)/100),2)&amp;"/"&amp;RIGHT("00"&amp;MOD(Sync!$J987,100),2),"نامعتبر"),IF(LEN(Sync!$J987)=10,Sync!$J987,"نامعتبر")))</f>
        <v/>
      </c>
      <c r="R987">
        <f>IF($P987="","",COUNTIFS($N$6:$N$2005,$N987,$P$6:$P$2005,"&lt;"&amp;$P987)+COUNTIFS($A$6:$A$1005,$N987,$B$6:$B$1005,"&lt;"&amp;$P987)+1)</f>
        <v/>
      </c>
      <c r="S987">
        <f>IF($N987="","",$N987&amp;"|"&amp;RIGHT("000000"&amp;$R987,6))</f>
        <v/>
      </c>
      <c r="T987">
        <f>IF($N987="","",IF(Sync!$N987="",0,Sync!$N987))</f>
        <v/>
      </c>
      <c r="U987">
        <f>IF($N987="","",IF(Sync!$O987="",0,Sync!$O987))</f>
        <v/>
      </c>
      <c r="V987">
        <f>IF($N987="","",Sync!$L987)</f>
        <v/>
      </c>
      <c r="W987">
        <f>IF($N987="","",Sync!$P987)</f>
        <v/>
      </c>
      <c r="AA987">
        <f>IF($A987="","",IF(COUNTIF($A$6:$A987,$A987)=1,1,0))</f>
        <v/>
      </c>
      <c r="AB987">
        <f>SUM($AA$6:$AA987)</f>
        <v/>
      </c>
      <c r="AC987">
        <f>IFERROR(INDEX($A$6:$A$1005,MATCH(ROW()-5,$AB$6:$AB$1005,0)),"")</f>
        <v/>
      </c>
    </row>
    <row r="988">
      <c r="A988">
        <f>IF(OR(Entry!$B991="",Entry!$E991="",$E988="نامعتبر"),"",Entry!$E991)</f>
        <v/>
      </c>
      <c r="B988">
        <f>IF($A988="","",LEFT($E988,4)&amp;MID($E988,6,2)&amp;RIGHT($E988,2)&amp;$F988&amp;"|"&amp;"1"&amp;RIGHT("00000"&amp;983,5))</f>
        <v/>
      </c>
      <c r="C988">
        <f>IF($B988="","",COUNTIFS($A$6:$A$1005,$A988,$B$6:$B$1005,"&lt;"&amp;$B988)+COUNTIFS($N$6:$N$2005,$A988,$P$6:$P$2005,"&lt;"&amp;$B988)+1)</f>
        <v/>
      </c>
      <c r="D988">
        <f>IF($C988="","",$A988&amp;"|"&amp;RIGHT("000000"&amp;$C988,6))</f>
        <v/>
      </c>
      <c r="E988">
        <f>IF(Entry!$B991="","",IF(ISNUMBER(Entry!$B991),IF(AND(Entry!$B991&gt;=10000101,Entry!$B991&lt;=99991231),INT(Entry!$B991/10000)&amp;"/"&amp;RIGHT("00"&amp;INT(MOD(Entry!$B991,10000)/100),2)&amp;"/"&amp;RIGHT("00"&amp;MOD(Entry!$B991,100),2),"نامعتبر"),IF(LEN(Entry!$B991)=10,Entry!$B991,"نامعتبر")))</f>
        <v/>
      </c>
      <c r="F988">
        <f>IF(Entry!$B991="","",IF(Entry!$C991="","0000",IF(AND(ISNUMBER(Entry!$C991),Entry!$C991&gt;=0,Entry!$C991&lt;1),RIGHT("00"&amp;HOUR(Entry!$C991),2)&amp;RIGHT("00"&amp;MINUTE(Entry!$C991),2),IFERROR(RIGHT("00"&amp;VALUE(LEFT(Entry!$C991,FIND(":",Entry!$C991)-1)),2)&amp;RIGHT("00"&amp;VALUE(MID(Entry!$C991,FIND(":",Entry!$C991)+1,2)),2),"0000"))))</f>
        <v/>
      </c>
      <c r="G988">
        <f>IF($A988="","",Entry!$G991)</f>
        <v/>
      </c>
      <c r="H988">
        <f>IF($A988="","",IF(Entry!$H991="",0,Entry!$H991))</f>
        <v/>
      </c>
      <c r="I988">
        <f>IF($A988="","",IF(Entry!$I991="",0,Entry!$I991))</f>
        <v/>
      </c>
      <c r="J988">
        <f>IF($A988="","",ROUND($H988*$I988,0))</f>
        <v/>
      </c>
      <c r="K988">
        <f>IF($A988="","",Entry!$D991)</f>
        <v/>
      </c>
      <c r="L988">
        <f>IF($A988="","",Entry!$L991)</f>
        <v/>
      </c>
      <c r="N988">
        <f>IF(OR(Sync!$M988="",$Q988="",$Q988="نامعتبر"),"",Sync!$M988)</f>
        <v/>
      </c>
      <c r="O988">
        <f>IF($N988="","",$Q988)</f>
        <v/>
      </c>
      <c r="P988">
        <f>IF($N988="","",LEFT($Q988,4)&amp;MID($Q988,6,2)&amp;RIGHT($Q988,2)&amp;IF(Sync!$K988="","0000",IF(AND(ISNUMBER(Sync!$K988),Sync!$K988&gt;=0,Sync!$K988&lt;1),RIGHT("00"&amp;HOUR(Sync!$K988),2)&amp;RIGHT("00"&amp;MINUTE(Sync!$K988),2),IFERROR(RIGHT("00"&amp;VALUE(LEFT(Sync!$K988,FIND(":",Sync!$K988)-1)),2)&amp;RIGHT("00"&amp;VALUE(MID(Sync!$K988,FIND(":",Sync!$K988)+1,2)),2),"0000")))&amp;"|"&amp;"2"&amp;RIGHT("00000"&amp;983,5))</f>
        <v/>
      </c>
      <c r="Q988">
        <f>IF(Sync!$J988="","",IF(ISNUMBER(Sync!$J988),IF(AND(Sync!$J988&gt;=10000101,Sync!$J988&lt;=99991231),INT(Sync!$J988/10000)&amp;"/"&amp;RIGHT("00"&amp;INT(MOD(Sync!$J988,10000)/100),2)&amp;"/"&amp;RIGHT("00"&amp;MOD(Sync!$J988,100),2),"نامعتبر"),IF(LEN(Sync!$J988)=10,Sync!$J988,"نامعتبر")))</f>
        <v/>
      </c>
      <c r="R988">
        <f>IF($P988="","",COUNTIFS($N$6:$N$2005,$N988,$P$6:$P$2005,"&lt;"&amp;$P988)+COUNTIFS($A$6:$A$1005,$N988,$B$6:$B$1005,"&lt;"&amp;$P988)+1)</f>
        <v/>
      </c>
      <c r="S988">
        <f>IF($N988="","",$N988&amp;"|"&amp;RIGHT("000000"&amp;$R988,6))</f>
        <v/>
      </c>
      <c r="T988">
        <f>IF($N988="","",IF(Sync!$N988="",0,Sync!$N988))</f>
        <v/>
      </c>
      <c r="U988">
        <f>IF($N988="","",IF(Sync!$O988="",0,Sync!$O988))</f>
        <v/>
      </c>
      <c r="V988">
        <f>IF($N988="","",Sync!$L988)</f>
        <v/>
      </c>
      <c r="W988">
        <f>IF($N988="","",Sync!$P988)</f>
        <v/>
      </c>
      <c r="AA988">
        <f>IF($A988="","",IF(COUNTIF($A$6:$A988,$A988)=1,1,0))</f>
        <v/>
      </c>
      <c r="AB988">
        <f>SUM($AA$6:$AA988)</f>
        <v/>
      </c>
      <c r="AC988">
        <f>IFERROR(INDEX($A$6:$A$1005,MATCH(ROW()-5,$AB$6:$AB$1005,0)),"")</f>
        <v/>
      </c>
    </row>
    <row r="989">
      <c r="A989">
        <f>IF(OR(Entry!$B992="",Entry!$E992="",$E989="نامعتبر"),"",Entry!$E992)</f>
        <v/>
      </c>
      <c r="B989">
        <f>IF($A989="","",LEFT($E989,4)&amp;MID($E989,6,2)&amp;RIGHT($E989,2)&amp;$F989&amp;"|"&amp;"1"&amp;RIGHT("00000"&amp;984,5))</f>
        <v/>
      </c>
      <c r="C989">
        <f>IF($B989="","",COUNTIFS($A$6:$A$1005,$A989,$B$6:$B$1005,"&lt;"&amp;$B989)+COUNTIFS($N$6:$N$2005,$A989,$P$6:$P$2005,"&lt;"&amp;$B989)+1)</f>
        <v/>
      </c>
      <c r="D989">
        <f>IF($C989="","",$A989&amp;"|"&amp;RIGHT("000000"&amp;$C989,6))</f>
        <v/>
      </c>
      <c r="E989">
        <f>IF(Entry!$B992="","",IF(ISNUMBER(Entry!$B992),IF(AND(Entry!$B992&gt;=10000101,Entry!$B992&lt;=99991231),INT(Entry!$B992/10000)&amp;"/"&amp;RIGHT("00"&amp;INT(MOD(Entry!$B992,10000)/100),2)&amp;"/"&amp;RIGHT("00"&amp;MOD(Entry!$B992,100),2),"نامعتبر"),IF(LEN(Entry!$B992)=10,Entry!$B992,"نامعتبر")))</f>
        <v/>
      </c>
      <c r="F989">
        <f>IF(Entry!$B992="","",IF(Entry!$C992="","0000",IF(AND(ISNUMBER(Entry!$C992),Entry!$C992&gt;=0,Entry!$C992&lt;1),RIGHT("00"&amp;HOUR(Entry!$C992),2)&amp;RIGHT("00"&amp;MINUTE(Entry!$C992),2),IFERROR(RIGHT("00"&amp;VALUE(LEFT(Entry!$C992,FIND(":",Entry!$C992)-1)),2)&amp;RIGHT("00"&amp;VALUE(MID(Entry!$C992,FIND(":",Entry!$C992)+1,2)),2),"0000"))))</f>
        <v/>
      </c>
      <c r="G989">
        <f>IF($A989="","",Entry!$G992)</f>
        <v/>
      </c>
      <c r="H989">
        <f>IF($A989="","",IF(Entry!$H992="",0,Entry!$H992))</f>
        <v/>
      </c>
      <c r="I989">
        <f>IF($A989="","",IF(Entry!$I992="",0,Entry!$I992))</f>
        <v/>
      </c>
      <c r="J989">
        <f>IF($A989="","",ROUND($H989*$I989,0))</f>
        <v/>
      </c>
      <c r="K989">
        <f>IF($A989="","",Entry!$D992)</f>
        <v/>
      </c>
      <c r="L989">
        <f>IF($A989="","",Entry!$L992)</f>
        <v/>
      </c>
      <c r="N989">
        <f>IF(OR(Sync!$M989="",$Q989="",$Q989="نامعتبر"),"",Sync!$M989)</f>
        <v/>
      </c>
      <c r="O989">
        <f>IF($N989="","",$Q989)</f>
        <v/>
      </c>
      <c r="P989">
        <f>IF($N989="","",LEFT($Q989,4)&amp;MID($Q989,6,2)&amp;RIGHT($Q989,2)&amp;IF(Sync!$K989="","0000",IF(AND(ISNUMBER(Sync!$K989),Sync!$K989&gt;=0,Sync!$K989&lt;1),RIGHT("00"&amp;HOUR(Sync!$K989),2)&amp;RIGHT("00"&amp;MINUTE(Sync!$K989),2),IFERROR(RIGHT("00"&amp;VALUE(LEFT(Sync!$K989,FIND(":",Sync!$K989)-1)),2)&amp;RIGHT("00"&amp;VALUE(MID(Sync!$K989,FIND(":",Sync!$K989)+1,2)),2),"0000")))&amp;"|"&amp;"2"&amp;RIGHT("00000"&amp;984,5))</f>
        <v/>
      </c>
      <c r="Q989">
        <f>IF(Sync!$J989="","",IF(ISNUMBER(Sync!$J989),IF(AND(Sync!$J989&gt;=10000101,Sync!$J989&lt;=99991231),INT(Sync!$J989/10000)&amp;"/"&amp;RIGHT("00"&amp;INT(MOD(Sync!$J989,10000)/100),2)&amp;"/"&amp;RIGHT("00"&amp;MOD(Sync!$J989,100),2),"نامعتبر"),IF(LEN(Sync!$J989)=10,Sync!$J989,"نامعتبر")))</f>
        <v/>
      </c>
      <c r="R989">
        <f>IF($P989="","",COUNTIFS($N$6:$N$2005,$N989,$P$6:$P$2005,"&lt;"&amp;$P989)+COUNTIFS($A$6:$A$1005,$N989,$B$6:$B$1005,"&lt;"&amp;$P989)+1)</f>
        <v/>
      </c>
      <c r="S989">
        <f>IF($N989="","",$N989&amp;"|"&amp;RIGHT("000000"&amp;$R989,6))</f>
        <v/>
      </c>
      <c r="T989">
        <f>IF($N989="","",IF(Sync!$N989="",0,Sync!$N989))</f>
        <v/>
      </c>
      <c r="U989">
        <f>IF($N989="","",IF(Sync!$O989="",0,Sync!$O989))</f>
        <v/>
      </c>
      <c r="V989">
        <f>IF($N989="","",Sync!$L989)</f>
        <v/>
      </c>
      <c r="W989">
        <f>IF($N989="","",Sync!$P989)</f>
        <v/>
      </c>
      <c r="AA989">
        <f>IF($A989="","",IF(COUNTIF($A$6:$A989,$A989)=1,1,0))</f>
        <v/>
      </c>
      <c r="AB989">
        <f>SUM($AA$6:$AA989)</f>
        <v/>
      </c>
      <c r="AC989">
        <f>IFERROR(INDEX($A$6:$A$1005,MATCH(ROW()-5,$AB$6:$AB$1005,0)),"")</f>
        <v/>
      </c>
    </row>
    <row r="990">
      <c r="A990">
        <f>IF(OR(Entry!$B993="",Entry!$E993="",$E990="نامعتبر"),"",Entry!$E993)</f>
        <v/>
      </c>
      <c r="B990">
        <f>IF($A990="","",LEFT($E990,4)&amp;MID($E990,6,2)&amp;RIGHT($E990,2)&amp;$F990&amp;"|"&amp;"1"&amp;RIGHT("00000"&amp;985,5))</f>
        <v/>
      </c>
      <c r="C990">
        <f>IF($B990="","",COUNTIFS($A$6:$A$1005,$A990,$B$6:$B$1005,"&lt;"&amp;$B990)+COUNTIFS($N$6:$N$2005,$A990,$P$6:$P$2005,"&lt;"&amp;$B990)+1)</f>
        <v/>
      </c>
      <c r="D990">
        <f>IF($C990="","",$A990&amp;"|"&amp;RIGHT("000000"&amp;$C990,6))</f>
        <v/>
      </c>
      <c r="E990">
        <f>IF(Entry!$B993="","",IF(ISNUMBER(Entry!$B993),IF(AND(Entry!$B993&gt;=10000101,Entry!$B993&lt;=99991231),INT(Entry!$B993/10000)&amp;"/"&amp;RIGHT("00"&amp;INT(MOD(Entry!$B993,10000)/100),2)&amp;"/"&amp;RIGHT("00"&amp;MOD(Entry!$B993,100),2),"نامعتبر"),IF(LEN(Entry!$B993)=10,Entry!$B993,"نامعتبر")))</f>
        <v/>
      </c>
      <c r="F990">
        <f>IF(Entry!$B993="","",IF(Entry!$C993="","0000",IF(AND(ISNUMBER(Entry!$C993),Entry!$C993&gt;=0,Entry!$C993&lt;1),RIGHT("00"&amp;HOUR(Entry!$C993),2)&amp;RIGHT("00"&amp;MINUTE(Entry!$C993),2),IFERROR(RIGHT("00"&amp;VALUE(LEFT(Entry!$C993,FIND(":",Entry!$C993)-1)),2)&amp;RIGHT("00"&amp;VALUE(MID(Entry!$C993,FIND(":",Entry!$C993)+1,2)),2),"0000"))))</f>
        <v/>
      </c>
      <c r="G990">
        <f>IF($A990="","",Entry!$G993)</f>
        <v/>
      </c>
      <c r="H990">
        <f>IF($A990="","",IF(Entry!$H993="",0,Entry!$H993))</f>
        <v/>
      </c>
      <c r="I990">
        <f>IF($A990="","",IF(Entry!$I993="",0,Entry!$I993))</f>
        <v/>
      </c>
      <c r="J990">
        <f>IF($A990="","",ROUND($H990*$I990,0))</f>
        <v/>
      </c>
      <c r="K990">
        <f>IF($A990="","",Entry!$D993)</f>
        <v/>
      </c>
      <c r="L990">
        <f>IF($A990="","",Entry!$L993)</f>
        <v/>
      </c>
      <c r="N990">
        <f>IF(OR(Sync!$M990="",$Q990="",$Q990="نامعتبر"),"",Sync!$M990)</f>
        <v/>
      </c>
      <c r="O990">
        <f>IF($N990="","",$Q990)</f>
        <v/>
      </c>
      <c r="P990">
        <f>IF($N990="","",LEFT($Q990,4)&amp;MID($Q990,6,2)&amp;RIGHT($Q990,2)&amp;IF(Sync!$K990="","0000",IF(AND(ISNUMBER(Sync!$K990),Sync!$K990&gt;=0,Sync!$K990&lt;1),RIGHT("00"&amp;HOUR(Sync!$K990),2)&amp;RIGHT("00"&amp;MINUTE(Sync!$K990),2),IFERROR(RIGHT("00"&amp;VALUE(LEFT(Sync!$K990,FIND(":",Sync!$K990)-1)),2)&amp;RIGHT("00"&amp;VALUE(MID(Sync!$K990,FIND(":",Sync!$K990)+1,2)),2),"0000")))&amp;"|"&amp;"2"&amp;RIGHT("00000"&amp;985,5))</f>
        <v/>
      </c>
      <c r="Q990">
        <f>IF(Sync!$J990="","",IF(ISNUMBER(Sync!$J990),IF(AND(Sync!$J990&gt;=10000101,Sync!$J990&lt;=99991231),INT(Sync!$J990/10000)&amp;"/"&amp;RIGHT("00"&amp;INT(MOD(Sync!$J990,10000)/100),2)&amp;"/"&amp;RIGHT("00"&amp;MOD(Sync!$J990,100),2),"نامعتبر"),IF(LEN(Sync!$J990)=10,Sync!$J990,"نامعتبر")))</f>
        <v/>
      </c>
      <c r="R990">
        <f>IF($P990="","",COUNTIFS($N$6:$N$2005,$N990,$P$6:$P$2005,"&lt;"&amp;$P990)+COUNTIFS($A$6:$A$1005,$N990,$B$6:$B$1005,"&lt;"&amp;$P990)+1)</f>
        <v/>
      </c>
      <c r="S990">
        <f>IF($N990="","",$N990&amp;"|"&amp;RIGHT("000000"&amp;$R990,6))</f>
        <v/>
      </c>
      <c r="T990">
        <f>IF($N990="","",IF(Sync!$N990="",0,Sync!$N990))</f>
        <v/>
      </c>
      <c r="U990">
        <f>IF($N990="","",IF(Sync!$O990="",0,Sync!$O990))</f>
        <v/>
      </c>
      <c r="V990">
        <f>IF($N990="","",Sync!$L990)</f>
        <v/>
      </c>
      <c r="W990">
        <f>IF($N990="","",Sync!$P990)</f>
        <v/>
      </c>
      <c r="AA990">
        <f>IF($A990="","",IF(COUNTIF($A$6:$A990,$A990)=1,1,0))</f>
        <v/>
      </c>
      <c r="AB990">
        <f>SUM($AA$6:$AA990)</f>
        <v/>
      </c>
      <c r="AC990">
        <f>IFERROR(INDEX($A$6:$A$1005,MATCH(ROW()-5,$AB$6:$AB$1005,0)),"")</f>
        <v/>
      </c>
    </row>
    <row r="991">
      <c r="A991">
        <f>IF(OR(Entry!$B994="",Entry!$E994="",$E991="نامعتبر"),"",Entry!$E994)</f>
        <v/>
      </c>
      <c r="B991">
        <f>IF($A991="","",LEFT($E991,4)&amp;MID($E991,6,2)&amp;RIGHT($E991,2)&amp;$F991&amp;"|"&amp;"1"&amp;RIGHT("00000"&amp;986,5))</f>
        <v/>
      </c>
      <c r="C991">
        <f>IF($B991="","",COUNTIFS($A$6:$A$1005,$A991,$B$6:$B$1005,"&lt;"&amp;$B991)+COUNTIFS($N$6:$N$2005,$A991,$P$6:$P$2005,"&lt;"&amp;$B991)+1)</f>
        <v/>
      </c>
      <c r="D991">
        <f>IF($C991="","",$A991&amp;"|"&amp;RIGHT("000000"&amp;$C991,6))</f>
        <v/>
      </c>
      <c r="E991">
        <f>IF(Entry!$B994="","",IF(ISNUMBER(Entry!$B994),IF(AND(Entry!$B994&gt;=10000101,Entry!$B994&lt;=99991231),INT(Entry!$B994/10000)&amp;"/"&amp;RIGHT("00"&amp;INT(MOD(Entry!$B994,10000)/100),2)&amp;"/"&amp;RIGHT("00"&amp;MOD(Entry!$B994,100),2),"نامعتبر"),IF(LEN(Entry!$B994)=10,Entry!$B994,"نامعتبر")))</f>
        <v/>
      </c>
      <c r="F991">
        <f>IF(Entry!$B994="","",IF(Entry!$C994="","0000",IF(AND(ISNUMBER(Entry!$C994),Entry!$C994&gt;=0,Entry!$C994&lt;1),RIGHT("00"&amp;HOUR(Entry!$C994),2)&amp;RIGHT("00"&amp;MINUTE(Entry!$C994),2),IFERROR(RIGHT("00"&amp;VALUE(LEFT(Entry!$C994,FIND(":",Entry!$C994)-1)),2)&amp;RIGHT("00"&amp;VALUE(MID(Entry!$C994,FIND(":",Entry!$C994)+1,2)),2),"0000"))))</f>
        <v/>
      </c>
      <c r="G991">
        <f>IF($A991="","",Entry!$G994)</f>
        <v/>
      </c>
      <c r="H991">
        <f>IF($A991="","",IF(Entry!$H994="",0,Entry!$H994))</f>
        <v/>
      </c>
      <c r="I991">
        <f>IF($A991="","",IF(Entry!$I994="",0,Entry!$I994))</f>
        <v/>
      </c>
      <c r="J991">
        <f>IF($A991="","",ROUND($H991*$I991,0))</f>
        <v/>
      </c>
      <c r="K991">
        <f>IF($A991="","",Entry!$D994)</f>
        <v/>
      </c>
      <c r="L991">
        <f>IF($A991="","",Entry!$L994)</f>
        <v/>
      </c>
      <c r="N991">
        <f>IF(OR(Sync!$M991="",$Q991="",$Q991="نامعتبر"),"",Sync!$M991)</f>
        <v/>
      </c>
      <c r="O991">
        <f>IF($N991="","",$Q991)</f>
        <v/>
      </c>
      <c r="P991">
        <f>IF($N991="","",LEFT($Q991,4)&amp;MID($Q991,6,2)&amp;RIGHT($Q991,2)&amp;IF(Sync!$K991="","0000",IF(AND(ISNUMBER(Sync!$K991),Sync!$K991&gt;=0,Sync!$K991&lt;1),RIGHT("00"&amp;HOUR(Sync!$K991),2)&amp;RIGHT("00"&amp;MINUTE(Sync!$K991),2),IFERROR(RIGHT("00"&amp;VALUE(LEFT(Sync!$K991,FIND(":",Sync!$K991)-1)),2)&amp;RIGHT("00"&amp;VALUE(MID(Sync!$K991,FIND(":",Sync!$K991)+1,2)),2),"0000")))&amp;"|"&amp;"2"&amp;RIGHT("00000"&amp;986,5))</f>
        <v/>
      </c>
      <c r="Q991">
        <f>IF(Sync!$J991="","",IF(ISNUMBER(Sync!$J991),IF(AND(Sync!$J991&gt;=10000101,Sync!$J991&lt;=99991231),INT(Sync!$J991/10000)&amp;"/"&amp;RIGHT("00"&amp;INT(MOD(Sync!$J991,10000)/100),2)&amp;"/"&amp;RIGHT("00"&amp;MOD(Sync!$J991,100),2),"نامعتبر"),IF(LEN(Sync!$J991)=10,Sync!$J991,"نامعتبر")))</f>
        <v/>
      </c>
      <c r="R991">
        <f>IF($P991="","",COUNTIFS($N$6:$N$2005,$N991,$P$6:$P$2005,"&lt;"&amp;$P991)+COUNTIFS($A$6:$A$1005,$N991,$B$6:$B$1005,"&lt;"&amp;$P991)+1)</f>
        <v/>
      </c>
      <c r="S991">
        <f>IF($N991="","",$N991&amp;"|"&amp;RIGHT("000000"&amp;$R991,6))</f>
        <v/>
      </c>
      <c r="T991">
        <f>IF($N991="","",IF(Sync!$N991="",0,Sync!$N991))</f>
        <v/>
      </c>
      <c r="U991">
        <f>IF($N991="","",IF(Sync!$O991="",0,Sync!$O991))</f>
        <v/>
      </c>
      <c r="V991">
        <f>IF($N991="","",Sync!$L991)</f>
        <v/>
      </c>
      <c r="W991">
        <f>IF($N991="","",Sync!$P991)</f>
        <v/>
      </c>
      <c r="AA991">
        <f>IF($A991="","",IF(COUNTIF($A$6:$A991,$A991)=1,1,0))</f>
        <v/>
      </c>
      <c r="AB991">
        <f>SUM($AA$6:$AA991)</f>
        <v/>
      </c>
      <c r="AC991">
        <f>IFERROR(INDEX($A$6:$A$1005,MATCH(ROW()-5,$AB$6:$AB$1005,0)),"")</f>
        <v/>
      </c>
    </row>
    <row r="992">
      <c r="A992">
        <f>IF(OR(Entry!$B995="",Entry!$E995="",$E992="نامعتبر"),"",Entry!$E995)</f>
        <v/>
      </c>
      <c r="B992">
        <f>IF($A992="","",LEFT($E992,4)&amp;MID($E992,6,2)&amp;RIGHT($E992,2)&amp;$F992&amp;"|"&amp;"1"&amp;RIGHT("00000"&amp;987,5))</f>
        <v/>
      </c>
      <c r="C992">
        <f>IF($B992="","",COUNTIFS($A$6:$A$1005,$A992,$B$6:$B$1005,"&lt;"&amp;$B992)+COUNTIFS($N$6:$N$2005,$A992,$P$6:$P$2005,"&lt;"&amp;$B992)+1)</f>
        <v/>
      </c>
      <c r="D992">
        <f>IF($C992="","",$A992&amp;"|"&amp;RIGHT("000000"&amp;$C992,6))</f>
        <v/>
      </c>
      <c r="E992">
        <f>IF(Entry!$B995="","",IF(ISNUMBER(Entry!$B995),IF(AND(Entry!$B995&gt;=10000101,Entry!$B995&lt;=99991231),INT(Entry!$B995/10000)&amp;"/"&amp;RIGHT("00"&amp;INT(MOD(Entry!$B995,10000)/100),2)&amp;"/"&amp;RIGHT("00"&amp;MOD(Entry!$B995,100),2),"نامعتبر"),IF(LEN(Entry!$B995)=10,Entry!$B995,"نامعتبر")))</f>
        <v/>
      </c>
      <c r="F992">
        <f>IF(Entry!$B995="","",IF(Entry!$C995="","0000",IF(AND(ISNUMBER(Entry!$C995),Entry!$C995&gt;=0,Entry!$C995&lt;1),RIGHT("00"&amp;HOUR(Entry!$C995),2)&amp;RIGHT("00"&amp;MINUTE(Entry!$C995),2),IFERROR(RIGHT("00"&amp;VALUE(LEFT(Entry!$C995,FIND(":",Entry!$C995)-1)),2)&amp;RIGHT("00"&amp;VALUE(MID(Entry!$C995,FIND(":",Entry!$C995)+1,2)),2),"0000"))))</f>
        <v/>
      </c>
      <c r="G992">
        <f>IF($A992="","",Entry!$G995)</f>
        <v/>
      </c>
      <c r="H992">
        <f>IF($A992="","",IF(Entry!$H995="",0,Entry!$H995))</f>
        <v/>
      </c>
      <c r="I992">
        <f>IF($A992="","",IF(Entry!$I995="",0,Entry!$I995))</f>
        <v/>
      </c>
      <c r="J992">
        <f>IF($A992="","",ROUND($H992*$I992,0))</f>
        <v/>
      </c>
      <c r="K992">
        <f>IF($A992="","",Entry!$D995)</f>
        <v/>
      </c>
      <c r="L992">
        <f>IF($A992="","",Entry!$L995)</f>
        <v/>
      </c>
      <c r="N992">
        <f>IF(OR(Sync!$M992="",$Q992="",$Q992="نامعتبر"),"",Sync!$M992)</f>
        <v/>
      </c>
      <c r="O992">
        <f>IF($N992="","",$Q992)</f>
        <v/>
      </c>
      <c r="P992">
        <f>IF($N992="","",LEFT($Q992,4)&amp;MID($Q992,6,2)&amp;RIGHT($Q992,2)&amp;IF(Sync!$K992="","0000",IF(AND(ISNUMBER(Sync!$K992),Sync!$K992&gt;=0,Sync!$K992&lt;1),RIGHT("00"&amp;HOUR(Sync!$K992),2)&amp;RIGHT("00"&amp;MINUTE(Sync!$K992),2),IFERROR(RIGHT("00"&amp;VALUE(LEFT(Sync!$K992,FIND(":",Sync!$K992)-1)),2)&amp;RIGHT("00"&amp;VALUE(MID(Sync!$K992,FIND(":",Sync!$K992)+1,2)),2),"0000")))&amp;"|"&amp;"2"&amp;RIGHT("00000"&amp;987,5))</f>
        <v/>
      </c>
      <c r="Q992">
        <f>IF(Sync!$J992="","",IF(ISNUMBER(Sync!$J992),IF(AND(Sync!$J992&gt;=10000101,Sync!$J992&lt;=99991231),INT(Sync!$J992/10000)&amp;"/"&amp;RIGHT("00"&amp;INT(MOD(Sync!$J992,10000)/100),2)&amp;"/"&amp;RIGHT("00"&amp;MOD(Sync!$J992,100),2),"نامعتبر"),IF(LEN(Sync!$J992)=10,Sync!$J992,"نامعتبر")))</f>
        <v/>
      </c>
      <c r="R992">
        <f>IF($P992="","",COUNTIFS($N$6:$N$2005,$N992,$P$6:$P$2005,"&lt;"&amp;$P992)+COUNTIFS($A$6:$A$1005,$N992,$B$6:$B$1005,"&lt;"&amp;$P992)+1)</f>
        <v/>
      </c>
      <c r="S992">
        <f>IF($N992="","",$N992&amp;"|"&amp;RIGHT("000000"&amp;$R992,6))</f>
        <v/>
      </c>
      <c r="T992">
        <f>IF($N992="","",IF(Sync!$N992="",0,Sync!$N992))</f>
        <v/>
      </c>
      <c r="U992">
        <f>IF($N992="","",IF(Sync!$O992="",0,Sync!$O992))</f>
        <v/>
      </c>
      <c r="V992">
        <f>IF($N992="","",Sync!$L992)</f>
        <v/>
      </c>
      <c r="W992">
        <f>IF($N992="","",Sync!$P992)</f>
        <v/>
      </c>
      <c r="AA992">
        <f>IF($A992="","",IF(COUNTIF($A$6:$A992,$A992)=1,1,0))</f>
        <v/>
      </c>
      <c r="AB992">
        <f>SUM($AA$6:$AA992)</f>
        <v/>
      </c>
      <c r="AC992">
        <f>IFERROR(INDEX($A$6:$A$1005,MATCH(ROW()-5,$AB$6:$AB$1005,0)),"")</f>
        <v/>
      </c>
    </row>
    <row r="993">
      <c r="A993">
        <f>IF(OR(Entry!$B996="",Entry!$E996="",$E993="نامعتبر"),"",Entry!$E996)</f>
        <v/>
      </c>
      <c r="B993">
        <f>IF($A993="","",LEFT($E993,4)&amp;MID($E993,6,2)&amp;RIGHT($E993,2)&amp;$F993&amp;"|"&amp;"1"&amp;RIGHT("00000"&amp;988,5))</f>
        <v/>
      </c>
      <c r="C993">
        <f>IF($B993="","",COUNTIFS($A$6:$A$1005,$A993,$B$6:$B$1005,"&lt;"&amp;$B993)+COUNTIFS($N$6:$N$2005,$A993,$P$6:$P$2005,"&lt;"&amp;$B993)+1)</f>
        <v/>
      </c>
      <c r="D993">
        <f>IF($C993="","",$A993&amp;"|"&amp;RIGHT("000000"&amp;$C993,6))</f>
        <v/>
      </c>
      <c r="E993">
        <f>IF(Entry!$B996="","",IF(ISNUMBER(Entry!$B996),IF(AND(Entry!$B996&gt;=10000101,Entry!$B996&lt;=99991231),INT(Entry!$B996/10000)&amp;"/"&amp;RIGHT("00"&amp;INT(MOD(Entry!$B996,10000)/100),2)&amp;"/"&amp;RIGHT("00"&amp;MOD(Entry!$B996,100),2),"نامعتبر"),IF(LEN(Entry!$B996)=10,Entry!$B996,"نامعتبر")))</f>
        <v/>
      </c>
      <c r="F993">
        <f>IF(Entry!$B996="","",IF(Entry!$C996="","0000",IF(AND(ISNUMBER(Entry!$C996),Entry!$C996&gt;=0,Entry!$C996&lt;1),RIGHT("00"&amp;HOUR(Entry!$C996),2)&amp;RIGHT("00"&amp;MINUTE(Entry!$C996),2),IFERROR(RIGHT("00"&amp;VALUE(LEFT(Entry!$C996,FIND(":",Entry!$C996)-1)),2)&amp;RIGHT("00"&amp;VALUE(MID(Entry!$C996,FIND(":",Entry!$C996)+1,2)),2),"0000"))))</f>
        <v/>
      </c>
      <c r="G993">
        <f>IF($A993="","",Entry!$G996)</f>
        <v/>
      </c>
      <c r="H993">
        <f>IF($A993="","",IF(Entry!$H996="",0,Entry!$H996))</f>
        <v/>
      </c>
      <c r="I993">
        <f>IF($A993="","",IF(Entry!$I996="",0,Entry!$I996))</f>
        <v/>
      </c>
      <c r="J993">
        <f>IF($A993="","",ROUND($H993*$I993,0))</f>
        <v/>
      </c>
      <c r="K993">
        <f>IF($A993="","",Entry!$D996)</f>
        <v/>
      </c>
      <c r="L993">
        <f>IF($A993="","",Entry!$L996)</f>
        <v/>
      </c>
      <c r="N993">
        <f>IF(OR(Sync!$M993="",$Q993="",$Q993="نامعتبر"),"",Sync!$M993)</f>
        <v/>
      </c>
      <c r="O993">
        <f>IF($N993="","",$Q993)</f>
        <v/>
      </c>
      <c r="P993">
        <f>IF($N993="","",LEFT($Q993,4)&amp;MID($Q993,6,2)&amp;RIGHT($Q993,2)&amp;IF(Sync!$K993="","0000",IF(AND(ISNUMBER(Sync!$K993),Sync!$K993&gt;=0,Sync!$K993&lt;1),RIGHT("00"&amp;HOUR(Sync!$K993),2)&amp;RIGHT("00"&amp;MINUTE(Sync!$K993),2),IFERROR(RIGHT("00"&amp;VALUE(LEFT(Sync!$K993,FIND(":",Sync!$K993)-1)),2)&amp;RIGHT("00"&amp;VALUE(MID(Sync!$K993,FIND(":",Sync!$K993)+1,2)),2),"0000")))&amp;"|"&amp;"2"&amp;RIGHT("00000"&amp;988,5))</f>
        <v/>
      </c>
      <c r="Q993">
        <f>IF(Sync!$J993="","",IF(ISNUMBER(Sync!$J993),IF(AND(Sync!$J993&gt;=10000101,Sync!$J993&lt;=99991231),INT(Sync!$J993/10000)&amp;"/"&amp;RIGHT("00"&amp;INT(MOD(Sync!$J993,10000)/100),2)&amp;"/"&amp;RIGHT("00"&amp;MOD(Sync!$J993,100),2),"نامعتبر"),IF(LEN(Sync!$J993)=10,Sync!$J993,"نامعتبر")))</f>
        <v/>
      </c>
      <c r="R993">
        <f>IF($P993="","",COUNTIFS($N$6:$N$2005,$N993,$P$6:$P$2005,"&lt;"&amp;$P993)+COUNTIFS($A$6:$A$1005,$N993,$B$6:$B$1005,"&lt;"&amp;$P993)+1)</f>
        <v/>
      </c>
      <c r="S993">
        <f>IF($N993="","",$N993&amp;"|"&amp;RIGHT("000000"&amp;$R993,6))</f>
        <v/>
      </c>
      <c r="T993">
        <f>IF($N993="","",IF(Sync!$N993="",0,Sync!$N993))</f>
        <v/>
      </c>
      <c r="U993">
        <f>IF($N993="","",IF(Sync!$O993="",0,Sync!$O993))</f>
        <v/>
      </c>
      <c r="V993">
        <f>IF($N993="","",Sync!$L993)</f>
        <v/>
      </c>
      <c r="W993">
        <f>IF($N993="","",Sync!$P993)</f>
        <v/>
      </c>
      <c r="AA993">
        <f>IF($A993="","",IF(COUNTIF($A$6:$A993,$A993)=1,1,0))</f>
        <v/>
      </c>
      <c r="AB993">
        <f>SUM($AA$6:$AA993)</f>
        <v/>
      </c>
      <c r="AC993">
        <f>IFERROR(INDEX($A$6:$A$1005,MATCH(ROW()-5,$AB$6:$AB$1005,0)),"")</f>
        <v/>
      </c>
    </row>
    <row r="994">
      <c r="A994">
        <f>IF(OR(Entry!$B997="",Entry!$E997="",$E994="نامعتبر"),"",Entry!$E997)</f>
        <v/>
      </c>
      <c r="B994">
        <f>IF($A994="","",LEFT($E994,4)&amp;MID($E994,6,2)&amp;RIGHT($E994,2)&amp;$F994&amp;"|"&amp;"1"&amp;RIGHT("00000"&amp;989,5))</f>
        <v/>
      </c>
      <c r="C994">
        <f>IF($B994="","",COUNTIFS($A$6:$A$1005,$A994,$B$6:$B$1005,"&lt;"&amp;$B994)+COUNTIFS($N$6:$N$2005,$A994,$P$6:$P$2005,"&lt;"&amp;$B994)+1)</f>
        <v/>
      </c>
      <c r="D994">
        <f>IF($C994="","",$A994&amp;"|"&amp;RIGHT("000000"&amp;$C994,6))</f>
        <v/>
      </c>
      <c r="E994">
        <f>IF(Entry!$B997="","",IF(ISNUMBER(Entry!$B997),IF(AND(Entry!$B997&gt;=10000101,Entry!$B997&lt;=99991231),INT(Entry!$B997/10000)&amp;"/"&amp;RIGHT("00"&amp;INT(MOD(Entry!$B997,10000)/100),2)&amp;"/"&amp;RIGHT("00"&amp;MOD(Entry!$B997,100),2),"نامعتبر"),IF(LEN(Entry!$B997)=10,Entry!$B997,"نامعتبر")))</f>
        <v/>
      </c>
      <c r="F994">
        <f>IF(Entry!$B997="","",IF(Entry!$C997="","0000",IF(AND(ISNUMBER(Entry!$C997),Entry!$C997&gt;=0,Entry!$C997&lt;1),RIGHT("00"&amp;HOUR(Entry!$C997),2)&amp;RIGHT("00"&amp;MINUTE(Entry!$C997),2),IFERROR(RIGHT("00"&amp;VALUE(LEFT(Entry!$C997,FIND(":",Entry!$C997)-1)),2)&amp;RIGHT("00"&amp;VALUE(MID(Entry!$C997,FIND(":",Entry!$C997)+1,2)),2),"0000"))))</f>
        <v/>
      </c>
      <c r="G994">
        <f>IF($A994="","",Entry!$G997)</f>
        <v/>
      </c>
      <c r="H994">
        <f>IF($A994="","",IF(Entry!$H997="",0,Entry!$H997))</f>
        <v/>
      </c>
      <c r="I994">
        <f>IF($A994="","",IF(Entry!$I997="",0,Entry!$I997))</f>
        <v/>
      </c>
      <c r="J994">
        <f>IF($A994="","",ROUND($H994*$I994,0))</f>
        <v/>
      </c>
      <c r="K994">
        <f>IF($A994="","",Entry!$D997)</f>
        <v/>
      </c>
      <c r="L994">
        <f>IF($A994="","",Entry!$L997)</f>
        <v/>
      </c>
      <c r="N994">
        <f>IF(OR(Sync!$M994="",$Q994="",$Q994="نامعتبر"),"",Sync!$M994)</f>
        <v/>
      </c>
      <c r="O994">
        <f>IF($N994="","",$Q994)</f>
        <v/>
      </c>
      <c r="P994">
        <f>IF($N994="","",LEFT($Q994,4)&amp;MID($Q994,6,2)&amp;RIGHT($Q994,2)&amp;IF(Sync!$K994="","0000",IF(AND(ISNUMBER(Sync!$K994),Sync!$K994&gt;=0,Sync!$K994&lt;1),RIGHT("00"&amp;HOUR(Sync!$K994),2)&amp;RIGHT("00"&amp;MINUTE(Sync!$K994),2),IFERROR(RIGHT("00"&amp;VALUE(LEFT(Sync!$K994,FIND(":",Sync!$K994)-1)),2)&amp;RIGHT("00"&amp;VALUE(MID(Sync!$K994,FIND(":",Sync!$K994)+1,2)),2),"0000")))&amp;"|"&amp;"2"&amp;RIGHT("00000"&amp;989,5))</f>
        <v/>
      </c>
      <c r="Q994">
        <f>IF(Sync!$J994="","",IF(ISNUMBER(Sync!$J994),IF(AND(Sync!$J994&gt;=10000101,Sync!$J994&lt;=99991231),INT(Sync!$J994/10000)&amp;"/"&amp;RIGHT("00"&amp;INT(MOD(Sync!$J994,10000)/100),2)&amp;"/"&amp;RIGHT("00"&amp;MOD(Sync!$J994,100),2),"نامعتبر"),IF(LEN(Sync!$J994)=10,Sync!$J994,"نامعتبر")))</f>
        <v/>
      </c>
      <c r="R994">
        <f>IF($P994="","",COUNTIFS($N$6:$N$2005,$N994,$P$6:$P$2005,"&lt;"&amp;$P994)+COUNTIFS($A$6:$A$1005,$N994,$B$6:$B$1005,"&lt;"&amp;$P994)+1)</f>
        <v/>
      </c>
      <c r="S994">
        <f>IF($N994="","",$N994&amp;"|"&amp;RIGHT("000000"&amp;$R994,6))</f>
        <v/>
      </c>
      <c r="T994">
        <f>IF($N994="","",IF(Sync!$N994="",0,Sync!$N994))</f>
        <v/>
      </c>
      <c r="U994">
        <f>IF($N994="","",IF(Sync!$O994="",0,Sync!$O994))</f>
        <v/>
      </c>
      <c r="V994">
        <f>IF($N994="","",Sync!$L994)</f>
        <v/>
      </c>
      <c r="W994">
        <f>IF($N994="","",Sync!$P994)</f>
        <v/>
      </c>
      <c r="AA994">
        <f>IF($A994="","",IF(COUNTIF($A$6:$A994,$A994)=1,1,0))</f>
        <v/>
      </c>
      <c r="AB994">
        <f>SUM($AA$6:$AA994)</f>
        <v/>
      </c>
      <c r="AC994">
        <f>IFERROR(INDEX($A$6:$A$1005,MATCH(ROW()-5,$AB$6:$AB$1005,0)),"")</f>
        <v/>
      </c>
    </row>
    <row r="995">
      <c r="A995">
        <f>IF(OR(Entry!$B998="",Entry!$E998="",$E995="نامعتبر"),"",Entry!$E998)</f>
        <v/>
      </c>
      <c r="B995">
        <f>IF($A995="","",LEFT($E995,4)&amp;MID($E995,6,2)&amp;RIGHT($E995,2)&amp;$F995&amp;"|"&amp;"1"&amp;RIGHT("00000"&amp;990,5))</f>
        <v/>
      </c>
      <c r="C995">
        <f>IF($B995="","",COUNTIFS($A$6:$A$1005,$A995,$B$6:$B$1005,"&lt;"&amp;$B995)+COUNTIFS($N$6:$N$2005,$A995,$P$6:$P$2005,"&lt;"&amp;$B995)+1)</f>
        <v/>
      </c>
      <c r="D995">
        <f>IF($C995="","",$A995&amp;"|"&amp;RIGHT("000000"&amp;$C995,6))</f>
        <v/>
      </c>
      <c r="E995">
        <f>IF(Entry!$B998="","",IF(ISNUMBER(Entry!$B998),IF(AND(Entry!$B998&gt;=10000101,Entry!$B998&lt;=99991231),INT(Entry!$B998/10000)&amp;"/"&amp;RIGHT("00"&amp;INT(MOD(Entry!$B998,10000)/100),2)&amp;"/"&amp;RIGHT("00"&amp;MOD(Entry!$B998,100),2),"نامعتبر"),IF(LEN(Entry!$B998)=10,Entry!$B998,"نامعتبر")))</f>
        <v/>
      </c>
      <c r="F995">
        <f>IF(Entry!$B998="","",IF(Entry!$C998="","0000",IF(AND(ISNUMBER(Entry!$C998),Entry!$C998&gt;=0,Entry!$C998&lt;1),RIGHT("00"&amp;HOUR(Entry!$C998),2)&amp;RIGHT("00"&amp;MINUTE(Entry!$C998),2),IFERROR(RIGHT("00"&amp;VALUE(LEFT(Entry!$C998,FIND(":",Entry!$C998)-1)),2)&amp;RIGHT("00"&amp;VALUE(MID(Entry!$C998,FIND(":",Entry!$C998)+1,2)),2),"0000"))))</f>
        <v/>
      </c>
      <c r="G995">
        <f>IF($A995="","",Entry!$G998)</f>
        <v/>
      </c>
      <c r="H995">
        <f>IF($A995="","",IF(Entry!$H998="",0,Entry!$H998))</f>
        <v/>
      </c>
      <c r="I995">
        <f>IF($A995="","",IF(Entry!$I998="",0,Entry!$I998))</f>
        <v/>
      </c>
      <c r="J995">
        <f>IF($A995="","",ROUND($H995*$I995,0))</f>
        <v/>
      </c>
      <c r="K995">
        <f>IF($A995="","",Entry!$D998)</f>
        <v/>
      </c>
      <c r="L995">
        <f>IF($A995="","",Entry!$L998)</f>
        <v/>
      </c>
      <c r="N995">
        <f>IF(OR(Sync!$M995="",$Q995="",$Q995="نامعتبر"),"",Sync!$M995)</f>
        <v/>
      </c>
      <c r="O995">
        <f>IF($N995="","",$Q995)</f>
        <v/>
      </c>
      <c r="P995">
        <f>IF($N995="","",LEFT($Q995,4)&amp;MID($Q995,6,2)&amp;RIGHT($Q995,2)&amp;IF(Sync!$K995="","0000",IF(AND(ISNUMBER(Sync!$K995),Sync!$K995&gt;=0,Sync!$K995&lt;1),RIGHT("00"&amp;HOUR(Sync!$K995),2)&amp;RIGHT("00"&amp;MINUTE(Sync!$K995),2),IFERROR(RIGHT("00"&amp;VALUE(LEFT(Sync!$K995,FIND(":",Sync!$K995)-1)),2)&amp;RIGHT("00"&amp;VALUE(MID(Sync!$K995,FIND(":",Sync!$K995)+1,2)),2),"0000")))&amp;"|"&amp;"2"&amp;RIGHT("00000"&amp;990,5))</f>
        <v/>
      </c>
      <c r="Q995">
        <f>IF(Sync!$J995="","",IF(ISNUMBER(Sync!$J995),IF(AND(Sync!$J995&gt;=10000101,Sync!$J995&lt;=99991231),INT(Sync!$J995/10000)&amp;"/"&amp;RIGHT("00"&amp;INT(MOD(Sync!$J995,10000)/100),2)&amp;"/"&amp;RIGHT("00"&amp;MOD(Sync!$J995,100),2),"نامعتبر"),IF(LEN(Sync!$J995)=10,Sync!$J995,"نامعتبر")))</f>
        <v/>
      </c>
      <c r="R995">
        <f>IF($P995="","",COUNTIFS($N$6:$N$2005,$N995,$P$6:$P$2005,"&lt;"&amp;$P995)+COUNTIFS($A$6:$A$1005,$N995,$B$6:$B$1005,"&lt;"&amp;$P995)+1)</f>
        <v/>
      </c>
      <c r="S995">
        <f>IF($N995="","",$N995&amp;"|"&amp;RIGHT("000000"&amp;$R995,6))</f>
        <v/>
      </c>
      <c r="T995">
        <f>IF($N995="","",IF(Sync!$N995="",0,Sync!$N995))</f>
        <v/>
      </c>
      <c r="U995">
        <f>IF($N995="","",IF(Sync!$O995="",0,Sync!$O995))</f>
        <v/>
      </c>
      <c r="V995">
        <f>IF($N995="","",Sync!$L995)</f>
        <v/>
      </c>
      <c r="W995">
        <f>IF($N995="","",Sync!$P995)</f>
        <v/>
      </c>
      <c r="AA995">
        <f>IF($A995="","",IF(COUNTIF($A$6:$A995,$A995)=1,1,0))</f>
        <v/>
      </c>
      <c r="AB995">
        <f>SUM($AA$6:$AA995)</f>
        <v/>
      </c>
      <c r="AC995">
        <f>IFERROR(INDEX($A$6:$A$1005,MATCH(ROW()-5,$AB$6:$AB$1005,0)),"")</f>
        <v/>
      </c>
    </row>
    <row r="996">
      <c r="A996">
        <f>IF(OR(Entry!$B999="",Entry!$E999="",$E996="نامعتبر"),"",Entry!$E999)</f>
        <v/>
      </c>
      <c r="B996">
        <f>IF($A996="","",LEFT($E996,4)&amp;MID($E996,6,2)&amp;RIGHT($E996,2)&amp;$F996&amp;"|"&amp;"1"&amp;RIGHT("00000"&amp;991,5))</f>
        <v/>
      </c>
      <c r="C996">
        <f>IF($B996="","",COUNTIFS($A$6:$A$1005,$A996,$B$6:$B$1005,"&lt;"&amp;$B996)+COUNTIFS($N$6:$N$2005,$A996,$P$6:$P$2005,"&lt;"&amp;$B996)+1)</f>
        <v/>
      </c>
      <c r="D996">
        <f>IF($C996="","",$A996&amp;"|"&amp;RIGHT("000000"&amp;$C996,6))</f>
        <v/>
      </c>
      <c r="E996">
        <f>IF(Entry!$B999="","",IF(ISNUMBER(Entry!$B999),IF(AND(Entry!$B999&gt;=10000101,Entry!$B999&lt;=99991231),INT(Entry!$B999/10000)&amp;"/"&amp;RIGHT("00"&amp;INT(MOD(Entry!$B999,10000)/100),2)&amp;"/"&amp;RIGHT("00"&amp;MOD(Entry!$B999,100),2),"نامعتبر"),IF(LEN(Entry!$B999)=10,Entry!$B999,"نامعتبر")))</f>
        <v/>
      </c>
      <c r="F996">
        <f>IF(Entry!$B999="","",IF(Entry!$C999="","0000",IF(AND(ISNUMBER(Entry!$C999),Entry!$C999&gt;=0,Entry!$C999&lt;1),RIGHT("00"&amp;HOUR(Entry!$C999),2)&amp;RIGHT("00"&amp;MINUTE(Entry!$C999),2),IFERROR(RIGHT("00"&amp;VALUE(LEFT(Entry!$C999,FIND(":",Entry!$C999)-1)),2)&amp;RIGHT("00"&amp;VALUE(MID(Entry!$C999,FIND(":",Entry!$C999)+1,2)),2),"0000"))))</f>
        <v/>
      </c>
      <c r="G996">
        <f>IF($A996="","",Entry!$G999)</f>
        <v/>
      </c>
      <c r="H996">
        <f>IF($A996="","",IF(Entry!$H999="",0,Entry!$H999))</f>
        <v/>
      </c>
      <c r="I996">
        <f>IF($A996="","",IF(Entry!$I999="",0,Entry!$I999))</f>
        <v/>
      </c>
      <c r="J996">
        <f>IF($A996="","",ROUND($H996*$I996,0))</f>
        <v/>
      </c>
      <c r="K996">
        <f>IF($A996="","",Entry!$D999)</f>
        <v/>
      </c>
      <c r="L996">
        <f>IF($A996="","",Entry!$L999)</f>
        <v/>
      </c>
      <c r="N996">
        <f>IF(OR(Sync!$M996="",$Q996="",$Q996="نامعتبر"),"",Sync!$M996)</f>
        <v/>
      </c>
      <c r="O996">
        <f>IF($N996="","",$Q996)</f>
        <v/>
      </c>
      <c r="P996">
        <f>IF($N996="","",LEFT($Q996,4)&amp;MID($Q996,6,2)&amp;RIGHT($Q996,2)&amp;IF(Sync!$K996="","0000",IF(AND(ISNUMBER(Sync!$K996),Sync!$K996&gt;=0,Sync!$K996&lt;1),RIGHT("00"&amp;HOUR(Sync!$K996),2)&amp;RIGHT("00"&amp;MINUTE(Sync!$K996),2),IFERROR(RIGHT("00"&amp;VALUE(LEFT(Sync!$K996,FIND(":",Sync!$K996)-1)),2)&amp;RIGHT("00"&amp;VALUE(MID(Sync!$K996,FIND(":",Sync!$K996)+1,2)),2),"0000")))&amp;"|"&amp;"2"&amp;RIGHT("00000"&amp;991,5))</f>
        <v/>
      </c>
      <c r="Q996">
        <f>IF(Sync!$J996="","",IF(ISNUMBER(Sync!$J996),IF(AND(Sync!$J996&gt;=10000101,Sync!$J996&lt;=99991231),INT(Sync!$J996/10000)&amp;"/"&amp;RIGHT("00"&amp;INT(MOD(Sync!$J996,10000)/100),2)&amp;"/"&amp;RIGHT("00"&amp;MOD(Sync!$J996,100),2),"نامعتبر"),IF(LEN(Sync!$J996)=10,Sync!$J996,"نامعتبر")))</f>
        <v/>
      </c>
      <c r="R996">
        <f>IF($P996="","",COUNTIFS($N$6:$N$2005,$N996,$P$6:$P$2005,"&lt;"&amp;$P996)+COUNTIFS($A$6:$A$1005,$N996,$B$6:$B$1005,"&lt;"&amp;$P996)+1)</f>
        <v/>
      </c>
      <c r="S996">
        <f>IF($N996="","",$N996&amp;"|"&amp;RIGHT("000000"&amp;$R996,6))</f>
        <v/>
      </c>
      <c r="T996">
        <f>IF($N996="","",IF(Sync!$N996="",0,Sync!$N996))</f>
        <v/>
      </c>
      <c r="U996">
        <f>IF($N996="","",IF(Sync!$O996="",0,Sync!$O996))</f>
        <v/>
      </c>
      <c r="V996">
        <f>IF($N996="","",Sync!$L996)</f>
        <v/>
      </c>
      <c r="W996">
        <f>IF($N996="","",Sync!$P996)</f>
        <v/>
      </c>
      <c r="AA996">
        <f>IF($A996="","",IF(COUNTIF($A$6:$A996,$A996)=1,1,0))</f>
        <v/>
      </c>
      <c r="AB996">
        <f>SUM($AA$6:$AA996)</f>
        <v/>
      </c>
      <c r="AC996">
        <f>IFERROR(INDEX($A$6:$A$1005,MATCH(ROW()-5,$AB$6:$AB$1005,0)),"")</f>
        <v/>
      </c>
    </row>
    <row r="997">
      <c r="A997">
        <f>IF(OR(Entry!$B1000="",Entry!$E1000="",$E997="نامعتبر"),"",Entry!$E1000)</f>
        <v/>
      </c>
      <c r="B997">
        <f>IF($A997="","",LEFT($E997,4)&amp;MID($E997,6,2)&amp;RIGHT($E997,2)&amp;$F997&amp;"|"&amp;"1"&amp;RIGHT("00000"&amp;992,5))</f>
        <v/>
      </c>
      <c r="C997">
        <f>IF($B997="","",COUNTIFS($A$6:$A$1005,$A997,$B$6:$B$1005,"&lt;"&amp;$B997)+COUNTIFS($N$6:$N$2005,$A997,$P$6:$P$2005,"&lt;"&amp;$B997)+1)</f>
        <v/>
      </c>
      <c r="D997">
        <f>IF($C997="","",$A997&amp;"|"&amp;RIGHT("000000"&amp;$C997,6))</f>
        <v/>
      </c>
      <c r="E997">
        <f>IF(Entry!$B1000="","",IF(ISNUMBER(Entry!$B1000),IF(AND(Entry!$B1000&gt;=10000101,Entry!$B1000&lt;=99991231),INT(Entry!$B1000/10000)&amp;"/"&amp;RIGHT("00"&amp;INT(MOD(Entry!$B1000,10000)/100),2)&amp;"/"&amp;RIGHT("00"&amp;MOD(Entry!$B1000,100),2),"نامعتبر"),IF(LEN(Entry!$B1000)=10,Entry!$B1000,"نامعتبر")))</f>
        <v/>
      </c>
      <c r="F997">
        <f>IF(Entry!$B1000="","",IF(Entry!$C1000="","0000",IF(AND(ISNUMBER(Entry!$C1000),Entry!$C1000&gt;=0,Entry!$C1000&lt;1),RIGHT("00"&amp;HOUR(Entry!$C1000),2)&amp;RIGHT("00"&amp;MINUTE(Entry!$C1000),2),IFERROR(RIGHT("00"&amp;VALUE(LEFT(Entry!$C1000,FIND(":",Entry!$C1000)-1)),2)&amp;RIGHT("00"&amp;VALUE(MID(Entry!$C1000,FIND(":",Entry!$C1000)+1,2)),2),"0000"))))</f>
        <v/>
      </c>
      <c r="G997">
        <f>IF($A997="","",Entry!$G1000)</f>
        <v/>
      </c>
      <c r="H997">
        <f>IF($A997="","",IF(Entry!$H1000="",0,Entry!$H1000))</f>
        <v/>
      </c>
      <c r="I997">
        <f>IF($A997="","",IF(Entry!$I1000="",0,Entry!$I1000))</f>
        <v/>
      </c>
      <c r="J997">
        <f>IF($A997="","",ROUND($H997*$I997,0))</f>
        <v/>
      </c>
      <c r="K997">
        <f>IF($A997="","",Entry!$D1000)</f>
        <v/>
      </c>
      <c r="L997">
        <f>IF($A997="","",Entry!$L1000)</f>
        <v/>
      </c>
      <c r="N997">
        <f>IF(OR(Sync!$M997="",$Q997="",$Q997="نامعتبر"),"",Sync!$M997)</f>
        <v/>
      </c>
      <c r="O997">
        <f>IF($N997="","",$Q997)</f>
        <v/>
      </c>
      <c r="P997">
        <f>IF($N997="","",LEFT($Q997,4)&amp;MID($Q997,6,2)&amp;RIGHT($Q997,2)&amp;IF(Sync!$K997="","0000",IF(AND(ISNUMBER(Sync!$K997),Sync!$K997&gt;=0,Sync!$K997&lt;1),RIGHT("00"&amp;HOUR(Sync!$K997),2)&amp;RIGHT("00"&amp;MINUTE(Sync!$K997),2),IFERROR(RIGHT("00"&amp;VALUE(LEFT(Sync!$K997,FIND(":",Sync!$K997)-1)),2)&amp;RIGHT("00"&amp;VALUE(MID(Sync!$K997,FIND(":",Sync!$K997)+1,2)),2),"0000")))&amp;"|"&amp;"2"&amp;RIGHT("00000"&amp;992,5))</f>
        <v/>
      </c>
      <c r="Q997">
        <f>IF(Sync!$J997="","",IF(ISNUMBER(Sync!$J997),IF(AND(Sync!$J997&gt;=10000101,Sync!$J997&lt;=99991231),INT(Sync!$J997/10000)&amp;"/"&amp;RIGHT("00"&amp;INT(MOD(Sync!$J997,10000)/100),2)&amp;"/"&amp;RIGHT("00"&amp;MOD(Sync!$J997,100),2),"نامعتبر"),IF(LEN(Sync!$J997)=10,Sync!$J997,"نامعتبر")))</f>
        <v/>
      </c>
      <c r="R997">
        <f>IF($P997="","",COUNTIFS($N$6:$N$2005,$N997,$P$6:$P$2005,"&lt;"&amp;$P997)+COUNTIFS($A$6:$A$1005,$N997,$B$6:$B$1005,"&lt;"&amp;$P997)+1)</f>
        <v/>
      </c>
      <c r="S997">
        <f>IF($N997="","",$N997&amp;"|"&amp;RIGHT("000000"&amp;$R997,6))</f>
        <v/>
      </c>
      <c r="T997">
        <f>IF($N997="","",IF(Sync!$N997="",0,Sync!$N997))</f>
        <v/>
      </c>
      <c r="U997">
        <f>IF($N997="","",IF(Sync!$O997="",0,Sync!$O997))</f>
        <v/>
      </c>
      <c r="V997">
        <f>IF($N997="","",Sync!$L997)</f>
        <v/>
      </c>
      <c r="W997">
        <f>IF($N997="","",Sync!$P997)</f>
        <v/>
      </c>
      <c r="AA997">
        <f>IF($A997="","",IF(COUNTIF($A$6:$A997,$A997)=1,1,0))</f>
        <v/>
      </c>
      <c r="AB997">
        <f>SUM($AA$6:$AA997)</f>
        <v/>
      </c>
      <c r="AC997">
        <f>IFERROR(INDEX($A$6:$A$1005,MATCH(ROW()-5,$AB$6:$AB$1005,0)),"")</f>
        <v/>
      </c>
    </row>
    <row r="998">
      <c r="A998">
        <f>IF(OR(Entry!$B1001="",Entry!$E1001="",$E998="نامعتبر"),"",Entry!$E1001)</f>
        <v/>
      </c>
      <c r="B998">
        <f>IF($A998="","",LEFT($E998,4)&amp;MID($E998,6,2)&amp;RIGHT($E998,2)&amp;$F998&amp;"|"&amp;"1"&amp;RIGHT("00000"&amp;993,5))</f>
        <v/>
      </c>
      <c r="C998">
        <f>IF($B998="","",COUNTIFS($A$6:$A$1005,$A998,$B$6:$B$1005,"&lt;"&amp;$B998)+COUNTIFS($N$6:$N$2005,$A998,$P$6:$P$2005,"&lt;"&amp;$B998)+1)</f>
        <v/>
      </c>
      <c r="D998">
        <f>IF($C998="","",$A998&amp;"|"&amp;RIGHT("000000"&amp;$C998,6))</f>
        <v/>
      </c>
      <c r="E998">
        <f>IF(Entry!$B1001="","",IF(ISNUMBER(Entry!$B1001),IF(AND(Entry!$B1001&gt;=10000101,Entry!$B1001&lt;=99991231),INT(Entry!$B1001/10000)&amp;"/"&amp;RIGHT("00"&amp;INT(MOD(Entry!$B1001,10000)/100),2)&amp;"/"&amp;RIGHT("00"&amp;MOD(Entry!$B1001,100),2),"نامعتبر"),IF(LEN(Entry!$B1001)=10,Entry!$B1001,"نامعتبر")))</f>
        <v/>
      </c>
      <c r="F998">
        <f>IF(Entry!$B1001="","",IF(Entry!$C1001="","0000",IF(AND(ISNUMBER(Entry!$C1001),Entry!$C1001&gt;=0,Entry!$C1001&lt;1),RIGHT("00"&amp;HOUR(Entry!$C1001),2)&amp;RIGHT("00"&amp;MINUTE(Entry!$C1001),2),IFERROR(RIGHT("00"&amp;VALUE(LEFT(Entry!$C1001,FIND(":",Entry!$C1001)-1)),2)&amp;RIGHT("00"&amp;VALUE(MID(Entry!$C1001,FIND(":",Entry!$C1001)+1,2)),2),"0000"))))</f>
        <v/>
      </c>
      <c r="G998">
        <f>IF($A998="","",Entry!$G1001)</f>
        <v/>
      </c>
      <c r="H998">
        <f>IF($A998="","",IF(Entry!$H1001="",0,Entry!$H1001))</f>
        <v/>
      </c>
      <c r="I998">
        <f>IF($A998="","",IF(Entry!$I1001="",0,Entry!$I1001))</f>
        <v/>
      </c>
      <c r="J998">
        <f>IF($A998="","",ROUND($H998*$I998,0))</f>
        <v/>
      </c>
      <c r="K998">
        <f>IF($A998="","",Entry!$D1001)</f>
        <v/>
      </c>
      <c r="L998">
        <f>IF($A998="","",Entry!$L1001)</f>
        <v/>
      </c>
      <c r="N998">
        <f>IF(OR(Sync!$M998="",$Q998="",$Q998="نامعتبر"),"",Sync!$M998)</f>
        <v/>
      </c>
      <c r="O998">
        <f>IF($N998="","",$Q998)</f>
        <v/>
      </c>
      <c r="P998">
        <f>IF($N998="","",LEFT($Q998,4)&amp;MID($Q998,6,2)&amp;RIGHT($Q998,2)&amp;IF(Sync!$K998="","0000",IF(AND(ISNUMBER(Sync!$K998),Sync!$K998&gt;=0,Sync!$K998&lt;1),RIGHT("00"&amp;HOUR(Sync!$K998),2)&amp;RIGHT("00"&amp;MINUTE(Sync!$K998),2),IFERROR(RIGHT("00"&amp;VALUE(LEFT(Sync!$K998,FIND(":",Sync!$K998)-1)),2)&amp;RIGHT("00"&amp;VALUE(MID(Sync!$K998,FIND(":",Sync!$K998)+1,2)),2),"0000")))&amp;"|"&amp;"2"&amp;RIGHT("00000"&amp;993,5))</f>
        <v/>
      </c>
      <c r="Q998">
        <f>IF(Sync!$J998="","",IF(ISNUMBER(Sync!$J998),IF(AND(Sync!$J998&gt;=10000101,Sync!$J998&lt;=99991231),INT(Sync!$J998/10000)&amp;"/"&amp;RIGHT("00"&amp;INT(MOD(Sync!$J998,10000)/100),2)&amp;"/"&amp;RIGHT("00"&amp;MOD(Sync!$J998,100),2),"نامعتبر"),IF(LEN(Sync!$J998)=10,Sync!$J998,"نامعتبر")))</f>
        <v/>
      </c>
      <c r="R998">
        <f>IF($P998="","",COUNTIFS($N$6:$N$2005,$N998,$P$6:$P$2005,"&lt;"&amp;$P998)+COUNTIFS($A$6:$A$1005,$N998,$B$6:$B$1005,"&lt;"&amp;$P998)+1)</f>
        <v/>
      </c>
      <c r="S998">
        <f>IF($N998="","",$N998&amp;"|"&amp;RIGHT("000000"&amp;$R998,6))</f>
        <v/>
      </c>
      <c r="T998">
        <f>IF($N998="","",IF(Sync!$N998="",0,Sync!$N998))</f>
        <v/>
      </c>
      <c r="U998">
        <f>IF($N998="","",IF(Sync!$O998="",0,Sync!$O998))</f>
        <v/>
      </c>
      <c r="V998">
        <f>IF($N998="","",Sync!$L998)</f>
        <v/>
      </c>
      <c r="W998">
        <f>IF($N998="","",Sync!$P998)</f>
        <v/>
      </c>
      <c r="AA998">
        <f>IF($A998="","",IF(COUNTIF($A$6:$A998,$A998)=1,1,0))</f>
        <v/>
      </c>
      <c r="AB998">
        <f>SUM($AA$6:$AA998)</f>
        <v/>
      </c>
      <c r="AC998">
        <f>IFERROR(INDEX($A$6:$A$1005,MATCH(ROW()-5,$AB$6:$AB$1005,0)),"")</f>
        <v/>
      </c>
    </row>
    <row r="999">
      <c r="A999">
        <f>IF(OR(Entry!$B1002="",Entry!$E1002="",$E999="نامعتبر"),"",Entry!$E1002)</f>
        <v/>
      </c>
      <c r="B999">
        <f>IF($A999="","",LEFT($E999,4)&amp;MID($E999,6,2)&amp;RIGHT($E999,2)&amp;$F999&amp;"|"&amp;"1"&amp;RIGHT("00000"&amp;994,5))</f>
        <v/>
      </c>
      <c r="C999">
        <f>IF($B999="","",COUNTIFS($A$6:$A$1005,$A999,$B$6:$B$1005,"&lt;"&amp;$B999)+COUNTIFS($N$6:$N$2005,$A999,$P$6:$P$2005,"&lt;"&amp;$B999)+1)</f>
        <v/>
      </c>
      <c r="D999">
        <f>IF($C999="","",$A999&amp;"|"&amp;RIGHT("000000"&amp;$C999,6))</f>
        <v/>
      </c>
      <c r="E999">
        <f>IF(Entry!$B1002="","",IF(ISNUMBER(Entry!$B1002),IF(AND(Entry!$B1002&gt;=10000101,Entry!$B1002&lt;=99991231),INT(Entry!$B1002/10000)&amp;"/"&amp;RIGHT("00"&amp;INT(MOD(Entry!$B1002,10000)/100),2)&amp;"/"&amp;RIGHT("00"&amp;MOD(Entry!$B1002,100),2),"نامعتبر"),IF(LEN(Entry!$B1002)=10,Entry!$B1002,"نامعتبر")))</f>
        <v/>
      </c>
      <c r="F999">
        <f>IF(Entry!$B1002="","",IF(Entry!$C1002="","0000",IF(AND(ISNUMBER(Entry!$C1002),Entry!$C1002&gt;=0,Entry!$C1002&lt;1),RIGHT("00"&amp;HOUR(Entry!$C1002),2)&amp;RIGHT("00"&amp;MINUTE(Entry!$C1002),2),IFERROR(RIGHT("00"&amp;VALUE(LEFT(Entry!$C1002,FIND(":",Entry!$C1002)-1)),2)&amp;RIGHT("00"&amp;VALUE(MID(Entry!$C1002,FIND(":",Entry!$C1002)+1,2)),2),"0000"))))</f>
        <v/>
      </c>
      <c r="G999">
        <f>IF($A999="","",Entry!$G1002)</f>
        <v/>
      </c>
      <c r="H999">
        <f>IF($A999="","",IF(Entry!$H1002="",0,Entry!$H1002))</f>
        <v/>
      </c>
      <c r="I999">
        <f>IF($A999="","",IF(Entry!$I1002="",0,Entry!$I1002))</f>
        <v/>
      </c>
      <c r="J999">
        <f>IF($A999="","",ROUND($H999*$I999,0))</f>
        <v/>
      </c>
      <c r="K999">
        <f>IF($A999="","",Entry!$D1002)</f>
        <v/>
      </c>
      <c r="L999">
        <f>IF($A999="","",Entry!$L1002)</f>
        <v/>
      </c>
      <c r="N999">
        <f>IF(OR(Sync!$M999="",$Q999="",$Q999="نامعتبر"),"",Sync!$M999)</f>
        <v/>
      </c>
      <c r="O999">
        <f>IF($N999="","",$Q999)</f>
        <v/>
      </c>
      <c r="P999">
        <f>IF($N999="","",LEFT($Q999,4)&amp;MID($Q999,6,2)&amp;RIGHT($Q999,2)&amp;IF(Sync!$K999="","0000",IF(AND(ISNUMBER(Sync!$K999),Sync!$K999&gt;=0,Sync!$K999&lt;1),RIGHT("00"&amp;HOUR(Sync!$K999),2)&amp;RIGHT("00"&amp;MINUTE(Sync!$K999),2),IFERROR(RIGHT("00"&amp;VALUE(LEFT(Sync!$K999,FIND(":",Sync!$K999)-1)),2)&amp;RIGHT("00"&amp;VALUE(MID(Sync!$K999,FIND(":",Sync!$K999)+1,2)),2),"0000")))&amp;"|"&amp;"2"&amp;RIGHT("00000"&amp;994,5))</f>
        <v/>
      </c>
      <c r="Q999">
        <f>IF(Sync!$J999="","",IF(ISNUMBER(Sync!$J999),IF(AND(Sync!$J999&gt;=10000101,Sync!$J999&lt;=99991231),INT(Sync!$J999/10000)&amp;"/"&amp;RIGHT("00"&amp;INT(MOD(Sync!$J999,10000)/100),2)&amp;"/"&amp;RIGHT("00"&amp;MOD(Sync!$J999,100),2),"نامعتبر"),IF(LEN(Sync!$J999)=10,Sync!$J999,"نامعتبر")))</f>
        <v/>
      </c>
      <c r="R999">
        <f>IF($P999="","",COUNTIFS($N$6:$N$2005,$N999,$P$6:$P$2005,"&lt;"&amp;$P999)+COUNTIFS($A$6:$A$1005,$N999,$B$6:$B$1005,"&lt;"&amp;$P999)+1)</f>
        <v/>
      </c>
      <c r="S999">
        <f>IF($N999="","",$N999&amp;"|"&amp;RIGHT("000000"&amp;$R999,6))</f>
        <v/>
      </c>
      <c r="T999">
        <f>IF($N999="","",IF(Sync!$N999="",0,Sync!$N999))</f>
        <v/>
      </c>
      <c r="U999">
        <f>IF($N999="","",IF(Sync!$O999="",0,Sync!$O999))</f>
        <v/>
      </c>
      <c r="V999">
        <f>IF($N999="","",Sync!$L999)</f>
        <v/>
      </c>
      <c r="W999">
        <f>IF($N999="","",Sync!$P999)</f>
        <v/>
      </c>
      <c r="AA999">
        <f>IF($A999="","",IF(COUNTIF($A$6:$A999,$A999)=1,1,0))</f>
        <v/>
      </c>
      <c r="AB999">
        <f>SUM($AA$6:$AA999)</f>
        <v/>
      </c>
      <c r="AC999">
        <f>IFERROR(INDEX($A$6:$A$1005,MATCH(ROW()-5,$AB$6:$AB$1005,0)),"")</f>
        <v/>
      </c>
    </row>
    <row r="1000">
      <c r="A1000">
        <f>IF(OR(Entry!$B1003="",Entry!$E1003="",$E1000="نامعتبر"),"",Entry!$E1003)</f>
        <v/>
      </c>
      <c r="B1000">
        <f>IF($A1000="","",LEFT($E1000,4)&amp;MID($E1000,6,2)&amp;RIGHT($E1000,2)&amp;$F1000&amp;"|"&amp;"1"&amp;RIGHT("00000"&amp;995,5))</f>
        <v/>
      </c>
      <c r="C1000">
        <f>IF($B1000="","",COUNTIFS($A$6:$A$1005,$A1000,$B$6:$B$1005,"&lt;"&amp;$B1000)+COUNTIFS($N$6:$N$2005,$A1000,$P$6:$P$2005,"&lt;"&amp;$B1000)+1)</f>
        <v/>
      </c>
      <c r="D1000">
        <f>IF($C1000="","",$A1000&amp;"|"&amp;RIGHT("000000"&amp;$C1000,6))</f>
        <v/>
      </c>
      <c r="E1000">
        <f>IF(Entry!$B1003="","",IF(ISNUMBER(Entry!$B1003),IF(AND(Entry!$B1003&gt;=10000101,Entry!$B1003&lt;=99991231),INT(Entry!$B1003/10000)&amp;"/"&amp;RIGHT("00"&amp;INT(MOD(Entry!$B1003,10000)/100),2)&amp;"/"&amp;RIGHT("00"&amp;MOD(Entry!$B1003,100),2),"نامعتبر"),IF(LEN(Entry!$B1003)=10,Entry!$B1003,"نامعتبر")))</f>
        <v/>
      </c>
      <c r="F1000">
        <f>IF(Entry!$B1003="","",IF(Entry!$C1003="","0000",IF(AND(ISNUMBER(Entry!$C1003),Entry!$C1003&gt;=0,Entry!$C1003&lt;1),RIGHT("00"&amp;HOUR(Entry!$C1003),2)&amp;RIGHT("00"&amp;MINUTE(Entry!$C1003),2),IFERROR(RIGHT("00"&amp;VALUE(LEFT(Entry!$C1003,FIND(":",Entry!$C1003)-1)),2)&amp;RIGHT("00"&amp;VALUE(MID(Entry!$C1003,FIND(":",Entry!$C1003)+1,2)),2),"0000"))))</f>
        <v/>
      </c>
      <c r="G1000">
        <f>IF($A1000="","",Entry!$G1003)</f>
        <v/>
      </c>
      <c r="H1000">
        <f>IF($A1000="","",IF(Entry!$H1003="",0,Entry!$H1003))</f>
        <v/>
      </c>
      <c r="I1000">
        <f>IF($A1000="","",IF(Entry!$I1003="",0,Entry!$I1003))</f>
        <v/>
      </c>
      <c r="J1000">
        <f>IF($A1000="","",ROUND($H1000*$I1000,0))</f>
        <v/>
      </c>
      <c r="K1000">
        <f>IF($A1000="","",Entry!$D1003)</f>
        <v/>
      </c>
      <c r="L1000">
        <f>IF($A1000="","",Entry!$L1003)</f>
        <v/>
      </c>
      <c r="N1000">
        <f>IF(OR(Sync!$M1000="",$Q1000="",$Q1000="نامعتبر"),"",Sync!$M1000)</f>
        <v/>
      </c>
      <c r="O1000">
        <f>IF($N1000="","",$Q1000)</f>
        <v/>
      </c>
      <c r="P1000">
        <f>IF($N1000="","",LEFT($Q1000,4)&amp;MID($Q1000,6,2)&amp;RIGHT($Q1000,2)&amp;IF(Sync!$K1000="","0000",IF(AND(ISNUMBER(Sync!$K1000),Sync!$K1000&gt;=0,Sync!$K1000&lt;1),RIGHT("00"&amp;HOUR(Sync!$K1000),2)&amp;RIGHT("00"&amp;MINUTE(Sync!$K1000),2),IFERROR(RIGHT("00"&amp;VALUE(LEFT(Sync!$K1000,FIND(":",Sync!$K1000)-1)),2)&amp;RIGHT("00"&amp;VALUE(MID(Sync!$K1000,FIND(":",Sync!$K1000)+1,2)),2),"0000")))&amp;"|"&amp;"2"&amp;RIGHT("00000"&amp;995,5))</f>
        <v/>
      </c>
      <c r="Q1000">
        <f>IF(Sync!$J1000="","",IF(ISNUMBER(Sync!$J1000),IF(AND(Sync!$J1000&gt;=10000101,Sync!$J1000&lt;=99991231),INT(Sync!$J1000/10000)&amp;"/"&amp;RIGHT("00"&amp;INT(MOD(Sync!$J1000,10000)/100),2)&amp;"/"&amp;RIGHT("00"&amp;MOD(Sync!$J1000,100),2),"نامعتبر"),IF(LEN(Sync!$J1000)=10,Sync!$J1000,"نامعتبر")))</f>
        <v/>
      </c>
      <c r="R1000">
        <f>IF($P1000="","",COUNTIFS($N$6:$N$2005,$N1000,$P$6:$P$2005,"&lt;"&amp;$P1000)+COUNTIFS($A$6:$A$1005,$N1000,$B$6:$B$1005,"&lt;"&amp;$P1000)+1)</f>
        <v/>
      </c>
      <c r="S1000">
        <f>IF($N1000="","",$N1000&amp;"|"&amp;RIGHT("000000"&amp;$R1000,6))</f>
        <v/>
      </c>
      <c r="T1000">
        <f>IF($N1000="","",IF(Sync!$N1000="",0,Sync!$N1000))</f>
        <v/>
      </c>
      <c r="U1000">
        <f>IF($N1000="","",IF(Sync!$O1000="",0,Sync!$O1000))</f>
        <v/>
      </c>
      <c r="V1000">
        <f>IF($N1000="","",Sync!$L1000)</f>
        <v/>
      </c>
      <c r="W1000">
        <f>IF($N1000="","",Sync!$P1000)</f>
        <v/>
      </c>
      <c r="AA1000">
        <f>IF($A1000="","",IF(COUNTIF($A$6:$A1000,$A1000)=1,1,0))</f>
        <v/>
      </c>
      <c r="AB1000">
        <f>SUM($AA$6:$AA1000)</f>
        <v/>
      </c>
      <c r="AC1000">
        <f>IFERROR(INDEX($A$6:$A$1005,MATCH(ROW()-5,$AB$6:$AB$1005,0)),"")</f>
        <v/>
      </c>
    </row>
    <row r="1001">
      <c r="A1001">
        <f>IF(OR(Entry!$B1004="",Entry!$E1004="",$E1001="نامعتبر"),"",Entry!$E1004)</f>
        <v/>
      </c>
      <c r="B1001">
        <f>IF($A1001="","",LEFT($E1001,4)&amp;MID($E1001,6,2)&amp;RIGHT($E1001,2)&amp;$F1001&amp;"|"&amp;"1"&amp;RIGHT("00000"&amp;996,5))</f>
        <v/>
      </c>
      <c r="C1001">
        <f>IF($B1001="","",COUNTIFS($A$6:$A$1005,$A1001,$B$6:$B$1005,"&lt;"&amp;$B1001)+COUNTIFS($N$6:$N$2005,$A1001,$P$6:$P$2005,"&lt;"&amp;$B1001)+1)</f>
        <v/>
      </c>
      <c r="D1001">
        <f>IF($C1001="","",$A1001&amp;"|"&amp;RIGHT("000000"&amp;$C1001,6))</f>
        <v/>
      </c>
      <c r="E1001">
        <f>IF(Entry!$B1004="","",IF(ISNUMBER(Entry!$B1004),IF(AND(Entry!$B1004&gt;=10000101,Entry!$B1004&lt;=99991231),INT(Entry!$B1004/10000)&amp;"/"&amp;RIGHT("00"&amp;INT(MOD(Entry!$B1004,10000)/100),2)&amp;"/"&amp;RIGHT("00"&amp;MOD(Entry!$B1004,100),2),"نامعتبر"),IF(LEN(Entry!$B1004)=10,Entry!$B1004,"نامعتبر")))</f>
        <v/>
      </c>
      <c r="F1001">
        <f>IF(Entry!$B1004="","",IF(Entry!$C1004="","0000",IF(AND(ISNUMBER(Entry!$C1004),Entry!$C1004&gt;=0,Entry!$C1004&lt;1),RIGHT("00"&amp;HOUR(Entry!$C1004),2)&amp;RIGHT("00"&amp;MINUTE(Entry!$C1004),2),IFERROR(RIGHT("00"&amp;VALUE(LEFT(Entry!$C1004,FIND(":",Entry!$C1004)-1)),2)&amp;RIGHT("00"&amp;VALUE(MID(Entry!$C1004,FIND(":",Entry!$C1004)+1,2)),2),"0000"))))</f>
        <v/>
      </c>
      <c r="G1001">
        <f>IF($A1001="","",Entry!$G1004)</f>
        <v/>
      </c>
      <c r="H1001">
        <f>IF($A1001="","",IF(Entry!$H1004="",0,Entry!$H1004))</f>
        <v/>
      </c>
      <c r="I1001">
        <f>IF($A1001="","",IF(Entry!$I1004="",0,Entry!$I1004))</f>
        <v/>
      </c>
      <c r="J1001">
        <f>IF($A1001="","",ROUND($H1001*$I1001,0))</f>
        <v/>
      </c>
      <c r="K1001">
        <f>IF($A1001="","",Entry!$D1004)</f>
        <v/>
      </c>
      <c r="L1001">
        <f>IF($A1001="","",Entry!$L1004)</f>
        <v/>
      </c>
      <c r="N1001">
        <f>IF(OR(Sync!$M1001="",$Q1001="",$Q1001="نامعتبر"),"",Sync!$M1001)</f>
        <v/>
      </c>
      <c r="O1001">
        <f>IF($N1001="","",$Q1001)</f>
        <v/>
      </c>
      <c r="P1001">
        <f>IF($N1001="","",LEFT($Q1001,4)&amp;MID($Q1001,6,2)&amp;RIGHT($Q1001,2)&amp;IF(Sync!$K1001="","0000",IF(AND(ISNUMBER(Sync!$K1001),Sync!$K1001&gt;=0,Sync!$K1001&lt;1),RIGHT("00"&amp;HOUR(Sync!$K1001),2)&amp;RIGHT("00"&amp;MINUTE(Sync!$K1001),2),IFERROR(RIGHT("00"&amp;VALUE(LEFT(Sync!$K1001,FIND(":",Sync!$K1001)-1)),2)&amp;RIGHT("00"&amp;VALUE(MID(Sync!$K1001,FIND(":",Sync!$K1001)+1,2)),2),"0000")))&amp;"|"&amp;"2"&amp;RIGHT("00000"&amp;996,5))</f>
        <v/>
      </c>
      <c r="Q1001">
        <f>IF(Sync!$J1001="","",IF(ISNUMBER(Sync!$J1001),IF(AND(Sync!$J1001&gt;=10000101,Sync!$J1001&lt;=99991231),INT(Sync!$J1001/10000)&amp;"/"&amp;RIGHT("00"&amp;INT(MOD(Sync!$J1001,10000)/100),2)&amp;"/"&amp;RIGHT("00"&amp;MOD(Sync!$J1001,100),2),"نامعتبر"),IF(LEN(Sync!$J1001)=10,Sync!$J1001,"نامعتبر")))</f>
        <v/>
      </c>
      <c r="R1001">
        <f>IF($P1001="","",COUNTIFS($N$6:$N$2005,$N1001,$P$6:$P$2005,"&lt;"&amp;$P1001)+COUNTIFS($A$6:$A$1005,$N1001,$B$6:$B$1005,"&lt;"&amp;$P1001)+1)</f>
        <v/>
      </c>
      <c r="S1001">
        <f>IF($N1001="","",$N1001&amp;"|"&amp;RIGHT("000000"&amp;$R1001,6))</f>
        <v/>
      </c>
      <c r="T1001">
        <f>IF($N1001="","",IF(Sync!$N1001="",0,Sync!$N1001))</f>
        <v/>
      </c>
      <c r="U1001">
        <f>IF($N1001="","",IF(Sync!$O1001="",0,Sync!$O1001))</f>
        <v/>
      </c>
      <c r="V1001">
        <f>IF($N1001="","",Sync!$L1001)</f>
        <v/>
      </c>
      <c r="W1001">
        <f>IF($N1001="","",Sync!$P1001)</f>
        <v/>
      </c>
      <c r="AA1001">
        <f>IF($A1001="","",IF(COUNTIF($A$6:$A1001,$A1001)=1,1,0))</f>
        <v/>
      </c>
      <c r="AB1001">
        <f>SUM($AA$6:$AA1001)</f>
        <v/>
      </c>
      <c r="AC1001">
        <f>IFERROR(INDEX($A$6:$A$1005,MATCH(ROW()-5,$AB$6:$AB$1005,0)),"")</f>
        <v/>
      </c>
    </row>
    <row r="1002">
      <c r="A1002">
        <f>IF(OR(Entry!$B1005="",Entry!$E1005="",$E1002="نامعتبر"),"",Entry!$E1005)</f>
        <v/>
      </c>
      <c r="B1002">
        <f>IF($A1002="","",LEFT($E1002,4)&amp;MID($E1002,6,2)&amp;RIGHT($E1002,2)&amp;$F1002&amp;"|"&amp;"1"&amp;RIGHT("00000"&amp;997,5))</f>
        <v/>
      </c>
      <c r="C1002">
        <f>IF($B1002="","",COUNTIFS($A$6:$A$1005,$A1002,$B$6:$B$1005,"&lt;"&amp;$B1002)+COUNTIFS($N$6:$N$2005,$A1002,$P$6:$P$2005,"&lt;"&amp;$B1002)+1)</f>
        <v/>
      </c>
      <c r="D1002">
        <f>IF($C1002="","",$A1002&amp;"|"&amp;RIGHT("000000"&amp;$C1002,6))</f>
        <v/>
      </c>
      <c r="E1002">
        <f>IF(Entry!$B1005="","",IF(ISNUMBER(Entry!$B1005),IF(AND(Entry!$B1005&gt;=10000101,Entry!$B1005&lt;=99991231),INT(Entry!$B1005/10000)&amp;"/"&amp;RIGHT("00"&amp;INT(MOD(Entry!$B1005,10000)/100),2)&amp;"/"&amp;RIGHT("00"&amp;MOD(Entry!$B1005,100),2),"نامعتبر"),IF(LEN(Entry!$B1005)=10,Entry!$B1005,"نامعتبر")))</f>
        <v/>
      </c>
      <c r="F1002">
        <f>IF(Entry!$B1005="","",IF(Entry!$C1005="","0000",IF(AND(ISNUMBER(Entry!$C1005),Entry!$C1005&gt;=0,Entry!$C1005&lt;1),RIGHT("00"&amp;HOUR(Entry!$C1005),2)&amp;RIGHT("00"&amp;MINUTE(Entry!$C1005),2),IFERROR(RIGHT("00"&amp;VALUE(LEFT(Entry!$C1005,FIND(":",Entry!$C1005)-1)),2)&amp;RIGHT("00"&amp;VALUE(MID(Entry!$C1005,FIND(":",Entry!$C1005)+1,2)),2),"0000"))))</f>
        <v/>
      </c>
      <c r="G1002">
        <f>IF($A1002="","",Entry!$G1005)</f>
        <v/>
      </c>
      <c r="H1002">
        <f>IF($A1002="","",IF(Entry!$H1005="",0,Entry!$H1005))</f>
        <v/>
      </c>
      <c r="I1002">
        <f>IF($A1002="","",IF(Entry!$I1005="",0,Entry!$I1005))</f>
        <v/>
      </c>
      <c r="J1002">
        <f>IF($A1002="","",ROUND($H1002*$I1002,0))</f>
        <v/>
      </c>
      <c r="K1002">
        <f>IF($A1002="","",Entry!$D1005)</f>
        <v/>
      </c>
      <c r="L1002">
        <f>IF($A1002="","",Entry!$L1005)</f>
        <v/>
      </c>
      <c r="N1002">
        <f>IF(OR(Sync!$M1002="",$Q1002="",$Q1002="نامعتبر"),"",Sync!$M1002)</f>
        <v/>
      </c>
      <c r="O1002">
        <f>IF($N1002="","",$Q1002)</f>
        <v/>
      </c>
      <c r="P1002">
        <f>IF($N1002="","",LEFT($Q1002,4)&amp;MID($Q1002,6,2)&amp;RIGHT($Q1002,2)&amp;IF(Sync!$K1002="","0000",IF(AND(ISNUMBER(Sync!$K1002),Sync!$K1002&gt;=0,Sync!$K1002&lt;1),RIGHT("00"&amp;HOUR(Sync!$K1002),2)&amp;RIGHT("00"&amp;MINUTE(Sync!$K1002),2),IFERROR(RIGHT("00"&amp;VALUE(LEFT(Sync!$K1002,FIND(":",Sync!$K1002)-1)),2)&amp;RIGHT("00"&amp;VALUE(MID(Sync!$K1002,FIND(":",Sync!$K1002)+1,2)),2),"0000")))&amp;"|"&amp;"2"&amp;RIGHT("00000"&amp;997,5))</f>
        <v/>
      </c>
      <c r="Q1002">
        <f>IF(Sync!$J1002="","",IF(ISNUMBER(Sync!$J1002),IF(AND(Sync!$J1002&gt;=10000101,Sync!$J1002&lt;=99991231),INT(Sync!$J1002/10000)&amp;"/"&amp;RIGHT("00"&amp;INT(MOD(Sync!$J1002,10000)/100),2)&amp;"/"&amp;RIGHT("00"&amp;MOD(Sync!$J1002,100),2),"نامعتبر"),IF(LEN(Sync!$J1002)=10,Sync!$J1002,"نامعتبر")))</f>
        <v/>
      </c>
      <c r="R1002">
        <f>IF($P1002="","",COUNTIFS($N$6:$N$2005,$N1002,$P$6:$P$2005,"&lt;"&amp;$P1002)+COUNTIFS($A$6:$A$1005,$N1002,$B$6:$B$1005,"&lt;"&amp;$P1002)+1)</f>
        <v/>
      </c>
      <c r="S1002">
        <f>IF($N1002="","",$N1002&amp;"|"&amp;RIGHT("000000"&amp;$R1002,6))</f>
        <v/>
      </c>
      <c r="T1002">
        <f>IF($N1002="","",IF(Sync!$N1002="",0,Sync!$N1002))</f>
        <v/>
      </c>
      <c r="U1002">
        <f>IF($N1002="","",IF(Sync!$O1002="",0,Sync!$O1002))</f>
        <v/>
      </c>
      <c r="V1002">
        <f>IF($N1002="","",Sync!$L1002)</f>
        <v/>
      </c>
      <c r="W1002">
        <f>IF($N1002="","",Sync!$P1002)</f>
        <v/>
      </c>
      <c r="AA1002">
        <f>IF($A1002="","",IF(COUNTIF($A$6:$A1002,$A1002)=1,1,0))</f>
        <v/>
      </c>
      <c r="AB1002">
        <f>SUM($AA$6:$AA1002)</f>
        <v/>
      </c>
      <c r="AC1002">
        <f>IFERROR(INDEX($A$6:$A$1005,MATCH(ROW()-5,$AB$6:$AB$1005,0)),"")</f>
        <v/>
      </c>
    </row>
    <row r="1003">
      <c r="A1003">
        <f>IF(OR(Entry!$B1006="",Entry!$E1006="",$E1003="نامعتبر"),"",Entry!$E1006)</f>
        <v/>
      </c>
      <c r="B1003">
        <f>IF($A1003="","",LEFT($E1003,4)&amp;MID($E1003,6,2)&amp;RIGHT($E1003,2)&amp;$F1003&amp;"|"&amp;"1"&amp;RIGHT("00000"&amp;998,5))</f>
        <v/>
      </c>
      <c r="C1003">
        <f>IF($B1003="","",COUNTIFS($A$6:$A$1005,$A1003,$B$6:$B$1005,"&lt;"&amp;$B1003)+COUNTIFS($N$6:$N$2005,$A1003,$P$6:$P$2005,"&lt;"&amp;$B1003)+1)</f>
        <v/>
      </c>
      <c r="D1003">
        <f>IF($C1003="","",$A1003&amp;"|"&amp;RIGHT("000000"&amp;$C1003,6))</f>
        <v/>
      </c>
      <c r="E1003">
        <f>IF(Entry!$B1006="","",IF(ISNUMBER(Entry!$B1006),IF(AND(Entry!$B1006&gt;=10000101,Entry!$B1006&lt;=99991231),INT(Entry!$B1006/10000)&amp;"/"&amp;RIGHT("00"&amp;INT(MOD(Entry!$B1006,10000)/100),2)&amp;"/"&amp;RIGHT("00"&amp;MOD(Entry!$B1006,100),2),"نامعتبر"),IF(LEN(Entry!$B1006)=10,Entry!$B1006,"نامعتبر")))</f>
        <v/>
      </c>
      <c r="F1003">
        <f>IF(Entry!$B1006="","",IF(Entry!$C1006="","0000",IF(AND(ISNUMBER(Entry!$C1006),Entry!$C1006&gt;=0,Entry!$C1006&lt;1),RIGHT("00"&amp;HOUR(Entry!$C1006),2)&amp;RIGHT("00"&amp;MINUTE(Entry!$C1006),2),IFERROR(RIGHT("00"&amp;VALUE(LEFT(Entry!$C1006,FIND(":",Entry!$C1006)-1)),2)&amp;RIGHT("00"&amp;VALUE(MID(Entry!$C1006,FIND(":",Entry!$C1006)+1,2)),2),"0000"))))</f>
        <v/>
      </c>
      <c r="G1003">
        <f>IF($A1003="","",Entry!$G1006)</f>
        <v/>
      </c>
      <c r="H1003">
        <f>IF($A1003="","",IF(Entry!$H1006="",0,Entry!$H1006))</f>
        <v/>
      </c>
      <c r="I1003">
        <f>IF($A1003="","",IF(Entry!$I1006="",0,Entry!$I1006))</f>
        <v/>
      </c>
      <c r="J1003">
        <f>IF($A1003="","",ROUND($H1003*$I1003,0))</f>
        <v/>
      </c>
      <c r="K1003">
        <f>IF($A1003="","",Entry!$D1006)</f>
        <v/>
      </c>
      <c r="L1003">
        <f>IF($A1003="","",Entry!$L1006)</f>
        <v/>
      </c>
      <c r="N1003">
        <f>IF(OR(Sync!$M1003="",$Q1003="",$Q1003="نامعتبر"),"",Sync!$M1003)</f>
        <v/>
      </c>
      <c r="O1003">
        <f>IF($N1003="","",$Q1003)</f>
        <v/>
      </c>
      <c r="P1003">
        <f>IF($N1003="","",LEFT($Q1003,4)&amp;MID($Q1003,6,2)&amp;RIGHT($Q1003,2)&amp;IF(Sync!$K1003="","0000",IF(AND(ISNUMBER(Sync!$K1003),Sync!$K1003&gt;=0,Sync!$K1003&lt;1),RIGHT("00"&amp;HOUR(Sync!$K1003),2)&amp;RIGHT("00"&amp;MINUTE(Sync!$K1003),2),IFERROR(RIGHT("00"&amp;VALUE(LEFT(Sync!$K1003,FIND(":",Sync!$K1003)-1)),2)&amp;RIGHT("00"&amp;VALUE(MID(Sync!$K1003,FIND(":",Sync!$K1003)+1,2)),2),"0000")))&amp;"|"&amp;"2"&amp;RIGHT("00000"&amp;998,5))</f>
        <v/>
      </c>
      <c r="Q1003">
        <f>IF(Sync!$J1003="","",IF(ISNUMBER(Sync!$J1003),IF(AND(Sync!$J1003&gt;=10000101,Sync!$J1003&lt;=99991231),INT(Sync!$J1003/10000)&amp;"/"&amp;RIGHT("00"&amp;INT(MOD(Sync!$J1003,10000)/100),2)&amp;"/"&amp;RIGHT("00"&amp;MOD(Sync!$J1003,100),2),"نامعتبر"),IF(LEN(Sync!$J1003)=10,Sync!$J1003,"نامعتبر")))</f>
        <v/>
      </c>
      <c r="R1003">
        <f>IF($P1003="","",COUNTIFS($N$6:$N$2005,$N1003,$P$6:$P$2005,"&lt;"&amp;$P1003)+COUNTIFS($A$6:$A$1005,$N1003,$B$6:$B$1005,"&lt;"&amp;$P1003)+1)</f>
        <v/>
      </c>
      <c r="S1003">
        <f>IF($N1003="","",$N1003&amp;"|"&amp;RIGHT("000000"&amp;$R1003,6))</f>
        <v/>
      </c>
      <c r="T1003">
        <f>IF($N1003="","",IF(Sync!$N1003="",0,Sync!$N1003))</f>
        <v/>
      </c>
      <c r="U1003">
        <f>IF($N1003="","",IF(Sync!$O1003="",0,Sync!$O1003))</f>
        <v/>
      </c>
      <c r="V1003">
        <f>IF($N1003="","",Sync!$L1003)</f>
        <v/>
      </c>
      <c r="W1003">
        <f>IF($N1003="","",Sync!$P1003)</f>
        <v/>
      </c>
      <c r="AA1003">
        <f>IF($A1003="","",IF(COUNTIF($A$6:$A1003,$A1003)=1,1,0))</f>
        <v/>
      </c>
      <c r="AB1003">
        <f>SUM($AA$6:$AA1003)</f>
        <v/>
      </c>
      <c r="AC1003">
        <f>IFERROR(INDEX($A$6:$A$1005,MATCH(ROW()-5,$AB$6:$AB$1005,0)),"")</f>
        <v/>
      </c>
    </row>
    <row r="1004">
      <c r="A1004">
        <f>IF(OR(Entry!$B1007="",Entry!$E1007="",$E1004="نامعتبر"),"",Entry!$E1007)</f>
        <v/>
      </c>
      <c r="B1004">
        <f>IF($A1004="","",LEFT($E1004,4)&amp;MID($E1004,6,2)&amp;RIGHT($E1004,2)&amp;$F1004&amp;"|"&amp;"1"&amp;RIGHT("00000"&amp;999,5))</f>
        <v/>
      </c>
      <c r="C1004">
        <f>IF($B1004="","",COUNTIFS($A$6:$A$1005,$A1004,$B$6:$B$1005,"&lt;"&amp;$B1004)+COUNTIFS($N$6:$N$2005,$A1004,$P$6:$P$2005,"&lt;"&amp;$B1004)+1)</f>
        <v/>
      </c>
      <c r="D1004">
        <f>IF($C1004="","",$A1004&amp;"|"&amp;RIGHT("000000"&amp;$C1004,6))</f>
        <v/>
      </c>
      <c r="E1004">
        <f>IF(Entry!$B1007="","",IF(ISNUMBER(Entry!$B1007),IF(AND(Entry!$B1007&gt;=10000101,Entry!$B1007&lt;=99991231),INT(Entry!$B1007/10000)&amp;"/"&amp;RIGHT("00"&amp;INT(MOD(Entry!$B1007,10000)/100),2)&amp;"/"&amp;RIGHT("00"&amp;MOD(Entry!$B1007,100),2),"نامعتبر"),IF(LEN(Entry!$B1007)=10,Entry!$B1007,"نامعتبر")))</f>
        <v/>
      </c>
      <c r="F1004">
        <f>IF(Entry!$B1007="","",IF(Entry!$C1007="","0000",IF(AND(ISNUMBER(Entry!$C1007),Entry!$C1007&gt;=0,Entry!$C1007&lt;1),RIGHT("00"&amp;HOUR(Entry!$C1007),2)&amp;RIGHT("00"&amp;MINUTE(Entry!$C1007),2),IFERROR(RIGHT("00"&amp;VALUE(LEFT(Entry!$C1007,FIND(":",Entry!$C1007)-1)),2)&amp;RIGHT("00"&amp;VALUE(MID(Entry!$C1007,FIND(":",Entry!$C1007)+1,2)),2),"0000"))))</f>
        <v/>
      </c>
      <c r="G1004">
        <f>IF($A1004="","",Entry!$G1007)</f>
        <v/>
      </c>
      <c r="H1004">
        <f>IF($A1004="","",IF(Entry!$H1007="",0,Entry!$H1007))</f>
        <v/>
      </c>
      <c r="I1004">
        <f>IF($A1004="","",IF(Entry!$I1007="",0,Entry!$I1007))</f>
        <v/>
      </c>
      <c r="J1004">
        <f>IF($A1004="","",ROUND($H1004*$I1004,0))</f>
        <v/>
      </c>
      <c r="K1004">
        <f>IF($A1004="","",Entry!$D1007)</f>
        <v/>
      </c>
      <c r="L1004">
        <f>IF($A1004="","",Entry!$L1007)</f>
        <v/>
      </c>
      <c r="N1004">
        <f>IF(OR(Sync!$M1004="",$Q1004="",$Q1004="نامعتبر"),"",Sync!$M1004)</f>
        <v/>
      </c>
      <c r="O1004">
        <f>IF($N1004="","",$Q1004)</f>
        <v/>
      </c>
      <c r="P1004">
        <f>IF($N1004="","",LEFT($Q1004,4)&amp;MID($Q1004,6,2)&amp;RIGHT($Q1004,2)&amp;IF(Sync!$K1004="","0000",IF(AND(ISNUMBER(Sync!$K1004),Sync!$K1004&gt;=0,Sync!$K1004&lt;1),RIGHT("00"&amp;HOUR(Sync!$K1004),2)&amp;RIGHT("00"&amp;MINUTE(Sync!$K1004),2),IFERROR(RIGHT("00"&amp;VALUE(LEFT(Sync!$K1004,FIND(":",Sync!$K1004)-1)),2)&amp;RIGHT("00"&amp;VALUE(MID(Sync!$K1004,FIND(":",Sync!$K1004)+1,2)),2),"0000")))&amp;"|"&amp;"2"&amp;RIGHT("00000"&amp;999,5))</f>
        <v/>
      </c>
      <c r="Q1004">
        <f>IF(Sync!$J1004="","",IF(ISNUMBER(Sync!$J1004),IF(AND(Sync!$J1004&gt;=10000101,Sync!$J1004&lt;=99991231),INT(Sync!$J1004/10000)&amp;"/"&amp;RIGHT("00"&amp;INT(MOD(Sync!$J1004,10000)/100),2)&amp;"/"&amp;RIGHT("00"&amp;MOD(Sync!$J1004,100),2),"نامعتبر"),IF(LEN(Sync!$J1004)=10,Sync!$J1004,"نامعتبر")))</f>
        <v/>
      </c>
      <c r="R1004">
        <f>IF($P1004="","",COUNTIFS($N$6:$N$2005,$N1004,$P$6:$P$2005,"&lt;"&amp;$P1004)+COUNTIFS($A$6:$A$1005,$N1004,$B$6:$B$1005,"&lt;"&amp;$P1004)+1)</f>
        <v/>
      </c>
      <c r="S1004">
        <f>IF($N1004="","",$N1004&amp;"|"&amp;RIGHT("000000"&amp;$R1004,6))</f>
        <v/>
      </c>
      <c r="T1004">
        <f>IF($N1004="","",IF(Sync!$N1004="",0,Sync!$N1004))</f>
        <v/>
      </c>
      <c r="U1004">
        <f>IF($N1004="","",IF(Sync!$O1004="",0,Sync!$O1004))</f>
        <v/>
      </c>
      <c r="V1004">
        <f>IF($N1004="","",Sync!$L1004)</f>
        <v/>
      </c>
      <c r="W1004">
        <f>IF($N1004="","",Sync!$P1004)</f>
        <v/>
      </c>
      <c r="AA1004">
        <f>IF($A1004="","",IF(COUNTIF($A$6:$A1004,$A1004)=1,1,0))</f>
        <v/>
      </c>
      <c r="AB1004">
        <f>SUM($AA$6:$AA1004)</f>
        <v/>
      </c>
      <c r="AC1004">
        <f>IFERROR(INDEX($A$6:$A$1005,MATCH(ROW()-5,$AB$6:$AB$1005,0)),"")</f>
        <v/>
      </c>
    </row>
    <row r="1005">
      <c r="A1005">
        <f>IF(OR(Entry!$B1008="",Entry!$E1008="",$E1005="نامعتبر"),"",Entry!$E1008)</f>
        <v/>
      </c>
      <c r="B1005">
        <f>IF($A1005="","",LEFT($E1005,4)&amp;MID($E1005,6,2)&amp;RIGHT($E1005,2)&amp;$F1005&amp;"|"&amp;"1"&amp;RIGHT("00000"&amp;1000,5))</f>
        <v/>
      </c>
      <c r="C1005">
        <f>IF($B1005="","",COUNTIFS($A$6:$A$1005,$A1005,$B$6:$B$1005,"&lt;"&amp;$B1005)+COUNTIFS($N$6:$N$2005,$A1005,$P$6:$P$2005,"&lt;"&amp;$B1005)+1)</f>
        <v/>
      </c>
      <c r="D1005">
        <f>IF($C1005="","",$A1005&amp;"|"&amp;RIGHT("000000"&amp;$C1005,6))</f>
        <v/>
      </c>
      <c r="E1005">
        <f>IF(Entry!$B1008="","",IF(ISNUMBER(Entry!$B1008),IF(AND(Entry!$B1008&gt;=10000101,Entry!$B1008&lt;=99991231),INT(Entry!$B1008/10000)&amp;"/"&amp;RIGHT("00"&amp;INT(MOD(Entry!$B1008,10000)/100),2)&amp;"/"&amp;RIGHT("00"&amp;MOD(Entry!$B1008,100),2),"نامعتبر"),IF(LEN(Entry!$B1008)=10,Entry!$B1008,"نامعتبر")))</f>
        <v/>
      </c>
      <c r="F1005">
        <f>IF(Entry!$B1008="","",IF(Entry!$C1008="","0000",IF(AND(ISNUMBER(Entry!$C1008),Entry!$C1008&gt;=0,Entry!$C1008&lt;1),RIGHT("00"&amp;HOUR(Entry!$C1008),2)&amp;RIGHT("00"&amp;MINUTE(Entry!$C1008),2),IFERROR(RIGHT("00"&amp;VALUE(LEFT(Entry!$C1008,FIND(":",Entry!$C1008)-1)),2)&amp;RIGHT("00"&amp;VALUE(MID(Entry!$C1008,FIND(":",Entry!$C1008)+1,2)),2),"0000"))))</f>
        <v/>
      </c>
      <c r="G1005">
        <f>IF($A1005="","",Entry!$G1008)</f>
        <v/>
      </c>
      <c r="H1005">
        <f>IF($A1005="","",IF(Entry!$H1008="",0,Entry!$H1008))</f>
        <v/>
      </c>
      <c r="I1005">
        <f>IF($A1005="","",IF(Entry!$I1008="",0,Entry!$I1008))</f>
        <v/>
      </c>
      <c r="J1005">
        <f>IF($A1005="","",ROUND($H1005*$I1005,0))</f>
        <v/>
      </c>
      <c r="K1005">
        <f>IF($A1005="","",Entry!$D1008)</f>
        <v/>
      </c>
      <c r="L1005">
        <f>IF($A1005="","",Entry!$L1008)</f>
        <v/>
      </c>
      <c r="N1005">
        <f>IF(OR(Sync!$M1005="",$Q1005="",$Q1005="نامعتبر"),"",Sync!$M1005)</f>
        <v/>
      </c>
      <c r="O1005">
        <f>IF($N1005="","",$Q1005)</f>
        <v/>
      </c>
      <c r="P1005">
        <f>IF($N1005="","",LEFT($Q1005,4)&amp;MID($Q1005,6,2)&amp;RIGHT($Q1005,2)&amp;IF(Sync!$K1005="","0000",IF(AND(ISNUMBER(Sync!$K1005),Sync!$K1005&gt;=0,Sync!$K1005&lt;1),RIGHT("00"&amp;HOUR(Sync!$K1005),2)&amp;RIGHT("00"&amp;MINUTE(Sync!$K1005),2),IFERROR(RIGHT("00"&amp;VALUE(LEFT(Sync!$K1005,FIND(":",Sync!$K1005)-1)),2)&amp;RIGHT("00"&amp;VALUE(MID(Sync!$K1005,FIND(":",Sync!$K1005)+1,2)),2),"0000")))&amp;"|"&amp;"2"&amp;RIGHT("00000"&amp;1000,5))</f>
        <v/>
      </c>
      <c r="Q1005">
        <f>IF(Sync!$J1005="","",IF(ISNUMBER(Sync!$J1005),IF(AND(Sync!$J1005&gt;=10000101,Sync!$J1005&lt;=99991231),INT(Sync!$J1005/10000)&amp;"/"&amp;RIGHT("00"&amp;INT(MOD(Sync!$J1005,10000)/100),2)&amp;"/"&amp;RIGHT("00"&amp;MOD(Sync!$J1005,100),2),"نامعتبر"),IF(LEN(Sync!$J1005)=10,Sync!$J1005,"نامعتبر")))</f>
        <v/>
      </c>
      <c r="R1005">
        <f>IF($P1005="","",COUNTIFS($N$6:$N$2005,$N1005,$P$6:$P$2005,"&lt;"&amp;$P1005)+COUNTIFS($A$6:$A$1005,$N1005,$B$6:$B$1005,"&lt;"&amp;$P1005)+1)</f>
        <v/>
      </c>
      <c r="S1005">
        <f>IF($N1005="","",$N1005&amp;"|"&amp;RIGHT("000000"&amp;$R1005,6))</f>
        <v/>
      </c>
      <c r="T1005">
        <f>IF($N1005="","",IF(Sync!$N1005="",0,Sync!$N1005))</f>
        <v/>
      </c>
      <c r="U1005">
        <f>IF($N1005="","",IF(Sync!$O1005="",0,Sync!$O1005))</f>
        <v/>
      </c>
      <c r="V1005">
        <f>IF($N1005="","",Sync!$L1005)</f>
        <v/>
      </c>
      <c r="W1005">
        <f>IF($N1005="","",Sync!$P1005)</f>
        <v/>
      </c>
      <c r="AA1005">
        <f>IF($A1005="","",IF(COUNTIF($A$6:$A1005,$A1005)=1,1,0))</f>
        <v/>
      </c>
      <c r="AB1005">
        <f>SUM($AA$6:$AA1005)</f>
        <v/>
      </c>
      <c r="AC1005">
        <f>IFERROR(INDEX($A$6:$A$1005,MATCH(ROW()-5,$AB$6:$AB$1005,0)),"")</f>
        <v/>
      </c>
    </row>
    <row r="1006">
      <c r="N1006">
        <f>IF(OR(Sync!$M1006="",$Q1006="",$Q1006="نامعتبر"),"",Sync!$M1006)</f>
        <v/>
      </c>
      <c r="O1006">
        <f>IF($N1006="","",$Q1006)</f>
        <v/>
      </c>
      <c r="P1006">
        <f>IF($N1006="","",LEFT($Q1006,4)&amp;MID($Q1006,6,2)&amp;RIGHT($Q1006,2)&amp;IF(Sync!$K1006="","0000",IF(AND(ISNUMBER(Sync!$K1006),Sync!$K1006&gt;=0,Sync!$K1006&lt;1),RIGHT("00"&amp;HOUR(Sync!$K1006),2)&amp;RIGHT("00"&amp;MINUTE(Sync!$K1006),2),IFERROR(RIGHT("00"&amp;VALUE(LEFT(Sync!$K1006,FIND(":",Sync!$K1006)-1)),2)&amp;RIGHT("00"&amp;VALUE(MID(Sync!$K1006,FIND(":",Sync!$K1006)+1,2)),2),"0000")))&amp;"|"&amp;"2"&amp;RIGHT("00000"&amp;1001,5))</f>
        <v/>
      </c>
      <c r="Q1006">
        <f>IF(Sync!$J1006="","",IF(ISNUMBER(Sync!$J1006),IF(AND(Sync!$J1006&gt;=10000101,Sync!$J1006&lt;=99991231),INT(Sync!$J1006/10000)&amp;"/"&amp;RIGHT("00"&amp;INT(MOD(Sync!$J1006,10000)/100),2)&amp;"/"&amp;RIGHT("00"&amp;MOD(Sync!$J1006,100),2),"نامعتبر"),IF(LEN(Sync!$J1006)=10,Sync!$J1006,"نامعتبر")))</f>
        <v/>
      </c>
      <c r="R1006">
        <f>IF($P1006="","",COUNTIFS($N$6:$N$2005,$N1006,$P$6:$P$2005,"&lt;"&amp;$P1006)+COUNTIFS($A$6:$A$1005,$N1006,$B$6:$B$1005,"&lt;"&amp;$P1006)+1)</f>
        <v/>
      </c>
      <c r="S1006">
        <f>IF($N1006="","",$N1006&amp;"|"&amp;RIGHT("000000"&amp;$R1006,6))</f>
        <v/>
      </c>
      <c r="T1006">
        <f>IF($N1006="","",IF(Sync!$N1006="",0,Sync!$N1006))</f>
        <v/>
      </c>
      <c r="U1006">
        <f>IF($N1006="","",IF(Sync!$O1006="",0,Sync!$O1006))</f>
        <v/>
      </c>
      <c r="V1006">
        <f>IF($N1006="","",Sync!$L1006)</f>
        <v/>
      </c>
      <c r="W1006">
        <f>IF($N1006="","",Sync!$P1006)</f>
        <v/>
      </c>
    </row>
    <row r="1007">
      <c r="N1007">
        <f>IF(OR(Sync!$M1007="",$Q1007="",$Q1007="نامعتبر"),"",Sync!$M1007)</f>
        <v/>
      </c>
      <c r="O1007">
        <f>IF($N1007="","",$Q1007)</f>
        <v/>
      </c>
      <c r="P1007">
        <f>IF($N1007="","",LEFT($Q1007,4)&amp;MID($Q1007,6,2)&amp;RIGHT($Q1007,2)&amp;IF(Sync!$K1007="","0000",IF(AND(ISNUMBER(Sync!$K1007),Sync!$K1007&gt;=0,Sync!$K1007&lt;1),RIGHT("00"&amp;HOUR(Sync!$K1007),2)&amp;RIGHT("00"&amp;MINUTE(Sync!$K1007),2),IFERROR(RIGHT("00"&amp;VALUE(LEFT(Sync!$K1007,FIND(":",Sync!$K1007)-1)),2)&amp;RIGHT("00"&amp;VALUE(MID(Sync!$K1007,FIND(":",Sync!$K1007)+1,2)),2),"0000")))&amp;"|"&amp;"2"&amp;RIGHT("00000"&amp;1002,5))</f>
        <v/>
      </c>
      <c r="Q1007">
        <f>IF(Sync!$J1007="","",IF(ISNUMBER(Sync!$J1007),IF(AND(Sync!$J1007&gt;=10000101,Sync!$J1007&lt;=99991231),INT(Sync!$J1007/10000)&amp;"/"&amp;RIGHT("00"&amp;INT(MOD(Sync!$J1007,10000)/100),2)&amp;"/"&amp;RIGHT("00"&amp;MOD(Sync!$J1007,100),2),"نامعتبر"),IF(LEN(Sync!$J1007)=10,Sync!$J1007,"نامعتبر")))</f>
        <v/>
      </c>
      <c r="R1007">
        <f>IF($P1007="","",COUNTIFS($N$6:$N$2005,$N1007,$P$6:$P$2005,"&lt;"&amp;$P1007)+COUNTIFS($A$6:$A$1005,$N1007,$B$6:$B$1005,"&lt;"&amp;$P1007)+1)</f>
        <v/>
      </c>
      <c r="S1007">
        <f>IF($N1007="","",$N1007&amp;"|"&amp;RIGHT("000000"&amp;$R1007,6))</f>
        <v/>
      </c>
      <c r="T1007">
        <f>IF($N1007="","",IF(Sync!$N1007="",0,Sync!$N1007))</f>
        <v/>
      </c>
      <c r="U1007">
        <f>IF($N1007="","",IF(Sync!$O1007="",0,Sync!$O1007))</f>
        <v/>
      </c>
      <c r="V1007">
        <f>IF($N1007="","",Sync!$L1007)</f>
        <v/>
      </c>
      <c r="W1007">
        <f>IF($N1007="","",Sync!$P1007)</f>
        <v/>
      </c>
    </row>
    <row r="1008">
      <c r="N1008">
        <f>IF(OR(Sync!$M1008="",$Q1008="",$Q1008="نامعتبر"),"",Sync!$M1008)</f>
        <v/>
      </c>
      <c r="O1008">
        <f>IF($N1008="","",$Q1008)</f>
        <v/>
      </c>
      <c r="P1008">
        <f>IF($N1008="","",LEFT($Q1008,4)&amp;MID($Q1008,6,2)&amp;RIGHT($Q1008,2)&amp;IF(Sync!$K1008="","0000",IF(AND(ISNUMBER(Sync!$K1008),Sync!$K1008&gt;=0,Sync!$K1008&lt;1),RIGHT("00"&amp;HOUR(Sync!$K1008),2)&amp;RIGHT("00"&amp;MINUTE(Sync!$K1008),2),IFERROR(RIGHT("00"&amp;VALUE(LEFT(Sync!$K1008,FIND(":",Sync!$K1008)-1)),2)&amp;RIGHT("00"&amp;VALUE(MID(Sync!$K1008,FIND(":",Sync!$K1008)+1,2)),2),"0000")))&amp;"|"&amp;"2"&amp;RIGHT("00000"&amp;1003,5))</f>
        <v/>
      </c>
      <c r="Q1008">
        <f>IF(Sync!$J1008="","",IF(ISNUMBER(Sync!$J1008),IF(AND(Sync!$J1008&gt;=10000101,Sync!$J1008&lt;=99991231),INT(Sync!$J1008/10000)&amp;"/"&amp;RIGHT("00"&amp;INT(MOD(Sync!$J1008,10000)/100),2)&amp;"/"&amp;RIGHT("00"&amp;MOD(Sync!$J1008,100),2),"نامعتبر"),IF(LEN(Sync!$J1008)=10,Sync!$J1008,"نامعتبر")))</f>
        <v/>
      </c>
      <c r="R1008">
        <f>IF($P1008="","",COUNTIFS($N$6:$N$2005,$N1008,$P$6:$P$2005,"&lt;"&amp;$P1008)+COUNTIFS($A$6:$A$1005,$N1008,$B$6:$B$1005,"&lt;"&amp;$P1008)+1)</f>
        <v/>
      </c>
      <c r="S1008">
        <f>IF($N1008="","",$N1008&amp;"|"&amp;RIGHT("000000"&amp;$R1008,6))</f>
        <v/>
      </c>
      <c r="T1008">
        <f>IF($N1008="","",IF(Sync!$N1008="",0,Sync!$N1008))</f>
        <v/>
      </c>
      <c r="U1008">
        <f>IF($N1008="","",IF(Sync!$O1008="",0,Sync!$O1008))</f>
        <v/>
      </c>
      <c r="V1008">
        <f>IF($N1008="","",Sync!$L1008)</f>
        <v/>
      </c>
      <c r="W1008">
        <f>IF($N1008="","",Sync!$P1008)</f>
        <v/>
      </c>
    </row>
    <row r="1009">
      <c r="N1009">
        <f>IF(OR(Sync!$M1009="",$Q1009="",$Q1009="نامعتبر"),"",Sync!$M1009)</f>
        <v/>
      </c>
      <c r="O1009">
        <f>IF($N1009="","",$Q1009)</f>
        <v/>
      </c>
      <c r="P1009">
        <f>IF($N1009="","",LEFT($Q1009,4)&amp;MID($Q1009,6,2)&amp;RIGHT($Q1009,2)&amp;IF(Sync!$K1009="","0000",IF(AND(ISNUMBER(Sync!$K1009),Sync!$K1009&gt;=0,Sync!$K1009&lt;1),RIGHT("00"&amp;HOUR(Sync!$K1009),2)&amp;RIGHT("00"&amp;MINUTE(Sync!$K1009),2),IFERROR(RIGHT("00"&amp;VALUE(LEFT(Sync!$K1009,FIND(":",Sync!$K1009)-1)),2)&amp;RIGHT("00"&amp;VALUE(MID(Sync!$K1009,FIND(":",Sync!$K1009)+1,2)),2),"0000")))&amp;"|"&amp;"2"&amp;RIGHT("00000"&amp;1004,5))</f>
        <v/>
      </c>
      <c r="Q1009">
        <f>IF(Sync!$J1009="","",IF(ISNUMBER(Sync!$J1009),IF(AND(Sync!$J1009&gt;=10000101,Sync!$J1009&lt;=99991231),INT(Sync!$J1009/10000)&amp;"/"&amp;RIGHT("00"&amp;INT(MOD(Sync!$J1009,10000)/100),2)&amp;"/"&amp;RIGHT("00"&amp;MOD(Sync!$J1009,100),2),"نامعتبر"),IF(LEN(Sync!$J1009)=10,Sync!$J1009,"نامعتبر")))</f>
        <v/>
      </c>
      <c r="R1009">
        <f>IF($P1009="","",COUNTIFS($N$6:$N$2005,$N1009,$P$6:$P$2005,"&lt;"&amp;$P1009)+COUNTIFS($A$6:$A$1005,$N1009,$B$6:$B$1005,"&lt;"&amp;$P1009)+1)</f>
        <v/>
      </c>
      <c r="S1009">
        <f>IF($N1009="","",$N1009&amp;"|"&amp;RIGHT("000000"&amp;$R1009,6))</f>
        <v/>
      </c>
      <c r="T1009">
        <f>IF($N1009="","",IF(Sync!$N1009="",0,Sync!$N1009))</f>
        <v/>
      </c>
      <c r="U1009">
        <f>IF($N1009="","",IF(Sync!$O1009="",0,Sync!$O1009))</f>
        <v/>
      </c>
      <c r="V1009">
        <f>IF($N1009="","",Sync!$L1009)</f>
        <v/>
      </c>
      <c r="W1009">
        <f>IF($N1009="","",Sync!$P1009)</f>
        <v/>
      </c>
    </row>
    <row r="1010">
      <c r="N1010">
        <f>IF(OR(Sync!$M1010="",$Q1010="",$Q1010="نامعتبر"),"",Sync!$M1010)</f>
        <v/>
      </c>
      <c r="O1010">
        <f>IF($N1010="","",$Q1010)</f>
        <v/>
      </c>
      <c r="P1010">
        <f>IF($N1010="","",LEFT($Q1010,4)&amp;MID($Q1010,6,2)&amp;RIGHT($Q1010,2)&amp;IF(Sync!$K1010="","0000",IF(AND(ISNUMBER(Sync!$K1010),Sync!$K1010&gt;=0,Sync!$K1010&lt;1),RIGHT("00"&amp;HOUR(Sync!$K1010),2)&amp;RIGHT("00"&amp;MINUTE(Sync!$K1010),2),IFERROR(RIGHT("00"&amp;VALUE(LEFT(Sync!$K1010,FIND(":",Sync!$K1010)-1)),2)&amp;RIGHT("00"&amp;VALUE(MID(Sync!$K1010,FIND(":",Sync!$K1010)+1,2)),2),"0000")))&amp;"|"&amp;"2"&amp;RIGHT("00000"&amp;1005,5))</f>
        <v/>
      </c>
      <c r="Q1010">
        <f>IF(Sync!$J1010="","",IF(ISNUMBER(Sync!$J1010),IF(AND(Sync!$J1010&gt;=10000101,Sync!$J1010&lt;=99991231),INT(Sync!$J1010/10000)&amp;"/"&amp;RIGHT("00"&amp;INT(MOD(Sync!$J1010,10000)/100),2)&amp;"/"&amp;RIGHT("00"&amp;MOD(Sync!$J1010,100),2),"نامعتبر"),IF(LEN(Sync!$J1010)=10,Sync!$J1010,"نامعتبر")))</f>
        <v/>
      </c>
      <c r="R1010">
        <f>IF($P1010="","",COUNTIFS($N$6:$N$2005,$N1010,$P$6:$P$2005,"&lt;"&amp;$P1010)+COUNTIFS($A$6:$A$1005,$N1010,$B$6:$B$1005,"&lt;"&amp;$P1010)+1)</f>
        <v/>
      </c>
      <c r="S1010">
        <f>IF($N1010="","",$N1010&amp;"|"&amp;RIGHT("000000"&amp;$R1010,6))</f>
        <v/>
      </c>
      <c r="T1010">
        <f>IF($N1010="","",IF(Sync!$N1010="",0,Sync!$N1010))</f>
        <v/>
      </c>
      <c r="U1010">
        <f>IF($N1010="","",IF(Sync!$O1010="",0,Sync!$O1010))</f>
        <v/>
      </c>
      <c r="V1010">
        <f>IF($N1010="","",Sync!$L1010)</f>
        <v/>
      </c>
      <c r="W1010">
        <f>IF($N1010="","",Sync!$P1010)</f>
        <v/>
      </c>
    </row>
    <row r="1011">
      <c r="N1011">
        <f>IF(OR(Sync!$M1011="",$Q1011="",$Q1011="نامعتبر"),"",Sync!$M1011)</f>
        <v/>
      </c>
      <c r="O1011">
        <f>IF($N1011="","",$Q1011)</f>
        <v/>
      </c>
      <c r="P1011">
        <f>IF($N1011="","",LEFT($Q1011,4)&amp;MID($Q1011,6,2)&amp;RIGHT($Q1011,2)&amp;IF(Sync!$K1011="","0000",IF(AND(ISNUMBER(Sync!$K1011),Sync!$K1011&gt;=0,Sync!$K1011&lt;1),RIGHT("00"&amp;HOUR(Sync!$K1011),2)&amp;RIGHT("00"&amp;MINUTE(Sync!$K1011),2),IFERROR(RIGHT("00"&amp;VALUE(LEFT(Sync!$K1011,FIND(":",Sync!$K1011)-1)),2)&amp;RIGHT("00"&amp;VALUE(MID(Sync!$K1011,FIND(":",Sync!$K1011)+1,2)),2),"0000")))&amp;"|"&amp;"2"&amp;RIGHT("00000"&amp;1006,5))</f>
        <v/>
      </c>
      <c r="Q1011">
        <f>IF(Sync!$J1011="","",IF(ISNUMBER(Sync!$J1011),IF(AND(Sync!$J1011&gt;=10000101,Sync!$J1011&lt;=99991231),INT(Sync!$J1011/10000)&amp;"/"&amp;RIGHT("00"&amp;INT(MOD(Sync!$J1011,10000)/100),2)&amp;"/"&amp;RIGHT("00"&amp;MOD(Sync!$J1011,100),2),"نامعتبر"),IF(LEN(Sync!$J1011)=10,Sync!$J1011,"نامعتبر")))</f>
        <v/>
      </c>
      <c r="R1011">
        <f>IF($P1011="","",COUNTIFS($N$6:$N$2005,$N1011,$P$6:$P$2005,"&lt;"&amp;$P1011)+COUNTIFS($A$6:$A$1005,$N1011,$B$6:$B$1005,"&lt;"&amp;$P1011)+1)</f>
        <v/>
      </c>
      <c r="S1011">
        <f>IF($N1011="","",$N1011&amp;"|"&amp;RIGHT("000000"&amp;$R1011,6))</f>
        <v/>
      </c>
      <c r="T1011">
        <f>IF($N1011="","",IF(Sync!$N1011="",0,Sync!$N1011))</f>
        <v/>
      </c>
      <c r="U1011">
        <f>IF($N1011="","",IF(Sync!$O1011="",0,Sync!$O1011))</f>
        <v/>
      </c>
      <c r="V1011">
        <f>IF($N1011="","",Sync!$L1011)</f>
        <v/>
      </c>
      <c r="W1011">
        <f>IF($N1011="","",Sync!$P1011)</f>
        <v/>
      </c>
    </row>
    <row r="1012">
      <c r="N1012">
        <f>IF(OR(Sync!$M1012="",$Q1012="",$Q1012="نامعتبر"),"",Sync!$M1012)</f>
        <v/>
      </c>
      <c r="O1012">
        <f>IF($N1012="","",$Q1012)</f>
        <v/>
      </c>
      <c r="P1012">
        <f>IF($N1012="","",LEFT($Q1012,4)&amp;MID($Q1012,6,2)&amp;RIGHT($Q1012,2)&amp;IF(Sync!$K1012="","0000",IF(AND(ISNUMBER(Sync!$K1012),Sync!$K1012&gt;=0,Sync!$K1012&lt;1),RIGHT("00"&amp;HOUR(Sync!$K1012),2)&amp;RIGHT("00"&amp;MINUTE(Sync!$K1012),2),IFERROR(RIGHT("00"&amp;VALUE(LEFT(Sync!$K1012,FIND(":",Sync!$K1012)-1)),2)&amp;RIGHT("00"&amp;VALUE(MID(Sync!$K1012,FIND(":",Sync!$K1012)+1,2)),2),"0000")))&amp;"|"&amp;"2"&amp;RIGHT("00000"&amp;1007,5))</f>
        <v/>
      </c>
      <c r="Q1012">
        <f>IF(Sync!$J1012="","",IF(ISNUMBER(Sync!$J1012),IF(AND(Sync!$J1012&gt;=10000101,Sync!$J1012&lt;=99991231),INT(Sync!$J1012/10000)&amp;"/"&amp;RIGHT("00"&amp;INT(MOD(Sync!$J1012,10000)/100),2)&amp;"/"&amp;RIGHT("00"&amp;MOD(Sync!$J1012,100),2),"نامعتبر"),IF(LEN(Sync!$J1012)=10,Sync!$J1012,"نامعتبر")))</f>
        <v/>
      </c>
      <c r="R1012">
        <f>IF($P1012="","",COUNTIFS($N$6:$N$2005,$N1012,$P$6:$P$2005,"&lt;"&amp;$P1012)+COUNTIFS($A$6:$A$1005,$N1012,$B$6:$B$1005,"&lt;"&amp;$P1012)+1)</f>
        <v/>
      </c>
      <c r="S1012">
        <f>IF($N1012="","",$N1012&amp;"|"&amp;RIGHT("000000"&amp;$R1012,6))</f>
        <v/>
      </c>
      <c r="T1012">
        <f>IF($N1012="","",IF(Sync!$N1012="",0,Sync!$N1012))</f>
        <v/>
      </c>
      <c r="U1012">
        <f>IF($N1012="","",IF(Sync!$O1012="",0,Sync!$O1012))</f>
        <v/>
      </c>
      <c r="V1012">
        <f>IF($N1012="","",Sync!$L1012)</f>
        <v/>
      </c>
      <c r="W1012">
        <f>IF($N1012="","",Sync!$P1012)</f>
        <v/>
      </c>
    </row>
    <row r="1013">
      <c r="N1013">
        <f>IF(OR(Sync!$M1013="",$Q1013="",$Q1013="نامعتبر"),"",Sync!$M1013)</f>
        <v/>
      </c>
      <c r="O1013">
        <f>IF($N1013="","",$Q1013)</f>
        <v/>
      </c>
      <c r="P1013">
        <f>IF($N1013="","",LEFT($Q1013,4)&amp;MID($Q1013,6,2)&amp;RIGHT($Q1013,2)&amp;IF(Sync!$K1013="","0000",IF(AND(ISNUMBER(Sync!$K1013),Sync!$K1013&gt;=0,Sync!$K1013&lt;1),RIGHT("00"&amp;HOUR(Sync!$K1013),2)&amp;RIGHT("00"&amp;MINUTE(Sync!$K1013),2),IFERROR(RIGHT("00"&amp;VALUE(LEFT(Sync!$K1013,FIND(":",Sync!$K1013)-1)),2)&amp;RIGHT("00"&amp;VALUE(MID(Sync!$K1013,FIND(":",Sync!$K1013)+1,2)),2),"0000")))&amp;"|"&amp;"2"&amp;RIGHT("00000"&amp;1008,5))</f>
        <v/>
      </c>
      <c r="Q1013">
        <f>IF(Sync!$J1013="","",IF(ISNUMBER(Sync!$J1013),IF(AND(Sync!$J1013&gt;=10000101,Sync!$J1013&lt;=99991231),INT(Sync!$J1013/10000)&amp;"/"&amp;RIGHT("00"&amp;INT(MOD(Sync!$J1013,10000)/100),2)&amp;"/"&amp;RIGHT("00"&amp;MOD(Sync!$J1013,100),2),"نامعتبر"),IF(LEN(Sync!$J1013)=10,Sync!$J1013,"نامعتبر")))</f>
        <v/>
      </c>
      <c r="R1013">
        <f>IF($P1013="","",COUNTIFS($N$6:$N$2005,$N1013,$P$6:$P$2005,"&lt;"&amp;$P1013)+COUNTIFS($A$6:$A$1005,$N1013,$B$6:$B$1005,"&lt;"&amp;$P1013)+1)</f>
        <v/>
      </c>
      <c r="S1013">
        <f>IF($N1013="","",$N1013&amp;"|"&amp;RIGHT("000000"&amp;$R1013,6))</f>
        <v/>
      </c>
      <c r="T1013">
        <f>IF($N1013="","",IF(Sync!$N1013="",0,Sync!$N1013))</f>
        <v/>
      </c>
      <c r="U1013">
        <f>IF($N1013="","",IF(Sync!$O1013="",0,Sync!$O1013))</f>
        <v/>
      </c>
      <c r="V1013">
        <f>IF($N1013="","",Sync!$L1013)</f>
        <v/>
      </c>
      <c r="W1013">
        <f>IF($N1013="","",Sync!$P1013)</f>
        <v/>
      </c>
    </row>
    <row r="1014">
      <c r="N1014">
        <f>IF(OR(Sync!$M1014="",$Q1014="",$Q1014="نامعتبر"),"",Sync!$M1014)</f>
        <v/>
      </c>
      <c r="O1014">
        <f>IF($N1014="","",$Q1014)</f>
        <v/>
      </c>
      <c r="P1014">
        <f>IF($N1014="","",LEFT($Q1014,4)&amp;MID($Q1014,6,2)&amp;RIGHT($Q1014,2)&amp;IF(Sync!$K1014="","0000",IF(AND(ISNUMBER(Sync!$K1014),Sync!$K1014&gt;=0,Sync!$K1014&lt;1),RIGHT("00"&amp;HOUR(Sync!$K1014),2)&amp;RIGHT("00"&amp;MINUTE(Sync!$K1014),2),IFERROR(RIGHT("00"&amp;VALUE(LEFT(Sync!$K1014,FIND(":",Sync!$K1014)-1)),2)&amp;RIGHT("00"&amp;VALUE(MID(Sync!$K1014,FIND(":",Sync!$K1014)+1,2)),2),"0000")))&amp;"|"&amp;"2"&amp;RIGHT("00000"&amp;1009,5))</f>
        <v/>
      </c>
      <c r="Q1014">
        <f>IF(Sync!$J1014="","",IF(ISNUMBER(Sync!$J1014),IF(AND(Sync!$J1014&gt;=10000101,Sync!$J1014&lt;=99991231),INT(Sync!$J1014/10000)&amp;"/"&amp;RIGHT("00"&amp;INT(MOD(Sync!$J1014,10000)/100),2)&amp;"/"&amp;RIGHT("00"&amp;MOD(Sync!$J1014,100),2),"نامعتبر"),IF(LEN(Sync!$J1014)=10,Sync!$J1014,"نامعتبر")))</f>
        <v/>
      </c>
      <c r="R1014">
        <f>IF($P1014="","",COUNTIFS($N$6:$N$2005,$N1014,$P$6:$P$2005,"&lt;"&amp;$P1014)+COUNTIFS($A$6:$A$1005,$N1014,$B$6:$B$1005,"&lt;"&amp;$P1014)+1)</f>
        <v/>
      </c>
      <c r="S1014">
        <f>IF($N1014="","",$N1014&amp;"|"&amp;RIGHT("000000"&amp;$R1014,6))</f>
        <v/>
      </c>
      <c r="T1014">
        <f>IF($N1014="","",IF(Sync!$N1014="",0,Sync!$N1014))</f>
        <v/>
      </c>
      <c r="U1014">
        <f>IF($N1014="","",IF(Sync!$O1014="",0,Sync!$O1014))</f>
        <v/>
      </c>
      <c r="V1014">
        <f>IF($N1014="","",Sync!$L1014)</f>
        <v/>
      </c>
      <c r="W1014">
        <f>IF($N1014="","",Sync!$P1014)</f>
        <v/>
      </c>
    </row>
    <row r="1015">
      <c r="N1015">
        <f>IF(OR(Sync!$M1015="",$Q1015="",$Q1015="نامعتبر"),"",Sync!$M1015)</f>
        <v/>
      </c>
      <c r="O1015">
        <f>IF($N1015="","",$Q1015)</f>
        <v/>
      </c>
      <c r="P1015">
        <f>IF($N1015="","",LEFT($Q1015,4)&amp;MID($Q1015,6,2)&amp;RIGHT($Q1015,2)&amp;IF(Sync!$K1015="","0000",IF(AND(ISNUMBER(Sync!$K1015),Sync!$K1015&gt;=0,Sync!$K1015&lt;1),RIGHT("00"&amp;HOUR(Sync!$K1015),2)&amp;RIGHT("00"&amp;MINUTE(Sync!$K1015),2),IFERROR(RIGHT("00"&amp;VALUE(LEFT(Sync!$K1015,FIND(":",Sync!$K1015)-1)),2)&amp;RIGHT("00"&amp;VALUE(MID(Sync!$K1015,FIND(":",Sync!$K1015)+1,2)),2),"0000")))&amp;"|"&amp;"2"&amp;RIGHT("00000"&amp;1010,5))</f>
        <v/>
      </c>
      <c r="Q1015">
        <f>IF(Sync!$J1015="","",IF(ISNUMBER(Sync!$J1015),IF(AND(Sync!$J1015&gt;=10000101,Sync!$J1015&lt;=99991231),INT(Sync!$J1015/10000)&amp;"/"&amp;RIGHT("00"&amp;INT(MOD(Sync!$J1015,10000)/100),2)&amp;"/"&amp;RIGHT("00"&amp;MOD(Sync!$J1015,100),2),"نامعتبر"),IF(LEN(Sync!$J1015)=10,Sync!$J1015,"نامعتبر")))</f>
        <v/>
      </c>
      <c r="R1015">
        <f>IF($P1015="","",COUNTIFS($N$6:$N$2005,$N1015,$P$6:$P$2005,"&lt;"&amp;$P1015)+COUNTIFS($A$6:$A$1005,$N1015,$B$6:$B$1005,"&lt;"&amp;$P1015)+1)</f>
        <v/>
      </c>
      <c r="S1015">
        <f>IF($N1015="","",$N1015&amp;"|"&amp;RIGHT("000000"&amp;$R1015,6))</f>
        <v/>
      </c>
      <c r="T1015">
        <f>IF($N1015="","",IF(Sync!$N1015="",0,Sync!$N1015))</f>
        <v/>
      </c>
      <c r="U1015">
        <f>IF($N1015="","",IF(Sync!$O1015="",0,Sync!$O1015))</f>
        <v/>
      </c>
      <c r="V1015">
        <f>IF($N1015="","",Sync!$L1015)</f>
        <v/>
      </c>
      <c r="W1015">
        <f>IF($N1015="","",Sync!$P1015)</f>
        <v/>
      </c>
    </row>
    <row r="1016">
      <c r="N1016">
        <f>IF(OR(Sync!$M1016="",$Q1016="",$Q1016="نامعتبر"),"",Sync!$M1016)</f>
        <v/>
      </c>
      <c r="O1016">
        <f>IF($N1016="","",$Q1016)</f>
        <v/>
      </c>
      <c r="P1016">
        <f>IF($N1016="","",LEFT($Q1016,4)&amp;MID($Q1016,6,2)&amp;RIGHT($Q1016,2)&amp;IF(Sync!$K1016="","0000",IF(AND(ISNUMBER(Sync!$K1016),Sync!$K1016&gt;=0,Sync!$K1016&lt;1),RIGHT("00"&amp;HOUR(Sync!$K1016),2)&amp;RIGHT("00"&amp;MINUTE(Sync!$K1016),2),IFERROR(RIGHT("00"&amp;VALUE(LEFT(Sync!$K1016,FIND(":",Sync!$K1016)-1)),2)&amp;RIGHT("00"&amp;VALUE(MID(Sync!$K1016,FIND(":",Sync!$K1016)+1,2)),2),"0000")))&amp;"|"&amp;"2"&amp;RIGHT("00000"&amp;1011,5))</f>
        <v/>
      </c>
      <c r="Q1016">
        <f>IF(Sync!$J1016="","",IF(ISNUMBER(Sync!$J1016),IF(AND(Sync!$J1016&gt;=10000101,Sync!$J1016&lt;=99991231),INT(Sync!$J1016/10000)&amp;"/"&amp;RIGHT("00"&amp;INT(MOD(Sync!$J1016,10000)/100),2)&amp;"/"&amp;RIGHT("00"&amp;MOD(Sync!$J1016,100),2),"نامعتبر"),IF(LEN(Sync!$J1016)=10,Sync!$J1016,"نامعتبر")))</f>
        <v/>
      </c>
      <c r="R1016">
        <f>IF($P1016="","",COUNTIFS($N$6:$N$2005,$N1016,$P$6:$P$2005,"&lt;"&amp;$P1016)+COUNTIFS($A$6:$A$1005,$N1016,$B$6:$B$1005,"&lt;"&amp;$P1016)+1)</f>
        <v/>
      </c>
      <c r="S1016">
        <f>IF($N1016="","",$N1016&amp;"|"&amp;RIGHT("000000"&amp;$R1016,6))</f>
        <v/>
      </c>
      <c r="T1016">
        <f>IF($N1016="","",IF(Sync!$N1016="",0,Sync!$N1016))</f>
        <v/>
      </c>
      <c r="U1016">
        <f>IF($N1016="","",IF(Sync!$O1016="",0,Sync!$O1016))</f>
        <v/>
      </c>
      <c r="V1016">
        <f>IF($N1016="","",Sync!$L1016)</f>
        <v/>
      </c>
      <c r="W1016">
        <f>IF($N1016="","",Sync!$P1016)</f>
        <v/>
      </c>
    </row>
    <row r="1017">
      <c r="N1017">
        <f>IF(OR(Sync!$M1017="",$Q1017="",$Q1017="نامعتبر"),"",Sync!$M1017)</f>
        <v/>
      </c>
      <c r="O1017">
        <f>IF($N1017="","",$Q1017)</f>
        <v/>
      </c>
      <c r="P1017">
        <f>IF($N1017="","",LEFT($Q1017,4)&amp;MID($Q1017,6,2)&amp;RIGHT($Q1017,2)&amp;IF(Sync!$K1017="","0000",IF(AND(ISNUMBER(Sync!$K1017),Sync!$K1017&gt;=0,Sync!$K1017&lt;1),RIGHT("00"&amp;HOUR(Sync!$K1017),2)&amp;RIGHT("00"&amp;MINUTE(Sync!$K1017),2),IFERROR(RIGHT("00"&amp;VALUE(LEFT(Sync!$K1017,FIND(":",Sync!$K1017)-1)),2)&amp;RIGHT("00"&amp;VALUE(MID(Sync!$K1017,FIND(":",Sync!$K1017)+1,2)),2),"0000")))&amp;"|"&amp;"2"&amp;RIGHT("00000"&amp;1012,5))</f>
        <v/>
      </c>
      <c r="Q1017">
        <f>IF(Sync!$J1017="","",IF(ISNUMBER(Sync!$J1017),IF(AND(Sync!$J1017&gt;=10000101,Sync!$J1017&lt;=99991231),INT(Sync!$J1017/10000)&amp;"/"&amp;RIGHT("00"&amp;INT(MOD(Sync!$J1017,10000)/100),2)&amp;"/"&amp;RIGHT("00"&amp;MOD(Sync!$J1017,100),2),"نامعتبر"),IF(LEN(Sync!$J1017)=10,Sync!$J1017,"نامعتبر")))</f>
        <v/>
      </c>
      <c r="R1017">
        <f>IF($P1017="","",COUNTIFS($N$6:$N$2005,$N1017,$P$6:$P$2005,"&lt;"&amp;$P1017)+COUNTIFS($A$6:$A$1005,$N1017,$B$6:$B$1005,"&lt;"&amp;$P1017)+1)</f>
        <v/>
      </c>
      <c r="S1017">
        <f>IF($N1017="","",$N1017&amp;"|"&amp;RIGHT("000000"&amp;$R1017,6))</f>
        <v/>
      </c>
      <c r="T1017">
        <f>IF($N1017="","",IF(Sync!$N1017="",0,Sync!$N1017))</f>
        <v/>
      </c>
      <c r="U1017">
        <f>IF($N1017="","",IF(Sync!$O1017="",0,Sync!$O1017))</f>
        <v/>
      </c>
      <c r="V1017">
        <f>IF($N1017="","",Sync!$L1017)</f>
        <v/>
      </c>
      <c r="W1017">
        <f>IF($N1017="","",Sync!$P1017)</f>
        <v/>
      </c>
    </row>
    <row r="1018">
      <c r="N1018">
        <f>IF(OR(Sync!$M1018="",$Q1018="",$Q1018="نامعتبر"),"",Sync!$M1018)</f>
        <v/>
      </c>
      <c r="O1018">
        <f>IF($N1018="","",$Q1018)</f>
        <v/>
      </c>
      <c r="P1018">
        <f>IF($N1018="","",LEFT($Q1018,4)&amp;MID($Q1018,6,2)&amp;RIGHT($Q1018,2)&amp;IF(Sync!$K1018="","0000",IF(AND(ISNUMBER(Sync!$K1018),Sync!$K1018&gt;=0,Sync!$K1018&lt;1),RIGHT("00"&amp;HOUR(Sync!$K1018),2)&amp;RIGHT("00"&amp;MINUTE(Sync!$K1018),2),IFERROR(RIGHT("00"&amp;VALUE(LEFT(Sync!$K1018,FIND(":",Sync!$K1018)-1)),2)&amp;RIGHT("00"&amp;VALUE(MID(Sync!$K1018,FIND(":",Sync!$K1018)+1,2)),2),"0000")))&amp;"|"&amp;"2"&amp;RIGHT("00000"&amp;1013,5))</f>
        <v/>
      </c>
      <c r="Q1018">
        <f>IF(Sync!$J1018="","",IF(ISNUMBER(Sync!$J1018),IF(AND(Sync!$J1018&gt;=10000101,Sync!$J1018&lt;=99991231),INT(Sync!$J1018/10000)&amp;"/"&amp;RIGHT("00"&amp;INT(MOD(Sync!$J1018,10000)/100),2)&amp;"/"&amp;RIGHT("00"&amp;MOD(Sync!$J1018,100),2),"نامعتبر"),IF(LEN(Sync!$J1018)=10,Sync!$J1018,"نامعتبر")))</f>
        <v/>
      </c>
      <c r="R1018">
        <f>IF($P1018="","",COUNTIFS($N$6:$N$2005,$N1018,$P$6:$P$2005,"&lt;"&amp;$P1018)+COUNTIFS($A$6:$A$1005,$N1018,$B$6:$B$1005,"&lt;"&amp;$P1018)+1)</f>
        <v/>
      </c>
      <c r="S1018">
        <f>IF($N1018="","",$N1018&amp;"|"&amp;RIGHT("000000"&amp;$R1018,6))</f>
        <v/>
      </c>
      <c r="T1018">
        <f>IF($N1018="","",IF(Sync!$N1018="",0,Sync!$N1018))</f>
        <v/>
      </c>
      <c r="U1018">
        <f>IF($N1018="","",IF(Sync!$O1018="",0,Sync!$O1018))</f>
        <v/>
      </c>
      <c r="V1018">
        <f>IF($N1018="","",Sync!$L1018)</f>
        <v/>
      </c>
      <c r="W1018">
        <f>IF($N1018="","",Sync!$P1018)</f>
        <v/>
      </c>
    </row>
    <row r="1019">
      <c r="N1019">
        <f>IF(OR(Sync!$M1019="",$Q1019="",$Q1019="نامعتبر"),"",Sync!$M1019)</f>
        <v/>
      </c>
      <c r="O1019">
        <f>IF($N1019="","",$Q1019)</f>
        <v/>
      </c>
      <c r="P1019">
        <f>IF($N1019="","",LEFT($Q1019,4)&amp;MID($Q1019,6,2)&amp;RIGHT($Q1019,2)&amp;IF(Sync!$K1019="","0000",IF(AND(ISNUMBER(Sync!$K1019),Sync!$K1019&gt;=0,Sync!$K1019&lt;1),RIGHT("00"&amp;HOUR(Sync!$K1019),2)&amp;RIGHT("00"&amp;MINUTE(Sync!$K1019),2),IFERROR(RIGHT("00"&amp;VALUE(LEFT(Sync!$K1019,FIND(":",Sync!$K1019)-1)),2)&amp;RIGHT("00"&amp;VALUE(MID(Sync!$K1019,FIND(":",Sync!$K1019)+1,2)),2),"0000")))&amp;"|"&amp;"2"&amp;RIGHT("00000"&amp;1014,5))</f>
        <v/>
      </c>
      <c r="Q1019">
        <f>IF(Sync!$J1019="","",IF(ISNUMBER(Sync!$J1019),IF(AND(Sync!$J1019&gt;=10000101,Sync!$J1019&lt;=99991231),INT(Sync!$J1019/10000)&amp;"/"&amp;RIGHT("00"&amp;INT(MOD(Sync!$J1019,10000)/100),2)&amp;"/"&amp;RIGHT("00"&amp;MOD(Sync!$J1019,100),2),"نامعتبر"),IF(LEN(Sync!$J1019)=10,Sync!$J1019,"نامعتبر")))</f>
        <v/>
      </c>
      <c r="R1019">
        <f>IF($P1019="","",COUNTIFS($N$6:$N$2005,$N1019,$P$6:$P$2005,"&lt;"&amp;$P1019)+COUNTIFS($A$6:$A$1005,$N1019,$B$6:$B$1005,"&lt;"&amp;$P1019)+1)</f>
        <v/>
      </c>
      <c r="S1019">
        <f>IF($N1019="","",$N1019&amp;"|"&amp;RIGHT("000000"&amp;$R1019,6))</f>
        <v/>
      </c>
      <c r="T1019">
        <f>IF($N1019="","",IF(Sync!$N1019="",0,Sync!$N1019))</f>
        <v/>
      </c>
      <c r="U1019">
        <f>IF($N1019="","",IF(Sync!$O1019="",0,Sync!$O1019))</f>
        <v/>
      </c>
      <c r="V1019">
        <f>IF($N1019="","",Sync!$L1019)</f>
        <v/>
      </c>
      <c r="W1019">
        <f>IF($N1019="","",Sync!$P1019)</f>
        <v/>
      </c>
    </row>
    <row r="1020">
      <c r="N1020">
        <f>IF(OR(Sync!$M1020="",$Q1020="",$Q1020="نامعتبر"),"",Sync!$M1020)</f>
        <v/>
      </c>
      <c r="O1020">
        <f>IF($N1020="","",$Q1020)</f>
        <v/>
      </c>
      <c r="P1020">
        <f>IF($N1020="","",LEFT($Q1020,4)&amp;MID($Q1020,6,2)&amp;RIGHT($Q1020,2)&amp;IF(Sync!$K1020="","0000",IF(AND(ISNUMBER(Sync!$K1020),Sync!$K1020&gt;=0,Sync!$K1020&lt;1),RIGHT("00"&amp;HOUR(Sync!$K1020),2)&amp;RIGHT("00"&amp;MINUTE(Sync!$K1020),2),IFERROR(RIGHT("00"&amp;VALUE(LEFT(Sync!$K1020,FIND(":",Sync!$K1020)-1)),2)&amp;RIGHT("00"&amp;VALUE(MID(Sync!$K1020,FIND(":",Sync!$K1020)+1,2)),2),"0000")))&amp;"|"&amp;"2"&amp;RIGHT("00000"&amp;1015,5))</f>
        <v/>
      </c>
      <c r="Q1020">
        <f>IF(Sync!$J1020="","",IF(ISNUMBER(Sync!$J1020),IF(AND(Sync!$J1020&gt;=10000101,Sync!$J1020&lt;=99991231),INT(Sync!$J1020/10000)&amp;"/"&amp;RIGHT("00"&amp;INT(MOD(Sync!$J1020,10000)/100),2)&amp;"/"&amp;RIGHT("00"&amp;MOD(Sync!$J1020,100),2),"نامعتبر"),IF(LEN(Sync!$J1020)=10,Sync!$J1020,"نامعتبر")))</f>
        <v/>
      </c>
      <c r="R1020">
        <f>IF($P1020="","",COUNTIFS($N$6:$N$2005,$N1020,$P$6:$P$2005,"&lt;"&amp;$P1020)+COUNTIFS($A$6:$A$1005,$N1020,$B$6:$B$1005,"&lt;"&amp;$P1020)+1)</f>
        <v/>
      </c>
      <c r="S1020">
        <f>IF($N1020="","",$N1020&amp;"|"&amp;RIGHT("000000"&amp;$R1020,6))</f>
        <v/>
      </c>
      <c r="T1020">
        <f>IF($N1020="","",IF(Sync!$N1020="",0,Sync!$N1020))</f>
        <v/>
      </c>
      <c r="U1020">
        <f>IF($N1020="","",IF(Sync!$O1020="",0,Sync!$O1020))</f>
        <v/>
      </c>
      <c r="V1020">
        <f>IF($N1020="","",Sync!$L1020)</f>
        <v/>
      </c>
      <c r="W1020">
        <f>IF($N1020="","",Sync!$P1020)</f>
        <v/>
      </c>
    </row>
    <row r="1021">
      <c r="N1021">
        <f>IF(OR(Sync!$M1021="",$Q1021="",$Q1021="نامعتبر"),"",Sync!$M1021)</f>
        <v/>
      </c>
      <c r="O1021">
        <f>IF($N1021="","",$Q1021)</f>
        <v/>
      </c>
      <c r="P1021">
        <f>IF($N1021="","",LEFT($Q1021,4)&amp;MID($Q1021,6,2)&amp;RIGHT($Q1021,2)&amp;IF(Sync!$K1021="","0000",IF(AND(ISNUMBER(Sync!$K1021),Sync!$K1021&gt;=0,Sync!$K1021&lt;1),RIGHT("00"&amp;HOUR(Sync!$K1021),2)&amp;RIGHT("00"&amp;MINUTE(Sync!$K1021),2),IFERROR(RIGHT("00"&amp;VALUE(LEFT(Sync!$K1021,FIND(":",Sync!$K1021)-1)),2)&amp;RIGHT("00"&amp;VALUE(MID(Sync!$K1021,FIND(":",Sync!$K1021)+1,2)),2),"0000")))&amp;"|"&amp;"2"&amp;RIGHT("00000"&amp;1016,5))</f>
        <v/>
      </c>
      <c r="Q1021">
        <f>IF(Sync!$J1021="","",IF(ISNUMBER(Sync!$J1021),IF(AND(Sync!$J1021&gt;=10000101,Sync!$J1021&lt;=99991231),INT(Sync!$J1021/10000)&amp;"/"&amp;RIGHT("00"&amp;INT(MOD(Sync!$J1021,10000)/100),2)&amp;"/"&amp;RIGHT("00"&amp;MOD(Sync!$J1021,100),2),"نامعتبر"),IF(LEN(Sync!$J1021)=10,Sync!$J1021,"نامعتبر")))</f>
        <v/>
      </c>
      <c r="R1021">
        <f>IF($P1021="","",COUNTIFS($N$6:$N$2005,$N1021,$P$6:$P$2005,"&lt;"&amp;$P1021)+COUNTIFS($A$6:$A$1005,$N1021,$B$6:$B$1005,"&lt;"&amp;$P1021)+1)</f>
        <v/>
      </c>
      <c r="S1021">
        <f>IF($N1021="","",$N1021&amp;"|"&amp;RIGHT("000000"&amp;$R1021,6))</f>
        <v/>
      </c>
      <c r="T1021">
        <f>IF($N1021="","",IF(Sync!$N1021="",0,Sync!$N1021))</f>
        <v/>
      </c>
      <c r="U1021">
        <f>IF($N1021="","",IF(Sync!$O1021="",0,Sync!$O1021))</f>
        <v/>
      </c>
      <c r="V1021">
        <f>IF($N1021="","",Sync!$L1021)</f>
        <v/>
      </c>
      <c r="W1021">
        <f>IF($N1021="","",Sync!$P1021)</f>
        <v/>
      </c>
    </row>
    <row r="1022">
      <c r="N1022">
        <f>IF(OR(Sync!$M1022="",$Q1022="",$Q1022="نامعتبر"),"",Sync!$M1022)</f>
        <v/>
      </c>
      <c r="O1022">
        <f>IF($N1022="","",$Q1022)</f>
        <v/>
      </c>
      <c r="P1022">
        <f>IF($N1022="","",LEFT($Q1022,4)&amp;MID($Q1022,6,2)&amp;RIGHT($Q1022,2)&amp;IF(Sync!$K1022="","0000",IF(AND(ISNUMBER(Sync!$K1022),Sync!$K1022&gt;=0,Sync!$K1022&lt;1),RIGHT("00"&amp;HOUR(Sync!$K1022),2)&amp;RIGHT("00"&amp;MINUTE(Sync!$K1022),2),IFERROR(RIGHT("00"&amp;VALUE(LEFT(Sync!$K1022,FIND(":",Sync!$K1022)-1)),2)&amp;RIGHT("00"&amp;VALUE(MID(Sync!$K1022,FIND(":",Sync!$K1022)+1,2)),2),"0000")))&amp;"|"&amp;"2"&amp;RIGHT("00000"&amp;1017,5))</f>
        <v/>
      </c>
      <c r="Q1022">
        <f>IF(Sync!$J1022="","",IF(ISNUMBER(Sync!$J1022),IF(AND(Sync!$J1022&gt;=10000101,Sync!$J1022&lt;=99991231),INT(Sync!$J1022/10000)&amp;"/"&amp;RIGHT("00"&amp;INT(MOD(Sync!$J1022,10000)/100),2)&amp;"/"&amp;RIGHT("00"&amp;MOD(Sync!$J1022,100),2),"نامعتبر"),IF(LEN(Sync!$J1022)=10,Sync!$J1022,"نامعتبر")))</f>
        <v/>
      </c>
      <c r="R1022">
        <f>IF($P1022="","",COUNTIFS($N$6:$N$2005,$N1022,$P$6:$P$2005,"&lt;"&amp;$P1022)+COUNTIFS($A$6:$A$1005,$N1022,$B$6:$B$1005,"&lt;"&amp;$P1022)+1)</f>
        <v/>
      </c>
      <c r="S1022">
        <f>IF($N1022="","",$N1022&amp;"|"&amp;RIGHT("000000"&amp;$R1022,6))</f>
        <v/>
      </c>
      <c r="T1022">
        <f>IF($N1022="","",IF(Sync!$N1022="",0,Sync!$N1022))</f>
        <v/>
      </c>
      <c r="U1022">
        <f>IF($N1022="","",IF(Sync!$O1022="",0,Sync!$O1022))</f>
        <v/>
      </c>
      <c r="V1022">
        <f>IF($N1022="","",Sync!$L1022)</f>
        <v/>
      </c>
      <c r="W1022">
        <f>IF($N1022="","",Sync!$P1022)</f>
        <v/>
      </c>
    </row>
    <row r="1023">
      <c r="N1023">
        <f>IF(OR(Sync!$M1023="",$Q1023="",$Q1023="نامعتبر"),"",Sync!$M1023)</f>
        <v/>
      </c>
      <c r="O1023">
        <f>IF($N1023="","",$Q1023)</f>
        <v/>
      </c>
      <c r="P1023">
        <f>IF($N1023="","",LEFT($Q1023,4)&amp;MID($Q1023,6,2)&amp;RIGHT($Q1023,2)&amp;IF(Sync!$K1023="","0000",IF(AND(ISNUMBER(Sync!$K1023),Sync!$K1023&gt;=0,Sync!$K1023&lt;1),RIGHT("00"&amp;HOUR(Sync!$K1023),2)&amp;RIGHT("00"&amp;MINUTE(Sync!$K1023),2),IFERROR(RIGHT("00"&amp;VALUE(LEFT(Sync!$K1023,FIND(":",Sync!$K1023)-1)),2)&amp;RIGHT("00"&amp;VALUE(MID(Sync!$K1023,FIND(":",Sync!$K1023)+1,2)),2),"0000")))&amp;"|"&amp;"2"&amp;RIGHT("00000"&amp;1018,5))</f>
        <v/>
      </c>
      <c r="Q1023">
        <f>IF(Sync!$J1023="","",IF(ISNUMBER(Sync!$J1023),IF(AND(Sync!$J1023&gt;=10000101,Sync!$J1023&lt;=99991231),INT(Sync!$J1023/10000)&amp;"/"&amp;RIGHT("00"&amp;INT(MOD(Sync!$J1023,10000)/100),2)&amp;"/"&amp;RIGHT("00"&amp;MOD(Sync!$J1023,100),2),"نامعتبر"),IF(LEN(Sync!$J1023)=10,Sync!$J1023,"نامعتبر")))</f>
        <v/>
      </c>
      <c r="R1023">
        <f>IF($P1023="","",COUNTIFS($N$6:$N$2005,$N1023,$P$6:$P$2005,"&lt;"&amp;$P1023)+COUNTIFS($A$6:$A$1005,$N1023,$B$6:$B$1005,"&lt;"&amp;$P1023)+1)</f>
        <v/>
      </c>
      <c r="S1023">
        <f>IF($N1023="","",$N1023&amp;"|"&amp;RIGHT("000000"&amp;$R1023,6))</f>
        <v/>
      </c>
      <c r="T1023">
        <f>IF($N1023="","",IF(Sync!$N1023="",0,Sync!$N1023))</f>
        <v/>
      </c>
      <c r="U1023">
        <f>IF($N1023="","",IF(Sync!$O1023="",0,Sync!$O1023))</f>
        <v/>
      </c>
      <c r="V1023">
        <f>IF($N1023="","",Sync!$L1023)</f>
        <v/>
      </c>
      <c r="W1023">
        <f>IF($N1023="","",Sync!$P1023)</f>
        <v/>
      </c>
    </row>
    <row r="1024">
      <c r="N1024">
        <f>IF(OR(Sync!$M1024="",$Q1024="",$Q1024="نامعتبر"),"",Sync!$M1024)</f>
        <v/>
      </c>
      <c r="O1024">
        <f>IF($N1024="","",$Q1024)</f>
        <v/>
      </c>
      <c r="P1024">
        <f>IF($N1024="","",LEFT($Q1024,4)&amp;MID($Q1024,6,2)&amp;RIGHT($Q1024,2)&amp;IF(Sync!$K1024="","0000",IF(AND(ISNUMBER(Sync!$K1024),Sync!$K1024&gt;=0,Sync!$K1024&lt;1),RIGHT("00"&amp;HOUR(Sync!$K1024),2)&amp;RIGHT("00"&amp;MINUTE(Sync!$K1024),2),IFERROR(RIGHT("00"&amp;VALUE(LEFT(Sync!$K1024,FIND(":",Sync!$K1024)-1)),2)&amp;RIGHT("00"&amp;VALUE(MID(Sync!$K1024,FIND(":",Sync!$K1024)+1,2)),2),"0000")))&amp;"|"&amp;"2"&amp;RIGHT("00000"&amp;1019,5))</f>
        <v/>
      </c>
      <c r="Q1024">
        <f>IF(Sync!$J1024="","",IF(ISNUMBER(Sync!$J1024),IF(AND(Sync!$J1024&gt;=10000101,Sync!$J1024&lt;=99991231),INT(Sync!$J1024/10000)&amp;"/"&amp;RIGHT("00"&amp;INT(MOD(Sync!$J1024,10000)/100),2)&amp;"/"&amp;RIGHT("00"&amp;MOD(Sync!$J1024,100),2),"نامعتبر"),IF(LEN(Sync!$J1024)=10,Sync!$J1024,"نامعتبر")))</f>
        <v/>
      </c>
      <c r="R1024">
        <f>IF($P1024="","",COUNTIFS($N$6:$N$2005,$N1024,$P$6:$P$2005,"&lt;"&amp;$P1024)+COUNTIFS($A$6:$A$1005,$N1024,$B$6:$B$1005,"&lt;"&amp;$P1024)+1)</f>
        <v/>
      </c>
      <c r="S1024">
        <f>IF($N1024="","",$N1024&amp;"|"&amp;RIGHT("000000"&amp;$R1024,6))</f>
        <v/>
      </c>
      <c r="T1024">
        <f>IF($N1024="","",IF(Sync!$N1024="",0,Sync!$N1024))</f>
        <v/>
      </c>
      <c r="U1024">
        <f>IF($N1024="","",IF(Sync!$O1024="",0,Sync!$O1024))</f>
        <v/>
      </c>
      <c r="V1024">
        <f>IF($N1024="","",Sync!$L1024)</f>
        <v/>
      </c>
      <c r="W1024">
        <f>IF($N1024="","",Sync!$P1024)</f>
        <v/>
      </c>
    </row>
    <row r="1025">
      <c r="N1025">
        <f>IF(OR(Sync!$M1025="",$Q1025="",$Q1025="نامعتبر"),"",Sync!$M1025)</f>
        <v/>
      </c>
      <c r="O1025">
        <f>IF($N1025="","",$Q1025)</f>
        <v/>
      </c>
      <c r="P1025">
        <f>IF($N1025="","",LEFT($Q1025,4)&amp;MID($Q1025,6,2)&amp;RIGHT($Q1025,2)&amp;IF(Sync!$K1025="","0000",IF(AND(ISNUMBER(Sync!$K1025),Sync!$K1025&gt;=0,Sync!$K1025&lt;1),RIGHT("00"&amp;HOUR(Sync!$K1025),2)&amp;RIGHT("00"&amp;MINUTE(Sync!$K1025),2),IFERROR(RIGHT("00"&amp;VALUE(LEFT(Sync!$K1025,FIND(":",Sync!$K1025)-1)),2)&amp;RIGHT("00"&amp;VALUE(MID(Sync!$K1025,FIND(":",Sync!$K1025)+1,2)),2),"0000")))&amp;"|"&amp;"2"&amp;RIGHT("00000"&amp;1020,5))</f>
        <v/>
      </c>
      <c r="Q1025">
        <f>IF(Sync!$J1025="","",IF(ISNUMBER(Sync!$J1025),IF(AND(Sync!$J1025&gt;=10000101,Sync!$J1025&lt;=99991231),INT(Sync!$J1025/10000)&amp;"/"&amp;RIGHT("00"&amp;INT(MOD(Sync!$J1025,10000)/100),2)&amp;"/"&amp;RIGHT("00"&amp;MOD(Sync!$J1025,100),2),"نامعتبر"),IF(LEN(Sync!$J1025)=10,Sync!$J1025,"نامعتبر")))</f>
        <v/>
      </c>
      <c r="R1025">
        <f>IF($P1025="","",COUNTIFS($N$6:$N$2005,$N1025,$P$6:$P$2005,"&lt;"&amp;$P1025)+COUNTIFS($A$6:$A$1005,$N1025,$B$6:$B$1005,"&lt;"&amp;$P1025)+1)</f>
        <v/>
      </c>
      <c r="S1025">
        <f>IF($N1025="","",$N1025&amp;"|"&amp;RIGHT("000000"&amp;$R1025,6))</f>
        <v/>
      </c>
      <c r="T1025">
        <f>IF($N1025="","",IF(Sync!$N1025="",0,Sync!$N1025))</f>
        <v/>
      </c>
      <c r="U1025">
        <f>IF($N1025="","",IF(Sync!$O1025="",0,Sync!$O1025))</f>
        <v/>
      </c>
      <c r="V1025">
        <f>IF($N1025="","",Sync!$L1025)</f>
        <v/>
      </c>
      <c r="W1025">
        <f>IF($N1025="","",Sync!$P1025)</f>
        <v/>
      </c>
    </row>
    <row r="1026">
      <c r="N1026">
        <f>IF(OR(Sync!$M1026="",$Q1026="",$Q1026="نامعتبر"),"",Sync!$M1026)</f>
        <v/>
      </c>
      <c r="O1026">
        <f>IF($N1026="","",$Q1026)</f>
        <v/>
      </c>
      <c r="P1026">
        <f>IF($N1026="","",LEFT($Q1026,4)&amp;MID($Q1026,6,2)&amp;RIGHT($Q1026,2)&amp;IF(Sync!$K1026="","0000",IF(AND(ISNUMBER(Sync!$K1026),Sync!$K1026&gt;=0,Sync!$K1026&lt;1),RIGHT("00"&amp;HOUR(Sync!$K1026),2)&amp;RIGHT("00"&amp;MINUTE(Sync!$K1026),2),IFERROR(RIGHT("00"&amp;VALUE(LEFT(Sync!$K1026,FIND(":",Sync!$K1026)-1)),2)&amp;RIGHT("00"&amp;VALUE(MID(Sync!$K1026,FIND(":",Sync!$K1026)+1,2)),2),"0000")))&amp;"|"&amp;"2"&amp;RIGHT("00000"&amp;1021,5))</f>
        <v/>
      </c>
      <c r="Q1026">
        <f>IF(Sync!$J1026="","",IF(ISNUMBER(Sync!$J1026),IF(AND(Sync!$J1026&gt;=10000101,Sync!$J1026&lt;=99991231),INT(Sync!$J1026/10000)&amp;"/"&amp;RIGHT("00"&amp;INT(MOD(Sync!$J1026,10000)/100),2)&amp;"/"&amp;RIGHT("00"&amp;MOD(Sync!$J1026,100),2),"نامعتبر"),IF(LEN(Sync!$J1026)=10,Sync!$J1026,"نامعتبر")))</f>
        <v/>
      </c>
      <c r="R1026">
        <f>IF($P1026="","",COUNTIFS($N$6:$N$2005,$N1026,$P$6:$P$2005,"&lt;"&amp;$P1026)+COUNTIFS($A$6:$A$1005,$N1026,$B$6:$B$1005,"&lt;"&amp;$P1026)+1)</f>
        <v/>
      </c>
      <c r="S1026">
        <f>IF($N1026="","",$N1026&amp;"|"&amp;RIGHT("000000"&amp;$R1026,6))</f>
        <v/>
      </c>
      <c r="T1026">
        <f>IF($N1026="","",IF(Sync!$N1026="",0,Sync!$N1026))</f>
        <v/>
      </c>
      <c r="U1026">
        <f>IF($N1026="","",IF(Sync!$O1026="",0,Sync!$O1026))</f>
        <v/>
      </c>
      <c r="V1026">
        <f>IF($N1026="","",Sync!$L1026)</f>
        <v/>
      </c>
      <c r="W1026">
        <f>IF($N1026="","",Sync!$P1026)</f>
        <v/>
      </c>
    </row>
    <row r="1027">
      <c r="N1027">
        <f>IF(OR(Sync!$M1027="",$Q1027="",$Q1027="نامعتبر"),"",Sync!$M1027)</f>
        <v/>
      </c>
      <c r="O1027">
        <f>IF($N1027="","",$Q1027)</f>
        <v/>
      </c>
      <c r="P1027">
        <f>IF($N1027="","",LEFT($Q1027,4)&amp;MID($Q1027,6,2)&amp;RIGHT($Q1027,2)&amp;IF(Sync!$K1027="","0000",IF(AND(ISNUMBER(Sync!$K1027),Sync!$K1027&gt;=0,Sync!$K1027&lt;1),RIGHT("00"&amp;HOUR(Sync!$K1027),2)&amp;RIGHT("00"&amp;MINUTE(Sync!$K1027),2),IFERROR(RIGHT("00"&amp;VALUE(LEFT(Sync!$K1027,FIND(":",Sync!$K1027)-1)),2)&amp;RIGHT("00"&amp;VALUE(MID(Sync!$K1027,FIND(":",Sync!$K1027)+1,2)),2),"0000")))&amp;"|"&amp;"2"&amp;RIGHT("00000"&amp;1022,5))</f>
        <v/>
      </c>
      <c r="Q1027">
        <f>IF(Sync!$J1027="","",IF(ISNUMBER(Sync!$J1027),IF(AND(Sync!$J1027&gt;=10000101,Sync!$J1027&lt;=99991231),INT(Sync!$J1027/10000)&amp;"/"&amp;RIGHT("00"&amp;INT(MOD(Sync!$J1027,10000)/100),2)&amp;"/"&amp;RIGHT("00"&amp;MOD(Sync!$J1027,100),2),"نامعتبر"),IF(LEN(Sync!$J1027)=10,Sync!$J1027,"نامعتبر")))</f>
        <v/>
      </c>
      <c r="R1027">
        <f>IF($P1027="","",COUNTIFS($N$6:$N$2005,$N1027,$P$6:$P$2005,"&lt;"&amp;$P1027)+COUNTIFS($A$6:$A$1005,$N1027,$B$6:$B$1005,"&lt;"&amp;$P1027)+1)</f>
        <v/>
      </c>
      <c r="S1027">
        <f>IF($N1027="","",$N1027&amp;"|"&amp;RIGHT("000000"&amp;$R1027,6))</f>
        <v/>
      </c>
      <c r="T1027">
        <f>IF($N1027="","",IF(Sync!$N1027="",0,Sync!$N1027))</f>
        <v/>
      </c>
      <c r="U1027">
        <f>IF($N1027="","",IF(Sync!$O1027="",0,Sync!$O1027))</f>
        <v/>
      </c>
      <c r="V1027">
        <f>IF($N1027="","",Sync!$L1027)</f>
        <v/>
      </c>
      <c r="W1027">
        <f>IF($N1027="","",Sync!$P1027)</f>
        <v/>
      </c>
    </row>
    <row r="1028">
      <c r="N1028">
        <f>IF(OR(Sync!$M1028="",$Q1028="",$Q1028="نامعتبر"),"",Sync!$M1028)</f>
        <v/>
      </c>
      <c r="O1028">
        <f>IF($N1028="","",$Q1028)</f>
        <v/>
      </c>
      <c r="P1028">
        <f>IF($N1028="","",LEFT($Q1028,4)&amp;MID($Q1028,6,2)&amp;RIGHT($Q1028,2)&amp;IF(Sync!$K1028="","0000",IF(AND(ISNUMBER(Sync!$K1028),Sync!$K1028&gt;=0,Sync!$K1028&lt;1),RIGHT("00"&amp;HOUR(Sync!$K1028),2)&amp;RIGHT("00"&amp;MINUTE(Sync!$K1028),2),IFERROR(RIGHT("00"&amp;VALUE(LEFT(Sync!$K1028,FIND(":",Sync!$K1028)-1)),2)&amp;RIGHT("00"&amp;VALUE(MID(Sync!$K1028,FIND(":",Sync!$K1028)+1,2)),2),"0000")))&amp;"|"&amp;"2"&amp;RIGHT("00000"&amp;1023,5))</f>
        <v/>
      </c>
      <c r="Q1028">
        <f>IF(Sync!$J1028="","",IF(ISNUMBER(Sync!$J1028),IF(AND(Sync!$J1028&gt;=10000101,Sync!$J1028&lt;=99991231),INT(Sync!$J1028/10000)&amp;"/"&amp;RIGHT("00"&amp;INT(MOD(Sync!$J1028,10000)/100),2)&amp;"/"&amp;RIGHT("00"&amp;MOD(Sync!$J1028,100),2),"نامعتبر"),IF(LEN(Sync!$J1028)=10,Sync!$J1028,"نامعتبر")))</f>
        <v/>
      </c>
      <c r="R1028">
        <f>IF($P1028="","",COUNTIFS($N$6:$N$2005,$N1028,$P$6:$P$2005,"&lt;"&amp;$P1028)+COUNTIFS($A$6:$A$1005,$N1028,$B$6:$B$1005,"&lt;"&amp;$P1028)+1)</f>
        <v/>
      </c>
      <c r="S1028">
        <f>IF($N1028="","",$N1028&amp;"|"&amp;RIGHT("000000"&amp;$R1028,6))</f>
        <v/>
      </c>
      <c r="T1028">
        <f>IF($N1028="","",IF(Sync!$N1028="",0,Sync!$N1028))</f>
        <v/>
      </c>
      <c r="U1028">
        <f>IF($N1028="","",IF(Sync!$O1028="",0,Sync!$O1028))</f>
        <v/>
      </c>
      <c r="V1028">
        <f>IF($N1028="","",Sync!$L1028)</f>
        <v/>
      </c>
      <c r="W1028">
        <f>IF($N1028="","",Sync!$P1028)</f>
        <v/>
      </c>
    </row>
    <row r="1029">
      <c r="N1029">
        <f>IF(OR(Sync!$M1029="",$Q1029="",$Q1029="نامعتبر"),"",Sync!$M1029)</f>
        <v/>
      </c>
      <c r="O1029">
        <f>IF($N1029="","",$Q1029)</f>
        <v/>
      </c>
      <c r="P1029">
        <f>IF($N1029="","",LEFT($Q1029,4)&amp;MID($Q1029,6,2)&amp;RIGHT($Q1029,2)&amp;IF(Sync!$K1029="","0000",IF(AND(ISNUMBER(Sync!$K1029),Sync!$K1029&gt;=0,Sync!$K1029&lt;1),RIGHT("00"&amp;HOUR(Sync!$K1029),2)&amp;RIGHT("00"&amp;MINUTE(Sync!$K1029),2),IFERROR(RIGHT("00"&amp;VALUE(LEFT(Sync!$K1029,FIND(":",Sync!$K1029)-1)),2)&amp;RIGHT("00"&amp;VALUE(MID(Sync!$K1029,FIND(":",Sync!$K1029)+1,2)),2),"0000")))&amp;"|"&amp;"2"&amp;RIGHT("00000"&amp;1024,5))</f>
        <v/>
      </c>
      <c r="Q1029">
        <f>IF(Sync!$J1029="","",IF(ISNUMBER(Sync!$J1029),IF(AND(Sync!$J1029&gt;=10000101,Sync!$J1029&lt;=99991231),INT(Sync!$J1029/10000)&amp;"/"&amp;RIGHT("00"&amp;INT(MOD(Sync!$J1029,10000)/100),2)&amp;"/"&amp;RIGHT("00"&amp;MOD(Sync!$J1029,100),2),"نامعتبر"),IF(LEN(Sync!$J1029)=10,Sync!$J1029,"نامعتبر")))</f>
        <v/>
      </c>
      <c r="R1029">
        <f>IF($P1029="","",COUNTIFS($N$6:$N$2005,$N1029,$P$6:$P$2005,"&lt;"&amp;$P1029)+COUNTIFS($A$6:$A$1005,$N1029,$B$6:$B$1005,"&lt;"&amp;$P1029)+1)</f>
        <v/>
      </c>
      <c r="S1029">
        <f>IF($N1029="","",$N1029&amp;"|"&amp;RIGHT("000000"&amp;$R1029,6))</f>
        <v/>
      </c>
      <c r="T1029">
        <f>IF($N1029="","",IF(Sync!$N1029="",0,Sync!$N1029))</f>
        <v/>
      </c>
      <c r="U1029">
        <f>IF($N1029="","",IF(Sync!$O1029="",0,Sync!$O1029))</f>
        <v/>
      </c>
      <c r="V1029">
        <f>IF($N1029="","",Sync!$L1029)</f>
        <v/>
      </c>
      <c r="W1029">
        <f>IF($N1029="","",Sync!$P1029)</f>
        <v/>
      </c>
    </row>
    <row r="1030">
      <c r="N1030">
        <f>IF(OR(Sync!$M1030="",$Q1030="",$Q1030="نامعتبر"),"",Sync!$M1030)</f>
        <v/>
      </c>
      <c r="O1030">
        <f>IF($N1030="","",$Q1030)</f>
        <v/>
      </c>
      <c r="P1030">
        <f>IF($N1030="","",LEFT($Q1030,4)&amp;MID($Q1030,6,2)&amp;RIGHT($Q1030,2)&amp;IF(Sync!$K1030="","0000",IF(AND(ISNUMBER(Sync!$K1030),Sync!$K1030&gt;=0,Sync!$K1030&lt;1),RIGHT("00"&amp;HOUR(Sync!$K1030),2)&amp;RIGHT("00"&amp;MINUTE(Sync!$K1030),2),IFERROR(RIGHT("00"&amp;VALUE(LEFT(Sync!$K1030,FIND(":",Sync!$K1030)-1)),2)&amp;RIGHT("00"&amp;VALUE(MID(Sync!$K1030,FIND(":",Sync!$K1030)+1,2)),2),"0000")))&amp;"|"&amp;"2"&amp;RIGHT("00000"&amp;1025,5))</f>
        <v/>
      </c>
      <c r="Q1030">
        <f>IF(Sync!$J1030="","",IF(ISNUMBER(Sync!$J1030),IF(AND(Sync!$J1030&gt;=10000101,Sync!$J1030&lt;=99991231),INT(Sync!$J1030/10000)&amp;"/"&amp;RIGHT("00"&amp;INT(MOD(Sync!$J1030,10000)/100),2)&amp;"/"&amp;RIGHT("00"&amp;MOD(Sync!$J1030,100),2),"نامعتبر"),IF(LEN(Sync!$J1030)=10,Sync!$J1030,"نامعتبر")))</f>
        <v/>
      </c>
      <c r="R1030">
        <f>IF($P1030="","",COUNTIFS($N$6:$N$2005,$N1030,$P$6:$P$2005,"&lt;"&amp;$P1030)+COUNTIFS($A$6:$A$1005,$N1030,$B$6:$B$1005,"&lt;"&amp;$P1030)+1)</f>
        <v/>
      </c>
      <c r="S1030">
        <f>IF($N1030="","",$N1030&amp;"|"&amp;RIGHT("000000"&amp;$R1030,6))</f>
        <v/>
      </c>
      <c r="T1030">
        <f>IF($N1030="","",IF(Sync!$N1030="",0,Sync!$N1030))</f>
        <v/>
      </c>
      <c r="U1030">
        <f>IF($N1030="","",IF(Sync!$O1030="",0,Sync!$O1030))</f>
        <v/>
      </c>
      <c r="V1030">
        <f>IF($N1030="","",Sync!$L1030)</f>
        <v/>
      </c>
      <c r="W1030">
        <f>IF($N1030="","",Sync!$P1030)</f>
        <v/>
      </c>
    </row>
    <row r="1031">
      <c r="N1031">
        <f>IF(OR(Sync!$M1031="",$Q1031="",$Q1031="نامعتبر"),"",Sync!$M1031)</f>
        <v/>
      </c>
      <c r="O1031">
        <f>IF($N1031="","",$Q1031)</f>
        <v/>
      </c>
      <c r="P1031">
        <f>IF($N1031="","",LEFT($Q1031,4)&amp;MID($Q1031,6,2)&amp;RIGHT($Q1031,2)&amp;IF(Sync!$K1031="","0000",IF(AND(ISNUMBER(Sync!$K1031),Sync!$K1031&gt;=0,Sync!$K1031&lt;1),RIGHT("00"&amp;HOUR(Sync!$K1031),2)&amp;RIGHT("00"&amp;MINUTE(Sync!$K1031),2),IFERROR(RIGHT("00"&amp;VALUE(LEFT(Sync!$K1031,FIND(":",Sync!$K1031)-1)),2)&amp;RIGHT("00"&amp;VALUE(MID(Sync!$K1031,FIND(":",Sync!$K1031)+1,2)),2),"0000")))&amp;"|"&amp;"2"&amp;RIGHT("00000"&amp;1026,5))</f>
        <v/>
      </c>
      <c r="Q1031">
        <f>IF(Sync!$J1031="","",IF(ISNUMBER(Sync!$J1031),IF(AND(Sync!$J1031&gt;=10000101,Sync!$J1031&lt;=99991231),INT(Sync!$J1031/10000)&amp;"/"&amp;RIGHT("00"&amp;INT(MOD(Sync!$J1031,10000)/100),2)&amp;"/"&amp;RIGHT("00"&amp;MOD(Sync!$J1031,100),2),"نامعتبر"),IF(LEN(Sync!$J1031)=10,Sync!$J1031,"نامعتبر")))</f>
        <v/>
      </c>
      <c r="R1031">
        <f>IF($P1031="","",COUNTIFS($N$6:$N$2005,$N1031,$P$6:$P$2005,"&lt;"&amp;$P1031)+COUNTIFS($A$6:$A$1005,$N1031,$B$6:$B$1005,"&lt;"&amp;$P1031)+1)</f>
        <v/>
      </c>
      <c r="S1031">
        <f>IF($N1031="","",$N1031&amp;"|"&amp;RIGHT("000000"&amp;$R1031,6))</f>
        <v/>
      </c>
      <c r="T1031">
        <f>IF($N1031="","",IF(Sync!$N1031="",0,Sync!$N1031))</f>
        <v/>
      </c>
      <c r="U1031">
        <f>IF($N1031="","",IF(Sync!$O1031="",0,Sync!$O1031))</f>
        <v/>
      </c>
      <c r="V1031">
        <f>IF($N1031="","",Sync!$L1031)</f>
        <v/>
      </c>
      <c r="W1031">
        <f>IF($N1031="","",Sync!$P1031)</f>
        <v/>
      </c>
    </row>
    <row r="1032">
      <c r="N1032">
        <f>IF(OR(Sync!$M1032="",$Q1032="",$Q1032="نامعتبر"),"",Sync!$M1032)</f>
        <v/>
      </c>
      <c r="O1032">
        <f>IF($N1032="","",$Q1032)</f>
        <v/>
      </c>
      <c r="P1032">
        <f>IF($N1032="","",LEFT($Q1032,4)&amp;MID($Q1032,6,2)&amp;RIGHT($Q1032,2)&amp;IF(Sync!$K1032="","0000",IF(AND(ISNUMBER(Sync!$K1032),Sync!$K1032&gt;=0,Sync!$K1032&lt;1),RIGHT("00"&amp;HOUR(Sync!$K1032),2)&amp;RIGHT("00"&amp;MINUTE(Sync!$K1032),2),IFERROR(RIGHT("00"&amp;VALUE(LEFT(Sync!$K1032,FIND(":",Sync!$K1032)-1)),2)&amp;RIGHT("00"&amp;VALUE(MID(Sync!$K1032,FIND(":",Sync!$K1032)+1,2)),2),"0000")))&amp;"|"&amp;"2"&amp;RIGHT("00000"&amp;1027,5))</f>
        <v/>
      </c>
      <c r="Q1032">
        <f>IF(Sync!$J1032="","",IF(ISNUMBER(Sync!$J1032),IF(AND(Sync!$J1032&gt;=10000101,Sync!$J1032&lt;=99991231),INT(Sync!$J1032/10000)&amp;"/"&amp;RIGHT("00"&amp;INT(MOD(Sync!$J1032,10000)/100),2)&amp;"/"&amp;RIGHT("00"&amp;MOD(Sync!$J1032,100),2),"نامعتبر"),IF(LEN(Sync!$J1032)=10,Sync!$J1032,"نامعتبر")))</f>
        <v/>
      </c>
      <c r="R1032">
        <f>IF($P1032="","",COUNTIFS($N$6:$N$2005,$N1032,$P$6:$P$2005,"&lt;"&amp;$P1032)+COUNTIFS($A$6:$A$1005,$N1032,$B$6:$B$1005,"&lt;"&amp;$P1032)+1)</f>
        <v/>
      </c>
      <c r="S1032">
        <f>IF($N1032="","",$N1032&amp;"|"&amp;RIGHT("000000"&amp;$R1032,6))</f>
        <v/>
      </c>
      <c r="T1032">
        <f>IF($N1032="","",IF(Sync!$N1032="",0,Sync!$N1032))</f>
        <v/>
      </c>
      <c r="U1032">
        <f>IF($N1032="","",IF(Sync!$O1032="",0,Sync!$O1032))</f>
        <v/>
      </c>
      <c r="V1032">
        <f>IF($N1032="","",Sync!$L1032)</f>
        <v/>
      </c>
      <c r="W1032">
        <f>IF($N1032="","",Sync!$P1032)</f>
        <v/>
      </c>
    </row>
    <row r="1033">
      <c r="N1033">
        <f>IF(OR(Sync!$M1033="",$Q1033="",$Q1033="نامعتبر"),"",Sync!$M1033)</f>
        <v/>
      </c>
      <c r="O1033">
        <f>IF($N1033="","",$Q1033)</f>
        <v/>
      </c>
      <c r="P1033">
        <f>IF($N1033="","",LEFT($Q1033,4)&amp;MID($Q1033,6,2)&amp;RIGHT($Q1033,2)&amp;IF(Sync!$K1033="","0000",IF(AND(ISNUMBER(Sync!$K1033),Sync!$K1033&gt;=0,Sync!$K1033&lt;1),RIGHT("00"&amp;HOUR(Sync!$K1033),2)&amp;RIGHT("00"&amp;MINUTE(Sync!$K1033),2),IFERROR(RIGHT("00"&amp;VALUE(LEFT(Sync!$K1033,FIND(":",Sync!$K1033)-1)),2)&amp;RIGHT("00"&amp;VALUE(MID(Sync!$K1033,FIND(":",Sync!$K1033)+1,2)),2),"0000")))&amp;"|"&amp;"2"&amp;RIGHT("00000"&amp;1028,5))</f>
        <v/>
      </c>
      <c r="Q1033">
        <f>IF(Sync!$J1033="","",IF(ISNUMBER(Sync!$J1033),IF(AND(Sync!$J1033&gt;=10000101,Sync!$J1033&lt;=99991231),INT(Sync!$J1033/10000)&amp;"/"&amp;RIGHT("00"&amp;INT(MOD(Sync!$J1033,10000)/100),2)&amp;"/"&amp;RIGHT("00"&amp;MOD(Sync!$J1033,100),2),"نامعتبر"),IF(LEN(Sync!$J1033)=10,Sync!$J1033,"نامعتبر")))</f>
        <v/>
      </c>
      <c r="R1033">
        <f>IF($P1033="","",COUNTIFS($N$6:$N$2005,$N1033,$P$6:$P$2005,"&lt;"&amp;$P1033)+COUNTIFS($A$6:$A$1005,$N1033,$B$6:$B$1005,"&lt;"&amp;$P1033)+1)</f>
        <v/>
      </c>
      <c r="S1033">
        <f>IF($N1033="","",$N1033&amp;"|"&amp;RIGHT("000000"&amp;$R1033,6))</f>
        <v/>
      </c>
      <c r="T1033">
        <f>IF($N1033="","",IF(Sync!$N1033="",0,Sync!$N1033))</f>
        <v/>
      </c>
      <c r="U1033">
        <f>IF($N1033="","",IF(Sync!$O1033="",0,Sync!$O1033))</f>
        <v/>
      </c>
      <c r="V1033">
        <f>IF($N1033="","",Sync!$L1033)</f>
        <v/>
      </c>
      <c r="W1033">
        <f>IF($N1033="","",Sync!$P1033)</f>
        <v/>
      </c>
    </row>
    <row r="1034">
      <c r="N1034">
        <f>IF(OR(Sync!$M1034="",$Q1034="",$Q1034="نامعتبر"),"",Sync!$M1034)</f>
        <v/>
      </c>
      <c r="O1034">
        <f>IF($N1034="","",$Q1034)</f>
        <v/>
      </c>
      <c r="P1034">
        <f>IF($N1034="","",LEFT($Q1034,4)&amp;MID($Q1034,6,2)&amp;RIGHT($Q1034,2)&amp;IF(Sync!$K1034="","0000",IF(AND(ISNUMBER(Sync!$K1034),Sync!$K1034&gt;=0,Sync!$K1034&lt;1),RIGHT("00"&amp;HOUR(Sync!$K1034),2)&amp;RIGHT("00"&amp;MINUTE(Sync!$K1034),2),IFERROR(RIGHT("00"&amp;VALUE(LEFT(Sync!$K1034,FIND(":",Sync!$K1034)-1)),2)&amp;RIGHT("00"&amp;VALUE(MID(Sync!$K1034,FIND(":",Sync!$K1034)+1,2)),2),"0000")))&amp;"|"&amp;"2"&amp;RIGHT("00000"&amp;1029,5))</f>
        <v/>
      </c>
      <c r="Q1034">
        <f>IF(Sync!$J1034="","",IF(ISNUMBER(Sync!$J1034),IF(AND(Sync!$J1034&gt;=10000101,Sync!$J1034&lt;=99991231),INT(Sync!$J1034/10000)&amp;"/"&amp;RIGHT("00"&amp;INT(MOD(Sync!$J1034,10000)/100),2)&amp;"/"&amp;RIGHT("00"&amp;MOD(Sync!$J1034,100),2),"نامعتبر"),IF(LEN(Sync!$J1034)=10,Sync!$J1034,"نامعتبر")))</f>
        <v/>
      </c>
      <c r="R1034">
        <f>IF($P1034="","",COUNTIFS($N$6:$N$2005,$N1034,$P$6:$P$2005,"&lt;"&amp;$P1034)+COUNTIFS($A$6:$A$1005,$N1034,$B$6:$B$1005,"&lt;"&amp;$P1034)+1)</f>
        <v/>
      </c>
      <c r="S1034">
        <f>IF($N1034="","",$N1034&amp;"|"&amp;RIGHT("000000"&amp;$R1034,6))</f>
        <v/>
      </c>
      <c r="T1034">
        <f>IF($N1034="","",IF(Sync!$N1034="",0,Sync!$N1034))</f>
        <v/>
      </c>
      <c r="U1034">
        <f>IF($N1034="","",IF(Sync!$O1034="",0,Sync!$O1034))</f>
        <v/>
      </c>
      <c r="V1034">
        <f>IF($N1034="","",Sync!$L1034)</f>
        <v/>
      </c>
      <c r="W1034">
        <f>IF($N1034="","",Sync!$P1034)</f>
        <v/>
      </c>
    </row>
    <row r="1035">
      <c r="N1035">
        <f>IF(OR(Sync!$M1035="",$Q1035="",$Q1035="نامعتبر"),"",Sync!$M1035)</f>
        <v/>
      </c>
      <c r="O1035">
        <f>IF($N1035="","",$Q1035)</f>
        <v/>
      </c>
      <c r="P1035">
        <f>IF($N1035="","",LEFT($Q1035,4)&amp;MID($Q1035,6,2)&amp;RIGHT($Q1035,2)&amp;IF(Sync!$K1035="","0000",IF(AND(ISNUMBER(Sync!$K1035),Sync!$K1035&gt;=0,Sync!$K1035&lt;1),RIGHT("00"&amp;HOUR(Sync!$K1035),2)&amp;RIGHT("00"&amp;MINUTE(Sync!$K1035),2),IFERROR(RIGHT("00"&amp;VALUE(LEFT(Sync!$K1035,FIND(":",Sync!$K1035)-1)),2)&amp;RIGHT("00"&amp;VALUE(MID(Sync!$K1035,FIND(":",Sync!$K1035)+1,2)),2),"0000")))&amp;"|"&amp;"2"&amp;RIGHT("00000"&amp;1030,5))</f>
        <v/>
      </c>
      <c r="Q1035">
        <f>IF(Sync!$J1035="","",IF(ISNUMBER(Sync!$J1035),IF(AND(Sync!$J1035&gt;=10000101,Sync!$J1035&lt;=99991231),INT(Sync!$J1035/10000)&amp;"/"&amp;RIGHT("00"&amp;INT(MOD(Sync!$J1035,10000)/100),2)&amp;"/"&amp;RIGHT("00"&amp;MOD(Sync!$J1035,100),2),"نامعتبر"),IF(LEN(Sync!$J1035)=10,Sync!$J1035,"نامعتبر")))</f>
        <v/>
      </c>
      <c r="R1035">
        <f>IF($P1035="","",COUNTIFS($N$6:$N$2005,$N1035,$P$6:$P$2005,"&lt;"&amp;$P1035)+COUNTIFS($A$6:$A$1005,$N1035,$B$6:$B$1005,"&lt;"&amp;$P1035)+1)</f>
        <v/>
      </c>
      <c r="S1035">
        <f>IF($N1035="","",$N1035&amp;"|"&amp;RIGHT("000000"&amp;$R1035,6))</f>
        <v/>
      </c>
      <c r="T1035">
        <f>IF($N1035="","",IF(Sync!$N1035="",0,Sync!$N1035))</f>
        <v/>
      </c>
      <c r="U1035">
        <f>IF($N1035="","",IF(Sync!$O1035="",0,Sync!$O1035))</f>
        <v/>
      </c>
      <c r="V1035">
        <f>IF($N1035="","",Sync!$L1035)</f>
        <v/>
      </c>
      <c r="W1035">
        <f>IF($N1035="","",Sync!$P1035)</f>
        <v/>
      </c>
    </row>
    <row r="1036">
      <c r="N1036">
        <f>IF(OR(Sync!$M1036="",$Q1036="",$Q1036="نامعتبر"),"",Sync!$M1036)</f>
        <v/>
      </c>
      <c r="O1036">
        <f>IF($N1036="","",$Q1036)</f>
        <v/>
      </c>
      <c r="P1036">
        <f>IF($N1036="","",LEFT($Q1036,4)&amp;MID($Q1036,6,2)&amp;RIGHT($Q1036,2)&amp;IF(Sync!$K1036="","0000",IF(AND(ISNUMBER(Sync!$K1036),Sync!$K1036&gt;=0,Sync!$K1036&lt;1),RIGHT("00"&amp;HOUR(Sync!$K1036),2)&amp;RIGHT("00"&amp;MINUTE(Sync!$K1036),2),IFERROR(RIGHT("00"&amp;VALUE(LEFT(Sync!$K1036,FIND(":",Sync!$K1036)-1)),2)&amp;RIGHT("00"&amp;VALUE(MID(Sync!$K1036,FIND(":",Sync!$K1036)+1,2)),2),"0000")))&amp;"|"&amp;"2"&amp;RIGHT("00000"&amp;1031,5))</f>
        <v/>
      </c>
      <c r="Q1036">
        <f>IF(Sync!$J1036="","",IF(ISNUMBER(Sync!$J1036),IF(AND(Sync!$J1036&gt;=10000101,Sync!$J1036&lt;=99991231),INT(Sync!$J1036/10000)&amp;"/"&amp;RIGHT("00"&amp;INT(MOD(Sync!$J1036,10000)/100),2)&amp;"/"&amp;RIGHT("00"&amp;MOD(Sync!$J1036,100),2),"نامعتبر"),IF(LEN(Sync!$J1036)=10,Sync!$J1036,"نامعتبر")))</f>
        <v/>
      </c>
      <c r="R1036">
        <f>IF($P1036="","",COUNTIFS($N$6:$N$2005,$N1036,$P$6:$P$2005,"&lt;"&amp;$P1036)+COUNTIFS($A$6:$A$1005,$N1036,$B$6:$B$1005,"&lt;"&amp;$P1036)+1)</f>
        <v/>
      </c>
      <c r="S1036">
        <f>IF($N1036="","",$N1036&amp;"|"&amp;RIGHT("000000"&amp;$R1036,6))</f>
        <v/>
      </c>
      <c r="T1036">
        <f>IF($N1036="","",IF(Sync!$N1036="",0,Sync!$N1036))</f>
        <v/>
      </c>
      <c r="U1036">
        <f>IF($N1036="","",IF(Sync!$O1036="",0,Sync!$O1036))</f>
        <v/>
      </c>
      <c r="V1036">
        <f>IF($N1036="","",Sync!$L1036)</f>
        <v/>
      </c>
      <c r="W1036">
        <f>IF($N1036="","",Sync!$P1036)</f>
        <v/>
      </c>
    </row>
    <row r="1037">
      <c r="N1037">
        <f>IF(OR(Sync!$M1037="",$Q1037="",$Q1037="نامعتبر"),"",Sync!$M1037)</f>
        <v/>
      </c>
      <c r="O1037">
        <f>IF($N1037="","",$Q1037)</f>
        <v/>
      </c>
      <c r="P1037">
        <f>IF($N1037="","",LEFT($Q1037,4)&amp;MID($Q1037,6,2)&amp;RIGHT($Q1037,2)&amp;IF(Sync!$K1037="","0000",IF(AND(ISNUMBER(Sync!$K1037),Sync!$K1037&gt;=0,Sync!$K1037&lt;1),RIGHT("00"&amp;HOUR(Sync!$K1037),2)&amp;RIGHT("00"&amp;MINUTE(Sync!$K1037),2),IFERROR(RIGHT("00"&amp;VALUE(LEFT(Sync!$K1037,FIND(":",Sync!$K1037)-1)),2)&amp;RIGHT("00"&amp;VALUE(MID(Sync!$K1037,FIND(":",Sync!$K1037)+1,2)),2),"0000")))&amp;"|"&amp;"2"&amp;RIGHT("00000"&amp;1032,5))</f>
        <v/>
      </c>
      <c r="Q1037">
        <f>IF(Sync!$J1037="","",IF(ISNUMBER(Sync!$J1037),IF(AND(Sync!$J1037&gt;=10000101,Sync!$J1037&lt;=99991231),INT(Sync!$J1037/10000)&amp;"/"&amp;RIGHT("00"&amp;INT(MOD(Sync!$J1037,10000)/100),2)&amp;"/"&amp;RIGHT("00"&amp;MOD(Sync!$J1037,100),2),"نامعتبر"),IF(LEN(Sync!$J1037)=10,Sync!$J1037,"نامعتبر")))</f>
        <v/>
      </c>
      <c r="R1037">
        <f>IF($P1037="","",COUNTIFS($N$6:$N$2005,$N1037,$P$6:$P$2005,"&lt;"&amp;$P1037)+COUNTIFS($A$6:$A$1005,$N1037,$B$6:$B$1005,"&lt;"&amp;$P1037)+1)</f>
        <v/>
      </c>
      <c r="S1037">
        <f>IF($N1037="","",$N1037&amp;"|"&amp;RIGHT("000000"&amp;$R1037,6))</f>
        <v/>
      </c>
      <c r="T1037">
        <f>IF($N1037="","",IF(Sync!$N1037="",0,Sync!$N1037))</f>
        <v/>
      </c>
      <c r="U1037">
        <f>IF($N1037="","",IF(Sync!$O1037="",0,Sync!$O1037))</f>
        <v/>
      </c>
      <c r="V1037">
        <f>IF($N1037="","",Sync!$L1037)</f>
        <v/>
      </c>
      <c r="W1037">
        <f>IF($N1037="","",Sync!$P1037)</f>
        <v/>
      </c>
    </row>
    <row r="1038">
      <c r="N1038">
        <f>IF(OR(Sync!$M1038="",$Q1038="",$Q1038="نامعتبر"),"",Sync!$M1038)</f>
        <v/>
      </c>
      <c r="O1038">
        <f>IF($N1038="","",$Q1038)</f>
        <v/>
      </c>
      <c r="P1038">
        <f>IF($N1038="","",LEFT($Q1038,4)&amp;MID($Q1038,6,2)&amp;RIGHT($Q1038,2)&amp;IF(Sync!$K1038="","0000",IF(AND(ISNUMBER(Sync!$K1038),Sync!$K1038&gt;=0,Sync!$K1038&lt;1),RIGHT("00"&amp;HOUR(Sync!$K1038),2)&amp;RIGHT("00"&amp;MINUTE(Sync!$K1038),2),IFERROR(RIGHT("00"&amp;VALUE(LEFT(Sync!$K1038,FIND(":",Sync!$K1038)-1)),2)&amp;RIGHT("00"&amp;VALUE(MID(Sync!$K1038,FIND(":",Sync!$K1038)+1,2)),2),"0000")))&amp;"|"&amp;"2"&amp;RIGHT("00000"&amp;1033,5))</f>
        <v/>
      </c>
      <c r="Q1038">
        <f>IF(Sync!$J1038="","",IF(ISNUMBER(Sync!$J1038),IF(AND(Sync!$J1038&gt;=10000101,Sync!$J1038&lt;=99991231),INT(Sync!$J1038/10000)&amp;"/"&amp;RIGHT("00"&amp;INT(MOD(Sync!$J1038,10000)/100),2)&amp;"/"&amp;RIGHT("00"&amp;MOD(Sync!$J1038,100),2),"نامعتبر"),IF(LEN(Sync!$J1038)=10,Sync!$J1038,"نامعتبر")))</f>
        <v/>
      </c>
      <c r="R1038">
        <f>IF($P1038="","",COUNTIFS($N$6:$N$2005,$N1038,$P$6:$P$2005,"&lt;"&amp;$P1038)+COUNTIFS($A$6:$A$1005,$N1038,$B$6:$B$1005,"&lt;"&amp;$P1038)+1)</f>
        <v/>
      </c>
      <c r="S1038">
        <f>IF($N1038="","",$N1038&amp;"|"&amp;RIGHT("000000"&amp;$R1038,6))</f>
        <v/>
      </c>
      <c r="T1038">
        <f>IF($N1038="","",IF(Sync!$N1038="",0,Sync!$N1038))</f>
        <v/>
      </c>
      <c r="U1038">
        <f>IF($N1038="","",IF(Sync!$O1038="",0,Sync!$O1038))</f>
        <v/>
      </c>
      <c r="V1038">
        <f>IF($N1038="","",Sync!$L1038)</f>
        <v/>
      </c>
      <c r="W1038">
        <f>IF($N1038="","",Sync!$P1038)</f>
        <v/>
      </c>
    </row>
    <row r="1039">
      <c r="N1039">
        <f>IF(OR(Sync!$M1039="",$Q1039="",$Q1039="نامعتبر"),"",Sync!$M1039)</f>
        <v/>
      </c>
      <c r="O1039">
        <f>IF($N1039="","",$Q1039)</f>
        <v/>
      </c>
      <c r="P1039">
        <f>IF($N1039="","",LEFT($Q1039,4)&amp;MID($Q1039,6,2)&amp;RIGHT($Q1039,2)&amp;IF(Sync!$K1039="","0000",IF(AND(ISNUMBER(Sync!$K1039),Sync!$K1039&gt;=0,Sync!$K1039&lt;1),RIGHT("00"&amp;HOUR(Sync!$K1039),2)&amp;RIGHT("00"&amp;MINUTE(Sync!$K1039),2),IFERROR(RIGHT("00"&amp;VALUE(LEFT(Sync!$K1039,FIND(":",Sync!$K1039)-1)),2)&amp;RIGHT("00"&amp;VALUE(MID(Sync!$K1039,FIND(":",Sync!$K1039)+1,2)),2),"0000")))&amp;"|"&amp;"2"&amp;RIGHT("00000"&amp;1034,5))</f>
        <v/>
      </c>
      <c r="Q1039">
        <f>IF(Sync!$J1039="","",IF(ISNUMBER(Sync!$J1039),IF(AND(Sync!$J1039&gt;=10000101,Sync!$J1039&lt;=99991231),INT(Sync!$J1039/10000)&amp;"/"&amp;RIGHT("00"&amp;INT(MOD(Sync!$J1039,10000)/100),2)&amp;"/"&amp;RIGHT("00"&amp;MOD(Sync!$J1039,100),2),"نامعتبر"),IF(LEN(Sync!$J1039)=10,Sync!$J1039,"نامعتبر")))</f>
        <v/>
      </c>
      <c r="R1039">
        <f>IF($P1039="","",COUNTIFS($N$6:$N$2005,$N1039,$P$6:$P$2005,"&lt;"&amp;$P1039)+COUNTIFS($A$6:$A$1005,$N1039,$B$6:$B$1005,"&lt;"&amp;$P1039)+1)</f>
        <v/>
      </c>
      <c r="S1039">
        <f>IF($N1039="","",$N1039&amp;"|"&amp;RIGHT("000000"&amp;$R1039,6))</f>
        <v/>
      </c>
      <c r="T1039">
        <f>IF($N1039="","",IF(Sync!$N1039="",0,Sync!$N1039))</f>
        <v/>
      </c>
      <c r="U1039">
        <f>IF($N1039="","",IF(Sync!$O1039="",0,Sync!$O1039))</f>
        <v/>
      </c>
      <c r="V1039">
        <f>IF($N1039="","",Sync!$L1039)</f>
        <v/>
      </c>
      <c r="W1039">
        <f>IF($N1039="","",Sync!$P1039)</f>
        <v/>
      </c>
    </row>
    <row r="1040">
      <c r="N1040">
        <f>IF(OR(Sync!$M1040="",$Q1040="",$Q1040="نامعتبر"),"",Sync!$M1040)</f>
        <v/>
      </c>
      <c r="O1040">
        <f>IF($N1040="","",$Q1040)</f>
        <v/>
      </c>
      <c r="P1040">
        <f>IF($N1040="","",LEFT($Q1040,4)&amp;MID($Q1040,6,2)&amp;RIGHT($Q1040,2)&amp;IF(Sync!$K1040="","0000",IF(AND(ISNUMBER(Sync!$K1040),Sync!$K1040&gt;=0,Sync!$K1040&lt;1),RIGHT("00"&amp;HOUR(Sync!$K1040),2)&amp;RIGHT("00"&amp;MINUTE(Sync!$K1040),2),IFERROR(RIGHT("00"&amp;VALUE(LEFT(Sync!$K1040,FIND(":",Sync!$K1040)-1)),2)&amp;RIGHT("00"&amp;VALUE(MID(Sync!$K1040,FIND(":",Sync!$K1040)+1,2)),2),"0000")))&amp;"|"&amp;"2"&amp;RIGHT("00000"&amp;1035,5))</f>
        <v/>
      </c>
      <c r="Q1040">
        <f>IF(Sync!$J1040="","",IF(ISNUMBER(Sync!$J1040),IF(AND(Sync!$J1040&gt;=10000101,Sync!$J1040&lt;=99991231),INT(Sync!$J1040/10000)&amp;"/"&amp;RIGHT("00"&amp;INT(MOD(Sync!$J1040,10000)/100),2)&amp;"/"&amp;RIGHT("00"&amp;MOD(Sync!$J1040,100),2),"نامعتبر"),IF(LEN(Sync!$J1040)=10,Sync!$J1040,"نامعتبر")))</f>
        <v/>
      </c>
      <c r="R1040">
        <f>IF($P1040="","",COUNTIFS($N$6:$N$2005,$N1040,$P$6:$P$2005,"&lt;"&amp;$P1040)+COUNTIFS($A$6:$A$1005,$N1040,$B$6:$B$1005,"&lt;"&amp;$P1040)+1)</f>
        <v/>
      </c>
      <c r="S1040">
        <f>IF($N1040="","",$N1040&amp;"|"&amp;RIGHT("000000"&amp;$R1040,6))</f>
        <v/>
      </c>
      <c r="T1040">
        <f>IF($N1040="","",IF(Sync!$N1040="",0,Sync!$N1040))</f>
        <v/>
      </c>
      <c r="U1040">
        <f>IF($N1040="","",IF(Sync!$O1040="",0,Sync!$O1040))</f>
        <v/>
      </c>
      <c r="V1040">
        <f>IF($N1040="","",Sync!$L1040)</f>
        <v/>
      </c>
      <c r="W1040">
        <f>IF($N1040="","",Sync!$P1040)</f>
        <v/>
      </c>
    </row>
    <row r="1041">
      <c r="N1041">
        <f>IF(OR(Sync!$M1041="",$Q1041="",$Q1041="نامعتبر"),"",Sync!$M1041)</f>
        <v/>
      </c>
      <c r="O1041">
        <f>IF($N1041="","",$Q1041)</f>
        <v/>
      </c>
      <c r="P1041">
        <f>IF($N1041="","",LEFT($Q1041,4)&amp;MID($Q1041,6,2)&amp;RIGHT($Q1041,2)&amp;IF(Sync!$K1041="","0000",IF(AND(ISNUMBER(Sync!$K1041),Sync!$K1041&gt;=0,Sync!$K1041&lt;1),RIGHT("00"&amp;HOUR(Sync!$K1041),2)&amp;RIGHT("00"&amp;MINUTE(Sync!$K1041),2),IFERROR(RIGHT("00"&amp;VALUE(LEFT(Sync!$K1041,FIND(":",Sync!$K1041)-1)),2)&amp;RIGHT("00"&amp;VALUE(MID(Sync!$K1041,FIND(":",Sync!$K1041)+1,2)),2),"0000")))&amp;"|"&amp;"2"&amp;RIGHT("00000"&amp;1036,5))</f>
        <v/>
      </c>
      <c r="Q1041">
        <f>IF(Sync!$J1041="","",IF(ISNUMBER(Sync!$J1041),IF(AND(Sync!$J1041&gt;=10000101,Sync!$J1041&lt;=99991231),INT(Sync!$J1041/10000)&amp;"/"&amp;RIGHT("00"&amp;INT(MOD(Sync!$J1041,10000)/100),2)&amp;"/"&amp;RIGHT("00"&amp;MOD(Sync!$J1041,100),2),"نامعتبر"),IF(LEN(Sync!$J1041)=10,Sync!$J1041,"نامعتبر")))</f>
        <v/>
      </c>
      <c r="R1041">
        <f>IF($P1041="","",COUNTIFS($N$6:$N$2005,$N1041,$P$6:$P$2005,"&lt;"&amp;$P1041)+COUNTIFS($A$6:$A$1005,$N1041,$B$6:$B$1005,"&lt;"&amp;$P1041)+1)</f>
        <v/>
      </c>
      <c r="S1041">
        <f>IF($N1041="","",$N1041&amp;"|"&amp;RIGHT("000000"&amp;$R1041,6))</f>
        <v/>
      </c>
      <c r="T1041">
        <f>IF($N1041="","",IF(Sync!$N1041="",0,Sync!$N1041))</f>
        <v/>
      </c>
      <c r="U1041">
        <f>IF($N1041="","",IF(Sync!$O1041="",0,Sync!$O1041))</f>
        <v/>
      </c>
      <c r="V1041">
        <f>IF($N1041="","",Sync!$L1041)</f>
        <v/>
      </c>
      <c r="W1041">
        <f>IF($N1041="","",Sync!$P1041)</f>
        <v/>
      </c>
    </row>
    <row r="1042">
      <c r="N1042">
        <f>IF(OR(Sync!$M1042="",$Q1042="",$Q1042="نامعتبر"),"",Sync!$M1042)</f>
        <v/>
      </c>
      <c r="O1042">
        <f>IF($N1042="","",$Q1042)</f>
        <v/>
      </c>
      <c r="P1042">
        <f>IF($N1042="","",LEFT($Q1042,4)&amp;MID($Q1042,6,2)&amp;RIGHT($Q1042,2)&amp;IF(Sync!$K1042="","0000",IF(AND(ISNUMBER(Sync!$K1042),Sync!$K1042&gt;=0,Sync!$K1042&lt;1),RIGHT("00"&amp;HOUR(Sync!$K1042),2)&amp;RIGHT("00"&amp;MINUTE(Sync!$K1042),2),IFERROR(RIGHT("00"&amp;VALUE(LEFT(Sync!$K1042,FIND(":",Sync!$K1042)-1)),2)&amp;RIGHT("00"&amp;VALUE(MID(Sync!$K1042,FIND(":",Sync!$K1042)+1,2)),2),"0000")))&amp;"|"&amp;"2"&amp;RIGHT("00000"&amp;1037,5))</f>
        <v/>
      </c>
      <c r="Q1042">
        <f>IF(Sync!$J1042="","",IF(ISNUMBER(Sync!$J1042),IF(AND(Sync!$J1042&gt;=10000101,Sync!$J1042&lt;=99991231),INT(Sync!$J1042/10000)&amp;"/"&amp;RIGHT("00"&amp;INT(MOD(Sync!$J1042,10000)/100),2)&amp;"/"&amp;RIGHT("00"&amp;MOD(Sync!$J1042,100),2),"نامعتبر"),IF(LEN(Sync!$J1042)=10,Sync!$J1042,"نامعتبر")))</f>
        <v/>
      </c>
      <c r="R1042">
        <f>IF($P1042="","",COUNTIFS($N$6:$N$2005,$N1042,$P$6:$P$2005,"&lt;"&amp;$P1042)+COUNTIFS($A$6:$A$1005,$N1042,$B$6:$B$1005,"&lt;"&amp;$P1042)+1)</f>
        <v/>
      </c>
      <c r="S1042">
        <f>IF($N1042="","",$N1042&amp;"|"&amp;RIGHT("000000"&amp;$R1042,6))</f>
        <v/>
      </c>
      <c r="T1042">
        <f>IF($N1042="","",IF(Sync!$N1042="",0,Sync!$N1042))</f>
        <v/>
      </c>
      <c r="U1042">
        <f>IF($N1042="","",IF(Sync!$O1042="",0,Sync!$O1042))</f>
        <v/>
      </c>
      <c r="V1042">
        <f>IF($N1042="","",Sync!$L1042)</f>
        <v/>
      </c>
      <c r="W1042">
        <f>IF($N1042="","",Sync!$P1042)</f>
        <v/>
      </c>
    </row>
    <row r="1043">
      <c r="N1043">
        <f>IF(OR(Sync!$M1043="",$Q1043="",$Q1043="نامعتبر"),"",Sync!$M1043)</f>
        <v/>
      </c>
      <c r="O1043">
        <f>IF($N1043="","",$Q1043)</f>
        <v/>
      </c>
      <c r="P1043">
        <f>IF($N1043="","",LEFT($Q1043,4)&amp;MID($Q1043,6,2)&amp;RIGHT($Q1043,2)&amp;IF(Sync!$K1043="","0000",IF(AND(ISNUMBER(Sync!$K1043),Sync!$K1043&gt;=0,Sync!$K1043&lt;1),RIGHT("00"&amp;HOUR(Sync!$K1043),2)&amp;RIGHT("00"&amp;MINUTE(Sync!$K1043),2),IFERROR(RIGHT("00"&amp;VALUE(LEFT(Sync!$K1043,FIND(":",Sync!$K1043)-1)),2)&amp;RIGHT("00"&amp;VALUE(MID(Sync!$K1043,FIND(":",Sync!$K1043)+1,2)),2),"0000")))&amp;"|"&amp;"2"&amp;RIGHT("00000"&amp;1038,5))</f>
        <v/>
      </c>
      <c r="Q1043">
        <f>IF(Sync!$J1043="","",IF(ISNUMBER(Sync!$J1043),IF(AND(Sync!$J1043&gt;=10000101,Sync!$J1043&lt;=99991231),INT(Sync!$J1043/10000)&amp;"/"&amp;RIGHT("00"&amp;INT(MOD(Sync!$J1043,10000)/100),2)&amp;"/"&amp;RIGHT("00"&amp;MOD(Sync!$J1043,100),2),"نامعتبر"),IF(LEN(Sync!$J1043)=10,Sync!$J1043,"نامعتبر")))</f>
        <v/>
      </c>
      <c r="R1043">
        <f>IF($P1043="","",COUNTIFS($N$6:$N$2005,$N1043,$P$6:$P$2005,"&lt;"&amp;$P1043)+COUNTIFS($A$6:$A$1005,$N1043,$B$6:$B$1005,"&lt;"&amp;$P1043)+1)</f>
        <v/>
      </c>
      <c r="S1043">
        <f>IF($N1043="","",$N1043&amp;"|"&amp;RIGHT("000000"&amp;$R1043,6))</f>
        <v/>
      </c>
      <c r="T1043">
        <f>IF($N1043="","",IF(Sync!$N1043="",0,Sync!$N1043))</f>
        <v/>
      </c>
      <c r="U1043">
        <f>IF($N1043="","",IF(Sync!$O1043="",0,Sync!$O1043))</f>
        <v/>
      </c>
      <c r="V1043">
        <f>IF($N1043="","",Sync!$L1043)</f>
        <v/>
      </c>
      <c r="W1043">
        <f>IF($N1043="","",Sync!$P1043)</f>
        <v/>
      </c>
    </row>
    <row r="1044">
      <c r="N1044">
        <f>IF(OR(Sync!$M1044="",$Q1044="",$Q1044="نامعتبر"),"",Sync!$M1044)</f>
        <v/>
      </c>
      <c r="O1044">
        <f>IF($N1044="","",$Q1044)</f>
        <v/>
      </c>
      <c r="P1044">
        <f>IF($N1044="","",LEFT($Q1044,4)&amp;MID($Q1044,6,2)&amp;RIGHT($Q1044,2)&amp;IF(Sync!$K1044="","0000",IF(AND(ISNUMBER(Sync!$K1044),Sync!$K1044&gt;=0,Sync!$K1044&lt;1),RIGHT("00"&amp;HOUR(Sync!$K1044),2)&amp;RIGHT("00"&amp;MINUTE(Sync!$K1044),2),IFERROR(RIGHT("00"&amp;VALUE(LEFT(Sync!$K1044,FIND(":",Sync!$K1044)-1)),2)&amp;RIGHT("00"&amp;VALUE(MID(Sync!$K1044,FIND(":",Sync!$K1044)+1,2)),2),"0000")))&amp;"|"&amp;"2"&amp;RIGHT("00000"&amp;1039,5))</f>
        <v/>
      </c>
      <c r="Q1044">
        <f>IF(Sync!$J1044="","",IF(ISNUMBER(Sync!$J1044),IF(AND(Sync!$J1044&gt;=10000101,Sync!$J1044&lt;=99991231),INT(Sync!$J1044/10000)&amp;"/"&amp;RIGHT("00"&amp;INT(MOD(Sync!$J1044,10000)/100),2)&amp;"/"&amp;RIGHT("00"&amp;MOD(Sync!$J1044,100),2),"نامعتبر"),IF(LEN(Sync!$J1044)=10,Sync!$J1044,"نامعتبر")))</f>
        <v/>
      </c>
      <c r="R1044">
        <f>IF($P1044="","",COUNTIFS($N$6:$N$2005,$N1044,$P$6:$P$2005,"&lt;"&amp;$P1044)+COUNTIFS($A$6:$A$1005,$N1044,$B$6:$B$1005,"&lt;"&amp;$P1044)+1)</f>
        <v/>
      </c>
      <c r="S1044">
        <f>IF($N1044="","",$N1044&amp;"|"&amp;RIGHT("000000"&amp;$R1044,6))</f>
        <v/>
      </c>
      <c r="T1044">
        <f>IF($N1044="","",IF(Sync!$N1044="",0,Sync!$N1044))</f>
        <v/>
      </c>
      <c r="U1044">
        <f>IF($N1044="","",IF(Sync!$O1044="",0,Sync!$O1044))</f>
        <v/>
      </c>
      <c r="V1044">
        <f>IF($N1044="","",Sync!$L1044)</f>
        <v/>
      </c>
      <c r="W1044">
        <f>IF($N1044="","",Sync!$P1044)</f>
        <v/>
      </c>
    </row>
    <row r="1045">
      <c r="N1045">
        <f>IF(OR(Sync!$M1045="",$Q1045="",$Q1045="نامعتبر"),"",Sync!$M1045)</f>
        <v/>
      </c>
      <c r="O1045">
        <f>IF($N1045="","",$Q1045)</f>
        <v/>
      </c>
      <c r="P1045">
        <f>IF($N1045="","",LEFT($Q1045,4)&amp;MID($Q1045,6,2)&amp;RIGHT($Q1045,2)&amp;IF(Sync!$K1045="","0000",IF(AND(ISNUMBER(Sync!$K1045),Sync!$K1045&gt;=0,Sync!$K1045&lt;1),RIGHT("00"&amp;HOUR(Sync!$K1045),2)&amp;RIGHT("00"&amp;MINUTE(Sync!$K1045),2),IFERROR(RIGHT("00"&amp;VALUE(LEFT(Sync!$K1045,FIND(":",Sync!$K1045)-1)),2)&amp;RIGHT("00"&amp;VALUE(MID(Sync!$K1045,FIND(":",Sync!$K1045)+1,2)),2),"0000")))&amp;"|"&amp;"2"&amp;RIGHT("00000"&amp;1040,5))</f>
        <v/>
      </c>
      <c r="Q1045">
        <f>IF(Sync!$J1045="","",IF(ISNUMBER(Sync!$J1045),IF(AND(Sync!$J1045&gt;=10000101,Sync!$J1045&lt;=99991231),INT(Sync!$J1045/10000)&amp;"/"&amp;RIGHT("00"&amp;INT(MOD(Sync!$J1045,10000)/100),2)&amp;"/"&amp;RIGHT("00"&amp;MOD(Sync!$J1045,100),2),"نامعتبر"),IF(LEN(Sync!$J1045)=10,Sync!$J1045,"نامعتبر")))</f>
        <v/>
      </c>
      <c r="R1045">
        <f>IF($P1045="","",COUNTIFS($N$6:$N$2005,$N1045,$P$6:$P$2005,"&lt;"&amp;$P1045)+COUNTIFS($A$6:$A$1005,$N1045,$B$6:$B$1005,"&lt;"&amp;$P1045)+1)</f>
        <v/>
      </c>
      <c r="S1045">
        <f>IF($N1045="","",$N1045&amp;"|"&amp;RIGHT("000000"&amp;$R1045,6))</f>
        <v/>
      </c>
      <c r="T1045">
        <f>IF($N1045="","",IF(Sync!$N1045="",0,Sync!$N1045))</f>
        <v/>
      </c>
      <c r="U1045">
        <f>IF($N1045="","",IF(Sync!$O1045="",0,Sync!$O1045))</f>
        <v/>
      </c>
      <c r="V1045">
        <f>IF($N1045="","",Sync!$L1045)</f>
        <v/>
      </c>
      <c r="W1045">
        <f>IF($N1045="","",Sync!$P1045)</f>
        <v/>
      </c>
    </row>
    <row r="1046">
      <c r="N1046">
        <f>IF(OR(Sync!$M1046="",$Q1046="",$Q1046="نامعتبر"),"",Sync!$M1046)</f>
        <v/>
      </c>
      <c r="O1046">
        <f>IF($N1046="","",$Q1046)</f>
        <v/>
      </c>
      <c r="P1046">
        <f>IF($N1046="","",LEFT($Q1046,4)&amp;MID($Q1046,6,2)&amp;RIGHT($Q1046,2)&amp;IF(Sync!$K1046="","0000",IF(AND(ISNUMBER(Sync!$K1046),Sync!$K1046&gt;=0,Sync!$K1046&lt;1),RIGHT("00"&amp;HOUR(Sync!$K1046),2)&amp;RIGHT("00"&amp;MINUTE(Sync!$K1046),2),IFERROR(RIGHT("00"&amp;VALUE(LEFT(Sync!$K1046,FIND(":",Sync!$K1046)-1)),2)&amp;RIGHT("00"&amp;VALUE(MID(Sync!$K1046,FIND(":",Sync!$K1046)+1,2)),2),"0000")))&amp;"|"&amp;"2"&amp;RIGHT("00000"&amp;1041,5))</f>
        <v/>
      </c>
      <c r="Q1046">
        <f>IF(Sync!$J1046="","",IF(ISNUMBER(Sync!$J1046),IF(AND(Sync!$J1046&gt;=10000101,Sync!$J1046&lt;=99991231),INT(Sync!$J1046/10000)&amp;"/"&amp;RIGHT("00"&amp;INT(MOD(Sync!$J1046,10000)/100),2)&amp;"/"&amp;RIGHT("00"&amp;MOD(Sync!$J1046,100),2),"نامعتبر"),IF(LEN(Sync!$J1046)=10,Sync!$J1046,"نامعتبر")))</f>
        <v/>
      </c>
      <c r="R1046">
        <f>IF($P1046="","",COUNTIFS($N$6:$N$2005,$N1046,$P$6:$P$2005,"&lt;"&amp;$P1046)+COUNTIFS($A$6:$A$1005,$N1046,$B$6:$B$1005,"&lt;"&amp;$P1046)+1)</f>
        <v/>
      </c>
      <c r="S1046">
        <f>IF($N1046="","",$N1046&amp;"|"&amp;RIGHT("000000"&amp;$R1046,6))</f>
        <v/>
      </c>
      <c r="T1046">
        <f>IF($N1046="","",IF(Sync!$N1046="",0,Sync!$N1046))</f>
        <v/>
      </c>
      <c r="U1046">
        <f>IF($N1046="","",IF(Sync!$O1046="",0,Sync!$O1046))</f>
        <v/>
      </c>
      <c r="V1046">
        <f>IF($N1046="","",Sync!$L1046)</f>
        <v/>
      </c>
      <c r="W1046">
        <f>IF($N1046="","",Sync!$P1046)</f>
        <v/>
      </c>
    </row>
    <row r="1047">
      <c r="N1047">
        <f>IF(OR(Sync!$M1047="",$Q1047="",$Q1047="نامعتبر"),"",Sync!$M1047)</f>
        <v/>
      </c>
      <c r="O1047">
        <f>IF($N1047="","",$Q1047)</f>
        <v/>
      </c>
      <c r="P1047">
        <f>IF($N1047="","",LEFT($Q1047,4)&amp;MID($Q1047,6,2)&amp;RIGHT($Q1047,2)&amp;IF(Sync!$K1047="","0000",IF(AND(ISNUMBER(Sync!$K1047),Sync!$K1047&gt;=0,Sync!$K1047&lt;1),RIGHT("00"&amp;HOUR(Sync!$K1047),2)&amp;RIGHT("00"&amp;MINUTE(Sync!$K1047),2),IFERROR(RIGHT("00"&amp;VALUE(LEFT(Sync!$K1047,FIND(":",Sync!$K1047)-1)),2)&amp;RIGHT("00"&amp;VALUE(MID(Sync!$K1047,FIND(":",Sync!$K1047)+1,2)),2),"0000")))&amp;"|"&amp;"2"&amp;RIGHT("00000"&amp;1042,5))</f>
        <v/>
      </c>
      <c r="Q1047">
        <f>IF(Sync!$J1047="","",IF(ISNUMBER(Sync!$J1047),IF(AND(Sync!$J1047&gt;=10000101,Sync!$J1047&lt;=99991231),INT(Sync!$J1047/10000)&amp;"/"&amp;RIGHT("00"&amp;INT(MOD(Sync!$J1047,10000)/100),2)&amp;"/"&amp;RIGHT("00"&amp;MOD(Sync!$J1047,100),2),"نامعتبر"),IF(LEN(Sync!$J1047)=10,Sync!$J1047,"نامعتبر")))</f>
        <v/>
      </c>
      <c r="R1047">
        <f>IF($P1047="","",COUNTIFS($N$6:$N$2005,$N1047,$P$6:$P$2005,"&lt;"&amp;$P1047)+COUNTIFS($A$6:$A$1005,$N1047,$B$6:$B$1005,"&lt;"&amp;$P1047)+1)</f>
        <v/>
      </c>
      <c r="S1047">
        <f>IF($N1047="","",$N1047&amp;"|"&amp;RIGHT("000000"&amp;$R1047,6))</f>
        <v/>
      </c>
      <c r="T1047">
        <f>IF($N1047="","",IF(Sync!$N1047="",0,Sync!$N1047))</f>
        <v/>
      </c>
      <c r="U1047">
        <f>IF($N1047="","",IF(Sync!$O1047="",0,Sync!$O1047))</f>
        <v/>
      </c>
      <c r="V1047">
        <f>IF($N1047="","",Sync!$L1047)</f>
        <v/>
      </c>
      <c r="W1047">
        <f>IF($N1047="","",Sync!$P1047)</f>
        <v/>
      </c>
    </row>
    <row r="1048">
      <c r="N1048">
        <f>IF(OR(Sync!$M1048="",$Q1048="",$Q1048="نامعتبر"),"",Sync!$M1048)</f>
        <v/>
      </c>
      <c r="O1048">
        <f>IF($N1048="","",$Q1048)</f>
        <v/>
      </c>
      <c r="P1048">
        <f>IF($N1048="","",LEFT($Q1048,4)&amp;MID($Q1048,6,2)&amp;RIGHT($Q1048,2)&amp;IF(Sync!$K1048="","0000",IF(AND(ISNUMBER(Sync!$K1048),Sync!$K1048&gt;=0,Sync!$K1048&lt;1),RIGHT("00"&amp;HOUR(Sync!$K1048),2)&amp;RIGHT("00"&amp;MINUTE(Sync!$K1048),2),IFERROR(RIGHT("00"&amp;VALUE(LEFT(Sync!$K1048,FIND(":",Sync!$K1048)-1)),2)&amp;RIGHT("00"&amp;VALUE(MID(Sync!$K1048,FIND(":",Sync!$K1048)+1,2)),2),"0000")))&amp;"|"&amp;"2"&amp;RIGHT("00000"&amp;1043,5))</f>
        <v/>
      </c>
      <c r="Q1048">
        <f>IF(Sync!$J1048="","",IF(ISNUMBER(Sync!$J1048),IF(AND(Sync!$J1048&gt;=10000101,Sync!$J1048&lt;=99991231),INT(Sync!$J1048/10000)&amp;"/"&amp;RIGHT("00"&amp;INT(MOD(Sync!$J1048,10000)/100),2)&amp;"/"&amp;RIGHT("00"&amp;MOD(Sync!$J1048,100),2),"نامعتبر"),IF(LEN(Sync!$J1048)=10,Sync!$J1048,"نامعتبر")))</f>
        <v/>
      </c>
      <c r="R1048">
        <f>IF($P1048="","",COUNTIFS($N$6:$N$2005,$N1048,$P$6:$P$2005,"&lt;"&amp;$P1048)+COUNTIFS($A$6:$A$1005,$N1048,$B$6:$B$1005,"&lt;"&amp;$P1048)+1)</f>
        <v/>
      </c>
      <c r="S1048">
        <f>IF($N1048="","",$N1048&amp;"|"&amp;RIGHT("000000"&amp;$R1048,6))</f>
        <v/>
      </c>
      <c r="T1048">
        <f>IF($N1048="","",IF(Sync!$N1048="",0,Sync!$N1048))</f>
        <v/>
      </c>
      <c r="U1048">
        <f>IF($N1048="","",IF(Sync!$O1048="",0,Sync!$O1048))</f>
        <v/>
      </c>
      <c r="V1048">
        <f>IF($N1048="","",Sync!$L1048)</f>
        <v/>
      </c>
      <c r="W1048">
        <f>IF($N1048="","",Sync!$P1048)</f>
        <v/>
      </c>
    </row>
    <row r="1049">
      <c r="N1049">
        <f>IF(OR(Sync!$M1049="",$Q1049="",$Q1049="نامعتبر"),"",Sync!$M1049)</f>
        <v/>
      </c>
      <c r="O1049">
        <f>IF($N1049="","",$Q1049)</f>
        <v/>
      </c>
      <c r="P1049">
        <f>IF($N1049="","",LEFT($Q1049,4)&amp;MID($Q1049,6,2)&amp;RIGHT($Q1049,2)&amp;IF(Sync!$K1049="","0000",IF(AND(ISNUMBER(Sync!$K1049),Sync!$K1049&gt;=0,Sync!$K1049&lt;1),RIGHT("00"&amp;HOUR(Sync!$K1049),2)&amp;RIGHT("00"&amp;MINUTE(Sync!$K1049),2),IFERROR(RIGHT("00"&amp;VALUE(LEFT(Sync!$K1049,FIND(":",Sync!$K1049)-1)),2)&amp;RIGHT("00"&amp;VALUE(MID(Sync!$K1049,FIND(":",Sync!$K1049)+1,2)),2),"0000")))&amp;"|"&amp;"2"&amp;RIGHT("00000"&amp;1044,5))</f>
        <v/>
      </c>
      <c r="Q1049">
        <f>IF(Sync!$J1049="","",IF(ISNUMBER(Sync!$J1049),IF(AND(Sync!$J1049&gt;=10000101,Sync!$J1049&lt;=99991231),INT(Sync!$J1049/10000)&amp;"/"&amp;RIGHT("00"&amp;INT(MOD(Sync!$J1049,10000)/100),2)&amp;"/"&amp;RIGHT("00"&amp;MOD(Sync!$J1049,100),2),"نامعتبر"),IF(LEN(Sync!$J1049)=10,Sync!$J1049,"نامعتبر")))</f>
        <v/>
      </c>
      <c r="R1049">
        <f>IF($P1049="","",COUNTIFS($N$6:$N$2005,$N1049,$P$6:$P$2005,"&lt;"&amp;$P1049)+COUNTIFS($A$6:$A$1005,$N1049,$B$6:$B$1005,"&lt;"&amp;$P1049)+1)</f>
        <v/>
      </c>
      <c r="S1049">
        <f>IF($N1049="","",$N1049&amp;"|"&amp;RIGHT("000000"&amp;$R1049,6))</f>
        <v/>
      </c>
      <c r="T1049">
        <f>IF($N1049="","",IF(Sync!$N1049="",0,Sync!$N1049))</f>
        <v/>
      </c>
      <c r="U1049">
        <f>IF($N1049="","",IF(Sync!$O1049="",0,Sync!$O1049))</f>
        <v/>
      </c>
      <c r="V1049">
        <f>IF($N1049="","",Sync!$L1049)</f>
        <v/>
      </c>
      <c r="W1049">
        <f>IF($N1049="","",Sync!$P1049)</f>
        <v/>
      </c>
    </row>
    <row r="1050">
      <c r="N1050">
        <f>IF(OR(Sync!$M1050="",$Q1050="",$Q1050="نامعتبر"),"",Sync!$M1050)</f>
        <v/>
      </c>
      <c r="O1050">
        <f>IF($N1050="","",$Q1050)</f>
        <v/>
      </c>
      <c r="P1050">
        <f>IF($N1050="","",LEFT($Q1050,4)&amp;MID($Q1050,6,2)&amp;RIGHT($Q1050,2)&amp;IF(Sync!$K1050="","0000",IF(AND(ISNUMBER(Sync!$K1050),Sync!$K1050&gt;=0,Sync!$K1050&lt;1),RIGHT("00"&amp;HOUR(Sync!$K1050),2)&amp;RIGHT("00"&amp;MINUTE(Sync!$K1050),2),IFERROR(RIGHT("00"&amp;VALUE(LEFT(Sync!$K1050,FIND(":",Sync!$K1050)-1)),2)&amp;RIGHT("00"&amp;VALUE(MID(Sync!$K1050,FIND(":",Sync!$K1050)+1,2)),2),"0000")))&amp;"|"&amp;"2"&amp;RIGHT("00000"&amp;1045,5))</f>
        <v/>
      </c>
      <c r="Q1050">
        <f>IF(Sync!$J1050="","",IF(ISNUMBER(Sync!$J1050),IF(AND(Sync!$J1050&gt;=10000101,Sync!$J1050&lt;=99991231),INT(Sync!$J1050/10000)&amp;"/"&amp;RIGHT("00"&amp;INT(MOD(Sync!$J1050,10000)/100),2)&amp;"/"&amp;RIGHT("00"&amp;MOD(Sync!$J1050,100),2),"نامعتبر"),IF(LEN(Sync!$J1050)=10,Sync!$J1050,"نامعتبر")))</f>
        <v/>
      </c>
      <c r="R1050">
        <f>IF($P1050="","",COUNTIFS($N$6:$N$2005,$N1050,$P$6:$P$2005,"&lt;"&amp;$P1050)+COUNTIFS($A$6:$A$1005,$N1050,$B$6:$B$1005,"&lt;"&amp;$P1050)+1)</f>
        <v/>
      </c>
      <c r="S1050">
        <f>IF($N1050="","",$N1050&amp;"|"&amp;RIGHT("000000"&amp;$R1050,6))</f>
        <v/>
      </c>
      <c r="T1050">
        <f>IF($N1050="","",IF(Sync!$N1050="",0,Sync!$N1050))</f>
        <v/>
      </c>
      <c r="U1050">
        <f>IF($N1050="","",IF(Sync!$O1050="",0,Sync!$O1050))</f>
        <v/>
      </c>
      <c r="V1050">
        <f>IF($N1050="","",Sync!$L1050)</f>
        <v/>
      </c>
      <c r="W1050">
        <f>IF($N1050="","",Sync!$P1050)</f>
        <v/>
      </c>
    </row>
    <row r="1051">
      <c r="N1051">
        <f>IF(OR(Sync!$M1051="",$Q1051="",$Q1051="نامعتبر"),"",Sync!$M1051)</f>
        <v/>
      </c>
      <c r="O1051">
        <f>IF($N1051="","",$Q1051)</f>
        <v/>
      </c>
      <c r="P1051">
        <f>IF($N1051="","",LEFT($Q1051,4)&amp;MID($Q1051,6,2)&amp;RIGHT($Q1051,2)&amp;IF(Sync!$K1051="","0000",IF(AND(ISNUMBER(Sync!$K1051),Sync!$K1051&gt;=0,Sync!$K1051&lt;1),RIGHT("00"&amp;HOUR(Sync!$K1051),2)&amp;RIGHT("00"&amp;MINUTE(Sync!$K1051),2),IFERROR(RIGHT("00"&amp;VALUE(LEFT(Sync!$K1051,FIND(":",Sync!$K1051)-1)),2)&amp;RIGHT("00"&amp;VALUE(MID(Sync!$K1051,FIND(":",Sync!$K1051)+1,2)),2),"0000")))&amp;"|"&amp;"2"&amp;RIGHT("00000"&amp;1046,5))</f>
        <v/>
      </c>
      <c r="Q1051">
        <f>IF(Sync!$J1051="","",IF(ISNUMBER(Sync!$J1051),IF(AND(Sync!$J1051&gt;=10000101,Sync!$J1051&lt;=99991231),INT(Sync!$J1051/10000)&amp;"/"&amp;RIGHT("00"&amp;INT(MOD(Sync!$J1051,10000)/100),2)&amp;"/"&amp;RIGHT("00"&amp;MOD(Sync!$J1051,100),2),"نامعتبر"),IF(LEN(Sync!$J1051)=10,Sync!$J1051,"نامعتبر")))</f>
        <v/>
      </c>
      <c r="R1051">
        <f>IF($P1051="","",COUNTIFS($N$6:$N$2005,$N1051,$P$6:$P$2005,"&lt;"&amp;$P1051)+COUNTIFS($A$6:$A$1005,$N1051,$B$6:$B$1005,"&lt;"&amp;$P1051)+1)</f>
        <v/>
      </c>
      <c r="S1051">
        <f>IF($N1051="","",$N1051&amp;"|"&amp;RIGHT("000000"&amp;$R1051,6))</f>
        <v/>
      </c>
      <c r="T1051">
        <f>IF($N1051="","",IF(Sync!$N1051="",0,Sync!$N1051))</f>
        <v/>
      </c>
      <c r="U1051">
        <f>IF($N1051="","",IF(Sync!$O1051="",0,Sync!$O1051))</f>
        <v/>
      </c>
      <c r="V1051">
        <f>IF($N1051="","",Sync!$L1051)</f>
        <v/>
      </c>
      <c r="W1051">
        <f>IF($N1051="","",Sync!$P1051)</f>
        <v/>
      </c>
    </row>
    <row r="1052">
      <c r="N1052">
        <f>IF(OR(Sync!$M1052="",$Q1052="",$Q1052="نامعتبر"),"",Sync!$M1052)</f>
        <v/>
      </c>
      <c r="O1052">
        <f>IF($N1052="","",$Q1052)</f>
        <v/>
      </c>
      <c r="P1052">
        <f>IF($N1052="","",LEFT($Q1052,4)&amp;MID($Q1052,6,2)&amp;RIGHT($Q1052,2)&amp;IF(Sync!$K1052="","0000",IF(AND(ISNUMBER(Sync!$K1052),Sync!$K1052&gt;=0,Sync!$K1052&lt;1),RIGHT("00"&amp;HOUR(Sync!$K1052),2)&amp;RIGHT("00"&amp;MINUTE(Sync!$K1052),2),IFERROR(RIGHT("00"&amp;VALUE(LEFT(Sync!$K1052,FIND(":",Sync!$K1052)-1)),2)&amp;RIGHT("00"&amp;VALUE(MID(Sync!$K1052,FIND(":",Sync!$K1052)+1,2)),2),"0000")))&amp;"|"&amp;"2"&amp;RIGHT("00000"&amp;1047,5))</f>
        <v/>
      </c>
      <c r="Q1052">
        <f>IF(Sync!$J1052="","",IF(ISNUMBER(Sync!$J1052),IF(AND(Sync!$J1052&gt;=10000101,Sync!$J1052&lt;=99991231),INT(Sync!$J1052/10000)&amp;"/"&amp;RIGHT("00"&amp;INT(MOD(Sync!$J1052,10000)/100),2)&amp;"/"&amp;RIGHT("00"&amp;MOD(Sync!$J1052,100),2),"نامعتبر"),IF(LEN(Sync!$J1052)=10,Sync!$J1052,"نامعتبر")))</f>
        <v/>
      </c>
      <c r="R1052">
        <f>IF($P1052="","",COUNTIFS($N$6:$N$2005,$N1052,$P$6:$P$2005,"&lt;"&amp;$P1052)+COUNTIFS($A$6:$A$1005,$N1052,$B$6:$B$1005,"&lt;"&amp;$P1052)+1)</f>
        <v/>
      </c>
      <c r="S1052">
        <f>IF($N1052="","",$N1052&amp;"|"&amp;RIGHT("000000"&amp;$R1052,6))</f>
        <v/>
      </c>
      <c r="T1052">
        <f>IF($N1052="","",IF(Sync!$N1052="",0,Sync!$N1052))</f>
        <v/>
      </c>
      <c r="U1052">
        <f>IF($N1052="","",IF(Sync!$O1052="",0,Sync!$O1052))</f>
        <v/>
      </c>
      <c r="V1052">
        <f>IF($N1052="","",Sync!$L1052)</f>
        <v/>
      </c>
      <c r="W1052">
        <f>IF($N1052="","",Sync!$P1052)</f>
        <v/>
      </c>
    </row>
    <row r="1053">
      <c r="N1053">
        <f>IF(OR(Sync!$M1053="",$Q1053="",$Q1053="نامعتبر"),"",Sync!$M1053)</f>
        <v/>
      </c>
      <c r="O1053">
        <f>IF($N1053="","",$Q1053)</f>
        <v/>
      </c>
      <c r="P1053">
        <f>IF($N1053="","",LEFT($Q1053,4)&amp;MID($Q1053,6,2)&amp;RIGHT($Q1053,2)&amp;IF(Sync!$K1053="","0000",IF(AND(ISNUMBER(Sync!$K1053),Sync!$K1053&gt;=0,Sync!$K1053&lt;1),RIGHT("00"&amp;HOUR(Sync!$K1053),2)&amp;RIGHT("00"&amp;MINUTE(Sync!$K1053),2),IFERROR(RIGHT("00"&amp;VALUE(LEFT(Sync!$K1053,FIND(":",Sync!$K1053)-1)),2)&amp;RIGHT("00"&amp;VALUE(MID(Sync!$K1053,FIND(":",Sync!$K1053)+1,2)),2),"0000")))&amp;"|"&amp;"2"&amp;RIGHT("00000"&amp;1048,5))</f>
        <v/>
      </c>
      <c r="Q1053">
        <f>IF(Sync!$J1053="","",IF(ISNUMBER(Sync!$J1053),IF(AND(Sync!$J1053&gt;=10000101,Sync!$J1053&lt;=99991231),INT(Sync!$J1053/10000)&amp;"/"&amp;RIGHT("00"&amp;INT(MOD(Sync!$J1053,10000)/100),2)&amp;"/"&amp;RIGHT("00"&amp;MOD(Sync!$J1053,100),2),"نامعتبر"),IF(LEN(Sync!$J1053)=10,Sync!$J1053,"نامعتبر")))</f>
        <v/>
      </c>
      <c r="R1053">
        <f>IF($P1053="","",COUNTIFS($N$6:$N$2005,$N1053,$P$6:$P$2005,"&lt;"&amp;$P1053)+COUNTIFS($A$6:$A$1005,$N1053,$B$6:$B$1005,"&lt;"&amp;$P1053)+1)</f>
        <v/>
      </c>
      <c r="S1053">
        <f>IF($N1053="","",$N1053&amp;"|"&amp;RIGHT("000000"&amp;$R1053,6))</f>
        <v/>
      </c>
      <c r="T1053">
        <f>IF($N1053="","",IF(Sync!$N1053="",0,Sync!$N1053))</f>
        <v/>
      </c>
      <c r="U1053">
        <f>IF($N1053="","",IF(Sync!$O1053="",0,Sync!$O1053))</f>
        <v/>
      </c>
      <c r="V1053">
        <f>IF($N1053="","",Sync!$L1053)</f>
        <v/>
      </c>
      <c r="W1053">
        <f>IF($N1053="","",Sync!$P1053)</f>
        <v/>
      </c>
    </row>
    <row r="1054">
      <c r="N1054">
        <f>IF(OR(Sync!$M1054="",$Q1054="",$Q1054="نامعتبر"),"",Sync!$M1054)</f>
        <v/>
      </c>
      <c r="O1054">
        <f>IF($N1054="","",$Q1054)</f>
        <v/>
      </c>
      <c r="P1054">
        <f>IF($N1054="","",LEFT($Q1054,4)&amp;MID($Q1054,6,2)&amp;RIGHT($Q1054,2)&amp;IF(Sync!$K1054="","0000",IF(AND(ISNUMBER(Sync!$K1054),Sync!$K1054&gt;=0,Sync!$K1054&lt;1),RIGHT("00"&amp;HOUR(Sync!$K1054),2)&amp;RIGHT("00"&amp;MINUTE(Sync!$K1054),2),IFERROR(RIGHT("00"&amp;VALUE(LEFT(Sync!$K1054,FIND(":",Sync!$K1054)-1)),2)&amp;RIGHT("00"&amp;VALUE(MID(Sync!$K1054,FIND(":",Sync!$K1054)+1,2)),2),"0000")))&amp;"|"&amp;"2"&amp;RIGHT("00000"&amp;1049,5))</f>
        <v/>
      </c>
      <c r="Q1054">
        <f>IF(Sync!$J1054="","",IF(ISNUMBER(Sync!$J1054),IF(AND(Sync!$J1054&gt;=10000101,Sync!$J1054&lt;=99991231),INT(Sync!$J1054/10000)&amp;"/"&amp;RIGHT("00"&amp;INT(MOD(Sync!$J1054,10000)/100),2)&amp;"/"&amp;RIGHT("00"&amp;MOD(Sync!$J1054,100),2),"نامعتبر"),IF(LEN(Sync!$J1054)=10,Sync!$J1054,"نامعتبر")))</f>
        <v/>
      </c>
      <c r="R1054">
        <f>IF($P1054="","",COUNTIFS($N$6:$N$2005,$N1054,$P$6:$P$2005,"&lt;"&amp;$P1054)+COUNTIFS($A$6:$A$1005,$N1054,$B$6:$B$1005,"&lt;"&amp;$P1054)+1)</f>
        <v/>
      </c>
      <c r="S1054">
        <f>IF($N1054="","",$N1054&amp;"|"&amp;RIGHT("000000"&amp;$R1054,6))</f>
        <v/>
      </c>
      <c r="T1054">
        <f>IF($N1054="","",IF(Sync!$N1054="",0,Sync!$N1054))</f>
        <v/>
      </c>
      <c r="U1054">
        <f>IF($N1054="","",IF(Sync!$O1054="",0,Sync!$O1054))</f>
        <v/>
      </c>
      <c r="V1054">
        <f>IF($N1054="","",Sync!$L1054)</f>
        <v/>
      </c>
      <c r="W1054">
        <f>IF($N1054="","",Sync!$P1054)</f>
        <v/>
      </c>
    </row>
    <row r="1055">
      <c r="N1055">
        <f>IF(OR(Sync!$M1055="",$Q1055="",$Q1055="نامعتبر"),"",Sync!$M1055)</f>
        <v/>
      </c>
      <c r="O1055">
        <f>IF($N1055="","",$Q1055)</f>
        <v/>
      </c>
      <c r="P1055">
        <f>IF($N1055="","",LEFT($Q1055,4)&amp;MID($Q1055,6,2)&amp;RIGHT($Q1055,2)&amp;IF(Sync!$K1055="","0000",IF(AND(ISNUMBER(Sync!$K1055),Sync!$K1055&gt;=0,Sync!$K1055&lt;1),RIGHT("00"&amp;HOUR(Sync!$K1055),2)&amp;RIGHT("00"&amp;MINUTE(Sync!$K1055),2),IFERROR(RIGHT("00"&amp;VALUE(LEFT(Sync!$K1055,FIND(":",Sync!$K1055)-1)),2)&amp;RIGHT("00"&amp;VALUE(MID(Sync!$K1055,FIND(":",Sync!$K1055)+1,2)),2),"0000")))&amp;"|"&amp;"2"&amp;RIGHT("00000"&amp;1050,5))</f>
        <v/>
      </c>
      <c r="Q1055">
        <f>IF(Sync!$J1055="","",IF(ISNUMBER(Sync!$J1055),IF(AND(Sync!$J1055&gt;=10000101,Sync!$J1055&lt;=99991231),INT(Sync!$J1055/10000)&amp;"/"&amp;RIGHT("00"&amp;INT(MOD(Sync!$J1055,10000)/100),2)&amp;"/"&amp;RIGHT("00"&amp;MOD(Sync!$J1055,100),2),"نامعتبر"),IF(LEN(Sync!$J1055)=10,Sync!$J1055,"نامعتبر")))</f>
        <v/>
      </c>
      <c r="R1055">
        <f>IF($P1055="","",COUNTIFS($N$6:$N$2005,$N1055,$P$6:$P$2005,"&lt;"&amp;$P1055)+COUNTIFS($A$6:$A$1005,$N1055,$B$6:$B$1005,"&lt;"&amp;$P1055)+1)</f>
        <v/>
      </c>
      <c r="S1055">
        <f>IF($N1055="","",$N1055&amp;"|"&amp;RIGHT("000000"&amp;$R1055,6))</f>
        <v/>
      </c>
      <c r="T1055">
        <f>IF($N1055="","",IF(Sync!$N1055="",0,Sync!$N1055))</f>
        <v/>
      </c>
      <c r="U1055">
        <f>IF($N1055="","",IF(Sync!$O1055="",0,Sync!$O1055))</f>
        <v/>
      </c>
      <c r="V1055">
        <f>IF($N1055="","",Sync!$L1055)</f>
        <v/>
      </c>
      <c r="W1055">
        <f>IF($N1055="","",Sync!$P1055)</f>
        <v/>
      </c>
    </row>
    <row r="1056">
      <c r="N1056">
        <f>IF(OR(Sync!$M1056="",$Q1056="",$Q1056="نامعتبر"),"",Sync!$M1056)</f>
        <v/>
      </c>
      <c r="O1056">
        <f>IF($N1056="","",$Q1056)</f>
        <v/>
      </c>
      <c r="P1056">
        <f>IF($N1056="","",LEFT($Q1056,4)&amp;MID($Q1056,6,2)&amp;RIGHT($Q1056,2)&amp;IF(Sync!$K1056="","0000",IF(AND(ISNUMBER(Sync!$K1056),Sync!$K1056&gt;=0,Sync!$K1056&lt;1),RIGHT("00"&amp;HOUR(Sync!$K1056),2)&amp;RIGHT("00"&amp;MINUTE(Sync!$K1056),2),IFERROR(RIGHT("00"&amp;VALUE(LEFT(Sync!$K1056,FIND(":",Sync!$K1056)-1)),2)&amp;RIGHT("00"&amp;VALUE(MID(Sync!$K1056,FIND(":",Sync!$K1056)+1,2)),2),"0000")))&amp;"|"&amp;"2"&amp;RIGHT("00000"&amp;1051,5))</f>
        <v/>
      </c>
      <c r="Q1056">
        <f>IF(Sync!$J1056="","",IF(ISNUMBER(Sync!$J1056),IF(AND(Sync!$J1056&gt;=10000101,Sync!$J1056&lt;=99991231),INT(Sync!$J1056/10000)&amp;"/"&amp;RIGHT("00"&amp;INT(MOD(Sync!$J1056,10000)/100),2)&amp;"/"&amp;RIGHT("00"&amp;MOD(Sync!$J1056,100),2),"نامعتبر"),IF(LEN(Sync!$J1056)=10,Sync!$J1056,"نامعتبر")))</f>
        <v/>
      </c>
      <c r="R1056">
        <f>IF($P1056="","",COUNTIFS($N$6:$N$2005,$N1056,$P$6:$P$2005,"&lt;"&amp;$P1056)+COUNTIFS($A$6:$A$1005,$N1056,$B$6:$B$1005,"&lt;"&amp;$P1056)+1)</f>
        <v/>
      </c>
      <c r="S1056">
        <f>IF($N1056="","",$N1056&amp;"|"&amp;RIGHT("000000"&amp;$R1056,6))</f>
        <v/>
      </c>
      <c r="T1056">
        <f>IF($N1056="","",IF(Sync!$N1056="",0,Sync!$N1056))</f>
        <v/>
      </c>
      <c r="U1056">
        <f>IF($N1056="","",IF(Sync!$O1056="",0,Sync!$O1056))</f>
        <v/>
      </c>
      <c r="V1056">
        <f>IF($N1056="","",Sync!$L1056)</f>
        <v/>
      </c>
      <c r="W1056">
        <f>IF($N1056="","",Sync!$P1056)</f>
        <v/>
      </c>
    </row>
    <row r="1057">
      <c r="N1057">
        <f>IF(OR(Sync!$M1057="",$Q1057="",$Q1057="نامعتبر"),"",Sync!$M1057)</f>
        <v/>
      </c>
      <c r="O1057">
        <f>IF($N1057="","",$Q1057)</f>
        <v/>
      </c>
      <c r="P1057">
        <f>IF($N1057="","",LEFT($Q1057,4)&amp;MID($Q1057,6,2)&amp;RIGHT($Q1057,2)&amp;IF(Sync!$K1057="","0000",IF(AND(ISNUMBER(Sync!$K1057),Sync!$K1057&gt;=0,Sync!$K1057&lt;1),RIGHT("00"&amp;HOUR(Sync!$K1057),2)&amp;RIGHT("00"&amp;MINUTE(Sync!$K1057),2),IFERROR(RIGHT("00"&amp;VALUE(LEFT(Sync!$K1057,FIND(":",Sync!$K1057)-1)),2)&amp;RIGHT("00"&amp;VALUE(MID(Sync!$K1057,FIND(":",Sync!$K1057)+1,2)),2),"0000")))&amp;"|"&amp;"2"&amp;RIGHT("00000"&amp;1052,5))</f>
        <v/>
      </c>
      <c r="Q1057">
        <f>IF(Sync!$J1057="","",IF(ISNUMBER(Sync!$J1057),IF(AND(Sync!$J1057&gt;=10000101,Sync!$J1057&lt;=99991231),INT(Sync!$J1057/10000)&amp;"/"&amp;RIGHT("00"&amp;INT(MOD(Sync!$J1057,10000)/100),2)&amp;"/"&amp;RIGHT("00"&amp;MOD(Sync!$J1057,100),2),"نامعتبر"),IF(LEN(Sync!$J1057)=10,Sync!$J1057,"نامعتبر")))</f>
        <v/>
      </c>
      <c r="R1057">
        <f>IF($P1057="","",COUNTIFS($N$6:$N$2005,$N1057,$P$6:$P$2005,"&lt;"&amp;$P1057)+COUNTIFS($A$6:$A$1005,$N1057,$B$6:$B$1005,"&lt;"&amp;$P1057)+1)</f>
        <v/>
      </c>
      <c r="S1057">
        <f>IF($N1057="","",$N1057&amp;"|"&amp;RIGHT("000000"&amp;$R1057,6))</f>
        <v/>
      </c>
      <c r="T1057">
        <f>IF($N1057="","",IF(Sync!$N1057="",0,Sync!$N1057))</f>
        <v/>
      </c>
      <c r="U1057">
        <f>IF($N1057="","",IF(Sync!$O1057="",0,Sync!$O1057))</f>
        <v/>
      </c>
      <c r="V1057">
        <f>IF($N1057="","",Sync!$L1057)</f>
        <v/>
      </c>
      <c r="W1057">
        <f>IF($N1057="","",Sync!$P1057)</f>
        <v/>
      </c>
    </row>
    <row r="1058">
      <c r="N1058">
        <f>IF(OR(Sync!$M1058="",$Q1058="",$Q1058="نامعتبر"),"",Sync!$M1058)</f>
        <v/>
      </c>
      <c r="O1058">
        <f>IF($N1058="","",$Q1058)</f>
        <v/>
      </c>
      <c r="P1058">
        <f>IF($N1058="","",LEFT($Q1058,4)&amp;MID($Q1058,6,2)&amp;RIGHT($Q1058,2)&amp;IF(Sync!$K1058="","0000",IF(AND(ISNUMBER(Sync!$K1058),Sync!$K1058&gt;=0,Sync!$K1058&lt;1),RIGHT("00"&amp;HOUR(Sync!$K1058),2)&amp;RIGHT("00"&amp;MINUTE(Sync!$K1058),2),IFERROR(RIGHT("00"&amp;VALUE(LEFT(Sync!$K1058,FIND(":",Sync!$K1058)-1)),2)&amp;RIGHT("00"&amp;VALUE(MID(Sync!$K1058,FIND(":",Sync!$K1058)+1,2)),2),"0000")))&amp;"|"&amp;"2"&amp;RIGHT("00000"&amp;1053,5))</f>
        <v/>
      </c>
      <c r="Q1058">
        <f>IF(Sync!$J1058="","",IF(ISNUMBER(Sync!$J1058),IF(AND(Sync!$J1058&gt;=10000101,Sync!$J1058&lt;=99991231),INT(Sync!$J1058/10000)&amp;"/"&amp;RIGHT("00"&amp;INT(MOD(Sync!$J1058,10000)/100),2)&amp;"/"&amp;RIGHT("00"&amp;MOD(Sync!$J1058,100),2),"نامعتبر"),IF(LEN(Sync!$J1058)=10,Sync!$J1058,"نامعتبر")))</f>
        <v/>
      </c>
      <c r="R1058">
        <f>IF($P1058="","",COUNTIFS($N$6:$N$2005,$N1058,$P$6:$P$2005,"&lt;"&amp;$P1058)+COUNTIFS($A$6:$A$1005,$N1058,$B$6:$B$1005,"&lt;"&amp;$P1058)+1)</f>
        <v/>
      </c>
      <c r="S1058">
        <f>IF($N1058="","",$N1058&amp;"|"&amp;RIGHT("000000"&amp;$R1058,6))</f>
        <v/>
      </c>
      <c r="T1058">
        <f>IF($N1058="","",IF(Sync!$N1058="",0,Sync!$N1058))</f>
        <v/>
      </c>
      <c r="U1058">
        <f>IF($N1058="","",IF(Sync!$O1058="",0,Sync!$O1058))</f>
        <v/>
      </c>
      <c r="V1058">
        <f>IF($N1058="","",Sync!$L1058)</f>
        <v/>
      </c>
      <c r="W1058">
        <f>IF($N1058="","",Sync!$P1058)</f>
        <v/>
      </c>
    </row>
    <row r="1059">
      <c r="N1059">
        <f>IF(OR(Sync!$M1059="",$Q1059="",$Q1059="نامعتبر"),"",Sync!$M1059)</f>
        <v/>
      </c>
      <c r="O1059">
        <f>IF($N1059="","",$Q1059)</f>
        <v/>
      </c>
      <c r="P1059">
        <f>IF($N1059="","",LEFT($Q1059,4)&amp;MID($Q1059,6,2)&amp;RIGHT($Q1059,2)&amp;IF(Sync!$K1059="","0000",IF(AND(ISNUMBER(Sync!$K1059),Sync!$K1059&gt;=0,Sync!$K1059&lt;1),RIGHT("00"&amp;HOUR(Sync!$K1059),2)&amp;RIGHT("00"&amp;MINUTE(Sync!$K1059),2),IFERROR(RIGHT("00"&amp;VALUE(LEFT(Sync!$K1059,FIND(":",Sync!$K1059)-1)),2)&amp;RIGHT("00"&amp;VALUE(MID(Sync!$K1059,FIND(":",Sync!$K1059)+1,2)),2),"0000")))&amp;"|"&amp;"2"&amp;RIGHT("00000"&amp;1054,5))</f>
        <v/>
      </c>
      <c r="Q1059">
        <f>IF(Sync!$J1059="","",IF(ISNUMBER(Sync!$J1059),IF(AND(Sync!$J1059&gt;=10000101,Sync!$J1059&lt;=99991231),INT(Sync!$J1059/10000)&amp;"/"&amp;RIGHT("00"&amp;INT(MOD(Sync!$J1059,10000)/100),2)&amp;"/"&amp;RIGHT("00"&amp;MOD(Sync!$J1059,100),2),"نامعتبر"),IF(LEN(Sync!$J1059)=10,Sync!$J1059,"نامعتبر")))</f>
        <v/>
      </c>
      <c r="R1059">
        <f>IF($P1059="","",COUNTIFS($N$6:$N$2005,$N1059,$P$6:$P$2005,"&lt;"&amp;$P1059)+COUNTIFS($A$6:$A$1005,$N1059,$B$6:$B$1005,"&lt;"&amp;$P1059)+1)</f>
        <v/>
      </c>
      <c r="S1059">
        <f>IF($N1059="","",$N1059&amp;"|"&amp;RIGHT("000000"&amp;$R1059,6))</f>
        <v/>
      </c>
      <c r="T1059">
        <f>IF($N1059="","",IF(Sync!$N1059="",0,Sync!$N1059))</f>
        <v/>
      </c>
      <c r="U1059">
        <f>IF($N1059="","",IF(Sync!$O1059="",0,Sync!$O1059))</f>
        <v/>
      </c>
      <c r="V1059">
        <f>IF($N1059="","",Sync!$L1059)</f>
        <v/>
      </c>
      <c r="W1059">
        <f>IF($N1059="","",Sync!$P1059)</f>
        <v/>
      </c>
    </row>
    <row r="1060">
      <c r="N1060">
        <f>IF(OR(Sync!$M1060="",$Q1060="",$Q1060="نامعتبر"),"",Sync!$M1060)</f>
        <v/>
      </c>
      <c r="O1060">
        <f>IF($N1060="","",$Q1060)</f>
        <v/>
      </c>
      <c r="P1060">
        <f>IF($N1060="","",LEFT($Q1060,4)&amp;MID($Q1060,6,2)&amp;RIGHT($Q1060,2)&amp;IF(Sync!$K1060="","0000",IF(AND(ISNUMBER(Sync!$K1060),Sync!$K1060&gt;=0,Sync!$K1060&lt;1),RIGHT("00"&amp;HOUR(Sync!$K1060),2)&amp;RIGHT("00"&amp;MINUTE(Sync!$K1060),2),IFERROR(RIGHT("00"&amp;VALUE(LEFT(Sync!$K1060,FIND(":",Sync!$K1060)-1)),2)&amp;RIGHT("00"&amp;VALUE(MID(Sync!$K1060,FIND(":",Sync!$K1060)+1,2)),2),"0000")))&amp;"|"&amp;"2"&amp;RIGHT("00000"&amp;1055,5))</f>
        <v/>
      </c>
      <c r="Q1060">
        <f>IF(Sync!$J1060="","",IF(ISNUMBER(Sync!$J1060),IF(AND(Sync!$J1060&gt;=10000101,Sync!$J1060&lt;=99991231),INT(Sync!$J1060/10000)&amp;"/"&amp;RIGHT("00"&amp;INT(MOD(Sync!$J1060,10000)/100),2)&amp;"/"&amp;RIGHT("00"&amp;MOD(Sync!$J1060,100),2),"نامعتبر"),IF(LEN(Sync!$J1060)=10,Sync!$J1060,"نامعتبر")))</f>
        <v/>
      </c>
      <c r="R1060">
        <f>IF($P1060="","",COUNTIFS($N$6:$N$2005,$N1060,$P$6:$P$2005,"&lt;"&amp;$P1060)+COUNTIFS($A$6:$A$1005,$N1060,$B$6:$B$1005,"&lt;"&amp;$P1060)+1)</f>
        <v/>
      </c>
      <c r="S1060">
        <f>IF($N1060="","",$N1060&amp;"|"&amp;RIGHT("000000"&amp;$R1060,6))</f>
        <v/>
      </c>
      <c r="T1060">
        <f>IF($N1060="","",IF(Sync!$N1060="",0,Sync!$N1060))</f>
        <v/>
      </c>
      <c r="U1060">
        <f>IF($N1060="","",IF(Sync!$O1060="",0,Sync!$O1060))</f>
        <v/>
      </c>
      <c r="V1060">
        <f>IF($N1060="","",Sync!$L1060)</f>
        <v/>
      </c>
      <c r="W1060">
        <f>IF($N1060="","",Sync!$P1060)</f>
        <v/>
      </c>
    </row>
    <row r="1061">
      <c r="N1061">
        <f>IF(OR(Sync!$M1061="",$Q1061="",$Q1061="نامعتبر"),"",Sync!$M1061)</f>
        <v/>
      </c>
      <c r="O1061">
        <f>IF($N1061="","",$Q1061)</f>
        <v/>
      </c>
      <c r="P1061">
        <f>IF($N1061="","",LEFT($Q1061,4)&amp;MID($Q1061,6,2)&amp;RIGHT($Q1061,2)&amp;IF(Sync!$K1061="","0000",IF(AND(ISNUMBER(Sync!$K1061),Sync!$K1061&gt;=0,Sync!$K1061&lt;1),RIGHT("00"&amp;HOUR(Sync!$K1061),2)&amp;RIGHT("00"&amp;MINUTE(Sync!$K1061),2),IFERROR(RIGHT("00"&amp;VALUE(LEFT(Sync!$K1061,FIND(":",Sync!$K1061)-1)),2)&amp;RIGHT("00"&amp;VALUE(MID(Sync!$K1061,FIND(":",Sync!$K1061)+1,2)),2),"0000")))&amp;"|"&amp;"2"&amp;RIGHT("00000"&amp;1056,5))</f>
        <v/>
      </c>
      <c r="Q1061">
        <f>IF(Sync!$J1061="","",IF(ISNUMBER(Sync!$J1061),IF(AND(Sync!$J1061&gt;=10000101,Sync!$J1061&lt;=99991231),INT(Sync!$J1061/10000)&amp;"/"&amp;RIGHT("00"&amp;INT(MOD(Sync!$J1061,10000)/100),2)&amp;"/"&amp;RIGHT("00"&amp;MOD(Sync!$J1061,100),2),"نامعتبر"),IF(LEN(Sync!$J1061)=10,Sync!$J1061,"نامعتبر")))</f>
        <v/>
      </c>
      <c r="R1061">
        <f>IF($P1061="","",COUNTIFS($N$6:$N$2005,$N1061,$P$6:$P$2005,"&lt;"&amp;$P1061)+COUNTIFS($A$6:$A$1005,$N1061,$B$6:$B$1005,"&lt;"&amp;$P1061)+1)</f>
        <v/>
      </c>
      <c r="S1061">
        <f>IF($N1061="","",$N1061&amp;"|"&amp;RIGHT("000000"&amp;$R1061,6))</f>
        <v/>
      </c>
      <c r="T1061">
        <f>IF($N1061="","",IF(Sync!$N1061="",0,Sync!$N1061))</f>
        <v/>
      </c>
      <c r="U1061">
        <f>IF($N1061="","",IF(Sync!$O1061="",0,Sync!$O1061))</f>
        <v/>
      </c>
      <c r="V1061">
        <f>IF($N1061="","",Sync!$L1061)</f>
        <v/>
      </c>
      <c r="W1061">
        <f>IF($N1061="","",Sync!$P1061)</f>
        <v/>
      </c>
    </row>
    <row r="1062">
      <c r="N1062">
        <f>IF(OR(Sync!$M1062="",$Q1062="",$Q1062="نامعتبر"),"",Sync!$M1062)</f>
        <v/>
      </c>
      <c r="O1062">
        <f>IF($N1062="","",$Q1062)</f>
        <v/>
      </c>
      <c r="P1062">
        <f>IF($N1062="","",LEFT($Q1062,4)&amp;MID($Q1062,6,2)&amp;RIGHT($Q1062,2)&amp;IF(Sync!$K1062="","0000",IF(AND(ISNUMBER(Sync!$K1062),Sync!$K1062&gt;=0,Sync!$K1062&lt;1),RIGHT("00"&amp;HOUR(Sync!$K1062),2)&amp;RIGHT("00"&amp;MINUTE(Sync!$K1062),2),IFERROR(RIGHT("00"&amp;VALUE(LEFT(Sync!$K1062,FIND(":",Sync!$K1062)-1)),2)&amp;RIGHT("00"&amp;VALUE(MID(Sync!$K1062,FIND(":",Sync!$K1062)+1,2)),2),"0000")))&amp;"|"&amp;"2"&amp;RIGHT("00000"&amp;1057,5))</f>
        <v/>
      </c>
      <c r="Q1062">
        <f>IF(Sync!$J1062="","",IF(ISNUMBER(Sync!$J1062),IF(AND(Sync!$J1062&gt;=10000101,Sync!$J1062&lt;=99991231),INT(Sync!$J1062/10000)&amp;"/"&amp;RIGHT("00"&amp;INT(MOD(Sync!$J1062,10000)/100),2)&amp;"/"&amp;RIGHT("00"&amp;MOD(Sync!$J1062,100),2),"نامعتبر"),IF(LEN(Sync!$J1062)=10,Sync!$J1062,"نامعتبر")))</f>
        <v/>
      </c>
      <c r="R1062">
        <f>IF($P1062="","",COUNTIFS($N$6:$N$2005,$N1062,$P$6:$P$2005,"&lt;"&amp;$P1062)+COUNTIFS($A$6:$A$1005,$N1062,$B$6:$B$1005,"&lt;"&amp;$P1062)+1)</f>
        <v/>
      </c>
      <c r="S1062">
        <f>IF($N1062="","",$N1062&amp;"|"&amp;RIGHT("000000"&amp;$R1062,6))</f>
        <v/>
      </c>
      <c r="T1062">
        <f>IF($N1062="","",IF(Sync!$N1062="",0,Sync!$N1062))</f>
        <v/>
      </c>
      <c r="U1062">
        <f>IF($N1062="","",IF(Sync!$O1062="",0,Sync!$O1062))</f>
        <v/>
      </c>
      <c r="V1062">
        <f>IF($N1062="","",Sync!$L1062)</f>
        <v/>
      </c>
      <c r="W1062">
        <f>IF($N1062="","",Sync!$P1062)</f>
        <v/>
      </c>
    </row>
    <row r="1063">
      <c r="N1063">
        <f>IF(OR(Sync!$M1063="",$Q1063="",$Q1063="نامعتبر"),"",Sync!$M1063)</f>
        <v/>
      </c>
      <c r="O1063">
        <f>IF($N1063="","",$Q1063)</f>
        <v/>
      </c>
      <c r="P1063">
        <f>IF($N1063="","",LEFT($Q1063,4)&amp;MID($Q1063,6,2)&amp;RIGHT($Q1063,2)&amp;IF(Sync!$K1063="","0000",IF(AND(ISNUMBER(Sync!$K1063),Sync!$K1063&gt;=0,Sync!$K1063&lt;1),RIGHT("00"&amp;HOUR(Sync!$K1063),2)&amp;RIGHT("00"&amp;MINUTE(Sync!$K1063),2),IFERROR(RIGHT("00"&amp;VALUE(LEFT(Sync!$K1063,FIND(":",Sync!$K1063)-1)),2)&amp;RIGHT("00"&amp;VALUE(MID(Sync!$K1063,FIND(":",Sync!$K1063)+1,2)),2),"0000")))&amp;"|"&amp;"2"&amp;RIGHT("00000"&amp;1058,5))</f>
        <v/>
      </c>
      <c r="Q1063">
        <f>IF(Sync!$J1063="","",IF(ISNUMBER(Sync!$J1063),IF(AND(Sync!$J1063&gt;=10000101,Sync!$J1063&lt;=99991231),INT(Sync!$J1063/10000)&amp;"/"&amp;RIGHT("00"&amp;INT(MOD(Sync!$J1063,10000)/100),2)&amp;"/"&amp;RIGHT("00"&amp;MOD(Sync!$J1063,100),2),"نامعتبر"),IF(LEN(Sync!$J1063)=10,Sync!$J1063,"نامعتبر")))</f>
        <v/>
      </c>
      <c r="R1063">
        <f>IF($P1063="","",COUNTIFS($N$6:$N$2005,$N1063,$P$6:$P$2005,"&lt;"&amp;$P1063)+COUNTIFS($A$6:$A$1005,$N1063,$B$6:$B$1005,"&lt;"&amp;$P1063)+1)</f>
        <v/>
      </c>
      <c r="S1063">
        <f>IF($N1063="","",$N1063&amp;"|"&amp;RIGHT("000000"&amp;$R1063,6))</f>
        <v/>
      </c>
      <c r="T1063">
        <f>IF($N1063="","",IF(Sync!$N1063="",0,Sync!$N1063))</f>
        <v/>
      </c>
      <c r="U1063">
        <f>IF($N1063="","",IF(Sync!$O1063="",0,Sync!$O1063))</f>
        <v/>
      </c>
      <c r="V1063">
        <f>IF($N1063="","",Sync!$L1063)</f>
        <v/>
      </c>
      <c r="W1063">
        <f>IF($N1063="","",Sync!$P1063)</f>
        <v/>
      </c>
    </row>
    <row r="1064">
      <c r="N1064">
        <f>IF(OR(Sync!$M1064="",$Q1064="",$Q1064="نامعتبر"),"",Sync!$M1064)</f>
        <v/>
      </c>
      <c r="O1064">
        <f>IF($N1064="","",$Q1064)</f>
        <v/>
      </c>
      <c r="P1064">
        <f>IF($N1064="","",LEFT($Q1064,4)&amp;MID($Q1064,6,2)&amp;RIGHT($Q1064,2)&amp;IF(Sync!$K1064="","0000",IF(AND(ISNUMBER(Sync!$K1064),Sync!$K1064&gt;=0,Sync!$K1064&lt;1),RIGHT("00"&amp;HOUR(Sync!$K1064),2)&amp;RIGHT("00"&amp;MINUTE(Sync!$K1064),2),IFERROR(RIGHT("00"&amp;VALUE(LEFT(Sync!$K1064,FIND(":",Sync!$K1064)-1)),2)&amp;RIGHT("00"&amp;VALUE(MID(Sync!$K1064,FIND(":",Sync!$K1064)+1,2)),2),"0000")))&amp;"|"&amp;"2"&amp;RIGHT("00000"&amp;1059,5))</f>
        <v/>
      </c>
      <c r="Q1064">
        <f>IF(Sync!$J1064="","",IF(ISNUMBER(Sync!$J1064),IF(AND(Sync!$J1064&gt;=10000101,Sync!$J1064&lt;=99991231),INT(Sync!$J1064/10000)&amp;"/"&amp;RIGHT("00"&amp;INT(MOD(Sync!$J1064,10000)/100),2)&amp;"/"&amp;RIGHT("00"&amp;MOD(Sync!$J1064,100),2),"نامعتبر"),IF(LEN(Sync!$J1064)=10,Sync!$J1064,"نامعتبر")))</f>
        <v/>
      </c>
      <c r="R1064">
        <f>IF($P1064="","",COUNTIFS($N$6:$N$2005,$N1064,$P$6:$P$2005,"&lt;"&amp;$P1064)+COUNTIFS($A$6:$A$1005,$N1064,$B$6:$B$1005,"&lt;"&amp;$P1064)+1)</f>
        <v/>
      </c>
      <c r="S1064">
        <f>IF($N1064="","",$N1064&amp;"|"&amp;RIGHT("000000"&amp;$R1064,6))</f>
        <v/>
      </c>
      <c r="T1064">
        <f>IF($N1064="","",IF(Sync!$N1064="",0,Sync!$N1064))</f>
        <v/>
      </c>
      <c r="U1064">
        <f>IF($N1064="","",IF(Sync!$O1064="",0,Sync!$O1064))</f>
        <v/>
      </c>
      <c r="V1064">
        <f>IF($N1064="","",Sync!$L1064)</f>
        <v/>
      </c>
      <c r="W1064">
        <f>IF($N1064="","",Sync!$P1064)</f>
        <v/>
      </c>
    </row>
    <row r="1065">
      <c r="N1065">
        <f>IF(OR(Sync!$M1065="",$Q1065="",$Q1065="نامعتبر"),"",Sync!$M1065)</f>
        <v/>
      </c>
      <c r="O1065">
        <f>IF($N1065="","",$Q1065)</f>
        <v/>
      </c>
      <c r="P1065">
        <f>IF($N1065="","",LEFT($Q1065,4)&amp;MID($Q1065,6,2)&amp;RIGHT($Q1065,2)&amp;IF(Sync!$K1065="","0000",IF(AND(ISNUMBER(Sync!$K1065),Sync!$K1065&gt;=0,Sync!$K1065&lt;1),RIGHT("00"&amp;HOUR(Sync!$K1065),2)&amp;RIGHT("00"&amp;MINUTE(Sync!$K1065),2),IFERROR(RIGHT("00"&amp;VALUE(LEFT(Sync!$K1065,FIND(":",Sync!$K1065)-1)),2)&amp;RIGHT("00"&amp;VALUE(MID(Sync!$K1065,FIND(":",Sync!$K1065)+1,2)),2),"0000")))&amp;"|"&amp;"2"&amp;RIGHT("00000"&amp;1060,5))</f>
        <v/>
      </c>
      <c r="Q1065">
        <f>IF(Sync!$J1065="","",IF(ISNUMBER(Sync!$J1065),IF(AND(Sync!$J1065&gt;=10000101,Sync!$J1065&lt;=99991231),INT(Sync!$J1065/10000)&amp;"/"&amp;RIGHT("00"&amp;INT(MOD(Sync!$J1065,10000)/100),2)&amp;"/"&amp;RIGHT("00"&amp;MOD(Sync!$J1065,100),2),"نامعتبر"),IF(LEN(Sync!$J1065)=10,Sync!$J1065,"نامعتبر")))</f>
        <v/>
      </c>
      <c r="R1065">
        <f>IF($P1065="","",COUNTIFS($N$6:$N$2005,$N1065,$P$6:$P$2005,"&lt;"&amp;$P1065)+COUNTIFS($A$6:$A$1005,$N1065,$B$6:$B$1005,"&lt;"&amp;$P1065)+1)</f>
        <v/>
      </c>
      <c r="S1065">
        <f>IF($N1065="","",$N1065&amp;"|"&amp;RIGHT("000000"&amp;$R1065,6))</f>
        <v/>
      </c>
      <c r="T1065">
        <f>IF($N1065="","",IF(Sync!$N1065="",0,Sync!$N1065))</f>
        <v/>
      </c>
      <c r="U1065">
        <f>IF($N1065="","",IF(Sync!$O1065="",0,Sync!$O1065))</f>
        <v/>
      </c>
      <c r="V1065">
        <f>IF($N1065="","",Sync!$L1065)</f>
        <v/>
      </c>
      <c r="W1065">
        <f>IF($N1065="","",Sync!$P1065)</f>
        <v/>
      </c>
    </row>
    <row r="1066">
      <c r="N1066">
        <f>IF(OR(Sync!$M1066="",$Q1066="",$Q1066="نامعتبر"),"",Sync!$M1066)</f>
        <v/>
      </c>
      <c r="O1066">
        <f>IF($N1066="","",$Q1066)</f>
        <v/>
      </c>
      <c r="P1066">
        <f>IF($N1066="","",LEFT($Q1066,4)&amp;MID($Q1066,6,2)&amp;RIGHT($Q1066,2)&amp;IF(Sync!$K1066="","0000",IF(AND(ISNUMBER(Sync!$K1066),Sync!$K1066&gt;=0,Sync!$K1066&lt;1),RIGHT("00"&amp;HOUR(Sync!$K1066),2)&amp;RIGHT("00"&amp;MINUTE(Sync!$K1066),2),IFERROR(RIGHT("00"&amp;VALUE(LEFT(Sync!$K1066,FIND(":",Sync!$K1066)-1)),2)&amp;RIGHT("00"&amp;VALUE(MID(Sync!$K1066,FIND(":",Sync!$K1066)+1,2)),2),"0000")))&amp;"|"&amp;"2"&amp;RIGHT("00000"&amp;1061,5))</f>
        <v/>
      </c>
      <c r="Q1066">
        <f>IF(Sync!$J1066="","",IF(ISNUMBER(Sync!$J1066),IF(AND(Sync!$J1066&gt;=10000101,Sync!$J1066&lt;=99991231),INT(Sync!$J1066/10000)&amp;"/"&amp;RIGHT("00"&amp;INT(MOD(Sync!$J1066,10000)/100),2)&amp;"/"&amp;RIGHT("00"&amp;MOD(Sync!$J1066,100),2),"نامعتبر"),IF(LEN(Sync!$J1066)=10,Sync!$J1066,"نامعتبر")))</f>
        <v/>
      </c>
      <c r="R1066">
        <f>IF($P1066="","",COUNTIFS($N$6:$N$2005,$N1066,$P$6:$P$2005,"&lt;"&amp;$P1066)+COUNTIFS($A$6:$A$1005,$N1066,$B$6:$B$1005,"&lt;"&amp;$P1066)+1)</f>
        <v/>
      </c>
      <c r="S1066">
        <f>IF($N1066="","",$N1066&amp;"|"&amp;RIGHT("000000"&amp;$R1066,6))</f>
        <v/>
      </c>
      <c r="T1066">
        <f>IF($N1066="","",IF(Sync!$N1066="",0,Sync!$N1066))</f>
        <v/>
      </c>
      <c r="U1066">
        <f>IF($N1066="","",IF(Sync!$O1066="",0,Sync!$O1066))</f>
        <v/>
      </c>
      <c r="V1066">
        <f>IF($N1066="","",Sync!$L1066)</f>
        <v/>
      </c>
      <c r="W1066">
        <f>IF($N1066="","",Sync!$P1066)</f>
        <v/>
      </c>
    </row>
    <row r="1067">
      <c r="N1067">
        <f>IF(OR(Sync!$M1067="",$Q1067="",$Q1067="نامعتبر"),"",Sync!$M1067)</f>
        <v/>
      </c>
      <c r="O1067">
        <f>IF($N1067="","",$Q1067)</f>
        <v/>
      </c>
      <c r="P1067">
        <f>IF($N1067="","",LEFT($Q1067,4)&amp;MID($Q1067,6,2)&amp;RIGHT($Q1067,2)&amp;IF(Sync!$K1067="","0000",IF(AND(ISNUMBER(Sync!$K1067),Sync!$K1067&gt;=0,Sync!$K1067&lt;1),RIGHT("00"&amp;HOUR(Sync!$K1067),2)&amp;RIGHT("00"&amp;MINUTE(Sync!$K1067),2),IFERROR(RIGHT("00"&amp;VALUE(LEFT(Sync!$K1067,FIND(":",Sync!$K1067)-1)),2)&amp;RIGHT("00"&amp;VALUE(MID(Sync!$K1067,FIND(":",Sync!$K1067)+1,2)),2),"0000")))&amp;"|"&amp;"2"&amp;RIGHT("00000"&amp;1062,5))</f>
        <v/>
      </c>
      <c r="Q1067">
        <f>IF(Sync!$J1067="","",IF(ISNUMBER(Sync!$J1067),IF(AND(Sync!$J1067&gt;=10000101,Sync!$J1067&lt;=99991231),INT(Sync!$J1067/10000)&amp;"/"&amp;RIGHT("00"&amp;INT(MOD(Sync!$J1067,10000)/100),2)&amp;"/"&amp;RIGHT("00"&amp;MOD(Sync!$J1067,100),2),"نامعتبر"),IF(LEN(Sync!$J1067)=10,Sync!$J1067,"نامعتبر")))</f>
        <v/>
      </c>
      <c r="R1067">
        <f>IF($P1067="","",COUNTIFS($N$6:$N$2005,$N1067,$P$6:$P$2005,"&lt;"&amp;$P1067)+COUNTIFS($A$6:$A$1005,$N1067,$B$6:$B$1005,"&lt;"&amp;$P1067)+1)</f>
        <v/>
      </c>
      <c r="S1067">
        <f>IF($N1067="","",$N1067&amp;"|"&amp;RIGHT("000000"&amp;$R1067,6))</f>
        <v/>
      </c>
      <c r="T1067">
        <f>IF($N1067="","",IF(Sync!$N1067="",0,Sync!$N1067))</f>
        <v/>
      </c>
      <c r="U1067">
        <f>IF($N1067="","",IF(Sync!$O1067="",0,Sync!$O1067))</f>
        <v/>
      </c>
      <c r="V1067">
        <f>IF($N1067="","",Sync!$L1067)</f>
        <v/>
      </c>
      <c r="W1067">
        <f>IF($N1067="","",Sync!$P1067)</f>
        <v/>
      </c>
    </row>
    <row r="1068">
      <c r="N1068">
        <f>IF(OR(Sync!$M1068="",$Q1068="",$Q1068="نامعتبر"),"",Sync!$M1068)</f>
        <v/>
      </c>
      <c r="O1068">
        <f>IF($N1068="","",$Q1068)</f>
        <v/>
      </c>
      <c r="P1068">
        <f>IF($N1068="","",LEFT($Q1068,4)&amp;MID($Q1068,6,2)&amp;RIGHT($Q1068,2)&amp;IF(Sync!$K1068="","0000",IF(AND(ISNUMBER(Sync!$K1068),Sync!$K1068&gt;=0,Sync!$K1068&lt;1),RIGHT("00"&amp;HOUR(Sync!$K1068),2)&amp;RIGHT("00"&amp;MINUTE(Sync!$K1068),2),IFERROR(RIGHT("00"&amp;VALUE(LEFT(Sync!$K1068,FIND(":",Sync!$K1068)-1)),2)&amp;RIGHT("00"&amp;VALUE(MID(Sync!$K1068,FIND(":",Sync!$K1068)+1,2)),2),"0000")))&amp;"|"&amp;"2"&amp;RIGHT("00000"&amp;1063,5))</f>
        <v/>
      </c>
      <c r="Q1068">
        <f>IF(Sync!$J1068="","",IF(ISNUMBER(Sync!$J1068),IF(AND(Sync!$J1068&gt;=10000101,Sync!$J1068&lt;=99991231),INT(Sync!$J1068/10000)&amp;"/"&amp;RIGHT("00"&amp;INT(MOD(Sync!$J1068,10000)/100),2)&amp;"/"&amp;RIGHT("00"&amp;MOD(Sync!$J1068,100),2),"نامعتبر"),IF(LEN(Sync!$J1068)=10,Sync!$J1068,"نامعتبر")))</f>
        <v/>
      </c>
      <c r="R1068">
        <f>IF($P1068="","",COUNTIFS($N$6:$N$2005,$N1068,$P$6:$P$2005,"&lt;"&amp;$P1068)+COUNTIFS($A$6:$A$1005,$N1068,$B$6:$B$1005,"&lt;"&amp;$P1068)+1)</f>
        <v/>
      </c>
      <c r="S1068">
        <f>IF($N1068="","",$N1068&amp;"|"&amp;RIGHT("000000"&amp;$R1068,6))</f>
        <v/>
      </c>
      <c r="T1068">
        <f>IF($N1068="","",IF(Sync!$N1068="",0,Sync!$N1068))</f>
        <v/>
      </c>
      <c r="U1068">
        <f>IF($N1068="","",IF(Sync!$O1068="",0,Sync!$O1068))</f>
        <v/>
      </c>
      <c r="V1068">
        <f>IF($N1068="","",Sync!$L1068)</f>
        <v/>
      </c>
      <c r="W1068">
        <f>IF($N1068="","",Sync!$P1068)</f>
        <v/>
      </c>
    </row>
    <row r="1069">
      <c r="N1069">
        <f>IF(OR(Sync!$M1069="",$Q1069="",$Q1069="نامعتبر"),"",Sync!$M1069)</f>
        <v/>
      </c>
      <c r="O1069">
        <f>IF($N1069="","",$Q1069)</f>
        <v/>
      </c>
      <c r="P1069">
        <f>IF($N1069="","",LEFT($Q1069,4)&amp;MID($Q1069,6,2)&amp;RIGHT($Q1069,2)&amp;IF(Sync!$K1069="","0000",IF(AND(ISNUMBER(Sync!$K1069),Sync!$K1069&gt;=0,Sync!$K1069&lt;1),RIGHT("00"&amp;HOUR(Sync!$K1069),2)&amp;RIGHT("00"&amp;MINUTE(Sync!$K1069),2),IFERROR(RIGHT("00"&amp;VALUE(LEFT(Sync!$K1069,FIND(":",Sync!$K1069)-1)),2)&amp;RIGHT("00"&amp;VALUE(MID(Sync!$K1069,FIND(":",Sync!$K1069)+1,2)),2),"0000")))&amp;"|"&amp;"2"&amp;RIGHT("00000"&amp;1064,5))</f>
        <v/>
      </c>
      <c r="Q1069">
        <f>IF(Sync!$J1069="","",IF(ISNUMBER(Sync!$J1069),IF(AND(Sync!$J1069&gt;=10000101,Sync!$J1069&lt;=99991231),INT(Sync!$J1069/10000)&amp;"/"&amp;RIGHT("00"&amp;INT(MOD(Sync!$J1069,10000)/100),2)&amp;"/"&amp;RIGHT("00"&amp;MOD(Sync!$J1069,100),2),"نامعتبر"),IF(LEN(Sync!$J1069)=10,Sync!$J1069,"نامعتبر")))</f>
        <v/>
      </c>
      <c r="R1069">
        <f>IF($P1069="","",COUNTIFS($N$6:$N$2005,$N1069,$P$6:$P$2005,"&lt;"&amp;$P1069)+COUNTIFS($A$6:$A$1005,$N1069,$B$6:$B$1005,"&lt;"&amp;$P1069)+1)</f>
        <v/>
      </c>
      <c r="S1069">
        <f>IF($N1069="","",$N1069&amp;"|"&amp;RIGHT("000000"&amp;$R1069,6))</f>
        <v/>
      </c>
      <c r="T1069">
        <f>IF($N1069="","",IF(Sync!$N1069="",0,Sync!$N1069))</f>
        <v/>
      </c>
      <c r="U1069">
        <f>IF($N1069="","",IF(Sync!$O1069="",0,Sync!$O1069))</f>
        <v/>
      </c>
      <c r="V1069">
        <f>IF($N1069="","",Sync!$L1069)</f>
        <v/>
      </c>
      <c r="W1069">
        <f>IF($N1069="","",Sync!$P1069)</f>
        <v/>
      </c>
    </row>
    <row r="1070">
      <c r="N1070">
        <f>IF(OR(Sync!$M1070="",$Q1070="",$Q1070="نامعتبر"),"",Sync!$M1070)</f>
        <v/>
      </c>
      <c r="O1070">
        <f>IF($N1070="","",$Q1070)</f>
        <v/>
      </c>
      <c r="P1070">
        <f>IF($N1070="","",LEFT($Q1070,4)&amp;MID($Q1070,6,2)&amp;RIGHT($Q1070,2)&amp;IF(Sync!$K1070="","0000",IF(AND(ISNUMBER(Sync!$K1070),Sync!$K1070&gt;=0,Sync!$K1070&lt;1),RIGHT("00"&amp;HOUR(Sync!$K1070),2)&amp;RIGHT("00"&amp;MINUTE(Sync!$K1070),2),IFERROR(RIGHT("00"&amp;VALUE(LEFT(Sync!$K1070,FIND(":",Sync!$K1070)-1)),2)&amp;RIGHT("00"&amp;VALUE(MID(Sync!$K1070,FIND(":",Sync!$K1070)+1,2)),2),"0000")))&amp;"|"&amp;"2"&amp;RIGHT("00000"&amp;1065,5))</f>
        <v/>
      </c>
      <c r="Q1070">
        <f>IF(Sync!$J1070="","",IF(ISNUMBER(Sync!$J1070),IF(AND(Sync!$J1070&gt;=10000101,Sync!$J1070&lt;=99991231),INT(Sync!$J1070/10000)&amp;"/"&amp;RIGHT("00"&amp;INT(MOD(Sync!$J1070,10000)/100),2)&amp;"/"&amp;RIGHT("00"&amp;MOD(Sync!$J1070,100),2),"نامعتبر"),IF(LEN(Sync!$J1070)=10,Sync!$J1070,"نامعتبر")))</f>
        <v/>
      </c>
      <c r="R1070">
        <f>IF($P1070="","",COUNTIFS($N$6:$N$2005,$N1070,$P$6:$P$2005,"&lt;"&amp;$P1070)+COUNTIFS($A$6:$A$1005,$N1070,$B$6:$B$1005,"&lt;"&amp;$P1070)+1)</f>
        <v/>
      </c>
      <c r="S1070">
        <f>IF($N1070="","",$N1070&amp;"|"&amp;RIGHT("000000"&amp;$R1070,6))</f>
        <v/>
      </c>
      <c r="T1070">
        <f>IF($N1070="","",IF(Sync!$N1070="",0,Sync!$N1070))</f>
        <v/>
      </c>
      <c r="U1070">
        <f>IF($N1070="","",IF(Sync!$O1070="",0,Sync!$O1070))</f>
        <v/>
      </c>
      <c r="V1070">
        <f>IF($N1070="","",Sync!$L1070)</f>
        <v/>
      </c>
      <c r="W1070">
        <f>IF($N1070="","",Sync!$P1070)</f>
        <v/>
      </c>
    </row>
    <row r="1071">
      <c r="N1071">
        <f>IF(OR(Sync!$M1071="",$Q1071="",$Q1071="نامعتبر"),"",Sync!$M1071)</f>
        <v/>
      </c>
      <c r="O1071">
        <f>IF($N1071="","",$Q1071)</f>
        <v/>
      </c>
      <c r="P1071">
        <f>IF($N1071="","",LEFT($Q1071,4)&amp;MID($Q1071,6,2)&amp;RIGHT($Q1071,2)&amp;IF(Sync!$K1071="","0000",IF(AND(ISNUMBER(Sync!$K1071),Sync!$K1071&gt;=0,Sync!$K1071&lt;1),RIGHT("00"&amp;HOUR(Sync!$K1071),2)&amp;RIGHT("00"&amp;MINUTE(Sync!$K1071),2),IFERROR(RIGHT("00"&amp;VALUE(LEFT(Sync!$K1071,FIND(":",Sync!$K1071)-1)),2)&amp;RIGHT("00"&amp;VALUE(MID(Sync!$K1071,FIND(":",Sync!$K1071)+1,2)),2),"0000")))&amp;"|"&amp;"2"&amp;RIGHT("00000"&amp;1066,5))</f>
        <v/>
      </c>
      <c r="Q1071">
        <f>IF(Sync!$J1071="","",IF(ISNUMBER(Sync!$J1071),IF(AND(Sync!$J1071&gt;=10000101,Sync!$J1071&lt;=99991231),INT(Sync!$J1071/10000)&amp;"/"&amp;RIGHT("00"&amp;INT(MOD(Sync!$J1071,10000)/100),2)&amp;"/"&amp;RIGHT("00"&amp;MOD(Sync!$J1071,100),2),"نامعتبر"),IF(LEN(Sync!$J1071)=10,Sync!$J1071,"نامعتبر")))</f>
        <v/>
      </c>
      <c r="R1071">
        <f>IF($P1071="","",COUNTIFS($N$6:$N$2005,$N1071,$P$6:$P$2005,"&lt;"&amp;$P1071)+COUNTIFS($A$6:$A$1005,$N1071,$B$6:$B$1005,"&lt;"&amp;$P1071)+1)</f>
        <v/>
      </c>
      <c r="S1071">
        <f>IF($N1071="","",$N1071&amp;"|"&amp;RIGHT("000000"&amp;$R1071,6))</f>
        <v/>
      </c>
      <c r="T1071">
        <f>IF($N1071="","",IF(Sync!$N1071="",0,Sync!$N1071))</f>
        <v/>
      </c>
      <c r="U1071">
        <f>IF($N1071="","",IF(Sync!$O1071="",0,Sync!$O1071))</f>
        <v/>
      </c>
      <c r="V1071">
        <f>IF($N1071="","",Sync!$L1071)</f>
        <v/>
      </c>
      <c r="W1071">
        <f>IF($N1071="","",Sync!$P1071)</f>
        <v/>
      </c>
    </row>
    <row r="1072">
      <c r="N1072">
        <f>IF(OR(Sync!$M1072="",$Q1072="",$Q1072="نامعتبر"),"",Sync!$M1072)</f>
        <v/>
      </c>
      <c r="O1072">
        <f>IF($N1072="","",$Q1072)</f>
        <v/>
      </c>
      <c r="P1072">
        <f>IF($N1072="","",LEFT($Q1072,4)&amp;MID($Q1072,6,2)&amp;RIGHT($Q1072,2)&amp;IF(Sync!$K1072="","0000",IF(AND(ISNUMBER(Sync!$K1072),Sync!$K1072&gt;=0,Sync!$K1072&lt;1),RIGHT("00"&amp;HOUR(Sync!$K1072),2)&amp;RIGHT("00"&amp;MINUTE(Sync!$K1072),2),IFERROR(RIGHT("00"&amp;VALUE(LEFT(Sync!$K1072,FIND(":",Sync!$K1072)-1)),2)&amp;RIGHT("00"&amp;VALUE(MID(Sync!$K1072,FIND(":",Sync!$K1072)+1,2)),2),"0000")))&amp;"|"&amp;"2"&amp;RIGHT("00000"&amp;1067,5))</f>
        <v/>
      </c>
      <c r="Q1072">
        <f>IF(Sync!$J1072="","",IF(ISNUMBER(Sync!$J1072),IF(AND(Sync!$J1072&gt;=10000101,Sync!$J1072&lt;=99991231),INT(Sync!$J1072/10000)&amp;"/"&amp;RIGHT("00"&amp;INT(MOD(Sync!$J1072,10000)/100),2)&amp;"/"&amp;RIGHT("00"&amp;MOD(Sync!$J1072,100),2),"نامعتبر"),IF(LEN(Sync!$J1072)=10,Sync!$J1072,"نامعتبر")))</f>
        <v/>
      </c>
      <c r="R1072">
        <f>IF($P1072="","",COUNTIFS($N$6:$N$2005,$N1072,$P$6:$P$2005,"&lt;"&amp;$P1072)+COUNTIFS($A$6:$A$1005,$N1072,$B$6:$B$1005,"&lt;"&amp;$P1072)+1)</f>
        <v/>
      </c>
      <c r="S1072">
        <f>IF($N1072="","",$N1072&amp;"|"&amp;RIGHT("000000"&amp;$R1072,6))</f>
        <v/>
      </c>
      <c r="T1072">
        <f>IF($N1072="","",IF(Sync!$N1072="",0,Sync!$N1072))</f>
        <v/>
      </c>
      <c r="U1072">
        <f>IF($N1072="","",IF(Sync!$O1072="",0,Sync!$O1072))</f>
        <v/>
      </c>
      <c r="V1072">
        <f>IF($N1072="","",Sync!$L1072)</f>
        <v/>
      </c>
      <c r="W1072">
        <f>IF($N1072="","",Sync!$P1072)</f>
        <v/>
      </c>
    </row>
    <row r="1073">
      <c r="N1073">
        <f>IF(OR(Sync!$M1073="",$Q1073="",$Q1073="نامعتبر"),"",Sync!$M1073)</f>
        <v/>
      </c>
      <c r="O1073">
        <f>IF($N1073="","",$Q1073)</f>
        <v/>
      </c>
      <c r="P1073">
        <f>IF($N1073="","",LEFT($Q1073,4)&amp;MID($Q1073,6,2)&amp;RIGHT($Q1073,2)&amp;IF(Sync!$K1073="","0000",IF(AND(ISNUMBER(Sync!$K1073),Sync!$K1073&gt;=0,Sync!$K1073&lt;1),RIGHT("00"&amp;HOUR(Sync!$K1073),2)&amp;RIGHT("00"&amp;MINUTE(Sync!$K1073),2),IFERROR(RIGHT("00"&amp;VALUE(LEFT(Sync!$K1073,FIND(":",Sync!$K1073)-1)),2)&amp;RIGHT("00"&amp;VALUE(MID(Sync!$K1073,FIND(":",Sync!$K1073)+1,2)),2),"0000")))&amp;"|"&amp;"2"&amp;RIGHT("00000"&amp;1068,5))</f>
        <v/>
      </c>
      <c r="Q1073">
        <f>IF(Sync!$J1073="","",IF(ISNUMBER(Sync!$J1073),IF(AND(Sync!$J1073&gt;=10000101,Sync!$J1073&lt;=99991231),INT(Sync!$J1073/10000)&amp;"/"&amp;RIGHT("00"&amp;INT(MOD(Sync!$J1073,10000)/100),2)&amp;"/"&amp;RIGHT("00"&amp;MOD(Sync!$J1073,100),2),"نامعتبر"),IF(LEN(Sync!$J1073)=10,Sync!$J1073,"نامعتبر")))</f>
        <v/>
      </c>
      <c r="R1073">
        <f>IF($P1073="","",COUNTIFS($N$6:$N$2005,$N1073,$P$6:$P$2005,"&lt;"&amp;$P1073)+COUNTIFS($A$6:$A$1005,$N1073,$B$6:$B$1005,"&lt;"&amp;$P1073)+1)</f>
        <v/>
      </c>
      <c r="S1073">
        <f>IF($N1073="","",$N1073&amp;"|"&amp;RIGHT("000000"&amp;$R1073,6))</f>
        <v/>
      </c>
      <c r="T1073">
        <f>IF($N1073="","",IF(Sync!$N1073="",0,Sync!$N1073))</f>
        <v/>
      </c>
      <c r="U1073">
        <f>IF($N1073="","",IF(Sync!$O1073="",0,Sync!$O1073))</f>
        <v/>
      </c>
      <c r="V1073">
        <f>IF($N1073="","",Sync!$L1073)</f>
        <v/>
      </c>
      <c r="W1073">
        <f>IF($N1073="","",Sync!$P1073)</f>
        <v/>
      </c>
    </row>
    <row r="1074">
      <c r="N1074">
        <f>IF(OR(Sync!$M1074="",$Q1074="",$Q1074="نامعتبر"),"",Sync!$M1074)</f>
        <v/>
      </c>
      <c r="O1074">
        <f>IF($N1074="","",$Q1074)</f>
        <v/>
      </c>
      <c r="P1074">
        <f>IF($N1074="","",LEFT($Q1074,4)&amp;MID($Q1074,6,2)&amp;RIGHT($Q1074,2)&amp;IF(Sync!$K1074="","0000",IF(AND(ISNUMBER(Sync!$K1074),Sync!$K1074&gt;=0,Sync!$K1074&lt;1),RIGHT("00"&amp;HOUR(Sync!$K1074),2)&amp;RIGHT("00"&amp;MINUTE(Sync!$K1074),2),IFERROR(RIGHT("00"&amp;VALUE(LEFT(Sync!$K1074,FIND(":",Sync!$K1074)-1)),2)&amp;RIGHT("00"&amp;VALUE(MID(Sync!$K1074,FIND(":",Sync!$K1074)+1,2)),2),"0000")))&amp;"|"&amp;"2"&amp;RIGHT("00000"&amp;1069,5))</f>
        <v/>
      </c>
      <c r="Q1074">
        <f>IF(Sync!$J1074="","",IF(ISNUMBER(Sync!$J1074),IF(AND(Sync!$J1074&gt;=10000101,Sync!$J1074&lt;=99991231),INT(Sync!$J1074/10000)&amp;"/"&amp;RIGHT("00"&amp;INT(MOD(Sync!$J1074,10000)/100),2)&amp;"/"&amp;RIGHT("00"&amp;MOD(Sync!$J1074,100),2),"نامعتبر"),IF(LEN(Sync!$J1074)=10,Sync!$J1074,"نامعتبر")))</f>
        <v/>
      </c>
      <c r="R1074">
        <f>IF($P1074="","",COUNTIFS($N$6:$N$2005,$N1074,$P$6:$P$2005,"&lt;"&amp;$P1074)+COUNTIFS($A$6:$A$1005,$N1074,$B$6:$B$1005,"&lt;"&amp;$P1074)+1)</f>
        <v/>
      </c>
      <c r="S1074">
        <f>IF($N1074="","",$N1074&amp;"|"&amp;RIGHT("000000"&amp;$R1074,6))</f>
        <v/>
      </c>
      <c r="T1074">
        <f>IF($N1074="","",IF(Sync!$N1074="",0,Sync!$N1074))</f>
        <v/>
      </c>
      <c r="U1074">
        <f>IF($N1074="","",IF(Sync!$O1074="",0,Sync!$O1074))</f>
        <v/>
      </c>
      <c r="V1074">
        <f>IF($N1074="","",Sync!$L1074)</f>
        <v/>
      </c>
      <c r="W1074">
        <f>IF($N1074="","",Sync!$P1074)</f>
        <v/>
      </c>
    </row>
    <row r="1075">
      <c r="N1075">
        <f>IF(OR(Sync!$M1075="",$Q1075="",$Q1075="نامعتبر"),"",Sync!$M1075)</f>
        <v/>
      </c>
      <c r="O1075">
        <f>IF($N1075="","",$Q1075)</f>
        <v/>
      </c>
      <c r="P1075">
        <f>IF($N1075="","",LEFT($Q1075,4)&amp;MID($Q1075,6,2)&amp;RIGHT($Q1075,2)&amp;IF(Sync!$K1075="","0000",IF(AND(ISNUMBER(Sync!$K1075),Sync!$K1075&gt;=0,Sync!$K1075&lt;1),RIGHT("00"&amp;HOUR(Sync!$K1075),2)&amp;RIGHT("00"&amp;MINUTE(Sync!$K1075),2),IFERROR(RIGHT("00"&amp;VALUE(LEFT(Sync!$K1075,FIND(":",Sync!$K1075)-1)),2)&amp;RIGHT("00"&amp;VALUE(MID(Sync!$K1075,FIND(":",Sync!$K1075)+1,2)),2),"0000")))&amp;"|"&amp;"2"&amp;RIGHT("00000"&amp;1070,5))</f>
        <v/>
      </c>
      <c r="Q1075">
        <f>IF(Sync!$J1075="","",IF(ISNUMBER(Sync!$J1075),IF(AND(Sync!$J1075&gt;=10000101,Sync!$J1075&lt;=99991231),INT(Sync!$J1075/10000)&amp;"/"&amp;RIGHT("00"&amp;INT(MOD(Sync!$J1075,10000)/100),2)&amp;"/"&amp;RIGHT("00"&amp;MOD(Sync!$J1075,100),2),"نامعتبر"),IF(LEN(Sync!$J1075)=10,Sync!$J1075,"نامعتبر")))</f>
        <v/>
      </c>
      <c r="R1075">
        <f>IF($P1075="","",COUNTIFS($N$6:$N$2005,$N1075,$P$6:$P$2005,"&lt;"&amp;$P1075)+COUNTIFS($A$6:$A$1005,$N1075,$B$6:$B$1005,"&lt;"&amp;$P1075)+1)</f>
        <v/>
      </c>
      <c r="S1075">
        <f>IF($N1075="","",$N1075&amp;"|"&amp;RIGHT("000000"&amp;$R1075,6))</f>
        <v/>
      </c>
      <c r="T1075">
        <f>IF($N1075="","",IF(Sync!$N1075="",0,Sync!$N1075))</f>
        <v/>
      </c>
      <c r="U1075">
        <f>IF($N1075="","",IF(Sync!$O1075="",0,Sync!$O1075))</f>
        <v/>
      </c>
      <c r="V1075">
        <f>IF($N1075="","",Sync!$L1075)</f>
        <v/>
      </c>
      <c r="W1075">
        <f>IF($N1075="","",Sync!$P1075)</f>
        <v/>
      </c>
    </row>
    <row r="1076">
      <c r="N1076">
        <f>IF(OR(Sync!$M1076="",$Q1076="",$Q1076="نامعتبر"),"",Sync!$M1076)</f>
        <v/>
      </c>
      <c r="O1076">
        <f>IF($N1076="","",$Q1076)</f>
        <v/>
      </c>
      <c r="P1076">
        <f>IF($N1076="","",LEFT($Q1076,4)&amp;MID($Q1076,6,2)&amp;RIGHT($Q1076,2)&amp;IF(Sync!$K1076="","0000",IF(AND(ISNUMBER(Sync!$K1076),Sync!$K1076&gt;=0,Sync!$K1076&lt;1),RIGHT("00"&amp;HOUR(Sync!$K1076),2)&amp;RIGHT("00"&amp;MINUTE(Sync!$K1076),2),IFERROR(RIGHT("00"&amp;VALUE(LEFT(Sync!$K1076,FIND(":",Sync!$K1076)-1)),2)&amp;RIGHT("00"&amp;VALUE(MID(Sync!$K1076,FIND(":",Sync!$K1076)+1,2)),2),"0000")))&amp;"|"&amp;"2"&amp;RIGHT("00000"&amp;1071,5))</f>
        <v/>
      </c>
      <c r="Q1076">
        <f>IF(Sync!$J1076="","",IF(ISNUMBER(Sync!$J1076),IF(AND(Sync!$J1076&gt;=10000101,Sync!$J1076&lt;=99991231),INT(Sync!$J1076/10000)&amp;"/"&amp;RIGHT("00"&amp;INT(MOD(Sync!$J1076,10000)/100),2)&amp;"/"&amp;RIGHT("00"&amp;MOD(Sync!$J1076,100),2),"نامعتبر"),IF(LEN(Sync!$J1076)=10,Sync!$J1076,"نامعتبر")))</f>
        <v/>
      </c>
      <c r="R1076">
        <f>IF($P1076="","",COUNTIFS($N$6:$N$2005,$N1076,$P$6:$P$2005,"&lt;"&amp;$P1076)+COUNTIFS($A$6:$A$1005,$N1076,$B$6:$B$1005,"&lt;"&amp;$P1076)+1)</f>
        <v/>
      </c>
      <c r="S1076">
        <f>IF($N1076="","",$N1076&amp;"|"&amp;RIGHT("000000"&amp;$R1076,6))</f>
        <v/>
      </c>
      <c r="T1076">
        <f>IF($N1076="","",IF(Sync!$N1076="",0,Sync!$N1076))</f>
        <v/>
      </c>
      <c r="U1076">
        <f>IF($N1076="","",IF(Sync!$O1076="",0,Sync!$O1076))</f>
        <v/>
      </c>
      <c r="V1076">
        <f>IF($N1076="","",Sync!$L1076)</f>
        <v/>
      </c>
      <c r="W1076">
        <f>IF($N1076="","",Sync!$P1076)</f>
        <v/>
      </c>
    </row>
    <row r="1077">
      <c r="N1077">
        <f>IF(OR(Sync!$M1077="",$Q1077="",$Q1077="نامعتبر"),"",Sync!$M1077)</f>
        <v/>
      </c>
      <c r="O1077">
        <f>IF($N1077="","",$Q1077)</f>
        <v/>
      </c>
      <c r="P1077">
        <f>IF($N1077="","",LEFT($Q1077,4)&amp;MID($Q1077,6,2)&amp;RIGHT($Q1077,2)&amp;IF(Sync!$K1077="","0000",IF(AND(ISNUMBER(Sync!$K1077),Sync!$K1077&gt;=0,Sync!$K1077&lt;1),RIGHT("00"&amp;HOUR(Sync!$K1077),2)&amp;RIGHT("00"&amp;MINUTE(Sync!$K1077),2),IFERROR(RIGHT("00"&amp;VALUE(LEFT(Sync!$K1077,FIND(":",Sync!$K1077)-1)),2)&amp;RIGHT("00"&amp;VALUE(MID(Sync!$K1077,FIND(":",Sync!$K1077)+1,2)),2),"0000")))&amp;"|"&amp;"2"&amp;RIGHT("00000"&amp;1072,5))</f>
        <v/>
      </c>
      <c r="Q1077">
        <f>IF(Sync!$J1077="","",IF(ISNUMBER(Sync!$J1077),IF(AND(Sync!$J1077&gt;=10000101,Sync!$J1077&lt;=99991231),INT(Sync!$J1077/10000)&amp;"/"&amp;RIGHT("00"&amp;INT(MOD(Sync!$J1077,10000)/100),2)&amp;"/"&amp;RIGHT("00"&amp;MOD(Sync!$J1077,100),2),"نامعتبر"),IF(LEN(Sync!$J1077)=10,Sync!$J1077,"نامعتبر")))</f>
        <v/>
      </c>
      <c r="R1077">
        <f>IF($P1077="","",COUNTIFS($N$6:$N$2005,$N1077,$P$6:$P$2005,"&lt;"&amp;$P1077)+COUNTIFS($A$6:$A$1005,$N1077,$B$6:$B$1005,"&lt;"&amp;$P1077)+1)</f>
        <v/>
      </c>
      <c r="S1077">
        <f>IF($N1077="","",$N1077&amp;"|"&amp;RIGHT("000000"&amp;$R1077,6))</f>
        <v/>
      </c>
      <c r="T1077">
        <f>IF($N1077="","",IF(Sync!$N1077="",0,Sync!$N1077))</f>
        <v/>
      </c>
      <c r="U1077">
        <f>IF($N1077="","",IF(Sync!$O1077="",0,Sync!$O1077))</f>
        <v/>
      </c>
      <c r="V1077">
        <f>IF($N1077="","",Sync!$L1077)</f>
        <v/>
      </c>
      <c r="W1077">
        <f>IF($N1077="","",Sync!$P1077)</f>
        <v/>
      </c>
    </row>
    <row r="1078">
      <c r="N1078">
        <f>IF(OR(Sync!$M1078="",$Q1078="",$Q1078="نامعتبر"),"",Sync!$M1078)</f>
        <v/>
      </c>
      <c r="O1078">
        <f>IF($N1078="","",$Q1078)</f>
        <v/>
      </c>
      <c r="P1078">
        <f>IF($N1078="","",LEFT($Q1078,4)&amp;MID($Q1078,6,2)&amp;RIGHT($Q1078,2)&amp;IF(Sync!$K1078="","0000",IF(AND(ISNUMBER(Sync!$K1078),Sync!$K1078&gt;=0,Sync!$K1078&lt;1),RIGHT("00"&amp;HOUR(Sync!$K1078),2)&amp;RIGHT("00"&amp;MINUTE(Sync!$K1078),2),IFERROR(RIGHT("00"&amp;VALUE(LEFT(Sync!$K1078,FIND(":",Sync!$K1078)-1)),2)&amp;RIGHT("00"&amp;VALUE(MID(Sync!$K1078,FIND(":",Sync!$K1078)+1,2)),2),"0000")))&amp;"|"&amp;"2"&amp;RIGHT("00000"&amp;1073,5))</f>
        <v/>
      </c>
      <c r="Q1078">
        <f>IF(Sync!$J1078="","",IF(ISNUMBER(Sync!$J1078),IF(AND(Sync!$J1078&gt;=10000101,Sync!$J1078&lt;=99991231),INT(Sync!$J1078/10000)&amp;"/"&amp;RIGHT("00"&amp;INT(MOD(Sync!$J1078,10000)/100),2)&amp;"/"&amp;RIGHT("00"&amp;MOD(Sync!$J1078,100),2),"نامعتبر"),IF(LEN(Sync!$J1078)=10,Sync!$J1078,"نامعتبر")))</f>
        <v/>
      </c>
      <c r="R1078">
        <f>IF($P1078="","",COUNTIFS($N$6:$N$2005,$N1078,$P$6:$P$2005,"&lt;"&amp;$P1078)+COUNTIFS($A$6:$A$1005,$N1078,$B$6:$B$1005,"&lt;"&amp;$P1078)+1)</f>
        <v/>
      </c>
      <c r="S1078">
        <f>IF($N1078="","",$N1078&amp;"|"&amp;RIGHT("000000"&amp;$R1078,6))</f>
        <v/>
      </c>
      <c r="T1078">
        <f>IF($N1078="","",IF(Sync!$N1078="",0,Sync!$N1078))</f>
        <v/>
      </c>
      <c r="U1078">
        <f>IF($N1078="","",IF(Sync!$O1078="",0,Sync!$O1078))</f>
        <v/>
      </c>
      <c r="V1078">
        <f>IF($N1078="","",Sync!$L1078)</f>
        <v/>
      </c>
      <c r="W1078">
        <f>IF($N1078="","",Sync!$P1078)</f>
        <v/>
      </c>
    </row>
    <row r="1079">
      <c r="N1079">
        <f>IF(OR(Sync!$M1079="",$Q1079="",$Q1079="نامعتبر"),"",Sync!$M1079)</f>
        <v/>
      </c>
      <c r="O1079">
        <f>IF($N1079="","",$Q1079)</f>
        <v/>
      </c>
      <c r="P1079">
        <f>IF($N1079="","",LEFT($Q1079,4)&amp;MID($Q1079,6,2)&amp;RIGHT($Q1079,2)&amp;IF(Sync!$K1079="","0000",IF(AND(ISNUMBER(Sync!$K1079),Sync!$K1079&gt;=0,Sync!$K1079&lt;1),RIGHT("00"&amp;HOUR(Sync!$K1079),2)&amp;RIGHT("00"&amp;MINUTE(Sync!$K1079),2),IFERROR(RIGHT("00"&amp;VALUE(LEFT(Sync!$K1079,FIND(":",Sync!$K1079)-1)),2)&amp;RIGHT("00"&amp;VALUE(MID(Sync!$K1079,FIND(":",Sync!$K1079)+1,2)),2),"0000")))&amp;"|"&amp;"2"&amp;RIGHT("00000"&amp;1074,5))</f>
        <v/>
      </c>
      <c r="Q1079">
        <f>IF(Sync!$J1079="","",IF(ISNUMBER(Sync!$J1079),IF(AND(Sync!$J1079&gt;=10000101,Sync!$J1079&lt;=99991231),INT(Sync!$J1079/10000)&amp;"/"&amp;RIGHT("00"&amp;INT(MOD(Sync!$J1079,10000)/100),2)&amp;"/"&amp;RIGHT("00"&amp;MOD(Sync!$J1079,100),2),"نامعتبر"),IF(LEN(Sync!$J1079)=10,Sync!$J1079,"نامعتبر")))</f>
        <v/>
      </c>
      <c r="R1079">
        <f>IF($P1079="","",COUNTIFS($N$6:$N$2005,$N1079,$P$6:$P$2005,"&lt;"&amp;$P1079)+COUNTIFS($A$6:$A$1005,$N1079,$B$6:$B$1005,"&lt;"&amp;$P1079)+1)</f>
        <v/>
      </c>
      <c r="S1079">
        <f>IF($N1079="","",$N1079&amp;"|"&amp;RIGHT("000000"&amp;$R1079,6))</f>
        <v/>
      </c>
      <c r="T1079">
        <f>IF($N1079="","",IF(Sync!$N1079="",0,Sync!$N1079))</f>
        <v/>
      </c>
      <c r="U1079">
        <f>IF($N1079="","",IF(Sync!$O1079="",0,Sync!$O1079))</f>
        <v/>
      </c>
      <c r="V1079">
        <f>IF($N1079="","",Sync!$L1079)</f>
        <v/>
      </c>
      <c r="W1079">
        <f>IF($N1079="","",Sync!$P1079)</f>
        <v/>
      </c>
    </row>
    <row r="1080">
      <c r="N1080">
        <f>IF(OR(Sync!$M1080="",$Q1080="",$Q1080="نامعتبر"),"",Sync!$M1080)</f>
        <v/>
      </c>
      <c r="O1080">
        <f>IF($N1080="","",$Q1080)</f>
        <v/>
      </c>
      <c r="P1080">
        <f>IF($N1080="","",LEFT($Q1080,4)&amp;MID($Q1080,6,2)&amp;RIGHT($Q1080,2)&amp;IF(Sync!$K1080="","0000",IF(AND(ISNUMBER(Sync!$K1080),Sync!$K1080&gt;=0,Sync!$K1080&lt;1),RIGHT("00"&amp;HOUR(Sync!$K1080),2)&amp;RIGHT("00"&amp;MINUTE(Sync!$K1080),2),IFERROR(RIGHT("00"&amp;VALUE(LEFT(Sync!$K1080,FIND(":",Sync!$K1080)-1)),2)&amp;RIGHT("00"&amp;VALUE(MID(Sync!$K1080,FIND(":",Sync!$K1080)+1,2)),2),"0000")))&amp;"|"&amp;"2"&amp;RIGHT("00000"&amp;1075,5))</f>
        <v/>
      </c>
      <c r="Q1080">
        <f>IF(Sync!$J1080="","",IF(ISNUMBER(Sync!$J1080),IF(AND(Sync!$J1080&gt;=10000101,Sync!$J1080&lt;=99991231),INT(Sync!$J1080/10000)&amp;"/"&amp;RIGHT("00"&amp;INT(MOD(Sync!$J1080,10000)/100),2)&amp;"/"&amp;RIGHT("00"&amp;MOD(Sync!$J1080,100),2),"نامعتبر"),IF(LEN(Sync!$J1080)=10,Sync!$J1080,"نامعتبر")))</f>
        <v/>
      </c>
      <c r="R1080">
        <f>IF($P1080="","",COUNTIFS($N$6:$N$2005,$N1080,$P$6:$P$2005,"&lt;"&amp;$P1080)+COUNTIFS($A$6:$A$1005,$N1080,$B$6:$B$1005,"&lt;"&amp;$P1080)+1)</f>
        <v/>
      </c>
      <c r="S1080">
        <f>IF($N1080="","",$N1080&amp;"|"&amp;RIGHT("000000"&amp;$R1080,6))</f>
        <v/>
      </c>
      <c r="T1080">
        <f>IF($N1080="","",IF(Sync!$N1080="",0,Sync!$N1080))</f>
        <v/>
      </c>
      <c r="U1080">
        <f>IF($N1080="","",IF(Sync!$O1080="",0,Sync!$O1080))</f>
        <v/>
      </c>
      <c r="V1080">
        <f>IF($N1080="","",Sync!$L1080)</f>
        <v/>
      </c>
      <c r="W1080">
        <f>IF($N1080="","",Sync!$P1080)</f>
        <v/>
      </c>
    </row>
    <row r="1081">
      <c r="N1081">
        <f>IF(OR(Sync!$M1081="",$Q1081="",$Q1081="نامعتبر"),"",Sync!$M1081)</f>
        <v/>
      </c>
      <c r="O1081">
        <f>IF($N1081="","",$Q1081)</f>
        <v/>
      </c>
      <c r="P1081">
        <f>IF($N1081="","",LEFT($Q1081,4)&amp;MID($Q1081,6,2)&amp;RIGHT($Q1081,2)&amp;IF(Sync!$K1081="","0000",IF(AND(ISNUMBER(Sync!$K1081),Sync!$K1081&gt;=0,Sync!$K1081&lt;1),RIGHT("00"&amp;HOUR(Sync!$K1081),2)&amp;RIGHT("00"&amp;MINUTE(Sync!$K1081),2),IFERROR(RIGHT("00"&amp;VALUE(LEFT(Sync!$K1081,FIND(":",Sync!$K1081)-1)),2)&amp;RIGHT("00"&amp;VALUE(MID(Sync!$K1081,FIND(":",Sync!$K1081)+1,2)),2),"0000")))&amp;"|"&amp;"2"&amp;RIGHT("00000"&amp;1076,5))</f>
        <v/>
      </c>
      <c r="Q1081">
        <f>IF(Sync!$J1081="","",IF(ISNUMBER(Sync!$J1081),IF(AND(Sync!$J1081&gt;=10000101,Sync!$J1081&lt;=99991231),INT(Sync!$J1081/10000)&amp;"/"&amp;RIGHT("00"&amp;INT(MOD(Sync!$J1081,10000)/100),2)&amp;"/"&amp;RIGHT("00"&amp;MOD(Sync!$J1081,100),2),"نامعتبر"),IF(LEN(Sync!$J1081)=10,Sync!$J1081,"نامعتبر")))</f>
        <v/>
      </c>
      <c r="R1081">
        <f>IF($P1081="","",COUNTIFS($N$6:$N$2005,$N1081,$P$6:$P$2005,"&lt;"&amp;$P1081)+COUNTIFS($A$6:$A$1005,$N1081,$B$6:$B$1005,"&lt;"&amp;$P1081)+1)</f>
        <v/>
      </c>
      <c r="S1081">
        <f>IF($N1081="","",$N1081&amp;"|"&amp;RIGHT("000000"&amp;$R1081,6))</f>
        <v/>
      </c>
      <c r="T1081">
        <f>IF($N1081="","",IF(Sync!$N1081="",0,Sync!$N1081))</f>
        <v/>
      </c>
      <c r="U1081">
        <f>IF($N1081="","",IF(Sync!$O1081="",0,Sync!$O1081))</f>
        <v/>
      </c>
      <c r="V1081">
        <f>IF($N1081="","",Sync!$L1081)</f>
        <v/>
      </c>
      <c r="W1081">
        <f>IF($N1081="","",Sync!$P1081)</f>
        <v/>
      </c>
    </row>
    <row r="1082">
      <c r="N1082">
        <f>IF(OR(Sync!$M1082="",$Q1082="",$Q1082="نامعتبر"),"",Sync!$M1082)</f>
        <v/>
      </c>
      <c r="O1082">
        <f>IF($N1082="","",$Q1082)</f>
        <v/>
      </c>
      <c r="P1082">
        <f>IF($N1082="","",LEFT($Q1082,4)&amp;MID($Q1082,6,2)&amp;RIGHT($Q1082,2)&amp;IF(Sync!$K1082="","0000",IF(AND(ISNUMBER(Sync!$K1082),Sync!$K1082&gt;=0,Sync!$K1082&lt;1),RIGHT("00"&amp;HOUR(Sync!$K1082),2)&amp;RIGHT("00"&amp;MINUTE(Sync!$K1082),2),IFERROR(RIGHT("00"&amp;VALUE(LEFT(Sync!$K1082,FIND(":",Sync!$K1082)-1)),2)&amp;RIGHT("00"&amp;VALUE(MID(Sync!$K1082,FIND(":",Sync!$K1082)+1,2)),2),"0000")))&amp;"|"&amp;"2"&amp;RIGHT("00000"&amp;1077,5))</f>
        <v/>
      </c>
      <c r="Q1082">
        <f>IF(Sync!$J1082="","",IF(ISNUMBER(Sync!$J1082),IF(AND(Sync!$J1082&gt;=10000101,Sync!$J1082&lt;=99991231),INT(Sync!$J1082/10000)&amp;"/"&amp;RIGHT("00"&amp;INT(MOD(Sync!$J1082,10000)/100),2)&amp;"/"&amp;RIGHT("00"&amp;MOD(Sync!$J1082,100),2),"نامعتبر"),IF(LEN(Sync!$J1082)=10,Sync!$J1082,"نامعتبر")))</f>
        <v/>
      </c>
      <c r="R1082">
        <f>IF($P1082="","",COUNTIFS($N$6:$N$2005,$N1082,$P$6:$P$2005,"&lt;"&amp;$P1082)+COUNTIFS($A$6:$A$1005,$N1082,$B$6:$B$1005,"&lt;"&amp;$P1082)+1)</f>
        <v/>
      </c>
      <c r="S1082">
        <f>IF($N1082="","",$N1082&amp;"|"&amp;RIGHT("000000"&amp;$R1082,6))</f>
        <v/>
      </c>
      <c r="T1082">
        <f>IF($N1082="","",IF(Sync!$N1082="",0,Sync!$N1082))</f>
        <v/>
      </c>
      <c r="U1082">
        <f>IF($N1082="","",IF(Sync!$O1082="",0,Sync!$O1082))</f>
        <v/>
      </c>
      <c r="V1082">
        <f>IF($N1082="","",Sync!$L1082)</f>
        <v/>
      </c>
      <c r="W1082">
        <f>IF($N1082="","",Sync!$P1082)</f>
        <v/>
      </c>
    </row>
    <row r="1083">
      <c r="N1083">
        <f>IF(OR(Sync!$M1083="",$Q1083="",$Q1083="نامعتبر"),"",Sync!$M1083)</f>
        <v/>
      </c>
      <c r="O1083">
        <f>IF($N1083="","",$Q1083)</f>
        <v/>
      </c>
      <c r="P1083">
        <f>IF($N1083="","",LEFT($Q1083,4)&amp;MID($Q1083,6,2)&amp;RIGHT($Q1083,2)&amp;IF(Sync!$K1083="","0000",IF(AND(ISNUMBER(Sync!$K1083),Sync!$K1083&gt;=0,Sync!$K1083&lt;1),RIGHT("00"&amp;HOUR(Sync!$K1083),2)&amp;RIGHT("00"&amp;MINUTE(Sync!$K1083),2),IFERROR(RIGHT("00"&amp;VALUE(LEFT(Sync!$K1083,FIND(":",Sync!$K1083)-1)),2)&amp;RIGHT("00"&amp;VALUE(MID(Sync!$K1083,FIND(":",Sync!$K1083)+1,2)),2),"0000")))&amp;"|"&amp;"2"&amp;RIGHT("00000"&amp;1078,5))</f>
        <v/>
      </c>
      <c r="Q1083">
        <f>IF(Sync!$J1083="","",IF(ISNUMBER(Sync!$J1083),IF(AND(Sync!$J1083&gt;=10000101,Sync!$J1083&lt;=99991231),INT(Sync!$J1083/10000)&amp;"/"&amp;RIGHT("00"&amp;INT(MOD(Sync!$J1083,10000)/100),2)&amp;"/"&amp;RIGHT("00"&amp;MOD(Sync!$J1083,100),2),"نامعتبر"),IF(LEN(Sync!$J1083)=10,Sync!$J1083,"نامعتبر")))</f>
        <v/>
      </c>
      <c r="R1083">
        <f>IF($P1083="","",COUNTIFS($N$6:$N$2005,$N1083,$P$6:$P$2005,"&lt;"&amp;$P1083)+COUNTIFS($A$6:$A$1005,$N1083,$B$6:$B$1005,"&lt;"&amp;$P1083)+1)</f>
        <v/>
      </c>
      <c r="S1083">
        <f>IF($N1083="","",$N1083&amp;"|"&amp;RIGHT("000000"&amp;$R1083,6))</f>
        <v/>
      </c>
      <c r="T1083">
        <f>IF($N1083="","",IF(Sync!$N1083="",0,Sync!$N1083))</f>
        <v/>
      </c>
      <c r="U1083">
        <f>IF($N1083="","",IF(Sync!$O1083="",0,Sync!$O1083))</f>
        <v/>
      </c>
      <c r="V1083">
        <f>IF($N1083="","",Sync!$L1083)</f>
        <v/>
      </c>
      <c r="W1083">
        <f>IF($N1083="","",Sync!$P1083)</f>
        <v/>
      </c>
    </row>
    <row r="1084">
      <c r="N1084">
        <f>IF(OR(Sync!$M1084="",$Q1084="",$Q1084="نامعتبر"),"",Sync!$M1084)</f>
        <v/>
      </c>
      <c r="O1084">
        <f>IF($N1084="","",$Q1084)</f>
        <v/>
      </c>
      <c r="P1084">
        <f>IF($N1084="","",LEFT($Q1084,4)&amp;MID($Q1084,6,2)&amp;RIGHT($Q1084,2)&amp;IF(Sync!$K1084="","0000",IF(AND(ISNUMBER(Sync!$K1084),Sync!$K1084&gt;=0,Sync!$K1084&lt;1),RIGHT("00"&amp;HOUR(Sync!$K1084),2)&amp;RIGHT("00"&amp;MINUTE(Sync!$K1084),2),IFERROR(RIGHT("00"&amp;VALUE(LEFT(Sync!$K1084,FIND(":",Sync!$K1084)-1)),2)&amp;RIGHT("00"&amp;VALUE(MID(Sync!$K1084,FIND(":",Sync!$K1084)+1,2)),2),"0000")))&amp;"|"&amp;"2"&amp;RIGHT("00000"&amp;1079,5))</f>
        <v/>
      </c>
      <c r="Q1084">
        <f>IF(Sync!$J1084="","",IF(ISNUMBER(Sync!$J1084),IF(AND(Sync!$J1084&gt;=10000101,Sync!$J1084&lt;=99991231),INT(Sync!$J1084/10000)&amp;"/"&amp;RIGHT("00"&amp;INT(MOD(Sync!$J1084,10000)/100),2)&amp;"/"&amp;RIGHT("00"&amp;MOD(Sync!$J1084,100),2),"نامعتبر"),IF(LEN(Sync!$J1084)=10,Sync!$J1084,"نامعتبر")))</f>
        <v/>
      </c>
      <c r="R1084">
        <f>IF($P1084="","",COUNTIFS($N$6:$N$2005,$N1084,$P$6:$P$2005,"&lt;"&amp;$P1084)+COUNTIFS($A$6:$A$1005,$N1084,$B$6:$B$1005,"&lt;"&amp;$P1084)+1)</f>
        <v/>
      </c>
      <c r="S1084">
        <f>IF($N1084="","",$N1084&amp;"|"&amp;RIGHT("000000"&amp;$R1084,6))</f>
        <v/>
      </c>
      <c r="T1084">
        <f>IF($N1084="","",IF(Sync!$N1084="",0,Sync!$N1084))</f>
        <v/>
      </c>
      <c r="U1084">
        <f>IF($N1084="","",IF(Sync!$O1084="",0,Sync!$O1084))</f>
        <v/>
      </c>
      <c r="V1084">
        <f>IF($N1084="","",Sync!$L1084)</f>
        <v/>
      </c>
      <c r="W1084">
        <f>IF($N1084="","",Sync!$P1084)</f>
        <v/>
      </c>
    </row>
    <row r="1085">
      <c r="N1085">
        <f>IF(OR(Sync!$M1085="",$Q1085="",$Q1085="نامعتبر"),"",Sync!$M1085)</f>
        <v/>
      </c>
      <c r="O1085">
        <f>IF($N1085="","",$Q1085)</f>
        <v/>
      </c>
      <c r="P1085">
        <f>IF($N1085="","",LEFT($Q1085,4)&amp;MID($Q1085,6,2)&amp;RIGHT($Q1085,2)&amp;IF(Sync!$K1085="","0000",IF(AND(ISNUMBER(Sync!$K1085),Sync!$K1085&gt;=0,Sync!$K1085&lt;1),RIGHT("00"&amp;HOUR(Sync!$K1085),2)&amp;RIGHT("00"&amp;MINUTE(Sync!$K1085),2),IFERROR(RIGHT("00"&amp;VALUE(LEFT(Sync!$K1085,FIND(":",Sync!$K1085)-1)),2)&amp;RIGHT("00"&amp;VALUE(MID(Sync!$K1085,FIND(":",Sync!$K1085)+1,2)),2),"0000")))&amp;"|"&amp;"2"&amp;RIGHT("00000"&amp;1080,5))</f>
        <v/>
      </c>
      <c r="Q1085">
        <f>IF(Sync!$J1085="","",IF(ISNUMBER(Sync!$J1085),IF(AND(Sync!$J1085&gt;=10000101,Sync!$J1085&lt;=99991231),INT(Sync!$J1085/10000)&amp;"/"&amp;RIGHT("00"&amp;INT(MOD(Sync!$J1085,10000)/100),2)&amp;"/"&amp;RIGHT("00"&amp;MOD(Sync!$J1085,100),2),"نامعتبر"),IF(LEN(Sync!$J1085)=10,Sync!$J1085,"نامعتبر")))</f>
        <v/>
      </c>
      <c r="R1085">
        <f>IF($P1085="","",COUNTIFS($N$6:$N$2005,$N1085,$P$6:$P$2005,"&lt;"&amp;$P1085)+COUNTIFS($A$6:$A$1005,$N1085,$B$6:$B$1005,"&lt;"&amp;$P1085)+1)</f>
        <v/>
      </c>
      <c r="S1085">
        <f>IF($N1085="","",$N1085&amp;"|"&amp;RIGHT("000000"&amp;$R1085,6))</f>
        <v/>
      </c>
      <c r="T1085">
        <f>IF($N1085="","",IF(Sync!$N1085="",0,Sync!$N1085))</f>
        <v/>
      </c>
      <c r="U1085">
        <f>IF($N1085="","",IF(Sync!$O1085="",0,Sync!$O1085))</f>
        <v/>
      </c>
      <c r="V1085">
        <f>IF($N1085="","",Sync!$L1085)</f>
        <v/>
      </c>
      <c r="W1085">
        <f>IF($N1085="","",Sync!$P1085)</f>
        <v/>
      </c>
    </row>
    <row r="1086">
      <c r="N1086">
        <f>IF(OR(Sync!$M1086="",$Q1086="",$Q1086="نامعتبر"),"",Sync!$M1086)</f>
        <v/>
      </c>
      <c r="O1086">
        <f>IF($N1086="","",$Q1086)</f>
        <v/>
      </c>
      <c r="P1086">
        <f>IF($N1086="","",LEFT($Q1086,4)&amp;MID($Q1086,6,2)&amp;RIGHT($Q1086,2)&amp;IF(Sync!$K1086="","0000",IF(AND(ISNUMBER(Sync!$K1086),Sync!$K1086&gt;=0,Sync!$K1086&lt;1),RIGHT("00"&amp;HOUR(Sync!$K1086),2)&amp;RIGHT("00"&amp;MINUTE(Sync!$K1086),2),IFERROR(RIGHT("00"&amp;VALUE(LEFT(Sync!$K1086,FIND(":",Sync!$K1086)-1)),2)&amp;RIGHT("00"&amp;VALUE(MID(Sync!$K1086,FIND(":",Sync!$K1086)+1,2)),2),"0000")))&amp;"|"&amp;"2"&amp;RIGHT("00000"&amp;1081,5))</f>
        <v/>
      </c>
      <c r="Q1086">
        <f>IF(Sync!$J1086="","",IF(ISNUMBER(Sync!$J1086),IF(AND(Sync!$J1086&gt;=10000101,Sync!$J1086&lt;=99991231),INT(Sync!$J1086/10000)&amp;"/"&amp;RIGHT("00"&amp;INT(MOD(Sync!$J1086,10000)/100),2)&amp;"/"&amp;RIGHT("00"&amp;MOD(Sync!$J1086,100),2),"نامعتبر"),IF(LEN(Sync!$J1086)=10,Sync!$J1086,"نامعتبر")))</f>
        <v/>
      </c>
      <c r="R1086">
        <f>IF($P1086="","",COUNTIFS($N$6:$N$2005,$N1086,$P$6:$P$2005,"&lt;"&amp;$P1086)+COUNTIFS($A$6:$A$1005,$N1086,$B$6:$B$1005,"&lt;"&amp;$P1086)+1)</f>
        <v/>
      </c>
      <c r="S1086">
        <f>IF($N1086="","",$N1086&amp;"|"&amp;RIGHT("000000"&amp;$R1086,6))</f>
        <v/>
      </c>
      <c r="T1086">
        <f>IF($N1086="","",IF(Sync!$N1086="",0,Sync!$N1086))</f>
        <v/>
      </c>
      <c r="U1086">
        <f>IF($N1086="","",IF(Sync!$O1086="",0,Sync!$O1086))</f>
        <v/>
      </c>
      <c r="V1086">
        <f>IF($N1086="","",Sync!$L1086)</f>
        <v/>
      </c>
      <c r="W1086">
        <f>IF($N1086="","",Sync!$P1086)</f>
        <v/>
      </c>
    </row>
    <row r="1087">
      <c r="N1087">
        <f>IF(OR(Sync!$M1087="",$Q1087="",$Q1087="نامعتبر"),"",Sync!$M1087)</f>
        <v/>
      </c>
      <c r="O1087">
        <f>IF($N1087="","",$Q1087)</f>
        <v/>
      </c>
      <c r="P1087">
        <f>IF($N1087="","",LEFT($Q1087,4)&amp;MID($Q1087,6,2)&amp;RIGHT($Q1087,2)&amp;IF(Sync!$K1087="","0000",IF(AND(ISNUMBER(Sync!$K1087),Sync!$K1087&gt;=0,Sync!$K1087&lt;1),RIGHT("00"&amp;HOUR(Sync!$K1087),2)&amp;RIGHT("00"&amp;MINUTE(Sync!$K1087),2),IFERROR(RIGHT("00"&amp;VALUE(LEFT(Sync!$K1087,FIND(":",Sync!$K1087)-1)),2)&amp;RIGHT("00"&amp;VALUE(MID(Sync!$K1087,FIND(":",Sync!$K1087)+1,2)),2),"0000")))&amp;"|"&amp;"2"&amp;RIGHT("00000"&amp;1082,5))</f>
        <v/>
      </c>
      <c r="Q1087">
        <f>IF(Sync!$J1087="","",IF(ISNUMBER(Sync!$J1087),IF(AND(Sync!$J1087&gt;=10000101,Sync!$J1087&lt;=99991231),INT(Sync!$J1087/10000)&amp;"/"&amp;RIGHT("00"&amp;INT(MOD(Sync!$J1087,10000)/100),2)&amp;"/"&amp;RIGHT("00"&amp;MOD(Sync!$J1087,100),2),"نامعتبر"),IF(LEN(Sync!$J1087)=10,Sync!$J1087,"نامعتبر")))</f>
        <v/>
      </c>
      <c r="R1087">
        <f>IF($P1087="","",COUNTIFS($N$6:$N$2005,$N1087,$P$6:$P$2005,"&lt;"&amp;$P1087)+COUNTIFS($A$6:$A$1005,$N1087,$B$6:$B$1005,"&lt;"&amp;$P1087)+1)</f>
        <v/>
      </c>
      <c r="S1087">
        <f>IF($N1087="","",$N1087&amp;"|"&amp;RIGHT("000000"&amp;$R1087,6))</f>
        <v/>
      </c>
      <c r="T1087">
        <f>IF($N1087="","",IF(Sync!$N1087="",0,Sync!$N1087))</f>
        <v/>
      </c>
      <c r="U1087">
        <f>IF($N1087="","",IF(Sync!$O1087="",0,Sync!$O1087))</f>
        <v/>
      </c>
      <c r="V1087">
        <f>IF($N1087="","",Sync!$L1087)</f>
        <v/>
      </c>
      <c r="W1087">
        <f>IF($N1087="","",Sync!$P1087)</f>
        <v/>
      </c>
    </row>
    <row r="1088">
      <c r="N1088">
        <f>IF(OR(Sync!$M1088="",$Q1088="",$Q1088="نامعتبر"),"",Sync!$M1088)</f>
        <v/>
      </c>
      <c r="O1088">
        <f>IF($N1088="","",$Q1088)</f>
        <v/>
      </c>
      <c r="P1088">
        <f>IF($N1088="","",LEFT($Q1088,4)&amp;MID($Q1088,6,2)&amp;RIGHT($Q1088,2)&amp;IF(Sync!$K1088="","0000",IF(AND(ISNUMBER(Sync!$K1088),Sync!$K1088&gt;=0,Sync!$K1088&lt;1),RIGHT("00"&amp;HOUR(Sync!$K1088),2)&amp;RIGHT("00"&amp;MINUTE(Sync!$K1088),2),IFERROR(RIGHT("00"&amp;VALUE(LEFT(Sync!$K1088,FIND(":",Sync!$K1088)-1)),2)&amp;RIGHT("00"&amp;VALUE(MID(Sync!$K1088,FIND(":",Sync!$K1088)+1,2)),2),"0000")))&amp;"|"&amp;"2"&amp;RIGHT("00000"&amp;1083,5))</f>
        <v/>
      </c>
      <c r="Q1088">
        <f>IF(Sync!$J1088="","",IF(ISNUMBER(Sync!$J1088),IF(AND(Sync!$J1088&gt;=10000101,Sync!$J1088&lt;=99991231),INT(Sync!$J1088/10000)&amp;"/"&amp;RIGHT("00"&amp;INT(MOD(Sync!$J1088,10000)/100),2)&amp;"/"&amp;RIGHT("00"&amp;MOD(Sync!$J1088,100),2),"نامعتبر"),IF(LEN(Sync!$J1088)=10,Sync!$J1088,"نامعتبر")))</f>
        <v/>
      </c>
      <c r="R1088">
        <f>IF($P1088="","",COUNTIFS($N$6:$N$2005,$N1088,$P$6:$P$2005,"&lt;"&amp;$P1088)+COUNTIFS($A$6:$A$1005,$N1088,$B$6:$B$1005,"&lt;"&amp;$P1088)+1)</f>
        <v/>
      </c>
      <c r="S1088">
        <f>IF($N1088="","",$N1088&amp;"|"&amp;RIGHT("000000"&amp;$R1088,6))</f>
        <v/>
      </c>
      <c r="T1088">
        <f>IF($N1088="","",IF(Sync!$N1088="",0,Sync!$N1088))</f>
        <v/>
      </c>
      <c r="U1088">
        <f>IF($N1088="","",IF(Sync!$O1088="",0,Sync!$O1088))</f>
        <v/>
      </c>
      <c r="V1088">
        <f>IF($N1088="","",Sync!$L1088)</f>
        <v/>
      </c>
      <c r="W1088">
        <f>IF($N1088="","",Sync!$P1088)</f>
        <v/>
      </c>
    </row>
    <row r="1089">
      <c r="N1089">
        <f>IF(OR(Sync!$M1089="",$Q1089="",$Q1089="نامعتبر"),"",Sync!$M1089)</f>
        <v/>
      </c>
      <c r="O1089">
        <f>IF($N1089="","",$Q1089)</f>
        <v/>
      </c>
      <c r="P1089">
        <f>IF($N1089="","",LEFT($Q1089,4)&amp;MID($Q1089,6,2)&amp;RIGHT($Q1089,2)&amp;IF(Sync!$K1089="","0000",IF(AND(ISNUMBER(Sync!$K1089),Sync!$K1089&gt;=0,Sync!$K1089&lt;1),RIGHT("00"&amp;HOUR(Sync!$K1089),2)&amp;RIGHT("00"&amp;MINUTE(Sync!$K1089),2),IFERROR(RIGHT("00"&amp;VALUE(LEFT(Sync!$K1089,FIND(":",Sync!$K1089)-1)),2)&amp;RIGHT("00"&amp;VALUE(MID(Sync!$K1089,FIND(":",Sync!$K1089)+1,2)),2),"0000")))&amp;"|"&amp;"2"&amp;RIGHT("00000"&amp;1084,5))</f>
        <v/>
      </c>
      <c r="Q1089">
        <f>IF(Sync!$J1089="","",IF(ISNUMBER(Sync!$J1089),IF(AND(Sync!$J1089&gt;=10000101,Sync!$J1089&lt;=99991231),INT(Sync!$J1089/10000)&amp;"/"&amp;RIGHT("00"&amp;INT(MOD(Sync!$J1089,10000)/100),2)&amp;"/"&amp;RIGHT("00"&amp;MOD(Sync!$J1089,100),2),"نامعتبر"),IF(LEN(Sync!$J1089)=10,Sync!$J1089,"نامعتبر")))</f>
        <v/>
      </c>
      <c r="R1089">
        <f>IF($P1089="","",COUNTIFS($N$6:$N$2005,$N1089,$P$6:$P$2005,"&lt;"&amp;$P1089)+COUNTIFS($A$6:$A$1005,$N1089,$B$6:$B$1005,"&lt;"&amp;$P1089)+1)</f>
        <v/>
      </c>
      <c r="S1089">
        <f>IF($N1089="","",$N1089&amp;"|"&amp;RIGHT("000000"&amp;$R1089,6))</f>
        <v/>
      </c>
      <c r="T1089">
        <f>IF($N1089="","",IF(Sync!$N1089="",0,Sync!$N1089))</f>
        <v/>
      </c>
      <c r="U1089">
        <f>IF($N1089="","",IF(Sync!$O1089="",0,Sync!$O1089))</f>
        <v/>
      </c>
      <c r="V1089">
        <f>IF($N1089="","",Sync!$L1089)</f>
        <v/>
      </c>
      <c r="W1089">
        <f>IF($N1089="","",Sync!$P1089)</f>
        <v/>
      </c>
    </row>
    <row r="1090">
      <c r="N1090">
        <f>IF(OR(Sync!$M1090="",$Q1090="",$Q1090="نامعتبر"),"",Sync!$M1090)</f>
        <v/>
      </c>
      <c r="O1090">
        <f>IF($N1090="","",$Q1090)</f>
        <v/>
      </c>
      <c r="P1090">
        <f>IF($N1090="","",LEFT($Q1090,4)&amp;MID($Q1090,6,2)&amp;RIGHT($Q1090,2)&amp;IF(Sync!$K1090="","0000",IF(AND(ISNUMBER(Sync!$K1090),Sync!$K1090&gt;=0,Sync!$K1090&lt;1),RIGHT("00"&amp;HOUR(Sync!$K1090),2)&amp;RIGHT("00"&amp;MINUTE(Sync!$K1090),2),IFERROR(RIGHT("00"&amp;VALUE(LEFT(Sync!$K1090,FIND(":",Sync!$K1090)-1)),2)&amp;RIGHT("00"&amp;VALUE(MID(Sync!$K1090,FIND(":",Sync!$K1090)+1,2)),2),"0000")))&amp;"|"&amp;"2"&amp;RIGHT("00000"&amp;1085,5))</f>
        <v/>
      </c>
      <c r="Q1090">
        <f>IF(Sync!$J1090="","",IF(ISNUMBER(Sync!$J1090),IF(AND(Sync!$J1090&gt;=10000101,Sync!$J1090&lt;=99991231),INT(Sync!$J1090/10000)&amp;"/"&amp;RIGHT("00"&amp;INT(MOD(Sync!$J1090,10000)/100),2)&amp;"/"&amp;RIGHT("00"&amp;MOD(Sync!$J1090,100),2),"نامعتبر"),IF(LEN(Sync!$J1090)=10,Sync!$J1090,"نامعتبر")))</f>
        <v/>
      </c>
      <c r="R1090">
        <f>IF($P1090="","",COUNTIFS($N$6:$N$2005,$N1090,$P$6:$P$2005,"&lt;"&amp;$P1090)+COUNTIFS($A$6:$A$1005,$N1090,$B$6:$B$1005,"&lt;"&amp;$P1090)+1)</f>
        <v/>
      </c>
      <c r="S1090">
        <f>IF($N1090="","",$N1090&amp;"|"&amp;RIGHT("000000"&amp;$R1090,6))</f>
        <v/>
      </c>
      <c r="T1090">
        <f>IF($N1090="","",IF(Sync!$N1090="",0,Sync!$N1090))</f>
        <v/>
      </c>
      <c r="U1090">
        <f>IF($N1090="","",IF(Sync!$O1090="",0,Sync!$O1090))</f>
        <v/>
      </c>
      <c r="V1090">
        <f>IF($N1090="","",Sync!$L1090)</f>
        <v/>
      </c>
      <c r="W1090">
        <f>IF($N1090="","",Sync!$P1090)</f>
        <v/>
      </c>
    </row>
    <row r="1091">
      <c r="N1091">
        <f>IF(OR(Sync!$M1091="",$Q1091="",$Q1091="نامعتبر"),"",Sync!$M1091)</f>
        <v/>
      </c>
      <c r="O1091">
        <f>IF($N1091="","",$Q1091)</f>
        <v/>
      </c>
      <c r="P1091">
        <f>IF($N1091="","",LEFT($Q1091,4)&amp;MID($Q1091,6,2)&amp;RIGHT($Q1091,2)&amp;IF(Sync!$K1091="","0000",IF(AND(ISNUMBER(Sync!$K1091),Sync!$K1091&gt;=0,Sync!$K1091&lt;1),RIGHT("00"&amp;HOUR(Sync!$K1091),2)&amp;RIGHT("00"&amp;MINUTE(Sync!$K1091),2),IFERROR(RIGHT("00"&amp;VALUE(LEFT(Sync!$K1091,FIND(":",Sync!$K1091)-1)),2)&amp;RIGHT("00"&amp;VALUE(MID(Sync!$K1091,FIND(":",Sync!$K1091)+1,2)),2),"0000")))&amp;"|"&amp;"2"&amp;RIGHT("00000"&amp;1086,5))</f>
        <v/>
      </c>
      <c r="Q1091">
        <f>IF(Sync!$J1091="","",IF(ISNUMBER(Sync!$J1091),IF(AND(Sync!$J1091&gt;=10000101,Sync!$J1091&lt;=99991231),INT(Sync!$J1091/10000)&amp;"/"&amp;RIGHT("00"&amp;INT(MOD(Sync!$J1091,10000)/100),2)&amp;"/"&amp;RIGHT("00"&amp;MOD(Sync!$J1091,100),2),"نامعتبر"),IF(LEN(Sync!$J1091)=10,Sync!$J1091,"نامعتبر")))</f>
        <v/>
      </c>
      <c r="R1091">
        <f>IF($P1091="","",COUNTIFS($N$6:$N$2005,$N1091,$P$6:$P$2005,"&lt;"&amp;$P1091)+COUNTIFS($A$6:$A$1005,$N1091,$B$6:$B$1005,"&lt;"&amp;$P1091)+1)</f>
        <v/>
      </c>
      <c r="S1091">
        <f>IF($N1091="","",$N1091&amp;"|"&amp;RIGHT("000000"&amp;$R1091,6))</f>
        <v/>
      </c>
      <c r="T1091">
        <f>IF($N1091="","",IF(Sync!$N1091="",0,Sync!$N1091))</f>
        <v/>
      </c>
      <c r="U1091">
        <f>IF($N1091="","",IF(Sync!$O1091="",0,Sync!$O1091))</f>
        <v/>
      </c>
      <c r="V1091">
        <f>IF($N1091="","",Sync!$L1091)</f>
        <v/>
      </c>
      <c r="W1091">
        <f>IF($N1091="","",Sync!$P1091)</f>
        <v/>
      </c>
    </row>
    <row r="1092">
      <c r="N1092">
        <f>IF(OR(Sync!$M1092="",$Q1092="",$Q1092="نامعتبر"),"",Sync!$M1092)</f>
        <v/>
      </c>
      <c r="O1092">
        <f>IF($N1092="","",$Q1092)</f>
        <v/>
      </c>
      <c r="P1092">
        <f>IF($N1092="","",LEFT($Q1092,4)&amp;MID($Q1092,6,2)&amp;RIGHT($Q1092,2)&amp;IF(Sync!$K1092="","0000",IF(AND(ISNUMBER(Sync!$K1092),Sync!$K1092&gt;=0,Sync!$K1092&lt;1),RIGHT("00"&amp;HOUR(Sync!$K1092),2)&amp;RIGHT("00"&amp;MINUTE(Sync!$K1092),2),IFERROR(RIGHT("00"&amp;VALUE(LEFT(Sync!$K1092,FIND(":",Sync!$K1092)-1)),2)&amp;RIGHT("00"&amp;VALUE(MID(Sync!$K1092,FIND(":",Sync!$K1092)+1,2)),2),"0000")))&amp;"|"&amp;"2"&amp;RIGHT("00000"&amp;1087,5))</f>
        <v/>
      </c>
      <c r="Q1092">
        <f>IF(Sync!$J1092="","",IF(ISNUMBER(Sync!$J1092),IF(AND(Sync!$J1092&gt;=10000101,Sync!$J1092&lt;=99991231),INT(Sync!$J1092/10000)&amp;"/"&amp;RIGHT("00"&amp;INT(MOD(Sync!$J1092,10000)/100),2)&amp;"/"&amp;RIGHT("00"&amp;MOD(Sync!$J1092,100),2),"نامعتبر"),IF(LEN(Sync!$J1092)=10,Sync!$J1092,"نامعتبر")))</f>
        <v/>
      </c>
      <c r="R1092">
        <f>IF($P1092="","",COUNTIFS($N$6:$N$2005,$N1092,$P$6:$P$2005,"&lt;"&amp;$P1092)+COUNTIFS($A$6:$A$1005,$N1092,$B$6:$B$1005,"&lt;"&amp;$P1092)+1)</f>
        <v/>
      </c>
      <c r="S1092">
        <f>IF($N1092="","",$N1092&amp;"|"&amp;RIGHT("000000"&amp;$R1092,6))</f>
        <v/>
      </c>
      <c r="T1092">
        <f>IF($N1092="","",IF(Sync!$N1092="",0,Sync!$N1092))</f>
        <v/>
      </c>
      <c r="U1092">
        <f>IF($N1092="","",IF(Sync!$O1092="",0,Sync!$O1092))</f>
        <v/>
      </c>
      <c r="V1092">
        <f>IF($N1092="","",Sync!$L1092)</f>
        <v/>
      </c>
      <c r="W1092">
        <f>IF($N1092="","",Sync!$P1092)</f>
        <v/>
      </c>
    </row>
    <row r="1093">
      <c r="N1093">
        <f>IF(OR(Sync!$M1093="",$Q1093="",$Q1093="نامعتبر"),"",Sync!$M1093)</f>
        <v/>
      </c>
      <c r="O1093">
        <f>IF($N1093="","",$Q1093)</f>
        <v/>
      </c>
      <c r="P1093">
        <f>IF($N1093="","",LEFT($Q1093,4)&amp;MID($Q1093,6,2)&amp;RIGHT($Q1093,2)&amp;IF(Sync!$K1093="","0000",IF(AND(ISNUMBER(Sync!$K1093),Sync!$K1093&gt;=0,Sync!$K1093&lt;1),RIGHT("00"&amp;HOUR(Sync!$K1093),2)&amp;RIGHT("00"&amp;MINUTE(Sync!$K1093),2),IFERROR(RIGHT("00"&amp;VALUE(LEFT(Sync!$K1093,FIND(":",Sync!$K1093)-1)),2)&amp;RIGHT("00"&amp;VALUE(MID(Sync!$K1093,FIND(":",Sync!$K1093)+1,2)),2),"0000")))&amp;"|"&amp;"2"&amp;RIGHT("00000"&amp;1088,5))</f>
        <v/>
      </c>
      <c r="Q1093">
        <f>IF(Sync!$J1093="","",IF(ISNUMBER(Sync!$J1093),IF(AND(Sync!$J1093&gt;=10000101,Sync!$J1093&lt;=99991231),INT(Sync!$J1093/10000)&amp;"/"&amp;RIGHT("00"&amp;INT(MOD(Sync!$J1093,10000)/100),2)&amp;"/"&amp;RIGHT("00"&amp;MOD(Sync!$J1093,100),2),"نامعتبر"),IF(LEN(Sync!$J1093)=10,Sync!$J1093,"نامعتبر")))</f>
        <v/>
      </c>
      <c r="R1093">
        <f>IF($P1093="","",COUNTIFS($N$6:$N$2005,$N1093,$P$6:$P$2005,"&lt;"&amp;$P1093)+COUNTIFS($A$6:$A$1005,$N1093,$B$6:$B$1005,"&lt;"&amp;$P1093)+1)</f>
        <v/>
      </c>
      <c r="S1093">
        <f>IF($N1093="","",$N1093&amp;"|"&amp;RIGHT("000000"&amp;$R1093,6))</f>
        <v/>
      </c>
      <c r="T1093">
        <f>IF($N1093="","",IF(Sync!$N1093="",0,Sync!$N1093))</f>
        <v/>
      </c>
      <c r="U1093">
        <f>IF($N1093="","",IF(Sync!$O1093="",0,Sync!$O1093))</f>
        <v/>
      </c>
      <c r="V1093">
        <f>IF($N1093="","",Sync!$L1093)</f>
        <v/>
      </c>
      <c r="W1093">
        <f>IF($N1093="","",Sync!$P1093)</f>
        <v/>
      </c>
    </row>
    <row r="1094">
      <c r="N1094">
        <f>IF(OR(Sync!$M1094="",$Q1094="",$Q1094="نامعتبر"),"",Sync!$M1094)</f>
        <v/>
      </c>
      <c r="O1094">
        <f>IF($N1094="","",$Q1094)</f>
        <v/>
      </c>
      <c r="P1094">
        <f>IF($N1094="","",LEFT($Q1094,4)&amp;MID($Q1094,6,2)&amp;RIGHT($Q1094,2)&amp;IF(Sync!$K1094="","0000",IF(AND(ISNUMBER(Sync!$K1094),Sync!$K1094&gt;=0,Sync!$K1094&lt;1),RIGHT("00"&amp;HOUR(Sync!$K1094),2)&amp;RIGHT("00"&amp;MINUTE(Sync!$K1094),2),IFERROR(RIGHT("00"&amp;VALUE(LEFT(Sync!$K1094,FIND(":",Sync!$K1094)-1)),2)&amp;RIGHT("00"&amp;VALUE(MID(Sync!$K1094,FIND(":",Sync!$K1094)+1,2)),2),"0000")))&amp;"|"&amp;"2"&amp;RIGHT("00000"&amp;1089,5))</f>
        <v/>
      </c>
      <c r="Q1094">
        <f>IF(Sync!$J1094="","",IF(ISNUMBER(Sync!$J1094),IF(AND(Sync!$J1094&gt;=10000101,Sync!$J1094&lt;=99991231),INT(Sync!$J1094/10000)&amp;"/"&amp;RIGHT("00"&amp;INT(MOD(Sync!$J1094,10000)/100),2)&amp;"/"&amp;RIGHT("00"&amp;MOD(Sync!$J1094,100),2),"نامعتبر"),IF(LEN(Sync!$J1094)=10,Sync!$J1094,"نامعتبر")))</f>
        <v/>
      </c>
      <c r="R1094">
        <f>IF($P1094="","",COUNTIFS($N$6:$N$2005,$N1094,$P$6:$P$2005,"&lt;"&amp;$P1094)+COUNTIFS($A$6:$A$1005,$N1094,$B$6:$B$1005,"&lt;"&amp;$P1094)+1)</f>
        <v/>
      </c>
      <c r="S1094">
        <f>IF($N1094="","",$N1094&amp;"|"&amp;RIGHT("000000"&amp;$R1094,6))</f>
        <v/>
      </c>
      <c r="T1094">
        <f>IF($N1094="","",IF(Sync!$N1094="",0,Sync!$N1094))</f>
        <v/>
      </c>
      <c r="U1094">
        <f>IF($N1094="","",IF(Sync!$O1094="",0,Sync!$O1094))</f>
        <v/>
      </c>
      <c r="V1094">
        <f>IF($N1094="","",Sync!$L1094)</f>
        <v/>
      </c>
      <c r="W1094">
        <f>IF($N1094="","",Sync!$P1094)</f>
        <v/>
      </c>
    </row>
    <row r="1095">
      <c r="N1095">
        <f>IF(OR(Sync!$M1095="",$Q1095="",$Q1095="نامعتبر"),"",Sync!$M1095)</f>
        <v/>
      </c>
      <c r="O1095">
        <f>IF($N1095="","",$Q1095)</f>
        <v/>
      </c>
      <c r="P1095">
        <f>IF($N1095="","",LEFT($Q1095,4)&amp;MID($Q1095,6,2)&amp;RIGHT($Q1095,2)&amp;IF(Sync!$K1095="","0000",IF(AND(ISNUMBER(Sync!$K1095),Sync!$K1095&gt;=0,Sync!$K1095&lt;1),RIGHT("00"&amp;HOUR(Sync!$K1095),2)&amp;RIGHT("00"&amp;MINUTE(Sync!$K1095),2),IFERROR(RIGHT("00"&amp;VALUE(LEFT(Sync!$K1095,FIND(":",Sync!$K1095)-1)),2)&amp;RIGHT("00"&amp;VALUE(MID(Sync!$K1095,FIND(":",Sync!$K1095)+1,2)),2),"0000")))&amp;"|"&amp;"2"&amp;RIGHT("00000"&amp;1090,5))</f>
        <v/>
      </c>
      <c r="Q1095">
        <f>IF(Sync!$J1095="","",IF(ISNUMBER(Sync!$J1095),IF(AND(Sync!$J1095&gt;=10000101,Sync!$J1095&lt;=99991231),INT(Sync!$J1095/10000)&amp;"/"&amp;RIGHT("00"&amp;INT(MOD(Sync!$J1095,10000)/100),2)&amp;"/"&amp;RIGHT("00"&amp;MOD(Sync!$J1095,100),2),"نامعتبر"),IF(LEN(Sync!$J1095)=10,Sync!$J1095,"نامعتبر")))</f>
        <v/>
      </c>
      <c r="R1095">
        <f>IF($P1095="","",COUNTIFS($N$6:$N$2005,$N1095,$P$6:$P$2005,"&lt;"&amp;$P1095)+COUNTIFS($A$6:$A$1005,$N1095,$B$6:$B$1005,"&lt;"&amp;$P1095)+1)</f>
        <v/>
      </c>
      <c r="S1095">
        <f>IF($N1095="","",$N1095&amp;"|"&amp;RIGHT("000000"&amp;$R1095,6))</f>
        <v/>
      </c>
      <c r="T1095">
        <f>IF($N1095="","",IF(Sync!$N1095="",0,Sync!$N1095))</f>
        <v/>
      </c>
      <c r="U1095">
        <f>IF($N1095="","",IF(Sync!$O1095="",0,Sync!$O1095))</f>
        <v/>
      </c>
      <c r="V1095">
        <f>IF($N1095="","",Sync!$L1095)</f>
        <v/>
      </c>
      <c r="W1095">
        <f>IF($N1095="","",Sync!$P1095)</f>
        <v/>
      </c>
    </row>
    <row r="1096">
      <c r="N1096">
        <f>IF(OR(Sync!$M1096="",$Q1096="",$Q1096="نامعتبر"),"",Sync!$M1096)</f>
        <v/>
      </c>
      <c r="O1096">
        <f>IF($N1096="","",$Q1096)</f>
        <v/>
      </c>
      <c r="P1096">
        <f>IF($N1096="","",LEFT($Q1096,4)&amp;MID($Q1096,6,2)&amp;RIGHT($Q1096,2)&amp;IF(Sync!$K1096="","0000",IF(AND(ISNUMBER(Sync!$K1096),Sync!$K1096&gt;=0,Sync!$K1096&lt;1),RIGHT("00"&amp;HOUR(Sync!$K1096),2)&amp;RIGHT("00"&amp;MINUTE(Sync!$K1096),2),IFERROR(RIGHT("00"&amp;VALUE(LEFT(Sync!$K1096,FIND(":",Sync!$K1096)-1)),2)&amp;RIGHT("00"&amp;VALUE(MID(Sync!$K1096,FIND(":",Sync!$K1096)+1,2)),2),"0000")))&amp;"|"&amp;"2"&amp;RIGHT("00000"&amp;1091,5))</f>
        <v/>
      </c>
      <c r="Q1096">
        <f>IF(Sync!$J1096="","",IF(ISNUMBER(Sync!$J1096),IF(AND(Sync!$J1096&gt;=10000101,Sync!$J1096&lt;=99991231),INT(Sync!$J1096/10000)&amp;"/"&amp;RIGHT("00"&amp;INT(MOD(Sync!$J1096,10000)/100),2)&amp;"/"&amp;RIGHT("00"&amp;MOD(Sync!$J1096,100),2),"نامعتبر"),IF(LEN(Sync!$J1096)=10,Sync!$J1096,"نامعتبر")))</f>
        <v/>
      </c>
      <c r="R1096">
        <f>IF($P1096="","",COUNTIFS($N$6:$N$2005,$N1096,$P$6:$P$2005,"&lt;"&amp;$P1096)+COUNTIFS($A$6:$A$1005,$N1096,$B$6:$B$1005,"&lt;"&amp;$P1096)+1)</f>
        <v/>
      </c>
      <c r="S1096">
        <f>IF($N1096="","",$N1096&amp;"|"&amp;RIGHT("000000"&amp;$R1096,6))</f>
        <v/>
      </c>
      <c r="T1096">
        <f>IF($N1096="","",IF(Sync!$N1096="",0,Sync!$N1096))</f>
        <v/>
      </c>
      <c r="U1096">
        <f>IF($N1096="","",IF(Sync!$O1096="",0,Sync!$O1096))</f>
        <v/>
      </c>
      <c r="V1096">
        <f>IF($N1096="","",Sync!$L1096)</f>
        <v/>
      </c>
      <c r="W1096">
        <f>IF($N1096="","",Sync!$P1096)</f>
        <v/>
      </c>
    </row>
    <row r="1097">
      <c r="N1097">
        <f>IF(OR(Sync!$M1097="",$Q1097="",$Q1097="نامعتبر"),"",Sync!$M1097)</f>
        <v/>
      </c>
      <c r="O1097">
        <f>IF($N1097="","",$Q1097)</f>
        <v/>
      </c>
      <c r="P1097">
        <f>IF($N1097="","",LEFT($Q1097,4)&amp;MID($Q1097,6,2)&amp;RIGHT($Q1097,2)&amp;IF(Sync!$K1097="","0000",IF(AND(ISNUMBER(Sync!$K1097),Sync!$K1097&gt;=0,Sync!$K1097&lt;1),RIGHT("00"&amp;HOUR(Sync!$K1097),2)&amp;RIGHT("00"&amp;MINUTE(Sync!$K1097),2),IFERROR(RIGHT("00"&amp;VALUE(LEFT(Sync!$K1097,FIND(":",Sync!$K1097)-1)),2)&amp;RIGHT("00"&amp;VALUE(MID(Sync!$K1097,FIND(":",Sync!$K1097)+1,2)),2),"0000")))&amp;"|"&amp;"2"&amp;RIGHT("00000"&amp;1092,5))</f>
        <v/>
      </c>
      <c r="Q1097">
        <f>IF(Sync!$J1097="","",IF(ISNUMBER(Sync!$J1097),IF(AND(Sync!$J1097&gt;=10000101,Sync!$J1097&lt;=99991231),INT(Sync!$J1097/10000)&amp;"/"&amp;RIGHT("00"&amp;INT(MOD(Sync!$J1097,10000)/100),2)&amp;"/"&amp;RIGHT("00"&amp;MOD(Sync!$J1097,100),2),"نامعتبر"),IF(LEN(Sync!$J1097)=10,Sync!$J1097,"نامعتبر")))</f>
        <v/>
      </c>
      <c r="R1097">
        <f>IF($P1097="","",COUNTIFS($N$6:$N$2005,$N1097,$P$6:$P$2005,"&lt;"&amp;$P1097)+COUNTIFS($A$6:$A$1005,$N1097,$B$6:$B$1005,"&lt;"&amp;$P1097)+1)</f>
        <v/>
      </c>
      <c r="S1097">
        <f>IF($N1097="","",$N1097&amp;"|"&amp;RIGHT("000000"&amp;$R1097,6))</f>
        <v/>
      </c>
      <c r="T1097">
        <f>IF($N1097="","",IF(Sync!$N1097="",0,Sync!$N1097))</f>
        <v/>
      </c>
      <c r="U1097">
        <f>IF($N1097="","",IF(Sync!$O1097="",0,Sync!$O1097))</f>
        <v/>
      </c>
      <c r="V1097">
        <f>IF($N1097="","",Sync!$L1097)</f>
        <v/>
      </c>
      <c r="W1097">
        <f>IF($N1097="","",Sync!$P1097)</f>
        <v/>
      </c>
    </row>
    <row r="1098">
      <c r="N1098">
        <f>IF(OR(Sync!$M1098="",$Q1098="",$Q1098="نامعتبر"),"",Sync!$M1098)</f>
        <v/>
      </c>
      <c r="O1098">
        <f>IF($N1098="","",$Q1098)</f>
        <v/>
      </c>
      <c r="P1098">
        <f>IF($N1098="","",LEFT($Q1098,4)&amp;MID($Q1098,6,2)&amp;RIGHT($Q1098,2)&amp;IF(Sync!$K1098="","0000",IF(AND(ISNUMBER(Sync!$K1098),Sync!$K1098&gt;=0,Sync!$K1098&lt;1),RIGHT("00"&amp;HOUR(Sync!$K1098),2)&amp;RIGHT("00"&amp;MINUTE(Sync!$K1098),2),IFERROR(RIGHT("00"&amp;VALUE(LEFT(Sync!$K1098,FIND(":",Sync!$K1098)-1)),2)&amp;RIGHT("00"&amp;VALUE(MID(Sync!$K1098,FIND(":",Sync!$K1098)+1,2)),2),"0000")))&amp;"|"&amp;"2"&amp;RIGHT("00000"&amp;1093,5))</f>
        <v/>
      </c>
      <c r="Q1098">
        <f>IF(Sync!$J1098="","",IF(ISNUMBER(Sync!$J1098),IF(AND(Sync!$J1098&gt;=10000101,Sync!$J1098&lt;=99991231),INT(Sync!$J1098/10000)&amp;"/"&amp;RIGHT("00"&amp;INT(MOD(Sync!$J1098,10000)/100),2)&amp;"/"&amp;RIGHT("00"&amp;MOD(Sync!$J1098,100),2),"نامعتبر"),IF(LEN(Sync!$J1098)=10,Sync!$J1098,"نامعتبر")))</f>
        <v/>
      </c>
      <c r="R1098">
        <f>IF($P1098="","",COUNTIFS($N$6:$N$2005,$N1098,$P$6:$P$2005,"&lt;"&amp;$P1098)+COUNTIFS($A$6:$A$1005,$N1098,$B$6:$B$1005,"&lt;"&amp;$P1098)+1)</f>
        <v/>
      </c>
      <c r="S1098">
        <f>IF($N1098="","",$N1098&amp;"|"&amp;RIGHT("000000"&amp;$R1098,6))</f>
        <v/>
      </c>
      <c r="T1098">
        <f>IF($N1098="","",IF(Sync!$N1098="",0,Sync!$N1098))</f>
        <v/>
      </c>
      <c r="U1098">
        <f>IF($N1098="","",IF(Sync!$O1098="",0,Sync!$O1098))</f>
        <v/>
      </c>
      <c r="V1098">
        <f>IF($N1098="","",Sync!$L1098)</f>
        <v/>
      </c>
      <c r="W1098">
        <f>IF($N1098="","",Sync!$P1098)</f>
        <v/>
      </c>
    </row>
    <row r="1099">
      <c r="N1099">
        <f>IF(OR(Sync!$M1099="",$Q1099="",$Q1099="نامعتبر"),"",Sync!$M1099)</f>
        <v/>
      </c>
      <c r="O1099">
        <f>IF($N1099="","",$Q1099)</f>
        <v/>
      </c>
      <c r="P1099">
        <f>IF($N1099="","",LEFT($Q1099,4)&amp;MID($Q1099,6,2)&amp;RIGHT($Q1099,2)&amp;IF(Sync!$K1099="","0000",IF(AND(ISNUMBER(Sync!$K1099),Sync!$K1099&gt;=0,Sync!$K1099&lt;1),RIGHT("00"&amp;HOUR(Sync!$K1099),2)&amp;RIGHT("00"&amp;MINUTE(Sync!$K1099),2),IFERROR(RIGHT("00"&amp;VALUE(LEFT(Sync!$K1099,FIND(":",Sync!$K1099)-1)),2)&amp;RIGHT("00"&amp;VALUE(MID(Sync!$K1099,FIND(":",Sync!$K1099)+1,2)),2),"0000")))&amp;"|"&amp;"2"&amp;RIGHT("00000"&amp;1094,5))</f>
        <v/>
      </c>
      <c r="Q1099">
        <f>IF(Sync!$J1099="","",IF(ISNUMBER(Sync!$J1099),IF(AND(Sync!$J1099&gt;=10000101,Sync!$J1099&lt;=99991231),INT(Sync!$J1099/10000)&amp;"/"&amp;RIGHT("00"&amp;INT(MOD(Sync!$J1099,10000)/100),2)&amp;"/"&amp;RIGHT("00"&amp;MOD(Sync!$J1099,100),2),"نامعتبر"),IF(LEN(Sync!$J1099)=10,Sync!$J1099,"نامعتبر")))</f>
        <v/>
      </c>
      <c r="R1099">
        <f>IF($P1099="","",COUNTIFS($N$6:$N$2005,$N1099,$P$6:$P$2005,"&lt;"&amp;$P1099)+COUNTIFS($A$6:$A$1005,$N1099,$B$6:$B$1005,"&lt;"&amp;$P1099)+1)</f>
        <v/>
      </c>
      <c r="S1099">
        <f>IF($N1099="","",$N1099&amp;"|"&amp;RIGHT("000000"&amp;$R1099,6))</f>
        <v/>
      </c>
      <c r="T1099">
        <f>IF($N1099="","",IF(Sync!$N1099="",0,Sync!$N1099))</f>
        <v/>
      </c>
      <c r="U1099">
        <f>IF($N1099="","",IF(Sync!$O1099="",0,Sync!$O1099))</f>
        <v/>
      </c>
      <c r="V1099">
        <f>IF($N1099="","",Sync!$L1099)</f>
        <v/>
      </c>
      <c r="W1099">
        <f>IF($N1099="","",Sync!$P1099)</f>
        <v/>
      </c>
    </row>
    <row r="1100">
      <c r="N1100">
        <f>IF(OR(Sync!$M1100="",$Q1100="",$Q1100="نامعتبر"),"",Sync!$M1100)</f>
        <v/>
      </c>
      <c r="O1100">
        <f>IF($N1100="","",$Q1100)</f>
        <v/>
      </c>
      <c r="P1100">
        <f>IF($N1100="","",LEFT($Q1100,4)&amp;MID($Q1100,6,2)&amp;RIGHT($Q1100,2)&amp;IF(Sync!$K1100="","0000",IF(AND(ISNUMBER(Sync!$K1100),Sync!$K1100&gt;=0,Sync!$K1100&lt;1),RIGHT("00"&amp;HOUR(Sync!$K1100),2)&amp;RIGHT("00"&amp;MINUTE(Sync!$K1100),2),IFERROR(RIGHT("00"&amp;VALUE(LEFT(Sync!$K1100,FIND(":",Sync!$K1100)-1)),2)&amp;RIGHT("00"&amp;VALUE(MID(Sync!$K1100,FIND(":",Sync!$K1100)+1,2)),2),"0000")))&amp;"|"&amp;"2"&amp;RIGHT("00000"&amp;1095,5))</f>
        <v/>
      </c>
      <c r="Q1100">
        <f>IF(Sync!$J1100="","",IF(ISNUMBER(Sync!$J1100),IF(AND(Sync!$J1100&gt;=10000101,Sync!$J1100&lt;=99991231),INT(Sync!$J1100/10000)&amp;"/"&amp;RIGHT("00"&amp;INT(MOD(Sync!$J1100,10000)/100),2)&amp;"/"&amp;RIGHT("00"&amp;MOD(Sync!$J1100,100),2),"نامعتبر"),IF(LEN(Sync!$J1100)=10,Sync!$J1100,"نامعتبر")))</f>
        <v/>
      </c>
      <c r="R1100">
        <f>IF($P1100="","",COUNTIFS($N$6:$N$2005,$N1100,$P$6:$P$2005,"&lt;"&amp;$P1100)+COUNTIFS($A$6:$A$1005,$N1100,$B$6:$B$1005,"&lt;"&amp;$P1100)+1)</f>
        <v/>
      </c>
      <c r="S1100">
        <f>IF($N1100="","",$N1100&amp;"|"&amp;RIGHT("000000"&amp;$R1100,6))</f>
        <v/>
      </c>
      <c r="T1100">
        <f>IF($N1100="","",IF(Sync!$N1100="",0,Sync!$N1100))</f>
        <v/>
      </c>
      <c r="U1100">
        <f>IF($N1100="","",IF(Sync!$O1100="",0,Sync!$O1100))</f>
        <v/>
      </c>
      <c r="V1100">
        <f>IF($N1100="","",Sync!$L1100)</f>
        <v/>
      </c>
      <c r="W1100">
        <f>IF($N1100="","",Sync!$P1100)</f>
        <v/>
      </c>
    </row>
    <row r="1101">
      <c r="N1101">
        <f>IF(OR(Sync!$M1101="",$Q1101="",$Q1101="نامعتبر"),"",Sync!$M1101)</f>
        <v/>
      </c>
      <c r="O1101">
        <f>IF($N1101="","",$Q1101)</f>
        <v/>
      </c>
      <c r="P1101">
        <f>IF($N1101="","",LEFT($Q1101,4)&amp;MID($Q1101,6,2)&amp;RIGHT($Q1101,2)&amp;IF(Sync!$K1101="","0000",IF(AND(ISNUMBER(Sync!$K1101),Sync!$K1101&gt;=0,Sync!$K1101&lt;1),RIGHT("00"&amp;HOUR(Sync!$K1101),2)&amp;RIGHT("00"&amp;MINUTE(Sync!$K1101),2),IFERROR(RIGHT("00"&amp;VALUE(LEFT(Sync!$K1101,FIND(":",Sync!$K1101)-1)),2)&amp;RIGHT("00"&amp;VALUE(MID(Sync!$K1101,FIND(":",Sync!$K1101)+1,2)),2),"0000")))&amp;"|"&amp;"2"&amp;RIGHT("00000"&amp;1096,5))</f>
        <v/>
      </c>
      <c r="Q1101">
        <f>IF(Sync!$J1101="","",IF(ISNUMBER(Sync!$J1101),IF(AND(Sync!$J1101&gt;=10000101,Sync!$J1101&lt;=99991231),INT(Sync!$J1101/10000)&amp;"/"&amp;RIGHT("00"&amp;INT(MOD(Sync!$J1101,10000)/100),2)&amp;"/"&amp;RIGHT("00"&amp;MOD(Sync!$J1101,100),2),"نامعتبر"),IF(LEN(Sync!$J1101)=10,Sync!$J1101,"نامعتبر")))</f>
        <v/>
      </c>
      <c r="R1101">
        <f>IF($P1101="","",COUNTIFS($N$6:$N$2005,$N1101,$P$6:$P$2005,"&lt;"&amp;$P1101)+COUNTIFS($A$6:$A$1005,$N1101,$B$6:$B$1005,"&lt;"&amp;$P1101)+1)</f>
        <v/>
      </c>
      <c r="S1101">
        <f>IF($N1101="","",$N1101&amp;"|"&amp;RIGHT("000000"&amp;$R1101,6))</f>
        <v/>
      </c>
      <c r="T1101">
        <f>IF($N1101="","",IF(Sync!$N1101="",0,Sync!$N1101))</f>
        <v/>
      </c>
      <c r="U1101">
        <f>IF($N1101="","",IF(Sync!$O1101="",0,Sync!$O1101))</f>
        <v/>
      </c>
      <c r="V1101">
        <f>IF($N1101="","",Sync!$L1101)</f>
        <v/>
      </c>
      <c r="W1101">
        <f>IF($N1101="","",Sync!$P1101)</f>
        <v/>
      </c>
    </row>
    <row r="1102">
      <c r="N1102">
        <f>IF(OR(Sync!$M1102="",$Q1102="",$Q1102="نامعتبر"),"",Sync!$M1102)</f>
        <v/>
      </c>
      <c r="O1102">
        <f>IF($N1102="","",$Q1102)</f>
        <v/>
      </c>
      <c r="P1102">
        <f>IF($N1102="","",LEFT($Q1102,4)&amp;MID($Q1102,6,2)&amp;RIGHT($Q1102,2)&amp;IF(Sync!$K1102="","0000",IF(AND(ISNUMBER(Sync!$K1102),Sync!$K1102&gt;=0,Sync!$K1102&lt;1),RIGHT("00"&amp;HOUR(Sync!$K1102),2)&amp;RIGHT("00"&amp;MINUTE(Sync!$K1102),2),IFERROR(RIGHT("00"&amp;VALUE(LEFT(Sync!$K1102,FIND(":",Sync!$K1102)-1)),2)&amp;RIGHT("00"&amp;VALUE(MID(Sync!$K1102,FIND(":",Sync!$K1102)+1,2)),2),"0000")))&amp;"|"&amp;"2"&amp;RIGHT("00000"&amp;1097,5))</f>
        <v/>
      </c>
      <c r="Q1102">
        <f>IF(Sync!$J1102="","",IF(ISNUMBER(Sync!$J1102),IF(AND(Sync!$J1102&gt;=10000101,Sync!$J1102&lt;=99991231),INT(Sync!$J1102/10000)&amp;"/"&amp;RIGHT("00"&amp;INT(MOD(Sync!$J1102,10000)/100),2)&amp;"/"&amp;RIGHT("00"&amp;MOD(Sync!$J1102,100),2),"نامعتبر"),IF(LEN(Sync!$J1102)=10,Sync!$J1102,"نامعتبر")))</f>
        <v/>
      </c>
      <c r="R1102">
        <f>IF($P1102="","",COUNTIFS($N$6:$N$2005,$N1102,$P$6:$P$2005,"&lt;"&amp;$P1102)+COUNTIFS($A$6:$A$1005,$N1102,$B$6:$B$1005,"&lt;"&amp;$P1102)+1)</f>
        <v/>
      </c>
      <c r="S1102">
        <f>IF($N1102="","",$N1102&amp;"|"&amp;RIGHT("000000"&amp;$R1102,6))</f>
        <v/>
      </c>
      <c r="T1102">
        <f>IF($N1102="","",IF(Sync!$N1102="",0,Sync!$N1102))</f>
        <v/>
      </c>
      <c r="U1102">
        <f>IF($N1102="","",IF(Sync!$O1102="",0,Sync!$O1102))</f>
        <v/>
      </c>
      <c r="V1102">
        <f>IF($N1102="","",Sync!$L1102)</f>
        <v/>
      </c>
      <c r="W1102">
        <f>IF($N1102="","",Sync!$P1102)</f>
        <v/>
      </c>
    </row>
    <row r="1103">
      <c r="N1103">
        <f>IF(OR(Sync!$M1103="",$Q1103="",$Q1103="نامعتبر"),"",Sync!$M1103)</f>
        <v/>
      </c>
      <c r="O1103">
        <f>IF($N1103="","",$Q1103)</f>
        <v/>
      </c>
      <c r="P1103">
        <f>IF($N1103="","",LEFT($Q1103,4)&amp;MID($Q1103,6,2)&amp;RIGHT($Q1103,2)&amp;IF(Sync!$K1103="","0000",IF(AND(ISNUMBER(Sync!$K1103),Sync!$K1103&gt;=0,Sync!$K1103&lt;1),RIGHT("00"&amp;HOUR(Sync!$K1103),2)&amp;RIGHT("00"&amp;MINUTE(Sync!$K1103),2),IFERROR(RIGHT("00"&amp;VALUE(LEFT(Sync!$K1103,FIND(":",Sync!$K1103)-1)),2)&amp;RIGHT("00"&amp;VALUE(MID(Sync!$K1103,FIND(":",Sync!$K1103)+1,2)),2),"0000")))&amp;"|"&amp;"2"&amp;RIGHT("00000"&amp;1098,5))</f>
        <v/>
      </c>
      <c r="Q1103">
        <f>IF(Sync!$J1103="","",IF(ISNUMBER(Sync!$J1103),IF(AND(Sync!$J1103&gt;=10000101,Sync!$J1103&lt;=99991231),INT(Sync!$J1103/10000)&amp;"/"&amp;RIGHT("00"&amp;INT(MOD(Sync!$J1103,10000)/100),2)&amp;"/"&amp;RIGHT("00"&amp;MOD(Sync!$J1103,100),2),"نامعتبر"),IF(LEN(Sync!$J1103)=10,Sync!$J1103,"نامعتبر")))</f>
        <v/>
      </c>
      <c r="R1103">
        <f>IF($P1103="","",COUNTIFS($N$6:$N$2005,$N1103,$P$6:$P$2005,"&lt;"&amp;$P1103)+COUNTIFS($A$6:$A$1005,$N1103,$B$6:$B$1005,"&lt;"&amp;$P1103)+1)</f>
        <v/>
      </c>
      <c r="S1103">
        <f>IF($N1103="","",$N1103&amp;"|"&amp;RIGHT("000000"&amp;$R1103,6))</f>
        <v/>
      </c>
      <c r="T1103">
        <f>IF($N1103="","",IF(Sync!$N1103="",0,Sync!$N1103))</f>
        <v/>
      </c>
      <c r="U1103">
        <f>IF($N1103="","",IF(Sync!$O1103="",0,Sync!$O1103))</f>
        <v/>
      </c>
      <c r="V1103">
        <f>IF($N1103="","",Sync!$L1103)</f>
        <v/>
      </c>
      <c r="W1103">
        <f>IF($N1103="","",Sync!$P1103)</f>
        <v/>
      </c>
    </row>
    <row r="1104">
      <c r="N1104">
        <f>IF(OR(Sync!$M1104="",$Q1104="",$Q1104="نامعتبر"),"",Sync!$M1104)</f>
        <v/>
      </c>
      <c r="O1104">
        <f>IF($N1104="","",$Q1104)</f>
        <v/>
      </c>
      <c r="P1104">
        <f>IF($N1104="","",LEFT($Q1104,4)&amp;MID($Q1104,6,2)&amp;RIGHT($Q1104,2)&amp;IF(Sync!$K1104="","0000",IF(AND(ISNUMBER(Sync!$K1104),Sync!$K1104&gt;=0,Sync!$K1104&lt;1),RIGHT("00"&amp;HOUR(Sync!$K1104),2)&amp;RIGHT("00"&amp;MINUTE(Sync!$K1104),2),IFERROR(RIGHT("00"&amp;VALUE(LEFT(Sync!$K1104,FIND(":",Sync!$K1104)-1)),2)&amp;RIGHT("00"&amp;VALUE(MID(Sync!$K1104,FIND(":",Sync!$K1104)+1,2)),2),"0000")))&amp;"|"&amp;"2"&amp;RIGHT("00000"&amp;1099,5))</f>
        <v/>
      </c>
      <c r="Q1104">
        <f>IF(Sync!$J1104="","",IF(ISNUMBER(Sync!$J1104),IF(AND(Sync!$J1104&gt;=10000101,Sync!$J1104&lt;=99991231),INT(Sync!$J1104/10000)&amp;"/"&amp;RIGHT("00"&amp;INT(MOD(Sync!$J1104,10000)/100),2)&amp;"/"&amp;RIGHT("00"&amp;MOD(Sync!$J1104,100),2),"نامعتبر"),IF(LEN(Sync!$J1104)=10,Sync!$J1104,"نامعتبر")))</f>
        <v/>
      </c>
      <c r="R1104">
        <f>IF($P1104="","",COUNTIFS($N$6:$N$2005,$N1104,$P$6:$P$2005,"&lt;"&amp;$P1104)+COUNTIFS($A$6:$A$1005,$N1104,$B$6:$B$1005,"&lt;"&amp;$P1104)+1)</f>
        <v/>
      </c>
      <c r="S1104">
        <f>IF($N1104="","",$N1104&amp;"|"&amp;RIGHT("000000"&amp;$R1104,6))</f>
        <v/>
      </c>
      <c r="T1104">
        <f>IF($N1104="","",IF(Sync!$N1104="",0,Sync!$N1104))</f>
        <v/>
      </c>
      <c r="U1104">
        <f>IF($N1104="","",IF(Sync!$O1104="",0,Sync!$O1104))</f>
        <v/>
      </c>
      <c r="V1104">
        <f>IF($N1104="","",Sync!$L1104)</f>
        <v/>
      </c>
      <c r="W1104">
        <f>IF($N1104="","",Sync!$P1104)</f>
        <v/>
      </c>
    </row>
    <row r="1105">
      <c r="N1105">
        <f>IF(OR(Sync!$M1105="",$Q1105="",$Q1105="نامعتبر"),"",Sync!$M1105)</f>
        <v/>
      </c>
      <c r="O1105">
        <f>IF($N1105="","",$Q1105)</f>
        <v/>
      </c>
      <c r="P1105">
        <f>IF($N1105="","",LEFT($Q1105,4)&amp;MID($Q1105,6,2)&amp;RIGHT($Q1105,2)&amp;IF(Sync!$K1105="","0000",IF(AND(ISNUMBER(Sync!$K1105),Sync!$K1105&gt;=0,Sync!$K1105&lt;1),RIGHT("00"&amp;HOUR(Sync!$K1105),2)&amp;RIGHT("00"&amp;MINUTE(Sync!$K1105),2),IFERROR(RIGHT("00"&amp;VALUE(LEFT(Sync!$K1105,FIND(":",Sync!$K1105)-1)),2)&amp;RIGHT("00"&amp;VALUE(MID(Sync!$K1105,FIND(":",Sync!$K1105)+1,2)),2),"0000")))&amp;"|"&amp;"2"&amp;RIGHT("00000"&amp;1100,5))</f>
        <v/>
      </c>
      <c r="Q1105">
        <f>IF(Sync!$J1105="","",IF(ISNUMBER(Sync!$J1105),IF(AND(Sync!$J1105&gt;=10000101,Sync!$J1105&lt;=99991231),INT(Sync!$J1105/10000)&amp;"/"&amp;RIGHT("00"&amp;INT(MOD(Sync!$J1105,10000)/100),2)&amp;"/"&amp;RIGHT("00"&amp;MOD(Sync!$J1105,100),2),"نامعتبر"),IF(LEN(Sync!$J1105)=10,Sync!$J1105,"نامعتبر")))</f>
        <v/>
      </c>
      <c r="R1105">
        <f>IF($P1105="","",COUNTIFS($N$6:$N$2005,$N1105,$P$6:$P$2005,"&lt;"&amp;$P1105)+COUNTIFS($A$6:$A$1005,$N1105,$B$6:$B$1005,"&lt;"&amp;$P1105)+1)</f>
        <v/>
      </c>
      <c r="S1105">
        <f>IF($N1105="","",$N1105&amp;"|"&amp;RIGHT("000000"&amp;$R1105,6))</f>
        <v/>
      </c>
      <c r="T1105">
        <f>IF($N1105="","",IF(Sync!$N1105="",0,Sync!$N1105))</f>
        <v/>
      </c>
      <c r="U1105">
        <f>IF($N1105="","",IF(Sync!$O1105="",0,Sync!$O1105))</f>
        <v/>
      </c>
      <c r="V1105">
        <f>IF($N1105="","",Sync!$L1105)</f>
        <v/>
      </c>
      <c r="W1105">
        <f>IF($N1105="","",Sync!$P1105)</f>
        <v/>
      </c>
    </row>
    <row r="1106">
      <c r="N1106">
        <f>IF(OR(Sync!$M1106="",$Q1106="",$Q1106="نامعتبر"),"",Sync!$M1106)</f>
        <v/>
      </c>
      <c r="O1106">
        <f>IF($N1106="","",$Q1106)</f>
        <v/>
      </c>
      <c r="P1106">
        <f>IF($N1106="","",LEFT($Q1106,4)&amp;MID($Q1106,6,2)&amp;RIGHT($Q1106,2)&amp;IF(Sync!$K1106="","0000",IF(AND(ISNUMBER(Sync!$K1106),Sync!$K1106&gt;=0,Sync!$K1106&lt;1),RIGHT("00"&amp;HOUR(Sync!$K1106),2)&amp;RIGHT("00"&amp;MINUTE(Sync!$K1106),2),IFERROR(RIGHT("00"&amp;VALUE(LEFT(Sync!$K1106,FIND(":",Sync!$K1106)-1)),2)&amp;RIGHT("00"&amp;VALUE(MID(Sync!$K1106,FIND(":",Sync!$K1106)+1,2)),2),"0000")))&amp;"|"&amp;"2"&amp;RIGHT("00000"&amp;1101,5))</f>
        <v/>
      </c>
      <c r="Q1106">
        <f>IF(Sync!$J1106="","",IF(ISNUMBER(Sync!$J1106),IF(AND(Sync!$J1106&gt;=10000101,Sync!$J1106&lt;=99991231),INT(Sync!$J1106/10000)&amp;"/"&amp;RIGHT("00"&amp;INT(MOD(Sync!$J1106,10000)/100),2)&amp;"/"&amp;RIGHT("00"&amp;MOD(Sync!$J1106,100),2),"نامعتبر"),IF(LEN(Sync!$J1106)=10,Sync!$J1106,"نامعتبر")))</f>
        <v/>
      </c>
      <c r="R1106">
        <f>IF($P1106="","",COUNTIFS($N$6:$N$2005,$N1106,$P$6:$P$2005,"&lt;"&amp;$P1106)+COUNTIFS($A$6:$A$1005,$N1106,$B$6:$B$1005,"&lt;"&amp;$P1106)+1)</f>
        <v/>
      </c>
      <c r="S1106">
        <f>IF($N1106="","",$N1106&amp;"|"&amp;RIGHT("000000"&amp;$R1106,6))</f>
        <v/>
      </c>
      <c r="T1106">
        <f>IF($N1106="","",IF(Sync!$N1106="",0,Sync!$N1106))</f>
        <v/>
      </c>
      <c r="U1106">
        <f>IF($N1106="","",IF(Sync!$O1106="",0,Sync!$O1106))</f>
        <v/>
      </c>
      <c r="V1106">
        <f>IF($N1106="","",Sync!$L1106)</f>
        <v/>
      </c>
      <c r="W1106">
        <f>IF($N1106="","",Sync!$P1106)</f>
        <v/>
      </c>
    </row>
    <row r="1107">
      <c r="N1107">
        <f>IF(OR(Sync!$M1107="",$Q1107="",$Q1107="نامعتبر"),"",Sync!$M1107)</f>
        <v/>
      </c>
      <c r="O1107">
        <f>IF($N1107="","",$Q1107)</f>
        <v/>
      </c>
      <c r="P1107">
        <f>IF($N1107="","",LEFT($Q1107,4)&amp;MID($Q1107,6,2)&amp;RIGHT($Q1107,2)&amp;IF(Sync!$K1107="","0000",IF(AND(ISNUMBER(Sync!$K1107),Sync!$K1107&gt;=0,Sync!$K1107&lt;1),RIGHT("00"&amp;HOUR(Sync!$K1107),2)&amp;RIGHT("00"&amp;MINUTE(Sync!$K1107),2),IFERROR(RIGHT("00"&amp;VALUE(LEFT(Sync!$K1107,FIND(":",Sync!$K1107)-1)),2)&amp;RIGHT("00"&amp;VALUE(MID(Sync!$K1107,FIND(":",Sync!$K1107)+1,2)),2),"0000")))&amp;"|"&amp;"2"&amp;RIGHT("00000"&amp;1102,5))</f>
        <v/>
      </c>
      <c r="Q1107">
        <f>IF(Sync!$J1107="","",IF(ISNUMBER(Sync!$J1107),IF(AND(Sync!$J1107&gt;=10000101,Sync!$J1107&lt;=99991231),INT(Sync!$J1107/10000)&amp;"/"&amp;RIGHT("00"&amp;INT(MOD(Sync!$J1107,10000)/100),2)&amp;"/"&amp;RIGHT("00"&amp;MOD(Sync!$J1107,100),2),"نامعتبر"),IF(LEN(Sync!$J1107)=10,Sync!$J1107,"نامعتبر")))</f>
        <v/>
      </c>
      <c r="R1107">
        <f>IF($P1107="","",COUNTIFS($N$6:$N$2005,$N1107,$P$6:$P$2005,"&lt;"&amp;$P1107)+COUNTIFS($A$6:$A$1005,$N1107,$B$6:$B$1005,"&lt;"&amp;$P1107)+1)</f>
        <v/>
      </c>
      <c r="S1107">
        <f>IF($N1107="","",$N1107&amp;"|"&amp;RIGHT("000000"&amp;$R1107,6))</f>
        <v/>
      </c>
      <c r="T1107">
        <f>IF($N1107="","",IF(Sync!$N1107="",0,Sync!$N1107))</f>
        <v/>
      </c>
      <c r="U1107">
        <f>IF($N1107="","",IF(Sync!$O1107="",0,Sync!$O1107))</f>
        <v/>
      </c>
      <c r="V1107">
        <f>IF($N1107="","",Sync!$L1107)</f>
        <v/>
      </c>
      <c r="W1107">
        <f>IF($N1107="","",Sync!$P1107)</f>
        <v/>
      </c>
    </row>
    <row r="1108">
      <c r="N1108">
        <f>IF(OR(Sync!$M1108="",$Q1108="",$Q1108="نامعتبر"),"",Sync!$M1108)</f>
        <v/>
      </c>
      <c r="O1108">
        <f>IF($N1108="","",$Q1108)</f>
        <v/>
      </c>
      <c r="P1108">
        <f>IF($N1108="","",LEFT($Q1108,4)&amp;MID($Q1108,6,2)&amp;RIGHT($Q1108,2)&amp;IF(Sync!$K1108="","0000",IF(AND(ISNUMBER(Sync!$K1108),Sync!$K1108&gt;=0,Sync!$K1108&lt;1),RIGHT("00"&amp;HOUR(Sync!$K1108),2)&amp;RIGHT("00"&amp;MINUTE(Sync!$K1108),2),IFERROR(RIGHT("00"&amp;VALUE(LEFT(Sync!$K1108,FIND(":",Sync!$K1108)-1)),2)&amp;RIGHT("00"&amp;VALUE(MID(Sync!$K1108,FIND(":",Sync!$K1108)+1,2)),2),"0000")))&amp;"|"&amp;"2"&amp;RIGHT("00000"&amp;1103,5))</f>
        <v/>
      </c>
      <c r="Q1108">
        <f>IF(Sync!$J1108="","",IF(ISNUMBER(Sync!$J1108),IF(AND(Sync!$J1108&gt;=10000101,Sync!$J1108&lt;=99991231),INT(Sync!$J1108/10000)&amp;"/"&amp;RIGHT("00"&amp;INT(MOD(Sync!$J1108,10000)/100),2)&amp;"/"&amp;RIGHT("00"&amp;MOD(Sync!$J1108,100),2),"نامعتبر"),IF(LEN(Sync!$J1108)=10,Sync!$J1108,"نامعتبر")))</f>
        <v/>
      </c>
      <c r="R1108">
        <f>IF($P1108="","",COUNTIFS($N$6:$N$2005,$N1108,$P$6:$P$2005,"&lt;"&amp;$P1108)+COUNTIFS($A$6:$A$1005,$N1108,$B$6:$B$1005,"&lt;"&amp;$P1108)+1)</f>
        <v/>
      </c>
      <c r="S1108">
        <f>IF($N1108="","",$N1108&amp;"|"&amp;RIGHT("000000"&amp;$R1108,6))</f>
        <v/>
      </c>
      <c r="T1108">
        <f>IF($N1108="","",IF(Sync!$N1108="",0,Sync!$N1108))</f>
        <v/>
      </c>
      <c r="U1108">
        <f>IF($N1108="","",IF(Sync!$O1108="",0,Sync!$O1108))</f>
        <v/>
      </c>
      <c r="V1108">
        <f>IF($N1108="","",Sync!$L1108)</f>
        <v/>
      </c>
      <c r="W1108">
        <f>IF($N1108="","",Sync!$P1108)</f>
        <v/>
      </c>
    </row>
    <row r="1109">
      <c r="N1109">
        <f>IF(OR(Sync!$M1109="",$Q1109="",$Q1109="نامعتبر"),"",Sync!$M1109)</f>
        <v/>
      </c>
      <c r="O1109">
        <f>IF($N1109="","",$Q1109)</f>
        <v/>
      </c>
      <c r="P1109">
        <f>IF($N1109="","",LEFT($Q1109,4)&amp;MID($Q1109,6,2)&amp;RIGHT($Q1109,2)&amp;IF(Sync!$K1109="","0000",IF(AND(ISNUMBER(Sync!$K1109),Sync!$K1109&gt;=0,Sync!$K1109&lt;1),RIGHT("00"&amp;HOUR(Sync!$K1109),2)&amp;RIGHT("00"&amp;MINUTE(Sync!$K1109),2),IFERROR(RIGHT("00"&amp;VALUE(LEFT(Sync!$K1109,FIND(":",Sync!$K1109)-1)),2)&amp;RIGHT("00"&amp;VALUE(MID(Sync!$K1109,FIND(":",Sync!$K1109)+1,2)),2),"0000")))&amp;"|"&amp;"2"&amp;RIGHT("00000"&amp;1104,5))</f>
        <v/>
      </c>
      <c r="Q1109">
        <f>IF(Sync!$J1109="","",IF(ISNUMBER(Sync!$J1109),IF(AND(Sync!$J1109&gt;=10000101,Sync!$J1109&lt;=99991231),INT(Sync!$J1109/10000)&amp;"/"&amp;RIGHT("00"&amp;INT(MOD(Sync!$J1109,10000)/100),2)&amp;"/"&amp;RIGHT("00"&amp;MOD(Sync!$J1109,100),2),"نامعتبر"),IF(LEN(Sync!$J1109)=10,Sync!$J1109,"نامعتبر")))</f>
        <v/>
      </c>
      <c r="R1109">
        <f>IF($P1109="","",COUNTIFS($N$6:$N$2005,$N1109,$P$6:$P$2005,"&lt;"&amp;$P1109)+COUNTIFS($A$6:$A$1005,$N1109,$B$6:$B$1005,"&lt;"&amp;$P1109)+1)</f>
        <v/>
      </c>
      <c r="S1109">
        <f>IF($N1109="","",$N1109&amp;"|"&amp;RIGHT("000000"&amp;$R1109,6))</f>
        <v/>
      </c>
      <c r="T1109">
        <f>IF($N1109="","",IF(Sync!$N1109="",0,Sync!$N1109))</f>
        <v/>
      </c>
      <c r="U1109">
        <f>IF($N1109="","",IF(Sync!$O1109="",0,Sync!$O1109))</f>
        <v/>
      </c>
      <c r="V1109">
        <f>IF($N1109="","",Sync!$L1109)</f>
        <v/>
      </c>
      <c r="W1109">
        <f>IF($N1109="","",Sync!$P1109)</f>
        <v/>
      </c>
    </row>
    <row r="1110">
      <c r="N1110">
        <f>IF(OR(Sync!$M1110="",$Q1110="",$Q1110="نامعتبر"),"",Sync!$M1110)</f>
        <v/>
      </c>
      <c r="O1110">
        <f>IF($N1110="","",$Q1110)</f>
        <v/>
      </c>
      <c r="P1110">
        <f>IF($N1110="","",LEFT($Q1110,4)&amp;MID($Q1110,6,2)&amp;RIGHT($Q1110,2)&amp;IF(Sync!$K1110="","0000",IF(AND(ISNUMBER(Sync!$K1110),Sync!$K1110&gt;=0,Sync!$K1110&lt;1),RIGHT("00"&amp;HOUR(Sync!$K1110),2)&amp;RIGHT("00"&amp;MINUTE(Sync!$K1110),2),IFERROR(RIGHT("00"&amp;VALUE(LEFT(Sync!$K1110,FIND(":",Sync!$K1110)-1)),2)&amp;RIGHT("00"&amp;VALUE(MID(Sync!$K1110,FIND(":",Sync!$K1110)+1,2)),2),"0000")))&amp;"|"&amp;"2"&amp;RIGHT("00000"&amp;1105,5))</f>
        <v/>
      </c>
      <c r="Q1110">
        <f>IF(Sync!$J1110="","",IF(ISNUMBER(Sync!$J1110),IF(AND(Sync!$J1110&gt;=10000101,Sync!$J1110&lt;=99991231),INT(Sync!$J1110/10000)&amp;"/"&amp;RIGHT("00"&amp;INT(MOD(Sync!$J1110,10000)/100),2)&amp;"/"&amp;RIGHT("00"&amp;MOD(Sync!$J1110,100),2),"نامعتبر"),IF(LEN(Sync!$J1110)=10,Sync!$J1110,"نامعتبر")))</f>
        <v/>
      </c>
      <c r="R1110">
        <f>IF($P1110="","",COUNTIFS($N$6:$N$2005,$N1110,$P$6:$P$2005,"&lt;"&amp;$P1110)+COUNTIFS($A$6:$A$1005,$N1110,$B$6:$B$1005,"&lt;"&amp;$P1110)+1)</f>
        <v/>
      </c>
      <c r="S1110">
        <f>IF($N1110="","",$N1110&amp;"|"&amp;RIGHT("000000"&amp;$R1110,6))</f>
        <v/>
      </c>
      <c r="T1110">
        <f>IF($N1110="","",IF(Sync!$N1110="",0,Sync!$N1110))</f>
        <v/>
      </c>
      <c r="U1110">
        <f>IF($N1110="","",IF(Sync!$O1110="",0,Sync!$O1110))</f>
        <v/>
      </c>
      <c r="V1110">
        <f>IF($N1110="","",Sync!$L1110)</f>
        <v/>
      </c>
      <c r="W1110">
        <f>IF($N1110="","",Sync!$P1110)</f>
        <v/>
      </c>
    </row>
    <row r="1111">
      <c r="N1111">
        <f>IF(OR(Sync!$M1111="",$Q1111="",$Q1111="نامعتبر"),"",Sync!$M1111)</f>
        <v/>
      </c>
      <c r="O1111">
        <f>IF($N1111="","",$Q1111)</f>
        <v/>
      </c>
      <c r="P1111">
        <f>IF($N1111="","",LEFT($Q1111,4)&amp;MID($Q1111,6,2)&amp;RIGHT($Q1111,2)&amp;IF(Sync!$K1111="","0000",IF(AND(ISNUMBER(Sync!$K1111),Sync!$K1111&gt;=0,Sync!$K1111&lt;1),RIGHT("00"&amp;HOUR(Sync!$K1111),2)&amp;RIGHT("00"&amp;MINUTE(Sync!$K1111),2),IFERROR(RIGHT("00"&amp;VALUE(LEFT(Sync!$K1111,FIND(":",Sync!$K1111)-1)),2)&amp;RIGHT("00"&amp;VALUE(MID(Sync!$K1111,FIND(":",Sync!$K1111)+1,2)),2),"0000")))&amp;"|"&amp;"2"&amp;RIGHT("00000"&amp;1106,5))</f>
        <v/>
      </c>
      <c r="Q1111">
        <f>IF(Sync!$J1111="","",IF(ISNUMBER(Sync!$J1111),IF(AND(Sync!$J1111&gt;=10000101,Sync!$J1111&lt;=99991231),INT(Sync!$J1111/10000)&amp;"/"&amp;RIGHT("00"&amp;INT(MOD(Sync!$J1111,10000)/100),2)&amp;"/"&amp;RIGHT("00"&amp;MOD(Sync!$J1111,100),2),"نامعتبر"),IF(LEN(Sync!$J1111)=10,Sync!$J1111,"نامعتبر")))</f>
        <v/>
      </c>
      <c r="R1111">
        <f>IF($P1111="","",COUNTIFS($N$6:$N$2005,$N1111,$P$6:$P$2005,"&lt;"&amp;$P1111)+COUNTIFS($A$6:$A$1005,$N1111,$B$6:$B$1005,"&lt;"&amp;$P1111)+1)</f>
        <v/>
      </c>
      <c r="S1111">
        <f>IF($N1111="","",$N1111&amp;"|"&amp;RIGHT("000000"&amp;$R1111,6))</f>
        <v/>
      </c>
      <c r="T1111">
        <f>IF($N1111="","",IF(Sync!$N1111="",0,Sync!$N1111))</f>
        <v/>
      </c>
      <c r="U1111">
        <f>IF($N1111="","",IF(Sync!$O1111="",0,Sync!$O1111))</f>
        <v/>
      </c>
      <c r="V1111">
        <f>IF($N1111="","",Sync!$L1111)</f>
        <v/>
      </c>
      <c r="W1111">
        <f>IF($N1111="","",Sync!$P1111)</f>
        <v/>
      </c>
    </row>
    <row r="1112">
      <c r="N1112">
        <f>IF(OR(Sync!$M1112="",$Q1112="",$Q1112="نامعتبر"),"",Sync!$M1112)</f>
        <v/>
      </c>
      <c r="O1112">
        <f>IF($N1112="","",$Q1112)</f>
        <v/>
      </c>
      <c r="P1112">
        <f>IF($N1112="","",LEFT($Q1112,4)&amp;MID($Q1112,6,2)&amp;RIGHT($Q1112,2)&amp;IF(Sync!$K1112="","0000",IF(AND(ISNUMBER(Sync!$K1112),Sync!$K1112&gt;=0,Sync!$K1112&lt;1),RIGHT("00"&amp;HOUR(Sync!$K1112),2)&amp;RIGHT("00"&amp;MINUTE(Sync!$K1112),2),IFERROR(RIGHT("00"&amp;VALUE(LEFT(Sync!$K1112,FIND(":",Sync!$K1112)-1)),2)&amp;RIGHT("00"&amp;VALUE(MID(Sync!$K1112,FIND(":",Sync!$K1112)+1,2)),2),"0000")))&amp;"|"&amp;"2"&amp;RIGHT("00000"&amp;1107,5))</f>
        <v/>
      </c>
      <c r="Q1112">
        <f>IF(Sync!$J1112="","",IF(ISNUMBER(Sync!$J1112),IF(AND(Sync!$J1112&gt;=10000101,Sync!$J1112&lt;=99991231),INT(Sync!$J1112/10000)&amp;"/"&amp;RIGHT("00"&amp;INT(MOD(Sync!$J1112,10000)/100),2)&amp;"/"&amp;RIGHT("00"&amp;MOD(Sync!$J1112,100),2),"نامعتبر"),IF(LEN(Sync!$J1112)=10,Sync!$J1112,"نامعتبر")))</f>
        <v/>
      </c>
      <c r="R1112">
        <f>IF($P1112="","",COUNTIFS($N$6:$N$2005,$N1112,$P$6:$P$2005,"&lt;"&amp;$P1112)+COUNTIFS($A$6:$A$1005,$N1112,$B$6:$B$1005,"&lt;"&amp;$P1112)+1)</f>
        <v/>
      </c>
      <c r="S1112">
        <f>IF($N1112="","",$N1112&amp;"|"&amp;RIGHT("000000"&amp;$R1112,6))</f>
        <v/>
      </c>
      <c r="T1112">
        <f>IF($N1112="","",IF(Sync!$N1112="",0,Sync!$N1112))</f>
        <v/>
      </c>
      <c r="U1112">
        <f>IF($N1112="","",IF(Sync!$O1112="",0,Sync!$O1112))</f>
        <v/>
      </c>
      <c r="V1112">
        <f>IF($N1112="","",Sync!$L1112)</f>
        <v/>
      </c>
      <c r="W1112">
        <f>IF($N1112="","",Sync!$P1112)</f>
        <v/>
      </c>
    </row>
    <row r="1113">
      <c r="N1113">
        <f>IF(OR(Sync!$M1113="",$Q1113="",$Q1113="نامعتبر"),"",Sync!$M1113)</f>
        <v/>
      </c>
      <c r="O1113">
        <f>IF($N1113="","",$Q1113)</f>
        <v/>
      </c>
      <c r="P1113">
        <f>IF($N1113="","",LEFT($Q1113,4)&amp;MID($Q1113,6,2)&amp;RIGHT($Q1113,2)&amp;IF(Sync!$K1113="","0000",IF(AND(ISNUMBER(Sync!$K1113),Sync!$K1113&gt;=0,Sync!$K1113&lt;1),RIGHT("00"&amp;HOUR(Sync!$K1113),2)&amp;RIGHT("00"&amp;MINUTE(Sync!$K1113),2),IFERROR(RIGHT("00"&amp;VALUE(LEFT(Sync!$K1113,FIND(":",Sync!$K1113)-1)),2)&amp;RIGHT("00"&amp;VALUE(MID(Sync!$K1113,FIND(":",Sync!$K1113)+1,2)),2),"0000")))&amp;"|"&amp;"2"&amp;RIGHT("00000"&amp;1108,5))</f>
        <v/>
      </c>
      <c r="Q1113">
        <f>IF(Sync!$J1113="","",IF(ISNUMBER(Sync!$J1113),IF(AND(Sync!$J1113&gt;=10000101,Sync!$J1113&lt;=99991231),INT(Sync!$J1113/10000)&amp;"/"&amp;RIGHT("00"&amp;INT(MOD(Sync!$J1113,10000)/100),2)&amp;"/"&amp;RIGHT("00"&amp;MOD(Sync!$J1113,100),2),"نامعتبر"),IF(LEN(Sync!$J1113)=10,Sync!$J1113,"نامعتبر")))</f>
        <v/>
      </c>
      <c r="R1113">
        <f>IF($P1113="","",COUNTIFS($N$6:$N$2005,$N1113,$P$6:$P$2005,"&lt;"&amp;$P1113)+COUNTIFS($A$6:$A$1005,$N1113,$B$6:$B$1005,"&lt;"&amp;$P1113)+1)</f>
        <v/>
      </c>
      <c r="S1113">
        <f>IF($N1113="","",$N1113&amp;"|"&amp;RIGHT("000000"&amp;$R1113,6))</f>
        <v/>
      </c>
      <c r="T1113">
        <f>IF($N1113="","",IF(Sync!$N1113="",0,Sync!$N1113))</f>
        <v/>
      </c>
      <c r="U1113">
        <f>IF($N1113="","",IF(Sync!$O1113="",0,Sync!$O1113))</f>
        <v/>
      </c>
      <c r="V1113">
        <f>IF($N1113="","",Sync!$L1113)</f>
        <v/>
      </c>
      <c r="W1113">
        <f>IF($N1113="","",Sync!$P1113)</f>
        <v/>
      </c>
    </row>
    <row r="1114">
      <c r="N1114">
        <f>IF(OR(Sync!$M1114="",$Q1114="",$Q1114="نامعتبر"),"",Sync!$M1114)</f>
        <v/>
      </c>
      <c r="O1114">
        <f>IF($N1114="","",$Q1114)</f>
        <v/>
      </c>
      <c r="P1114">
        <f>IF($N1114="","",LEFT($Q1114,4)&amp;MID($Q1114,6,2)&amp;RIGHT($Q1114,2)&amp;IF(Sync!$K1114="","0000",IF(AND(ISNUMBER(Sync!$K1114),Sync!$K1114&gt;=0,Sync!$K1114&lt;1),RIGHT("00"&amp;HOUR(Sync!$K1114),2)&amp;RIGHT("00"&amp;MINUTE(Sync!$K1114),2),IFERROR(RIGHT("00"&amp;VALUE(LEFT(Sync!$K1114,FIND(":",Sync!$K1114)-1)),2)&amp;RIGHT("00"&amp;VALUE(MID(Sync!$K1114,FIND(":",Sync!$K1114)+1,2)),2),"0000")))&amp;"|"&amp;"2"&amp;RIGHT("00000"&amp;1109,5))</f>
        <v/>
      </c>
      <c r="Q1114">
        <f>IF(Sync!$J1114="","",IF(ISNUMBER(Sync!$J1114),IF(AND(Sync!$J1114&gt;=10000101,Sync!$J1114&lt;=99991231),INT(Sync!$J1114/10000)&amp;"/"&amp;RIGHT("00"&amp;INT(MOD(Sync!$J1114,10000)/100),2)&amp;"/"&amp;RIGHT("00"&amp;MOD(Sync!$J1114,100),2),"نامعتبر"),IF(LEN(Sync!$J1114)=10,Sync!$J1114,"نامعتبر")))</f>
        <v/>
      </c>
      <c r="R1114">
        <f>IF($P1114="","",COUNTIFS($N$6:$N$2005,$N1114,$P$6:$P$2005,"&lt;"&amp;$P1114)+COUNTIFS($A$6:$A$1005,$N1114,$B$6:$B$1005,"&lt;"&amp;$P1114)+1)</f>
        <v/>
      </c>
      <c r="S1114">
        <f>IF($N1114="","",$N1114&amp;"|"&amp;RIGHT("000000"&amp;$R1114,6))</f>
        <v/>
      </c>
      <c r="T1114">
        <f>IF($N1114="","",IF(Sync!$N1114="",0,Sync!$N1114))</f>
        <v/>
      </c>
      <c r="U1114">
        <f>IF($N1114="","",IF(Sync!$O1114="",0,Sync!$O1114))</f>
        <v/>
      </c>
      <c r="V1114">
        <f>IF($N1114="","",Sync!$L1114)</f>
        <v/>
      </c>
      <c r="W1114">
        <f>IF($N1114="","",Sync!$P1114)</f>
        <v/>
      </c>
    </row>
    <row r="1115">
      <c r="N1115">
        <f>IF(OR(Sync!$M1115="",$Q1115="",$Q1115="نامعتبر"),"",Sync!$M1115)</f>
        <v/>
      </c>
      <c r="O1115">
        <f>IF($N1115="","",$Q1115)</f>
        <v/>
      </c>
      <c r="P1115">
        <f>IF($N1115="","",LEFT($Q1115,4)&amp;MID($Q1115,6,2)&amp;RIGHT($Q1115,2)&amp;IF(Sync!$K1115="","0000",IF(AND(ISNUMBER(Sync!$K1115),Sync!$K1115&gt;=0,Sync!$K1115&lt;1),RIGHT("00"&amp;HOUR(Sync!$K1115),2)&amp;RIGHT("00"&amp;MINUTE(Sync!$K1115),2),IFERROR(RIGHT("00"&amp;VALUE(LEFT(Sync!$K1115,FIND(":",Sync!$K1115)-1)),2)&amp;RIGHT("00"&amp;VALUE(MID(Sync!$K1115,FIND(":",Sync!$K1115)+1,2)),2),"0000")))&amp;"|"&amp;"2"&amp;RIGHT("00000"&amp;1110,5))</f>
        <v/>
      </c>
      <c r="Q1115">
        <f>IF(Sync!$J1115="","",IF(ISNUMBER(Sync!$J1115),IF(AND(Sync!$J1115&gt;=10000101,Sync!$J1115&lt;=99991231),INT(Sync!$J1115/10000)&amp;"/"&amp;RIGHT("00"&amp;INT(MOD(Sync!$J1115,10000)/100),2)&amp;"/"&amp;RIGHT("00"&amp;MOD(Sync!$J1115,100),2),"نامعتبر"),IF(LEN(Sync!$J1115)=10,Sync!$J1115,"نامعتبر")))</f>
        <v/>
      </c>
      <c r="R1115">
        <f>IF($P1115="","",COUNTIFS($N$6:$N$2005,$N1115,$P$6:$P$2005,"&lt;"&amp;$P1115)+COUNTIFS($A$6:$A$1005,$N1115,$B$6:$B$1005,"&lt;"&amp;$P1115)+1)</f>
        <v/>
      </c>
      <c r="S1115">
        <f>IF($N1115="","",$N1115&amp;"|"&amp;RIGHT("000000"&amp;$R1115,6))</f>
        <v/>
      </c>
      <c r="T1115">
        <f>IF($N1115="","",IF(Sync!$N1115="",0,Sync!$N1115))</f>
        <v/>
      </c>
      <c r="U1115">
        <f>IF($N1115="","",IF(Sync!$O1115="",0,Sync!$O1115))</f>
        <v/>
      </c>
      <c r="V1115">
        <f>IF($N1115="","",Sync!$L1115)</f>
        <v/>
      </c>
      <c r="W1115">
        <f>IF($N1115="","",Sync!$P1115)</f>
        <v/>
      </c>
    </row>
    <row r="1116">
      <c r="N1116">
        <f>IF(OR(Sync!$M1116="",$Q1116="",$Q1116="نامعتبر"),"",Sync!$M1116)</f>
        <v/>
      </c>
      <c r="O1116">
        <f>IF($N1116="","",$Q1116)</f>
        <v/>
      </c>
      <c r="P1116">
        <f>IF($N1116="","",LEFT($Q1116,4)&amp;MID($Q1116,6,2)&amp;RIGHT($Q1116,2)&amp;IF(Sync!$K1116="","0000",IF(AND(ISNUMBER(Sync!$K1116),Sync!$K1116&gt;=0,Sync!$K1116&lt;1),RIGHT("00"&amp;HOUR(Sync!$K1116),2)&amp;RIGHT("00"&amp;MINUTE(Sync!$K1116),2),IFERROR(RIGHT("00"&amp;VALUE(LEFT(Sync!$K1116,FIND(":",Sync!$K1116)-1)),2)&amp;RIGHT("00"&amp;VALUE(MID(Sync!$K1116,FIND(":",Sync!$K1116)+1,2)),2),"0000")))&amp;"|"&amp;"2"&amp;RIGHT("00000"&amp;1111,5))</f>
        <v/>
      </c>
      <c r="Q1116">
        <f>IF(Sync!$J1116="","",IF(ISNUMBER(Sync!$J1116),IF(AND(Sync!$J1116&gt;=10000101,Sync!$J1116&lt;=99991231),INT(Sync!$J1116/10000)&amp;"/"&amp;RIGHT("00"&amp;INT(MOD(Sync!$J1116,10000)/100),2)&amp;"/"&amp;RIGHT("00"&amp;MOD(Sync!$J1116,100),2),"نامعتبر"),IF(LEN(Sync!$J1116)=10,Sync!$J1116,"نامعتبر")))</f>
        <v/>
      </c>
      <c r="R1116">
        <f>IF($P1116="","",COUNTIFS($N$6:$N$2005,$N1116,$P$6:$P$2005,"&lt;"&amp;$P1116)+COUNTIFS($A$6:$A$1005,$N1116,$B$6:$B$1005,"&lt;"&amp;$P1116)+1)</f>
        <v/>
      </c>
      <c r="S1116">
        <f>IF($N1116="","",$N1116&amp;"|"&amp;RIGHT("000000"&amp;$R1116,6))</f>
        <v/>
      </c>
      <c r="T1116">
        <f>IF($N1116="","",IF(Sync!$N1116="",0,Sync!$N1116))</f>
        <v/>
      </c>
      <c r="U1116">
        <f>IF($N1116="","",IF(Sync!$O1116="",0,Sync!$O1116))</f>
        <v/>
      </c>
      <c r="V1116">
        <f>IF($N1116="","",Sync!$L1116)</f>
        <v/>
      </c>
      <c r="W1116">
        <f>IF($N1116="","",Sync!$P1116)</f>
        <v/>
      </c>
    </row>
    <row r="1117">
      <c r="N1117">
        <f>IF(OR(Sync!$M1117="",$Q1117="",$Q1117="نامعتبر"),"",Sync!$M1117)</f>
        <v/>
      </c>
      <c r="O1117">
        <f>IF($N1117="","",$Q1117)</f>
        <v/>
      </c>
      <c r="P1117">
        <f>IF($N1117="","",LEFT($Q1117,4)&amp;MID($Q1117,6,2)&amp;RIGHT($Q1117,2)&amp;IF(Sync!$K1117="","0000",IF(AND(ISNUMBER(Sync!$K1117),Sync!$K1117&gt;=0,Sync!$K1117&lt;1),RIGHT("00"&amp;HOUR(Sync!$K1117),2)&amp;RIGHT("00"&amp;MINUTE(Sync!$K1117),2),IFERROR(RIGHT("00"&amp;VALUE(LEFT(Sync!$K1117,FIND(":",Sync!$K1117)-1)),2)&amp;RIGHT("00"&amp;VALUE(MID(Sync!$K1117,FIND(":",Sync!$K1117)+1,2)),2),"0000")))&amp;"|"&amp;"2"&amp;RIGHT("00000"&amp;1112,5))</f>
        <v/>
      </c>
      <c r="Q1117">
        <f>IF(Sync!$J1117="","",IF(ISNUMBER(Sync!$J1117),IF(AND(Sync!$J1117&gt;=10000101,Sync!$J1117&lt;=99991231),INT(Sync!$J1117/10000)&amp;"/"&amp;RIGHT("00"&amp;INT(MOD(Sync!$J1117,10000)/100),2)&amp;"/"&amp;RIGHT("00"&amp;MOD(Sync!$J1117,100),2),"نامعتبر"),IF(LEN(Sync!$J1117)=10,Sync!$J1117,"نامعتبر")))</f>
        <v/>
      </c>
      <c r="R1117">
        <f>IF($P1117="","",COUNTIFS($N$6:$N$2005,$N1117,$P$6:$P$2005,"&lt;"&amp;$P1117)+COUNTIFS($A$6:$A$1005,$N1117,$B$6:$B$1005,"&lt;"&amp;$P1117)+1)</f>
        <v/>
      </c>
      <c r="S1117">
        <f>IF($N1117="","",$N1117&amp;"|"&amp;RIGHT("000000"&amp;$R1117,6))</f>
        <v/>
      </c>
      <c r="T1117">
        <f>IF($N1117="","",IF(Sync!$N1117="",0,Sync!$N1117))</f>
        <v/>
      </c>
      <c r="U1117">
        <f>IF($N1117="","",IF(Sync!$O1117="",0,Sync!$O1117))</f>
        <v/>
      </c>
      <c r="V1117">
        <f>IF($N1117="","",Sync!$L1117)</f>
        <v/>
      </c>
      <c r="W1117">
        <f>IF($N1117="","",Sync!$P1117)</f>
        <v/>
      </c>
    </row>
    <row r="1118">
      <c r="N1118">
        <f>IF(OR(Sync!$M1118="",$Q1118="",$Q1118="نامعتبر"),"",Sync!$M1118)</f>
        <v/>
      </c>
      <c r="O1118">
        <f>IF($N1118="","",$Q1118)</f>
        <v/>
      </c>
      <c r="P1118">
        <f>IF($N1118="","",LEFT($Q1118,4)&amp;MID($Q1118,6,2)&amp;RIGHT($Q1118,2)&amp;IF(Sync!$K1118="","0000",IF(AND(ISNUMBER(Sync!$K1118),Sync!$K1118&gt;=0,Sync!$K1118&lt;1),RIGHT("00"&amp;HOUR(Sync!$K1118),2)&amp;RIGHT("00"&amp;MINUTE(Sync!$K1118),2),IFERROR(RIGHT("00"&amp;VALUE(LEFT(Sync!$K1118,FIND(":",Sync!$K1118)-1)),2)&amp;RIGHT("00"&amp;VALUE(MID(Sync!$K1118,FIND(":",Sync!$K1118)+1,2)),2),"0000")))&amp;"|"&amp;"2"&amp;RIGHT("00000"&amp;1113,5))</f>
        <v/>
      </c>
      <c r="Q1118">
        <f>IF(Sync!$J1118="","",IF(ISNUMBER(Sync!$J1118),IF(AND(Sync!$J1118&gt;=10000101,Sync!$J1118&lt;=99991231),INT(Sync!$J1118/10000)&amp;"/"&amp;RIGHT("00"&amp;INT(MOD(Sync!$J1118,10000)/100),2)&amp;"/"&amp;RIGHT("00"&amp;MOD(Sync!$J1118,100),2),"نامعتبر"),IF(LEN(Sync!$J1118)=10,Sync!$J1118,"نامعتبر")))</f>
        <v/>
      </c>
      <c r="R1118">
        <f>IF($P1118="","",COUNTIFS($N$6:$N$2005,$N1118,$P$6:$P$2005,"&lt;"&amp;$P1118)+COUNTIFS($A$6:$A$1005,$N1118,$B$6:$B$1005,"&lt;"&amp;$P1118)+1)</f>
        <v/>
      </c>
      <c r="S1118">
        <f>IF($N1118="","",$N1118&amp;"|"&amp;RIGHT("000000"&amp;$R1118,6))</f>
        <v/>
      </c>
      <c r="T1118">
        <f>IF($N1118="","",IF(Sync!$N1118="",0,Sync!$N1118))</f>
        <v/>
      </c>
      <c r="U1118">
        <f>IF($N1118="","",IF(Sync!$O1118="",0,Sync!$O1118))</f>
        <v/>
      </c>
      <c r="V1118">
        <f>IF($N1118="","",Sync!$L1118)</f>
        <v/>
      </c>
      <c r="W1118">
        <f>IF($N1118="","",Sync!$P1118)</f>
        <v/>
      </c>
    </row>
    <row r="1119">
      <c r="N1119">
        <f>IF(OR(Sync!$M1119="",$Q1119="",$Q1119="نامعتبر"),"",Sync!$M1119)</f>
        <v/>
      </c>
      <c r="O1119">
        <f>IF($N1119="","",$Q1119)</f>
        <v/>
      </c>
      <c r="P1119">
        <f>IF($N1119="","",LEFT($Q1119,4)&amp;MID($Q1119,6,2)&amp;RIGHT($Q1119,2)&amp;IF(Sync!$K1119="","0000",IF(AND(ISNUMBER(Sync!$K1119),Sync!$K1119&gt;=0,Sync!$K1119&lt;1),RIGHT("00"&amp;HOUR(Sync!$K1119),2)&amp;RIGHT("00"&amp;MINUTE(Sync!$K1119),2),IFERROR(RIGHT("00"&amp;VALUE(LEFT(Sync!$K1119,FIND(":",Sync!$K1119)-1)),2)&amp;RIGHT("00"&amp;VALUE(MID(Sync!$K1119,FIND(":",Sync!$K1119)+1,2)),2),"0000")))&amp;"|"&amp;"2"&amp;RIGHT("00000"&amp;1114,5))</f>
        <v/>
      </c>
      <c r="Q1119">
        <f>IF(Sync!$J1119="","",IF(ISNUMBER(Sync!$J1119),IF(AND(Sync!$J1119&gt;=10000101,Sync!$J1119&lt;=99991231),INT(Sync!$J1119/10000)&amp;"/"&amp;RIGHT("00"&amp;INT(MOD(Sync!$J1119,10000)/100),2)&amp;"/"&amp;RIGHT("00"&amp;MOD(Sync!$J1119,100),2),"نامعتبر"),IF(LEN(Sync!$J1119)=10,Sync!$J1119,"نامعتبر")))</f>
        <v/>
      </c>
      <c r="R1119">
        <f>IF($P1119="","",COUNTIFS($N$6:$N$2005,$N1119,$P$6:$P$2005,"&lt;"&amp;$P1119)+COUNTIFS($A$6:$A$1005,$N1119,$B$6:$B$1005,"&lt;"&amp;$P1119)+1)</f>
        <v/>
      </c>
      <c r="S1119">
        <f>IF($N1119="","",$N1119&amp;"|"&amp;RIGHT("000000"&amp;$R1119,6))</f>
        <v/>
      </c>
      <c r="T1119">
        <f>IF($N1119="","",IF(Sync!$N1119="",0,Sync!$N1119))</f>
        <v/>
      </c>
      <c r="U1119">
        <f>IF($N1119="","",IF(Sync!$O1119="",0,Sync!$O1119))</f>
        <v/>
      </c>
      <c r="V1119">
        <f>IF($N1119="","",Sync!$L1119)</f>
        <v/>
      </c>
      <c r="W1119">
        <f>IF($N1119="","",Sync!$P1119)</f>
        <v/>
      </c>
    </row>
    <row r="1120">
      <c r="N1120">
        <f>IF(OR(Sync!$M1120="",$Q1120="",$Q1120="نامعتبر"),"",Sync!$M1120)</f>
        <v/>
      </c>
      <c r="O1120">
        <f>IF($N1120="","",$Q1120)</f>
        <v/>
      </c>
      <c r="P1120">
        <f>IF($N1120="","",LEFT($Q1120,4)&amp;MID($Q1120,6,2)&amp;RIGHT($Q1120,2)&amp;IF(Sync!$K1120="","0000",IF(AND(ISNUMBER(Sync!$K1120),Sync!$K1120&gt;=0,Sync!$K1120&lt;1),RIGHT("00"&amp;HOUR(Sync!$K1120),2)&amp;RIGHT("00"&amp;MINUTE(Sync!$K1120),2),IFERROR(RIGHT("00"&amp;VALUE(LEFT(Sync!$K1120,FIND(":",Sync!$K1120)-1)),2)&amp;RIGHT("00"&amp;VALUE(MID(Sync!$K1120,FIND(":",Sync!$K1120)+1,2)),2),"0000")))&amp;"|"&amp;"2"&amp;RIGHT("00000"&amp;1115,5))</f>
        <v/>
      </c>
      <c r="Q1120">
        <f>IF(Sync!$J1120="","",IF(ISNUMBER(Sync!$J1120),IF(AND(Sync!$J1120&gt;=10000101,Sync!$J1120&lt;=99991231),INT(Sync!$J1120/10000)&amp;"/"&amp;RIGHT("00"&amp;INT(MOD(Sync!$J1120,10000)/100),2)&amp;"/"&amp;RIGHT("00"&amp;MOD(Sync!$J1120,100),2),"نامعتبر"),IF(LEN(Sync!$J1120)=10,Sync!$J1120,"نامعتبر")))</f>
        <v/>
      </c>
      <c r="R1120">
        <f>IF($P1120="","",COUNTIFS($N$6:$N$2005,$N1120,$P$6:$P$2005,"&lt;"&amp;$P1120)+COUNTIFS($A$6:$A$1005,$N1120,$B$6:$B$1005,"&lt;"&amp;$P1120)+1)</f>
        <v/>
      </c>
      <c r="S1120">
        <f>IF($N1120="","",$N1120&amp;"|"&amp;RIGHT("000000"&amp;$R1120,6))</f>
        <v/>
      </c>
      <c r="T1120">
        <f>IF($N1120="","",IF(Sync!$N1120="",0,Sync!$N1120))</f>
        <v/>
      </c>
      <c r="U1120">
        <f>IF($N1120="","",IF(Sync!$O1120="",0,Sync!$O1120))</f>
        <v/>
      </c>
      <c r="V1120">
        <f>IF($N1120="","",Sync!$L1120)</f>
        <v/>
      </c>
      <c r="W1120">
        <f>IF($N1120="","",Sync!$P1120)</f>
        <v/>
      </c>
    </row>
    <row r="1121">
      <c r="N1121">
        <f>IF(OR(Sync!$M1121="",$Q1121="",$Q1121="نامعتبر"),"",Sync!$M1121)</f>
        <v/>
      </c>
      <c r="O1121">
        <f>IF($N1121="","",$Q1121)</f>
        <v/>
      </c>
      <c r="P1121">
        <f>IF($N1121="","",LEFT($Q1121,4)&amp;MID($Q1121,6,2)&amp;RIGHT($Q1121,2)&amp;IF(Sync!$K1121="","0000",IF(AND(ISNUMBER(Sync!$K1121),Sync!$K1121&gt;=0,Sync!$K1121&lt;1),RIGHT("00"&amp;HOUR(Sync!$K1121),2)&amp;RIGHT("00"&amp;MINUTE(Sync!$K1121),2),IFERROR(RIGHT("00"&amp;VALUE(LEFT(Sync!$K1121,FIND(":",Sync!$K1121)-1)),2)&amp;RIGHT("00"&amp;VALUE(MID(Sync!$K1121,FIND(":",Sync!$K1121)+1,2)),2),"0000")))&amp;"|"&amp;"2"&amp;RIGHT("00000"&amp;1116,5))</f>
        <v/>
      </c>
      <c r="Q1121">
        <f>IF(Sync!$J1121="","",IF(ISNUMBER(Sync!$J1121),IF(AND(Sync!$J1121&gt;=10000101,Sync!$J1121&lt;=99991231),INT(Sync!$J1121/10000)&amp;"/"&amp;RIGHT("00"&amp;INT(MOD(Sync!$J1121,10000)/100),2)&amp;"/"&amp;RIGHT("00"&amp;MOD(Sync!$J1121,100),2),"نامعتبر"),IF(LEN(Sync!$J1121)=10,Sync!$J1121,"نامعتبر")))</f>
        <v/>
      </c>
      <c r="R1121">
        <f>IF($P1121="","",COUNTIFS($N$6:$N$2005,$N1121,$P$6:$P$2005,"&lt;"&amp;$P1121)+COUNTIFS($A$6:$A$1005,$N1121,$B$6:$B$1005,"&lt;"&amp;$P1121)+1)</f>
        <v/>
      </c>
      <c r="S1121">
        <f>IF($N1121="","",$N1121&amp;"|"&amp;RIGHT("000000"&amp;$R1121,6))</f>
        <v/>
      </c>
      <c r="T1121">
        <f>IF($N1121="","",IF(Sync!$N1121="",0,Sync!$N1121))</f>
        <v/>
      </c>
      <c r="U1121">
        <f>IF($N1121="","",IF(Sync!$O1121="",0,Sync!$O1121))</f>
        <v/>
      </c>
      <c r="V1121">
        <f>IF($N1121="","",Sync!$L1121)</f>
        <v/>
      </c>
      <c r="W1121">
        <f>IF($N1121="","",Sync!$P1121)</f>
        <v/>
      </c>
    </row>
    <row r="1122">
      <c r="N1122">
        <f>IF(OR(Sync!$M1122="",$Q1122="",$Q1122="نامعتبر"),"",Sync!$M1122)</f>
        <v/>
      </c>
      <c r="O1122">
        <f>IF($N1122="","",$Q1122)</f>
        <v/>
      </c>
      <c r="P1122">
        <f>IF($N1122="","",LEFT($Q1122,4)&amp;MID($Q1122,6,2)&amp;RIGHT($Q1122,2)&amp;IF(Sync!$K1122="","0000",IF(AND(ISNUMBER(Sync!$K1122),Sync!$K1122&gt;=0,Sync!$K1122&lt;1),RIGHT("00"&amp;HOUR(Sync!$K1122),2)&amp;RIGHT("00"&amp;MINUTE(Sync!$K1122),2),IFERROR(RIGHT("00"&amp;VALUE(LEFT(Sync!$K1122,FIND(":",Sync!$K1122)-1)),2)&amp;RIGHT("00"&amp;VALUE(MID(Sync!$K1122,FIND(":",Sync!$K1122)+1,2)),2),"0000")))&amp;"|"&amp;"2"&amp;RIGHT("00000"&amp;1117,5))</f>
        <v/>
      </c>
      <c r="Q1122">
        <f>IF(Sync!$J1122="","",IF(ISNUMBER(Sync!$J1122),IF(AND(Sync!$J1122&gt;=10000101,Sync!$J1122&lt;=99991231),INT(Sync!$J1122/10000)&amp;"/"&amp;RIGHT("00"&amp;INT(MOD(Sync!$J1122,10000)/100),2)&amp;"/"&amp;RIGHT("00"&amp;MOD(Sync!$J1122,100),2),"نامعتبر"),IF(LEN(Sync!$J1122)=10,Sync!$J1122,"نامعتبر")))</f>
        <v/>
      </c>
      <c r="R1122">
        <f>IF($P1122="","",COUNTIFS($N$6:$N$2005,$N1122,$P$6:$P$2005,"&lt;"&amp;$P1122)+COUNTIFS($A$6:$A$1005,$N1122,$B$6:$B$1005,"&lt;"&amp;$P1122)+1)</f>
        <v/>
      </c>
      <c r="S1122">
        <f>IF($N1122="","",$N1122&amp;"|"&amp;RIGHT("000000"&amp;$R1122,6))</f>
        <v/>
      </c>
      <c r="T1122">
        <f>IF($N1122="","",IF(Sync!$N1122="",0,Sync!$N1122))</f>
        <v/>
      </c>
      <c r="U1122">
        <f>IF($N1122="","",IF(Sync!$O1122="",0,Sync!$O1122))</f>
        <v/>
      </c>
      <c r="V1122">
        <f>IF($N1122="","",Sync!$L1122)</f>
        <v/>
      </c>
      <c r="W1122">
        <f>IF($N1122="","",Sync!$P1122)</f>
        <v/>
      </c>
    </row>
    <row r="1123">
      <c r="N1123">
        <f>IF(OR(Sync!$M1123="",$Q1123="",$Q1123="نامعتبر"),"",Sync!$M1123)</f>
        <v/>
      </c>
      <c r="O1123">
        <f>IF($N1123="","",$Q1123)</f>
        <v/>
      </c>
      <c r="P1123">
        <f>IF($N1123="","",LEFT($Q1123,4)&amp;MID($Q1123,6,2)&amp;RIGHT($Q1123,2)&amp;IF(Sync!$K1123="","0000",IF(AND(ISNUMBER(Sync!$K1123),Sync!$K1123&gt;=0,Sync!$K1123&lt;1),RIGHT("00"&amp;HOUR(Sync!$K1123),2)&amp;RIGHT("00"&amp;MINUTE(Sync!$K1123),2),IFERROR(RIGHT("00"&amp;VALUE(LEFT(Sync!$K1123,FIND(":",Sync!$K1123)-1)),2)&amp;RIGHT("00"&amp;VALUE(MID(Sync!$K1123,FIND(":",Sync!$K1123)+1,2)),2),"0000")))&amp;"|"&amp;"2"&amp;RIGHT("00000"&amp;1118,5))</f>
        <v/>
      </c>
      <c r="Q1123">
        <f>IF(Sync!$J1123="","",IF(ISNUMBER(Sync!$J1123),IF(AND(Sync!$J1123&gt;=10000101,Sync!$J1123&lt;=99991231),INT(Sync!$J1123/10000)&amp;"/"&amp;RIGHT("00"&amp;INT(MOD(Sync!$J1123,10000)/100),2)&amp;"/"&amp;RIGHT("00"&amp;MOD(Sync!$J1123,100),2),"نامعتبر"),IF(LEN(Sync!$J1123)=10,Sync!$J1123,"نامعتبر")))</f>
        <v/>
      </c>
      <c r="R1123">
        <f>IF($P1123="","",COUNTIFS($N$6:$N$2005,$N1123,$P$6:$P$2005,"&lt;"&amp;$P1123)+COUNTIFS($A$6:$A$1005,$N1123,$B$6:$B$1005,"&lt;"&amp;$P1123)+1)</f>
        <v/>
      </c>
      <c r="S1123">
        <f>IF($N1123="","",$N1123&amp;"|"&amp;RIGHT("000000"&amp;$R1123,6))</f>
        <v/>
      </c>
      <c r="T1123">
        <f>IF($N1123="","",IF(Sync!$N1123="",0,Sync!$N1123))</f>
        <v/>
      </c>
      <c r="U1123">
        <f>IF($N1123="","",IF(Sync!$O1123="",0,Sync!$O1123))</f>
        <v/>
      </c>
      <c r="V1123">
        <f>IF($N1123="","",Sync!$L1123)</f>
        <v/>
      </c>
      <c r="W1123">
        <f>IF($N1123="","",Sync!$P1123)</f>
        <v/>
      </c>
    </row>
    <row r="1124">
      <c r="N1124">
        <f>IF(OR(Sync!$M1124="",$Q1124="",$Q1124="نامعتبر"),"",Sync!$M1124)</f>
        <v/>
      </c>
      <c r="O1124">
        <f>IF($N1124="","",$Q1124)</f>
        <v/>
      </c>
      <c r="P1124">
        <f>IF($N1124="","",LEFT($Q1124,4)&amp;MID($Q1124,6,2)&amp;RIGHT($Q1124,2)&amp;IF(Sync!$K1124="","0000",IF(AND(ISNUMBER(Sync!$K1124),Sync!$K1124&gt;=0,Sync!$K1124&lt;1),RIGHT("00"&amp;HOUR(Sync!$K1124),2)&amp;RIGHT("00"&amp;MINUTE(Sync!$K1124),2),IFERROR(RIGHT("00"&amp;VALUE(LEFT(Sync!$K1124,FIND(":",Sync!$K1124)-1)),2)&amp;RIGHT("00"&amp;VALUE(MID(Sync!$K1124,FIND(":",Sync!$K1124)+1,2)),2),"0000")))&amp;"|"&amp;"2"&amp;RIGHT("00000"&amp;1119,5))</f>
        <v/>
      </c>
      <c r="Q1124">
        <f>IF(Sync!$J1124="","",IF(ISNUMBER(Sync!$J1124),IF(AND(Sync!$J1124&gt;=10000101,Sync!$J1124&lt;=99991231),INT(Sync!$J1124/10000)&amp;"/"&amp;RIGHT("00"&amp;INT(MOD(Sync!$J1124,10000)/100),2)&amp;"/"&amp;RIGHT("00"&amp;MOD(Sync!$J1124,100),2),"نامعتبر"),IF(LEN(Sync!$J1124)=10,Sync!$J1124,"نامعتبر")))</f>
        <v/>
      </c>
      <c r="R1124">
        <f>IF($P1124="","",COUNTIFS($N$6:$N$2005,$N1124,$P$6:$P$2005,"&lt;"&amp;$P1124)+COUNTIFS($A$6:$A$1005,$N1124,$B$6:$B$1005,"&lt;"&amp;$P1124)+1)</f>
        <v/>
      </c>
      <c r="S1124">
        <f>IF($N1124="","",$N1124&amp;"|"&amp;RIGHT("000000"&amp;$R1124,6))</f>
        <v/>
      </c>
      <c r="T1124">
        <f>IF($N1124="","",IF(Sync!$N1124="",0,Sync!$N1124))</f>
        <v/>
      </c>
      <c r="U1124">
        <f>IF($N1124="","",IF(Sync!$O1124="",0,Sync!$O1124))</f>
        <v/>
      </c>
      <c r="V1124">
        <f>IF($N1124="","",Sync!$L1124)</f>
        <v/>
      </c>
      <c r="W1124">
        <f>IF($N1124="","",Sync!$P1124)</f>
        <v/>
      </c>
    </row>
    <row r="1125">
      <c r="N1125">
        <f>IF(OR(Sync!$M1125="",$Q1125="",$Q1125="نامعتبر"),"",Sync!$M1125)</f>
        <v/>
      </c>
      <c r="O1125">
        <f>IF($N1125="","",$Q1125)</f>
        <v/>
      </c>
      <c r="P1125">
        <f>IF($N1125="","",LEFT($Q1125,4)&amp;MID($Q1125,6,2)&amp;RIGHT($Q1125,2)&amp;IF(Sync!$K1125="","0000",IF(AND(ISNUMBER(Sync!$K1125),Sync!$K1125&gt;=0,Sync!$K1125&lt;1),RIGHT("00"&amp;HOUR(Sync!$K1125),2)&amp;RIGHT("00"&amp;MINUTE(Sync!$K1125),2),IFERROR(RIGHT("00"&amp;VALUE(LEFT(Sync!$K1125,FIND(":",Sync!$K1125)-1)),2)&amp;RIGHT("00"&amp;VALUE(MID(Sync!$K1125,FIND(":",Sync!$K1125)+1,2)),2),"0000")))&amp;"|"&amp;"2"&amp;RIGHT("00000"&amp;1120,5))</f>
        <v/>
      </c>
      <c r="Q1125">
        <f>IF(Sync!$J1125="","",IF(ISNUMBER(Sync!$J1125),IF(AND(Sync!$J1125&gt;=10000101,Sync!$J1125&lt;=99991231),INT(Sync!$J1125/10000)&amp;"/"&amp;RIGHT("00"&amp;INT(MOD(Sync!$J1125,10000)/100),2)&amp;"/"&amp;RIGHT("00"&amp;MOD(Sync!$J1125,100),2),"نامعتبر"),IF(LEN(Sync!$J1125)=10,Sync!$J1125,"نامعتبر")))</f>
        <v/>
      </c>
      <c r="R1125">
        <f>IF($P1125="","",COUNTIFS($N$6:$N$2005,$N1125,$P$6:$P$2005,"&lt;"&amp;$P1125)+COUNTIFS($A$6:$A$1005,$N1125,$B$6:$B$1005,"&lt;"&amp;$P1125)+1)</f>
        <v/>
      </c>
      <c r="S1125">
        <f>IF($N1125="","",$N1125&amp;"|"&amp;RIGHT("000000"&amp;$R1125,6))</f>
        <v/>
      </c>
      <c r="T1125">
        <f>IF($N1125="","",IF(Sync!$N1125="",0,Sync!$N1125))</f>
        <v/>
      </c>
      <c r="U1125">
        <f>IF($N1125="","",IF(Sync!$O1125="",0,Sync!$O1125))</f>
        <v/>
      </c>
      <c r="V1125">
        <f>IF($N1125="","",Sync!$L1125)</f>
        <v/>
      </c>
      <c r="W1125">
        <f>IF($N1125="","",Sync!$P1125)</f>
        <v/>
      </c>
    </row>
    <row r="1126">
      <c r="N1126">
        <f>IF(OR(Sync!$M1126="",$Q1126="",$Q1126="نامعتبر"),"",Sync!$M1126)</f>
        <v/>
      </c>
      <c r="O1126">
        <f>IF($N1126="","",$Q1126)</f>
        <v/>
      </c>
      <c r="P1126">
        <f>IF($N1126="","",LEFT($Q1126,4)&amp;MID($Q1126,6,2)&amp;RIGHT($Q1126,2)&amp;IF(Sync!$K1126="","0000",IF(AND(ISNUMBER(Sync!$K1126),Sync!$K1126&gt;=0,Sync!$K1126&lt;1),RIGHT("00"&amp;HOUR(Sync!$K1126),2)&amp;RIGHT("00"&amp;MINUTE(Sync!$K1126),2),IFERROR(RIGHT("00"&amp;VALUE(LEFT(Sync!$K1126,FIND(":",Sync!$K1126)-1)),2)&amp;RIGHT("00"&amp;VALUE(MID(Sync!$K1126,FIND(":",Sync!$K1126)+1,2)),2),"0000")))&amp;"|"&amp;"2"&amp;RIGHT("00000"&amp;1121,5))</f>
        <v/>
      </c>
      <c r="Q1126">
        <f>IF(Sync!$J1126="","",IF(ISNUMBER(Sync!$J1126),IF(AND(Sync!$J1126&gt;=10000101,Sync!$J1126&lt;=99991231),INT(Sync!$J1126/10000)&amp;"/"&amp;RIGHT("00"&amp;INT(MOD(Sync!$J1126,10000)/100),2)&amp;"/"&amp;RIGHT("00"&amp;MOD(Sync!$J1126,100),2),"نامعتبر"),IF(LEN(Sync!$J1126)=10,Sync!$J1126,"نامعتبر")))</f>
        <v/>
      </c>
      <c r="R1126">
        <f>IF($P1126="","",COUNTIFS($N$6:$N$2005,$N1126,$P$6:$P$2005,"&lt;"&amp;$P1126)+COUNTIFS($A$6:$A$1005,$N1126,$B$6:$B$1005,"&lt;"&amp;$P1126)+1)</f>
        <v/>
      </c>
      <c r="S1126">
        <f>IF($N1126="","",$N1126&amp;"|"&amp;RIGHT("000000"&amp;$R1126,6))</f>
        <v/>
      </c>
      <c r="T1126">
        <f>IF($N1126="","",IF(Sync!$N1126="",0,Sync!$N1126))</f>
        <v/>
      </c>
      <c r="U1126">
        <f>IF($N1126="","",IF(Sync!$O1126="",0,Sync!$O1126))</f>
        <v/>
      </c>
      <c r="V1126">
        <f>IF($N1126="","",Sync!$L1126)</f>
        <v/>
      </c>
      <c r="W1126">
        <f>IF($N1126="","",Sync!$P1126)</f>
        <v/>
      </c>
    </row>
    <row r="1127">
      <c r="N1127">
        <f>IF(OR(Sync!$M1127="",$Q1127="",$Q1127="نامعتبر"),"",Sync!$M1127)</f>
        <v/>
      </c>
      <c r="O1127">
        <f>IF($N1127="","",$Q1127)</f>
        <v/>
      </c>
      <c r="P1127">
        <f>IF($N1127="","",LEFT($Q1127,4)&amp;MID($Q1127,6,2)&amp;RIGHT($Q1127,2)&amp;IF(Sync!$K1127="","0000",IF(AND(ISNUMBER(Sync!$K1127),Sync!$K1127&gt;=0,Sync!$K1127&lt;1),RIGHT("00"&amp;HOUR(Sync!$K1127),2)&amp;RIGHT("00"&amp;MINUTE(Sync!$K1127),2),IFERROR(RIGHT("00"&amp;VALUE(LEFT(Sync!$K1127,FIND(":",Sync!$K1127)-1)),2)&amp;RIGHT("00"&amp;VALUE(MID(Sync!$K1127,FIND(":",Sync!$K1127)+1,2)),2),"0000")))&amp;"|"&amp;"2"&amp;RIGHT("00000"&amp;1122,5))</f>
        <v/>
      </c>
      <c r="Q1127">
        <f>IF(Sync!$J1127="","",IF(ISNUMBER(Sync!$J1127),IF(AND(Sync!$J1127&gt;=10000101,Sync!$J1127&lt;=99991231),INT(Sync!$J1127/10000)&amp;"/"&amp;RIGHT("00"&amp;INT(MOD(Sync!$J1127,10000)/100),2)&amp;"/"&amp;RIGHT("00"&amp;MOD(Sync!$J1127,100),2),"نامعتبر"),IF(LEN(Sync!$J1127)=10,Sync!$J1127,"نامعتبر")))</f>
        <v/>
      </c>
      <c r="R1127">
        <f>IF($P1127="","",COUNTIFS($N$6:$N$2005,$N1127,$P$6:$P$2005,"&lt;"&amp;$P1127)+COUNTIFS($A$6:$A$1005,$N1127,$B$6:$B$1005,"&lt;"&amp;$P1127)+1)</f>
        <v/>
      </c>
      <c r="S1127">
        <f>IF($N1127="","",$N1127&amp;"|"&amp;RIGHT("000000"&amp;$R1127,6))</f>
        <v/>
      </c>
      <c r="T1127">
        <f>IF($N1127="","",IF(Sync!$N1127="",0,Sync!$N1127))</f>
        <v/>
      </c>
      <c r="U1127">
        <f>IF($N1127="","",IF(Sync!$O1127="",0,Sync!$O1127))</f>
        <v/>
      </c>
      <c r="V1127">
        <f>IF($N1127="","",Sync!$L1127)</f>
        <v/>
      </c>
      <c r="W1127">
        <f>IF($N1127="","",Sync!$P1127)</f>
        <v/>
      </c>
    </row>
    <row r="1128">
      <c r="N1128">
        <f>IF(OR(Sync!$M1128="",$Q1128="",$Q1128="نامعتبر"),"",Sync!$M1128)</f>
        <v/>
      </c>
      <c r="O1128">
        <f>IF($N1128="","",$Q1128)</f>
        <v/>
      </c>
      <c r="P1128">
        <f>IF($N1128="","",LEFT($Q1128,4)&amp;MID($Q1128,6,2)&amp;RIGHT($Q1128,2)&amp;IF(Sync!$K1128="","0000",IF(AND(ISNUMBER(Sync!$K1128),Sync!$K1128&gt;=0,Sync!$K1128&lt;1),RIGHT("00"&amp;HOUR(Sync!$K1128),2)&amp;RIGHT("00"&amp;MINUTE(Sync!$K1128),2),IFERROR(RIGHT("00"&amp;VALUE(LEFT(Sync!$K1128,FIND(":",Sync!$K1128)-1)),2)&amp;RIGHT("00"&amp;VALUE(MID(Sync!$K1128,FIND(":",Sync!$K1128)+1,2)),2),"0000")))&amp;"|"&amp;"2"&amp;RIGHT("00000"&amp;1123,5))</f>
        <v/>
      </c>
      <c r="Q1128">
        <f>IF(Sync!$J1128="","",IF(ISNUMBER(Sync!$J1128),IF(AND(Sync!$J1128&gt;=10000101,Sync!$J1128&lt;=99991231),INT(Sync!$J1128/10000)&amp;"/"&amp;RIGHT("00"&amp;INT(MOD(Sync!$J1128,10000)/100),2)&amp;"/"&amp;RIGHT("00"&amp;MOD(Sync!$J1128,100),2),"نامعتبر"),IF(LEN(Sync!$J1128)=10,Sync!$J1128,"نامعتبر")))</f>
        <v/>
      </c>
      <c r="R1128">
        <f>IF($P1128="","",COUNTIFS($N$6:$N$2005,$N1128,$P$6:$P$2005,"&lt;"&amp;$P1128)+COUNTIFS($A$6:$A$1005,$N1128,$B$6:$B$1005,"&lt;"&amp;$P1128)+1)</f>
        <v/>
      </c>
      <c r="S1128">
        <f>IF($N1128="","",$N1128&amp;"|"&amp;RIGHT("000000"&amp;$R1128,6))</f>
        <v/>
      </c>
      <c r="T1128">
        <f>IF($N1128="","",IF(Sync!$N1128="",0,Sync!$N1128))</f>
        <v/>
      </c>
      <c r="U1128">
        <f>IF($N1128="","",IF(Sync!$O1128="",0,Sync!$O1128))</f>
        <v/>
      </c>
      <c r="V1128">
        <f>IF($N1128="","",Sync!$L1128)</f>
        <v/>
      </c>
      <c r="W1128">
        <f>IF($N1128="","",Sync!$P1128)</f>
        <v/>
      </c>
    </row>
    <row r="1129">
      <c r="N1129">
        <f>IF(OR(Sync!$M1129="",$Q1129="",$Q1129="نامعتبر"),"",Sync!$M1129)</f>
        <v/>
      </c>
      <c r="O1129">
        <f>IF($N1129="","",$Q1129)</f>
        <v/>
      </c>
      <c r="P1129">
        <f>IF($N1129="","",LEFT($Q1129,4)&amp;MID($Q1129,6,2)&amp;RIGHT($Q1129,2)&amp;IF(Sync!$K1129="","0000",IF(AND(ISNUMBER(Sync!$K1129),Sync!$K1129&gt;=0,Sync!$K1129&lt;1),RIGHT("00"&amp;HOUR(Sync!$K1129),2)&amp;RIGHT("00"&amp;MINUTE(Sync!$K1129),2),IFERROR(RIGHT("00"&amp;VALUE(LEFT(Sync!$K1129,FIND(":",Sync!$K1129)-1)),2)&amp;RIGHT("00"&amp;VALUE(MID(Sync!$K1129,FIND(":",Sync!$K1129)+1,2)),2),"0000")))&amp;"|"&amp;"2"&amp;RIGHT("00000"&amp;1124,5))</f>
        <v/>
      </c>
      <c r="Q1129">
        <f>IF(Sync!$J1129="","",IF(ISNUMBER(Sync!$J1129),IF(AND(Sync!$J1129&gt;=10000101,Sync!$J1129&lt;=99991231),INT(Sync!$J1129/10000)&amp;"/"&amp;RIGHT("00"&amp;INT(MOD(Sync!$J1129,10000)/100),2)&amp;"/"&amp;RIGHT("00"&amp;MOD(Sync!$J1129,100),2),"نامعتبر"),IF(LEN(Sync!$J1129)=10,Sync!$J1129,"نامعتبر")))</f>
        <v/>
      </c>
      <c r="R1129">
        <f>IF($P1129="","",COUNTIFS($N$6:$N$2005,$N1129,$P$6:$P$2005,"&lt;"&amp;$P1129)+COUNTIFS($A$6:$A$1005,$N1129,$B$6:$B$1005,"&lt;"&amp;$P1129)+1)</f>
        <v/>
      </c>
      <c r="S1129">
        <f>IF($N1129="","",$N1129&amp;"|"&amp;RIGHT("000000"&amp;$R1129,6))</f>
        <v/>
      </c>
      <c r="T1129">
        <f>IF($N1129="","",IF(Sync!$N1129="",0,Sync!$N1129))</f>
        <v/>
      </c>
      <c r="U1129">
        <f>IF($N1129="","",IF(Sync!$O1129="",0,Sync!$O1129))</f>
        <v/>
      </c>
      <c r="V1129">
        <f>IF($N1129="","",Sync!$L1129)</f>
        <v/>
      </c>
      <c r="W1129">
        <f>IF($N1129="","",Sync!$P1129)</f>
        <v/>
      </c>
    </row>
    <row r="1130">
      <c r="N1130">
        <f>IF(OR(Sync!$M1130="",$Q1130="",$Q1130="نامعتبر"),"",Sync!$M1130)</f>
        <v/>
      </c>
      <c r="O1130">
        <f>IF($N1130="","",$Q1130)</f>
        <v/>
      </c>
      <c r="P1130">
        <f>IF($N1130="","",LEFT($Q1130,4)&amp;MID($Q1130,6,2)&amp;RIGHT($Q1130,2)&amp;IF(Sync!$K1130="","0000",IF(AND(ISNUMBER(Sync!$K1130),Sync!$K1130&gt;=0,Sync!$K1130&lt;1),RIGHT("00"&amp;HOUR(Sync!$K1130),2)&amp;RIGHT("00"&amp;MINUTE(Sync!$K1130),2),IFERROR(RIGHT("00"&amp;VALUE(LEFT(Sync!$K1130,FIND(":",Sync!$K1130)-1)),2)&amp;RIGHT("00"&amp;VALUE(MID(Sync!$K1130,FIND(":",Sync!$K1130)+1,2)),2),"0000")))&amp;"|"&amp;"2"&amp;RIGHT("00000"&amp;1125,5))</f>
        <v/>
      </c>
      <c r="Q1130">
        <f>IF(Sync!$J1130="","",IF(ISNUMBER(Sync!$J1130),IF(AND(Sync!$J1130&gt;=10000101,Sync!$J1130&lt;=99991231),INT(Sync!$J1130/10000)&amp;"/"&amp;RIGHT("00"&amp;INT(MOD(Sync!$J1130,10000)/100),2)&amp;"/"&amp;RIGHT("00"&amp;MOD(Sync!$J1130,100),2),"نامعتبر"),IF(LEN(Sync!$J1130)=10,Sync!$J1130,"نامعتبر")))</f>
        <v/>
      </c>
      <c r="R1130">
        <f>IF($P1130="","",COUNTIFS($N$6:$N$2005,$N1130,$P$6:$P$2005,"&lt;"&amp;$P1130)+COUNTIFS($A$6:$A$1005,$N1130,$B$6:$B$1005,"&lt;"&amp;$P1130)+1)</f>
        <v/>
      </c>
      <c r="S1130">
        <f>IF($N1130="","",$N1130&amp;"|"&amp;RIGHT("000000"&amp;$R1130,6))</f>
        <v/>
      </c>
      <c r="T1130">
        <f>IF($N1130="","",IF(Sync!$N1130="",0,Sync!$N1130))</f>
        <v/>
      </c>
      <c r="U1130">
        <f>IF($N1130="","",IF(Sync!$O1130="",0,Sync!$O1130))</f>
        <v/>
      </c>
      <c r="V1130">
        <f>IF($N1130="","",Sync!$L1130)</f>
        <v/>
      </c>
      <c r="W1130">
        <f>IF($N1130="","",Sync!$P1130)</f>
        <v/>
      </c>
    </row>
    <row r="1131">
      <c r="N1131">
        <f>IF(OR(Sync!$M1131="",$Q1131="",$Q1131="نامعتبر"),"",Sync!$M1131)</f>
        <v/>
      </c>
      <c r="O1131">
        <f>IF($N1131="","",$Q1131)</f>
        <v/>
      </c>
      <c r="P1131">
        <f>IF($N1131="","",LEFT($Q1131,4)&amp;MID($Q1131,6,2)&amp;RIGHT($Q1131,2)&amp;IF(Sync!$K1131="","0000",IF(AND(ISNUMBER(Sync!$K1131),Sync!$K1131&gt;=0,Sync!$K1131&lt;1),RIGHT("00"&amp;HOUR(Sync!$K1131),2)&amp;RIGHT("00"&amp;MINUTE(Sync!$K1131),2),IFERROR(RIGHT("00"&amp;VALUE(LEFT(Sync!$K1131,FIND(":",Sync!$K1131)-1)),2)&amp;RIGHT("00"&amp;VALUE(MID(Sync!$K1131,FIND(":",Sync!$K1131)+1,2)),2),"0000")))&amp;"|"&amp;"2"&amp;RIGHT("00000"&amp;1126,5))</f>
        <v/>
      </c>
      <c r="Q1131">
        <f>IF(Sync!$J1131="","",IF(ISNUMBER(Sync!$J1131),IF(AND(Sync!$J1131&gt;=10000101,Sync!$J1131&lt;=99991231),INT(Sync!$J1131/10000)&amp;"/"&amp;RIGHT("00"&amp;INT(MOD(Sync!$J1131,10000)/100),2)&amp;"/"&amp;RIGHT("00"&amp;MOD(Sync!$J1131,100),2),"نامعتبر"),IF(LEN(Sync!$J1131)=10,Sync!$J1131,"نامعتبر")))</f>
        <v/>
      </c>
      <c r="R1131">
        <f>IF($P1131="","",COUNTIFS($N$6:$N$2005,$N1131,$P$6:$P$2005,"&lt;"&amp;$P1131)+COUNTIFS($A$6:$A$1005,$N1131,$B$6:$B$1005,"&lt;"&amp;$P1131)+1)</f>
        <v/>
      </c>
      <c r="S1131">
        <f>IF($N1131="","",$N1131&amp;"|"&amp;RIGHT("000000"&amp;$R1131,6))</f>
        <v/>
      </c>
      <c r="T1131">
        <f>IF($N1131="","",IF(Sync!$N1131="",0,Sync!$N1131))</f>
        <v/>
      </c>
      <c r="U1131">
        <f>IF($N1131="","",IF(Sync!$O1131="",0,Sync!$O1131))</f>
        <v/>
      </c>
      <c r="V1131">
        <f>IF($N1131="","",Sync!$L1131)</f>
        <v/>
      </c>
      <c r="W1131">
        <f>IF($N1131="","",Sync!$P1131)</f>
        <v/>
      </c>
    </row>
    <row r="1132">
      <c r="N1132">
        <f>IF(OR(Sync!$M1132="",$Q1132="",$Q1132="نامعتبر"),"",Sync!$M1132)</f>
        <v/>
      </c>
      <c r="O1132">
        <f>IF($N1132="","",$Q1132)</f>
        <v/>
      </c>
      <c r="P1132">
        <f>IF($N1132="","",LEFT($Q1132,4)&amp;MID($Q1132,6,2)&amp;RIGHT($Q1132,2)&amp;IF(Sync!$K1132="","0000",IF(AND(ISNUMBER(Sync!$K1132),Sync!$K1132&gt;=0,Sync!$K1132&lt;1),RIGHT("00"&amp;HOUR(Sync!$K1132),2)&amp;RIGHT("00"&amp;MINUTE(Sync!$K1132),2),IFERROR(RIGHT("00"&amp;VALUE(LEFT(Sync!$K1132,FIND(":",Sync!$K1132)-1)),2)&amp;RIGHT("00"&amp;VALUE(MID(Sync!$K1132,FIND(":",Sync!$K1132)+1,2)),2),"0000")))&amp;"|"&amp;"2"&amp;RIGHT("00000"&amp;1127,5))</f>
        <v/>
      </c>
      <c r="Q1132">
        <f>IF(Sync!$J1132="","",IF(ISNUMBER(Sync!$J1132),IF(AND(Sync!$J1132&gt;=10000101,Sync!$J1132&lt;=99991231),INT(Sync!$J1132/10000)&amp;"/"&amp;RIGHT("00"&amp;INT(MOD(Sync!$J1132,10000)/100),2)&amp;"/"&amp;RIGHT("00"&amp;MOD(Sync!$J1132,100),2),"نامعتبر"),IF(LEN(Sync!$J1132)=10,Sync!$J1132,"نامعتبر")))</f>
        <v/>
      </c>
      <c r="R1132">
        <f>IF($P1132="","",COUNTIFS($N$6:$N$2005,$N1132,$P$6:$P$2005,"&lt;"&amp;$P1132)+COUNTIFS($A$6:$A$1005,$N1132,$B$6:$B$1005,"&lt;"&amp;$P1132)+1)</f>
        <v/>
      </c>
      <c r="S1132">
        <f>IF($N1132="","",$N1132&amp;"|"&amp;RIGHT("000000"&amp;$R1132,6))</f>
        <v/>
      </c>
      <c r="T1132">
        <f>IF($N1132="","",IF(Sync!$N1132="",0,Sync!$N1132))</f>
        <v/>
      </c>
      <c r="U1132">
        <f>IF($N1132="","",IF(Sync!$O1132="",0,Sync!$O1132))</f>
        <v/>
      </c>
      <c r="V1132">
        <f>IF($N1132="","",Sync!$L1132)</f>
        <v/>
      </c>
      <c r="W1132">
        <f>IF($N1132="","",Sync!$P1132)</f>
        <v/>
      </c>
    </row>
    <row r="1133">
      <c r="N1133">
        <f>IF(OR(Sync!$M1133="",$Q1133="",$Q1133="نامعتبر"),"",Sync!$M1133)</f>
        <v/>
      </c>
      <c r="O1133">
        <f>IF($N1133="","",$Q1133)</f>
        <v/>
      </c>
      <c r="P1133">
        <f>IF($N1133="","",LEFT($Q1133,4)&amp;MID($Q1133,6,2)&amp;RIGHT($Q1133,2)&amp;IF(Sync!$K1133="","0000",IF(AND(ISNUMBER(Sync!$K1133),Sync!$K1133&gt;=0,Sync!$K1133&lt;1),RIGHT("00"&amp;HOUR(Sync!$K1133),2)&amp;RIGHT("00"&amp;MINUTE(Sync!$K1133),2),IFERROR(RIGHT("00"&amp;VALUE(LEFT(Sync!$K1133,FIND(":",Sync!$K1133)-1)),2)&amp;RIGHT("00"&amp;VALUE(MID(Sync!$K1133,FIND(":",Sync!$K1133)+1,2)),2),"0000")))&amp;"|"&amp;"2"&amp;RIGHT("00000"&amp;1128,5))</f>
        <v/>
      </c>
      <c r="Q1133">
        <f>IF(Sync!$J1133="","",IF(ISNUMBER(Sync!$J1133),IF(AND(Sync!$J1133&gt;=10000101,Sync!$J1133&lt;=99991231),INT(Sync!$J1133/10000)&amp;"/"&amp;RIGHT("00"&amp;INT(MOD(Sync!$J1133,10000)/100),2)&amp;"/"&amp;RIGHT("00"&amp;MOD(Sync!$J1133,100),2),"نامعتبر"),IF(LEN(Sync!$J1133)=10,Sync!$J1133,"نامعتبر")))</f>
        <v/>
      </c>
      <c r="R1133">
        <f>IF($P1133="","",COUNTIFS($N$6:$N$2005,$N1133,$P$6:$P$2005,"&lt;"&amp;$P1133)+COUNTIFS($A$6:$A$1005,$N1133,$B$6:$B$1005,"&lt;"&amp;$P1133)+1)</f>
        <v/>
      </c>
      <c r="S1133">
        <f>IF($N1133="","",$N1133&amp;"|"&amp;RIGHT("000000"&amp;$R1133,6))</f>
        <v/>
      </c>
      <c r="T1133">
        <f>IF($N1133="","",IF(Sync!$N1133="",0,Sync!$N1133))</f>
        <v/>
      </c>
      <c r="U1133">
        <f>IF($N1133="","",IF(Sync!$O1133="",0,Sync!$O1133))</f>
        <v/>
      </c>
      <c r="V1133">
        <f>IF($N1133="","",Sync!$L1133)</f>
        <v/>
      </c>
      <c r="W1133">
        <f>IF($N1133="","",Sync!$P1133)</f>
        <v/>
      </c>
    </row>
    <row r="1134">
      <c r="N1134">
        <f>IF(OR(Sync!$M1134="",$Q1134="",$Q1134="نامعتبر"),"",Sync!$M1134)</f>
        <v/>
      </c>
      <c r="O1134">
        <f>IF($N1134="","",$Q1134)</f>
        <v/>
      </c>
      <c r="P1134">
        <f>IF($N1134="","",LEFT($Q1134,4)&amp;MID($Q1134,6,2)&amp;RIGHT($Q1134,2)&amp;IF(Sync!$K1134="","0000",IF(AND(ISNUMBER(Sync!$K1134),Sync!$K1134&gt;=0,Sync!$K1134&lt;1),RIGHT("00"&amp;HOUR(Sync!$K1134),2)&amp;RIGHT("00"&amp;MINUTE(Sync!$K1134),2),IFERROR(RIGHT("00"&amp;VALUE(LEFT(Sync!$K1134,FIND(":",Sync!$K1134)-1)),2)&amp;RIGHT("00"&amp;VALUE(MID(Sync!$K1134,FIND(":",Sync!$K1134)+1,2)),2),"0000")))&amp;"|"&amp;"2"&amp;RIGHT("00000"&amp;1129,5))</f>
        <v/>
      </c>
      <c r="Q1134">
        <f>IF(Sync!$J1134="","",IF(ISNUMBER(Sync!$J1134),IF(AND(Sync!$J1134&gt;=10000101,Sync!$J1134&lt;=99991231),INT(Sync!$J1134/10000)&amp;"/"&amp;RIGHT("00"&amp;INT(MOD(Sync!$J1134,10000)/100),2)&amp;"/"&amp;RIGHT("00"&amp;MOD(Sync!$J1134,100),2),"نامعتبر"),IF(LEN(Sync!$J1134)=10,Sync!$J1134,"نامعتبر")))</f>
        <v/>
      </c>
      <c r="R1134">
        <f>IF($P1134="","",COUNTIFS($N$6:$N$2005,$N1134,$P$6:$P$2005,"&lt;"&amp;$P1134)+COUNTIFS($A$6:$A$1005,$N1134,$B$6:$B$1005,"&lt;"&amp;$P1134)+1)</f>
        <v/>
      </c>
      <c r="S1134">
        <f>IF($N1134="","",$N1134&amp;"|"&amp;RIGHT("000000"&amp;$R1134,6))</f>
        <v/>
      </c>
      <c r="T1134">
        <f>IF($N1134="","",IF(Sync!$N1134="",0,Sync!$N1134))</f>
        <v/>
      </c>
      <c r="U1134">
        <f>IF($N1134="","",IF(Sync!$O1134="",0,Sync!$O1134))</f>
        <v/>
      </c>
      <c r="V1134">
        <f>IF($N1134="","",Sync!$L1134)</f>
        <v/>
      </c>
      <c r="W1134">
        <f>IF($N1134="","",Sync!$P1134)</f>
        <v/>
      </c>
    </row>
    <row r="1135">
      <c r="N1135">
        <f>IF(OR(Sync!$M1135="",$Q1135="",$Q1135="نامعتبر"),"",Sync!$M1135)</f>
        <v/>
      </c>
      <c r="O1135">
        <f>IF($N1135="","",$Q1135)</f>
        <v/>
      </c>
      <c r="P1135">
        <f>IF($N1135="","",LEFT($Q1135,4)&amp;MID($Q1135,6,2)&amp;RIGHT($Q1135,2)&amp;IF(Sync!$K1135="","0000",IF(AND(ISNUMBER(Sync!$K1135),Sync!$K1135&gt;=0,Sync!$K1135&lt;1),RIGHT("00"&amp;HOUR(Sync!$K1135),2)&amp;RIGHT("00"&amp;MINUTE(Sync!$K1135),2),IFERROR(RIGHT("00"&amp;VALUE(LEFT(Sync!$K1135,FIND(":",Sync!$K1135)-1)),2)&amp;RIGHT("00"&amp;VALUE(MID(Sync!$K1135,FIND(":",Sync!$K1135)+1,2)),2),"0000")))&amp;"|"&amp;"2"&amp;RIGHT("00000"&amp;1130,5))</f>
        <v/>
      </c>
      <c r="Q1135">
        <f>IF(Sync!$J1135="","",IF(ISNUMBER(Sync!$J1135),IF(AND(Sync!$J1135&gt;=10000101,Sync!$J1135&lt;=99991231),INT(Sync!$J1135/10000)&amp;"/"&amp;RIGHT("00"&amp;INT(MOD(Sync!$J1135,10000)/100),2)&amp;"/"&amp;RIGHT("00"&amp;MOD(Sync!$J1135,100),2),"نامعتبر"),IF(LEN(Sync!$J1135)=10,Sync!$J1135,"نامعتبر")))</f>
        <v/>
      </c>
      <c r="R1135">
        <f>IF($P1135="","",COUNTIFS($N$6:$N$2005,$N1135,$P$6:$P$2005,"&lt;"&amp;$P1135)+COUNTIFS($A$6:$A$1005,$N1135,$B$6:$B$1005,"&lt;"&amp;$P1135)+1)</f>
        <v/>
      </c>
      <c r="S1135">
        <f>IF($N1135="","",$N1135&amp;"|"&amp;RIGHT("000000"&amp;$R1135,6))</f>
        <v/>
      </c>
      <c r="T1135">
        <f>IF($N1135="","",IF(Sync!$N1135="",0,Sync!$N1135))</f>
        <v/>
      </c>
      <c r="U1135">
        <f>IF($N1135="","",IF(Sync!$O1135="",0,Sync!$O1135))</f>
        <v/>
      </c>
      <c r="V1135">
        <f>IF($N1135="","",Sync!$L1135)</f>
        <v/>
      </c>
      <c r="W1135">
        <f>IF($N1135="","",Sync!$P1135)</f>
        <v/>
      </c>
    </row>
    <row r="1136">
      <c r="N1136">
        <f>IF(OR(Sync!$M1136="",$Q1136="",$Q1136="نامعتبر"),"",Sync!$M1136)</f>
        <v/>
      </c>
      <c r="O1136">
        <f>IF($N1136="","",$Q1136)</f>
        <v/>
      </c>
      <c r="P1136">
        <f>IF($N1136="","",LEFT($Q1136,4)&amp;MID($Q1136,6,2)&amp;RIGHT($Q1136,2)&amp;IF(Sync!$K1136="","0000",IF(AND(ISNUMBER(Sync!$K1136),Sync!$K1136&gt;=0,Sync!$K1136&lt;1),RIGHT("00"&amp;HOUR(Sync!$K1136),2)&amp;RIGHT("00"&amp;MINUTE(Sync!$K1136),2),IFERROR(RIGHT("00"&amp;VALUE(LEFT(Sync!$K1136,FIND(":",Sync!$K1136)-1)),2)&amp;RIGHT("00"&amp;VALUE(MID(Sync!$K1136,FIND(":",Sync!$K1136)+1,2)),2),"0000")))&amp;"|"&amp;"2"&amp;RIGHT("00000"&amp;1131,5))</f>
        <v/>
      </c>
      <c r="Q1136">
        <f>IF(Sync!$J1136="","",IF(ISNUMBER(Sync!$J1136),IF(AND(Sync!$J1136&gt;=10000101,Sync!$J1136&lt;=99991231),INT(Sync!$J1136/10000)&amp;"/"&amp;RIGHT("00"&amp;INT(MOD(Sync!$J1136,10000)/100),2)&amp;"/"&amp;RIGHT("00"&amp;MOD(Sync!$J1136,100),2),"نامعتبر"),IF(LEN(Sync!$J1136)=10,Sync!$J1136,"نامعتبر")))</f>
        <v/>
      </c>
      <c r="R1136">
        <f>IF($P1136="","",COUNTIFS($N$6:$N$2005,$N1136,$P$6:$P$2005,"&lt;"&amp;$P1136)+COUNTIFS($A$6:$A$1005,$N1136,$B$6:$B$1005,"&lt;"&amp;$P1136)+1)</f>
        <v/>
      </c>
      <c r="S1136">
        <f>IF($N1136="","",$N1136&amp;"|"&amp;RIGHT("000000"&amp;$R1136,6))</f>
        <v/>
      </c>
      <c r="T1136">
        <f>IF($N1136="","",IF(Sync!$N1136="",0,Sync!$N1136))</f>
        <v/>
      </c>
      <c r="U1136">
        <f>IF($N1136="","",IF(Sync!$O1136="",0,Sync!$O1136))</f>
        <v/>
      </c>
      <c r="V1136">
        <f>IF($N1136="","",Sync!$L1136)</f>
        <v/>
      </c>
      <c r="W1136">
        <f>IF($N1136="","",Sync!$P1136)</f>
        <v/>
      </c>
    </row>
    <row r="1137">
      <c r="N1137">
        <f>IF(OR(Sync!$M1137="",$Q1137="",$Q1137="نامعتبر"),"",Sync!$M1137)</f>
        <v/>
      </c>
      <c r="O1137">
        <f>IF($N1137="","",$Q1137)</f>
        <v/>
      </c>
      <c r="P1137">
        <f>IF($N1137="","",LEFT($Q1137,4)&amp;MID($Q1137,6,2)&amp;RIGHT($Q1137,2)&amp;IF(Sync!$K1137="","0000",IF(AND(ISNUMBER(Sync!$K1137),Sync!$K1137&gt;=0,Sync!$K1137&lt;1),RIGHT("00"&amp;HOUR(Sync!$K1137),2)&amp;RIGHT("00"&amp;MINUTE(Sync!$K1137),2),IFERROR(RIGHT("00"&amp;VALUE(LEFT(Sync!$K1137,FIND(":",Sync!$K1137)-1)),2)&amp;RIGHT("00"&amp;VALUE(MID(Sync!$K1137,FIND(":",Sync!$K1137)+1,2)),2),"0000")))&amp;"|"&amp;"2"&amp;RIGHT("00000"&amp;1132,5))</f>
        <v/>
      </c>
      <c r="Q1137">
        <f>IF(Sync!$J1137="","",IF(ISNUMBER(Sync!$J1137),IF(AND(Sync!$J1137&gt;=10000101,Sync!$J1137&lt;=99991231),INT(Sync!$J1137/10000)&amp;"/"&amp;RIGHT("00"&amp;INT(MOD(Sync!$J1137,10000)/100),2)&amp;"/"&amp;RIGHT("00"&amp;MOD(Sync!$J1137,100),2),"نامعتبر"),IF(LEN(Sync!$J1137)=10,Sync!$J1137,"نامعتبر")))</f>
        <v/>
      </c>
      <c r="R1137">
        <f>IF($P1137="","",COUNTIFS($N$6:$N$2005,$N1137,$P$6:$P$2005,"&lt;"&amp;$P1137)+COUNTIFS($A$6:$A$1005,$N1137,$B$6:$B$1005,"&lt;"&amp;$P1137)+1)</f>
        <v/>
      </c>
      <c r="S1137">
        <f>IF($N1137="","",$N1137&amp;"|"&amp;RIGHT("000000"&amp;$R1137,6))</f>
        <v/>
      </c>
      <c r="T1137">
        <f>IF($N1137="","",IF(Sync!$N1137="",0,Sync!$N1137))</f>
        <v/>
      </c>
      <c r="U1137">
        <f>IF($N1137="","",IF(Sync!$O1137="",0,Sync!$O1137))</f>
        <v/>
      </c>
      <c r="V1137">
        <f>IF($N1137="","",Sync!$L1137)</f>
        <v/>
      </c>
      <c r="W1137">
        <f>IF($N1137="","",Sync!$P1137)</f>
        <v/>
      </c>
    </row>
    <row r="1138">
      <c r="N1138">
        <f>IF(OR(Sync!$M1138="",$Q1138="",$Q1138="نامعتبر"),"",Sync!$M1138)</f>
        <v/>
      </c>
      <c r="O1138">
        <f>IF($N1138="","",$Q1138)</f>
        <v/>
      </c>
      <c r="P1138">
        <f>IF($N1138="","",LEFT($Q1138,4)&amp;MID($Q1138,6,2)&amp;RIGHT($Q1138,2)&amp;IF(Sync!$K1138="","0000",IF(AND(ISNUMBER(Sync!$K1138),Sync!$K1138&gt;=0,Sync!$K1138&lt;1),RIGHT("00"&amp;HOUR(Sync!$K1138),2)&amp;RIGHT("00"&amp;MINUTE(Sync!$K1138),2),IFERROR(RIGHT("00"&amp;VALUE(LEFT(Sync!$K1138,FIND(":",Sync!$K1138)-1)),2)&amp;RIGHT("00"&amp;VALUE(MID(Sync!$K1138,FIND(":",Sync!$K1138)+1,2)),2),"0000")))&amp;"|"&amp;"2"&amp;RIGHT("00000"&amp;1133,5))</f>
        <v/>
      </c>
      <c r="Q1138">
        <f>IF(Sync!$J1138="","",IF(ISNUMBER(Sync!$J1138),IF(AND(Sync!$J1138&gt;=10000101,Sync!$J1138&lt;=99991231),INT(Sync!$J1138/10000)&amp;"/"&amp;RIGHT("00"&amp;INT(MOD(Sync!$J1138,10000)/100),2)&amp;"/"&amp;RIGHT("00"&amp;MOD(Sync!$J1138,100),2),"نامعتبر"),IF(LEN(Sync!$J1138)=10,Sync!$J1138,"نامعتبر")))</f>
        <v/>
      </c>
      <c r="R1138">
        <f>IF($P1138="","",COUNTIFS($N$6:$N$2005,$N1138,$P$6:$P$2005,"&lt;"&amp;$P1138)+COUNTIFS($A$6:$A$1005,$N1138,$B$6:$B$1005,"&lt;"&amp;$P1138)+1)</f>
        <v/>
      </c>
      <c r="S1138">
        <f>IF($N1138="","",$N1138&amp;"|"&amp;RIGHT("000000"&amp;$R1138,6))</f>
        <v/>
      </c>
      <c r="T1138">
        <f>IF($N1138="","",IF(Sync!$N1138="",0,Sync!$N1138))</f>
        <v/>
      </c>
      <c r="U1138">
        <f>IF($N1138="","",IF(Sync!$O1138="",0,Sync!$O1138))</f>
        <v/>
      </c>
      <c r="V1138">
        <f>IF($N1138="","",Sync!$L1138)</f>
        <v/>
      </c>
      <c r="W1138">
        <f>IF($N1138="","",Sync!$P1138)</f>
        <v/>
      </c>
    </row>
    <row r="1139">
      <c r="N1139">
        <f>IF(OR(Sync!$M1139="",$Q1139="",$Q1139="نامعتبر"),"",Sync!$M1139)</f>
        <v/>
      </c>
      <c r="O1139">
        <f>IF($N1139="","",$Q1139)</f>
        <v/>
      </c>
      <c r="P1139">
        <f>IF($N1139="","",LEFT($Q1139,4)&amp;MID($Q1139,6,2)&amp;RIGHT($Q1139,2)&amp;IF(Sync!$K1139="","0000",IF(AND(ISNUMBER(Sync!$K1139),Sync!$K1139&gt;=0,Sync!$K1139&lt;1),RIGHT("00"&amp;HOUR(Sync!$K1139),2)&amp;RIGHT("00"&amp;MINUTE(Sync!$K1139),2),IFERROR(RIGHT("00"&amp;VALUE(LEFT(Sync!$K1139,FIND(":",Sync!$K1139)-1)),2)&amp;RIGHT("00"&amp;VALUE(MID(Sync!$K1139,FIND(":",Sync!$K1139)+1,2)),2),"0000")))&amp;"|"&amp;"2"&amp;RIGHT("00000"&amp;1134,5))</f>
        <v/>
      </c>
      <c r="Q1139">
        <f>IF(Sync!$J1139="","",IF(ISNUMBER(Sync!$J1139),IF(AND(Sync!$J1139&gt;=10000101,Sync!$J1139&lt;=99991231),INT(Sync!$J1139/10000)&amp;"/"&amp;RIGHT("00"&amp;INT(MOD(Sync!$J1139,10000)/100),2)&amp;"/"&amp;RIGHT("00"&amp;MOD(Sync!$J1139,100),2),"نامعتبر"),IF(LEN(Sync!$J1139)=10,Sync!$J1139,"نامعتبر")))</f>
        <v/>
      </c>
      <c r="R1139">
        <f>IF($P1139="","",COUNTIFS($N$6:$N$2005,$N1139,$P$6:$P$2005,"&lt;"&amp;$P1139)+COUNTIFS($A$6:$A$1005,$N1139,$B$6:$B$1005,"&lt;"&amp;$P1139)+1)</f>
        <v/>
      </c>
      <c r="S1139">
        <f>IF($N1139="","",$N1139&amp;"|"&amp;RIGHT("000000"&amp;$R1139,6))</f>
        <v/>
      </c>
      <c r="T1139">
        <f>IF($N1139="","",IF(Sync!$N1139="",0,Sync!$N1139))</f>
        <v/>
      </c>
      <c r="U1139">
        <f>IF($N1139="","",IF(Sync!$O1139="",0,Sync!$O1139))</f>
        <v/>
      </c>
      <c r="V1139">
        <f>IF($N1139="","",Sync!$L1139)</f>
        <v/>
      </c>
      <c r="W1139">
        <f>IF($N1139="","",Sync!$P1139)</f>
        <v/>
      </c>
    </row>
    <row r="1140">
      <c r="N1140">
        <f>IF(OR(Sync!$M1140="",$Q1140="",$Q1140="نامعتبر"),"",Sync!$M1140)</f>
        <v/>
      </c>
      <c r="O1140">
        <f>IF($N1140="","",$Q1140)</f>
        <v/>
      </c>
      <c r="P1140">
        <f>IF($N1140="","",LEFT($Q1140,4)&amp;MID($Q1140,6,2)&amp;RIGHT($Q1140,2)&amp;IF(Sync!$K1140="","0000",IF(AND(ISNUMBER(Sync!$K1140),Sync!$K1140&gt;=0,Sync!$K1140&lt;1),RIGHT("00"&amp;HOUR(Sync!$K1140),2)&amp;RIGHT("00"&amp;MINUTE(Sync!$K1140),2),IFERROR(RIGHT("00"&amp;VALUE(LEFT(Sync!$K1140,FIND(":",Sync!$K1140)-1)),2)&amp;RIGHT("00"&amp;VALUE(MID(Sync!$K1140,FIND(":",Sync!$K1140)+1,2)),2),"0000")))&amp;"|"&amp;"2"&amp;RIGHT("00000"&amp;1135,5))</f>
        <v/>
      </c>
      <c r="Q1140">
        <f>IF(Sync!$J1140="","",IF(ISNUMBER(Sync!$J1140),IF(AND(Sync!$J1140&gt;=10000101,Sync!$J1140&lt;=99991231),INT(Sync!$J1140/10000)&amp;"/"&amp;RIGHT("00"&amp;INT(MOD(Sync!$J1140,10000)/100),2)&amp;"/"&amp;RIGHT("00"&amp;MOD(Sync!$J1140,100),2),"نامعتبر"),IF(LEN(Sync!$J1140)=10,Sync!$J1140,"نامعتبر")))</f>
        <v/>
      </c>
      <c r="R1140">
        <f>IF($P1140="","",COUNTIFS($N$6:$N$2005,$N1140,$P$6:$P$2005,"&lt;"&amp;$P1140)+COUNTIFS($A$6:$A$1005,$N1140,$B$6:$B$1005,"&lt;"&amp;$P1140)+1)</f>
        <v/>
      </c>
      <c r="S1140">
        <f>IF($N1140="","",$N1140&amp;"|"&amp;RIGHT("000000"&amp;$R1140,6))</f>
        <v/>
      </c>
      <c r="T1140">
        <f>IF($N1140="","",IF(Sync!$N1140="",0,Sync!$N1140))</f>
        <v/>
      </c>
      <c r="U1140">
        <f>IF($N1140="","",IF(Sync!$O1140="",0,Sync!$O1140))</f>
        <v/>
      </c>
      <c r="V1140">
        <f>IF($N1140="","",Sync!$L1140)</f>
        <v/>
      </c>
      <c r="W1140">
        <f>IF($N1140="","",Sync!$P1140)</f>
        <v/>
      </c>
    </row>
    <row r="1141">
      <c r="N1141">
        <f>IF(OR(Sync!$M1141="",$Q1141="",$Q1141="نامعتبر"),"",Sync!$M1141)</f>
        <v/>
      </c>
      <c r="O1141">
        <f>IF($N1141="","",$Q1141)</f>
        <v/>
      </c>
      <c r="P1141">
        <f>IF($N1141="","",LEFT($Q1141,4)&amp;MID($Q1141,6,2)&amp;RIGHT($Q1141,2)&amp;IF(Sync!$K1141="","0000",IF(AND(ISNUMBER(Sync!$K1141),Sync!$K1141&gt;=0,Sync!$K1141&lt;1),RIGHT("00"&amp;HOUR(Sync!$K1141),2)&amp;RIGHT("00"&amp;MINUTE(Sync!$K1141),2),IFERROR(RIGHT("00"&amp;VALUE(LEFT(Sync!$K1141,FIND(":",Sync!$K1141)-1)),2)&amp;RIGHT("00"&amp;VALUE(MID(Sync!$K1141,FIND(":",Sync!$K1141)+1,2)),2),"0000")))&amp;"|"&amp;"2"&amp;RIGHT("00000"&amp;1136,5))</f>
        <v/>
      </c>
      <c r="Q1141">
        <f>IF(Sync!$J1141="","",IF(ISNUMBER(Sync!$J1141),IF(AND(Sync!$J1141&gt;=10000101,Sync!$J1141&lt;=99991231),INT(Sync!$J1141/10000)&amp;"/"&amp;RIGHT("00"&amp;INT(MOD(Sync!$J1141,10000)/100),2)&amp;"/"&amp;RIGHT("00"&amp;MOD(Sync!$J1141,100),2),"نامعتبر"),IF(LEN(Sync!$J1141)=10,Sync!$J1141,"نامعتبر")))</f>
        <v/>
      </c>
      <c r="R1141">
        <f>IF($P1141="","",COUNTIFS($N$6:$N$2005,$N1141,$P$6:$P$2005,"&lt;"&amp;$P1141)+COUNTIFS($A$6:$A$1005,$N1141,$B$6:$B$1005,"&lt;"&amp;$P1141)+1)</f>
        <v/>
      </c>
      <c r="S1141">
        <f>IF($N1141="","",$N1141&amp;"|"&amp;RIGHT("000000"&amp;$R1141,6))</f>
        <v/>
      </c>
      <c r="T1141">
        <f>IF($N1141="","",IF(Sync!$N1141="",0,Sync!$N1141))</f>
        <v/>
      </c>
      <c r="U1141">
        <f>IF($N1141="","",IF(Sync!$O1141="",0,Sync!$O1141))</f>
        <v/>
      </c>
      <c r="V1141">
        <f>IF($N1141="","",Sync!$L1141)</f>
        <v/>
      </c>
      <c r="W1141">
        <f>IF($N1141="","",Sync!$P1141)</f>
        <v/>
      </c>
    </row>
    <row r="1142">
      <c r="N1142">
        <f>IF(OR(Sync!$M1142="",$Q1142="",$Q1142="نامعتبر"),"",Sync!$M1142)</f>
        <v/>
      </c>
      <c r="O1142">
        <f>IF($N1142="","",$Q1142)</f>
        <v/>
      </c>
      <c r="P1142">
        <f>IF($N1142="","",LEFT($Q1142,4)&amp;MID($Q1142,6,2)&amp;RIGHT($Q1142,2)&amp;IF(Sync!$K1142="","0000",IF(AND(ISNUMBER(Sync!$K1142),Sync!$K1142&gt;=0,Sync!$K1142&lt;1),RIGHT("00"&amp;HOUR(Sync!$K1142),2)&amp;RIGHT("00"&amp;MINUTE(Sync!$K1142),2),IFERROR(RIGHT("00"&amp;VALUE(LEFT(Sync!$K1142,FIND(":",Sync!$K1142)-1)),2)&amp;RIGHT("00"&amp;VALUE(MID(Sync!$K1142,FIND(":",Sync!$K1142)+1,2)),2),"0000")))&amp;"|"&amp;"2"&amp;RIGHT("00000"&amp;1137,5))</f>
        <v/>
      </c>
      <c r="Q1142">
        <f>IF(Sync!$J1142="","",IF(ISNUMBER(Sync!$J1142),IF(AND(Sync!$J1142&gt;=10000101,Sync!$J1142&lt;=99991231),INT(Sync!$J1142/10000)&amp;"/"&amp;RIGHT("00"&amp;INT(MOD(Sync!$J1142,10000)/100),2)&amp;"/"&amp;RIGHT("00"&amp;MOD(Sync!$J1142,100),2),"نامعتبر"),IF(LEN(Sync!$J1142)=10,Sync!$J1142,"نامعتبر")))</f>
        <v/>
      </c>
      <c r="R1142">
        <f>IF($P1142="","",COUNTIFS($N$6:$N$2005,$N1142,$P$6:$P$2005,"&lt;"&amp;$P1142)+COUNTIFS($A$6:$A$1005,$N1142,$B$6:$B$1005,"&lt;"&amp;$P1142)+1)</f>
        <v/>
      </c>
      <c r="S1142">
        <f>IF($N1142="","",$N1142&amp;"|"&amp;RIGHT("000000"&amp;$R1142,6))</f>
        <v/>
      </c>
      <c r="T1142">
        <f>IF($N1142="","",IF(Sync!$N1142="",0,Sync!$N1142))</f>
        <v/>
      </c>
      <c r="U1142">
        <f>IF($N1142="","",IF(Sync!$O1142="",0,Sync!$O1142))</f>
        <v/>
      </c>
      <c r="V1142">
        <f>IF($N1142="","",Sync!$L1142)</f>
        <v/>
      </c>
      <c r="W1142">
        <f>IF($N1142="","",Sync!$P1142)</f>
        <v/>
      </c>
    </row>
    <row r="1143">
      <c r="N1143">
        <f>IF(OR(Sync!$M1143="",$Q1143="",$Q1143="نامعتبر"),"",Sync!$M1143)</f>
        <v/>
      </c>
      <c r="O1143">
        <f>IF($N1143="","",$Q1143)</f>
        <v/>
      </c>
      <c r="P1143">
        <f>IF($N1143="","",LEFT($Q1143,4)&amp;MID($Q1143,6,2)&amp;RIGHT($Q1143,2)&amp;IF(Sync!$K1143="","0000",IF(AND(ISNUMBER(Sync!$K1143),Sync!$K1143&gt;=0,Sync!$K1143&lt;1),RIGHT("00"&amp;HOUR(Sync!$K1143),2)&amp;RIGHT("00"&amp;MINUTE(Sync!$K1143),2),IFERROR(RIGHT("00"&amp;VALUE(LEFT(Sync!$K1143,FIND(":",Sync!$K1143)-1)),2)&amp;RIGHT("00"&amp;VALUE(MID(Sync!$K1143,FIND(":",Sync!$K1143)+1,2)),2),"0000")))&amp;"|"&amp;"2"&amp;RIGHT("00000"&amp;1138,5))</f>
        <v/>
      </c>
      <c r="Q1143">
        <f>IF(Sync!$J1143="","",IF(ISNUMBER(Sync!$J1143),IF(AND(Sync!$J1143&gt;=10000101,Sync!$J1143&lt;=99991231),INT(Sync!$J1143/10000)&amp;"/"&amp;RIGHT("00"&amp;INT(MOD(Sync!$J1143,10000)/100),2)&amp;"/"&amp;RIGHT("00"&amp;MOD(Sync!$J1143,100),2),"نامعتبر"),IF(LEN(Sync!$J1143)=10,Sync!$J1143,"نامعتبر")))</f>
        <v/>
      </c>
      <c r="R1143">
        <f>IF($P1143="","",COUNTIFS($N$6:$N$2005,$N1143,$P$6:$P$2005,"&lt;"&amp;$P1143)+COUNTIFS($A$6:$A$1005,$N1143,$B$6:$B$1005,"&lt;"&amp;$P1143)+1)</f>
        <v/>
      </c>
      <c r="S1143">
        <f>IF($N1143="","",$N1143&amp;"|"&amp;RIGHT("000000"&amp;$R1143,6))</f>
        <v/>
      </c>
      <c r="T1143">
        <f>IF($N1143="","",IF(Sync!$N1143="",0,Sync!$N1143))</f>
        <v/>
      </c>
      <c r="U1143">
        <f>IF($N1143="","",IF(Sync!$O1143="",0,Sync!$O1143))</f>
        <v/>
      </c>
      <c r="V1143">
        <f>IF($N1143="","",Sync!$L1143)</f>
        <v/>
      </c>
      <c r="W1143">
        <f>IF($N1143="","",Sync!$P1143)</f>
        <v/>
      </c>
    </row>
    <row r="1144">
      <c r="N1144">
        <f>IF(OR(Sync!$M1144="",$Q1144="",$Q1144="نامعتبر"),"",Sync!$M1144)</f>
        <v/>
      </c>
      <c r="O1144">
        <f>IF($N1144="","",$Q1144)</f>
        <v/>
      </c>
      <c r="P1144">
        <f>IF($N1144="","",LEFT($Q1144,4)&amp;MID($Q1144,6,2)&amp;RIGHT($Q1144,2)&amp;IF(Sync!$K1144="","0000",IF(AND(ISNUMBER(Sync!$K1144),Sync!$K1144&gt;=0,Sync!$K1144&lt;1),RIGHT("00"&amp;HOUR(Sync!$K1144),2)&amp;RIGHT("00"&amp;MINUTE(Sync!$K1144),2),IFERROR(RIGHT("00"&amp;VALUE(LEFT(Sync!$K1144,FIND(":",Sync!$K1144)-1)),2)&amp;RIGHT("00"&amp;VALUE(MID(Sync!$K1144,FIND(":",Sync!$K1144)+1,2)),2),"0000")))&amp;"|"&amp;"2"&amp;RIGHT("00000"&amp;1139,5))</f>
        <v/>
      </c>
      <c r="Q1144">
        <f>IF(Sync!$J1144="","",IF(ISNUMBER(Sync!$J1144),IF(AND(Sync!$J1144&gt;=10000101,Sync!$J1144&lt;=99991231),INT(Sync!$J1144/10000)&amp;"/"&amp;RIGHT("00"&amp;INT(MOD(Sync!$J1144,10000)/100),2)&amp;"/"&amp;RIGHT("00"&amp;MOD(Sync!$J1144,100),2),"نامعتبر"),IF(LEN(Sync!$J1144)=10,Sync!$J1144,"نامعتبر")))</f>
        <v/>
      </c>
      <c r="R1144">
        <f>IF($P1144="","",COUNTIFS($N$6:$N$2005,$N1144,$P$6:$P$2005,"&lt;"&amp;$P1144)+COUNTIFS($A$6:$A$1005,$N1144,$B$6:$B$1005,"&lt;"&amp;$P1144)+1)</f>
        <v/>
      </c>
      <c r="S1144">
        <f>IF($N1144="","",$N1144&amp;"|"&amp;RIGHT("000000"&amp;$R1144,6))</f>
        <v/>
      </c>
      <c r="T1144">
        <f>IF($N1144="","",IF(Sync!$N1144="",0,Sync!$N1144))</f>
        <v/>
      </c>
      <c r="U1144">
        <f>IF($N1144="","",IF(Sync!$O1144="",0,Sync!$O1144))</f>
        <v/>
      </c>
      <c r="V1144">
        <f>IF($N1144="","",Sync!$L1144)</f>
        <v/>
      </c>
      <c r="W1144">
        <f>IF($N1144="","",Sync!$P1144)</f>
        <v/>
      </c>
    </row>
    <row r="1145">
      <c r="N1145">
        <f>IF(OR(Sync!$M1145="",$Q1145="",$Q1145="نامعتبر"),"",Sync!$M1145)</f>
        <v/>
      </c>
      <c r="O1145">
        <f>IF($N1145="","",$Q1145)</f>
        <v/>
      </c>
      <c r="P1145">
        <f>IF($N1145="","",LEFT($Q1145,4)&amp;MID($Q1145,6,2)&amp;RIGHT($Q1145,2)&amp;IF(Sync!$K1145="","0000",IF(AND(ISNUMBER(Sync!$K1145),Sync!$K1145&gt;=0,Sync!$K1145&lt;1),RIGHT("00"&amp;HOUR(Sync!$K1145),2)&amp;RIGHT("00"&amp;MINUTE(Sync!$K1145),2),IFERROR(RIGHT("00"&amp;VALUE(LEFT(Sync!$K1145,FIND(":",Sync!$K1145)-1)),2)&amp;RIGHT("00"&amp;VALUE(MID(Sync!$K1145,FIND(":",Sync!$K1145)+1,2)),2),"0000")))&amp;"|"&amp;"2"&amp;RIGHT("00000"&amp;1140,5))</f>
        <v/>
      </c>
      <c r="Q1145">
        <f>IF(Sync!$J1145="","",IF(ISNUMBER(Sync!$J1145),IF(AND(Sync!$J1145&gt;=10000101,Sync!$J1145&lt;=99991231),INT(Sync!$J1145/10000)&amp;"/"&amp;RIGHT("00"&amp;INT(MOD(Sync!$J1145,10000)/100),2)&amp;"/"&amp;RIGHT("00"&amp;MOD(Sync!$J1145,100),2),"نامعتبر"),IF(LEN(Sync!$J1145)=10,Sync!$J1145,"نامعتبر")))</f>
        <v/>
      </c>
      <c r="R1145">
        <f>IF($P1145="","",COUNTIFS($N$6:$N$2005,$N1145,$P$6:$P$2005,"&lt;"&amp;$P1145)+COUNTIFS($A$6:$A$1005,$N1145,$B$6:$B$1005,"&lt;"&amp;$P1145)+1)</f>
        <v/>
      </c>
      <c r="S1145">
        <f>IF($N1145="","",$N1145&amp;"|"&amp;RIGHT("000000"&amp;$R1145,6))</f>
        <v/>
      </c>
      <c r="T1145">
        <f>IF($N1145="","",IF(Sync!$N1145="",0,Sync!$N1145))</f>
        <v/>
      </c>
      <c r="U1145">
        <f>IF($N1145="","",IF(Sync!$O1145="",0,Sync!$O1145))</f>
        <v/>
      </c>
      <c r="V1145">
        <f>IF($N1145="","",Sync!$L1145)</f>
        <v/>
      </c>
      <c r="W1145">
        <f>IF($N1145="","",Sync!$P1145)</f>
        <v/>
      </c>
    </row>
    <row r="1146">
      <c r="N1146">
        <f>IF(OR(Sync!$M1146="",$Q1146="",$Q1146="نامعتبر"),"",Sync!$M1146)</f>
        <v/>
      </c>
      <c r="O1146">
        <f>IF($N1146="","",$Q1146)</f>
        <v/>
      </c>
      <c r="P1146">
        <f>IF($N1146="","",LEFT($Q1146,4)&amp;MID($Q1146,6,2)&amp;RIGHT($Q1146,2)&amp;IF(Sync!$K1146="","0000",IF(AND(ISNUMBER(Sync!$K1146),Sync!$K1146&gt;=0,Sync!$K1146&lt;1),RIGHT("00"&amp;HOUR(Sync!$K1146),2)&amp;RIGHT("00"&amp;MINUTE(Sync!$K1146),2),IFERROR(RIGHT("00"&amp;VALUE(LEFT(Sync!$K1146,FIND(":",Sync!$K1146)-1)),2)&amp;RIGHT("00"&amp;VALUE(MID(Sync!$K1146,FIND(":",Sync!$K1146)+1,2)),2),"0000")))&amp;"|"&amp;"2"&amp;RIGHT("00000"&amp;1141,5))</f>
        <v/>
      </c>
      <c r="Q1146">
        <f>IF(Sync!$J1146="","",IF(ISNUMBER(Sync!$J1146),IF(AND(Sync!$J1146&gt;=10000101,Sync!$J1146&lt;=99991231),INT(Sync!$J1146/10000)&amp;"/"&amp;RIGHT("00"&amp;INT(MOD(Sync!$J1146,10000)/100),2)&amp;"/"&amp;RIGHT("00"&amp;MOD(Sync!$J1146,100),2),"نامعتبر"),IF(LEN(Sync!$J1146)=10,Sync!$J1146,"نامعتبر")))</f>
        <v/>
      </c>
      <c r="R1146">
        <f>IF($P1146="","",COUNTIFS($N$6:$N$2005,$N1146,$P$6:$P$2005,"&lt;"&amp;$P1146)+COUNTIFS($A$6:$A$1005,$N1146,$B$6:$B$1005,"&lt;"&amp;$P1146)+1)</f>
        <v/>
      </c>
      <c r="S1146">
        <f>IF($N1146="","",$N1146&amp;"|"&amp;RIGHT("000000"&amp;$R1146,6))</f>
        <v/>
      </c>
      <c r="T1146">
        <f>IF($N1146="","",IF(Sync!$N1146="",0,Sync!$N1146))</f>
        <v/>
      </c>
      <c r="U1146">
        <f>IF($N1146="","",IF(Sync!$O1146="",0,Sync!$O1146))</f>
        <v/>
      </c>
      <c r="V1146">
        <f>IF($N1146="","",Sync!$L1146)</f>
        <v/>
      </c>
      <c r="W1146">
        <f>IF($N1146="","",Sync!$P1146)</f>
        <v/>
      </c>
    </row>
    <row r="1147">
      <c r="N1147">
        <f>IF(OR(Sync!$M1147="",$Q1147="",$Q1147="نامعتبر"),"",Sync!$M1147)</f>
        <v/>
      </c>
      <c r="O1147">
        <f>IF($N1147="","",$Q1147)</f>
        <v/>
      </c>
      <c r="P1147">
        <f>IF($N1147="","",LEFT($Q1147,4)&amp;MID($Q1147,6,2)&amp;RIGHT($Q1147,2)&amp;IF(Sync!$K1147="","0000",IF(AND(ISNUMBER(Sync!$K1147),Sync!$K1147&gt;=0,Sync!$K1147&lt;1),RIGHT("00"&amp;HOUR(Sync!$K1147),2)&amp;RIGHT("00"&amp;MINUTE(Sync!$K1147),2),IFERROR(RIGHT("00"&amp;VALUE(LEFT(Sync!$K1147,FIND(":",Sync!$K1147)-1)),2)&amp;RIGHT("00"&amp;VALUE(MID(Sync!$K1147,FIND(":",Sync!$K1147)+1,2)),2),"0000")))&amp;"|"&amp;"2"&amp;RIGHT("00000"&amp;1142,5))</f>
        <v/>
      </c>
      <c r="Q1147">
        <f>IF(Sync!$J1147="","",IF(ISNUMBER(Sync!$J1147),IF(AND(Sync!$J1147&gt;=10000101,Sync!$J1147&lt;=99991231),INT(Sync!$J1147/10000)&amp;"/"&amp;RIGHT("00"&amp;INT(MOD(Sync!$J1147,10000)/100),2)&amp;"/"&amp;RIGHT("00"&amp;MOD(Sync!$J1147,100),2),"نامعتبر"),IF(LEN(Sync!$J1147)=10,Sync!$J1147,"نامعتبر")))</f>
        <v/>
      </c>
      <c r="R1147">
        <f>IF($P1147="","",COUNTIFS($N$6:$N$2005,$N1147,$P$6:$P$2005,"&lt;"&amp;$P1147)+COUNTIFS($A$6:$A$1005,$N1147,$B$6:$B$1005,"&lt;"&amp;$P1147)+1)</f>
        <v/>
      </c>
      <c r="S1147">
        <f>IF($N1147="","",$N1147&amp;"|"&amp;RIGHT("000000"&amp;$R1147,6))</f>
        <v/>
      </c>
      <c r="T1147">
        <f>IF($N1147="","",IF(Sync!$N1147="",0,Sync!$N1147))</f>
        <v/>
      </c>
      <c r="U1147">
        <f>IF($N1147="","",IF(Sync!$O1147="",0,Sync!$O1147))</f>
        <v/>
      </c>
      <c r="V1147">
        <f>IF($N1147="","",Sync!$L1147)</f>
        <v/>
      </c>
      <c r="W1147">
        <f>IF($N1147="","",Sync!$P1147)</f>
        <v/>
      </c>
    </row>
    <row r="1148">
      <c r="N1148">
        <f>IF(OR(Sync!$M1148="",$Q1148="",$Q1148="نامعتبر"),"",Sync!$M1148)</f>
        <v/>
      </c>
      <c r="O1148">
        <f>IF($N1148="","",$Q1148)</f>
        <v/>
      </c>
      <c r="P1148">
        <f>IF($N1148="","",LEFT($Q1148,4)&amp;MID($Q1148,6,2)&amp;RIGHT($Q1148,2)&amp;IF(Sync!$K1148="","0000",IF(AND(ISNUMBER(Sync!$K1148),Sync!$K1148&gt;=0,Sync!$K1148&lt;1),RIGHT("00"&amp;HOUR(Sync!$K1148),2)&amp;RIGHT("00"&amp;MINUTE(Sync!$K1148),2),IFERROR(RIGHT("00"&amp;VALUE(LEFT(Sync!$K1148,FIND(":",Sync!$K1148)-1)),2)&amp;RIGHT("00"&amp;VALUE(MID(Sync!$K1148,FIND(":",Sync!$K1148)+1,2)),2),"0000")))&amp;"|"&amp;"2"&amp;RIGHT("00000"&amp;1143,5))</f>
        <v/>
      </c>
      <c r="Q1148">
        <f>IF(Sync!$J1148="","",IF(ISNUMBER(Sync!$J1148),IF(AND(Sync!$J1148&gt;=10000101,Sync!$J1148&lt;=99991231),INT(Sync!$J1148/10000)&amp;"/"&amp;RIGHT("00"&amp;INT(MOD(Sync!$J1148,10000)/100),2)&amp;"/"&amp;RIGHT("00"&amp;MOD(Sync!$J1148,100),2),"نامعتبر"),IF(LEN(Sync!$J1148)=10,Sync!$J1148,"نامعتبر")))</f>
        <v/>
      </c>
      <c r="R1148">
        <f>IF($P1148="","",COUNTIFS($N$6:$N$2005,$N1148,$P$6:$P$2005,"&lt;"&amp;$P1148)+COUNTIFS($A$6:$A$1005,$N1148,$B$6:$B$1005,"&lt;"&amp;$P1148)+1)</f>
        <v/>
      </c>
      <c r="S1148">
        <f>IF($N1148="","",$N1148&amp;"|"&amp;RIGHT("000000"&amp;$R1148,6))</f>
        <v/>
      </c>
      <c r="T1148">
        <f>IF($N1148="","",IF(Sync!$N1148="",0,Sync!$N1148))</f>
        <v/>
      </c>
      <c r="U1148">
        <f>IF($N1148="","",IF(Sync!$O1148="",0,Sync!$O1148))</f>
        <v/>
      </c>
      <c r="V1148">
        <f>IF($N1148="","",Sync!$L1148)</f>
        <v/>
      </c>
      <c r="W1148">
        <f>IF($N1148="","",Sync!$P1148)</f>
        <v/>
      </c>
    </row>
    <row r="1149">
      <c r="N1149">
        <f>IF(OR(Sync!$M1149="",$Q1149="",$Q1149="نامعتبر"),"",Sync!$M1149)</f>
        <v/>
      </c>
      <c r="O1149">
        <f>IF($N1149="","",$Q1149)</f>
        <v/>
      </c>
      <c r="P1149">
        <f>IF($N1149="","",LEFT($Q1149,4)&amp;MID($Q1149,6,2)&amp;RIGHT($Q1149,2)&amp;IF(Sync!$K1149="","0000",IF(AND(ISNUMBER(Sync!$K1149),Sync!$K1149&gt;=0,Sync!$K1149&lt;1),RIGHT("00"&amp;HOUR(Sync!$K1149),2)&amp;RIGHT("00"&amp;MINUTE(Sync!$K1149),2),IFERROR(RIGHT("00"&amp;VALUE(LEFT(Sync!$K1149,FIND(":",Sync!$K1149)-1)),2)&amp;RIGHT("00"&amp;VALUE(MID(Sync!$K1149,FIND(":",Sync!$K1149)+1,2)),2),"0000")))&amp;"|"&amp;"2"&amp;RIGHT("00000"&amp;1144,5))</f>
        <v/>
      </c>
      <c r="Q1149">
        <f>IF(Sync!$J1149="","",IF(ISNUMBER(Sync!$J1149),IF(AND(Sync!$J1149&gt;=10000101,Sync!$J1149&lt;=99991231),INT(Sync!$J1149/10000)&amp;"/"&amp;RIGHT("00"&amp;INT(MOD(Sync!$J1149,10000)/100),2)&amp;"/"&amp;RIGHT("00"&amp;MOD(Sync!$J1149,100),2),"نامعتبر"),IF(LEN(Sync!$J1149)=10,Sync!$J1149,"نامعتبر")))</f>
        <v/>
      </c>
      <c r="R1149">
        <f>IF($P1149="","",COUNTIFS($N$6:$N$2005,$N1149,$P$6:$P$2005,"&lt;"&amp;$P1149)+COUNTIFS($A$6:$A$1005,$N1149,$B$6:$B$1005,"&lt;"&amp;$P1149)+1)</f>
        <v/>
      </c>
      <c r="S1149">
        <f>IF($N1149="","",$N1149&amp;"|"&amp;RIGHT("000000"&amp;$R1149,6))</f>
        <v/>
      </c>
      <c r="T1149">
        <f>IF($N1149="","",IF(Sync!$N1149="",0,Sync!$N1149))</f>
        <v/>
      </c>
      <c r="U1149">
        <f>IF($N1149="","",IF(Sync!$O1149="",0,Sync!$O1149))</f>
        <v/>
      </c>
      <c r="V1149">
        <f>IF($N1149="","",Sync!$L1149)</f>
        <v/>
      </c>
      <c r="W1149">
        <f>IF($N1149="","",Sync!$P1149)</f>
        <v/>
      </c>
    </row>
    <row r="1150">
      <c r="N1150">
        <f>IF(OR(Sync!$M1150="",$Q1150="",$Q1150="نامعتبر"),"",Sync!$M1150)</f>
        <v/>
      </c>
      <c r="O1150">
        <f>IF($N1150="","",$Q1150)</f>
        <v/>
      </c>
      <c r="P1150">
        <f>IF($N1150="","",LEFT($Q1150,4)&amp;MID($Q1150,6,2)&amp;RIGHT($Q1150,2)&amp;IF(Sync!$K1150="","0000",IF(AND(ISNUMBER(Sync!$K1150),Sync!$K1150&gt;=0,Sync!$K1150&lt;1),RIGHT("00"&amp;HOUR(Sync!$K1150),2)&amp;RIGHT("00"&amp;MINUTE(Sync!$K1150),2),IFERROR(RIGHT("00"&amp;VALUE(LEFT(Sync!$K1150,FIND(":",Sync!$K1150)-1)),2)&amp;RIGHT("00"&amp;VALUE(MID(Sync!$K1150,FIND(":",Sync!$K1150)+1,2)),2),"0000")))&amp;"|"&amp;"2"&amp;RIGHT("00000"&amp;1145,5))</f>
        <v/>
      </c>
      <c r="Q1150">
        <f>IF(Sync!$J1150="","",IF(ISNUMBER(Sync!$J1150),IF(AND(Sync!$J1150&gt;=10000101,Sync!$J1150&lt;=99991231),INT(Sync!$J1150/10000)&amp;"/"&amp;RIGHT("00"&amp;INT(MOD(Sync!$J1150,10000)/100),2)&amp;"/"&amp;RIGHT("00"&amp;MOD(Sync!$J1150,100),2),"نامعتبر"),IF(LEN(Sync!$J1150)=10,Sync!$J1150,"نامعتبر")))</f>
        <v/>
      </c>
      <c r="R1150">
        <f>IF($P1150="","",COUNTIFS($N$6:$N$2005,$N1150,$P$6:$P$2005,"&lt;"&amp;$P1150)+COUNTIFS($A$6:$A$1005,$N1150,$B$6:$B$1005,"&lt;"&amp;$P1150)+1)</f>
        <v/>
      </c>
      <c r="S1150">
        <f>IF($N1150="","",$N1150&amp;"|"&amp;RIGHT("000000"&amp;$R1150,6))</f>
        <v/>
      </c>
      <c r="T1150">
        <f>IF($N1150="","",IF(Sync!$N1150="",0,Sync!$N1150))</f>
        <v/>
      </c>
      <c r="U1150">
        <f>IF($N1150="","",IF(Sync!$O1150="",0,Sync!$O1150))</f>
        <v/>
      </c>
      <c r="V1150">
        <f>IF($N1150="","",Sync!$L1150)</f>
        <v/>
      </c>
      <c r="W1150">
        <f>IF($N1150="","",Sync!$P1150)</f>
        <v/>
      </c>
    </row>
    <row r="1151">
      <c r="N1151">
        <f>IF(OR(Sync!$M1151="",$Q1151="",$Q1151="نامعتبر"),"",Sync!$M1151)</f>
        <v/>
      </c>
      <c r="O1151">
        <f>IF($N1151="","",$Q1151)</f>
        <v/>
      </c>
      <c r="P1151">
        <f>IF($N1151="","",LEFT($Q1151,4)&amp;MID($Q1151,6,2)&amp;RIGHT($Q1151,2)&amp;IF(Sync!$K1151="","0000",IF(AND(ISNUMBER(Sync!$K1151),Sync!$K1151&gt;=0,Sync!$K1151&lt;1),RIGHT("00"&amp;HOUR(Sync!$K1151),2)&amp;RIGHT("00"&amp;MINUTE(Sync!$K1151),2),IFERROR(RIGHT("00"&amp;VALUE(LEFT(Sync!$K1151,FIND(":",Sync!$K1151)-1)),2)&amp;RIGHT("00"&amp;VALUE(MID(Sync!$K1151,FIND(":",Sync!$K1151)+1,2)),2),"0000")))&amp;"|"&amp;"2"&amp;RIGHT("00000"&amp;1146,5))</f>
        <v/>
      </c>
      <c r="Q1151">
        <f>IF(Sync!$J1151="","",IF(ISNUMBER(Sync!$J1151),IF(AND(Sync!$J1151&gt;=10000101,Sync!$J1151&lt;=99991231),INT(Sync!$J1151/10000)&amp;"/"&amp;RIGHT("00"&amp;INT(MOD(Sync!$J1151,10000)/100),2)&amp;"/"&amp;RIGHT("00"&amp;MOD(Sync!$J1151,100),2),"نامعتبر"),IF(LEN(Sync!$J1151)=10,Sync!$J1151,"نامعتبر")))</f>
        <v/>
      </c>
      <c r="R1151">
        <f>IF($P1151="","",COUNTIFS($N$6:$N$2005,$N1151,$P$6:$P$2005,"&lt;"&amp;$P1151)+COUNTIFS($A$6:$A$1005,$N1151,$B$6:$B$1005,"&lt;"&amp;$P1151)+1)</f>
        <v/>
      </c>
      <c r="S1151">
        <f>IF($N1151="","",$N1151&amp;"|"&amp;RIGHT("000000"&amp;$R1151,6))</f>
        <v/>
      </c>
      <c r="T1151">
        <f>IF($N1151="","",IF(Sync!$N1151="",0,Sync!$N1151))</f>
        <v/>
      </c>
      <c r="U1151">
        <f>IF($N1151="","",IF(Sync!$O1151="",0,Sync!$O1151))</f>
        <v/>
      </c>
      <c r="V1151">
        <f>IF($N1151="","",Sync!$L1151)</f>
        <v/>
      </c>
      <c r="W1151">
        <f>IF($N1151="","",Sync!$P1151)</f>
        <v/>
      </c>
    </row>
    <row r="1152">
      <c r="N1152">
        <f>IF(OR(Sync!$M1152="",$Q1152="",$Q1152="نامعتبر"),"",Sync!$M1152)</f>
        <v/>
      </c>
      <c r="O1152">
        <f>IF($N1152="","",$Q1152)</f>
        <v/>
      </c>
      <c r="P1152">
        <f>IF($N1152="","",LEFT($Q1152,4)&amp;MID($Q1152,6,2)&amp;RIGHT($Q1152,2)&amp;IF(Sync!$K1152="","0000",IF(AND(ISNUMBER(Sync!$K1152),Sync!$K1152&gt;=0,Sync!$K1152&lt;1),RIGHT("00"&amp;HOUR(Sync!$K1152),2)&amp;RIGHT("00"&amp;MINUTE(Sync!$K1152),2),IFERROR(RIGHT("00"&amp;VALUE(LEFT(Sync!$K1152,FIND(":",Sync!$K1152)-1)),2)&amp;RIGHT("00"&amp;VALUE(MID(Sync!$K1152,FIND(":",Sync!$K1152)+1,2)),2),"0000")))&amp;"|"&amp;"2"&amp;RIGHT("00000"&amp;1147,5))</f>
        <v/>
      </c>
      <c r="Q1152">
        <f>IF(Sync!$J1152="","",IF(ISNUMBER(Sync!$J1152),IF(AND(Sync!$J1152&gt;=10000101,Sync!$J1152&lt;=99991231),INT(Sync!$J1152/10000)&amp;"/"&amp;RIGHT("00"&amp;INT(MOD(Sync!$J1152,10000)/100),2)&amp;"/"&amp;RIGHT("00"&amp;MOD(Sync!$J1152,100),2),"نامعتبر"),IF(LEN(Sync!$J1152)=10,Sync!$J1152,"نامعتبر")))</f>
        <v/>
      </c>
      <c r="R1152">
        <f>IF($P1152="","",COUNTIFS($N$6:$N$2005,$N1152,$P$6:$P$2005,"&lt;"&amp;$P1152)+COUNTIFS($A$6:$A$1005,$N1152,$B$6:$B$1005,"&lt;"&amp;$P1152)+1)</f>
        <v/>
      </c>
      <c r="S1152">
        <f>IF($N1152="","",$N1152&amp;"|"&amp;RIGHT("000000"&amp;$R1152,6))</f>
        <v/>
      </c>
      <c r="T1152">
        <f>IF($N1152="","",IF(Sync!$N1152="",0,Sync!$N1152))</f>
        <v/>
      </c>
      <c r="U1152">
        <f>IF($N1152="","",IF(Sync!$O1152="",0,Sync!$O1152))</f>
        <v/>
      </c>
      <c r="V1152">
        <f>IF($N1152="","",Sync!$L1152)</f>
        <v/>
      </c>
      <c r="W1152">
        <f>IF($N1152="","",Sync!$P1152)</f>
        <v/>
      </c>
    </row>
    <row r="1153">
      <c r="N1153">
        <f>IF(OR(Sync!$M1153="",$Q1153="",$Q1153="نامعتبر"),"",Sync!$M1153)</f>
        <v/>
      </c>
      <c r="O1153">
        <f>IF($N1153="","",$Q1153)</f>
        <v/>
      </c>
      <c r="P1153">
        <f>IF($N1153="","",LEFT($Q1153,4)&amp;MID($Q1153,6,2)&amp;RIGHT($Q1153,2)&amp;IF(Sync!$K1153="","0000",IF(AND(ISNUMBER(Sync!$K1153),Sync!$K1153&gt;=0,Sync!$K1153&lt;1),RIGHT("00"&amp;HOUR(Sync!$K1153),2)&amp;RIGHT("00"&amp;MINUTE(Sync!$K1153),2),IFERROR(RIGHT("00"&amp;VALUE(LEFT(Sync!$K1153,FIND(":",Sync!$K1153)-1)),2)&amp;RIGHT("00"&amp;VALUE(MID(Sync!$K1153,FIND(":",Sync!$K1153)+1,2)),2),"0000")))&amp;"|"&amp;"2"&amp;RIGHT("00000"&amp;1148,5))</f>
        <v/>
      </c>
      <c r="Q1153">
        <f>IF(Sync!$J1153="","",IF(ISNUMBER(Sync!$J1153),IF(AND(Sync!$J1153&gt;=10000101,Sync!$J1153&lt;=99991231),INT(Sync!$J1153/10000)&amp;"/"&amp;RIGHT("00"&amp;INT(MOD(Sync!$J1153,10000)/100),2)&amp;"/"&amp;RIGHT("00"&amp;MOD(Sync!$J1153,100),2),"نامعتبر"),IF(LEN(Sync!$J1153)=10,Sync!$J1153,"نامعتبر")))</f>
        <v/>
      </c>
      <c r="R1153">
        <f>IF($P1153="","",COUNTIFS($N$6:$N$2005,$N1153,$P$6:$P$2005,"&lt;"&amp;$P1153)+COUNTIFS($A$6:$A$1005,$N1153,$B$6:$B$1005,"&lt;"&amp;$P1153)+1)</f>
        <v/>
      </c>
      <c r="S1153">
        <f>IF($N1153="","",$N1153&amp;"|"&amp;RIGHT("000000"&amp;$R1153,6))</f>
        <v/>
      </c>
      <c r="T1153">
        <f>IF($N1153="","",IF(Sync!$N1153="",0,Sync!$N1153))</f>
        <v/>
      </c>
      <c r="U1153">
        <f>IF($N1153="","",IF(Sync!$O1153="",0,Sync!$O1153))</f>
        <v/>
      </c>
      <c r="V1153">
        <f>IF($N1153="","",Sync!$L1153)</f>
        <v/>
      </c>
      <c r="W1153">
        <f>IF($N1153="","",Sync!$P1153)</f>
        <v/>
      </c>
    </row>
    <row r="1154">
      <c r="N1154">
        <f>IF(OR(Sync!$M1154="",$Q1154="",$Q1154="نامعتبر"),"",Sync!$M1154)</f>
        <v/>
      </c>
      <c r="O1154">
        <f>IF($N1154="","",$Q1154)</f>
        <v/>
      </c>
      <c r="P1154">
        <f>IF($N1154="","",LEFT($Q1154,4)&amp;MID($Q1154,6,2)&amp;RIGHT($Q1154,2)&amp;IF(Sync!$K1154="","0000",IF(AND(ISNUMBER(Sync!$K1154),Sync!$K1154&gt;=0,Sync!$K1154&lt;1),RIGHT("00"&amp;HOUR(Sync!$K1154),2)&amp;RIGHT("00"&amp;MINUTE(Sync!$K1154),2),IFERROR(RIGHT("00"&amp;VALUE(LEFT(Sync!$K1154,FIND(":",Sync!$K1154)-1)),2)&amp;RIGHT("00"&amp;VALUE(MID(Sync!$K1154,FIND(":",Sync!$K1154)+1,2)),2),"0000")))&amp;"|"&amp;"2"&amp;RIGHT("00000"&amp;1149,5))</f>
        <v/>
      </c>
      <c r="Q1154">
        <f>IF(Sync!$J1154="","",IF(ISNUMBER(Sync!$J1154),IF(AND(Sync!$J1154&gt;=10000101,Sync!$J1154&lt;=99991231),INT(Sync!$J1154/10000)&amp;"/"&amp;RIGHT("00"&amp;INT(MOD(Sync!$J1154,10000)/100),2)&amp;"/"&amp;RIGHT("00"&amp;MOD(Sync!$J1154,100),2),"نامعتبر"),IF(LEN(Sync!$J1154)=10,Sync!$J1154,"نامعتبر")))</f>
        <v/>
      </c>
      <c r="R1154">
        <f>IF($P1154="","",COUNTIFS($N$6:$N$2005,$N1154,$P$6:$P$2005,"&lt;"&amp;$P1154)+COUNTIFS($A$6:$A$1005,$N1154,$B$6:$B$1005,"&lt;"&amp;$P1154)+1)</f>
        <v/>
      </c>
      <c r="S1154">
        <f>IF($N1154="","",$N1154&amp;"|"&amp;RIGHT("000000"&amp;$R1154,6))</f>
        <v/>
      </c>
      <c r="T1154">
        <f>IF($N1154="","",IF(Sync!$N1154="",0,Sync!$N1154))</f>
        <v/>
      </c>
      <c r="U1154">
        <f>IF($N1154="","",IF(Sync!$O1154="",0,Sync!$O1154))</f>
        <v/>
      </c>
      <c r="V1154">
        <f>IF($N1154="","",Sync!$L1154)</f>
        <v/>
      </c>
      <c r="W1154">
        <f>IF($N1154="","",Sync!$P1154)</f>
        <v/>
      </c>
    </row>
    <row r="1155">
      <c r="N1155">
        <f>IF(OR(Sync!$M1155="",$Q1155="",$Q1155="نامعتبر"),"",Sync!$M1155)</f>
        <v/>
      </c>
      <c r="O1155">
        <f>IF($N1155="","",$Q1155)</f>
        <v/>
      </c>
      <c r="P1155">
        <f>IF($N1155="","",LEFT($Q1155,4)&amp;MID($Q1155,6,2)&amp;RIGHT($Q1155,2)&amp;IF(Sync!$K1155="","0000",IF(AND(ISNUMBER(Sync!$K1155),Sync!$K1155&gt;=0,Sync!$K1155&lt;1),RIGHT("00"&amp;HOUR(Sync!$K1155),2)&amp;RIGHT("00"&amp;MINUTE(Sync!$K1155),2),IFERROR(RIGHT("00"&amp;VALUE(LEFT(Sync!$K1155,FIND(":",Sync!$K1155)-1)),2)&amp;RIGHT("00"&amp;VALUE(MID(Sync!$K1155,FIND(":",Sync!$K1155)+1,2)),2),"0000")))&amp;"|"&amp;"2"&amp;RIGHT("00000"&amp;1150,5))</f>
        <v/>
      </c>
      <c r="Q1155">
        <f>IF(Sync!$J1155="","",IF(ISNUMBER(Sync!$J1155),IF(AND(Sync!$J1155&gt;=10000101,Sync!$J1155&lt;=99991231),INT(Sync!$J1155/10000)&amp;"/"&amp;RIGHT("00"&amp;INT(MOD(Sync!$J1155,10000)/100),2)&amp;"/"&amp;RIGHT("00"&amp;MOD(Sync!$J1155,100),2),"نامعتبر"),IF(LEN(Sync!$J1155)=10,Sync!$J1155,"نامعتبر")))</f>
        <v/>
      </c>
      <c r="R1155">
        <f>IF($P1155="","",COUNTIFS($N$6:$N$2005,$N1155,$P$6:$P$2005,"&lt;"&amp;$P1155)+COUNTIFS($A$6:$A$1005,$N1155,$B$6:$B$1005,"&lt;"&amp;$P1155)+1)</f>
        <v/>
      </c>
      <c r="S1155">
        <f>IF($N1155="","",$N1155&amp;"|"&amp;RIGHT("000000"&amp;$R1155,6))</f>
        <v/>
      </c>
      <c r="T1155">
        <f>IF($N1155="","",IF(Sync!$N1155="",0,Sync!$N1155))</f>
        <v/>
      </c>
      <c r="U1155">
        <f>IF($N1155="","",IF(Sync!$O1155="",0,Sync!$O1155))</f>
        <v/>
      </c>
      <c r="V1155">
        <f>IF($N1155="","",Sync!$L1155)</f>
        <v/>
      </c>
      <c r="W1155">
        <f>IF($N1155="","",Sync!$P1155)</f>
        <v/>
      </c>
    </row>
    <row r="1156">
      <c r="N1156">
        <f>IF(OR(Sync!$M1156="",$Q1156="",$Q1156="نامعتبر"),"",Sync!$M1156)</f>
        <v/>
      </c>
      <c r="O1156">
        <f>IF($N1156="","",$Q1156)</f>
        <v/>
      </c>
      <c r="P1156">
        <f>IF($N1156="","",LEFT($Q1156,4)&amp;MID($Q1156,6,2)&amp;RIGHT($Q1156,2)&amp;IF(Sync!$K1156="","0000",IF(AND(ISNUMBER(Sync!$K1156),Sync!$K1156&gt;=0,Sync!$K1156&lt;1),RIGHT("00"&amp;HOUR(Sync!$K1156),2)&amp;RIGHT("00"&amp;MINUTE(Sync!$K1156),2),IFERROR(RIGHT("00"&amp;VALUE(LEFT(Sync!$K1156,FIND(":",Sync!$K1156)-1)),2)&amp;RIGHT("00"&amp;VALUE(MID(Sync!$K1156,FIND(":",Sync!$K1156)+1,2)),2),"0000")))&amp;"|"&amp;"2"&amp;RIGHT("00000"&amp;1151,5))</f>
        <v/>
      </c>
      <c r="Q1156">
        <f>IF(Sync!$J1156="","",IF(ISNUMBER(Sync!$J1156),IF(AND(Sync!$J1156&gt;=10000101,Sync!$J1156&lt;=99991231),INT(Sync!$J1156/10000)&amp;"/"&amp;RIGHT("00"&amp;INT(MOD(Sync!$J1156,10000)/100),2)&amp;"/"&amp;RIGHT("00"&amp;MOD(Sync!$J1156,100),2),"نامعتبر"),IF(LEN(Sync!$J1156)=10,Sync!$J1156,"نامعتبر")))</f>
        <v/>
      </c>
      <c r="R1156">
        <f>IF($P1156="","",COUNTIFS($N$6:$N$2005,$N1156,$P$6:$P$2005,"&lt;"&amp;$P1156)+COUNTIFS($A$6:$A$1005,$N1156,$B$6:$B$1005,"&lt;"&amp;$P1156)+1)</f>
        <v/>
      </c>
      <c r="S1156">
        <f>IF($N1156="","",$N1156&amp;"|"&amp;RIGHT("000000"&amp;$R1156,6))</f>
        <v/>
      </c>
      <c r="T1156">
        <f>IF($N1156="","",IF(Sync!$N1156="",0,Sync!$N1156))</f>
        <v/>
      </c>
      <c r="U1156">
        <f>IF($N1156="","",IF(Sync!$O1156="",0,Sync!$O1156))</f>
        <v/>
      </c>
      <c r="V1156">
        <f>IF($N1156="","",Sync!$L1156)</f>
        <v/>
      </c>
      <c r="W1156">
        <f>IF($N1156="","",Sync!$P1156)</f>
        <v/>
      </c>
    </row>
    <row r="1157">
      <c r="N1157">
        <f>IF(OR(Sync!$M1157="",$Q1157="",$Q1157="نامعتبر"),"",Sync!$M1157)</f>
        <v/>
      </c>
      <c r="O1157">
        <f>IF($N1157="","",$Q1157)</f>
        <v/>
      </c>
      <c r="P1157">
        <f>IF($N1157="","",LEFT($Q1157,4)&amp;MID($Q1157,6,2)&amp;RIGHT($Q1157,2)&amp;IF(Sync!$K1157="","0000",IF(AND(ISNUMBER(Sync!$K1157),Sync!$K1157&gt;=0,Sync!$K1157&lt;1),RIGHT("00"&amp;HOUR(Sync!$K1157),2)&amp;RIGHT("00"&amp;MINUTE(Sync!$K1157),2),IFERROR(RIGHT("00"&amp;VALUE(LEFT(Sync!$K1157,FIND(":",Sync!$K1157)-1)),2)&amp;RIGHT("00"&amp;VALUE(MID(Sync!$K1157,FIND(":",Sync!$K1157)+1,2)),2),"0000")))&amp;"|"&amp;"2"&amp;RIGHT("00000"&amp;1152,5))</f>
        <v/>
      </c>
      <c r="Q1157">
        <f>IF(Sync!$J1157="","",IF(ISNUMBER(Sync!$J1157),IF(AND(Sync!$J1157&gt;=10000101,Sync!$J1157&lt;=99991231),INT(Sync!$J1157/10000)&amp;"/"&amp;RIGHT("00"&amp;INT(MOD(Sync!$J1157,10000)/100),2)&amp;"/"&amp;RIGHT("00"&amp;MOD(Sync!$J1157,100),2),"نامعتبر"),IF(LEN(Sync!$J1157)=10,Sync!$J1157,"نامعتبر")))</f>
        <v/>
      </c>
      <c r="R1157">
        <f>IF($P1157="","",COUNTIFS($N$6:$N$2005,$N1157,$P$6:$P$2005,"&lt;"&amp;$P1157)+COUNTIFS($A$6:$A$1005,$N1157,$B$6:$B$1005,"&lt;"&amp;$P1157)+1)</f>
        <v/>
      </c>
      <c r="S1157">
        <f>IF($N1157="","",$N1157&amp;"|"&amp;RIGHT("000000"&amp;$R1157,6))</f>
        <v/>
      </c>
      <c r="T1157">
        <f>IF($N1157="","",IF(Sync!$N1157="",0,Sync!$N1157))</f>
        <v/>
      </c>
      <c r="U1157">
        <f>IF($N1157="","",IF(Sync!$O1157="",0,Sync!$O1157))</f>
        <v/>
      </c>
      <c r="V1157">
        <f>IF($N1157="","",Sync!$L1157)</f>
        <v/>
      </c>
      <c r="W1157">
        <f>IF($N1157="","",Sync!$P1157)</f>
        <v/>
      </c>
    </row>
    <row r="1158">
      <c r="N1158">
        <f>IF(OR(Sync!$M1158="",$Q1158="",$Q1158="نامعتبر"),"",Sync!$M1158)</f>
        <v/>
      </c>
      <c r="O1158">
        <f>IF($N1158="","",$Q1158)</f>
        <v/>
      </c>
      <c r="P1158">
        <f>IF($N1158="","",LEFT($Q1158,4)&amp;MID($Q1158,6,2)&amp;RIGHT($Q1158,2)&amp;IF(Sync!$K1158="","0000",IF(AND(ISNUMBER(Sync!$K1158),Sync!$K1158&gt;=0,Sync!$K1158&lt;1),RIGHT("00"&amp;HOUR(Sync!$K1158),2)&amp;RIGHT("00"&amp;MINUTE(Sync!$K1158),2),IFERROR(RIGHT("00"&amp;VALUE(LEFT(Sync!$K1158,FIND(":",Sync!$K1158)-1)),2)&amp;RIGHT("00"&amp;VALUE(MID(Sync!$K1158,FIND(":",Sync!$K1158)+1,2)),2),"0000")))&amp;"|"&amp;"2"&amp;RIGHT("00000"&amp;1153,5))</f>
        <v/>
      </c>
      <c r="Q1158">
        <f>IF(Sync!$J1158="","",IF(ISNUMBER(Sync!$J1158),IF(AND(Sync!$J1158&gt;=10000101,Sync!$J1158&lt;=99991231),INT(Sync!$J1158/10000)&amp;"/"&amp;RIGHT("00"&amp;INT(MOD(Sync!$J1158,10000)/100),2)&amp;"/"&amp;RIGHT("00"&amp;MOD(Sync!$J1158,100),2),"نامعتبر"),IF(LEN(Sync!$J1158)=10,Sync!$J1158,"نامعتبر")))</f>
        <v/>
      </c>
      <c r="R1158">
        <f>IF($P1158="","",COUNTIFS($N$6:$N$2005,$N1158,$P$6:$P$2005,"&lt;"&amp;$P1158)+COUNTIFS($A$6:$A$1005,$N1158,$B$6:$B$1005,"&lt;"&amp;$P1158)+1)</f>
        <v/>
      </c>
      <c r="S1158">
        <f>IF($N1158="","",$N1158&amp;"|"&amp;RIGHT("000000"&amp;$R1158,6))</f>
        <v/>
      </c>
      <c r="T1158">
        <f>IF($N1158="","",IF(Sync!$N1158="",0,Sync!$N1158))</f>
        <v/>
      </c>
      <c r="U1158">
        <f>IF($N1158="","",IF(Sync!$O1158="",0,Sync!$O1158))</f>
        <v/>
      </c>
      <c r="V1158">
        <f>IF($N1158="","",Sync!$L1158)</f>
        <v/>
      </c>
      <c r="W1158">
        <f>IF($N1158="","",Sync!$P1158)</f>
        <v/>
      </c>
    </row>
    <row r="1159">
      <c r="N1159">
        <f>IF(OR(Sync!$M1159="",$Q1159="",$Q1159="نامعتبر"),"",Sync!$M1159)</f>
        <v/>
      </c>
      <c r="O1159">
        <f>IF($N1159="","",$Q1159)</f>
        <v/>
      </c>
      <c r="P1159">
        <f>IF($N1159="","",LEFT($Q1159,4)&amp;MID($Q1159,6,2)&amp;RIGHT($Q1159,2)&amp;IF(Sync!$K1159="","0000",IF(AND(ISNUMBER(Sync!$K1159),Sync!$K1159&gt;=0,Sync!$K1159&lt;1),RIGHT("00"&amp;HOUR(Sync!$K1159),2)&amp;RIGHT("00"&amp;MINUTE(Sync!$K1159),2),IFERROR(RIGHT("00"&amp;VALUE(LEFT(Sync!$K1159,FIND(":",Sync!$K1159)-1)),2)&amp;RIGHT("00"&amp;VALUE(MID(Sync!$K1159,FIND(":",Sync!$K1159)+1,2)),2),"0000")))&amp;"|"&amp;"2"&amp;RIGHT("00000"&amp;1154,5))</f>
        <v/>
      </c>
      <c r="Q1159">
        <f>IF(Sync!$J1159="","",IF(ISNUMBER(Sync!$J1159),IF(AND(Sync!$J1159&gt;=10000101,Sync!$J1159&lt;=99991231),INT(Sync!$J1159/10000)&amp;"/"&amp;RIGHT("00"&amp;INT(MOD(Sync!$J1159,10000)/100),2)&amp;"/"&amp;RIGHT("00"&amp;MOD(Sync!$J1159,100),2),"نامعتبر"),IF(LEN(Sync!$J1159)=10,Sync!$J1159,"نامعتبر")))</f>
        <v/>
      </c>
      <c r="R1159">
        <f>IF($P1159="","",COUNTIFS($N$6:$N$2005,$N1159,$P$6:$P$2005,"&lt;"&amp;$P1159)+COUNTIFS($A$6:$A$1005,$N1159,$B$6:$B$1005,"&lt;"&amp;$P1159)+1)</f>
        <v/>
      </c>
      <c r="S1159">
        <f>IF($N1159="","",$N1159&amp;"|"&amp;RIGHT("000000"&amp;$R1159,6))</f>
        <v/>
      </c>
      <c r="T1159">
        <f>IF($N1159="","",IF(Sync!$N1159="",0,Sync!$N1159))</f>
        <v/>
      </c>
      <c r="U1159">
        <f>IF($N1159="","",IF(Sync!$O1159="",0,Sync!$O1159))</f>
        <v/>
      </c>
      <c r="V1159">
        <f>IF($N1159="","",Sync!$L1159)</f>
        <v/>
      </c>
      <c r="W1159">
        <f>IF($N1159="","",Sync!$P1159)</f>
        <v/>
      </c>
    </row>
    <row r="1160">
      <c r="N1160">
        <f>IF(OR(Sync!$M1160="",$Q1160="",$Q1160="نامعتبر"),"",Sync!$M1160)</f>
        <v/>
      </c>
      <c r="O1160">
        <f>IF($N1160="","",$Q1160)</f>
        <v/>
      </c>
      <c r="P1160">
        <f>IF($N1160="","",LEFT($Q1160,4)&amp;MID($Q1160,6,2)&amp;RIGHT($Q1160,2)&amp;IF(Sync!$K1160="","0000",IF(AND(ISNUMBER(Sync!$K1160),Sync!$K1160&gt;=0,Sync!$K1160&lt;1),RIGHT("00"&amp;HOUR(Sync!$K1160),2)&amp;RIGHT("00"&amp;MINUTE(Sync!$K1160),2),IFERROR(RIGHT("00"&amp;VALUE(LEFT(Sync!$K1160,FIND(":",Sync!$K1160)-1)),2)&amp;RIGHT("00"&amp;VALUE(MID(Sync!$K1160,FIND(":",Sync!$K1160)+1,2)),2),"0000")))&amp;"|"&amp;"2"&amp;RIGHT("00000"&amp;1155,5))</f>
        <v/>
      </c>
      <c r="Q1160">
        <f>IF(Sync!$J1160="","",IF(ISNUMBER(Sync!$J1160),IF(AND(Sync!$J1160&gt;=10000101,Sync!$J1160&lt;=99991231),INT(Sync!$J1160/10000)&amp;"/"&amp;RIGHT("00"&amp;INT(MOD(Sync!$J1160,10000)/100),2)&amp;"/"&amp;RIGHT("00"&amp;MOD(Sync!$J1160,100),2),"نامعتبر"),IF(LEN(Sync!$J1160)=10,Sync!$J1160,"نامعتبر")))</f>
        <v/>
      </c>
      <c r="R1160">
        <f>IF($P1160="","",COUNTIFS($N$6:$N$2005,$N1160,$P$6:$P$2005,"&lt;"&amp;$P1160)+COUNTIFS($A$6:$A$1005,$N1160,$B$6:$B$1005,"&lt;"&amp;$P1160)+1)</f>
        <v/>
      </c>
      <c r="S1160">
        <f>IF($N1160="","",$N1160&amp;"|"&amp;RIGHT("000000"&amp;$R1160,6))</f>
        <v/>
      </c>
      <c r="T1160">
        <f>IF($N1160="","",IF(Sync!$N1160="",0,Sync!$N1160))</f>
        <v/>
      </c>
      <c r="U1160">
        <f>IF($N1160="","",IF(Sync!$O1160="",0,Sync!$O1160))</f>
        <v/>
      </c>
      <c r="V1160">
        <f>IF($N1160="","",Sync!$L1160)</f>
        <v/>
      </c>
      <c r="W1160">
        <f>IF($N1160="","",Sync!$P1160)</f>
        <v/>
      </c>
    </row>
    <row r="1161">
      <c r="N1161">
        <f>IF(OR(Sync!$M1161="",$Q1161="",$Q1161="نامعتبر"),"",Sync!$M1161)</f>
        <v/>
      </c>
      <c r="O1161">
        <f>IF($N1161="","",$Q1161)</f>
        <v/>
      </c>
      <c r="P1161">
        <f>IF($N1161="","",LEFT($Q1161,4)&amp;MID($Q1161,6,2)&amp;RIGHT($Q1161,2)&amp;IF(Sync!$K1161="","0000",IF(AND(ISNUMBER(Sync!$K1161),Sync!$K1161&gt;=0,Sync!$K1161&lt;1),RIGHT("00"&amp;HOUR(Sync!$K1161),2)&amp;RIGHT("00"&amp;MINUTE(Sync!$K1161),2),IFERROR(RIGHT("00"&amp;VALUE(LEFT(Sync!$K1161,FIND(":",Sync!$K1161)-1)),2)&amp;RIGHT("00"&amp;VALUE(MID(Sync!$K1161,FIND(":",Sync!$K1161)+1,2)),2),"0000")))&amp;"|"&amp;"2"&amp;RIGHT("00000"&amp;1156,5))</f>
        <v/>
      </c>
      <c r="Q1161">
        <f>IF(Sync!$J1161="","",IF(ISNUMBER(Sync!$J1161),IF(AND(Sync!$J1161&gt;=10000101,Sync!$J1161&lt;=99991231),INT(Sync!$J1161/10000)&amp;"/"&amp;RIGHT("00"&amp;INT(MOD(Sync!$J1161,10000)/100),2)&amp;"/"&amp;RIGHT("00"&amp;MOD(Sync!$J1161,100),2),"نامعتبر"),IF(LEN(Sync!$J1161)=10,Sync!$J1161,"نامعتبر")))</f>
        <v/>
      </c>
      <c r="R1161">
        <f>IF($P1161="","",COUNTIFS($N$6:$N$2005,$N1161,$P$6:$P$2005,"&lt;"&amp;$P1161)+COUNTIFS($A$6:$A$1005,$N1161,$B$6:$B$1005,"&lt;"&amp;$P1161)+1)</f>
        <v/>
      </c>
      <c r="S1161">
        <f>IF($N1161="","",$N1161&amp;"|"&amp;RIGHT("000000"&amp;$R1161,6))</f>
        <v/>
      </c>
      <c r="T1161">
        <f>IF($N1161="","",IF(Sync!$N1161="",0,Sync!$N1161))</f>
        <v/>
      </c>
      <c r="U1161">
        <f>IF($N1161="","",IF(Sync!$O1161="",0,Sync!$O1161))</f>
        <v/>
      </c>
      <c r="V1161">
        <f>IF($N1161="","",Sync!$L1161)</f>
        <v/>
      </c>
      <c r="W1161">
        <f>IF($N1161="","",Sync!$P1161)</f>
        <v/>
      </c>
    </row>
    <row r="1162">
      <c r="N1162">
        <f>IF(OR(Sync!$M1162="",$Q1162="",$Q1162="نامعتبر"),"",Sync!$M1162)</f>
        <v/>
      </c>
      <c r="O1162">
        <f>IF($N1162="","",$Q1162)</f>
        <v/>
      </c>
      <c r="P1162">
        <f>IF($N1162="","",LEFT($Q1162,4)&amp;MID($Q1162,6,2)&amp;RIGHT($Q1162,2)&amp;IF(Sync!$K1162="","0000",IF(AND(ISNUMBER(Sync!$K1162),Sync!$K1162&gt;=0,Sync!$K1162&lt;1),RIGHT("00"&amp;HOUR(Sync!$K1162),2)&amp;RIGHT("00"&amp;MINUTE(Sync!$K1162),2),IFERROR(RIGHT("00"&amp;VALUE(LEFT(Sync!$K1162,FIND(":",Sync!$K1162)-1)),2)&amp;RIGHT("00"&amp;VALUE(MID(Sync!$K1162,FIND(":",Sync!$K1162)+1,2)),2),"0000")))&amp;"|"&amp;"2"&amp;RIGHT("00000"&amp;1157,5))</f>
        <v/>
      </c>
      <c r="Q1162">
        <f>IF(Sync!$J1162="","",IF(ISNUMBER(Sync!$J1162),IF(AND(Sync!$J1162&gt;=10000101,Sync!$J1162&lt;=99991231),INT(Sync!$J1162/10000)&amp;"/"&amp;RIGHT("00"&amp;INT(MOD(Sync!$J1162,10000)/100),2)&amp;"/"&amp;RIGHT("00"&amp;MOD(Sync!$J1162,100),2),"نامعتبر"),IF(LEN(Sync!$J1162)=10,Sync!$J1162,"نامعتبر")))</f>
        <v/>
      </c>
      <c r="R1162">
        <f>IF($P1162="","",COUNTIFS($N$6:$N$2005,$N1162,$P$6:$P$2005,"&lt;"&amp;$P1162)+COUNTIFS($A$6:$A$1005,$N1162,$B$6:$B$1005,"&lt;"&amp;$P1162)+1)</f>
        <v/>
      </c>
      <c r="S1162">
        <f>IF($N1162="","",$N1162&amp;"|"&amp;RIGHT("000000"&amp;$R1162,6))</f>
        <v/>
      </c>
      <c r="T1162">
        <f>IF($N1162="","",IF(Sync!$N1162="",0,Sync!$N1162))</f>
        <v/>
      </c>
      <c r="U1162">
        <f>IF($N1162="","",IF(Sync!$O1162="",0,Sync!$O1162))</f>
        <v/>
      </c>
      <c r="V1162">
        <f>IF($N1162="","",Sync!$L1162)</f>
        <v/>
      </c>
      <c r="W1162">
        <f>IF($N1162="","",Sync!$P1162)</f>
        <v/>
      </c>
    </row>
    <row r="1163">
      <c r="N1163">
        <f>IF(OR(Sync!$M1163="",$Q1163="",$Q1163="نامعتبر"),"",Sync!$M1163)</f>
        <v/>
      </c>
      <c r="O1163">
        <f>IF($N1163="","",$Q1163)</f>
        <v/>
      </c>
      <c r="P1163">
        <f>IF($N1163="","",LEFT($Q1163,4)&amp;MID($Q1163,6,2)&amp;RIGHT($Q1163,2)&amp;IF(Sync!$K1163="","0000",IF(AND(ISNUMBER(Sync!$K1163),Sync!$K1163&gt;=0,Sync!$K1163&lt;1),RIGHT("00"&amp;HOUR(Sync!$K1163),2)&amp;RIGHT("00"&amp;MINUTE(Sync!$K1163),2),IFERROR(RIGHT("00"&amp;VALUE(LEFT(Sync!$K1163,FIND(":",Sync!$K1163)-1)),2)&amp;RIGHT("00"&amp;VALUE(MID(Sync!$K1163,FIND(":",Sync!$K1163)+1,2)),2),"0000")))&amp;"|"&amp;"2"&amp;RIGHT("00000"&amp;1158,5))</f>
        <v/>
      </c>
      <c r="Q1163">
        <f>IF(Sync!$J1163="","",IF(ISNUMBER(Sync!$J1163),IF(AND(Sync!$J1163&gt;=10000101,Sync!$J1163&lt;=99991231),INT(Sync!$J1163/10000)&amp;"/"&amp;RIGHT("00"&amp;INT(MOD(Sync!$J1163,10000)/100),2)&amp;"/"&amp;RIGHT("00"&amp;MOD(Sync!$J1163,100),2),"نامعتبر"),IF(LEN(Sync!$J1163)=10,Sync!$J1163,"نامعتبر")))</f>
        <v/>
      </c>
      <c r="R1163">
        <f>IF($P1163="","",COUNTIFS($N$6:$N$2005,$N1163,$P$6:$P$2005,"&lt;"&amp;$P1163)+COUNTIFS($A$6:$A$1005,$N1163,$B$6:$B$1005,"&lt;"&amp;$P1163)+1)</f>
        <v/>
      </c>
      <c r="S1163">
        <f>IF($N1163="","",$N1163&amp;"|"&amp;RIGHT("000000"&amp;$R1163,6))</f>
        <v/>
      </c>
      <c r="T1163">
        <f>IF($N1163="","",IF(Sync!$N1163="",0,Sync!$N1163))</f>
        <v/>
      </c>
      <c r="U1163">
        <f>IF($N1163="","",IF(Sync!$O1163="",0,Sync!$O1163))</f>
        <v/>
      </c>
      <c r="V1163">
        <f>IF($N1163="","",Sync!$L1163)</f>
        <v/>
      </c>
      <c r="W1163">
        <f>IF($N1163="","",Sync!$P1163)</f>
        <v/>
      </c>
    </row>
    <row r="1164">
      <c r="N1164">
        <f>IF(OR(Sync!$M1164="",$Q1164="",$Q1164="نامعتبر"),"",Sync!$M1164)</f>
        <v/>
      </c>
      <c r="O1164">
        <f>IF($N1164="","",$Q1164)</f>
        <v/>
      </c>
      <c r="P1164">
        <f>IF($N1164="","",LEFT($Q1164,4)&amp;MID($Q1164,6,2)&amp;RIGHT($Q1164,2)&amp;IF(Sync!$K1164="","0000",IF(AND(ISNUMBER(Sync!$K1164),Sync!$K1164&gt;=0,Sync!$K1164&lt;1),RIGHT("00"&amp;HOUR(Sync!$K1164),2)&amp;RIGHT("00"&amp;MINUTE(Sync!$K1164),2),IFERROR(RIGHT("00"&amp;VALUE(LEFT(Sync!$K1164,FIND(":",Sync!$K1164)-1)),2)&amp;RIGHT("00"&amp;VALUE(MID(Sync!$K1164,FIND(":",Sync!$K1164)+1,2)),2),"0000")))&amp;"|"&amp;"2"&amp;RIGHT("00000"&amp;1159,5))</f>
        <v/>
      </c>
      <c r="Q1164">
        <f>IF(Sync!$J1164="","",IF(ISNUMBER(Sync!$J1164),IF(AND(Sync!$J1164&gt;=10000101,Sync!$J1164&lt;=99991231),INT(Sync!$J1164/10000)&amp;"/"&amp;RIGHT("00"&amp;INT(MOD(Sync!$J1164,10000)/100),2)&amp;"/"&amp;RIGHT("00"&amp;MOD(Sync!$J1164,100),2),"نامعتبر"),IF(LEN(Sync!$J1164)=10,Sync!$J1164,"نامعتبر")))</f>
        <v/>
      </c>
      <c r="R1164">
        <f>IF($P1164="","",COUNTIFS($N$6:$N$2005,$N1164,$P$6:$P$2005,"&lt;"&amp;$P1164)+COUNTIFS($A$6:$A$1005,$N1164,$B$6:$B$1005,"&lt;"&amp;$P1164)+1)</f>
        <v/>
      </c>
      <c r="S1164">
        <f>IF($N1164="","",$N1164&amp;"|"&amp;RIGHT("000000"&amp;$R1164,6))</f>
        <v/>
      </c>
      <c r="T1164">
        <f>IF($N1164="","",IF(Sync!$N1164="",0,Sync!$N1164))</f>
        <v/>
      </c>
      <c r="U1164">
        <f>IF($N1164="","",IF(Sync!$O1164="",0,Sync!$O1164))</f>
        <v/>
      </c>
      <c r="V1164">
        <f>IF($N1164="","",Sync!$L1164)</f>
        <v/>
      </c>
      <c r="W1164">
        <f>IF($N1164="","",Sync!$P1164)</f>
        <v/>
      </c>
    </row>
    <row r="1165">
      <c r="N1165">
        <f>IF(OR(Sync!$M1165="",$Q1165="",$Q1165="نامعتبر"),"",Sync!$M1165)</f>
        <v/>
      </c>
      <c r="O1165">
        <f>IF($N1165="","",$Q1165)</f>
        <v/>
      </c>
      <c r="P1165">
        <f>IF($N1165="","",LEFT($Q1165,4)&amp;MID($Q1165,6,2)&amp;RIGHT($Q1165,2)&amp;IF(Sync!$K1165="","0000",IF(AND(ISNUMBER(Sync!$K1165),Sync!$K1165&gt;=0,Sync!$K1165&lt;1),RIGHT("00"&amp;HOUR(Sync!$K1165),2)&amp;RIGHT("00"&amp;MINUTE(Sync!$K1165),2),IFERROR(RIGHT("00"&amp;VALUE(LEFT(Sync!$K1165,FIND(":",Sync!$K1165)-1)),2)&amp;RIGHT("00"&amp;VALUE(MID(Sync!$K1165,FIND(":",Sync!$K1165)+1,2)),2),"0000")))&amp;"|"&amp;"2"&amp;RIGHT("00000"&amp;1160,5))</f>
        <v/>
      </c>
      <c r="Q1165">
        <f>IF(Sync!$J1165="","",IF(ISNUMBER(Sync!$J1165),IF(AND(Sync!$J1165&gt;=10000101,Sync!$J1165&lt;=99991231),INT(Sync!$J1165/10000)&amp;"/"&amp;RIGHT("00"&amp;INT(MOD(Sync!$J1165,10000)/100),2)&amp;"/"&amp;RIGHT("00"&amp;MOD(Sync!$J1165,100),2),"نامعتبر"),IF(LEN(Sync!$J1165)=10,Sync!$J1165,"نامعتبر")))</f>
        <v/>
      </c>
      <c r="R1165">
        <f>IF($P1165="","",COUNTIFS($N$6:$N$2005,$N1165,$P$6:$P$2005,"&lt;"&amp;$P1165)+COUNTIFS($A$6:$A$1005,$N1165,$B$6:$B$1005,"&lt;"&amp;$P1165)+1)</f>
        <v/>
      </c>
      <c r="S1165">
        <f>IF($N1165="","",$N1165&amp;"|"&amp;RIGHT("000000"&amp;$R1165,6))</f>
        <v/>
      </c>
      <c r="T1165">
        <f>IF($N1165="","",IF(Sync!$N1165="",0,Sync!$N1165))</f>
        <v/>
      </c>
      <c r="U1165">
        <f>IF($N1165="","",IF(Sync!$O1165="",0,Sync!$O1165))</f>
        <v/>
      </c>
      <c r="V1165">
        <f>IF($N1165="","",Sync!$L1165)</f>
        <v/>
      </c>
      <c r="W1165">
        <f>IF($N1165="","",Sync!$P1165)</f>
        <v/>
      </c>
    </row>
    <row r="1166">
      <c r="N1166">
        <f>IF(OR(Sync!$M1166="",$Q1166="",$Q1166="نامعتبر"),"",Sync!$M1166)</f>
        <v/>
      </c>
      <c r="O1166">
        <f>IF($N1166="","",$Q1166)</f>
        <v/>
      </c>
      <c r="P1166">
        <f>IF($N1166="","",LEFT($Q1166,4)&amp;MID($Q1166,6,2)&amp;RIGHT($Q1166,2)&amp;IF(Sync!$K1166="","0000",IF(AND(ISNUMBER(Sync!$K1166),Sync!$K1166&gt;=0,Sync!$K1166&lt;1),RIGHT("00"&amp;HOUR(Sync!$K1166),2)&amp;RIGHT("00"&amp;MINUTE(Sync!$K1166),2),IFERROR(RIGHT("00"&amp;VALUE(LEFT(Sync!$K1166,FIND(":",Sync!$K1166)-1)),2)&amp;RIGHT("00"&amp;VALUE(MID(Sync!$K1166,FIND(":",Sync!$K1166)+1,2)),2),"0000")))&amp;"|"&amp;"2"&amp;RIGHT("00000"&amp;1161,5))</f>
        <v/>
      </c>
      <c r="Q1166">
        <f>IF(Sync!$J1166="","",IF(ISNUMBER(Sync!$J1166),IF(AND(Sync!$J1166&gt;=10000101,Sync!$J1166&lt;=99991231),INT(Sync!$J1166/10000)&amp;"/"&amp;RIGHT("00"&amp;INT(MOD(Sync!$J1166,10000)/100),2)&amp;"/"&amp;RIGHT("00"&amp;MOD(Sync!$J1166,100),2),"نامعتبر"),IF(LEN(Sync!$J1166)=10,Sync!$J1166,"نامعتبر")))</f>
        <v/>
      </c>
      <c r="R1166">
        <f>IF($P1166="","",COUNTIFS($N$6:$N$2005,$N1166,$P$6:$P$2005,"&lt;"&amp;$P1166)+COUNTIFS($A$6:$A$1005,$N1166,$B$6:$B$1005,"&lt;"&amp;$P1166)+1)</f>
        <v/>
      </c>
      <c r="S1166">
        <f>IF($N1166="","",$N1166&amp;"|"&amp;RIGHT("000000"&amp;$R1166,6))</f>
        <v/>
      </c>
      <c r="T1166">
        <f>IF($N1166="","",IF(Sync!$N1166="",0,Sync!$N1166))</f>
        <v/>
      </c>
      <c r="U1166">
        <f>IF($N1166="","",IF(Sync!$O1166="",0,Sync!$O1166))</f>
        <v/>
      </c>
      <c r="V1166">
        <f>IF($N1166="","",Sync!$L1166)</f>
        <v/>
      </c>
      <c r="W1166">
        <f>IF($N1166="","",Sync!$P1166)</f>
        <v/>
      </c>
    </row>
    <row r="1167">
      <c r="N1167">
        <f>IF(OR(Sync!$M1167="",$Q1167="",$Q1167="نامعتبر"),"",Sync!$M1167)</f>
        <v/>
      </c>
      <c r="O1167">
        <f>IF($N1167="","",$Q1167)</f>
        <v/>
      </c>
      <c r="P1167">
        <f>IF($N1167="","",LEFT($Q1167,4)&amp;MID($Q1167,6,2)&amp;RIGHT($Q1167,2)&amp;IF(Sync!$K1167="","0000",IF(AND(ISNUMBER(Sync!$K1167),Sync!$K1167&gt;=0,Sync!$K1167&lt;1),RIGHT("00"&amp;HOUR(Sync!$K1167),2)&amp;RIGHT("00"&amp;MINUTE(Sync!$K1167),2),IFERROR(RIGHT("00"&amp;VALUE(LEFT(Sync!$K1167,FIND(":",Sync!$K1167)-1)),2)&amp;RIGHT("00"&amp;VALUE(MID(Sync!$K1167,FIND(":",Sync!$K1167)+1,2)),2),"0000")))&amp;"|"&amp;"2"&amp;RIGHT("00000"&amp;1162,5))</f>
        <v/>
      </c>
      <c r="Q1167">
        <f>IF(Sync!$J1167="","",IF(ISNUMBER(Sync!$J1167),IF(AND(Sync!$J1167&gt;=10000101,Sync!$J1167&lt;=99991231),INT(Sync!$J1167/10000)&amp;"/"&amp;RIGHT("00"&amp;INT(MOD(Sync!$J1167,10000)/100),2)&amp;"/"&amp;RIGHT("00"&amp;MOD(Sync!$J1167,100),2),"نامعتبر"),IF(LEN(Sync!$J1167)=10,Sync!$J1167,"نامعتبر")))</f>
        <v/>
      </c>
      <c r="R1167">
        <f>IF($P1167="","",COUNTIFS($N$6:$N$2005,$N1167,$P$6:$P$2005,"&lt;"&amp;$P1167)+COUNTIFS($A$6:$A$1005,$N1167,$B$6:$B$1005,"&lt;"&amp;$P1167)+1)</f>
        <v/>
      </c>
      <c r="S1167">
        <f>IF($N1167="","",$N1167&amp;"|"&amp;RIGHT("000000"&amp;$R1167,6))</f>
        <v/>
      </c>
      <c r="T1167">
        <f>IF($N1167="","",IF(Sync!$N1167="",0,Sync!$N1167))</f>
        <v/>
      </c>
      <c r="U1167">
        <f>IF($N1167="","",IF(Sync!$O1167="",0,Sync!$O1167))</f>
        <v/>
      </c>
      <c r="V1167">
        <f>IF($N1167="","",Sync!$L1167)</f>
        <v/>
      </c>
      <c r="W1167">
        <f>IF($N1167="","",Sync!$P1167)</f>
        <v/>
      </c>
    </row>
    <row r="1168">
      <c r="N1168">
        <f>IF(OR(Sync!$M1168="",$Q1168="",$Q1168="نامعتبر"),"",Sync!$M1168)</f>
        <v/>
      </c>
      <c r="O1168">
        <f>IF($N1168="","",$Q1168)</f>
        <v/>
      </c>
      <c r="P1168">
        <f>IF($N1168="","",LEFT($Q1168,4)&amp;MID($Q1168,6,2)&amp;RIGHT($Q1168,2)&amp;IF(Sync!$K1168="","0000",IF(AND(ISNUMBER(Sync!$K1168),Sync!$K1168&gt;=0,Sync!$K1168&lt;1),RIGHT("00"&amp;HOUR(Sync!$K1168),2)&amp;RIGHT("00"&amp;MINUTE(Sync!$K1168),2),IFERROR(RIGHT("00"&amp;VALUE(LEFT(Sync!$K1168,FIND(":",Sync!$K1168)-1)),2)&amp;RIGHT("00"&amp;VALUE(MID(Sync!$K1168,FIND(":",Sync!$K1168)+1,2)),2),"0000")))&amp;"|"&amp;"2"&amp;RIGHT("00000"&amp;1163,5))</f>
        <v/>
      </c>
      <c r="Q1168">
        <f>IF(Sync!$J1168="","",IF(ISNUMBER(Sync!$J1168),IF(AND(Sync!$J1168&gt;=10000101,Sync!$J1168&lt;=99991231),INT(Sync!$J1168/10000)&amp;"/"&amp;RIGHT("00"&amp;INT(MOD(Sync!$J1168,10000)/100),2)&amp;"/"&amp;RIGHT("00"&amp;MOD(Sync!$J1168,100),2),"نامعتبر"),IF(LEN(Sync!$J1168)=10,Sync!$J1168,"نامعتبر")))</f>
        <v/>
      </c>
      <c r="R1168">
        <f>IF($P1168="","",COUNTIFS($N$6:$N$2005,$N1168,$P$6:$P$2005,"&lt;"&amp;$P1168)+COUNTIFS($A$6:$A$1005,$N1168,$B$6:$B$1005,"&lt;"&amp;$P1168)+1)</f>
        <v/>
      </c>
      <c r="S1168">
        <f>IF($N1168="","",$N1168&amp;"|"&amp;RIGHT("000000"&amp;$R1168,6))</f>
        <v/>
      </c>
      <c r="T1168">
        <f>IF($N1168="","",IF(Sync!$N1168="",0,Sync!$N1168))</f>
        <v/>
      </c>
      <c r="U1168">
        <f>IF($N1168="","",IF(Sync!$O1168="",0,Sync!$O1168))</f>
        <v/>
      </c>
      <c r="V1168">
        <f>IF($N1168="","",Sync!$L1168)</f>
        <v/>
      </c>
      <c r="W1168">
        <f>IF($N1168="","",Sync!$P1168)</f>
        <v/>
      </c>
    </row>
    <row r="1169">
      <c r="N1169">
        <f>IF(OR(Sync!$M1169="",$Q1169="",$Q1169="نامعتبر"),"",Sync!$M1169)</f>
        <v/>
      </c>
      <c r="O1169">
        <f>IF($N1169="","",$Q1169)</f>
        <v/>
      </c>
      <c r="P1169">
        <f>IF($N1169="","",LEFT($Q1169,4)&amp;MID($Q1169,6,2)&amp;RIGHT($Q1169,2)&amp;IF(Sync!$K1169="","0000",IF(AND(ISNUMBER(Sync!$K1169),Sync!$K1169&gt;=0,Sync!$K1169&lt;1),RIGHT("00"&amp;HOUR(Sync!$K1169),2)&amp;RIGHT("00"&amp;MINUTE(Sync!$K1169),2),IFERROR(RIGHT("00"&amp;VALUE(LEFT(Sync!$K1169,FIND(":",Sync!$K1169)-1)),2)&amp;RIGHT("00"&amp;VALUE(MID(Sync!$K1169,FIND(":",Sync!$K1169)+1,2)),2),"0000")))&amp;"|"&amp;"2"&amp;RIGHT("00000"&amp;1164,5))</f>
        <v/>
      </c>
      <c r="Q1169">
        <f>IF(Sync!$J1169="","",IF(ISNUMBER(Sync!$J1169),IF(AND(Sync!$J1169&gt;=10000101,Sync!$J1169&lt;=99991231),INT(Sync!$J1169/10000)&amp;"/"&amp;RIGHT("00"&amp;INT(MOD(Sync!$J1169,10000)/100),2)&amp;"/"&amp;RIGHT("00"&amp;MOD(Sync!$J1169,100),2),"نامعتبر"),IF(LEN(Sync!$J1169)=10,Sync!$J1169,"نامعتبر")))</f>
        <v/>
      </c>
      <c r="R1169">
        <f>IF($P1169="","",COUNTIFS($N$6:$N$2005,$N1169,$P$6:$P$2005,"&lt;"&amp;$P1169)+COUNTIFS($A$6:$A$1005,$N1169,$B$6:$B$1005,"&lt;"&amp;$P1169)+1)</f>
        <v/>
      </c>
      <c r="S1169">
        <f>IF($N1169="","",$N1169&amp;"|"&amp;RIGHT("000000"&amp;$R1169,6))</f>
        <v/>
      </c>
      <c r="T1169">
        <f>IF($N1169="","",IF(Sync!$N1169="",0,Sync!$N1169))</f>
        <v/>
      </c>
      <c r="U1169">
        <f>IF($N1169="","",IF(Sync!$O1169="",0,Sync!$O1169))</f>
        <v/>
      </c>
      <c r="V1169">
        <f>IF($N1169="","",Sync!$L1169)</f>
        <v/>
      </c>
      <c r="W1169">
        <f>IF($N1169="","",Sync!$P1169)</f>
        <v/>
      </c>
    </row>
    <row r="1170">
      <c r="N1170">
        <f>IF(OR(Sync!$M1170="",$Q1170="",$Q1170="نامعتبر"),"",Sync!$M1170)</f>
        <v/>
      </c>
      <c r="O1170">
        <f>IF($N1170="","",$Q1170)</f>
        <v/>
      </c>
      <c r="P1170">
        <f>IF($N1170="","",LEFT($Q1170,4)&amp;MID($Q1170,6,2)&amp;RIGHT($Q1170,2)&amp;IF(Sync!$K1170="","0000",IF(AND(ISNUMBER(Sync!$K1170),Sync!$K1170&gt;=0,Sync!$K1170&lt;1),RIGHT("00"&amp;HOUR(Sync!$K1170),2)&amp;RIGHT("00"&amp;MINUTE(Sync!$K1170),2),IFERROR(RIGHT("00"&amp;VALUE(LEFT(Sync!$K1170,FIND(":",Sync!$K1170)-1)),2)&amp;RIGHT("00"&amp;VALUE(MID(Sync!$K1170,FIND(":",Sync!$K1170)+1,2)),2),"0000")))&amp;"|"&amp;"2"&amp;RIGHT("00000"&amp;1165,5))</f>
        <v/>
      </c>
      <c r="Q1170">
        <f>IF(Sync!$J1170="","",IF(ISNUMBER(Sync!$J1170),IF(AND(Sync!$J1170&gt;=10000101,Sync!$J1170&lt;=99991231),INT(Sync!$J1170/10000)&amp;"/"&amp;RIGHT("00"&amp;INT(MOD(Sync!$J1170,10000)/100),2)&amp;"/"&amp;RIGHT("00"&amp;MOD(Sync!$J1170,100),2),"نامعتبر"),IF(LEN(Sync!$J1170)=10,Sync!$J1170,"نامعتبر")))</f>
        <v/>
      </c>
      <c r="R1170">
        <f>IF($P1170="","",COUNTIFS($N$6:$N$2005,$N1170,$P$6:$P$2005,"&lt;"&amp;$P1170)+COUNTIFS($A$6:$A$1005,$N1170,$B$6:$B$1005,"&lt;"&amp;$P1170)+1)</f>
        <v/>
      </c>
      <c r="S1170">
        <f>IF($N1170="","",$N1170&amp;"|"&amp;RIGHT("000000"&amp;$R1170,6))</f>
        <v/>
      </c>
      <c r="T1170">
        <f>IF($N1170="","",IF(Sync!$N1170="",0,Sync!$N1170))</f>
        <v/>
      </c>
      <c r="U1170">
        <f>IF($N1170="","",IF(Sync!$O1170="",0,Sync!$O1170))</f>
        <v/>
      </c>
      <c r="V1170">
        <f>IF($N1170="","",Sync!$L1170)</f>
        <v/>
      </c>
      <c r="W1170">
        <f>IF($N1170="","",Sync!$P1170)</f>
        <v/>
      </c>
    </row>
    <row r="1171">
      <c r="N1171">
        <f>IF(OR(Sync!$M1171="",$Q1171="",$Q1171="نامعتبر"),"",Sync!$M1171)</f>
        <v/>
      </c>
      <c r="O1171">
        <f>IF($N1171="","",$Q1171)</f>
        <v/>
      </c>
      <c r="P1171">
        <f>IF($N1171="","",LEFT($Q1171,4)&amp;MID($Q1171,6,2)&amp;RIGHT($Q1171,2)&amp;IF(Sync!$K1171="","0000",IF(AND(ISNUMBER(Sync!$K1171),Sync!$K1171&gt;=0,Sync!$K1171&lt;1),RIGHT("00"&amp;HOUR(Sync!$K1171),2)&amp;RIGHT("00"&amp;MINUTE(Sync!$K1171),2),IFERROR(RIGHT("00"&amp;VALUE(LEFT(Sync!$K1171,FIND(":",Sync!$K1171)-1)),2)&amp;RIGHT("00"&amp;VALUE(MID(Sync!$K1171,FIND(":",Sync!$K1171)+1,2)),2),"0000")))&amp;"|"&amp;"2"&amp;RIGHT("00000"&amp;1166,5))</f>
        <v/>
      </c>
      <c r="Q1171">
        <f>IF(Sync!$J1171="","",IF(ISNUMBER(Sync!$J1171),IF(AND(Sync!$J1171&gt;=10000101,Sync!$J1171&lt;=99991231),INT(Sync!$J1171/10000)&amp;"/"&amp;RIGHT("00"&amp;INT(MOD(Sync!$J1171,10000)/100),2)&amp;"/"&amp;RIGHT("00"&amp;MOD(Sync!$J1171,100),2),"نامعتبر"),IF(LEN(Sync!$J1171)=10,Sync!$J1171,"نامعتبر")))</f>
        <v/>
      </c>
      <c r="R1171">
        <f>IF($P1171="","",COUNTIFS($N$6:$N$2005,$N1171,$P$6:$P$2005,"&lt;"&amp;$P1171)+COUNTIFS($A$6:$A$1005,$N1171,$B$6:$B$1005,"&lt;"&amp;$P1171)+1)</f>
        <v/>
      </c>
      <c r="S1171">
        <f>IF($N1171="","",$N1171&amp;"|"&amp;RIGHT("000000"&amp;$R1171,6))</f>
        <v/>
      </c>
      <c r="T1171">
        <f>IF($N1171="","",IF(Sync!$N1171="",0,Sync!$N1171))</f>
        <v/>
      </c>
      <c r="U1171">
        <f>IF($N1171="","",IF(Sync!$O1171="",0,Sync!$O1171))</f>
        <v/>
      </c>
      <c r="V1171">
        <f>IF($N1171="","",Sync!$L1171)</f>
        <v/>
      </c>
      <c r="W1171">
        <f>IF($N1171="","",Sync!$P1171)</f>
        <v/>
      </c>
    </row>
    <row r="1172">
      <c r="N1172">
        <f>IF(OR(Sync!$M1172="",$Q1172="",$Q1172="نامعتبر"),"",Sync!$M1172)</f>
        <v/>
      </c>
      <c r="O1172">
        <f>IF($N1172="","",$Q1172)</f>
        <v/>
      </c>
      <c r="P1172">
        <f>IF($N1172="","",LEFT($Q1172,4)&amp;MID($Q1172,6,2)&amp;RIGHT($Q1172,2)&amp;IF(Sync!$K1172="","0000",IF(AND(ISNUMBER(Sync!$K1172),Sync!$K1172&gt;=0,Sync!$K1172&lt;1),RIGHT("00"&amp;HOUR(Sync!$K1172),2)&amp;RIGHT("00"&amp;MINUTE(Sync!$K1172),2),IFERROR(RIGHT("00"&amp;VALUE(LEFT(Sync!$K1172,FIND(":",Sync!$K1172)-1)),2)&amp;RIGHT("00"&amp;VALUE(MID(Sync!$K1172,FIND(":",Sync!$K1172)+1,2)),2),"0000")))&amp;"|"&amp;"2"&amp;RIGHT("00000"&amp;1167,5))</f>
        <v/>
      </c>
      <c r="Q1172">
        <f>IF(Sync!$J1172="","",IF(ISNUMBER(Sync!$J1172),IF(AND(Sync!$J1172&gt;=10000101,Sync!$J1172&lt;=99991231),INT(Sync!$J1172/10000)&amp;"/"&amp;RIGHT("00"&amp;INT(MOD(Sync!$J1172,10000)/100),2)&amp;"/"&amp;RIGHT("00"&amp;MOD(Sync!$J1172,100),2),"نامعتبر"),IF(LEN(Sync!$J1172)=10,Sync!$J1172,"نامعتبر")))</f>
        <v/>
      </c>
      <c r="R1172">
        <f>IF($P1172="","",COUNTIFS($N$6:$N$2005,$N1172,$P$6:$P$2005,"&lt;"&amp;$P1172)+COUNTIFS($A$6:$A$1005,$N1172,$B$6:$B$1005,"&lt;"&amp;$P1172)+1)</f>
        <v/>
      </c>
      <c r="S1172">
        <f>IF($N1172="","",$N1172&amp;"|"&amp;RIGHT("000000"&amp;$R1172,6))</f>
        <v/>
      </c>
      <c r="T1172">
        <f>IF($N1172="","",IF(Sync!$N1172="",0,Sync!$N1172))</f>
        <v/>
      </c>
      <c r="U1172">
        <f>IF($N1172="","",IF(Sync!$O1172="",0,Sync!$O1172))</f>
        <v/>
      </c>
      <c r="V1172">
        <f>IF($N1172="","",Sync!$L1172)</f>
        <v/>
      </c>
      <c r="W1172">
        <f>IF($N1172="","",Sync!$P1172)</f>
        <v/>
      </c>
    </row>
    <row r="1173">
      <c r="N1173">
        <f>IF(OR(Sync!$M1173="",$Q1173="",$Q1173="نامعتبر"),"",Sync!$M1173)</f>
        <v/>
      </c>
      <c r="O1173">
        <f>IF($N1173="","",$Q1173)</f>
        <v/>
      </c>
      <c r="P1173">
        <f>IF($N1173="","",LEFT($Q1173,4)&amp;MID($Q1173,6,2)&amp;RIGHT($Q1173,2)&amp;IF(Sync!$K1173="","0000",IF(AND(ISNUMBER(Sync!$K1173),Sync!$K1173&gt;=0,Sync!$K1173&lt;1),RIGHT("00"&amp;HOUR(Sync!$K1173),2)&amp;RIGHT("00"&amp;MINUTE(Sync!$K1173),2),IFERROR(RIGHT("00"&amp;VALUE(LEFT(Sync!$K1173,FIND(":",Sync!$K1173)-1)),2)&amp;RIGHT("00"&amp;VALUE(MID(Sync!$K1173,FIND(":",Sync!$K1173)+1,2)),2),"0000")))&amp;"|"&amp;"2"&amp;RIGHT("00000"&amp;1168,5))</f>
        <v/>
      </c>
      <c r="Q1173">
        <f>IF(Sync!$J1173="","",IF(ISNUMBER(Sync!$J1173),IF(AND(Sync!$J1173&gt;=10000101,Sync!$J1173&lt;=99991231),INT(Sync!$J1173/10000)&amp;"/"&amp;RIGHT("00"&amp;INT(MOD(Sync!$J1173,10000)/100),2)&amp;"/"&amp;RIGHT("00"&amp;MOD(Sync!$J1173,100),2),"نامعتبر"),IF(LEN(Sync!$J1173)=10,Sync!$J1173,"نامعتبر")))</f>
        <v/>
      </c>
      <c r="R1173">
        <f>IF($P1173="","",COUNTIFS($N$6:$N$2005,$N1173,$P$6:$P$2005,"&lt;"&amp;$P1173)+COUNTIFS($A$6:$A$1005,$N1173,$B$6:$B$1005,"&lt;"&amp;$P1173)+1)</f>
        <v/>
      </c>
      <c r="S1173">
        <f>IF($N1173="","",$N1173&amp;"|"&amp;RIGHT("000000"&amp;$R1173,6))</f>
        <v/>
      </c>
      <c r="T1173">
        <f>IF($N1173="","",IF(Sync!$N1173="",0,Sync!$N1173))</f>
        <v/>
      </c>
      <c r="U1173">
        <f>IF($N1173="","",IF(Sync!$O1173="",0,Sync!$O1173))</f>
        <v/>
      </c>
      <c r="V1173">
        <f>IF($N1173="","",Sync!$L1173)</f>
        <v/>
      </c>
      <c r="W1173">
        <f>IF($N1173="","",Sync!$P1173)</f>
        <v/>
      </c>
    </row>
    <row r="1174">
      <c r="N1174">
        <f>IF(OR(Sync!$M1174="",$Q1174="",$Q1174="نامعتبر"),"",Sync!$M1174)</f>
        <v/>
      </c>
      <c r="O1174">
        <f>IF($N1174="","",$Q1174)</f>
        <v/>
      </c>
      <c r="P1174">
        <f>IF($N1174="","",LEFT($Q1174,4)&amp;MID($Q1174,6,2)&amp;RIGHT($Q1174,2)&amp;IF(Sync!$K1174="","0000",IF(AND(ISNUMBER(Sync!$K1174),Sync!$K1174&gt;=0,Sync!$K1174&lt;1),RIGHT("00"&amp;HOUR(Sync!$K1174),2)&amp;RIGHT("00"&amp;MINUTE(Sync!$K1174),2),IFERROR(RIGHT("00"&amp;VALUE(LEFT(Sync!$K1174,FIND(":",Sync!$K1174)-1)),2)&amp;RIGHT("00"&amp;VALUE(MID(Sync!$K1174,FIND(":",Sync!$K1174)+1,2)),2),"0000")))&amp;"|"&amp;"2"&amp;RIGHT("00000"&amp;1169,5))</f>
        <v/>
      </c>
      <c r="Q1174">
        <f>IF(Sync!$J1174="","",IF(ISNUMBER(Sync!$J1174),IF(AND(Sync!$J1174&gt;=10000101,Sync!$J1174&lt;=99991231),INT(Sync!$J1174/10000)&amp;"/"&amp;RIGHT("00"&amp;INT(MOD(Sync!$J1174,10000)/100),2)&amp;"/"&amp;RIGHT("00"&amp;MOD(Sync!$J1174,100),2),"نامعتبر"),IF(LEN(Sync!$J1174)=10,Sync!$J1174,"نامعتبر")))</f>
        <v/>
      </c>
      <c r="R1174">
        <f>IF($P1174="","",COUNTIFS($N$6:$N$2005,$N1174,$P$6:$P$2005,"&lt;"&amp;$P1174)+COUNTIFS($A$6:$A$1005,$N1174,$B$6:$B$1005,"&lt;"&amp;$P1174)+1)</f>
        <v/>
      </c>
      <c r="S1174">
        <f>IF($N1174="","",$N1174&amp;"|"&amp;RIGHT("000000"&amp;$R1174,6))</f>
        <v/>
      </c>
      <c r="T1174">
        <f>IF($N1174="","",IF(Sync!$N1174="",0,Sync!$N1174))</f>
        <v/>
      </c>
      <c r="U1174">
        <f>IF($N1174="","",IF(Sync!$O1174="",0,Sync!$O1174))</f>
        <v/>
      </c>
      <c r="V1174">
        <f>IF($N1174="","",Sync!$L1174)</f>
        <v/>
      </c>
      <c r="W1174">
        <f>IF($N1174="","",Sync!$P1174)</f>
        <v/>
      </c>
    </row>
    <row r="1175">
      <c r="N1175">
        <f>IF(OR(Sync!$M1175="",$Q1175="",$Q1175="نامعتبر"),"",Sync!$M1175)</f>
        <v/>
      </c>
      <c r="O1175">
        <f>IF($N1175="","",$Q1175)</f>
        <v/>
      </c>
      <c r="P1175">
        <f>IF($N1175="","",LEFT($Q1175,4)&amp;MID($Q1175,6,2)&amp;RIGHT($Q1175,2)&amp;IF(Sync!$K1175="","0000",IF(AND(ISNUMBER(Sync!$K1175),Sync!$K1175&gt;=0,Sync!$K1175&lt;1),RIGHT("00"&amp;HOUR(Sync!$K1175),2)&amp;RIGHT("00"&amp;MINUTE(Sync!$K1175),2),IFERROR(RIGHT("00"&amp;VALUE(LEFT(Sync!$K1175,FIND(":",Sync!$K1175)-1)),2)&amp;RIGHT("00"&amp;VALUE(MID(Sync!$K1175,FIND(":",Sync!$K1175)+1,2)),2),"0000")))&amp;"|"&amp;"2"&amp;RIGHT("00000"&amp;1170,5))</f>
        <v/>
      </c>
      <c r="Q1175">
        <f>IF(Sync!$J1175="","",IF(ISNUMBER(Sync!$J1175),IF(AND(Sync!$J1175&gt;=10000101,Sync!$J1175&lt;=99991231),INT(Sync!$J1175/10000)&amp;"/"&amp;RIGHT("00"&amp;INT(MOD(Sync!$J1175,10000)/100),2)&amp;"/"&amp;RIGHT("00"&amp;MOD(Sync!$J1175,100),2),"نامعتبر"),IF(LEN(Sync!$J1175)=10,Sync!$J1175,"نامعتبر")))</f>
        <v/>
      </c>
      <c r="R1175">
        <f>IF($P1175="","",COUNTIFS($N$6:$N$2005,$N1175,$P$6:$P$2005,"&lt;"&amp;$P1175)+COUNTIFS($A$6:$A$1005,$N1175,$B$6:$B$1005,"&lt;"&amp;$P1175)+1)</f>
        <v/>
      </c>
      <c r="S1175">
        <f>IF($N1175="","",$N1175&amp;"|"&amp;RIGHT("000000"&amp;$R1175,6))</f>
        <v/>
      </c>
      <c r="T1175">
        <f>IF($N1175="","",IF(Sync!$N1175="",0,Sync!$N1175))</f>
        <v/>
      </c>
      <c r="U1175">
        <f>IF($N1175="","",IF(Sync!$O1175="",0,Sync!$O1175))</f>
        <v/>
      </c>
      <c r="V1175">
        <f>IF($N1175="","",Sync!$L1175)</f>
        <v/>
      </c>
      <c r="W1175">
        <f>IF($N1175="","",Sync!$P1175)</f>
        <v/>
      </c>
    </row>
    <row r="1176">
      <c r="N1176">
        <f>IF(OR(Sync!$M1176="",$Q1176="",$Q1176="نامعتبر"),"",Sync!$M1176)</f>
        <v/>
      </c>
      <c r="O1176">
        <f>IF($N1176="","",$Q1176)</f>
        <v/>
      </c>
      <c r="P1176">
        <f>IF($N1176="","",LEFT($Q1176,4)&amp;MID($Q1176,6,2)&amp;RIGHT($Q1176,2)&amp;IF(Sync!$K1176="","0000",IF(AND(ISNUMBER(Sync!$K1176),Sync!$K1176&gt;=0,Sync!$K1176&lt;1),RIGHT("00"&amp;HOUR(Sync!$K1176),2)&amp;RIGHT("00"&amp;MINUTE(Sync!$K1176),2),IFERROR(RIGHT("00"&amp;VALUE(LEFT(Sync!$K1176,FIND(":",Sync!$K1176)-1)),2)&amp;RIGHT("00"&amp;VALUE(MID(Sync!$K1176,FIND(":",Sync!$K1176)+1,2)),2),"0000")))&amp;"|"&amp;"2"&amp;RIGHT("00000"&amp;1171,5))</f>
        <v/>
      </c>
      <c r="Q1176">
        <f>IF(Sync!$J1176="","",IF(ISNUMBER(Sync!$J1176),IF(AND(Sync!$J1176&gt;=10000101,Sync!$J1176&lt;=99991231),INT(Sync!$J1176/10000)&amp;"/"&amp;RIGHT("00"&amp;INT(MOD(Sync!$J1176,10000)/100),2)&amp;"/"&amp;RIGHT("00"&amp;MOD(Sync!$J1176,100),2),"نامعتبر"),IF(LEN(Sync!$J1176)=10,Sync!$J1176,"نامعتبر")))</f>
        <v/>
      </c>
      <c r="R1176">
        <f>IF($P1176="","",COUNTIFS($N$6:$N$2005,$N1176,$P$6:$P$2005,"&lt;"&amp;$P1176)+COUNTIFS($A$6:$A$1005,$N1176,$B$6:$B$1005,"&lt;"&amp;$P1176)+1)</f>
        <v/>
      </c>
      <c r="S1176">
        <f>IF($N1176="","",$N1176&amp;"|"&amp;RIGHT("000000"&amp;$R1176,6))</f>
        <v/>
      </c>
      <c r="T1176">
        <f>IF($N1176="","",IF(Sync!$N1176="",0,Sync!$N1176))</f>
        <v/>
      </c>
      <c r="U1176">
        <f>IF($N1176="","",IF(Sync!$O1176="",0,Sync!$O1176))</f>
        <v/>
      </c>
      <c r="V1176">
        <f>IF($N1176="","",Sync!$L1176)</f>
        <v/>
      </c>
      <c r="W1176">
        <f>IF($N1176="","",Sync!$P1176)</f>
        <v/>
      </c>
    </row>
    <row r="1177">
      <c r="N1177">
        <f>IF(OR(Sync!$M1177="",$Q1177="",$Q1177="نامعتبر"),"",Sync!$M1177)</f>
        <v/>
      </c>
      <c r="O1177">
        <f>IF($N1177="","",$Q1177)</f>
        <v/>
      </c>
      <c r="P1177">
        <f>IF($N1177="","",LEFT($Q1177,4)&amp;MID($Q1177,6,2)&amp;RIGHT($Q1177,2)&amp;IF(Sync!$K1177="","0000",IF(AND(ISNUMBER(Sync!$K1177),Sync!$K1177&gt;=0,Sync!$K1177&lt;1),RIGHT("00"&amp;HOUR(Sync!$K1177),2)&amp;RIGHT("00"&amp;MINUTE(Sync!$K1177),2),IFERROR(RIGHT("00"&amp;VALUE(LEFT(Sync!$K1177,FIND(":",Sync!$K1177)-1)),2)&amp;RIGHT("00"&amp;VALUE(MID(Sync!$K1177,FIND(":",Sync!$K1177)+1,2)),2),"0000")))&amp;"|"&amp;"2"&amp;RIGHT("00000"&amp;1172,5))</f>
        <v/>
      </c>
      <c r="Q1177">
        <f>IF(Sync!$J1177="","",IF(ISNUMBER(Sync!$J1177),IF(AND(Sync!$J1177&gt;=10000101,Sync!$J1177&lt;=99991231),INT(Sync!$J1177/10000)&amp;"/"&amp;RIGHT("00"&amp;INT(MOD(Sync!$J1177,10000)/100),2)&amp;"/"&amp;RIGHT("00"&amp;MOD(Sync!$J1177,100),2),"نامعتبر"),IF(LEN(Sync!$J1177)=10,Sync!$J1177,"نامعتبر")))</f>
        <v/>
      </c>
      <c r="R1177">
        <f>IF($P1177="","",COUNTIFS($N$6:$N$2005,$N1177,$P$6:$P$2005,"&lt;"&amp;$P1177)+COUNTIFS($A$6:$A$1005,$N1177,$B$6:$B$1005,"&lt;"&amp;$P1177)+1)</f>
        <v/>
      </c>
      <c r="S1177">
        <f>IF($N1177="","",$N1177&amp;"|"&amp;RIGHT("000000"&amp;$R1177,6))</f>
        <v/>
      </c>
      <c r="T1177">
        <f>IF($N1177="","",IF(Sync!$N1177="",0,Sync!$N1177))</f>
        <v/>
      </c>
      <c r="U1177">
        <f>IF($N1177="","",IF(Sync!$O1177="",0,Sync!$O1177))</f>
        <v/>
      </c>
      <c r="V1177">
        <f>IF($N1177="","",Sync!$L1177)</f>
        <v/>
      </c>
      <c r="W1177">
        <f>IF($N1177="","",Sync!$P1177)</f>
        <v/>
      </c>
    </row>
    <row r="1178">
      <c r="N1178">
        <f>IF(OR(Sync!$M1178="",$Q1178="",$Q1178="نامعتبر"),"",Sync!$M1178)</f>
        <v/>
      </c>
      <c r="O1178">
        <f>IF($N1178="","",$Q1178)</f>
        <v/>
      </c>
      <c r="P1178">
        <f>IF($N1178="","",LEFT($Q1178,4)&amp;MID($Q1178,6,2)&amp;RIGHT($Q1178,2)&amp;IF(Sync!$K1178="","0000",IF(AND(ISNUMBER(Sync!$K1178),Sync!$K1178&gt;=0,Sync!$K1178&lt;1),RIGHT("00"&amp;HOUR(Sync!$K1178),2)&amp;RIGHT("00"&amp;MINUTE(Sync!$K1178),2),IFERROR(RIGHT("00"&amp;VALUE(LEFT(Sync!$K1178,FIND(":",Sync!$K1178)-1)),2)&amp;RIGHT("00"&amp;VALUE(MID(Sync!$K1178,FIND(":",Sync!$K1178)+1,2)),2),"0000")))&amp;"|"&amp;"2"&amp;RIGHT("00000"&amp;1173,5))</f>
        <v/>
      </c>
      <c r="Q1178">
        <f>IF(Sync!$J1178="","",IF(ISNUMBER(Sync!$J1178),IF(AND(Sync!$J1178&gt;=10000101,Sync!$J1178&lt;=99991231),INT(Sync!$J1178/10000)&amp;"/"&amp;RIGHT("00"&amp;INT(MOD(Sync!$J1178,10000)/100),2)&amp;"/"&amp;RIGHT("00"&amp;MOD(Sync!$J1178,100),2),"نامعتبر"),IF(LEN(Sync!$J1178)=10,Sync!$J1178,"نامعتبر")))</f>
        <v/>
      </c>
      <c r="R1178">
        <f>IF($P1178="","",COUNTIFS($N$6:$N$2005,$N1178,$P$6:$P$2005,"&lt;"&amp;$P1178)+COUNTIFS($A$6:$A$1005,$N1178,$B$6:$B$1005,"&lt;"&amp;$P1178)+1)</f>
        <v/>
      </c>
      <c r="S1178">
        <f>IF($N1178="","",$N1178&amp;"|"&amp;RIGHT("000000"&amp;$R1178,6))</f>
        <v/>
      </c>
      <c r="T1178">
        <f>IF($N1178="","",IF(Sync!$N1178="",0,Sync!$N1178))</f>
        <v/>
      </c>
      <c r="U1178">
        <f>IF($N1178="","",IF(Sync!$O1178="",0,Sync!$O1178))</f>
        <v/>
      </c>
      <c r="V1178">
        <f>IF($N1178="","",Sync!$L1178)</f>
        <v/>
      </c>
      <c r="W1178">
        <f>IF($N1178="","",Sync!$P1178)</f>
        <v/>
      </c>
    </row>
    <row r="1179">
      <c r="N1179">
        <f>IF(OR(Sync!$M1179="",$Q1179="",$Q1179="نامعتبر"),"",Sync!$M1179)</f>
        <v/>
      </c>
      <c r="O1179">
        <f>IF($N1179="","",$Q1179)</f>
        <v/>
      </c>
      <c r="P1179">
        <f>IF($N1179="","",LEFT($Q1179,4)&amp;MID($Q1179,6,2)&amp;RIGHT($Q1179,2)&amp;IF(Sync!$K1179="","0000",IF(AND(ISNUMBER(Sync!$K1179),Sync!$K1179&gt;=0,Sync!$K1179&lt;1),RIGHT("00"&amp;HOUR(Sync!$K1179),2)&amp;RIGHT("00"&amp;MINUTE(Sync!$K1179),2),IFERROR(RIGHT("00"&amp;VALUE(LEFT(Sync!$K1179,FIND(":",Sync!$K1179)-1)),2)&amp;RIGHT("00"&amp;VALUE(MID(Sync!$K1179,FIND(":",Sync!$K1179)+1,2)),2),"0000")))&amp;"|"&amp;"2"&amp;RIGHT("00000"&amp;1174,5))</f>
        <v/>
      </c>
      <c r="Q1179">
        <f>IF(Sync!$J1179="","",IF(ISNUMBER(Sync!$J1179),IF(AND(Sync!$J1179&gt;=10000101,Sync!$J1179&lt;=99991231),INT(Sync!$J1179/10000)&amp;"/"&amp;RIGHT("00"&amp;INT(MOD(Sync!$J1179,10000)/100),2)&amp;"/"&amp;RIGHT("00"&amp;MOD(Sync!$J1179,100),2),"نامعتبر"),IF(LEN(Sync!$J1179)=10,Sync!$J1179,"نامعتبر")))</f>
        <v/>
      </c>
      <c r="R1179">
        <f>IF($P1179="","",COUNTIFS($N$6:$N$2005,$N1179,$P$6:$P$2005,"&lt;"&amp;$P1179)+COUNTIFS($A$6:$A$1005,$N1179,$B$6:$B$1005,"&lt;"&amp;$P1179)+1)</f>
        <v/>
      </c>
      <c r="S1179">
        <f>IF($N1179="","",$N1179&amp;"|"&amp;RIGHT("000000"&amp;$R1179,6))</f>
        <v/>
      </c>
      <c r="T1179">
        <f>IF($N1179="","",IF(Sync!$N1179="",0,Sync!$N1179))</f>
        <v/>
      </c>
      <c r="U1179">
        <f>IF($N1179="","",IF(Sync!$O1179="",0,Sync!$O1179))</f>
        <v/>
      </c>
      <c r="V1179">
        <f>IF($N1179="","",Sync!$L1179)</f>
        <v/>
      </c>
      <c r="W1179">
        <f>IF($N1179="","",Sync!$P1179)</f>
        <v/>
      </c>
    </row>
    <row r="1180">
      <c r="N1180">
        <f>IF(OR(Sync!$M1180="",$Q1180="",$Q1180="نامعتبر"),"",Sync!$M1180)</f>
        <v/>
      </c>
      <c r="O1180">
        <f>IF($N1180="","",$Q1180)</f>
        <v/>
      </c>
      <c r="P1180">
        <f>IF($N1180="","",LEFT($Q1180,4)&amp;MID($Q1180,6,2)&amp;RIGHT($Q1180,2)&amp;IF(Sync!$K1180="","0000",IF(AND(ISNUMBER(Sync!$K1180),Sync!$K1180&gt;=0,Sync!$K1180&lt;1),RIGHT("00"&amp;HOUR(Sync!$K1180),2)&amp;RIGHT("00"&amp;MINUTE(Sync!$K1180),2),IFERROR(RIGHT("00"&amp;VALUE(LEFT(Sync!$K1180,FIND(":",Sync!$K1180)-1)),2)&amp;RIGHT("00"&amp;VALUE(MID(Sync!$K1180,FIND(":",Sync!$K1180)+1,2)),2),"0000")))&amp;"|"&amp;"2"&amp;RIGHT("00000"&amp;1175,5))</f>
        <v/>
      </c>
      <c r="Q1180">
        <f>IF(Sync!$J1180="","",IF(ISNUMBER(Sync!$J1180),IF(AND(Sync!$J1180&gt;=10000101,Sync!$J1180&lt;=99991231),INT(Sync!$J1180/10000)&amp;"/"&amp;RIGHT("00"&amp;INT(MOD(Sync!$J1180,10000)/100),2)&amp;"/"&amp;RIGHT("00"&amp;MOD(Sync!$J1180,100),2),"نامعتبر"),IF(LEN(Sync!$J1180)=10,Sync!$J1180,"نامعتبر")))</f>
        <v/>
      </c>
      <c r="R1180">
        <f>IF($P1180="","",COUNTIFS($N$6:$N$2005,$N1180,$P$6:$P$2005,"&lt;"&amp;$P1180)+COUNTIFS($A$6:$A$1005,$N1180,$B$6:$B$1005,"&lt;"&amp;$P1180)+1)</f>
        <v/>
      </c>
      <c r="S1180">
        <f>IF($N1180="","",$N1180&amp;"|"&amp;RIGHT("000000"&amp;$R1180,6))</f>
        <v/>
      </c>
      <c r="T1180">
        <f>IF($N1180="","",IF(Sync!$N1180="",0,Sync!$N1180))</f>
        <v/>
      </c>
      <c r="U1180">
        <f>IF($N1180="","",IF(Sync!$O1180="",0,Sync!$O1180))</f>
        <v/>
      </c>
      <c r="V1180">
        <f>IF($N1180="","",Sync!$L1180)</f>
        <v/>
      </c>
      <c r="W1180">
        <f>IF($N1180="","",Sync!$P1180)</f>
        <v/>
      </c>
    </row>
    <row r="1181">
      <c r="N1181">
        <f>IF(OR(Sync!$M1181="",$Q1181="",$Q1181="نامعتبر"),"",Sync!$M1181)</f>
        <v/>
      </c>
      <c r="O1181">
        <f>IF($N1181="","",$Q1181)</f>
        <v/>
      </c>
      <c r="P1181">
        <f>IF($N1181="","",LEFT($Q1181,4)&amp;MID($Q1181,6,2)&amp;RIGHT($Q1181,2)&amp;IF(Sync!$K1181="","0000",IF(AND(ISNUMBER(Sync!$K1181),Sync!$K1181&gt;=0,Sync!$K1181&lt;1),RIGHT("00"&amp;HOUR(Sync!$K1181),2)&amp;RIGHT("00"&amp;MINUTE(Sync!$K1181),2),IFERROR(RIGHT("00"&amp;VALUE(LEFT(Sync!$K1181,FIND(":",Sync!$K1181)-1)),2)&amp;RIGHT("00"&amp;VALUE(MID(Sync!$K1181,FIND(":",Sync!$K1181)+1,2)),2),"0000")))&amp;"|"&amp;"2"&amp;RIGHT("00000"&amp;1176,5))</f>
        <v/>
      </c>
      <c r="Q1181">
        <f>IF(Sync!$J1181="","",IF(ISNUMBER(Sync!$J1181),IF(AND(Sync!$J1181&gt;=10000101,Sync!$J1181&lt;=99991231),INT(Sync!$J1181/10000)&amp;"/"&amp;RIGHT("00"&amp;INT(MOD(Sync!$J1181,10000)/100),2)&amp;"/"&amp;RIGHT("00"&amp;MOD(Sync!$J1181,100),2),"نامعتبر"),IF(LEN(Sync!$J1181)=10,Sync!$J1181,"نامعتبر")))</f>
        <v/>
      </c>
      <c r="R1181">
        <f>IF($P1181="","",COUNTIFS($N$6:$N$2005,$N1181,$P$6:$P$2005,"&lt;"&amp;$P1181)+COUNTIFS($A$6:$A$1005,$N1181,$B$6:$B$1005,"&lt;"&amp;$P1181)+1)</f>
        <v/>
      </c>
      <c r="S1181">
        <f>IF($N1181="","",$N1181&amp;"|"&amp;RIGHT("000000"&amp;$R1181,6))</f>
        <v/>
      </c>
      <c r="T1181">
        <f>IF($N1181="","",IF(Sync!$N1181="",0,Sync!$N1181))</f>
        <v/>
      </c>
      <c r="U1181">
        <f>IF($N1181="","",IF(Sync!$O1181="",0,Sync!$O1181))</f>
        <v/>
      </c>
      <c r="V1181">
        <f>IF($N1181="","",Sync!$L1181)</f>
        <v/>
      </c>
      <c r="W1181">
        <f>IF($N1181="","",Sync!$P1181)</f>
        <v/>
      </c>
    </row>
    <row r="1182">
      <c r="N1182">
        <f>IF(OR(Sync!$M1182="",$Q1182="",$Q1182="نامعتبر"),"",Sync!$M1182)</f>
        <v/>
      </c>
      <c r="O1182">
        <f>IF($N1182="","",$Q1182)</f>
        <v/>
      </c>
      <c r="P1182">
        <f>IF($N1182="","",LEFT($Q1182,4)&amp;MID($Q1182,6,2)&amp;RIGHT($Q1182,2)&amp;IF(Sync!$K1182="","0000",IF(AND(ISNUMBER(Sync!$K1182),Sync!$K1182&gt;=0,Sync!$K1182&lt;1),RIGHT("00"&amp;HOUR(Sync!$K1182),2)&amp;RIGHT("00"&amp;MINUTE(Sync!$K1182),2),IFERROR(RIGHT("00"&amp;VALUE(LEFT(Sync!$K1182,FIND(":",Sync!$K1182)-1)),2)&amp;RIGHT("00"&amp;VALUE(MID(Sync!$K1182,FIND(":",Sync!$K1182)+1,2)),2),"0000")))&amp;"|"&amp;"2"&amp;RIGHT("00000"&amp;1177,5))</f>
        <v/>
      </c>
      <c r="Q1182">
        <f>IF(Sync!$J1182="","",IF(ISNUMBER(Sync!$J1182),IF(AND(Sync!$J1182&gt;=10000101,Sync!$J1182&lt;=99991231),INT(Sync!$J1182/10000)&amp;"/"&amp;RIGHT("00"&amp;INT(MOD(Sync!$J1182,10000)/100),2)&amp;"/"&amp;RIGHT("00"&amp;MOD(Sync!$J1182,100),2),"نامعتبر"),IF(LEN(Sync!$J1182)=10,Sync!$J1182,"نامعتبر")))</f>
        <v/>
      </c>
      <c r="R1182">
        <f>IF($P1182="","",COUNTIFS($N$6:$N$2005,$N1182,$P$6:$P$2005,"&lt;"&amp;$P1182)+COUNTIFS($A$6:$A$1005,$N1182,$B$6:$B$1005,"&lt;"&amp;$P1182)+1)</f>
        <v/>
      </c>
      <c r="S1182">
        <f>IF($N1182="","",$N1182&amp;"|"&amp;RIGHT("000000"&amp;$R1182,6))</f>
        <v/>
      </c>
      <c r="T1182">
        <f>IF($N1182="","",IF(Sync!$N1182="",0,Sync!$N1182))</f>
        <v/>
      </c>
      <c r="U1182">
        <f>IF($N1182="","",IF(Sync!$O1182="",0,Sync!$O1182))</f>
        <v/>
      </c>
      <c r="V1182">
        <f>IF($N1182="","",Sync!$L1182)</f>
        <v/>
      </c>
      <c r="W1182">
        <f>IF($N1182="","",Sync!$P1182)</f>
        <v/>
      </c>
    </row>
    <row r="1183">
      <c r="N1183">
        <f>IF(OR(Sync!$M1183="",$Q1183="",$Q1183="نامعتبر"),"",Sync!$M1183)</f>
        <v/>
      </c>
      <c r="O1183">
        <f>IF($N1183="","",$Q1183)</f>
        <v/>
      </c>
      <c r="P1183">
        <f>IF($N1183="","",LEFT($Q1183,4)&amp;MID($Q1183,6,2)&amp;RIGHT($Q1183,2)&amp;IF(Sync!$K1183="","0000",IF(AND(ISNUMBER(Sync!$K1183),Sync!$K1183&gt;=0,Sync!$K1183&lt;1),RIGHT("00"&amp;HOUR(Sync!$K1183),2)&amp;RIGHT("00"&amp;MINUTE(Sync!$K1183),2),IFERROR(RIGHT("00"&amp;VALUE(LEFT(Sync!$K1183,FIND(":",Sync!$K1183)-1)),2)&amp;RIGHT("00"&amp;VALUE(MID(Sync!$K1183,FIND(":",Sync!$K1183)+1,2)),2),"0000")))&amp;"|"&amp;"2"&amp;RIGHT("00000"&amp;1178,5))</f>
        <v/>
      </c>
      <c r="Q1183">
        <f>IF(Sync!$J1183="","",IF(ISNUMBER(Sync!$J1183),IF(AND(Sync!$J1183&gt;=10000101,Sync!$J1183&lt;=99991231),INT(Sync!$J1183/10000)&amp;"/"&amp;RIGHT("00"&amp;INT(MOD(Sync!$J1183,10000)/100),2)&amp;"/"&amp;RIGHT("00"&amp;MOD(Sync!$J1183,100),2),"نامعتبر"),IF(LEN(Sync!$J1183)=10,Sync!$J1183,"نامعتبر")))</f>
        <v/>
      </c>
      <c r="R1183">
        <f>IF($P1183="","",COUNTIFS($N$6:$N$2005,$N1183,$P$6:$P$2005,"&lt;"&amp;$P1183)+COUNTIFS($A$6:$A$1005,$N1183,$B$6:$B$1005,"&lt;"&amp;$P1183)+1)</f>
        <v/>
      </c>
      <c r="S1183">
        <f>IF($N1183="","",$N1183&amp;"|"&amp;RIGHT("000000"&amp;$R1183,6))</f>
        <v/>
      </c>
      <c r="T1183">
        <f>IF($N1183="","",IF(Sync!$N1183="",0,Sync!$N1183))</f>
        <v/>
      </c>
      <c r="U1183">
        <f>IF($N1183="","",IF(Sync!$O1183="",0,Sync!$O1183))</f>
        <v/>
      </c>
      <c r="V1183">
        <f>IF($N1183="","",Sync!$L1183)</f>
        <v/>
      </c>
      <c r="W1183">
        <f>IF($N1183="","",Sync!$P1183)</f>
        <v/>
      </c>
    </row>
    <row r="1184">
      <c r="N1184">
        <f>IF(OR(Sync!$M1184="",$Q1184="",$Q1184="نامعتبر"),"",Sync!$M1184)</f>
        <v/>
      </c>
      <c r="O1184">
        <f>IF($N1184="","",$Q1184)</f>
        <v/>
      </c>
      <c r="P1184">
        <f>IF($N1184="","",LEFT($Q1184,4)&amp;MID($Q1184,6,2)&amp;RIGHT($Q1184,2)&amp;IF(Sync!$K1184="","0000",IF(AND(ISNUMBER(Sync!$K1184),Sync!$K1184&gt;=0,Sync!$K1184&lt;1),RIGHT("00"&amp;HOUR(Sync!$K1184),2)&amp;RIGHT("00"&amp;MINUTE(Sync!$K1184),2),IFERROR(RIGHT("00"&amp;VALUE(LEFT(Sync!$K1184,FIND(":",Sync!$K1184)-1)),2)&amp;RIGHT("00"&amp;VALUE(MID(Sync!$K1184,FIND(":",Sync!$K1184)+1,2)),2),"0000")))&amp;"|"&amp;"2"&amp;RIGHT("00000"&amp;1179,5))</f>
        <v/>
      </c>
      <c r="Q1184">
        <f>IF(Sync!$J1184="","",IF(ISNUMBER(Sync!$J1184),IF(AND(Sync!$J1184&gt;=10000101,Sync!$J1184&lt;=99991231),INT(Sync!$J1184/10000)&amp;"/"&amp;RIGHT("00"&amp;INT(MOD(Sync!$J1184,10000)/100),2)&amp;"/"&amp;RIGHT("00"&amp;MOD(Sync!$J1184,100),2),"نامعتبر"),IF(LEN(Sync!$J1184)=10,Sync!$J1184,"نامعتبر")))</f>
        <v/>
      </c>
      <c r="R1184">
        <f>IF($P1184="","",COUNTIFS($N$6:$N$2005,$N1184,$P$6:$P$2005,"&lt;"&amp;$P1184)+COUNTIFS($A$6:$A$1005,$N1184,$B$6:$B$1005,"&lt;"&amp;$P1184)+1)</f>
        <v/>
      </c>
      <c r="S1184">
        <f>IF($N1184="","",$N1184&amp;"|"&amp;RIGHT("000000"&amp;$R1184,6))</f>
        <v/>
      </c>
      <c r="T1184">
        <f>IF($N1184="","",IF(Sync!$N1184="",0,Sync!$N1184))</f>
        <v/>
      </c>
      <c r="U1184">
        <f>IF($N1184="","",IF(Sync!$O1184="",0,Sync!$O1184))</f>
        <v/>
      </c>
      <c r="V1184">
        <f>IF($N1184="","",Sync!$L1184)</f>
        <v/>
      </c>
      <c r="W1184">
        <f>IF($N1184="","",Sync!$P1184)</f>
        <v/>
      </c>
    </row>
    <row r="1185">
      <c r="N1185">
        <f>IF(OR(Sync!$M1185="",$Q1185="",$Q1185="نامعتبر"),"",Sync!$M1185)</f>
        <v/>
      </c>
      <c r="O1185">
        <f>IF($N1185="","",$Q1185)</f>
        <v/>
      </c>
      <c r="P1185">
        <f>IF($N1185="","",LEFT($Q1185,4)&amp;MID($Q1185,6,2)&amp;RIGHT($Q1185,2)&amp;IF(Sync!$K1185="","0000",IF(AND(ISNUMBER(Sync!$K1185),Sync!$K1185&gt;=0,Sync!$K1185&lt;1),RIGHT("00"&amp;HOUR(Sync!$K1185),2)&amp;RIGHT("00"&amp;MINUTE(Sync!$K1185),2),IFERROR(RIGHT("00"&amp;VALUE(LEFT(Sync!$K1185,FIND(":",Sync!$K1185)-1)),2)&amp;RIGHT("00"&amp;VALUE(MID(Sync!$K1185,FIND(":",Sync!$K1185)+1,2)),2),"0000")))&amp;"|"&amp;"2"&amp;RIGHT("00000"&amp;1180,5))</f>
        <v/>
      </c>
      <c r="Q1185">
        <f>IF(Sync!$J1185="","",IF(ISNUMBER(Sync!$J1185),IF(AND(Sync!$J1185&gt;=10000101,Sync!$J1185&lt;=99991231),INT(Sync!$J1185/10000)&amp;"/"&amp;RIGHT("00"&amp;INT(MOD(Sync!$J1185,10000)/100),2)&amp;"/"&amp;RIGHT("00"&amp;MOD(Sync!$J1185,100),2),"نامعتبر"),IF(LEN(Sync!$J1185)=10,Sync!$J1185,"نامعتبر")))</f>
        <v/>
      </c>
      <c r="R1185">
        <f>IF($P1185="","",COUNTIFS($N$6:$N$2005,$N1185,$P$6:$P$2005,"&lt;"&amp;$P1185)+COUNTIFS($A$6:$A$1005,$N1185,$B$6:$B$1005,"&lt;"&amp;$P1185)+1)</f>
        <v/>
      </c>
      <c r="S1185">
        <f>IF($N1185="","",$N1185&amp;"|"&amp;RIGHT("000000"&amp;$R1185,6))</f>
        <v/>
      </c>
      <c r="T1185">
        <f>IF($N1185="","",IF(Sync!$N1185="",0,Sync!$N1185))</f>
        <v/>
      </c>
      <c r="U1185">
        <f>IF($N1185="","",IF(Sync!$O1185="",0,Sync!$O1185))</f>
        <v/>
      </c>
      <c r="V1185">
        <f>IF($N1185="","",Sync!$L1185)</f>
        <v/>
      </c>
      <c r="W1185">
        <f>IF($N1185="","",Sync!$P1185)</f>
        <v/>
      </c>
    </row>
    <row r="1186">
      <c r="N1186">
        <f>IF(OR(Sync!$M1186="",$Q1186="",$Q1186="نامعتبر"),"",Sync!$M1186)</f>
        <v/>
      </c>
      <c r="O1186">
        <f>IF($N1186="","",$Q1186)</f>
        <v/>
      </c>
      <c r="P1186">
        <f>IF($N1186="","",LEFT($Q1186,4)&amp;MID($Q1186,6,2)&amp;RIGHT($Q1186,2)&amp;IF(Sync!$K1186="","0000",IF(AND(ISNUMBER(Sync!$K1186),Sync!$K1186&gt;=0,Sync!$K1186&lt;1),RIGHT("00"&amp;HOUR(Sync!$K1186),2)&amp;RIGHT("00"&amp;MINUTE(Sync!$K1186),2),IFERROR(RIGHT("00"&amp;VALUE(LEFT(Sync!$K1186,FIND(":",Sync!$K1186)-1)),2)&amp;RIGHT("00"&amp;VALUE(MID(Sync!$K1186,FIND(":",Sync!$K1186)+1,2)),2),"0000")))&amp;"|"&amp;"2"&amp;RIGHT("00000"&amp;1181,5))</f>
        <v/>
      </c>
      <c r="Q1186">
        <f>IF(Sync!$J1186="","",IF(ISNUMBER(Sync!$J1186),IF(AND(Sync!$J1186&gt;=10000101,Sync!$J1186&lt;=99991231),INT(Sync!$J1186/10000)&amp;"/"&amp;RIGHT("00"&amp;INT(MOD(Sync!$J1186,10000)/100),2)&amp;"/"&amp;RIGHT("00"&amp;MOD(Sync!$J1186,100),2),"نامعتبر"),IF(LEN(Sync!$J1186)=10,Sync!$J1186,"نامعتبر")))</f>
        <v/>
      </c>
      <c r="R1186">
        <f>IF($P1186="","",COUNTIFS($N$6:$N$2005,$N1186,$P$6:$P$2005,"&lt;"&amp;$P1186)+COUNTIFS($A$6:$A$1005,$N1186,$B$6:$B$1005,"&lt;"&amp;$P1186)+1)</f>
        <v/>
      </c>
      <c r="S1186">
        <f>IF($N1186="","",$N1186&amp;"|"&amp;RIGHT("000000"&amp;$R1186,6))</f>
        <v/>
      </c>
      <c r="T1186">
        <f>IF($N1186="","",IF(Sync!$N1186="",0,Sync!$N1186))</f>
        <v/>
      </c>
      <c r="U1186">
        <f>IF($N1186="","",IF(Sync!$O1186="",0,Sync!$O1186))</f>
        <v/>
      </c>
      <c r="V1186">
        <f>IF($N1186="","",Sync!$L1186)</f>
        <v/>
      </c>
      <c r="W1186">
        <f>IF($N1186="","",Sync!$P1186)</f>
        <v/>
      </c>
    </row>
    <row r="1187">
      <c r="N1187">
        <f>IF(OR(Sync!$M1187="",$Q1187="",$Q1187="نامعتبر"),"",Sync!$M1187)</f>
        <v/>
      </c>
      <c r="O1187">
        <f>IF($N1187="","",$Q1187)</f>
        <v/>
      </c>
      <c r="P1187">
        <f>IF($N1187="","",LEFT($Q1187,4)&amp;MID($Q1187,6,2)&amp;RIGHT($Q1187,2)&amp;IF(Sync!$K1187="","0000",IF(AND(ISNUMBER(Sync!$K1187),Sync!$K1187&gt;=0,Sync!$K1187&lt;1),RIGHT("00"&amp;HOUR(Sync!$K1187),2)&amp;RIGHT("00"&amp;MINUTE(Sync!$K1187),2),IFERROR(RIGHT("00"&amp;VALUE(LEFT(Sync!$K1187,FIND(":",Sync!$K1187)-1)),2)&amp;RIGHT("00"&amp;VALUE(MID(Sync!$K1187,FIND(":",Sync!$K1187)+1,2)),2),"0000")))&amp;"|"&amp;"2"&amp;RIGHT("00000"&amp;1182,5))</f>
        <v/>
      </c>
      <c r="Q1187">
        <f>IF(Sync!$J1187="","",IF(ISNUMBER(Sync!$J1187),IF(AND(Sync!$J1187&gt;=10000101,Sync!$J1187&lt;=99991231),INT(Sync!$J1187/10000)&amp;"/"&amp;RIGHT("00"&amp;INT(MOD(Sync!$J1187,10000)/100),2)&amp;"/"&amp;RIGHT("00"&amp;MOD(Sync!$J1187,100),2),"نامعتبر"),IF(LEN(Sync!$J1187)=10,Sync!$J1187,"نامعتبر")))</f>
        <v/>
      </c>
      <c r="R1187">
        <f>IF($P1187="","",COUNTIFS($N$6:$N$2005,$N1187,$P$6:$P$2005,"&lt;"&amp;$P1187)+COUNTIFS($A$6:$A$1005,$N1187,$B$6:$B$1005,"&lt;"&amp;$P1187)+1)</f>
        <v/>
      </c>
      <c r="S1187">
        <f>IF($N1187="","",$N1187&amp;"|"&amp;RIGHT("000000"&amp;$R1187,6))</f>
        <v/>
      </c>
      <c r="T1187">
        <f>IF($N1187="","",IF(Sync!$N1187="",0,Sync!$N1187))</f>
        <v/>
      </c>
      <c r="U1187">
        <f>IF($N1187="","",IF(Sync!$O1187="",0,Sync!$O1187))</f>
        <v/>
      </c>
      <c r="V1187">
        <f>IF($N1187="","",Sync!$L1187)</f>
        <v/>
      </c>
      <c r="W1187">
        <f>IF($N1187="","",Sync!$P1187)</f>
        <v/>
      </c>
    </row>
    <row r="1188">
      <c r="N1188">
        <f>IF(OR(Sync!$M1188="",$Q1188="",$Q1188="نامعتبر"),"",Sync!$M1188)</f>
        <v/>
      </c>
      <c r="O1188">
        <f>IF($N1188="","",$Q1188)</f>
        <v/>
      </c>
      <c r="P1188">
        <f>IF($N1188="","",LEFT($Q1188,4)&amp;MID($Q1188,6,2)&amp;RIGHT($Q1188,2)&amp;IF(Sync!$K1188="","0000",IF(AND(ISNUMBER(Sync!$K1188),Sync!$K1188&gt;=0,Sync!$K1188&lt;1),RIGHT("00"&amp;HOUR(Sync!$K1188),2)&amp;RIGHT("00"&amp;MINUTE(Sync!$K1188),2),IFERROR(RIGHT("00"&amp;VALUE(LEFT(Sync!$K1188,FIND(":",Sync!$K1188)-1)),2)&amp;RIGHT("00"&amp;VALUE(MID(Sync!$K1188,FIND(":",Sync!$K1188)+1,2)),2),"0000")))&amp;"|"&amp;"2"&amp;RIGHT("00000"&amp;1183,5))</f>
        <v/>
      </c>
      <c r="Q1188">
        <f>IF(Sync!$J1188="","",IF(ISNUMBER(Sync!$J1188),IF(AND(Sync!$J1188&gt;=10000101,Sync!$J1188&lt;=99991231),INT(Sync!$J1188/10000)&amp;"/"&amp;RIGHT("00"&amp;INT(MOD(Sync!$J1188,10000)/100),2)&amp;"/"&amp;RIGHT("00"&amp;MOD(Sync!$J1188,100),2),"نامعتبر"),IF(LEN(Sync!$J1188)=10,Sync!$J1188,"نامعتبر")))</f>
        <v/>
      </c>
      <c r="R1188">
        <f>IF($P1188="","",COUNTIFS($N$6:$N$2005,$N1188,$P$6:$P$2005,"&lt;"&amp;$P1188)+COUNTIFS($A$6:$A$1005,$N1188,$B$6:$B$1005,"&lt;"&amp;$P1188)+1)</f>
        <v/>
      </c>
      <c r="S1188">
        <f>IF($N1188="","",$N1188&amp;"|"&amp;RIGHT("000000"&amp;$R1188,6))</f>
        <v/>
      </c>
      <c r="T1188">
        <f>IF($N1188="","",IF(Sync!$N1188="",0,Sync!$N1188))</f>
        <v/>
      </c>
      <c r="U1188">
        <f>IF($N1188="","",IF(Sync!$O1188="",0,Sync!$O1188))</f>
        <v/>
      </c>
      <c r="V1188">
        <f>IF($N1188="","",Sync!$L1188)</f>
        <v/>
      </c>
      <c r="W1188">
        <f>IF($N1188="","",Sync!$P1188)</f>
        <v/>
      </c>
    </row>
    <row r="1189">
      <c r="N1189">
        <f>IF(OR(Sync!$M1189="",$Q1189="",$Q1189="نامعتبر"),"",Sync!$M1189)</f>
        <v/>
      </c>
      <c r="O1189">
        <f>IF($N1189="","",$Q1189)</f>
        <v/>
      </c>
      <c r="P1189">
        <f>IF($N1189="","",LEFT($Q1189,4)&amp;MID($Q1189,6,2)&amp;RIGHT($Q1189,2)&amp;IF(Sync!$K1189="","0000",IF(AND(ISNUMBER(Sync!$K1189),Sync!$K1189&gt;=0,Sync!$K1189&lt;1),RIGHT("00"&amp;HOUR(Sync!$K1189),2)&amp;RIGHT("00"&amp;MINUTE(Sync!$K1189),2),IFERROR(RIGHT("00"&amp;VALUE(LEFT(Sync!$K1189,FIND(":",Sync!$K1189)-1)),2)&amp;RIGHT("00"&amp;VALUE(MID(Sync!$K1189,FIND(":",Sync!$K1189)+1,2)),2),"0000")))&amp;"|"&amp;"2"&amp;RIGHT("00000"&amp;1184,5))</f>
        <v/>
      </c>
      <c r="Q1189">
        <f>IF(Sync!$J1189="","",IF(ISNUMBER(Sync!$J1189),IF(AND(Sync!$J1189&gt;=10000101,Sync!$J1189&lt;=99991231),INT(Sync!$J1189/10000)&amp;"/"&amp;RIGHT("00"&amp;INT(MOD(Sync!$J1189,10000)/100),2)&amp;"/"&amp;RIGHT("00"&amp;MOD(Sync!$J1189,100),2),"نامعتبر"),IF(LEN(Sync!$J1189)=10,Sync!$J1189,"نامعتبر")))</f>
        <v/>
      </c>
      <c r="R1189">
        <f>IF($P1189="","",COUNTIFS($N$6:$N$2005,$N1189,$P$6:$P$2005,"&lt;"&amp;$P1189)+COUNTIFS($A$6:$A$1005,$N1189,$B$6:$B$1005,"&lt;"&amp;$P1189)+1)</f>
        <v/>
      </c>
      <c r="S1189">
        <f>IF($N1189="","",$N1189&amp;"|"&amp;RIGHT("000000"&amp;$R1189,6))</f>
        <v/>
      </c>
      <c r="T1189">
        <f>IF($N1189="","",IF(Sync!$N1189="",0,Sync!$N1189))</f>
        <v/>
      </c>
      <c r="U1189">
        <f>IF($N1189="","",IF(Sync!$O1189="",0,Sync!$O1189))</f>
        <v/>
      </c>
      <c r="V1189">
        <f>IF($N1189="","",Sync!$L1189)</f>
        <v/>
      </c>
      <c r="W1189">
        <f>IF($N1189="","",Sync!$P1189)</f>
        <v/>
      </c>
    </row>
    <row r="1190">
      <c r="N1190">
        <f>IF(OR(Sync!$M1190="",$Q1190="",$Q1190="نامعتبر"),"",Sync!$M1190)</f>
        <v/>
      </c>
      <c r="O1190">
        <f>IF($N1190="","",$Q1190)</f>
        <v/>
      </c>
      <c r="P1190">
        <f>IF($N1190="","",LEFT($Q1190,4)&amp;MID($Q1190,6,2)&amp;RIGHT($Q1190,2)&amp;IF(Sync!$K1190="","0000",IF(AND(ISNUMBER(Sync!$K1190),Sync!$K1190&gt;=0,Sync!$K1190&lt;1),RIGHT("00"&amp;HOUR(Sync!$K1190),2)&amp;RIGHT("00"&amp;MINUTE(Sync!$K1190),2),IFERROR(RIGHT("00"&amp;VALUE(LEFT(Sync!$K1190,FIND(":",Sync!$K1190)-1)),2)&amp;RIGHT("00"&amp;VALUE(MID(Sync!$K1190,FIND(":",Sync!$K1190)+1,2)),2),"0000")))&amp;"|"&amp;"2"&amp;RIGHT("00000"&amp;1185,5))</f>
        <v/>
      </c>
      <c r="Q1190">
        <f>IF(Sync!$J1190="","",IF(ISNUMBER(Sync!$J1190),IF(AND(Sync!$J1190&gt;=10000101,Sync!$J1190&lt;=99991231),INT(Sync!$J1190/10000)&amp;"/"&amp;RIGHT("00"&amp;INT(MOD(Sync!$J1190,10000)/100),2)&amp;"/"&amp;RIGHT("00"&amp;MOD(Sync!$J1190,100),2),"نامعتبر"),IF(LEN(Sync!$J1190)=10,Sync!$J1190,"نامعتبر")))</f>
        <v/>
      </c>
      <c r="R1190">
        <f>IF($P1190="","",COUNTIFS($N$6:$N$2005,$N1190,$P$6:$P$2005,"&lt;"&amp;$P1190)+COUNTIFS($A$6:$A$1005,$N1190,$B$6:$B$1005,"&lt;"&amp;$P1190)+1)</f>
        <v/>
      </c>
      <c r="S1190">
        <f>IF($N1190="","",$N1190&amp;"|"&amp;RIGHT("000000"&amp;$R1190,6))</f>
        <v/>
      </c>
      <c r="T1190">
        <f>IF($N1190="","",IF(Sync!$N1190="",0,Sync!$N1190))</f>
        <v/>
      </c>
      <c r="U1190">
        <f>IF($N1190="","",IF(Sync!$O1190="",0,Sync!$O1190))</f>
        <v/>
      </c>
      <c r="V1190">
        <f>IF($N1190="","",Sync!$L1190)</f>
        <v/>
      </c>
      <c r="W1190">
        <f>IF($N1190="","",Sync!$P1190)</f>
        <v/>
      </c>
    </row>
    <row r="1191">
      <c r="N1191">
        <f>IF(OR(Sync!$M1191="",$Q1191="",$Q1191="نامعتبر"),"",Sync!$M1191)</f>
        <v/>
      </c>
      <c r="O1191">
        <f>IF($N1191="","",$Q1191)</f>
        <v/>
      </c>
      <c r="P1191">
        <f>IF($N1191="","",LEFT($Q1191,4)&amp;MID($Q1191,6,2)&amp;RIGHT($Q1191,2)&amp;IF(Sync!$K1191="","0000",IF(AND(ISNUMBER(Sync!$K1191),Sync!$K1191&gt;=0,Sync!$K1191&lt;1),RIGHT("00"&amp;HOUR(Sync!$K1191),2)&amp;RIGHT("00"&amp;MINUTE(Sync!$K1191),2),IFERROR(RIGHT("00"&amp;VALUE(LEFT(Sync!$K1191,FIND(":",Sync!$K1191)-1)),2)&amp;RIGHT("00"&amp;VALUE(MID(Sync!$K1191,FIND(":",Sync!$K1191)+1,2)),2),"0000")))&amp;"|"&amp;"2"&amp;RIGHT("00000"&amp;1186,5))</f>
        <v/>
      </c>
      <c r="Q1191">
        <f>IF(Sync!$J1191="","",IF(ISNUMBER(Sync!$J1191),IF(AND(Sync!$J1191&gt;=10000101,Sync!$J1191&lt;=99991231),INT(Sync!$J1191/10000)&amp;"/"&amp;RIGHT("00"&amp;INT(MOD(Sync!$J1191,10000)/100),2)&amp;"/"&amp;RIGHT("00"&amp;MOD(Sync!$J1191,100),2),"نامعتبر"),IF(LEN(Sync!$J1191)=10,Sync!$J1191,"نامعتبر")))</f>
        <v/>
      </c>
      <c r="R1191">
        <f>IF($P1191="","",COUNTIFS($N$6:$N$2005,$N1191,$P$6:$P$2005,"&lt;"&amp;$P1191)+COUNTIFS($A$6:$A$1005,$N1191,$B$6:$B$1005,"&lt;"&amp;$P1191)+1)</f>
        <v/>
      </c>
      <c r="S1191">
        <f>IF($N1191="","",$N1191&amp;"|"&amp;RIGHT("000000"&amp;$R1191,6))</f>
        <v/>
      </c>
      <c r="T1191">
        <f>IF($N1191="","",IF(Sync!$N1191="",0,Sync!$N1191))</f>
        <v/>
      </c>
      <c r="U1191">
        <f>IF($N1191="","",IF(Sync!$O1191="",0,Sync!$O1191))</f>
        <v/>
      </c>
      <c r="V1191">
        <f>IF($N1191="","",Sync!$L1191)</f>
        <v/>
      </c>
      <c r="W1191">
        <f>IF($N1191="","",Sync!$P1191)</f>
        <v/>
      </c>
    </row>
    <row r="1192">
      <c r="N1192">
        <f>IF(OR(Sync!$M1192="",$Q1192="",$Q1192="نامعتبر"),"",Sync!$M1192)</f>
        <v/>
      </c>
      <c r="O1192">
        <f>IF($N1192="","",$Q1192)</f>
        <v/>
      </c>
      <c r="P1192">
        <f>IF($N1192="","",LEFT($Q1192,4)&amp;MID($Q1192,6,2)&amp;RIGHT($Q1192,2)&amp;IF(Sync!$K1192="","0000",IF(AND(ISNUMBER(Sync!$K1192),Sync!$K1192&gt;=0,Sync!$K1192&lt;1),RIGHT("00"&amp;HOUR(Sync!$K1192),2)&amp;RIGHT("00"&amp;MINUTE(Sync!$K1192),2),IFERROR(RIGHT("00"&amp;VALUE(LEFT(Sync!$K1192,FIND(":",Sync!$K1192)-1)),2)&amp;RIGHT("00"&amp;VALUE(MID(Sync!$K1192,FIND(":",Sync!$K1192)+1,2)),2),"0000")))&amp;"|"&amp;"2"&amp;RIGHT("00000"&amp;1187,5))</f>
        <v/>
      </c>
      <c r="Q1192">
        <f>IF(Sync!$J1192="","",IF(ISNUMBER(Sync!$J1192),IF(AND(Sync!$J1192&gt;=10000101,Sync!$J1192&lt;=99991231),INT(Sync!$J1192/10000)&amp;"/"&amp;RIGHT("00"&amp;INT(MOD(Sync!$J1192,10000)/100),2)&amp;"/"&amp;RIGHT("00"&amp;MOD(Sync!$J1192,100),2),"نامعتبر"),IF(LEN(Sync!$J1192)=10,Sync!$J1192,"نامعتبر")))</f>
        <v/>
      </c>
      <c r="R1192">
        <f>IF($P1192="","",COUNTIFS($N$6:$N$2005,$N1192,$P$6:$P$2005,"&lt;"&amp;$P1192)+COUNTIFS($A$6:$A$1005,$N1192,$B$6:$B$1005,"&lt;"&amp;$P1192)+1)</f>
        <v/>
      </c>
      <c r="S1192">
        <f>IF($N1192="","",$N1192&amp;"|"&amp;RIGHT("000000"&amp;$R1192,6))</f>
        <v/>
      </c>
      <c r="T1192">
        <f>IF($N1192="","",IF(Sync!$N1192="",0,Sync!$N1192))</f>
        <v/>
      </c>
      <c r="U1192">
        <f>IF($N1192="","",IF(Sync!$O1192="",0,Sync!$O1192))</f>
        <v/>
      </c>
      <c r="V1192">
        <f>IF($N1192="","",Sync!$L1192)</f>
        <v/>
      </c>
      <c r="W1192">
        <f>IF($N1192="","",Sync!$P1192)</f>
        <v/>
      </c>
    </row>
    <row r="1193">
      <c r="N1193">
        <f>IF(OR(Sync!$M1193="",$Q1193="",$Q1193="نامعتبر"),"",Sync!$M1193)</f>
        <v/>
      </c>
      <c r="O1193">
        <f>IF($N1193="","",$Q1193)</f>
        <v/>
      </c>
      <c r="P1193">
        <f>IF($N1193="","",LEFT($Q1193,4)&amp;MID($Q1193,6,2)&amp;RIGHT($Q1193,2)&amp;IF(Sync!$K1193="","0000",IF(AND(ISNUMBER(Sync!$K1193),Sync!$K1193&gt;=0,Sync!$K1193&lt;1),RIGHT("00"&amp;HOUR(Sync!$K1193),2)&amp;RIGHT("00"&amp;MINUTE(Sync!$K1193),2),IFERROR(RIGHT("00"&amp;VALUE(LEFT(Sync!$K1193,FIND(":",Sync!$K1193)-1)),2)&amp;RIGHT("00"&amp;VALUE(MID(Sync!$K1193,FIND(":",Sync!$K1193)+1,2)),2),"0000")))&amp;"|"&amp;"2"&amp;RIGHT("00000"&amp;1188,5))</f>
        <v/>
      </c>
      <c r="Q1193">
        <f>IF(Sync!$J1193="","",IF(ISNUMBER(Sync!$J1193),IF(AND(Sync!$J1193&gt;=10000101,Sync!$J1193&lt;=99991231),INT(Sync!$J1193/10000)&amp;"/"&amp;RIGHT("00"&amp;INT(MOD(Sync!$J1193,10000)/100),2)&amp;"/"&amp;RIGHT("00"&amp;MOD(Sync!$J1193,100),2),"نامعتبر"),IF(LEN(Sync!$J1193)=10,Sync!$J1193,"نامعتبر")))</f>
        <v/>
      </c>
      <c r="R1193">
        <f>IF($P1193="","",COUNTIFS($N$6:$N$2005,$N1193,$P$6:$P$2005,"&lt;"&amp;$P1193)+COUNTIFS($A$6:$A$1005,$N1193,$B$6:$B$1005,"&lt;"&amp;$P1193)+1)</f>
        <v/>
      </c>
      <c r="S1193">
        <f>IF($N1193="","",$N1193&amp;"|"&amp;RIGHT("000000"&amp;$R1193,6))</f>
        <v/>
      </c>
      <c r="T1193">
        <f>IF($N1193="","",IF(Sync!$N1193="",0,Sync!$N1193))</f>
        <v/>
      </c>
      <c r="U1193">
        <f>IF($N1193="","",IF(Sync!$O1193="",0,Sync!$O1193))</f>
        <v/>
      </c>
      <c r="V1193">
        <f>IF($N1193="","",Sync!$L1193)</f>
        <v/>
      </c>
      <c r="W1193">
        <f>IF($N1193="","",Sync!$P1193)</f>
        <v/>
      </c>
    </row>
    <row r="1194">
      <c r="N1194">
        <f>IF(OR(Sync!$M1194="",$Q1194="",$Q1194="نامعتبر"),"",Sync!$M1194)</f>
        <v/>
      </c>
      <c r="O1194">
        <f>IF($N1194="","",$Q1194)</f>
        <v/>
      </c>
      <c r="P1194">
        <f>IF($N1194="","",LEFT($Q1194,4)&amp;MID($Q1194,6,2)&amp;RIGHT($Q1194,2)&amp;IF(Sync!$K1194="","0000",IF(AND(ISNUMBER(Sync!$K1194),Sync!$K1194&gt;=0,Sync!$K1194&lt;1),RIGHT("00"&amp;HOUR(Sync!$K1194),2)&amp;RIGHT("00"&amp;MINUTE(Sync!$K1194),2),IFERROR(RIGHT("00"&amp;VALUE(LEFT(Sync!$K1194,FIND(":",Sync!$K1194)-1)),2)&amp;RIGHT("00"&amp;VALUE(MID(Sync!$K1194,FIND(":",Sync!$K1194)+1,2)),2),"0000")))&amp;"|"&amp;"2"&amp;RIGHT("00000"&amp;1189,5))</f>
        <v/>
      </c>
      <c r="Q1194">
        <f>IF(Sync!$J1194="","",IF(ISNUMBER(Sync!$J1194),IF(AND(Sync!$J1194&gt;=10000101,Sync!$J1194&lt;=99991231),INT(Sync!$J1194/10000)&amp;"/"&amp;RIGHT("00"&amp;INT(MOD(Sync!$J1194,10000)/100),2)&amp;"/"&amp;RIGHT("00"&amp;MOD(Sync!$J1194,100),2),"نامعتبر"),IF(LEN(Sync!$J1194)=10,Sync!$J1194,"نامعتبر")))</f>
        <v/>
      </c>
      <c r="R1194">
        <f>IF($P1194="","",COUNTIFS($N$6:$N$2005,$N1194,$P$6:$P$2005,"&lt;"&amp;$P1194)+COUNTIFS($A$6:$A$1005,$N1194,$B$6:$B$1005,"&lt;"&amp;$P1194)+1)</f>
        <v/>
      </c>
      <c r="S1194">
        <f>IF($N1194="","",$N1194&amp;"|"&amp;RIGHT("000000"&amp;$R1194,6))</f>
        <v/>
      </c>
      <c r="T1194">
        <f>IF($N1194="","",IF(Sync!$N1194="",0,Sync!$N1194))</f>
        <v/>
      </c>
      <c r="U1194">
        <f>IF($N1194="","",IF(Sync!$O1194="",0,Sync!$O1194))</f>
        <v/>
      </c>
      <c r="V1194">
        <f>IF($N1194="","",Sync!$L1194)</f>
        <v/>
      </c>
      <c r="W1194">
        <f>IF($N1194="","",Sync!$P1194)</f>
        <v/>
      </c>
    </row>
    <row r="1195">
      <c r="N1195">
        <f>IF(OR(Sync!$M1195="",$Q1195="",$Q1195="نامعتبر"),"",Sync!$M1195)</f>
        <v/>
      </c>
      <c r="O1195">
        <f>IF($N1195="","",$Q1195)</f>
        <v/>
      </c>
      <c r="P1195">
        <f>IF($N1195="","",LEFT($Q1195,4)&amp;MID($Q1195,6,2)&amp;RIGHT($Q1195,2)&amp;IF(Sync!$K1195="","0000",IF(AND(ISNUMBER(Sync!$K1195),Sync!$K1195&gt;=0,Sync!$K1195&lt;1),RIGHT("00"&amp;HOUR(Sync!$K1195),2)&amp;RIGHT("00"&amp;MINUTE(Sync!$K1195),2),IFERROR(RIGHT("00"&amp;VALUE(LEFT(Sync!$K1195,FIND(":",Sync!$K1195)-1)),2)&amp;RIGHT("00"&amp;VALUE(MID(Sync!$K1195,FIND(":",Sync!$K1195)+1,2)),2),"0000")))&amp;"|"&amp;"2"&amp;RIGHT("00000"&amp;1190,5))</f>
        <v/>
      </c>
      <c r="Q1195">
        <f>IF(Sync!$J1195="","",IF(ISNUMBER(Sync!$J1195),IF(AND(Sync!$J1195&gt;=10000101,Sync!$J1195&lt;=99991231),INT(Sync!$J1195/10000)&amp;"/"&amp;RIGHT("00"&amp;INT(MOD(Sync!$J1195,10000)/100),2)&amp;"/"&amp;RIGHT("00"&amp;MOD(Sync!$J1195,100),2),"نامعتبر"),IF(LEN(Sync!$J1195)=10,Sync!$J1195,"نامعتبر")))</f>
        <v/>
      </c>
      <c r="R1195">
        <f>IF($P1195="","",COUNTIFS($N$6:$N$2005,$N1195,$P$6:$P$2005,"&lt;"&amp;$P1195)+COUNTIFS($A$6:$A$1005,$N1195,$B$6:$B$1005,"&lt;"&amp;$P1195)+1)</f>
        <v/>
      </c>
      <c r="S1195">
        <f>IF($N1195="","",$N1195&amp;"|"&amp;RIGHT("000000"&amp;$R1195,6))</f>
        <v/>
      </c>
      <c r="T1195">
        <f>IF($N1195="","",IF(Sync!$N1195="",0,Sync!$N1195))</f>
        <v/>
      </c>
      <c r="U1195">
        <f>IF($N1195="","",IF(Sync!$O1195="",0,Sync!$O1195))</f>
        <v/>
      </c>
      <c r="V1195">
        <f>IF($N1195="","",Sync!$L1195)</f>
        <v/>
      </c>
      <c r="W1195">
        <f>IF($N1195="","",Sync!$P1195)</f>
        <v/>
      </c>
    </row>
    <row r="1196">
      <c r="N1196">
        <f>IF(OR(Sync!$M1196="",$Q1196="",$Q1196="نامعتبر"),"",Sync!$M1196)</f>
        <v/>
      </c>
      <c r="O1196">
        <f>IF($N1196="","",$Q1196)</f>
        <v/>
      </c>
      <c r="P1196">
        <f>IF($N1196="","",LEFT($Q1196,4)&amp;MID($Q1196,6,2)&amp;RIGHT($Q1196,2)&amp;IF(Sync!$K1196="","0000",IF(AND(ISNUMBER(Sync!$K1196),Sync!$K1196&gt;=0,Sync!$K1196&lt;1),RIGHT("00"&amp;HOUR(Sync!$K1196),2)&amp;RIGHT("00"&amp;MINUTE(Sync!$K1196),2),IFERROR(RIGHT("00"&amp;VALUE(LEFT(Sync!$K1196,FIND(":",Sync!$K1196)-1)),2)&amp;RIGHT("00"&amp;VALUE(MID(Sync!$K1196,FIND(":",Sync!$K1196)+1,2)),2),"0000")))&amp;"|"&amp;"2"&amp;RIGHT("00000"&amp;1191,5))</f>
        <v/>
      </c>
      <c r="Q1196">
        <f>IF(Sync!$J1196="","",IF(ISNUMBER(Sync!$J1196),IF(AND(Sync!$J1196&gt;=10000101,Sync!$J1196&lt;=99991231),INT(Sync!$J1196/10000)&amp;"/"&amp;RIGHT("00"&amp;INT(MOD(Sync!$J1196,10000)/100),2)&amp;"/"&amp;RIGHT("00"&amp;MOD(Sync!$J1196,100),2),"نامعتبر"),IF(LEN(Sync!$J1196)=10,Sync!$J1196,"نامعتبر")))</f>
        <v/>
      </c>
      <c r="R1196">
        <f>IF($P1196="","",COUNTIFS($N$6:$N$2005,$N1196,$P$6:$P$2005,"&lt;"&amp;$P1196)+COUNTIFS($A$6:$A$1005,$N1196,$B$6:$B$1005,"&lt;"&amp;$P1196)+1)</f>
        <v/>
      </c>
      <c r="S1196">
        <f>IF($N1196="","",$N1196&amp;"|"&amp;RIGHT("000000"&amp;$R1196,6))</f>
        <v/>
      </c>
      <c r="T1196">
        <f>IF($N1196="","",IF(Sync!$N1196="",0,Sync!$N1196))</f>
        <v/>
      </c>
      <c r="U1196">
        <f>IF($N1196="","",IF(Sync!$O1196="",0,Sync!$O1196))</f>
        <v/>
      </c>
      <c r="V1196">
        <f>IF($N1196="","",Sync!$L1196)</f>
        <v/>
      </c>
      <c r="W1196">
        <f>IF($N1196="","",Sync!$P1196)</f>
        <v/>
      </c>
    </row>
    <row r="1197">
      <c r="N1197">
        <f>IF(OR(Sync!$M1197="",$Q1197="",$Q1197="نامعتبر"),"",Sync!$M1197)</f>
        <v/>
      </c>
      <c r="O1197">
        <f>IF($N1197="","",$Q1197)</f>
        <v/>
      </c>
      <c r="P1197">
        <f>IF($N1197="","",LEFT($Q1197,4)&amp;MID($Q1197,6,2)&amp;RIGHT($Q1197,2)&amp;IF(Sync!$K1197="","0000",IF(AND(ISNUMBER(Sync!$K1197),Sync!$K1197&gt;=0,Sync!$K1197&lt;1),RIGHT("00"&amp;HOUR(Sync!$K1197),2)&amp;RIGHT("00"&amp;MINUTE(Sync!$K1197),2),IFERROR(RIGHT("00"&amp;VALUE(LEFT(Sync!$K1197,FIND(":",Sync!$K1197)-1)),2)&amp;RIGHT("00"&amp;VALUE(MID(Sync!$K1197,FIND(":",Sync!$K1197)+1,2)),2),"0000")))&amp;"|"&amp;"2"&amp;RIGHT("00000"&amp;1192,5))</f>
        <v/>
      </c>
      <c r="Q1197">
        <f>IF(Sync!$J1197="","",IF(ISNUMBER(Sync!$J1197),IF(AND(Sync!$J1197&gt;=10000101,Sync!$J1197&lt;=99991231),INT(Sync!$J1197/10000)&amp;"/"&amp;RIGHT("00"&amp;INT(MOD(Sync!$J1197,10000)/100),2)&amp;"/"&amp;RIGHT("00"&amp;MOD(Sync!$J1197,100),2),"نامعتبر"),IF(LEN(Sync!$J1197)=10,Sync!$J1197,"نامعتبر")))</f>
        <v/>
      </c>
      <c r="R1197">
        <f>IF($P1197="","",COUNTIFS($N$6:$N$2005,$N1197,$P$6:$P$2005,"&lt;"&amp;$P1197)+COUNTIFS($A$6:$A$1005,$N1197,$B$6:$B$1005,"&lt;"&amp;$P1197)+1)</f>
        <v/>
      </c>
      <c r="S1197">
        <f>IF($N1197="","",$N1197&amp;"|"&amp;RIGHT("000000"&amp;$R1197,6))</f>
        <v/>
      </c>
      <c r="T1197">
        <f>IF($N1197="","",IF(Sync!$N1197="",0,Sync!$N1197))</f>
        <v/>
      </c>
      <c r="U1197">
        <f>IF($N1197="","",IF(Sync!$O1197="",0,Sync!$O1197))</f>
        <v/>
      </c>
      <c r="V1197">
        <f>IF($N1197="","",Sync!$L1197)</f>
        <v/>
      </c>
      <c r="W1197">
        <f>IF($N1197="","",Sync!$P1197)</f>
        <v/>
      </c>
    </row>
    <row r="1198">
      <c r="N1198">
        <f>IF(OR(Sync!$M1198="",$Q1198="",$Q1198="نامعتبر"),"",Sync!$M1198)</f>
        <v/>
      </c>
      <c r="O1198">
        <f>IF($N1198="","",$Q1198)</f>
        <v/>
      </c>
      <c r="P1198">
        <f>IF($N1198="","",LEFT($Q1198,4)&amp;MID($Q1198,6,2)&amp;RIGHT($Q1198,2)&amp;IF(Sync!$K1198="","0000",IF(AND(ISNUMBER(Sync!$K1198),Sync!$K1198&gt;=0,Sync!$K1198&lt;1),RIGHT("00"&amp;HOUR(Sync!$K1198),2)&amp;RIGHT("00"&amp;MINUTE(Sync!$K1198),2),IFERROR(RIGHT("00"&amp;VALUE(LEFT(Sync!$K1198,FIND(":",Sync!$K1198)-1)),2)&amp;RIGHT("00"&amp;VALUE(MID(Sync!$K1198,FIND(":",Sync!$K1198)+1,2)),2),"0000")))&amp;"|"&amp;"2"&amp;RIGHT("00000"&amp;1193,5))</f>
        <v/>
      </c>
      <c r="Q1198">
        <f>IF(Sync!$J1198="","",IF(ISNUMBER(Sync!$J1198),IF(AND(Sync!$J1198&gt;=10000101,Sync!$J1198&lt;=99991231),INT(Sync!$J1198/10000)&amp;"/"&amp;RIGHT("00"&amp;INT(MOD(Sync!$J1198,10000)/100),2)&amp;"/"&amp;RIGHT("00"&amp;MOD(Sync!$J1198,100),2),"نامعتبر"),IF(LEN(Sync!$J1198)=10,Sync!$J1198,"نامعتبر")))</f>
        <v/>
      </c>
      <c r="R1198">
        <f>IF($P1198="","",COUNTIFS($N$6:$N$2005,$N1198,$P$6:$P$2005,"&lt;"&amp;$P1198)+COUNTIFS($A$6:$A$1005,$N1198,$B$6:$B$1005,"&lt;"&amp;$P1198)+1)</f>
        <v/>
      </c>
      <c r="S1198">
        <f>IF($N1198="","",$N1198&amp;"|"&amp;RIGHT("000000"&amp;$R1198,6))</f>
        <v/>
      </c>
      <c r="T1198">
        <f>IF($N1198="","",IF(Sync!$N1198="",0,Sync!$N1198))</f>
        <v/>
      </c>
      <c r="U1198">
        <f>IF($N1198="","",IF(Sync!$O1198="",0,Sync!$O1198))</f>
        <v/>
      </c>
      <c r="V1198">
        <f>IF($N1198="","",Sync!$L1198)</f>
        <v/>
      </c>
      <c r="W1198">
        <f>IF($N1198="","",Sync!$P1198)</f>
        <v/>
      </c>
    </row>
    <row r="1199">
      <c r="N1199">
        <f>IF(OR(Sync!$M1199="",$Q1199="",$Q1199="نامعتبر"),"",Sync!$M1199)</f>
        <v/>
      </c>
      <c r="O1199">
        <f>IF($N1199="","",$Q1199)</f>
        <v/>
      </c>
      <c r="P1199">
        <f>IF($N1199="","",LEFT($Q1199,4)&amp;MID($Q1199,6,2)&amp;RIGHT($Q1199,2)&amp;IF(Sync!$K1199="","0000",IF(AND(ISNUMBER(Sync!$K1199),Sync!$K1199&gt;=0,Sync!$K1199&lt;1),RIGHT("00"&amp;HOUR(Sync!$K1199),2)&amp;RIGHT("00"&amp;MINUTE(Sync!$K1199),2),IFERROR(RIGHT("00"&amp;VALUE(LEFT(Sync!$K1199,FIND(":",Sync!$K1199)-1)),2)&amp;RIGHT("00"&amp;VALUE(MID(Sync!$K1199,FIND(":",Sync!$K1199)+1,2)),2),"0000")))&amp;"|"&amp;"2"&amp;RIGHT("00000"&amp;1194,5))</f>
        <v/>
      </c>
      <c r="Q1199">
        <f>IF(Sync!$J1199="","",IF(ISNUMBER(Sync!$J1199),IF(AND(Sync!$J1199&gt;=10000101,Sync!$J1199&lt;=99991231),INT(Sync!$J1199/10000)&amp;"/"&amp;RIGHT("00"&amp;INT(MOD(Sync!$J1199,10000)/100),2)&amp;"/"&amp;RIGHT("00"&amp;MOD(Sync!$J1199,100),2),"نامعتبر"),IF(LEN(Sync!$J1199)=10,Sync!$J1199,"نامعتبر")))</f>
        <v/>
      </c>
      <c r="R1199">
        <f>IF($P1199="","",COUNTIFS($N$6:$N$2005,$N1199,$P$6:$P$2005,"&lt;"&amp;$P1199)+COUNTIFS($A$6:$A$1005,$N1199,$B$6:$B$1005,"&lt;"&amp;$P1199)+1)</f>
        <v/>
      </c>
      <c r="S1199">
        <f>IF($N1199="","",$N1199&amp;"|"&amp;RIGHT("000000"&amp;$R1199,6))</f>
        <v/>
      </c>
      <c r="T1199">
        <f>IF($N1199="","",IF(Sync!$N1199="",0,Sync!$N1199))</f>
        <v/>
      </c>
      <c r="U1199">
        <f>IF($N1199="","",IF(Sync!$O1199="",0,Sync!$O1199))</f>
        <v/>
      </c>
      <c r="V1199">
        <f>IF($N1199="","",Sync!$L1199)</f>
        <v/>
      </c>
      <c r="W1199">
        <f>IF($N1199="","",Sync!$P1199)</f>
        <v/>
      </c>
    </row>
    <row r="1200">
      <c r="N1200">
        <f>IF(OR(Sync!$M1200="",$Q1200="",$Q1200="نامعتبر"),"",Sync!$M1200)</f>
        <v/>
      </c>
      <c r="O1200">
        <f>IF($N1200="","",$Q1200)</f>
        <v/>
      </c>
      <c r="P1200">
        <f>IF($N1200="","",LEFT($Q1200,4)&amp;MID($Q1200,6,2)&amp;RIGHT($Q1200,2)&amp;IF(Sync!$K1200="","0000",IF(AND(ISNUMBER(Sync!$K1200),Sync!$K1200&gt;=0,Sync!$K1200&lt;1),RIGHT("00"&amp;HOUR(Sync!$K1200),2)&amp;RIGHT("00"&amp;MINUTE(Sync!$K1200),2),IFERROR(RIGHT("00"&amp;VALUE(LEFT(Sync!$K1200,FIND(":",Sync!$K1200)-1)),2)&amp;RIGHT("00"&amp;VALUE(MID(Sync!$K1200,FIND(":",Sync!$K1200)+1,2)),2),"0000")))&amp;"|"&amp;"2"&amp;RIGHT("00000"&amp;1195,5))</f>
        <v/>
      </c>
      <c r="Q1200">
        <f>IF(Sync!$J1200="","",IF(ISNUMBER(Sync!$J1200),IF(AND(Sync!$J1200&gt;=10000101,Sync!$J1200&lt;=99991231),INT(Sync!$J1200/10000)&amp;"/"&amp;RIGHT("00"&amp;INT(MOD(Sync!$J1200,10000)/100),2)&amp;"/"&amp;RIGHT("00"&amp;MOD(Sync!$J1200,100),2),"نامعتبر"),IF(LEN(Sync!$J1200)=10,Sync!$J1200,"نامعتبر")))</f>
        <v/>
      </c>
      <c r="R1200">
        <f>IF($P1200="","",COUNTIFS($N$6:$N$2005,$N1200,$P$6:$P$2005,"&lt;"&amp;$P1200)+COUNTIFS($A$6:$A$1005,$N1200,$B$6:$B$1005,"&lt;"&amp;$P1200)+1)</f>
        <v/>
      </c>
      <c r="S1200">
        <f>IF($N1200="","",$N1200&amp;"|"&amp;RIGHT("000000"&amp;$R1200,6))</f>
        <v/>
      </c>
      <c r="T1200">
        <f>IF($N1200="","",IF(Sync!$N1200="",0,Sync!$N1200))</f>
        <v/>
      </c>
      <c r="U1200">
        <f>IF($N1200="","",IF(Sync!$O1200="",0,Sync!$O1200))</f>
        <v/>
      </c>
      <c r="V1200">
        <f>IF($N1200="","",Sync!$L1200)</f>
        <v/>
      </c>
      <c r="W1200">
        <f>IF($N1200="","",Sync!$P1200)</f>
        <v/>
      </c>
    </row>
    <row r="1201">
      <c r="N1201">
        <f>IF(OR(Sync!$M1201="",$Q1201="",$Q1201="نامعتبر"),"",Sync!$M1201)</f>
        <v/>
      </c>
      <c r="O1201">
        <f>IF($N1201="","",$Q1201)</f>
        <v/>
      </c>
      <c r="P1201">
        <f>IF($N1201="","",LEFT($Q1201,4)&amp;MID($Q1201,6,2)&amp;RIGHT($Q1201,2)&amp;IF(Sync!$K1201="","0000",IF(AND(ISNUMBER(Sync!$K1201),Sync!$K1201&gt;=0,Sync!$K1201&lt;1),RIGHT("00"&amp;HOUR(Sync!$K1201),2)&amp;RIGHT("00"&amp;MINUTE(Sync!$K1201),2),IFERROR(RIGHT("00"&amp;VALUE(LEFT(Sync!$K1201,FIND(":",Sync!$K1201)-1)),2)&amp;RIGHT("00"&amp;VALUE(MID(Sync!$K1201,FIND(":",Sync!$K1201)+1,2)),2),"0000")))&amp;"|"&amp;"2"&amp;RIGHT("00000"&amp;1196,5))</f>
        <v/>
      </c>
      <c r="Q1201">
        <f>IF(Sync!$J1201="","",IF(ISNUMBER(Sync!$J1201),IF(AND(Sync!$J1201&gt;=10000101,Sync!$J1201&lt;=99991231),INT(Sync!$J1201/10000)&amp;"/"&amp;RIGHT("00"&amp;INT(MOD(Sync!$J1201,10000)/100),2)&amp;"/"&amp;RIGHT("00"&amp;MOD(Sync!$J1201,100),2),"نامعتبر"),IF(LEN(Sync!$J1201)=10,Sync!$J1201,"نامعتبر")))</f>
        <v/>
      </c>
      <c r="R1201">
        <f>IF($P1201="","",COUNTIFS($N$6:$N$2005,$N1201,$P$6:$P$2005,"&lt;"&amp;$P1201)+COUNTIFS($A$6:$A$1005,$N1201,$B$6:$B$1005,"&lt;"&amp;$P1201)+1)</f>
        <v/>
      </c>
      <c r="S1201">
        <f>IF($N1201="","",$N1201&amp;"|"&amp;RIGHT("000000"&amp;$R1201,6))</f>
        <v/>
      </c>
      <c r="T1201">
        <f>IF($N1201="","",IF(Sync!$N1201="",0,Sync!$N1201))</f>
        <v/>
      </c>
      <c r="U1201">
        <f>IF($N1201="","",IF(Sync!$O1201="",0,Sync!$O1201))</f>
        <v/>
      </c>
      <c r="V1201">
        <f>IF($N1201="","",Sync!$L1201)</f>
        <v/>
      </c>
      <c r="W1201">
        <f>IF($N1201="","",Sync!$P1201)</f>
        <v/>
      </c>
    </row>
    <row r="1202">
      <c r="N1202">
        <f>IF(OR(Sync!$M1202="",$Q1202="",$Q1202="نامعتبر"),"",Sync!$M1202)</f>
        <v/>
      </c>
      <c r="O1202">
        <f>IF($N1202="","",$Q1202)</f>
        <v/>
      </c>
      <c r="P1202">
        <f>IF($N1202="","",LEFT($Q1202,4)&amp;MID($Q1202,6,2)&amp;RIGHT($Q1202,2)&amp;IF(Sync!$K1202="","0000",IF(AND(ISNUMBER(Sync!$K1202),Sync!$K1202&gt;=0,Sync!$K1202&lt;1),RIGHT("00"&amp;HOUR(Sync!$K1202),2)&amp;RIGHT("00"&amp;MINUTE(Sync!$K1202),2),IFERROR(RIGHT("00"&amp;VALUE(LEFT(Sync!$K1202,FIND(":",Sync!$K1202)-1)),2)&amp;RIGHT("00"&amp;VALUE(MID(Sync!$K1202,FIND(":",Sync!$K1202)+1,2)),2),"0000")))&amp;"|"&amp;"2"&amp;RIGHT("00000"&amp;1197,5))</f>
        <v/>
      </c>
      <c r="Q1202">
        <f>IF(Sync!$J1202="","",IF(ISNUMBER(Sync!$J1202),IF(AND(Sync!$J1202&gt;=10000101,Sync!$J1202&lt;=99991231),INT(Sync!$J1202/10000)&amp;"/"&amp;RIGHT("00"&amp;INT(MOD(Sync!$J1202,10000)/100),2)&amp;"/"&amp;RIGHT("00"&amp;MOD(Sync!$J1202,100),2),"نامعتبر"),IF(LEN(Sync!$J1202)=10,Sync!$J1202,"نامعتبر")))</f>
        <v/>
      </c>
      <c r="R1202">
        <f>IF($P1202="","",COUNTIFS($N$6:$N$2005,$N1202,$P$6:$P$2005,"&lt;"&amp;$P1202)+COUNTIFS($A$6:$A$1005,$N1202,$B$6:$B$1005,"&lt;"&amp;$P1202)+1)</f>
        <v/>
      </c>
      <c r="S1202">
        <f>IF($N1202="","",$N1202&amp;"|"&amp;RIGHT("000000"&amp;$R1202,6))</f>
        <v/>
      </c>
      <c r="T1202">
        <f>IF($N1202="","",IF(Sync!$N1202="",0,Sync!$N1202))</f>
        <v/>
      </c>
      <c r="U1202">
        <f>IF($N1202="","",IF(Sync!$O1202="",0,Sync!$O1202))</f>
        <v/>
      </c>
      <c r="V1202">
        <f>IF($N1202="","",Sync!$L1202)</f>
        <v/>
      </c>
      <c r="W1202">
        <f>IF($N1202="","",Sync!$P1202)</f>
        <v/>
      </c>
    </row>
    <row r="1203">
      <c r="N1203">
        <f>IF(OR(Sync!$M1203="",$Q1203="",$Q1203="نامعتبر"),"",Sync!$M1203)</f>
        <v/>
      </c>
      <c r="O1203">
        <f>IF($N1203="","",$Q1203)</f>
        <v/>
      </c>
      <c r="P1203">
        <f>IF($N1203="","",LEFT($Q1203,4)&amp;MID($Q1203,6,2)&amp;RIGHT($Q1203,2)&amp;IF(Sync!$K1203="","0000",IF(AND(ISNUMBER(Sync!$K1203),Sync!$K1203&gt;=0,Sync!$K1203&lt;1),RIGHT("00"&amp;HOUR(Sync!$K1203),2)&amp;RIGHT("00"&amp;MINUTE(Sync!$K1203),2),IFERROR(RIGHT("00"&amp;VALUE(LEFT(Sync!$K1203,FIND(":",Sync!$K1203)-1)),2)&amp;RIGHT("00"&amp;VALUE(MID(Sync!$K1203,FIND(":",Sync!$K1203)+1,2)),2),"0000")))&amp;"|"&amp;"2"&amp;RIGHT("00000"&amp;1198,5))</f>
        <v/>
      </c>
      <c r="Q1203">
        <f>IF(Sync!$J1203="","",IF(ISNUMBER(Sync!$J1203),IF(AND(Sync!$J1203&gt;=10000101,Sync!$J1203&lt;=99991231),INT(Sync!$J1203/10000)&amp;"/"&amp;RIGHT("00"&amp;INT(MOD(Sync!$J1203,10000)/100),2)&amp;"/"&amp;RIGHT("00"&amp;MOD(Sync!$J1203,100),2),"نامعتبر"),IF(LEN(Sync!$J1203)=10,Sync!$J1203,"نامعتبر")))</f>
        <v/>
      </c>
      <c r="R1203">
        <f>IF($P1203="","",COUNTIFS($N$6:$N$2005,$N1203,$P$6:$P$2005,"&lt;"&amp;$P1203)+COUNTIFS($A$6:$A$1005,$N1203,$B$6:$B$1005,"&lt;"&amp;$P1203)+1)</f>
        <v/>
      </c>
      <c r="S1203">
        <f>IF($N1203="","",$N1203&amp;"|"&amp;RIGHT("000000"&amp;$R1203,6))</f>
        <v/>
      </c>
      <c r="T1203">
        <f>IF($N1203="","",IF(Sync!$N1203="",0,Sync!$N1203))</f>
        <v/>
      </c>
      <c r="U1203">
        <f>IF($N1203="","",IF(Sync!$O1203="",0,Sync!$O1203))</f>
        <v/>
      </c>
      <c r="V1203">
        <f>IF($N1203="","",Sync!$L1203)</f>
        <v/>
      </c>
      <c r="W1203">
        <f>IF($N1203="","",Sync!$P1203)</f>
        <v/>
      </c>
    </row>
    <row r="1204">
      <c r="N1204">
        <f>IF(OR(Sync!$M1204="",$Q1204="",$Q1204="نامعتبر"),"",Sync!$M1204)</f>
        <v/>
      </c>
      <c r="O1204">
        <f>IF($N1204="","",$Q1204)</f>
        <v/>
      </c>
      <c r="P1204">
        <f>IF($N1204="","",LEFT($Q1204,4)&amp;MID($Q1204,6,2)&amp;RIGHT($Q1204,2)&amp;IF(Sync!$K1204="","0000",IF(AND(ISNUMBER(Sync!$K1204),Sync!$K1204&gt;=0,Sync!$K1204&lt;1),RIGHT("00"&amp;HOUR(Sync!$K1204),2)&amp;RIGHT("00"&amp;MINUTE(Sync!$K1204),2),IFERROR(RIGHT("00"&amp;VALUE(LEFT(Sync!$K1204,FIND(":",Sync!$K1204)-1)),2)&amp;RIGHT("00"&amp;VALUE(MID(Sync!$K1204,FIND(":",Sync!$K1204)+1,2)),2),"0000")))&amp;"|"&amp;"2"&amp;RIGHT("00000"&amp;1199,5))</f>
        <v/>
      </c>
      <c r="Q1204">
        <f>IF(Sync!$J1204="","",IF(ISNUMBER(Sync!$J1204),IF(AND(Sync!$J1204&gt;=10000101,Sync!$J1204&lt;=99991231),INT(Sync!$J1204/10000)&amp;"/"&amp;RIGHT("00"&amp;INT(MOD(Sync!$J1204,10000)/100),2)&amp;"/"&amp;RIGHT("00"&amp;MOD(Sync!$J1204,100),2),"نامعتبر"),IF(LEN(Sync!$J1204)=10,Sync!$J1204,"نامعتبر")))</f>
        <v/>
      </c>
      <c r="R1204">
        <f>IF($P1204="","",COUNTIFS($N$6:$N$2005,$N1204,$P$6:$P$2005,"&lt;"&amp;$P1204)+COUNTIFS($A$6:$A$1005,$N1204,$B$6:$B$1005,"&lt;"&amp;$P1204)+1)</f>
        <v/>
      </c>
      <c r="S1204">
        <f>IF($N1204="","",$N1204&amp;"|"&amp;RIGHT("000000"&amp;$R1204,6))</f>
        <v/>
      </c>
      <c r="T1204">
        <f>IF($N1204="","",IF(Sync!$N1204="",0,Sync!$N1204))</f>
        <v/>
      </c>
      <c r="U1204">
        <f>IF($N1204="","",IF(Sync!$O1204="",0,Sync!$O1204))</f>
        <v/>
      </c>
      <c r="V1204">
        <f>IF($N1204="","",Sync!$L1204)</f>
        <v/>
      </c>
      <c r="W1204">
        <f>IF($N1204="","",Sync!$P1204)</f>
        <v/>
      </c>
    </row>
    <row r="1205">
      <c r="N1205">
        <f>IF(OR(Sync!$M1205="",$Q1205="",$Q1205="نامعتبر"),"",Sync!$M1205)</f>
        <v/>
      </c>
      <c r="O1205">
        <f>IF($N1205="","",$Q1205)</f>
        <v/>
      </c>
      <c r="P1205">
        <f>IF($N1205="","",LEFT($Q1205,4)&amp;MID($Q1205,6,2)&amp;RIGHT($Q1205,2)&amp;IF(Sync!$K1205="","0000",IF(AND(ISNUMBER(Sync!$K1205),Sync!$K1205&gt;=0,Sync!$K1205&lt;1),RIGHT("00"&amp;HOUR(Sync!$K1205),2)&amp;RIGHT("00"&amp;MINUTE(Sync!$K1205),2),IFERROR(RIGHT("00"&amp;VALUE(LEFT(Sync!$K1205,FIND(":",Sync!$K1205)-1)),2)&amp;RIGHT("00"&amp;VALUE(MID(Sync!$K1205,FIND(":",Sync!$K1205)+1,2)),2),"0000")))&amp;"|"&amp;"2"&amp;RIGHT("00000"&amp;1200,5))</f>
        <v/>
      </c>
      <c r="Q1205">
        <f>IF(Sync!$J1205="","",IF(ISNUMBER(Sync!$J1205),IF(AND(Sync!$J1205&gt;=10000101,Sync!$J1205&lt;=99991231),INT(Sync!$J1205/10000)&amp;"/"&amp;RIGHT("00"&amp;INT(MOD(Sync!$J1205,10000)/100),2)&amp;"/"&amp;RIGHT("00"&amp;MOD(Sync!$J1205,100),2),"نامعتبر"),IF(LEN(Sync!$J1205)=10,Sync!$J1205,"نامعتبر")))</f>
        <v/>
      </c>
      <c r="R1205">
        <f>IF($P1205="","",COUNTIFS($N$6:$N$2005,$N1205,$P$6:$P$2005,"&lt;"&amp;$P1205)+COUNTIFS($A$6:$A$1005,$N1205,$B$6:$B$1005,"&lt;"&amp;$P1205)+1)</f>
        <v/>
      </c>
      <c r="S1205">
        <f>IF($N1205="","",$N1205&amp;"|"&amp;RIGHT("000000"&amp;$R1205,6))</f>
        <v/>
      </c>
      <c r="T1205">
        <f>IF($N1205="","",IF(Sync!$N1205="",0,Sync!$N1205))</f>
        <v/>
      </c>
      <c r="U1205">
        <f>IF($N1205="","",IF(Sync!$O1205="",0,Sync!$O1205))</f>
        <v/>
      </c>
      <c r="V1205">
        <f>IF($N1205="","",Sync!$L1205)</f>
        <v/>
      </c>
      <c r="W1205">
        <f>IF($N1205="","",Sync!$P1205)</f>
        <v/>
      </c>
    </row>
    <row r="1206">
      <c r="N1206">
        <f>IF(OR(Sync!$M1206="",$Q1206="",$Q1206="نامعتبر"),"",Sync!$M1206)</f>
        <v/>
      </c>
      <c r="O1206">
        <f>IF($N1206="","",$Q1206)</f>
        <v/>
      </c>
      <c r="P1206">
        <f>IF($N1206="","",LEFT($Q1206,4)&amp;MID($Q1206,6,2)&amp;RIGHT($Q1206,2)&amp;IF(Sync!$K1206="","0000",IF(AND(ISNUMBER(Sync!$K1206),Sync!$K1206&gt;=0,Sync!$K1206&lt;1),RIGHT("00"&amp;HOUR(Sync!$K1206),2)&amp;RIGHT("00"&amp;MINUTE(Sync!$K1206),2),IFERROR(RIGHT("00"&amp;VALUE(LEFT(Sync!$K1206,FIND(":",Sync!$K1206)-1)),2)&amp;RIGHT("00"&amp;VALUE(MID(Sync!$K1206,FIND(":",Sync!$K1206)+1,2)),2),"0000")))&amp;"|"&amp;"2"&amp;RIGHT("00000"&amp;1201,5))</f>
        <v/>
      </c>
      <c r="Q1206">
        <f>IF(Sync!$J1206="","",IF(ISNUMBER(Sync!$J1206),IF(AND(Sync!$J1206&gt;=10000101,Sync!$J1206&lt;=99991231),INT(Sync!$J1206/10000)&amp;"/"&amp;RIGHT("00"&amp;INT(MOD(Sync!$J1206,10000)/100),2)&amp;"/"&amp;RIGHT("00"&amp;MOD(Sync!$J1206,100),2),"نامعتبر"),IF(LEN(Sync!$J1206)=10,Sync!$J1206,"نامعتبر")))</f>
        <v/>
      </c>
      <c r="R1206">
        <f>IF($P1206="","",COUNTIFS($N$6:$N$2005,$N1206,$P$6:$P$2005,"&lt;"&amp;$P1206)+COUNTIFS($A$6:$A$1005,$N1206,$B$6:$B$1005,"&lt;"&amp;$P1206)+1)</f>
        <v/>
      </c>
      <c r="S1206">
        <f>IF($N1206="","",$N1206&amp;"|"&amp;RIGHT("000000"&amp;$R1206,6))</f>
        <v/>
      </c>
      <c r="T1206">
        <f>IF($N1206="","",IF(Sync!$N1206="",0,Sync!$N1206))</f>
        <v/>
      </c>
      <c r="U1206">
        <f>IF($N1206="","",IF(Sync!$O1206="",0,Sync!$O1206))</f>
        <v/>
      </c>
      <c r="V1206">
        <f>IF($N1206="","",Sync!$L1206)</f>
        <v/>
      </c>
      <c r="W1206">
        <f>IF($N1206="","",Sync!$P1206)</f>
        <v/>
      </c>
    </row>
    <row r="1207">
      <c r="N1207">
        <f>IF(OR(Sync!$M1207="",$Q1207="",$Q1207="نامعتبر"),"",Sync!$M1207)</f>
        <v/>
      </c>
      <c r="O1207">
        <f>IF($N1207="","",$Q1207)</f>
        <v/>
      </c>
      <c r="P1207">
        <f>IF($N1207="","",LEFT($Q1207,4)&amp;MID($Q1207,6,2)&amp;RIGHT($Q1207,2)&amp;IF(Sync!$K1207="","0000",IF(AND(ISNUMBER(Sync!$K1207),Sync!$K1207&gt;=0,Sync!$K1207&lt;1),RIGHT("00"&amp;HOUR(Sync!$K1207),2)&amp;RIGHT("00"&amp;MINUTE(Sync!$K1207),2),IFERROR(RIGHT("00"&amp;VALUE(LEFT(Sync!$K1207,FIND(":",Sync!$K1207)-1)),2)&amp;RIGHT("00"&amp;VALUE(MID(Sync!$K1207,FIND(":",Sync!$K1207)+1,2)),2),"0000")))&amp;"|"&amp;"2"&amp;RIGHT("00000"&amp;1202,5))</f>
        <v/>
      </c>
      <c r="Q1207">
        <f>IF(Sync!$J1207="","",IF(ISNUMBER(Sync!$J1207),IF(AND(Sync!$J1207&gt;=10000101,Sync!$J1207&lt;=99991231),INT(Sync!$J1207/10000)&amp;"/"&amp;RIGHT("00"&amp;INT(MOD(Sync!$J1207,10000)/100),2)&amp;"/"&amp;RIGHT("00"&amp;MOD(Sync!$J1207,100),2),"نامعتبر"),IF(LEN(Sync!$J1207)=10,Sync!$J1207,"نامعتبر")))</f>
        <v/>
      </c>
      <c r="R1207">
        <f>IF($P1207="","",COUNTIFS($N$6:$N$2005,$N1207,$P$6:$P$2005,"&lt;"&amp;$P1207)+COUNTIFS($A$6:$A$1005,$N1207,$B$6:$B$1005,"&lt;"&amp;$P1207)+1)</f>
        <v/>
      </c>
      <c r="S1207">
        <f>IF($N1207="","",$N1207&amp;"|"&amp;RIGHT("000000"&amp;$R1207,6))</f>
        <v/>
      </c>
      <c r="T1207">
        <f>IF($N1207="","",IF(Sync!$N1207="",0,Sync!$N1207))</f>
        <v/>
      </c>
      <c r="U1207">
        <f>IF($N1207="","",IF(Sync!$O1207="",0,Sync!$O1207))</f>
        <v/>
      </c>
      <c r="V1207">
        <f>IF($N1207="","",Sync!$L1207)</f>
        <v/>
      </c>
      <c r="W1207">
        <f>IF($N1207="","",Sync!$P1207)</f>
        <v/>
      </c>
    </row>
    <row r="1208">
      <c r="N1208">
        <f>IF(OR(Sync!$M1208="",$Q1208="",$Q1208="نامعتبر"),"",Sync!$M1208)</f>
        <v/>
      </c>
      <c r="O1208">
        <f>IF($N1208="","",$Q1208)</f>
        <v/>
      </c>
      <c r="P1208">
        <f>IF($N1208="","",LEFT($Q1208,4)&amp;MID($Q1208,6,2)&amp;RIGHT($Q1208,2)&amp;IF(Sync!$K1208="","0000",IF(AND(ISNUMBER(Sync!$K1208),Sync!$K1208&gt;=0,Sync!$K1208&lt;1),RIGHT("00"&amp;HOUR(Sync!$K1208),2)&amp;RIGHT("00"&amp;MINUTE(Sync!$K1208),2),IFERROR(RIGHT("00"&amp;VALUE(LEFT(Sync!$K1208,FIND(":",Sync!$K1208)-1)),2)&amp;RIGHT("00"&amp;VALUE(MID(Sync!$K1208,FIND(":",Sync!$K1208)+1,2)),2),"0000")))&amp;"|"&amp;"2"&amp;RIGHT("00000"&amp;1203,5))</f>
        <v/>
      </c>
      <c r="Q1208">
        <f>IF(Sync!$J1208="","",IF(ISNUMBER(Sync!$J1208),IF(AND(Sync!$J1208&gt;=10000101,Sync!$J1208&lt;=99991231),INT(Sync!$J1208/10000)&amp;"/"&amp;RIGHT("00"&amp;INT(MOD(Sync!$J1208,10000)/100),2)&amp;"/"&amp;RIGHT("00"&amp;MOD(Sync!$J1208,100),2),"نامعتبر"),IF(LEN(Sync!$J1208)=10,Sync!$J1208,"نامعتبر")))</f>
        <v/>
      </c>
      <c r="R1208">
        <f>IF($P1208="","",COUNTIFS($N$6:$N$2005,$N1208,$P$6:$P$2005,"&lt;"&amp;$P1208)+COUNTIFS($A$6:$A$1005,$N1208,$B$6:$B$1005,"&lt;"&amp;$P1208)+1)</f>
        <v/>
      </c>
      <c r="S1208">
        <f>IF($N1208="","",$N1208&amp;"|"&amp;RIGHT("000000"&amp;$R1208,6))</f>
        <v/>
      </c>
      <c r="T1208">
        <f>IF($N1208="","",IF(Sync!$N1208="",0,Sync!$N1208))</f>
        <v/>
      </c>
      <c r="U1208">
        <f>IF($N1208="","",IF(Sync!$O1208="",0,Sync!$O1208))</f>
        <v/>
      </c>
      <c r="V1208">
        <f>IF($N1208="","",Sync!$L1208)</f>
        <v/>
      </c>
      <c r="W1208">
        <f>IF($N1208="","",Sync!$P1208)</f>
        <v/>
      </c>
    </row>
    <row r="1209">
      <c r="N1209">
        <f>IF(OR(Sync!$M1209="",$Q1209="",$Q1209="نامعتبر"),"",Sync!$M1209)</f>
        <v/>
      </c>
      <c r="O1209">
        <f>IF($N1209="","",$Q1209)</f>
        <v/>
      </c>
      <c r="P1209">
        <f>IF($N1209="","",LEFT($Q1209,4)&amp;MID($Q1209,6,2)&amp;RIGHT($Q1209,2)&amp;IF(Sync!$K1209="","0000",IF(AND(ISNUMBER(Sync!$K1209),Sync!$K1209&gt;=0,Sync!$K1209&lt;1),RIGHT("00"&amp;HOUR(Sync!$K1209),2)&amp;RIGHT("00"&amp;MINUTE(Sync!$K1209),2),IFERROR(RIGHT("00"&amp;VALUE(LEFT(Sync!$K1209,FIND(":",Sync!$K1209)-1)),2)&amp;RIGHT("00"&amp;VALUE(MID(Sync!$K1209,FIND(":",Sync!$K1209)+1,2)),2),"0000")))&amp;"|"&amp;"2"&amp;RIGHT("00000"&amp;1204,5))</f>
        <v/>
      </c>
      <c r="Q1209">
        <f>IF(Sync!$J1209="","",IF(ISNUMBER(Sync!$J1209),IF(AND(Sync!$J1209&gt;=10000101,Sync!$J1209&lt;=99991231),INT(Sync!$J1209/10000)&amp;"/"&amp;RIGHT("00"&amp;INT(MOD(Sync!$J1209,10000)/100),2)&amp;"/"&amp;RIGHT("00"&amp;MOD(Sync!$J1209,100),2),"نامعتبر"),IF(LEN(Sync!$J1209)=10,Sync!$J1209,"نامعتبر")))</f>
        <v/>
      </c>
      <c r="R1209">
        <f>IF($P1209="","",COUNTIFS($N$6:$N$2005,$N1209,$P$6:$P$2005,"&lt;"&amp;$P1209)+COUNTIFS($A$6:$A$1005,$N1209,$B$6:$B$1005,"&lt;"&amp;$P1209)+1)</f>
        <v/>
      </c>
      <c r="S1209">
        <f>IF($N1209="","",$N1209&amp;"|"&amp;RIGHT("000000"&amp;$R1209,6))</f>
        <v/>
      </c>
      <c r="T1209">
        <f>IF($N1209="","",IF(Sync!$N1209="",0,Sync!$N1209))</f>
        <v/>
      </c>
      <c r="U1209">
        <f>IF($N1209="","",IF(Sync!$O1209="",0,Sync!$O1209))</f>
        <v/>
      </c>
      <c r="V1209">
        <f>IF($N1209="","",Sync!$L1209)</f>
        <v/>
      </c>
      <c r="W1209">
        <f>IF($N1209="","",Sync!$P1209)</f>
        <v/>
      </c>
    </row>
    <row r="1210">
      <c r="N1210">
        <f>IF(OR(Sync!$M1210="",$Q1210="",$Q1210="نامعتبر"),"",Sync!$M1210)</f>
        <v/>
      </c>
      <c r="O1210">
        <f>IF($N1210="","",$Q1210)</f>
        <v/>
      </c>
      <c r="P1210">
        <f>IF($N1210="","",LEFT($Q1210,4)&amp;MID($Q1210,6,2)&amp;RIGHT($Q1210,2)&amp;IF(Sync!$K1210="","0000",IF(AND(ISNUMBER(Sync!$K1210),Sync!$K1210&gt;=0,Sync!$K1210&lt;1),RIGHT("00"&amp;HOUR(Sync!$K1210),2)&amp;RIGHT("00"&amp;MINUTE(Sync!$K1210),2),IFERROR(RIGHT("00"&amp;VALUE(LEFT(Sync!$K1210,FIND(":",Sync!$K1210)-1)),2)&amp;RIGHT("00"&amp;VALUE(MID(Sync!$K1210,FIND(":",Sync!$K1210)+1,2)),2),"0000")))&amp;"|"&amp;"2"&amp;RIGHT("00000"&amp;1205,5))</f>
        <v/>
      </c>
      <c r="Q1210">
        <f>IF(Sync!$J1210="","",IF(ISNUMBER(Sync!$J1210),IF(AND(Sync!$J1210&gt;=10000101,Sync!$J1210&lt;=99991231),INT(Sync!$J1210/10000)&amp;"/"&amp;RIGHT("00"&amp;INT(MOD(Sync!$J1210,10000)/100),2)&amp;"/"&amp;RIGHT("00"&amp;MOD(Sync!$J1210,100),2),"نامعتبر"),IF(LEN(Sync!$J1210)=10,Sync!$J1210,"نامعتبر")))</f>
        <v/>
      </c>
      <c r="R1210">
        <f>IF($P1210="","",COUNTIFS($N$6:$N$2005,$N1210,$P$6:$P$2005,"&lt;"&amp;$P1210)+COUNTIFS($A$6:$A$1005,$N1210,$B$6:$B$1005,"&lt;"&amp;$P1210)+1)</f>
        <v/>
      </c>
      <c r="S1210">
        <f>IF($N1210="","",$N1210&amp;"|"&amp;RIGHT("000000"&amp;$R1210,6))</f>
        <v/>
      </c>
      <c r="T1210">
        <f>IF($N1210="","",IF(Sync!$N1210="",0,Sync!$N1210))</f>
        <v/>
      </c>
      <c r="U1210">
        <f>IF($N1210="","",IF(Sync!$O1210="",0,Sync!$O1210))</f>
        <v/>
      </c>
      <c r="V1210">
        <f>IF($N1210="","",Sync!$L1210)</f>
        <v/>
      </c>
      <c r="W1210">
        <f>IF($N1210="","",Sync!$P1210)</f>
        <v/>
      </c>
    </row>
    <row r="1211">
      <c r="N1211">
        <f>IF(OR(Sync!$M1211="",$Q1211="",$Q1211="نامعتبر"),"",Sync!$M1211)</f>
        <v/>
      </c>
      <c r="O1211">
        <f>IF($N1211="","",$Q1211)</f>
        <v/>
      </c>
      <c r="P1211">
        <f>IF($N1211="","",LEFT($Q1211,4)&amp;MID($Q1211,6,2)&amp;RIGHT($Q1211,2)&amp;IF(Sync!$K1211="","0000",IF(AND(ISNUMBER(Sync!$K1211),Sync!$K1211&gt;=0,Sync!$K1211&lt;1),RIGHT("00"&amp;HOUR(Sync!$K1211),2)&amp;RIGHT("00"&amp;MINUTE(Sync!$K1211),2),IFERROR(RIGHT("00"&amp;VALUE(LEFT(Sync!$K1211,FIND(":",Sync!$K1211)-1)),2)&amp;RIGHT("00"&amp;VALUE(MID(Sync!$K1211,FIND(":",Sync!$K1211)+1,2)),2),"0000")))&amp;"|"&amp;"2"&amp;RIGHT("00000"&amp;1206,5))</f>
        <v/>
      </c>
      <c r="Q1211">
        <f>IF(Sync!$J1211="","",IF(ISNUMBER(Sync!$J1211),IF(AND(Sync!$J1211&gt;=10000101,Sync!$J1211&lt;=99991231),INT(Sync!$J1211/10000)&amp;"/"&amp;RIGHT("00"&amp;INT(MOD(Sync!$J1211,10000)/100),2)&amp;"/"&amp;RIGHT("00"&amp;MOD(Sync!$J1211,100),2),"نامعتبر"),IF(LEN(Sync!$J1211)=10,Sync!$J1211,"نامعتبر")))</f>
        <v/>
      </c>
      <c r="R1211">
        <f>IF($P1211="","",COUNTIFS($N$6:$N$2005,$N1211,$P$6:$P$2005,"&lt;"&amp;$P1211)+COUNTIFS($A$6:$A$1005,$N1211,$B$6:$B$1005,"&lt;"&amp;$P1211)+1)</f>
        <v/>
      </c>
      <c r="S1211">
        <f>IF($N1211="","",$N1211&amp;"|"&amp;RIGHT("000000"&amp;$R1211,6))</f>
        <v/>
      </c>
      <c r="T1211">
        <f>IF($N1211="","",IF(Sync!$N1211="",0,Sync!$N1211))</f>
        <v/>
      </c>
      <c r="U1211">
        <f>IF($N1211="","",IF(Sync!$O1211="",0,Sync!$O1211))</f>
        <v/>
      </c>
      <c r="V1211">
        <f>IF($N1211="","",Sync!$L1211)</f>
        <v/>
      </c>
      <c r="W1211">
        <f>IF($N1211="","",Sync!$P1211)</f>
        <v/>
      </c>
    </row>
    <row r="1212">
      <c r="N1212">
        <f>IF(OR(Sync!$M1212="",$Q1212="",$Q1212="نامعتبر"),"",Sync!$M1212)</f>
        <v/>
      </c>
      <c r="O1212">
        <f>IF($N1212="","",$Q1212)</f>
        <v/>
      </c>
      <c r="P1212">
        <f>IF($N1212="","",LEFT($Q1212,4)&amp;MID($Q1212,6,2)&amp;RIGHT($Q1212,2)&amp;IF(Sync!$K1212="","0000",IF(AND(ISNUMBER(Sync!$K1212),Sync!$K1212&gt;=0,Sync!$K1212&lt;1),RIGHT("00"&amp;HOUR(Sync!$K1212),2)&amp;RIGHT("00"&amp;MINUTE(Sync!$K1212),2),IFERROR(RIGHT("00"&amp;VALUE(LEFT(Sync!$K1212,FIND(":",Sync!$K1212)-1)),2)&amp;RIGHT("00"&amp;VALUE(MID(Sync!$K1212,FIND(":",Sync!$K1212)+1,2)),2),"0000")))&amp;"|"&amp;"2"&amp;RIGHT("00000"&amp;1207,5))</f>
        <v/>
      </c>
      <c r="Q1212">
        <f>IF(Sync!$J1212="","",IF(ISNUMBER(Sync!$J1212),IF(AND(Sync!$J1212&gt;=10000101,Sync!$J1212&lt;=99991231),INT(Sync!$J1212/10000)&amp;"/"&amp;RIGHT("00"&amp;INT(MOD(Sync!$J1212,10000)/100),2)&amp;"/"&amp;RIGHT("00"&amp;MOD(Sync!$J1212,100),2),"نامعتبر"),IF(LEN(Sync!$J1212)=10,Sync!$J1212,"نامعتبر")))</f>
        <v/>
      </c>
      <c r="R1212">
        <f>IF($P1212="","",COUNTIFS($N$6:$N$2005,$N1212,$P$6:$P$2005,"&lt;"&amp;$P1212)+COUNTIFS($A$6:$A$1005,$N1212,$B$6:$B$1005,"&lt;"&amp;$P1212)+1)</f>
        <v/>
      </c>
      <c r="S1212">
        <f>IF($N1212="","",$N1212&amp;"|"&amp;RIGHT("000000"&amp;$R1212,6))</f>
        <v/>
      </c>
      <c r="T1212">
        <f>IF($N1212="","",IF(Sync!$N1212="",0,Sync!$N1212))</f>
        <v/>
      </c>
      <c r="U1212">
        <f>IF($N1212="","",IF(Sync!$O1212="",0,Sync!$O1212))</f>
        <v/>
      </c>
      <c r="V1212">
        <f>IF($N1212="","",Sync!$L1212)</f>
        <v/>
      </c>
      <c r="W1212">
        <f>IF($N1212="","",Sync!$P1212)</f>
        <v/>
      </c>
    </row>
    <row r="1213">
      <c r="N1213">
        <f>IF(OR(Sync!$M1213="",$Q1213="",$Q1213="نامعتبر"),"",Sync!$M1213)</f>
        <v/>
      </c>
      <c r="O1213">
        <f>IF($N1213="","",$Q1213)</f>
        <v/>
      </c>
      <c r="P1213">
        <f>IF($N1213="","",LEFT($Q1213,4)&amp;MID($Q1213,6,2)&amp;RIGHT($Q1213,2)&amp;IF(Sync!$K1213="","0000",IF(AND(ISNUMBER(Sync!$K1213),Sync!$K1213&gt;=0,Sync!$K1213&lt;1),RIGHT("00"&amp;HOUR(Sync!$K1213),2)&amp;RIGHT("00"&amp;MINUTE(Sync!$K1213),2),IFERROR(RIGHT("00"&amp;VALUE(LEFT(Sync!$K1213,FIND(":",Sync!$K1213)-1)),2)&amp;RIGHT("00"&amp;VALUE(MID(Sync!$K1213,FIND(":",Sync!$K1213)+1,2)),2),"0000")))&amp;"|"&amp;"2"&amp;RIGHT("00000"&amp;1208,5))</f>
        <v/>
      </c>
      <c r="Q1213">
        <f>IF(Sync!$J1213="","",IF(ISNUMBER(Sync!$J1213),IF(AND(Sync!$J1213&gt;=10000101,Sync!$J1213&lt;=99991231),INT(Sync!$J1213/10000)&amp;"/"&amp;RIGHT("00"&amp;INT(MOD(Sync!$J1213,10000)/100),2)&amp;"/"&amp;RIGHT("00"&amp;MOD(Sync!$J1213,100),2),"نامعتبر"),IF(LEN(Sync!$J1213)=10,Sync!$J1213,"نامعتبر")))</f>
        <v/>
      </c>
      <c r="R1213">
        <f>IF($P1213="","",COUNTIFS($N$6:$N$2005,$N1213,$P$6:$P$2005,"&lt;"&amp;$P1213)+COUNTIFS($A$6:$A$1005,$N1213,$B$6:$B$1005,"&lt;"&amp;$P1213)+1)</f>
        <v/>
      </c>
      <c r="S1213">
        <f>IF($N1213="","",$N1213&amp;"|"&amp;RIGHT("000000"&amp;$R1213,6))</f>
        <v/>
      </c>
      <c r="T1213">
        <f>IF($N1213="","",IF(Sync!$N1213="",0,Sync!$N1213))</f>
        <v/>
      </c>
      <c r="U1213">
        <f>IF($N1213="","",IF(Sync!$O1213="",0,Sync!$O1213))</f>
        <v/>
      </c>
      <c r="V1213">
        <f>IF($N1213="","",Sync!$L1213)</f>
        <v/>
      </c>
      <c r="W1213">
        <f>IF($N1213="","",Sync!$P1213)</f>
        <v/>
      </c>
    </row>
    <row r="1214">
      <c r="N1214">
        <f>IF(OR(Sync!$M1214="",$Q1214="",$Q1214="نامعتبر"),"",Sync!$M1214)</f>
        <v/>
      </c>
      <c r="O1214">
        <f>IF($N1214="","",$Q1214)</f>
        <v/>
      </c>
      <c r="P1214">
        <f>IF($N1214="","",LEFT($Q1214,4)&amp;MID($Q1214,6,2)&amp;RIGHT($Q1214,2)&amp;IF(Sync!$K1214="","0000",IF(AND(ISNUMBER(Sync!$K1214),Sync!$K1214&gt;=0,Sync!$K1214&lt;1),RIGHT("00"&amp;HOUR(Sync!$K1214),2)&amp;RIGHT("00"&amp;MINUTE(Sync!$K1214),2),IFERROR(RIGHT("00"&amp;VALUE(LEFT(Sync!$K1214,FIND(":",Sync!$K1214)-1)),2)&amp;RIGHT("00"&amp;VALUE(MID(Sync!$K1214,FIND(":",Sync!$K1214)+1,2)),2),"0000")))&amp;"|"&amp;"2"&amp;RIGHT("00000"&amp;1209,5))</f>
        <v/>
      </c>
      <c r="Q1214">
        <f>IF(Sync!$J1214="","",IF(ISNUMBER(Sync!$J1214),IF(AND(Sync!$J1214&gt;=10000101,Sync!$J1214&lt;=99991231),INT(Sync!$J1214/10000)&amp;"/"&amp;RIGHT("00"&amp;INT(MOD(Sync!$J1214,10000)/100),2)&amp;"/"&amp;RIGHT("00"&amp;MOD(Sync!$J1214,100),2),"نامعتبر"),IF(LEN(Sync!$J1214)=10,Sync!$J1214,"نامعتبر")))</f>
        <v/>
      </c>
      <c r="R1214">
        <f>IF($P1214="","",COUNTIFS($N$6:$N$2005,$N1214,$P$6:$P$2005,"&lt;"&amp;$P1214)+COUNTIFS($A$6:$A$1005,$N1214,$B$6:$B$1005,"&lt;"&amp;$P1214)+1)</f>
        <v/>
      </c>
      <c r="S1214">
        <f>IF($N1214="","",$N1214&amp;"|"&amp;RIGHT("000000"&amp;$R1214,6))</f>
        <v/>
      </c>
      <c r="T1214">
        <f>IF($N1214="","",IF(Sync!$N1214="",0,Sync!$N1214))</f>
        <v/>
      </c>
      <c r="U1214">
        <f>IF($N1214="","",IF(Sync!$O1214="",0,Sync!$O1214))</f>
        <v/>
      </c>
      <c r="V1214">
        <f>IF($N1214="","",Sync!$L1214)</f>
        <v/>
      </c>
      <c r="W1214">
        <f>IF($N1214="","",Sync!$P1214)</f>
        <v/>
      </c>
    </row>
    <row r="1215">
      <c r="N1215">
        <f>IF(OR(Sync!$M1215="",$Q1215="",$Q1215="نامعتبر"),"",Sync!$M1215)</f>
        <v/>
      </c>
      <c r="O1215">
        <f>IF($N1215="","",$Q1215)</f>
        <v/>
      </c>
      <c r="P1215">
        <f>IF($N1215="","",LEFT($Q1215,4)&amp;MID($Q1215,6,2)&amp;RIGHT($Q1215,2)&amp;IF(Sync!$K1215="","0000",IF(AND(ISNUMBER(Sync!$K1215),Sync!$K1215&gt;=0,Sync!$K1215&lt;1),RIGHT("00"&amp;HOUR(Sync!$K1215),2)&amp;RIGHT("00"&amp;MINUTE(Sync!$K1215),2),IFERROR(RIGHT("00"&amp;VALUE(LEFT(Sync!$K1215,FIND(":",Sync!$K1215)-1)),2)&amp;RIGHT("00"&amp;VALUE(MID(Sync!$K1215,FIND(":",Sync!$K1215)+1,2)),2),"0000")))&amp;"|"&amp;"2"&amp;RIGHT("00000"&amp;1210,5))</f>
        <v/>
      </c>
      <c r="Q1215">
        <f>IF(Sync!$J1215="","",IF(ISNUMBER(Sync!$J1215),IF(AND(Sync!$J1215&gt;=10000101,Sync!$J1215&lt;=99991231),INT(Sync!$J1215/10000)&amp;"/"&amp;RIGHT("00"&amp;INT(MOD(Sync!$J1215,10000)/100),2)&amp;"/"&amp;RIGHT("00"&amp;MOD(Sync!$J1215,100),2),"نامعتبر"),IF(LEN(Sync!$J1215)=10,Sync!$J1215,"نامعتبر")))</f>
        <v/>
      </c>
      <c r="R1215">
        <f>IF($P1215="","",COUNTIFS($N$6:$N$2005,$N1215,$P$6:$P$2005,"&lt;"&amp;$P1215)+COUNTIFS($A$6:$A$1005,$N1215,$B$6:$B$1005,"&lt;"&amp;$P1215)+1)</f>
        <v/>
      </c>
      <c r="S1215">
        <f>IF($N1215="","",$N1215&amp;"|"&amp;RIGHT("000000"&amp;$R1215,6))</f>
        <v/>
      </c>
      <c r="T1215">
        <f>IF($N1215="","",IF(Sync!$N1215="",0,Sync!$N1215))</f>
        <v/>
      </c>
      <c r="U1215">
        <f>IF($N1215="","",IF(Sync!$O1215="",0,Sync!$O1215))</f>
        <v/>
      </c>
      <c r="V1215">
        <f>IF($N1215="","",Sync!$L1215)</f>
        <v/>
      </c>
      <c r="W1215">
        <f>IF($N1215="","",Sync!$P1215)</f>
        <v/>
      </c>
    </row>
    <row r="1216">
      <c r="N1216">
        <f>IF(OR(Sync!$M1216="",$Q1216="",$Q1216="نامعتبر"),"",Sync!$M1216)</f>
        <v/>
      </c>
      <c r="O1216">
        <f>IF($N1216="","",$Q1216)</f>
        <v/>
      </c>
      <c r="P1216">
        <f>IF($N1216="","",LEFT($Q1216,4)&amp;MID($Q1216,6,2)&amp;RIGHT($Q1216,2)&amp;IF(Sync!$K1216="","0000",IF(AND(ISNUMBER(Sync!$K1216),Sync!$K1216&gt;=0,Sync!$K1216&lt;1),RIGHT("00"&amp;HOUR(Sync!$K1216),2)&amp;RIGHT("00"&amp;MINUTE(Sync!$K1216),2),IFERROR(RIGHT("00"&amp;VALUE(LEFT(Sync!$K1216,FIND(":",Sync!$K1216)-1)),2)&amp;RIGHT("00"&amp;VALUE(MID(Sync!$K1216,FIND(":",Sync!$K1216)+1,2)),2),"0000")))&amp;"|"&amp;"2"&amp;RIGHT("00000"&amp;1211,5))</f>
        <v/>
      </c>
      <c r="Q1216">
        <f>IF(Sync!$J1216="","",IF(ISNUMBER(Sync!$J1216),IF(AND(Sync!$J1216&gt;=10000101,Sync!$J1216&lt;=99991231),INT(Sync!$J1216/10000)&amp;"/"&amp;RIGHT("00"&amp;INT(MOD(Sync!$J1216,10000)/100),2)&amp;"/"&amp;RIGHT("00"&amp;MOD(Sync!$J1216,100),2),"نامعتبر"),IF(LEN(Sync!$J1216)=10,Sync!$J1216,"نامعتبر")))</f>
        <v/>
      </c>
      <c r="R1216">
        <f>IF($P1216="","",COUNTIFS($N$6:$N$2005,$N1216,$P$6:$P$2005,"&lt;"&amp;$P1216)+COUNTIFS($A$6:$A$1005,$N1216,$B$6:$B$1005,"&lt;"&amp;$P1216)+1)</f>
        <v/>
      </c>
      <c r="S1216">
        <f>IF($N1216="","",$N1216&amp;"|"&amp;RIGHT("000000"&amp;$R1216,6))</f>
        <v/>
      </c>
      <c r="T1216">
        <f>IF($N1216="","",IF(Sync!$N1216="",0,Sync!$N1216))</f>
        <v/>
      </c>
      <c r="U1216">
        <f>IF($N1216="","",IF(Sync!$O1216="",0,Sync!$O1216))</f>
        <v/>
      </c>
      <c r="V1216">
        <f>IF($N1216="","",Sync!$L1216)</f>
        <v/>
      </c>
      <c r="W1216">
        <f>IF($N1216="","",Sync!$P1216)</f>
        <v/>
      </c>
    </row>
    <row r="1217">
      <c r="N1217">
        <f>IF(OR(Sync!$M1217="",$Q1217="",$Q1217="نامعتبر"),"",Sync!$M1217)</f>
        <v/>
      </c>
      <c r="O1217">
        <f>IF($N1217="","",$Q1217)</f>
        <v/>
      </c>
      <c r="P1217">
        <f>IF($N1217="","",LEFT($Q1217,4)&amp;MID($Q1217,6,2)&amp;RIGHT($Q1217,2)&amp;IF(Sync!$K1217="","0000",IF(AND(ISNUMBER(Sync!$K1217),Sync!$K1217&gt;=0,Sync!$K1217&lt;1),RIGHT("00"&amp;HOUR(Sync!$K1217),2)&amp;RIGHT("00"&amp;MINUTE(Sync!$K1217),2),IFERROR(RIGHT("00"&amp;VALUE(LEFT(Sync!$K1217,FIND(":",Sync!$K1217)-1)),2)&amp;RIGHT("00"&amp;VALUE(MID(Sync!$K1217,FIND(":",Sync!$K1217)+1,2)),2),"0000")))&amp;"|"&amp;"2"&amp;RIGHT("00000"&amp;1212,5))</f>
        <v/>
      </c>
      <c r="Q1217">
        <f>IF(Sync!$J1217="","",IF(ISNUMBER(Sync!$J1217),IF(AND(Sync!$J1217&gt;=10000101,Sync!$J1217&lt;=99991231),INT(Sync!$J1217/10000)&amp;"/"&amp;RIGHT("00"&amp;INT(MOD(Sync!$J1217,10000)/100),2)&amp;"/"&amp;RIGHT("00"&amp;MOD(Sync!$J1217,100),2),"نامعتبر"),IF(LEN(Sync!$J1217)=10,Sync!$J1217,"نامعتبر")))</f>
        <v/>
      </c>
      <c r="R1217">
        <f>IF($P1217="","",COUNTIFS($N$6:$N$2005,$N1217,$P$6:$P$2005,"&lt;"&amp;$P1217)+COUNTIFS($A$6:$A$1005,$N1217,$B$6:$B$1005,"&lt;"&amp;$P1217)+1)</f>
        <v/>
      </c>
      <c r="S1217">
        <f>IF($N1217="","",$N1217&amp;"|"&amp;RIGHT("000000"&amp;$R1217,6))</f>
        <v/>
      </c>
      <c r="T1217">
        <f>IF($N1217="","",IF(Sync!$N1217="",0,Sync!$N1217))</f>
        <v/>
      </c>
      <c r="U1217">
        <f>IF($N1217="","",IF(Sync!$O1217="",0,Sync!$O1217))</f>
        <v/>
      </c>
      <c r="V1217">
        <f>IF($N1217="","",Sync!$L1217)</f>
        <v/>
      </c>
      <c r="W1217">
        <f>IF($N1217="","",Sync!$P1217)</f>
        <v/>
      </c>
    </row>
    <row r="1218">
      <c r="N1218">
        <f>IF(OR(Sync!$M1218="",$Q1218="",$Q1218="نامعتبر"),"",Sync!$M1218)</f>
        <v/>
      </c>
      <c r="O1218">
        <f>IF($N1218="","",$Q1218)</f>
        <v/>
      </c>
      <c r="P1218">
        <f>IF($N1218="","",LEFT($Q1218,4)&amp;MID($Q1218,6,2)&amp;RIGHT($Q1218,2)&amp;IF(Sync!$K1218="","0000",IF(AND(ISNUMBER(Sync!$K1218),Sync!$K1218&gt;=0,Sync!$K1218&lt;1),RIGHT("00"&amp;HOUR(Sync!$K1218),2)&amp;RIGHT("00"&amp;MINUTE(Sync!$K1218),2),IFERROR(RIGHT("00"&amp;VALUE(LEFT(Sync!$K1218,FIND(":",Sync!$K1218)-1)),2)&amp;RIGHT("00"&amp;VALUE(MID(Sync!$K1218,FIND(":",Sync!$K1218)+1,2)),2),"0000")))&amp;"|"&amp;"2"&amp;RIGHT("00000"&amp;1213,5))</f>
        <v/>
      </c>
      <c r="Q1218">
        <f>IF(Sync!$J1218="","",IF(ISNUMBER(Sync!$J1218),IF(AND(Sync!$J1218&gt;=10000101,Sync!$J1218&lt;=99991231),INT(Sync!$J1218/10000)&amp;"/"&amp;RIGHT("00"&amp;INT(MOD(Sync!$J1218,10000)/100),2)&amp;"/"&amp;RIGHT("00"&amp;MOD(Sync!$J1218,100),2),"نامعتبر"),IF(LEN(Sync!$J1218)=10,Sync!$J1218,"نامعتبر")))</f>
        <v/>
      </c>
      <c r="R1218">
        <f>IF($P1218="","",COUNTIFS($N$6:$N$2005,$N1218,$P$6:$P$2005,"&lt;"&amp;$P1218)+COUNTIFS($A$6:$A$1005,$N1218,$B$6:$B$1005,"&lt;"&amp;$P1218)+1)</f>
        <v/>
      </c>
      <c r="S1218">
        <f>IF($N1218="","",$N1218&amp;"|"&amp;RIGHT("000000"&amp;$R1218,6))</f>
        <v/>
      </c>
      <c r="T1218">
        <f>IF($N1218="","",IF(Sync!$N1218="",0,Sync!$N1218))</f>
        <v/>
      </c>
      <c r="U1218">
        <f>IF($N1218="","",IF(Sync!$O1218="",0,Sync!$O1218))</f>
        <v/>
      </c>
      <c r="V1218">
        <f>IF($N1218="","",Sync!$L1218)</f>
        <v/>
      </c>
      <c r="W1218">
        <f>IF($N1218="","",Sync!$P1218)</f>
        <v/>
      </c>
    </row>
    <row r="1219">
      <c r="N1219">
        <f>IF(OR(Sync!$M1219="",$Q1219="",$Q1219="نامعتبر"),"",Sync!$M1219)</f>
        <v/>
      </c>
      <c r="O1219">
        <f>IF($N1219="","",$Q1219)</f>
        <v/>
      </c>
      <c r="P1219">
        <f>IF($N1219="","",LEFT($Q1219,4)&amp;MID($Q1219,6,2)&amp;RIGHT($Q1219,2)&amp;IF(Sync!$K1219="","0000",IF(AND(ISNUMBER(Sync!$K1219),Sync!$K1219&gt;=0,Sync!$K1219&lt;1),RIGHT("00"&amp;HOUR(Sync!$K1219),2)&amp;RIGHT("00"&amp;MINUTE(Sync!$K1219),2),IFERROR(RIGHT("00"&amp;VALUE(LEFT(Sync!$K1219,FIND(":",Sync!$K1219)-1)),2)&amp;RIGHT("00"&amp;VALUE(MID(Sync!$K1219,FIND(":",Sync!$K1219)+1,2)),2),"0000")))&amp;"|"&amp;"2"&amp;RIGHT("00000"&amp;1214,5))</f>
        <v/>
      </c>
      <c r="Q1219">
        <f>IF(Sync!$J1219="","",IF(ISNUMBER(Sync!$J1219),IF(AND(Sync!$J1219&gt;=10000101,Sync!$J1219&lt;=99991231),INT(Sync!$J1219/10000)&amp;"/"&amp;RIGHT("00"&amp;INT(MOD(Sync!$J1219,10000)/100),2)&amp;"/"&amp;RIGHT("00"&amp;MOD(Sync!$J1219,100),2),"نامعتبر"),IF(LEN(Sync!$J1219)=10,Sync!$J1219,"نامعتبر")))</f>
        <v/>
      </c>
      <c r="R1219">
        <f>IF($P1219="","",COUNTIFS($N$6:$N$2005,$N1219,$P$6:$P$2005,"&lt;"&amp;$P1219)+COUNTIFS($A$6:$A$1005,$N1219,$B$6:$B$1005,"&lt;"&amp;$P1219)+1)</f>
        <v/>
      </c>
      <c r="S1219">
        <f>IF($N1219="","",$N1219&amp;"|"&amp;RIGHT("000000"&amp;$R1219,6))</f>
        <v/>
      </c>
      <c r="T1219">
        <f>IF($N1219="","",IF(Sync!$N1219="",0,Sync!$N1219))</f>
        <v/>
      </c>
      <c r="U1219">
        <f>IF($N1219="","",IF(Sync!$O1219="",0,Sync!$O1219))</f>
        <v/>
      </c>
      <c r="V1219">
        <f>IF($N1219="","",Sync!$L1219)</f>
        <v/>
      </c>
      <c r="W1219">
        <f>IF($N1219="","",Sync!$P1219)</f>
        <v/>
      </c>
    </row>
    <row r="1220">
      <c r="N1220">
        <f>IF(OR(Sync!$M1220="",$Q1220="",$Q1220="نامعتبر"),"",Sync!$M1220)</f>
        <v/>
      </c>
      <c r="O1220">
        <f>IF($N1220="","",$Q1220)</f>
        <v/>
      </c>
      <c r="P1220">
        <f>IF($N1220="","",LEFT($Q1220,4)&amp;MID($Q1220,6,2)&amp;RIGHT($Q1220,2)&amp;IF(Sync!$K1220="","0000",IF(AND(ISNUMBER(Sync!$K1220),Sync!$K1220&gt;=0,Sync!$K1220&lt;1),RIGHT("00"&amp;HOUR(Sync!$K1220),2)&amp;RIGHT("00"&amp;MINUTE(Sync!$K1220),2),IFERROR(RIGHT("00"&amp;VALUE(LEFT(Sync!$K1220,FIND(":",Sync!$K1220)-1)),2)&amp;RIGHT("00"&amp;VALUE(MID(Sync!$K1220,FIND(":",Sync!$K1220)+1,2)),2),"0000")))&amp;"|"&amp;"2"&amp;RIGHT("00000"&amp;1215,5))</f>
        <v/>
      </c>
      <c r="Q1220">
        <f>IF(Sync!$J1220="","",IF(ISNUMBER(Sync!$J1220),IF(AND(Sync!$J1220&gt;=10000101,Sync!$J1220&lt;=99991231),INT(Sync!$J1220/10000)&amp;"/"&amp;RIGHT("00"&amp;INT(MOD(Sync!$J1220,10000)/100),2)&amp;"/"&amp;RIGHT("00"&amp;MOD(Sync!$J1220,100),2),"نامعتبر"),IF(LEN(Sync!$J1220)=10,Sync!$J1220,"نامعتبر")))</f>
        <v/>
      </c>
      <c r="R1220">
        <f>IF($P1220="","",COUNTIFS($N$6:$N$2005,$N1220,$P$6:$P$2005,"&lt;"&amp;$P1220)+COUNTIFS($A$6:$A$1005,$N1220,$B$6:$B$1005,"&lt;"&amp;$P1220)+1)</f>
        <v/>
      </c>
      <c r="S1220">
        <f>IF($N1220="","",$N1220&amp;"|"&amp;RIGHT("000000"&amp;$R1220,6))</f>
        <v/>
      </c>
      <c r="T1220">
        <f>IF($N1220="","",IF(Sync!$N1220="",0,Sync!$N1220))</f>
        <v/>
      </c>
      <c r="U1220">
        <f>IF($N1220="","",IF(Sync!$O1220="",0,Sync!$O1220))</f>
        <v/>
      </c>
      <c r="V1220">
        <f>IF($N1220="","",Sync!$L1220)</f>
        <v/>
      </c>
      <c r="W1220">
        <f>IF($N1220="","",Sync!$P1220)</f>
        <v/>
      </c>
    </row>
    <row r="1221">
      <c r="N1221">
        <f>IF(OR(Sync!$M1221="",$Q1221="",$Q1221="نامعتبر"),"",Sync!$M1221)</f>
        <v/>
      </c>
      <c r="O1221">
        <f>IF($N1221="","",$Q1221)</f>
        <v/>
      </c>
      <c r="P1221">
        <f>IF($N1221="","",LEFT($Q1221,4)&amp;MID($Q1221,6,2)&amp;RIGHT($Q1221,2)&amp;IF(Sync!$K1221="","0000",IF(AND(ISNUMBER(Sync!$K1221),Sync!$K1221&gt;=0,Sync!$K1221&lt;1),RIGHT("00"&amp;HOUR(Sync!$K1221),2)&amp;RIGHT("00"&amp;MINUTE(Sync!$K1221),2),IFERROR(RIGHT("00"&amp;VALUE(LEFT(Sync!$K1221,FIND(":",Sync!$K1221)-1)),2)&amp;RIGHT("00"&amp;VALUE(MID(Sync!$K1221,FIND(":",Sync!$K1221)+1,2)),2),"0000")))&amp;"|"&amp;"2"&amp;RIGHT("00000"&amp;1216,5))</f>
        <v/>
      </c>
      <c r="Q1221">
        <f>IF(Sync!$J1221="","",IF(ISNUMBER(Sync!$J1221),IF(AND(Sync!$J1221&gt;=10000101,Sync!$J1221&lt;=99991231),INT(Sync!$J1221/10000)&amp;"/"&amp;RIGHT("00"&amp;INT(MOD(Sync!$J1221,10000)/100),2)&amp;"/"&amp;RIGHT("00"&amp;MOD(Sync!$J1221,100),2),"نامعتبر"),IF(LEN(Sync!$J1221)=10,Sync!$J1221,"نامعتبر")))</f>
        <v/>
      </c>
      <c r="R1221">
        <f>IF($P1221="","",COUNTIFS($N$6:$N$2005,$N1221,$P$6:$P$2005,"&lt;"&amp;$P1221)+COUNTIFS($A$6:$A$1005,$N1221,$B$6:$B$1005,"&lt;"&amp;$P1221)+1)</f>
        <v/>
      </c>
      <c r="S1221">
        <f>IF($N1221="","",$N1221&amp;"|"&amp;RIGHT("000000"&amp;$R1221,6))</f>
        <v/>
      </c>
      <c r="T1221">
        <f>IF($N1221="","",IF(Sync!$N1221="",0,Sync!$N1221))</f>
        <v/>
      </c>
      <c r="U1221">
        <f>IF($N1221="","",IF(Sync!$O1221="",0,Sync!$O1221))</f>
        <v/>
      </c>
      <c r="V1221">
        <f>IF($N1221="","",Sync!$L1221)</f>
        <v/>
      </c>
      <c r="W1221">
        <f>IF($N1221="","",Sync!$P1221)</f>
        <v/>
      </c>
    </row>
    <row r="1222">
      <c r="N1222">
        <f>IF(OR(Sync!$M1222="",$Q1222="",$Q1222="نامعتبر"),"",Sync!$M1222)</f>
        <v/>
      </c>
      <c r="O1222">
        <f>IF($N1222="","",$Q1222)</f>
        <v/>
      </c>
      <c r="P1222">
        <f>IF($N1222="","",LEFT($Q1222,4)&amp;MID($Q1222,6,2)&amp;RIGHT($Q1222,2)&amp;IF(Sync!$K1222="","0000",IF(AND(ISNUMBER(Sync!$K1222),Sync!$K1222&gt;=0,Sync!$K1222&lt;1),RIGHT("00"&amp;HOUR(Sync!$K1222),2)&amp;RIGHT("00"&amp;MINUTE(Sync!$K1222),2),IFERROR(RIGHT("00"&amp;VALUE(LEFT(Sync!$K1222,FIND(":",Sync!$K1222)-1)),2)&amp;RIGHT("00"&amp;VALUE(MID(Sync!$K1222,FIND(":",Sync!$K1222)+1,2)),2),"0000")))&amp;"|"&amp;"2"&amp;RIGHT("00000"&amp;1217,5))</f>
        <v/>
      </c>
      <c r="Q1222">
        <f>IF(Sync!$J1222="","",IF(ISNUMBER(Sync!$J1222),IF(AND(Sync!$J1222&gt;=10000101,Sync!$J1222&lt;=99991231),INT(Sync!$J1222/10000)&amp;"/"&amp;RIGHT("00"&amp;INT(MOD(Sync!$J1222,10000)/100),2)&amp;"/"&amp;RIGHT("00"&amp;MOD(Sync!$J1222,100),2),"نامعتبر"),IF(LEN(Sync!$J1222)=10,Sync!$J1222,"نامعتبر")))</f>
        <v/>
      </c>
      <c r="R1222">
        <f>IF($P1222="","",COUNTIFS($N$6:$N$2005,$N1222,$P$6:$P$2005,"&lt;"&amp;$P1222)+COUNTIFS($A$6:$A$1005,$N1222,$B$6:$B$1005,"&lt;"&amp;$P1222)+1)</f>
        <v/>
      </c>
      <c r="S1222">
        <f>IF($N1222="","",$N1222&amp;"|"&amp;RIGHT("000000"&amp;$R1222,6))</f>
        <v/>
      </c>
      <c r="T1222">
        <f>IF($N1222="","",IF(Sync!$N1222="",0,Sync!$N1222))</f>
        <v/>
      </c>
      <c r="U1222">
        <f>IF($N1222="","",IF(Sync!$O1222="",0,Sync!$O1222))</f>
        <v/>
      </c>
      <c r="V1222">
        <f>IF($N1222="","",Sync!$L1222)</f>
        <v/>
      </c>
      <c r="W1222">
        <f>IF($N1222="","",Sync!$P1222)</f>
        <v/>
      </c>
    </row>
    <row r="1223">
      <c r="N1223">
        <f>IF(OR(Sync!$M1223="",$Q1223="",$Q1223="نامعتبر"),"",Sync!$M1223)</f>
        <v/>
      </c>
      <c r="O1223">
        <f>IF($N1223="","",$Q1223)</f>
        <v/>
      </c>
      <c r="P1223">
        <f>IF($N1223="","",LEFT($Q1223,4)&amp;MID($Q1223,6,2)&amp;RIGHT($Q1223,2)&amp;IF(Sync!$K1223="","0000",IF(AND(ISNUMBER(Sync!$K1223),Sync!$K1223&gt;=0,Sync!$K1223&lt;1),RIGHT("00"&amp;HOUR(Sync!$K1223),2)&amp;RIGHT("00"&amp;MINUTE(Sync!$K1223),2),IFERROR(RIGHT("00"&amp;VALUE(LEFT(Sync!$K1223,FIND(":",Sync!$K1223)-1)),2)&amp;RIGHT("00"&amp;VALUE(MID(Sync!$K1223,FIND(":",Sync!$K1223)+1,2)),2),"0000")))&amp;"|"&amp;"2"&amp;RIGHT("00000"&amp;1218,5))</f>
        <v/>
      </c>
      <c r="Q1223">
        <f>IF(Sync!$J1223="","",IF(ISNUMBER(Sync!$J1223),IF(AND(Sync!$J1223&gt;=10000101,Sync!$J1223&lt;=99991231),INT(Sync!$J1223/10000)&amp;"/"&amp;RIGHT("00"&amp;INT(MOD(Sync!$J1223,10000)/100),2)&amp;"/"&amp;RIGHT("00"&amp;MOD(Sync!$J1223,100),2),"نامعتبر"),IF(LEN(Sync!$J1223)=10,Sync!$J1223,"نامعتبر")))</f>
        <v/>
      </c>
      <c r="R1223">
        <f>IF($P1223="","",COUNTIFS($N$6:$N$2005,$N1223,$P$6:$P$2005,"&lt;"&amp;$P1223)+COUNTIFS($A$6:$A$1005,$N1223,$B$6:$B$1005,"&lt;"&amp;$P1223)+1)</f>
        <v/>
      </c>
      <c r="S1223">
        <f>IF($N1223="","",$N1223&amp;"|"&amp;RIGHT("000000"&amp;$R1223,6))</f>
        <v/>
      </c>
      <c r="T1223">
        <f>IF($N1223="","",IF(Sync!$N1223="",0,Sync!$N1223))</f>
        <v/>
      </c>
      <c r="U1223">
        <f>IF($N1223="","",IF(Sync!$O1223="",0,Sync!$O1223))</f>
        <v/>
      </c>
      <c r="V1223">
        <f>IF($N1223="","",Sync!$L1223)</f>
        <v/>
      </c>
      <c r="W1223">
        <f>IF($N1223="","",Sync!$P1223)</f>
        <v/>
      </c>
    </row>
    <row r="1224">
      <c r="N1224">
        <f>IF(OR(Sync!$M1224="",$Q1224="",$Q1224="نامعتبر"),"",Sync!$M1224)</f>
        <v/>
      </c>
      <c r="O1224">
        <f>IF($N1224="","",$Q1224)</f>
        <v/>
      </c>
      <c r="P1224">
        <f>IF($N1224="","",LEFT($Q1224,4)&amp;MID($Q1224,6,2)&amp;RIGHT($Q1224,2)&amp;IF(Sync!$K1224="","0000",IF(AND(ISNUMBER(Sync!$K1224),Sync!$K1224&gt;=0,Sync!$K1224&lt;1),RIGHT("00"&amp;HOUR(Sync!$K1224),2)&amp;RIGHT("00"&amp;MINUTE(Sync!$K1224),2),IFERROR(RIGHT("00"&amp;VALUE(LEFT(Sync!$K1224,FIND(":",Sync!$K1224)-1)),2)&amp;RIGHT("00"&amp;VALUE(MID(Sync!$K1224,FIND(":",Sync!$K1224)+1,2)),2),"0000")))&amp;"|"&amp;"2"&amp;RIGHT("00000"&amp;1219,5))</f>
        <v/>
      </c>
      <c r="Q1224">
        <f>IF(Sync!$J1224="","",IF(ISNUMBER(Sync!$J1224),IF(AND(Sync!$J1224&gt;=10000101,Sync!$J1224&lt;=99991231),INT(Sync!$J1224/10000)&amp;"/"&amp;RIGHT("00"&amp;INT(MOD(Sync!$J1224,10000)/100),2)&amp;"/"&amp;RIGHT("00"&amp;MOD(Sync!$J1224,100),2),"نامعتبر"),IF(LEN(Sync!$J1224)=10,Sync!$J1224,"نامعتبر")))</f>
        <v/>
      </c>
      <c r="R1224">
        <f>IF($P1224="","",COUNTIFS($N$6:$N$2005,$N1224,$P$6:$P$2005,"&lt;"&amp;$P1224)+COUNTIFS($A$6:$A$1005,$N1224,$B$6:$B$1005,"&lt;"&amp;$P1224)+1)</f>
        <v/>
      </c>
      <c r="S1224">
        <f>IF($N1224="","",$N1224&amp;"|"&amp;RIGHT("000000"&amp;$R1224,6))</f>
        <v/>
      </c>
      <c r="T1224">
        <f>IF($N1224="","",IF(Sync!$N1224="",0,Sync!$N1224))</f>
        <v/>
      </c>
      <c r="U1224">
        <f>IF($N1224="","",IF(Sync!$O1224="",0,Sync!$O1224))</f>
        <v/>
      </c>
      <c r="V1224">
        <f>IF($N1224="","",Sync!$L1224)</f>
        <v/>
      </c>
      <c r="W1224">
        <f>IF($N1224="","",Sync!$P1224)</f>
        <v/>
      </c>
    </row>
    <row r="1225">
      <c r="N1225">
        <f>IF(OR(Sync!$M1225="",$Q1225="",$Q1225="نامعتبر"),"",Sync!$M1225)</f>
        <v/>
      </c>
      <c r="O1225">
        <f>IF($N1225="","",$Q1225)</f>
        <v/>
      </c>
      <c r="P1225">
        <f>IF($N1225="","",LEFT($Q1225,4)&amp;MID($Q1225,6,2)&amp;RIGHT($Q1225,2)&amp;IF(Sync!$K1225="","0000",IF(AND(ISNUMBER(Sync!$K1225),Sync!$K1225&gt;=0,Sync!$K1225&lt;1),RIGHT("00"&amp;HOUR(Sync!$K1225),2)&amp;RIGHT("00"&amp;MINUTE(Sync!$K1225),2),IFERROR(RIGHT("00"&amp;VALUE(LEFT(Sync!$K1225,FIND(":",Sync!$K1225)-1)),2)&amp;RIGHT("00"&amp;VALUE(MID(Sync!$K1225,FIND(":",Sync!$K1225)+1,2)),2),"0000")))&amp;"|"&amp;"2"&amp;RIGHT("00000"&amp;1220,5))</f>
        <v/>
      </c>
      <c r="Q1225">
        <f>IF(Sync!$J1225="","",IF(ISNUMBER(Sync!$J1225),IF(AND(Sync!$J1225&gt;=10000101,Sync!$J1225&lt;=99991231),INT(Sync!$J1225/10000)&amp;"/"&amp;RIGHT("00"&amp;INT(MOD(Sync!$J1225,10000)/100),2)&amp;"/"&amp;RIGHT("00"&amp;MOD(Sync!$J1225,100),2),"نامعتبر"),IF(LEN(Sync!$J1225)=10,Sync!$J1225,"نامعتبر")))</f>
        <v/>
      </c>
      <c r="R1225">
        <f>IF($P1225="","",COUNTIFS($N$6:$N$2005,$N1225,$P$6:$P$2005,"&lt;"&amp;$P1225)+COUNTIFS($A$6:$A$1005,$N1225,$B$6:$B$1005,"&lt;"&amp;$P1225)+1)</f>
        <v/>
      </c>
      <c r="S1225">
        <f>IF($N1225="","",$N1225&amp;"|"&amp;RIGHT("000000"&amp;$R1225,6))</f>
        <v/>
      </c>
      <c r="T1225">
        <f>IF($N1225="","",IF(Sync!$N1225="",0,Sync!$N1225))</f>
        <v/>
      </c>
      <c r="U1225">
        <f>IF($N1225="","",IF(Sync!$O1225="",0,Sync!$O1225))</f>
        <v/>
      </c>
      <c r="V1225">
        <f>IF($N1225="","",Sync!$L1225)</f>
        <v/>
      </c>
      <c r="W1225">
        <f>IF($N1225="","",Sync!$P1225)</f>
        <v/>
      </c>
    </row>
    <row r="1226">
      <c r="N1226">
        <f>IF(OR(Sync!$M1226="",$Q1226="",$Q1226="نامعتبر"),"",Sync!$M1226)</f>
        <v/>
      </c>
      <c r="O1226">
        <f>IF($N1226="","",$Q1226)</f>
        <v/>
      </c>
      <c r="P1226">
        <f>IF($N1226="","",LEFT($Q1226,4)&amp;MID($Q1226,6,2)&amp;RIGHT($Q1226,2)&amp;IF(Sync!$K1226="","0000",IF(AND(ISNUMBER(Sync!$K1226),Sync!$K1226&gt;=0,Sync!$K1226&lt;1),RIGHT("00"&amp;HOUR(Sync!$K1226),2)&amp;RIGHT("00"&amp;MINUTE(Sync!$K1226),2),IFERROR(RIGHT("00"&amp;VALUE(LEFT(Sync!$K1226,FIND(":",Sync!$K1226)-1)),2)&amp;RIGHT("00"&amp;VALUE(MID(Sync!$K1226,FIND(":",Sync!$K1226)+1,2)),2),"0000")))&amp;"|"&amp;"2"&amp;RIGHT("00000"&amp;1221,5))</f>
        <v/>
      </c>
      <c r="Q1226">
        <f>IF(Sync!$J1226="","",IF(ISNUMBER(Sync!$J1226),IF(AND(Sync!$J1226&gt;=10000101,Sync!$J1226&lt;=99991231),INT(Sync!$J1226/10000)&amp;"/"&amp;RIGHT("00"&amp;INT(MOD(Sync!$J1226,10000)/100),2)&amp;"/"&amp;RIGHT("00"&amp;MOD(Sync!$J1226,100),2),"نامعتبر"),IF(LEN(Sync!$J1226)=10,Sync!$J1226,"نامعتبر")))</f>
        <v/>
      </c>
      <c r="R1226">
        <f>IF($P1226="","",COUNTIFS($N$6:$N$2005,$N1226,$P$6:$P$2005,"&lt;"&amp;$P1226)+COUNTIFS($A$6:$A$1005,$N1226,$B$6:$B$1005,"&lt;"&amp;$P1226)+1)</f>
        <v/>
      </c>
      <c r="S1226">
        <f>IF($N1226="","",$N1226&amp;"|"&amp;RIGHT("000000"&amp;$R1226,6))</f>
        <v/>
      </c>
      <c r="T1226">
        <f>IF($N1226="","",IF(Sync!$N1226="",0,Sync!$N1226))</f>
        <v/>
      </c>
      <c r="U1226">
        <f>IF($N1226="","",IF(Sync!$O1226="",0,Sync!$O1226))</f>
        <v/>
      </c>
      <c r="V1226">
        <f>IF($N1226="","",Sync!$L1226)</f>
        <v/>
      </c>
      <c r="W1226">
        <f>IF($N1226="","",Sync!$P1226)</f>
        <v/>
      </c>
    </row>
    <row r="1227">
      <c r="N1227">
        <f>IF(OR(Sync!$M1227="",$Q1227="",$Q1227="نامعتبر"),"",Sync!$M1227)</f>
        <v/>
      </c>
      <c r="O1227">
        <f>IF($N1227="","",$Q1227)</f>
        <v/>
      </c>
      <c r="P1227">
        <f>IF($N1227="","",LEFT($Q1227,4)&amp;MID($Q1227,6,2)&amp;RIGHT($Q1227,2)&amp;IF(Sync!$K1227="","0000",IF(AND(ISNUMBER(Sync!$K1227),Sync!$K1227&gt;=0,Sync!$K1227&lt;1),RIGHT("00"&amp;HOUR(Sync!$K1227),2)&amp;RIGHT("00"&amp;MINUTE(Sync!$K1227),2),IFERROR(RIGHT("00"&amp;VALUE(LEFT(Sync!$K1227,FIND(":",Sync!$K1227)-1)),2)&amp;RIGHT("00"&amp;VALUE(MID(Sync!$K1227,FIND(":",Sync!$K1227)+1,2)),2),"0000")))&amp;"|"&amp;"2"&amp;RIGHT("00000"&amp;1222,5))</f>
        <v/>
      </c>
      <c r="Q1227">
        <f>IF(Sync!$J1227="","",IF(ISNUMBER(Sync!$J1227),IF(AND(Sync!$J1227&gt;=10000101,Sync!$J1227&lt;=99991231),INT(Sync!$J1227/10000)&amp;"/"&amp;RIGHT("00"&amp;INT(MOD(Sync!$J1227,10000)/100),2)&amp;"/"&amp;RIGHT("00"&amp;MOD(Sync!$J1227,100),2),"نامعتبر"),IF(LEN(Sync!$J1227)=10,Sync!$J1227,"نامعتبر")))</f>
        <v/>
      </c>
      <c r="R1227">
        <f>IF($P1227="","",COUNTIFS($N$6:$N$2005,$N1227,$P$6:$P$2005,"&lt;"&amp;$P1227)+COUNTIFS($A$6:$A$1005,$N1227,$B$6:$B$1005,"&lt;"&amp;$P1227)+1)</f>
        <v/>
      </c>
      <c r="S1227">
        <f>IF($N1227="","",$N1227&amp;"|"&amp;RIGHT("000000"&amp;$R1227,6))</f>
        <v/>
      </c>
      <c r="T1227">
        <f>IF($N1227="","",IF(Sync!$N1227="",0,Sync!$N1227))</f>
        <v/>
      </c>
      <c r="U1227">
        <f>IF($N1227="","",IF(Sync!$O1227="",0,Sync!$O1227))</f>
        <v/>
      </c>
      <c r="V1227">
        <f>IF($N1227="","",Sync!$L1227)</f>
        <v/>
      </c>
      <c r="W1227">
        <f>IF($N1227="","",Sync!$P1227)</f>
        <v/>
      </c>
    </row>
    <row r="1228">
      <c r="N1228">
        <f>IF(OR(Sync!$M1228="",$Q1228="",$Q1228="نامعتبر"),"",Sync!$M1228)</f>
        <v/>
      </c>
      <c r="O1228">
        <f>IF($N1228="","",$Q1228)</f>
        <v/>
      </c>
      <c r="P1228">
        <f>IF($N1228="","",LEFT($Q1228,4)&amp;MID($Q1228,6,2)&amp;RIGHT($Q1228,2)&amp;IF(Sync!$K1228="","0000",IF(AND(ISNUMBER(Sync!$K1228),Sync!$K1228&gt;=0,Sync!$K1228&lt;1),RIGHT("00"&amp;HOUR(Sync!$K1228),2)&amp;RIGHT("00"&amp;MINUTE(Sync!$K1228),2),IFERROR(RIGHT("00"&amp;VALUE(LEFT(Sync!$K1228,FIND(":",Sync!$K1228)-1)),2)&amp;RIGHT("00"&amp;VALUE(MID(Sync!$K1228,FIND(":",Sync!$K1228)+1,2)),2),"0000")))&amp;"|"&amp;"2"&amp;RIGHT("00000"&amp;1223,5))</f>
        <v/>
      </c>
      <c r="Q1228">
        <f>IF(Sync!$J1228="","",IF(ISNUMBER(Sync!$J1228),IF(AND(Sync!$J1228&gt;=10000101,Sync!$J1228&lt;=99991231),INT(Sync!$J1228/10000)&amp;"/"&amp;RIGHT("00"&amp;INT(MOD(Sync!$J1228,10000)/100),2)&amp;"/"&amp;RIGHT("00"&amp;MOD(Sync!$J1228,100),2),"نامعتبر"),IF(LEN(Sync!$J1228)=10,Sync!$J1228,"نامعتبر")))</f>
        <v/>
      </c>
      <c r="R1228">
        <f>IF($P1228="","",COUNTIFS($N$6:$N$2005,$N1228,$P$6:$P$2005,"&lt;"&amp;$P1228)+COUNTIFS($A$6:$A$1005,$N1228,$B$6:$B$1005,"&lt;"&amp;$P1228)+1)</f>
        <v/>
      </c>
      <c r="S1228">
        <f>IF($N1228="","",$N1228&amp;"|"&amp;RIGHT("000000"&amp;$R1228,6))</f>
        <v/>
      </c>
      <c r="T1228">
        <f>IF($N1228="","",IF(Sync!$N1228="",0,Sync!$N1228))</f>
        <v/>
      </c>
      <c r="U1228">
        <f>IF($N1228="","",IF(Sync!$O1228="",0,Sync!$O1228))</f>
        <v/>
      </c>
      <c r="V1228">
        <f>IF($N1228="","",Sync!$L1228)</f>
        <v/>
      </c>
      <c r="W1228">
        <f>IF($N1228="","",Sync!$P1228)</f>
        <v/>
      </c>
    </row>
    <row r="1229">
      <c r="N1229">
        <f>IF(OR(Sync!$M1229="",$Q1229="",$Q1229="نامعتبر"),"",Sync!$M1229)</f>
        <v/>
      </c>
      <c r="O1229">
        <f>IF($N1229="","",$Q1229)</f>
        <v/>
      </c>
      <c r="P1229">
        <f>IF($N1229="","",LEFT($Q1229,4)&amp;MID($Q1229,6,2)&amp;RIGHT($Q1229,2)&amp;IF(Sync!$K1229="","0000",IF(AND(ISNUMBER(Sync!$K1229),Sync!$K1229&gt;=0,Sync!$K1229&lt;1),RIGHT("00"&amp;HOUR(Sync!$K1229),2)&amp;RIGHT("00"&amp;MINUTE(Sync!$K1229),2),IFERROR(RIGHT("00"&amp;VALUE(LEFT(Sync!$K1229,FIND(":",Sync!$K1229)-1)),2)&amp;RIGHT("00"&amp;VALUE(MID(Sync!$K1229,FIND(":",Sync!$K1229)+1,2)),2),"0000")))&amp;"|"&amp;"2"&amp;RIGHT("00000"&amp;1224,5))</f>
        <v/>
      </c>
      <c r="Q1229">
        <f>IF(Sync!$J1229="","",IF(ISNUMBER(Sync!$J1229),IF(AND(Sync!$J1229&gt;=10000101,Sync!$J1229&lt;=99991231),INT(Sync!$J1229/10000)&amp;"/"&amp;RIGHT("00"&amp;INT(MOD(Sync!$J1229,10000)/100),2)&amp;"/"&amp;RIGHT("00"&amp;MOD(Sync!$J1229,100),2),"نامعتبر"),IF(LEN(Sync!$J1229)=10,Sync!$J1229,"نامعتبر")))</f>
        <v/>
      </c>
      <c r="R1229">
        <f>IF($P1229="","",COUNTIFS($N$6:$N$2005,$N1229,$P$6:$P$2005,"&lt;"&amp;$P1229)+COUNTIFS($A$6:$A$1005,$N1229,$B$6:$B$1005,"&lt;"&amp;$P1229)+1)</f>
        <v/>
      </c>
      <c r="S1229">
        <f>IF($N1229="","",$N1229&amp;"|"&amp;RIGHT("000000"&amp;$R1229,6))</f>
        <v/>
      </c>
      <c r="T1229">
        <f>IF($N1229="","",IF(Sync!$N1229="",0,Sync!$N1229))</f>
        <v/>
      </c>
      <c r="U1229">
        <f>IF($N1229="","",IF(Sync!$O1229="",0,Sync!$O1229))</f>
        <v/>
      </c>
      <c r="V1229">
        <f>IF($N1229="","",Sync!$L1229)</f>
        <v/>
      </c>
      <c r="W1229">
        <f>IF($N1229="","",Sync!$P1229)</f>
        <v/>
      </c>
    </row>
    <row r="1230">
      <c r="N1230">
        <f>IF(OR(Sync!$M1230="",$Q1230="",$Q1230="نامعتبر"),"",Sync!$M1230)</f>
        <v/>
      </c>
      <c r="O1230">
        <f>IF($N1230="","",$Q1230)</f>
        <v/>
      </c>
      <c r="P1230">
        <f>IF($N1230="","",LEFT($Q1230,4)&amp;MID($Q1230,6,2)&amp;RIGHT($Q1230,2)&amp;IF(Sync!$K1230="","0000",IF(AND(ISNUMBER(Sync!$K1230),Sync!$K1230&gt;=0,Sync!$K1230&lt;1),RIGHT("00"&amp;HOUR(Sync!$K1230),2)&amp;RIGHT("00"&amp;MINUTE(Sync!$K1230),2),IFERROR(RIGHT("00"&amp;VALUE(LEFT(Sync!$K1230,FIND(":",Sync!$K1230)-1)),2)&amp;RIGHT("00"&amp;VALUE(MID(Sync!$K1230,FIND(":",Sync!$K1230)+1,2)),2),"0000")))&amp;"|"&amp;"2"&amp;RIGHT("00000"&amp;1225,5))</f>
        <v/>
      </c>
      <c r="Q1230">
        <f>IF(Sync!$J1230="","",IF(ISNUMBER(Sync!$J1230),IF(AND(Sync!$J1230&gt;=10000101,Sync!$J1230&lt;=99991231),INT(Sync!$J1230/10000)&amp;"/"&amp;RIGHT("00"&amp;INT(MOD(Sync!$J1230,10000)/100),2)&amp;"/"&amp;RIGHT("00"&amp;MOD(Sync!$J1230,100),2),"نامعتبر"),IF(LEN(Sync!$J1230)=10,Sync!$J1230,"نامعتبر")))</f>
        <v/>
      </c>
      <c r="R1230">
        <f>IF($P1230="","",COUNTIFS($N$6:$N$2005,$N1230,$P$6:$P$2005,"&lt;"&amp;$P1230)+COUNTIFS($A$6:$A$1005,$N1230,$B$6:$B$1005,"&lt;"&amp;$P1230)+1)</f>
        <v/>
      </c>
      <c r="S1230">
        <f>IF($N1230="","",$N1230&amp;"|"&amp;RIGHT("000000"&amp;$R1230,6))</f>
        <v/>
      </c>
      <c r="T1230">
        <f>IF($N1230="","",IF(Sync!$N1230="",0,Sync!$N1230))</f>
        <v/>
      </c>
      <c r="U1230">
        <f>IF($N1230="","",IF(Sync!$O1230="",0,Sync!$O1230))</f>
        <v/>
      </c>
      <c r="V1230">
        <f>IF($N1230="","",Sync!$L1230)</f>
        <v/>
      </c>
      <c r="W1230">
        <f>IF($N1230="","",Sync!$P1230)</f>
        <v/>
      </c>
    </row>
    <row r="1231">
      <c r="N1231">
        <f>IF(OR(Sync!$M1231="",$Q1231="",$Q1231="نامعتبر"),"",Sync!$M1231)</f>
        <v/>
      </c>
      <c r="O1231">
        <f>IF($N1231="","",$Q1231)</f>
        <v/>
      </c>
      <c r="P1231">
        <f>IF($N1231="","",LEFT($Q1231,4)&amp;MID($Q1231,6,2)&amp;RIGHT($Q1231,2)&amp;IF(Sync!$K1231="","0000",IF(AND(ISNUMBER(Sync!$K1231),Sync!$K1231&gt;=0,Sync!$K1231&lt;1),RIGHT("00"&amp;HOUR(Sync!$K1231),2)&amp;RIGHT("00"&amp;MINUTE(Sync!$K1231),2),IFERROR(RIGHT("00"&amp;VALUE(LEFT(Sync!$K1231,FIND(":",Sync!$K1231)-1)),2)&amp;RIGHT("00"&amp;VALUE(MID(Sync!$K1231,FIND(":",Sync!$K1231)+1,2)),2),"0000")))&amp;"|"&amp;"2"&amp;RIGHT("00000"&amp;1226,5))</f>
        <v/>
      </c>
      <c r="Q1231">
        <f>IF(Sync!$J1231="","",IF(ISNUMBER(Sync!$J1231),IF(AND(Sync!$J1231&gt;=10000101,Sync!$J1231&lt;=99991231),INT(Sync!$J1231/10000)&amp;"/"&amp;RIGHT("00"&amp;INT(MOD(Sync!$J1231,10000)/100),2)&amp;"/"&amp;RIGHT("00"&amp;MOD(Sync!$J1231,100),2),"نامعتبر"),IF(LEN(Sync!$J1231)=10,Sync!$J1231,"نامعتبر")))</f>
        <v/>
      </c>
      <c r="R1231">
        <f>IF($P1231="","",COUNTIFS($N$6:$N$2005,$N1231,$P$6:$P$2005,"&lt;"&amp;$P1231)+COUNTIFS($A$6:$A$1005,$N1231,$B$6:$B$1005,"&lt;"&amp;$P1231)+1)</f>
        <v/>
      </c>
      <c r="S1231">
        <f>IF($N1231="","",$N1231&amp;"|"&amp;RIGHT("000000"&amp;$R1231,6))</f>
        <v/>
      </c>
      <c r="T1231">
        <f>IF($N1231="","",IF(Sync!$N1231="",0,Sync!$N1231))</f>
        <v/>
      </c>
      <c r="U1231">
        <f>IF($N1231="","",IF(Sync!$O1231="",0,Sync!$O1231))</f>
        <v/>
      </c>
      <c r="V1231">
        <f>IF($N1231="","",Sync!$L1231)</f>
        <v/>
      </c>
      <c r="W1231">
        <f>IF($N1231="","",Sync!$P1231)</f>
        <v/>
      </c>
    </row>
    <row r="1232">
      <c r="N1232">
        <f>IF(OR(Sync!$M1232="",$Q1232="",$Q1232="نامعتبر"),"",Sync!$M1232)</f>
        <v/>
      </c>
      <c r="O1232">
        <f>IF($N1232="","",$Q1232)</f>
        <v/>
      </c>
      <c r="P1232">
        <f>IF($N1232="","",LEFT($Q1232,4)&amp;MID($Q1232,6,2)&amp;RIGHT($Q1232,2)&amp;IF(Sync!$K1232="","0000",IF(AND(ISNUMBER(Sync!$K1232),Sync!$K1232&gt;=0,Sync!$K1232&lt;1),RIGHT("00"&amp;HOUR(Sync!$K1232),2)&amp;RIGHT("00"&amp;MINUTE(Sync!$K1232),2),IFERROR(RIGHT("00"&amp;VALUE(LEFT(Sync!$K1232,FIND(":",Sync!$K1232)-1)),2)&amp;RIGHT("00"&amp;VALUE(MID(Sync!$K1232,FIND(":",Sync!$K1232)+1,2)),2),"0000")))&amp;"|"&amp;"2"&amp;RIGHT("00000"&amp;1227,5))</f>
        <v/>
      </c>
      <c r="Q1232">
        <f>IF(Sync!$J1232="","",IF(ISNUMBER(Sync!$J1232),IF(AND(Sync!$J1232&gt;=10000101,Sync!$J1232&lt;=99991231),INT(Sync!$J1232/10000)&amp;"/"&amp;RIGHT("00"&amp;INT(MOD(Sync!$J1232,10000)/100),2)&amp;"/"&amp;RIGHT("00"&amp;MOD(Sync!$J1232,100),2),"نامعتبر"),IF(LEN(Sync!$J1232)=10,Sync!$J1232,"نامعتبر")))</f>
        <v/>
      </c>
      <c r="R1232">
        <f>IF($P1232="","",COUNTIFS($N$6:$N$2005,$N1232,$P$6:$P$2005,"&lt;"&amp;$P1232)+COUNTIFS($A$6:$A$1005,$N1232,$B$6:$B$1005,"&lt;"&amp;$P1232)+1)</f>
        <v/>
      </c>
      <c r="S1232">
        <f>IF($N1232="","",$N1232&amp;"|"&amp;RIGHT("000000"&amp;$R1232,6))</f>
        <v/>
      </c>
      <c r="T1232">
        <f>IF($N1232="","",IF(Sync!$N1232="",0,Sync!$N1232))</f>
        <v/>
      </c>
      <c r="U1232">
        <f>IF($N1232="","",IF(Sync!$O1232="",0,Sync!$O1232))</f>
        <v/>
      </c>
      <c r="V1232">
        <f>IF($N1232="","",Sync!$L1232)</f>
        <v/>
      </c>
      <c r="W1232">
        <f>IF($N1232="","",Sync!$P1232)</f>
        <v/>
      </c>
    </row>
    <row r="1233">
      <c r="N1233">
        <f>IF(OR(Sync!$M1233="",$Q1233="",$Q1233="نامعتبر"),"",Sync!$M1233)</f>
        <v/>
      </c>
      <c r="O1233">
        <f>IF($N1233="","",$Q1233)</f>
        <v/>
      </c>
      <c r="P1233">
        <f>IF($N1233="","",LEFT($Q1233,4)&amp;MID($Q1233,6,2)&amp;RIGHT($Q1233,2)&amp;IF(Sync!$K1233="","0000",IF(AND(ISNUMBER(Sync!$K1233),Sync!$K1233&gt;=0,Sync!$K1233&lt;1),RIGHT("00"&amp;HOUR(Sync!$K1233),2)&amp;RIGHT("00"&amp;MINUTE(Sync!$K1233),2),IFERROR(RIGHT("00"&amp;VALUE(LEFT(Sync!$K1233,FIND(":",Sync!$K1233)-1)),2)&amp;RIGHT("00"&amp;VALUE(MID(Sync!$K1233,FIND(":",Sync!$K1233)+1,2)),2),"0000")))&amp;"|"&amp;"2"&amp;RIGHT("00000"&amp;1228,5))</f>
        <v/>
      </c>
      <c r="Q1233">
        <f>IF(Sync!$J1233="","",IF(ISNUMBER(Sync!$J1233),IF(AND(Sync!$J1233&gt;=10000101,Sync!$J1233&lt;=99991231),INT(Sync!$J1233/10000)&amp;"/"&amp;RIGHT("00"&amp;INT(MOD(Sync!$J1233,10000)/100),2)&amp;"/"&amp;RIGHT("00"&amp;MOD(Sync!$J1233,100),2),"نامعتبر"),IF(LEN(Sync!$J1233)=10,Sync!$J1233,"نامعتبر")))</f>
        <v/>
      </c>
      <c r="R1233">
        <f>IF($P1233="","",COUNTIFS($N$6:$N$2005,$N1233,$P$6:$P$2005,"&lt;"&amp;$P1233)+COUNTIFS($A$6:$A$1005,$N1233,$B$6:$B$1005,"&lt;"&amp;$P1233)+1)</f>
        <v/>
      </c>
      <c r="S1233">
        <f>IF($N1233="","",$N1233&amp;"|"&amp;RIGHT("000000"&amp;$R1233,6))</f>
        <v/>
      </c>
      <c r="T1233">
        <f>IF($N1233="","",IF(Sync!$N1233="",0,Sync!$N1233))</f>
        <v/>
      </c>
      <c r="U1233">
        <f>IF($N1233="","",IF(Sync!$O1233="",0,Sync!$O1233))</f>
        <v/>
      </c>
      <c r="V1233">
        <f>IF($N1233="","",Sync!$L1233)</f>
        <v/>
      </c>
      <c r="W1233">
        <f>IF($N1233="","",Sync!$P1233)</f>
        <v/>
      </c>
    </row>
    <row r="1234">
      <c r="N1234">
        <f>IF(OR(Sync!$M1234="",$Q1234="",$Q1234="نامعتبر"),"",Sync!$M1234)</f>
        <v/>
      </c>
      <c r="O1234">
        <f>IF($N1234="","",$Q1234)</f>
        <v/>
      </c>
      <c r="P1234">
        <f>IF($N1234="","",LEFT($Q1234,4)&amp;MID($Q1234,6,2)&amp;RIGHT($Q1234,2)&amp;IF(Sync!$K1234="","0000",IF(AND(ISNUMBER(Sync!$K1234),Sync!$K1234&gt;=0,Sync!$K1234&lt;1),RIGHT("00"&amp;HOUR(Sync!$K1234),2)&amp;RIGHT("00"&amp;MINUTE(Sync!$K1234),2),IFERROR(RIGHT("00"&amp;VALUE(LEFT(Sync!$K1234,FIND(":",Sync!$K1234)-1)),2)&amp;RIGHT("00"&amp;VALUE(MID(Sync!$K1234,FIND(":",Sync!$K1234)+1,2)),2),"0000")))&amp;"|"&amp;"2"&amp;RIGHT("00000"&amp;1229,5))</f>
        <v/>
      </c>
      <c r="Q1234">
        <f>IF(Sync!$J1234="","",IF(ISNUMBER(Sync!$J1234),IF(AND(Sync!$J1234&gt;=10000101,Sync!$J1234&lt;=99991231),INT(Sync!$J1234/10000)&amp;"/"&amp;RIGHT("00"&amp;INT(MOD(Sync!$J1234,10000)/100),2)&amp;"/"&amp;RIGHT("00"&amp;MOD(Sync!$J1234,100),2),"نامعتبر"),IF(LEN(Sync!$J1234)=10,Sync!$J1234,"نامعتبر")))</f>
        <v/>
      </c>
      <c r="R1234">
        <f>IF($P1234="","",COUNTIFS($N$6:$N$2005,$N1234,$P$6:$P$2005,"&lt;"&amp;$P1234)+COUNTIFS($A$6:$A$1005,$N1234,$B$6:$B$1005,"&lt;"&amp;$P1234)+1)</f>
        <v/>
      </c>
      <c r="S1234">
        <f>IF($N1234="","",$N1234&amp;"|"&amp;RIGHT("000000"&amp;$R1234,6))</f>
        <v/>
      </c>
      <c r="T1234">
        <f>IF($N1234="","",IF(Sync!$N1234="",0,Sync!$N1234))</f>
        <v/>
      </c>
      <c r="U1234">
        <f>IF($N1234="","",IF(Sync!$O1234="",0,Sync!$O1234))</f>
        <v/>
      </c>
      <c r="V1234">
        <f>IF($N1234="","",Sync!$L1234)</f>
        <v/>
      </c>
      <c r="W1234">
        <f>IF($N1234="","",Sync!$P1234)</f>
        <v/>
      </c>
    </row>
    <row r="1235">
      <c r="N1235">
        <f>IF(OR(Sync!$M1235="",$Q1235="",$Q1235="نامعتبر"),"",Sync!$M1235)</f>
        <v/>
      </c>
      <c r="O1235">
        <f>IF($N1235="","",$Q1235)</f>
        <v/>
      </c>
      <c r="P1235">
        <f>IF($N1235="","",LEFT($Q1235,4)&amp;MID($Q1235,6,2)&amp;RIGHT($Q1235,2)&amp;IF(Sync!$K1235="","0000",IF(AND(ISNUMBER(Sync!$K1235),Sync!$K1235&gt;=0,Sync!$K1235&lt;1),RIGHT("00"&amp;HOUR(Sync!$K1235),2)&amp;RIGHT("00"&amp;MINUTE(Sync!$K1235),2),IFERROR(RIGHT("00"&amp;VALUE(LEFT(Sync!$K1235,FIND(":",Sync!$K1235)-1)),2)&amp;RIGHT("00"&amp;VALUE(MID(Sync!$K1235,FIND(":",Sync!$K1235)+1,2)),2),"0000")))&amp;"|"&amp;"2"&amp;RIGHT("00000"&amp;1230,5))</f>
        <v/>
      </c>
      <c r="Q1235">
        <f>IF(Sync!$J1235="","",IF(ISNUMBER(Sync!$J1235),IF(AND(Sync!$J1235&gt;=10000101,Sync!$J1235&lt;=99991231),INT(Sync!$J1235/10000)&amp;"/"&amp;RIGHT("00"&amp;INT(MOD(Sync!$J1235,10000)/100),2)&amp;"/"&amp;RIGHT("00"&amp;MOD(Sync!$J1235,100),2),"نامعتبر"),IF(LEN(Sync!$J1235)=10,Sync!$J1235,"نامعتبر")))</f>
        <v/>
      </c>
      <c r="R1235">
        <f>IF($P1235="","",COUNTIFS($N$6:$N$2005,$N1235,$P$6:$P$2005,"&lt;"&amp;$P1235)+COUNTIFS($A$6:$A$1005,$N1235,$B$6:$B$1005,"&lt;"&amp;$P1235)+1)</f>
        <v/>
      </c>
      <c r="S1235">
        <f>IF($N1235="","",$N1235&amp;"|"&amp;RIGHT("000000"&amp;$R1235,6))</f>
        <v/>
      </c>
      <c r="T1235">
        <f>IF($N1235="","",IF(Sync!$N1235="",0,Sync!$N1235))</f>
        <v/>
      </c>
      <c r="U1235">
        <f>IF($N1235="","",IF(Sync!$O1235="",0,Sync!$O1235))</f>
        <v/>
      </c>
      <c r="V1235">
        <f>IF($N1235="","",Sync!$L1235)</f>
        <v/>
      </c>
      <c r="W1235">
        <f>IF($N1235="","",Sync!$P1235)</f>
        <v/>
      </c>
    </row>
    <row r="1236">
      <c r="N1236">
        <f>IF(OR(Sync!$M1236="",$Q1236="",$Q1236="نامعتبر"),"",Sync!$M1236)</f>
        <v/>
      </c>
      <c r="O1236">
        <f>IF($N1236="","",$Q1236)</f>
        <v/>
      </c>
      <c r="P1236">
        <f>IF($N1236="","",LEFT($Q1236,4)&amp;MID($Q1236,6,2)&amp;RIGHT($Q1236,2)&amp;IF(Sync!$K1236="","0000",IF(AND(ISNUMBER(Sync!$K1236),Sync!$K1236&gt;=0,Sync!$K1236&lt;1),RIGHT("00"&amp;HOUR(Sync!$K1236),2)&amp;RIGHT("00"&amp;MINUTE(Sync!$K1236),2),IFERROR(RIGHT("00"&amp;VALUE(LEFT(Sync!$K1236,FIND(":",Sync!$K1236)-1)),2)&amp;RIGHT("00"&amp;VALUE(MID(Sync!$K1236,FIND(":",Sync!$K1236)+1,2)),2),"0000")))&amp;"|"&amp;"2"&amp;RIGHT("00000"&amp;1231,5))</f>
        <v/>
      </c>
      <c r="Q1236">
        <f>IF(Sync!$J1236="","",IF(ISNUMBER(Sync!$J1236),IF(AND(Sync!$J1236&gt;=10000101,Sync!$J1236&lt;=99991231),INT(Sync!$J1236/10000)&amp;"/"&amp;RIGHT("00"&amp;INT(MOD(Sync!$J1236,10000)/100),2)&amp;"/"&amp;RIGHT("00"&amp;MOD(Sync!$J1236,100),2),"نامعتبر"),IF(LEN(Sync!$J1236)=10,Sync!$J1236,"نامعتبر")))</f>
        <v/>
      </c>
      <c r="R1236">
        <f>IF($P1236="","",COUNTIFS($N$6:$N$2005,$N1236,$P$6:$P$2005,"&lt;"&amp;$P1236)+COUNTIFS($A$6:$A$1005,$N1236,$B$6:$B$1005,"&lt;"&amp;$P1236)+1)</f>
        <v/>
      </c>
      <c r="S1236">
        <f>IF($N1236="","",$N1236&amp;"|"&amp;RIGHT("000000"&amp;$R1236,6))</f>
        <v/>
      </c>
      <c r="T1236">
        <f>IF($N1236="","",IF(Sync!$N1236="",0,Sync!$N1236))</f>
        <v/>
      </c>
      <c r="U1236">
        <f>IF($N1236="","",IF(Sync!$O1236="",0,Sync!$O1236))</f>
        <v/>
      </c>
      <c r="V1236">
        <f>IF($N1236="","",Sync!$L1236)</f>
        <v/>
      </c>
      <c r="W1236">
        <f>IF($N1236="","",Sync!$P1236)</f>
        <v/>
      </c>
    </row>
    <row r="1237">
      <c r="N1237">
        <f>IF(OR(Sync!$M1237="",$Q1237="",$Q1237="نامعتبر"),"",Sync!$M1237)</f>
        <v/>
      </c>
      <c r="O1237">
        <f>IF($N1237="","",$Q1237)</f>
        <v/>
      </c>
      <c r="P1237">
        <f>IF($N1237="","",LEFT($Q1237,4)&amp;MID($Q1237,6,2)&amp;RIGHT($Q1237,2)&amp;IF(Sync!$K1237="","0000",IF(AND(ISNUMBER(Sync!$K1237),Sync!$K1237&gt;=0,Sync!$K1237&lt;1),RIGHT("00"&amp;HOUR(Sync!$K1237),2)&amp;RIGHT("00"&amp;MINUTE(Sync!$K1237),2),IFERROR(RIGHT("00"&amp;VALUE(LEFT(Sync!$K1237,FIND(":",Sync!$K1237)-1)),2)&amp;RIGHT("00"&amp;VALUE(MID(Sync!$K1237,FIND(":",Sync!$K1237)+1,2)),2),"0000")))&amp;"|"&amp;"2"&amp;RIGHT("00000"&amp;1232,5))</f>
        <v/>
      </c>
      <c r="Q1237">
        <f>IF(Sync!$J1237="","",IF(ISNUMBER(Sync!$J1237),IF(AND(Sync!$J1237&gt;=10000101,Sync!$J1237&lt;=99991231),INT(Sync!$J1237/10000)&amp;"/"&amp;RIGHT("00"&amp;INT(MOD(Sync!$J1237,10000)/100),2)&amp;"/"&amp;RIGHT("00"&amp;MOD(Sync!$J1237,100),2),"نامعتبر"),IF(LEN(Sync!$J1237)=10,Sync!$J1237,"نامعتبر")))</f>
        <v/>
      </c>
      <c r="R1237">
        <f>IF($P1237="","",COUNTIFS($N$6:$N$2005,$N1237,$P$6:$P$2005,"&lt;"&amp;$P1237)+COUNTIFS($A$6:$A$1005,$N1237,$B$6:$B$1005,"&lt;"&amp;$P1237)+1)</f>
        <v/>
      </c>
      <c r="S1237">
        <f>IF($N1237="","",$N1237&amp;"|"&amp;RIGHT("000000"&amp;$R1237,6))</f>
        <v/>
      </c>
      <c r="T1237">
        <f>IF($N1237="","",IF(Sync!$N1237="",0,Sync!$N1237))</f>
        <v/>
      </c>
      <c r="U1237">
        <f>IF($N1237="","",IF(Sync!$O1237="",0,Sync!$O1237))</f>
        <v/>
      </c>
      <c r="V1237">
        <f>IF($N1237="","",Sync!$L1237)</f>
        <v/>
      </c>
      <c r="W1237">
        <f>IF($N1237="","",Sync!$P1237)</f>
        <v/>
      </c>
    </row>
    <row r="1238">
      <c r="N1238">
        <f>IF(OR(Sync!$M1238="",$Q1238="",$Q1238="نامعتبر"),"",Sync!$M1238)</f>
        <v/>
      </c>
      <c r="O1238">
        <f>IF($N1238="","",$Q1238)</f>
        <v/>
      </c>
      <c r="P1238">
        <f>IF($N1238="","",LEFT($Q1238,4)&amp;MID($Q1238,6,2)&amp;RIGHT($Q1238,2)&amp;IF(Sync!$K1238="","0000",IF(AND(ISNUMBER(Sync!$K1238),Sync!$K1238&gt;=0,Sync!$K1238&lt;1),RIGHT("00"&amp;HOUR(Sync!$K1238),2)&amp;RIGHT("00"&amp;MINUTE(Sync!$K1238),2),IFERROR(RIGHT("00"&amp;VALUE(LEFT(Sync!$K1238,FIND(":",Sync!$K1238)-1)),2)&amp;RIGHT("00"&amp;VALUE(MID(Sync!$K1238,FIND(":",Sync!$K1238)+1,2)),2),"0000")))&amp;"|"&amp;"2"&amp;RIGHT("00000"&amp;1233,5))</f>
        <v/>
      </c>
      <c r="Q1238">
        <f>IF(Sync!$J1238="","",IF(ISNUMBER(Sync!$J1238),IF(AND(Sync!$J1238&gt;=10000101,Sync!$J1238&lt;=99991231),INT(Sync!$J1238/10000)&amp;"/"&amp;RIGHT("00"&amp;INT(MOD(Sync!$J1238,10000)/100),2)&amp;"/"&amp;RIGHT("00"&amp;MOD(Sync!$J1238,100),2),"نامعتبر"),IF(LEN(Sync!$J1238)=10,Sync!$J1238,"نامعتبر")))</f>
        <v/>
      </c>
      <c r="R1238">
        <f>IF($P1238="","",COUNTIFS($N$6:$N$2005,$N1238,$P$6:$P$2005,"&lt;"&amp;$P1238)+COUNTIFS($A$6:$A$1005,$N1238,$B$6:$B$1005,"&lt;"&amp;$P1238)+1)</f>
        <v/>
      </c>
      <c r="S1238">
        <f>IF($N1238="","",$N1238&amp;"|"&amp;RIGHT("000000"&amp;$R1238,6))</f>
        <v/>
      </c>
      <c r="T1238">
        <f>IF($N1238="","",IF(Sync!$N1238="",0,Sync!$N1238))</f>
        <v/>
      </c>
      <c r="U1238">
        <f>IF($N1238="","",IF(Sync!$O1238="",0,Sync!$O1238))</f>
        <v/>
      </c>
      <c r="V1238">
        <f>IF($N1238="","",Sync!$L1238)</f>
        <v/>
      </c>
      <c r="W1238">
        <f>IF($N1238="","",Sync!$P1238)</f>
        <v/>
      </c>
    </row>
    <row r="1239">
      <c r="N1239">
        <f>IF(OR(Sync!$M1239="",$Q1239="",$Q1239="نامعتبر"),"",Sync!$M1239)</f>
        <v/>
      </c>
      <c r="O1239">
        <f>IF($N1239="","",$Q1239)</f>
        <v/>
      </c>
      <c r="P1239">
        <f>IF($N1239="","",LEFT($Q1239,4)&amp;MID($Q1239,6,2)&amp;RIGHT($Q1239,2)&amp;IF(Sync!$K1239="","0000",IF(AND(ISNUMBER(Sync!$K1239),Sync!$K1239&gt;=0,Sync!$K1239&lt;1),RIGHT("00"&amp;HOUR(Sync!$K1239),2)&amp;RIGHT("00"&amp;MINUTE(Sync!$K1239),2),IFERROR(RIGHT("00"&amp;VALUE(LEFT(Sync!$K1239,FIND(":",Sync!$K1239)-1)),2)&amp;RIGHT("00"&amp;VALUE(MID(Sync!$K1239,FIND(":",Sync!$K1239)+1,2)),2),"0000")))&amp;"|"&amp;"2"&amp;RIGHT("00000"&amp;1234,5))</f>
        <v/>
      </c>
      <c r="Q1239">
        <f>IF(Sync!$J1239="","",IF(ISNUMBER(Sync!$J1239),IF(AND(Sync!$J1239&gt;=10000101,Sync!$J1239&lt;=99991231),INT(Sync!$J1239/10000)&amp;"/"&amp;RIGHT("00"&amp;INT(MOD(Sync!$J1239,10000)/100),2)&amp;"/"&amp;RIGHT("00"&amp;MOD(Sync!$J1239,100),2),"نامعتبر"),IF(LEN(Sync!$J1239)=10,Sync!$J1239,"نامعتبر")))</f>
        <v/>
      </c>
      <c r="R1239">
        <f>IF($P1239="","",COUNTIFS($N$6:$N$2005,$N1239,$P$6:$P$2005,"&lt;"&amp;$P1239)+COUNTIFS($A$6:$A$1005,$N1239,$B$6:$B$1005,"&lt;"&amp;$P1239)+1)</f>
        <v/>
      </c>
      <c r="S1239">
        <f>IF($N1239="","",$N1239&amp;"|"&amp;RIGHT("000000"&amp;$R1239,6))</f>
        <v/>
      </c>
      <c r="T1239">
        <f>IF($N1239="","",IF(Sync!$N1239="",0,Sync!$N1239))</f>
        <v/>
      </c>
      <c r="U1239">
        <f>IF($N1239="","",IF(Sync!$O1239="",0,Sync!$O1239))</f>
        <v/>
      </c>
      <c r="V1239">
        <f>IF($N1239="","",Sync!$L1239)</f>
        <v/>
      </c>
      <c r="W1239">
        <f>IF($N1239="","",Sync!$P1239)</f>
        <v/>
      </c>
    </row>
    <row r="1240">
      <c r="N1240">
        <f>IF(OR(Sync!$M1240="",$Q1240="",$Q1240="نامعتبر"),"",Sync!$M1240)</f>
        <v/>
      </c>
      <c r="O1240">
        <f>IF($N1240="","",$Q1240)</f>
        <v/>
      </c>
      <c r="P1240">
        <f>IF($N1240="","",LEFT($Q1240,4)&amp;MID($Q1240,6,2)&amp;RIGHT($Q1240,2)&amp;IF(Sync!$K1240="","0000",IF(AND(ISNUMBER(Sync!$K1240),Sync!$K1240&gt;=0,Sync!$K1240&lt;1),RIGHT("00"&amp;HOUR(Sync!$K1240),2)&amp;RIGHT("00"&amp;MINUTE(Sync!$K1240),2),IFERROR(RIGHT("00"&amp;VALUE(LEFT(Sync!$K1240,FIND(":",Sync!$K1240)-1)),2)&amp;RIGHT("00"&amp;VALUE(MID(Sync!$K1240,FIND(":",Sync!$K1240)+1,2)),2),"0000")))&amp;"|"&amp;"2"&amp;RIGHT("00000"&amp;1235,5))</f>
        <v/>
      </c>
      <c r="Q1240">
        <f>IF(Sync!$J1240="","",IF(ISNUMBER(Sync!$J1240),IF(AND(Sync!$J1240&gt;=10000101,Sync!$J1240&lt;=99991231),INT(Sync!$J1240/10000)&amp;"/"&amp;RIGHT("00"&amp;INT(MOD(Sync!$J1240,10000)/100),2)&amp;"/"&amp;RIGHT("00"&amp;MOD(Sync!$J1240,100),2),"نامعتبر"),IF(LEN(Sync!$J1240)=10,Sync!$J1240,"نامعتبر")))</f>
        <v/>
      </c>
      <c r="R1240">
        <f>IF($P1240="","",COUNTIFS($N$6:$N$2005,$N1240,$P$6:$P$2005,"&lt;"&amp;$P1240)+COUNTIFS($A$6:$A$1005,$N1240,$B$6:$B$1005,"&lt;"&amp;$P1240)+1)</f>
        <v/>
      </c>
      <c r="S1240">
        <f>IF($N1240="","",$N1240&amp;"|"&amp;RIGHT("000000"&amp;$R1240,6))</f>
        <v/>
      </c>
      <c r="T1240">
        <f>IF($N1240="","",IF(Sync!$N1240="",0,Sync!$N1240))</f>
        <v/>
      </c>
      <c r="U1240">
        <f>IF($N1240="","",IF(Sync!$O1240="",0,Sync!$O1240))</f>
        <v/>
      </c>
      <c r="V1240">
        <f>IF($N1240="","",Sync!$L1240)</f>
        <v/>
      </c>
      <c r="W1240">
        <f>IF($N1240="","",Sync!$P1240)</f>
        <v/>
      </c>
    </row>
    <row r="1241">
      <c r="N1241">
        <f>IF(OR(Sync!$M1241="",$Q1241="",$Q1241="نامعتبر"),"",Sync!$M1241)</f>
        <v/>
      </c>
      <c r="O1241">
        <f>IF($N1241="","",$Q1241)</f>
        <v/>
      </c>
      <c r="P1241">
        <f>IF($N1241="","",LEFT($Q1241,4)&amp;MID($Q1241,6,2)&amp;RIGHT($Q1241,2)&amp;IF(Sync!$K1241="","0000",IF(AND(ISNUMBER(Sync!$K1241),Sync!$K1241&gt;=0,Sync!$K1241&lt;1),RIGHT("00"&amp;HOUR(Sync!$K1241),2)&amp;RIGHT("00"&amp;MINUTE(Sync!$K1241),2),IFERROR(RIGHT("00"&amp;VALUE(LEFT(Sync!$K1241,FIND(":",Sync!$K1241)-1)),2)&amp;RIGHT("00"&amp;VALUE(MID(Sync!$K1241,FIND(":",Sync!$K1241)+1,2)),2),"0000")))&amp;"|"&amp;"2"&amp;RIGHT("00000"&amp;1236,5))</f>
        <v/>
      </c>
      <c r="Q1241">
        <f>IF(Sync!$J1241="","",IF(ISNUMBER(Sync!$J1241),IF(AND(Sync!$J1241&gt;=10000101,Sync!$J1241&lt;=99991231),INT(Sync!$J1241/10000)&amp;"/"&amp;RIGHT("00"&amp;INT(MOD(Sync!$J1241,10000)/100),2)&amp;"/"&amp;RIGHT("00"&amp;MOD(Sync!$J1241,100),2),"نامعتبر"),IF(LEN(Sync!$J1241)=10,Sync!$J1241,"نامعتبر")))</f>
        <v/>
      </c>
      <c r="R1241">
        <f>IF($P1241="","",COUNTIFS($N$6:$N$2005,$N1241,$P$6:$P$2005,"&lt;"&amp;$P1241)+COUNTIFS($A$6:$A$1005,$N1241,$B$6:$B$1005,"&lt;"&amp;$P1241)+1)</f>
        <v/>
      </c>
      <c r="S1241">
        <f>IF($N1241="","",$N1241&amp;"|"&amp;RIGHT("000000"&amp;$R1241,6))</f>
        <v/>
      </c>
      <c r="T1241">
        <f>IF($N1241="","",IF(Sync!$N1241="",0,Sync!$N1241))</f>
        <v/>
      </c>
      <c r="U1241">
        <f>IF($N1241="","",IF(Sync!$O1241="",0,Sync!$O1241))</f>
        <v/>
      </c>
      <c r="V1241">
        <f>IF($N1241="","",Sync!$L1241)</f>
        <v/>
      </c>
      <c r="W1241">
        <f>IF($N1241="","",Sync!$P1241)</f>
        <v/>
      </c>
    </row>
    <row r="1242">
      <c r="N1242">
        <f>IF(OR(Sync!$M1242="",$Q1242="",$Q1242="نامعتبر"),"",Sync!$M1242)</f>
        <v/>
      </c>
      <c r="O1242">
        <f>IF($N1242="","",$Q1242)</f>
        <v/>
      </c>
      <c r="P1242">
        <f>IF($N1242="","",LEFT($Q1242,4)&amp;MID($Q1242,6,2)&amp;RIGHT($Q1242,2)&amp;IF(Sync!$K1242="","0000",IF(AND(ISNUMBER(Sync!$K1242),Sync!$K1242&gt;=0,Sync!$K1242&lt;1),RIGHT("00"&amp;HOUR(Sync!$K1242),2)&amp;RIGHT("00"&amp;MINUTE(Sync!$K1242),2),IFERROR(RIGHT("00"&amp;VALUE(LEFT(Sync!$K1242,FIND(":",Sync!$K1242)-1)),2)&amp;RIGHT("00"&amp;VALUE(MID(Sync!$K1242,FIND(":",Sync!$K1242)+1,2)),2),"0000")))&amp;"|"&amp;"2"&amp;RIGHT("00000"&amp;1237,5))</f>
        <v/>
      </c>
      <c r="Q1242">
        <f>IF(Sync!$J1242="","",IF(ISNUMBER(Sync!$J1242),IF(AND(Sync!$J1242&gt;=10000101,Sync!$J1242&lt;=99991231),INT(Sync!$J1242/10000)&amp;"/"&amp;RIGHT("00"&amp;INT(MOD(Sync!$J1242,10000)/100),2)&amp;"/"&amp;RIGHT("00"&amp;MOD(Sync!$J1242,100),2),"نامعتبر"),IF(LEN(Sync!$J1242)=10,Sync!$J1242,"نامعتبر")))</f>
        <v/>
      </c>
      <c r="R1242">
        <f>IF($P1242="","",COUNTIFS($N$6:$N$2005,$N1242,$P$6:$P$2005,"&lt;"&amp;$P1242)+COUNTIFS($A$6:$A$1005,$N1242,$B$6:$B$1005,"&lt;"&amp;$P1242)+1)</f>
        <v/>
      </c>
      <c r="S1242">
        <f>IF($N1242="","",$N1242&amp;"|"&amp;RIGHT("000000"&amp;$R1242,6))</f>
        <v/>
      </c>
      <c r="T1242">
        <f>IF($N1242="","",IF(Sync!$N1242="",0,Sync!$N1242))</f>
        <v/>
      </c>
      <c r="U1242">
        <f>IF($N1242="","",IF(Sync!$O1242="",0,Sync!$O1242))</f>
        <v/>
      </c>
      <c r="V1242">
        <f>IF($N1242="","",Sync!$L1242)</f>
        <v/>
      </c>
      <c r="W1242">
        <f>IF($N1242="","",Sync!$P1242)</f>
        <v/>
      </c>
    </row>
    <row r="1243">
      <c r="N1243">
        <f>IF(OR(Sync!$M1243="",$Q1243="",$Q1243="نامعتبر"),"",Sync!$M1243)</f>
        <v/>
      </c>
      <c r="O1243">
        <f>IF($N1243="","",$Q1243)</f>
        <v/>
      </c>
      <c r="P1243">
        <f>IF($N1243="","",LEFT($Q1243,4)&amp;MID($Q1243,6,2)&amp;RIGHT($Q1243,2)&amp;IF(Sync!$K1243="","0000",IF(AND(ISNUMBER(Sync!$K1243),Sync!$K1243&gt;=0,Sync!$K1243&lt;1),RIGHT("00"&amp;HOUR(Sync!$K1243),2)&amp;RIGHT("00"&amp;MINUTE(Sync!$K1243),2),IFERROR(RIGHT("00"&amp;VALUE(LEFT(Sync!$K1243,FIND(":",Sync!$K1243)-1)),2)&amp;RIGHT("00"&amp;VALUE(MID(Sync!$K1243,FIND(":",Sync!$K1243)+1,2)),2),"0000")))&amp;"|"&amp;"2"&amp;RIGHT("00000"&amp;1238,5))</f>
        <v/>
      </c>
      <c r="Q1243">
        <f>IF(Sync!$J1243="","",IF(ISNUMBER(Sync!$J1243),IF(AND(Sync!$J1243&gt;=10000101,Sync!$J1243&lt;=99991231),INT(Sync!$J1243/10000)&amp;"/"&amp;RIGHT("00"&amp;INT(MOD(Sync!$J1243,10000)/100),2)&amp;"/"&amp;RIGHT("00"&amp;MOD(Sync!$J1243,100),2),"نامعتبر"),IF(LEN(Sync!$J1243)=10,Sync!$J1243,"نامعتبر")))</f>
        <v/>
      </c>
      <c r="R1243">
        <f>IF($P1243="","",COUNTIFS($N$6:$N$2005,$N1243,$P$6:$P$2005,"&lt;"&amp;$P1243)+COUNTIFS($A$6:$A$1005,$N1243,$B$6:$B$1005,"&lt;"&amp;$P1243)+1)</f>
        <v/>
      </c>
      <c r="S1243">
        <f>IF($N1243="","",$N1243&amp;"|"&amp;RIGHT("000000"&amp;$R1243,6))</f>
        <v/>
      </c>
      <c r="T1243">
        <f>IF($N1243="","",IF(Sync!$N1243="",0,Sync!$N1243))</f>
        <v/>
      </c>
      <c r="U1243">
        <f>IF($N1243="","",IF(Sync!$O1243="",0,Sync!$O1243))</f>
        <v/>
      </c>
      <c r="V1243">
        <f>IF($N1243="","",Sync!$L1243)</f>
        <v/>
      </c>
      <c r="W1243">
        <f>IF($N1243="","",Sync!$P1243)</f>
        <v/>
      </c>
    </row>
    <row r="1244">
      <c r="N1244">
        <f>IF(OR(Sync!$M1244="",$Q1244="",$Q1244="نامعتبر"),"",Sync!$M1244)</f>
        <v/>
      </c>
      <c r="O1244">
        <f>IF($N1244="","",$Q1244)</f>
        <v/>
      </c>
      <c r="P1244">
        <f>IF($N1244="","",LEFT($Q1244,4)&amp;MID($Q1244,6,2)&amp;RIGHT($Q1244,2)&amp;IF(Sync!$K1244="","0000",IF(AND(ISNUMBER(Sync!$K1244),Sync!$K1244&gt;=0,Sync!$K1244&lt;1),RIGHT("00"&amp;HOUR(Sync!$K1244),2)&amp;RIGHT("00"&amp;MINUTE(Sync!$K1244),2),IFERROR(RIGHT("00"&amp;VALUE(LEFT(Sync!$K1244,FIND(":",Sync!$K1244)-1)),2)&amp;RIGHT("00"&amp;VALUE(MID(Sync!$K1244,FIND(":",Sync!$K1244)+1,2)),2),"0000")))&amp;"|"&amp;"2"&amp;RIGHT("00000"&amp;1239,5))</f>
        <v/>
      </c>
      <c r="Q1244">
        <f>IF(Sync!$J1244="","",IF(ISNUMBER(Sync!$J1244),IF(AND(Sync!$J1244&gt;=10000101,Sync!$J1244&lt;=99991231),INT(Sync!$J1244/10000)&amp;"/"&amp;RIGHT("00"&amp;INT(MOD(Sync!$J1244,10000)/100),2)&amp;"/"&amp;RIGHT("00"&amp;MOD(Sync!$J1244,100),2),"نامعتبر"),IF(LEN(Sync!$J1244)=10,Sync!$J1244,"نامعتبر")))</f>
        <v/>
      </c>
      <c r="R1244">
        <f>IF($P1244="","",COUNTIFS($N$6:$N$2005,$N1244,$P$6:$P$2005,"&lt;"&amp;$P1244)+COUNTIFS($A$6:$A$1005,$N1244,$B$6:$B$1005,"&lt;"&amp;$P1244)+1)</f>
        <v/>
      </c>
      <c r="S1244">
        <f>IF($N1244="","",$N1244&amp;"|"&amp;RIGHT("000000"&amp;$R1244,6))</f>
        <v/>
      </c>
      <c r="T1244">
        <f>IF($N1244="","",IF(Sync!$N1244="",0,Sync!$N1244))</f>
        <v/>
      </c>
      <c r="U1244">
        <f>IF($N1244="","",IF(Sync!$O1244="",0,Sync!$O1244))</f>
        <v/>
      </c>
      <c r="V1244">
        <f>IF($N1244="","",Sync!$L1244)</f>
        <v/>
      </c>
      <c r="W1244">
        <f>IF($N1244="","",Sync!$P1244)</f>
        <v/>
      </c>
    </row>
    <row r="1245">
      <c r="N1245">
        <f>IF(OR(Sync!$M1245="",$Q1245="",$Q1245="نامعتبر"),"",Sync!$M1245)</f>
        <v/>
      </c>
      <c r="O1245">
        <f>IF($N1245="","",$Q1245)</f>
        <v/>
      </c>
      <c r="P1245">
        <f>IF($N1245="","",LEFT($Q1245,4)&amp;MID($Q1245,6,2)&amp;RIGHT($Q1245,2)&amp;IF(Sync!$K1245="","0000",IF(AND(ISNUMBER(Sync!$K1245),Sync!$K1245&gt;=0,Sync!$K1245&lt;1),RIGHT("00"&amp;HOUR(Sync!$K1245),2)&amp;RIGHT("00"&amp;MINUTE(Sync!$K1245),2),IFERROR(RIGHT("00"&amp;VALUE(LEFT(Sync!$K1245,FIND(":",Sync!$K1245)-1)),2)&amp;RIGHT("00"&amp;VALUE(MID(Sync!$K1245,FIND(":",Sync!$K1245)+1,2)),2),"0000")))&amp;"|"&amp;"2"&amp;RIGHT("00000"&amp;1240,5))</f>
        <v/>
      </c>
      <c r="Q1245">
        <f>IF(Sync!$J1245="","",IF(ISNUMBER(Sync!$J1245),IF(AND(Sync!$J1245&gt;=10000101,Sync!$J1245&lt;=99991231),INT(Sync!$J1245/10000)&amp;"/"&amp;RIGHT("00"&amp;INT(MOD(Sync!$J1245,10000)/100),2)&amp;"/"&amp;RIGHT("00"&amp;MOD(Sync!$J1245,100),2),"نامعتبر"),IF(LEN(Sync!$J1245)=10,Sync!$J1245,"نامعتبر")))</f>
        <v/>
      </c>
      <c r="R1245">
        <f>IF($P1245="","",COUNTIFS($N$6:$N$2005,$N1245,$P$6:$P$2005,"&lt;"&amp;$P1245)+COUNTIFS($A$6:$A$1005,$N1245,$B$6:$B$1005,"&lt;"&amp;$P1245)+1)</f>
        <v/>
      </c>
      <c r="S1245">
        <f>IF($N1245="","",$N1245&amp;"|"&amp;RIGHT("000000"&amp;$R1245,6))</f>
        <v/>
      </c>
      <c r="T1245">
        <f>IF($N1245="","",IF(Sync!$N1245="",0,Sync!$N1245))</f>
        <v/>
      </c>
      <c r="U1245">
        <f>IF($N1245="","",IF(Sync!$O1245="",0,Sync!$O1245))</f>
        <v/>
      </c>
      <c r="V1245">
        <f>IF($N1245="","",Sync!$L1245)</f>
        <v/>
      </c>
      <c r="W1245">
        <f>IF($N1245="","",Sync!$P1245)</f>
        <v/>
      </c>
    </row>
    <row r="1246">
      <c r="N1246">
        <f>IF(OR(Sync!$M1246="",$Q1246="",$Q1246="نامعتبر"),"",Sync!$M1246)</f>
        <v/>
      </c>
      <c r="O1246">
        <f>IF($N1246="","",$Q1246)</f>
        <v/>
      </c>
      <c r="P1246">
        <f>IF($N1246="","",LEFT($Q1246,4)&amp;MID($Q1246,6,2)&amp;RIGHT($Q1246,2)&amp;IF(Sync!$K1246="","0000",IF(AND(ISNUMBER(Sync!$K1246),Sync!$K1246&gt;=0,Sync!$K1246&lt;1),RIGHT("00"&amp;HOUR(Sync!$K1246),2)&amp;RIGHT("00"&amp;MINUTE(Sync!$K1246),2),IFERROR(RIGHT("00"&amp;VALUE(LEFT(Sync!$K1246,FIND(":",Sync!$K1246)-1)),2)&amp;RIGHT("00"&amp;VALUE(MID(Sync!$K1246,FIND(":",Sync!$K1246)+1,2)),2),"0000")))&amp;"|"&amp;"2"&amp;RIGHT("00000"&amp;1241,5))</f>
        <v/>
      </c>
      <c r="Q1246">
        <f>IF(Sync!$J1246="","",IF(ISNUMBER(Sync!$J1246),IF(AND(Sync!$J1246&gt;=10000101,Sync!$J1246&lt;=99991231),INT(Sync!$J1246/10000)&amp;"/"&amp;RIGHT("00"&amp;INT(MOD(Sync!$J1246,10000)/100),2)&amp;"/"&amp;RIGHT("00"&amp;MOD(Sync!$J1246,100),2),"نامعتبر"),IF(LEN(Sync!$J1246)=10,Sync!$J1246,"نامعتبر")))</f>
        <v/>
      </c>
      <c r="R1246">
        <f>IF($P1246="","",COUNTIFS($N$6:$N$2005,$N1246,$P$6:$P$2005,"&lt;"&amp;$P1246)+COUNTIFS($A$6:$A$1005,$N1246,$B$6:$B$1005,"&lt;"&amp;$P1246)+1)</f>
        <v/>
      </c>
      <c r="S1246">
        <f>IF($N1246="","",$N1246&amp;"|"&amp;RIGHT("000000"&amp;$R1246,6))</f>
        <v/>
      </c>
      <c r="T1246">
        <f>IF($N1246="","",IF(Sync!$N1246="",0,Sync!$N1246))</f>
        <v/>
      </c>
      <c r="U1246">
        <f>IF($N1246="","",IF(Sync!$O1246="",0,Sync!$O1246))</f>
        <v/>
      </c>
      <c r="V1246">
        <f>IF($N1246="","",Sync!$L1246)</f>
        <v/>
      </c>
      <c r="W1246">
        <f>IF($N1246="","",Sync!$P1246)</f>
        <v/>
      </c>
    </row>
    <row r="1247">
      <c r="N1247">
        <f>IF(OR(Sync!$M1247="",$Q1247="",$Q1247="نامعتبر"),"",Sync!$M1247)</f>
        <v/>
      </c>
      <c r="O1247">
        <f>IF($N1247="","",$Q1247)</f>
        <v/>
      </c>
      <c r="P1247">
        <f>IF($N1247="","",LEFT($Q1247,4)&amp;MID($Q1247,6,2)&amp;RIGHT($Q1247,2)&amp;IF(Sync!$K1247="","0000",IF(AND(ISNUMBER(Sync!$K1247),Sync!$K1247&gt;=0,Sync!$K1247&lt;1),RIGHT("00"&amp;HOUR(Sync!$K1247),2)&amp;RIGHT("00"&amp;MINUTE(Sync!$K1247),2),IFERROR(RIGHT("00"&amp;VALUE(LEFT(Sync!$K1247,FIND(":",Sync!$K1247)-1)),2)&amp;RIGHT("00"&amp;VALUE(MID(Sync!$K1247,FIND(":",Sync!$K1247)+1,2)),2),"0000")))&amp;"|"&amp;"2"&amp;RIGHT("00000"&amp;1242,5))</f>
        <v/>
      </c>
      <c r="Q1247">
        <f>IF(Sync!$J1247="","",IF(ISNUMBER(Sync!$J1247),IF(AND(Sync!$J1247&gt;=10000101,Sync!$J1247&lt;=99991231),INT(Sync!$J1247/10000)&amp;"/"&amp;RIGHT("00"&amp;INT(MOD(Sync!$J1247,10000)/100),2)&amp;"/"&amp;RIGHT("00"&amp;MOD(Sync!$J1247,100),2),"نامعتبر"),IF(LEN(Sync!$J1247)=10,Sync!$J1247,"نامعتبر")))</f>
        <v/>
      </c>
      <c r="R1247">
        <f>IF($P1247="","",COUNTIFS($N$6:$N$2005,$N1247,$P$6:$P$2005,"&lt;"&amp;$P1247)+COUNTIFS($A$6:$A$1005,$N1247,$B$6:$B$1005,"&lt;"&amp;$P1247)+1)</f>
        <v/>
      </c>
      <c r="S1247">
        <f>IF($N1247="","",$N1247&amp;"|"&amp;RIGHT("000000"&amp;$R1247,6))</f>
        <v/>
      </c>
      <c r="T1247">
        <f>IF($N1247="","",IF(Sync!$N1247="",0,Sync!$N1247))</f>
        <v/>
      </c>
      <c r="U1247">
        <f>IF($N1247="","",IF(Sync!$O1247="",0,Sync!$O1247))</f>
        <v/>
      </c>
      <c r="V1247">
        <f>IF($N1247="","",Sync!$L1247)</f>
        <v/>
      </c>
      <c r="W1247">
        <f>IF($N1247="","",Sync!$P1247)</f>
        <v/>
      </c>
    </row>
    <row r="1248">
      <c r="N1248">
        <f>IF(OR(Sync!$M1248="",$Q1248="",$Q1248="نامعتبر"),"",Sync!$M1248)</f>
        <v/>
      </c>
      <c r="O1248">
        <f>IF($N1248="","",$Q1248)</f>
        <v/>
      </c>
      <c r="P1248">
        <f>IF($N1248="","",LEFT($Q1248,4)&amp;MID($Q1248,6,2)&amp;RIGHT($Q1248,2)&amp;IF(Sync!$K1248="","0000",IF(AND(ISNUMBER(Sync!$K1248),Sync!$K1248&gt;=0,Sync!$K1248&lt;1),RIGHT("00"&amp;HOUR(Sync!$K1248),2)&amp;RIGHT("00"&amp;MINUTE(Sync!$K1248),2),IFERROR(RIGHT("00"&amp;VALUE(LEFT(Sync!$K1248,FIND(":",Sync!$K1248)-1)),2)&amp;RIGHT("00"&amp;VALUE(MID(Sync!$K1248,FIND(":",Sync!$K1248)+1,2)),2),"0000")))&amp;"|"&amp;"2"&amp;RIGHT("00000"&amp;1243,5))</f>
        <v/>
      </c>
      <c r="Q1248">
        <f>IF(Sync!$J1248="","",IF(ISNUMBER(Sync!$J1248),IF(AND(Sync!$J1248&gt;=10000101,Sync!$J1248&lt;=99991231),INT(Sync!$J1248/10000)&amp;"/"&amp;RIGHT("00"&amp;INT(MOD(Sync!$J1248,10000)/100),2)&amp;"/"&amp;RIGHT("00"&amp;MOD(Sync!$J1248,100),2),"نامعتبر"),IF(LEN(Sync!$J1248)=10,Sync!$J1248,"نامعتبر")))</f>
        <v/>
      </c>
      <c r="R1248">
        <f>IF($P1248="","",COUNTIFS($N$6:$N$2005,$N1248,$P$6:$P$2005,"&lt;"&amp;$P1248)+COUNTIFS($A$6:$A$1005,$N1248,$B$6:$B$1005,"&lt;"&amp;$P1248)+1)</f>
        <v/>
      </c>
      <c r="S1248">
        <f>IF($N1248="","",$N1248&amp;"|"&amp;RIGHT("000000"&amp;$R1248,6))</f>
        <v/>
      </c>
      <c r="T1248">
        <f>IF($N1248="","",IF(Sync!$N1248="",0,Sync!$N1248))</f>
        <v/>
      </c>
      <c r="U1248">
        <f>IF($N1248="","",IF(Sync!$O1248="",0,Sync!$O1248))</f>
        <v/>
      </c>
      <c r="V1248">
        <f>IF($N1248="","",Sync!$L1248)</f>
        <v/>
      </c>
      <c r="W1248">
        <f>IF($N1248="","",Sync!$P1248)</f>
        <v/>
      </c>
    </row>
    <row r="1249">
      <c r="N1249">
        <f>IF(OR(Sync!$M1249="",$Q1249="",$Q1249="نامعتبر"),"",Sync!$M1249)</f>
        <v/>
      </c>
      <c r="O1249">
        <f>IF($N1249="","",$Q1249)</f>
        <v/>
      </c>
      <c r="P1249">
        <f>IF($N1249="","",LEFT($Q1249,4)&amp;MID($Q1249,6,2)&amp;RIGHT($Q1249,2)&amp;IF(Sync!$K1249="","0000",IF(AND(ISNUMBER(Sync!$K1249),Sync!$K1249&gt;=0,Sync!$K1249&lt;1),RIGHT("00"&amp;HOUR(Sync!$K1249),2)&amp;RIGHT("00"&amp;MINUTE(Sync!$K1249),2),IFERROR(RIGHT("00"&amp;VALUE(LEFT(Sync!$K1249,FIND(":",Sync!$K1249)-1)),2)&amp;RIGHT("00"&amp;VALUE(MID(Sync!$K1249,FIND(":",Sync!$K1249)+1,2)),2),"0000")))&amp;"|"&amp;"2"&amp;RIGHT("00000"&amp;1244,5))</f>
        <v/>
      </c>
      <c r="Q1249">
        <f>IF(Sync!$J1249="","",IF(ISNUMBER(Sync!$J1249),IF(AND(Sync!$J1249&gt;=10000101,Sync!$J1249&lt;=99991231),INT(Sync!$J1249/10000)&amp;"/"&amp;RIGHT("00"&amp;INT(MOD(Sync!$J1249,10000)/100),2)&amp;"/"&amp;RIGHT("00"&amp;MOD(Sync!$J1249,100),2),"نامعتبر"),IF(LEN(Sync!$J1249)=10,Sync!$J1249,"نامعتبر")))</f>
        <v/>
      </c>
      <c r="R1249">
        <f>IF($P1249="","",COUNTIFS($N$6:$N$2005,$N1249,$P$6:$P$2005,"&lt;"&amp;$P1249)+COUNTIFS($A$6:$A$1005,$N1249,$B$6:$B$1005,"&lt;"&amp;$P1249)+1)</f>
        <v/>
      </c>
      <c r="S1249">
        <f>IF($N1249="","",$N1249&amp;"|"&amp;RIGHT("000000"&amp;$R1249,6))</f>
        <v/>
      </c>
      <c r="T1249">
        <f>IF($N1249="","",IF(Sync!$N1249="",0,Sync!$N1249))</f>
        <v/>
      </c>
      <c r="U1249">
        <f>IF($N1249="","",IF(Sync!$O1249="",0,Sync!$O1249))</f>
        <v/>
      </c>
      <c r="V1249">
        <f>IF($N1249="","",Sync!$L1249)</f>
        <v/>
      </c>
      <c r="W1249">
        <f>IF($N1249="","",Sync!$P1249)</f>
        <v/>
      </c>
    </row>
    <row r="1250">
      <c r="N1250">
        <f>IF(OR(Sync!$M1250="",$Q1250="",$Q1250="نامعتبر"),"",Sync!$M1250)</f>
        <v/>
      </c>
      <c r="O1250">
        <f>IF($N1250="","",$Q1250)</f>
        <v/>
      </c>
      <c r="P1250">
        <f>IF($N1250="","",LEFT($Q1250,4)&amp;MID($Q1250,6,2)&amp;RIGHT($Q1250,2)&amp;IF(Sync!$K1250="","0000",IF(AND(ISNUMBER(Sync!$K1250),Sync!$K1250&gt;=0,Sync!$K1250&lt;1),RIGHT("00"&amp;HOUR(Sync!$K1250),2)&amp;RIGHT("00"&amp;MINUTE(Sync!$K1250),2),IFERROR(RIGHT("00"&amp;VALUE(LEFT(Sync!$K1250,FIND(":",Sync!$K1250)-1)),2)&amp;RIGHT("00"&amp;VALUE(MID(Sync!$K1250,FIND(":",Sync!$K1250)+1,2)),2),"0000")))&amp;"|"&amp;"2"&amp;RIGHT("00000"&amp;1245,5))</f>
        <v/>
      </c>
      <c r="Q1250">
        <f>IF(Sync!$J1250="","",IF(ISNUMBER(Sync!$J1250),IF(AND(Sync!$J1250&gt;=10000101,Sync!$J1250&lt;=99991231),INT(Sync!$J1250/10000)&amp;"/"&amp;RIGHT("00"&amp;INT(MOD(Sync!$J1250,10000)/100),2)&amp;"/"&amp;RIGHT("00"&amp;MOD(Sync!$J1250,100),2),"نامعتبر"),IF(LEN(Sync!$J1250)=10,Sync!$J1250,"نامعتبر")))</f>
        <v/>
      </c>
      <c r="R1250">
        <f>IF($P1250="","",COUNTIFS($N$6:$N$2005,$N1250,$P$6:$P$2005,"&lt;"&amp;$P1250)+COUNTIFS($A$6:$A$1005,$N1250,$B$6:$B$1005,"&lt;"&amp;$P1250)+1)</f>
        <v/>
      </c>
      <c r="S1250">
        <f>IF($N1250="","",$N1250&amp;"|"&amp;RIGHT("000000"&amp;$R1250,6))</f>
        <v/>
      </c>
      <c r="T1250">
        <f>IF($N1250="","",IF(Sync!$N1250="",0,Sync!$N1250))</f>
        <v/>
      </c>
      <c r="U1250">
        <f>IF($N1250="","",IF(Sync!$O1250="",0,Sync!$O1250))</f>
        <v/>
      </c>
      <c r="V1250">
        <f>IF($N1250="","",Sync!$L1250)</f>
        <v/>
      </c>
      <c r="W1250">
        <f>IF($N1250="","",Sync!$P1250)</f>
        <v/>
      </c>
    </row>
    <row r="1251">
      <c r="N1251">
        <f>IF(OR(Sync!$M1251="",$Q1251="",$Q1251="نامعتبر"),"",Sync!$M1251)</f>
        <v/>
      </c>
      <c r="O1251">
        <f>IF($N1251="","",$Q1251)</f>
        <v/>
      </c>
      <c r="P1251">
        <f>IF($N1251="","",LEFT($Q1251,4)&amp;MID($Q1251,6,2)&amp;RIGHT($Q1251,2)&amp;IF(Sync!$K1251="","0000",IF(AND(ISNUMBER(Sync!$K1251),Sync!$K1251&gt;=0,Sync!$K1251&lt;1),RIGHT("00"&amp;HOUR(Sync!$K1251),2)&amp;RIGHT("00"&amp;MINUTE(Sync!$K1251),2),IFERROR(RIGHT("00"&amp;VALUE(LEFT(Sync!$K1251,FIND(":",Sync!$K1251)-1)),2)&amp;RIGHT("00"&amp;VALUE(MID(Sync!$K1251,FIND(":",Sync!$K1251)+1,2)),2),"0000")))&amp;"|"&amp;"2"&amp;RIGHT("00000"&amp;1246,5))</f>
        <v/>
      </c>
      <c r="Q1251">
        <f>IF(Sync!$J1251="","",IF(ISNUMBER(Sync!$J1251),IF(AND(Sync!$J1251&gt;=10000101,Sync!$J1251&lt;=99991231),INT(Sync!$J1251/10000)&amp;"/"&amp;RIGHT("00"&amp;INT(MOD(Sync!$J1251,10000)/100),2)&amp;"/"&amp;RIGHT("00"&amp;MOD(Sync!$J1251,100),2),"نامعتبر"),IF(LEN(Sync!$J1251)=10,Sync!$J1251,"نامعتبر")))</f>
        <v/>
      </c>
      <c r="R1251">
        <f>IF($P1251="","",COUNTIFS($N$6:$N$2005,$N1251,$P$6:$P$2005,"&lt;"&amp;$P1251)+COUNTIFS($A$6:$A$1005,$N1251,$B$6:$B$1005,"&lt;"&amp;$P1251)+1)</f>
        <v/>
      </c>
      <c r="S1251">
        <f>IF($N1251="","",$N1251&amp;"|"&amp;RIGHT("000000"&amp;$R1251,6))</f>
        <v/>
      </c>
      <c r="T1251">
        <f>IF($N1251="","",IF(Sync!$N1251="",0,Sync!$N1251))</f>
        <v/>
      </c>
      <c r="U1251">
        <f>IF($N1251="","",IF(Sync!$O1251="",0,Sync!$O1251))</f>
        <v/>
      </c>
      <c r="V1251">
        <f>IF($N1251="","",Sync!$L1251)</f>
        <v/>
      </c>
      <c r="W1251">
        <f>IF($N1251="","",Sync!$P1251)</f>
        <v/>
      </c>
    </row>
    <row r="1252">
      <c r="N1252">
        <f>IF(OR(Sync!$M1252="",$Q1252="",$Q1252="نامعتبر"),"",Sync!$M1252)</f>
        <v/>
      </c>
      <c r="O1252">
        <f>IF($N1252="","",$Q1252)</f>
        <v/>
      </c>
      <c r="P1252">
        <f>IF($N1252="","",LEFT($Q1252,4)&amp;MID($Q1252,6,2)&amp;RIGHT($Q1252,2)&amp;IF(Sync!$K1252="","0000",IF(AND(ISNUMBER(Sync!$K1252),Sync!$K1252&gt;=0,Sync!$K1252&lt;1),RIGHT("00"&amp;HOUR(Sync!$K1252),2)&amp;RIGHT("00"&amp;MINUTE(Sync!$K1252),2),IFERROR(RIGHT("00"&amp;VALUE(LEFT(Sync!$K1252,FIND(":",Sync!$K1252)-1)),2)&amp;RIGHT("00"&amp;VALUE(MID(Sync!$K1252,FIND(":",Sync!$K1252)+1,2)),2),"0000")))&amp;"|"&amp;"2"&amp;RIGHT("00000"&amp;1247,5))</f>
        <v/>
      </c>
      <c r="Q1252">
        <f>IF(Sync!$J1252="","",IF(ISNUMBER(Sync!$J1252),IF(AND(Sync!$J1252&gt;=10000101,Sync!$J1252&lt;=99991231),INT(Sync!$J1252/10000)&amp;"/"&amp;RIGHT("00"&amp;INT(MOD(Sync!$J1252,10000)/100),2)&amp;"/"&amp;RIGHT("00"&amp;MOD(Sync!$J1252,100),2),"نامعتبر"),IF(LEN(Sync!$J1252)=10,Sync!$J1252,"نامعتبر")))</f>
        <v/>
      </c>
      <c r="R1252">
        <f>IF($P1252="","",COUNTIFS($N$6:$N$2005,$N1252,$P$6:$P$2005,"&lt;"&amp;$P1252)+COUNTIFS($A$6:$A$1005,$N1252,$B$6:$B$1005,"&lt;"&amp;$P1252)+1)</f>
        <v/>
      </c>
      <c r="S1252">
        <f>IF($N1252="","",$N1252&amp;"|"&amp;RIGHT("000000"&amp;$R1252,6))</f>
        <v/>
      </c>
      <c r="T1252">
        <f>IF($N1252="","",IF(Sync!$N1252="",0,Sync!$N1252))</f>
        <v/>
      </c>
      <c r="U1252">
        <f>IF($N1252="","",IF(Sync!$O1252="",0,Sync!$O1252))</f>
        <v/>
      </c>
      <c r="V1252">
        <f>IF($N1252="","",Sync!$L1252)</f>
        <v/>
      </c>
      <c r="W1252">
        <f>IF($N1252="","",Sync!$P1252)</f>
        <v/>
      </c>
    </row>
    <row r="1253">
      <c r="N1253">
        <f>IF(OR(Sync!$M1253="",$Q1253="",$Q1253="نامعتبر"),"",Sync!$M1253)</f>
        <v/>
      </c>
      <c r="O1253">
        <f>IF($N1253="","",$Q1253)</f>
        <v/>
      </c>
      <c r="P1253">
        <f>IF($N1253="","",LEFT($Q1253,4)&amp;MID($Q1253,6,2)&amp;RIGHT($Q1253,2)&amp;IF(Sync!$K1253="","0000",IF(AND(ISNUMBER(Sync!$K1253),Sync!$K1253&gt;=0,Sync!$K1253&lt;1),RIGHT("00"&amp;HOUR(Sync!$K1253),2)&amp;RIGHT("00"&amp;MINUTE(Sync!$K1253),2),IFERROR(RIGHT("00"&amp;VALUE(LEFT(Sync!$K1253,FIND(":",Sync!$K1253)-1)),2)&amp;RIGHT("00"&amp;VALUE(MID(Sync!$K1253,FIND(":",Sync!$K1253)+1,2)),2),"0000")))&amp;"|"&amp;"2"&amp;RIGHT("00000"&amp;1248,5))</f>
        <v/>
      </c>
      <c r="Q1253">
        <f>IF(Sync!$J1253="","",IF(ISNUMBER(Sync!$J1253),IF(AND(Sync!$J1253&gt;=10000101,Sync!$J1253&lt;=99991231),INT(Sync!$J1253/10000)&amp;"/"&amp;RIGHT("00"&amp;INT(MOD(Sync!$J1253,10000)/100),2)&amp;"/"&amp;RIGHT("00"&amp;MOD(Sync!$J1253,100),2),"نامعتبر"),IF(LEN(Sync!$J1253)=10,Sync!$J1253,"نامعتبر")))</f>
        <v/>
      </c>
      <c r="R1253">
        <f>IF($P1253="","",COUNTIFS($N$6:$N$2005,$N1253,$P$6:$P$2005,"&lt;"&amp;$P1253)+COUNTIFS($A$6:$A$1005,$N1253,$B$6:$B$1005,"&lt;"&amp;$P1253)+1)</f>
        <v/>
      </c>
      <c r="S1253">
        <f>IF($N1253="","",$N1253&amp;"|"&amp;RIGHT("000000"&amp;$R1253,6))</f>
        <v/>
      </c>
      <c r="T1253">
        <f>IF($N1253="","",IF(Sync!$N1253="",0,Sync!$N1253))</f>
        <v/>
      </c>
      <c r="U1253">
        <f>IF($N1253="","",IF(Sync!$O1253="",0,Sync!$O1253))</f>
        <v/>
      </c>
      <c r="V1253">
        <f>IF($N1253="","",Sync!$L1253)</f>
        <v/>
      </c>
      <c r="W1253">
        <f>IF($N1253="","",Sync!$P1253)</f>
        <v/>
      </c>
    </row>
    <row r="1254">
      <c r="N1254">
        <f>IF(OR(Sync!$M1254="",$Q1254="",$Q1254="نامعتبر"),"",Sync!$M1254)</f>
        <v/>
      </c>
      <c r="O1254">
        <f>IF($N1254="","",$Q1254)</f>
        <v/>
      </c>
      <c r="P1254">
        <f>IF($N1254="","",LEFT($Q1254,4)&amp;MID($Q1254,6,2)&amp;RIGHT($Q1254,2)&amp;IF(Sync!$K1254="","0000",IF(AND(ISNUMBER(Sync!$K1254),Sync!$K1254&gt;=0,Sync!$K1254&lt;1),RIGHT("00"&amp;HOUR(Sync!$K1254),2)&amp;RIGHT("00"&amp;MINUTE(Sync!$K1254),2),IFERROR(RIGHT("00"&amp;VALUE(LEFT(Sync!$K1254,FIND(":",Sync!$K1254)-1)),2)&amp;RIGHT("00"&amp;VALUE(MID(Sync!$K1254,FIND(":",Sync!$K1254)+1,2)),2),"0000")))&amp;"|"&amp;"2"&amp;RIGHT("00000"&amp;1249,5))</f>
        <v/>
      </c>
      <c r="Q1254">
        <f>IF(Sync!$J1254="","",IF(ISNUMBER(Sync!$J1254),IF(AND(Sync!$J1254&gt;=10000101,Sync!$J1254&lt;=99991231),INT(Sync!$J1254/10000)&amp;"/"&amp;RIGHT("00"&amp;INT(MOD(Sync!$J1254,10000)/100),2)&amp;"/"&amp;RIGHT("00"&amp;MOD(Sync!$J1254,100),2),"نامعتبر"),IF(LEN(Sync!$J1254)=10,Sync!$J1254,"نامعتبر")))</f>
        <v/>
      </c>
      <c r="R1254">
        <f>IF($P1254="","",COUNTIFS($N$6:$N$2005,$N1254,$P$6:$P$2005,"&lt;"&amp;$P1254)+COUNTIFS($A$6:$A$1005,$N1254,$B$6:$B$1005,"&lt;"&amp;$P1254)+1)</f>
        <v/>
      </c>
      <c r="S1254">
        <f>IF($N1254="","",$N1254&amp;"|"&amp;RIGHT("000000"&amp;$R1254,6))</f>
        <v/>
      </c>
      <c r="T1254">
        <f>IF($N1254="","",IF(Sync!$N1254="",0,Sync!$N1254))</f>
        <v/>
      </c>
      <c r="U1254">
        <f>IF($N1254="","",IF(Sync!$O1254="",0,Sync!$O1254))</f>
        <v/>
      </c>
      <c r="V1254">
        <f>IF($N1254="","",Sync!$L1254)</f>
        <v/>
      </c>
      <c r="W1254">
        <f>IF($N1254="","",Sync!$P1254)</f>
        <v/>
      </c>
    </row>
    <row r="1255">
      <c r="N1255">
        <f>IF(OR(Sync!$M1255="",$Q1255="",$Q1255="نامعتبر"),"",Sync!$M1255)</f>
        <v/>
      </c>
      <c r="O1255">
        <f>IF($N1255="","",$Q1255)</f>
        <v/>
      </c>
      <c r="P1255">
        <f>IF($N1255="","",LEFT($Q1255,4)&amp;MID($Q1255,6,2)&amp;RIGHT($Q1255,2)&amp;IF(Sync!$K1255="","0000",IF(AND(ISNUMBER(Sync!$K1255),Sync!$K1255&gt;=0,Sync!$K1255&lt;1),RIGHT("00"&amp;HOUR(Sync!$K1255),2)&amp;RIGHT("00"&amp;MINUTE(Sync!$K1255),2),IFERROR(RIGHT("00"&amp;VALUE(LEFT(Sync!$K1255,FIND(":",Sync!$K1255)-1)),2)&amp;RIGHT("00"&amp;VALUE(MID(Sync!$K1255,FIND(":",Sync!$K1255)+1,2)),2),"0000")))&amp;"|"&amp;"2"&amp;RIGHT("00000"&amp;1250,5))</f>
        <v/>
      </c>
      <c r="Q1255">
        <f>IF(Sync!$J1255="","",IF(ISNUMBER(Sync!$J1255),IF(AND(Sync!$J1255&gt;=10000101,Sync!$J1255&lt;=99991231),INT(Sync!$J1255/10000)&amp;"/"&amp;RIGHT("00"&amp;INT(MOD(Sync!$J1255,10000)/100),2)&amp;"/"&amp;RIGHT("00"&amp;MOD(Sync!$J1255,100),2),"نامعتبر"),IF(LEN(Sync!$J1255)=10,Sync!$J1255,"نامعتبر")))</f>
        <v/>
      </c>
      <c r="R1255">
        <f>IF($P1255="","",COUNTIFS($N$6:$N$2005,$N1255,$P$6:$P$2005,"&lt;"&amp;$P1255)+COUNTIFS($A$6:$A$1005,$N1255,$B$6:$B$1005,"&lt;"&amp;$P1255)+1)</f>
        <v/>
      </c>
      <c r="S1255">
        <f>IF($N1255="","",$N1255&amp;"|"&amp;RIGHT("000000"&amp;$R1255,6))</f>
        <v/>
      </c>
      <c r="T1255">
        <f>IF($N1255="","",IF(Sync!$N1255="",0,Sync!$N1255))</f>
        <v/>
      </c>
      <c r="U1255">
        <f>IF($N1255="","",IF(Sync!$O1255="",0,Sync!$O1255))</f>
        <v/>
      </c>
      <c r="V1255">
        <f>IF($N1255="","",Sync!$L1255)</f>
        <v/>
      </c>
      <c r="W1255">
        <f>IF($N1255="","",Sync!$P1255)</f>
        <v/>
      </c>
    </row>
    <row r="1256">
      <c r="N1256">
        <f>IF(OR(Sync!$M1256="",$Q1256="",$Q1256="نامعتبر"),"",Sync!$M1256)</f>
        <v/>
      </c>
      <c r="O1256">
        <f>IF($N1256="","",$Q1256)</f>
        <v/>
      </c>
      <c r="P1256">
        <f>IF($N1256="","",LEFT($Q1256,4)&amp;MID($Q1256,6,2)&amp;RIGHT($Q1256,2)&amp;IF(Sync!$K1256="","0000",IF(AND(ISNUMBER(Sync!$K1256),Sync!$K1256&gt;=0,Sync!$K1256&lt;1),RIGHT("00"&amp;HOUR(Sync!$K1256),2)&amp;RIGHT("00"&amp;MINUTE(Sync!$K1256),2),IFERROR(RIGHT("00"&amp;VALUE(LEFT(Sync!$K1256,FIND(":",Sync!$K1256)-1)),2)&amp;RIGHT("00"&amp;VALUE(MID(Sync!$K1256,FIND(":",Sync!$K1256)+1,2)),2),"0000")))&amp;"|"&amp;"2"&amp;RIGHT("00000"&amp;1251,5))</f>
        <v/>
      </c>
      <c r="Q1256">
        <f>IF(Sync!$J1256="","",IF(ISNUMBER(Sync!$J1256),IF(AND(Sync!$J1256&gt;=10000101,Sync!$J1256&lt;=99991231),INT(Sync!$J1256/10000)&amp;"/"&amp;RIGHT("00"&amp;INT(MOD(Sync!$J1256,10000)/100),2)&amp;"/"&amp;RIGHT("00"&amp;MOD(Sync!$J1256,100),2),"نامعتبر"),IF(LEN(Sync!$J1256)=10,Sync!$J1256,"نامعتبر")))</f>
        <v/>
      </c>
      <c r="R1256">
        <f>IF($P1256="","",COUNTIFS($N$6:$N$2005,$N1256,$P$6:$P$2005,"&lt;"&amp;$P1256)+COUNTIFS($A$6:$A$1005,$N1256,$B$6:$B$1005,"&lt;"&amp;$P1256)+1)</f>
        <v/>
      </c>
      <c r="S1256">
        <f>IF($N1256="","",$N1256&amp;"|"&amp;RIGHT("000000"&amp;$R1256,6))</f>
        <v/>
      </c>
      <c r="T1256">
        <f>IF($N1256="","",IF(Sync!$N1256="",0,Sync!$N1256))</f>
        <v/>
      </c>
      <c r="U1256">
        <f>IF($N1256="","",IF(Sync!$O1256="",0,Sync!$O1256))</f>
        <v/>
      </c>
      <c r="V1256">
        <f>IF($N1256="","",Sync!$L1256)</f>
        <v/>
      </c>
      <c r="W1256">
        <f>IF($N1256="","",Sync!$P1256)</f>
        <v/>
      </c>
    </row>
    <row r="1257">
      <c r="N1257">
        <f>IF(OR(Sync!$M1257="",$Q1257="",$Q1257="نامعتبر"),"",Sync!$M1257)</f>
        <v/>
      </c>
      <c r="O1257">
        <f>IF($N1257="","",$Q1257)</f>
        <v/>
      </c>
      <c r="P1257">
        <f>IF($N1257="","",LEFT($Q1257,4)&amp;MID($Q1257,6,2)&amp;RIGHT($Q1257,2)&amp;IF(Sync!$K1257="","0000",IF(AND(ISNUMBER(Sync!$K1257),Sync!$K1257&gt;=0,Sync!$K1257&lt;1),RIGHT("00"&amp;HOUR(Sync!$K1257),2)&amp;RIGHT("00"&amp;MINUTE(Sync!$K1257),2),IFERROR(RIGHT("00"&amp;VALUE(LEFT(Sync!$K1257,FIND(":",Sync!$K1257)-1)),2)&amp;RIGHT("00"&amp;VALUE(MID(Sync!$K1257,FIND(":",Sync!$K1257)+1,2)),2),"0000")))&amp;"|"&amp;"2"&amp;RIGHT("00000"&amp;1252,5))</f>
        <v/>
      </c>
      <c r="Q1257">
        <f>IF(Sync!$J1257="","",IF(ISNUMBER(Sync!$J1257),IF(AND(Sync!$J1257&gt;=10000101,Sync!$J1257&lt;=99991231),INT(Sync!$J1257/10000)&amp;"/"&amp;RIGHT("00"&amp;INT(MOD(Sync!$J1257,10000)/100),2)&amp;"/"&amp;RIGHT("00"&amp;MOD(Sync!$J1257,100),2),"نامعتبر"),IF(LEN(Sync!$J1257)=10,Sync!$J1257,"نامعتبر")))</f>
        <v/>
      </c>
      <c r="R1257">
        <f>IF($P1257="","",COUNTIFS($N$6:$N$2005,$N1257,$P$6:$P$2005,"&lt;"&amp;$P1257)+COUNTIFS($A$6:$A$1005,$N1257,$B$6:$B$1005,"&lt;"&amp;$P1257)+1)</f>
        <v/>
      </c>
      <c r="S1257">
        <f>IF($N1257="","",$N1257&amp;"|"&amp;RIGHT("000000"&amp;$R1257,6))</f>
        <v/>
      </c>
      <c r="T1257">
        <f>IF($N1257="","",IF(Sync!$N1257="",0,Sync!$N1257))</f>
        <v/>
      </c>
      <c r="U1257">
        <f>IF($N1257="","",IF(Sync!$O1257="",0,Sync!$O1257))</f>
        <v/>
      </c>
      <c r="V1257">
        <f>IF($N1257="","",Sync!$L1257)</f>
        <v/>
      </c>
      <c r="W1257">
        <f>IF($N1257="","",Sync!$P1257)</f>
        <v/>
      </c>
    </row>
    <row r="1258">
      <c r="N1258">
        <f>IF(OR(Sync!$M1258="",$Q1258="",$Q1258="نامعتبر"),"",Sync!$M1258)</f>
        <v/>
      </c>
      <c r="O1258">
        <f>IF($N1258="","",$Q1258)</f>
        <v/>
      </c>
      <c r="P1258">
        <f>IF($N1258="","",LEFT($Q1258,4)&amp;MID($Q1258,6,2)&amp;RIGHT($Q1258,2)&amp;IF(Sync!$K1258="","0000",IF(AND(ISNUMBER(Sync!$K1258),Sync!$K1258&gt;=0,Sync!$K1258&lt;1),RIGHT("00"&amp;HOUR(Sync!$K1258),2)&amp;RIGHT("00"&amp;MINUTE(Sync!$K1258),2),IFERROR(RIGHT("00"&amp;VALUE(LEFT(Sync!$K1258,FIND(":",Sync!$K1258)-1)),2)&amp;RIGHT("00"&amp;VALUE(MID(Sync!$K1258,FIND(":",Sync!$K1258)+1,2)),2),"0000")))&amp;"|"&amp;"2"&amp;RIGHT("00000"&amp;1253,5))</f>
        <v/>
      </c>
      <c r="Q1258">
        <f>IF(Sync!$J1258="","",IF(ISNUMBER(Sync!$J1258),IF(AND(Sync!$J1258&gt;=10000101,Sync!$J1258&lt;=99991231),INT(Sync!$J1258/10000)&amp;"/"&amp;RIGHT("00"&amp;INT(MOD(Sync!$J1258,10000)/100),2)&amp;"/"&amp;RIGHT("00"&amp;MOD(Sync!$J1258,100),2),"نامعتبر"),IF(LEN(Sync!$J1258)=10,Sync!$J1258,"نامعتبر")))</f>
        <v/>
      </c>
      <c r="R1258">
        <f>IF($P1258="","",COUNTIFS($N$6:$N$2005,$N1258,$P$6:$P$2005,"&lt;"&amp;$P1258)+COUNTIFS($A$6:$A$1005,$N1258,$B$6:$B$1005,"&lt;"&amp;$P1258)+1)</f>
        <v/>
      </c>
      <c r="S1258">
        <f>IF($N1258="","",$N1258&amp;"|"&amp;RIGHT("000000"&amp;$R1258,6))</f>
        <v/>
      </c>
      <c r="T1258">
        <f>IF($N1258="","",IF(Sync!$N1258="",0,Sync!$N1258))</f>
        <v/>
      </c>
      <c r="U1258">
        <f>IF($N1258="","",IF(Sync!$O1258="",0,Sync!$O1258))</f>
        <v/>
      </c>
      <c r="V1258">
        <f>IF($N1258="","",Sync!$L1258)</f>
        <v/>
      </c>
      <c r="W1258">
        <f>IF($N1258="","",Sync!$P1258)</f>
        <v/>
      </c>
    </row>
    <row r="1259">
      <c r="N1259">
        <f>IF(OR(Sync!$M1259="",$Q1259="",$Q1259="نامعتبر"),"",Sync!$M1259)</f>
        <v/>
      </c>
      <c r="O1259">
        <f>IF($N1259="","",$Q1259)</f>
        <v/>
      </c>
      <c r="P1259">
        <f>IF($N1259="","",LEFT($Q1259,4)&amp;MID($Q1259,6,2)&amp;RIGHT($Q1259,2)&amp;IF(Sync!$K1259="","0000",IF(AND(ISNUMBER(Sync!$K1259),Sync!$K1259&gt;=0,Sync!$K1259&lt;1),RIGHT("00"&amp;HOUR(Sync!$K1259),2)&amp;RIGHT("00"&amp;MINUTE(Sync!$K1259),2),IFERROR(RIGHT("00"&amp;VALUE(LEFT(Sync!$K1259,FIND(":",Sync!$K1259)-1)),2)&amp;RIGHT("00"&amp;VALUE(MID(Sync!$K1259,FIND(":",Sync!$K1259)+1,2)),2),"0000")))&amp;"|"&amp;"2"&amp;RIGHT("00000"&amp;1254,5))</f>
        <v/>
      </c>
      <c r="Q1259">
        <f>IF(Sync!$J1259="","",IF(ISNUMBER(Sync!$J1259),IF(AND(Sync!$J1259&gt;=10000101,Sync!$J1259&lt;=99991231),INT(Sync!$J1259/10000)&amp;"/"&amp;RIGHT("00"&amp;INT(MOD(Sync!$J1259,10000)/100),2)&amp;"/"&amp;RIGHT("00"&amp;MOD(Sync!$J1259,100),2),"نامعتبر"),IF(LEN(Sync!$J1259)=10,Sync!$J1259,"نامعتبر")))</f>
        <v/>
      </c>
      <c r="R1259">
        <f>IF($P1259="","",COUNTIFS($N$6:$N$2005,$N1259,$P$6:$P$2005,"&lt;"&amp;$P1259)+COUNTIFS($A$6:$A$1005,$N1259,$B$6:$B$1005,"&lt;"&amp;$P1259)+1)</f>
        <v/>
      </c>
      <c r="S1259">
        <f>IF($N1259="","",$N1259&amp;"|"&amp;RIGHT("000000"&amp;$R1259,6))</f>
        <v/>
      </c>
      <c r="T1259">
        <f>IF($N1259="","",IF(Sync!$N1259="",0,Sync!$N1259))</f>
        <v/>
      </c>
      <c r="U1259">
        <f>IF($N1259="","",IF(Sync!$O1259="",0,Sync!$O1259))</f>
        <v/>
      </c>
      <c r="V1259">
        <f>IF($N1259="","",Sync!$L1259)</f>
        <v/>
      </c>
      <c r="W1259">
        <f>IF($N1259="","",Sync!$P1259)</f>
        <v/>
      </c>
    </row>
    <row r="1260">
      <c r="N1260">
        <f>IF(OR(Sync!$M1260="",$Q1260="",$Q1260="نامعتبر"),"",Sync!$M1260)</f>
        <v/>
      </c>
      <c r="O1260">
        <f>IF($N1260="","",$Q1260)</f>
        <v/>
      </c>
      <c r="P1260">
        <f>IF($N1260="","",LEFT($Q1260,4)&amp;MID($Q1260,6,2)&amp;RIGHT($Q1260,2)&amp;IF(Sync!$K1260="","0000",IF(AND(ISNUMBER(Sync!$K1260),Sync!$K1260&gt;=0,Sync!$K1260&lt;1),RIGHT("00"&amp;HOUR(Sync!$K1260),2)&amp;RIGHT("00"&amp;MINUTE(Sync!$K1260),2),IFERROR(RIGHT("00"&amp;VALUE(LEFT(Sync!$K1260,FIND(":",Sync!$K1260)-1)),2)&amp;RIGHT("00"&amp;VALUE(MID(Sync!$K1260,FIND(":",Sync!$K1260)+1,2)),2),"0000")))&amp;"|"&amp;"2"&amp;RIGHT("00000"&amp;1255,5))</f>
        <v/>
      </c>
      <c r="Q1260">
        <f>IF(Sync!$J1260="","",IF(ISNUMBER(Sync!$J1260),IF(AND(Sync!$J1260&gt;=10000101,Sync!$J1260&lt;=99991231),INT(Sync!$J1260/10000)&amp;"/"&amp;RIGHT("00"&amp;INT(MOD(Sync!$J1260,10000)/100),2)&amp;"/"&amp;RIGHT("00"&amp;MOD(Sync!$J1260,100),2),"نامعتبر"),IF(LEN(Sync!$J1260)=10,Sync!$J1260,"نامعتبر")))</f>
        <v/>
      </c>
      <c r="R1260">
        <f>IF($P1260="","",COUNTIFS($N$6:$N$2005,$N1260,$P$6:$P$2005,"&lt;"&amp;$P1260)+COUNTIFS($A$6:$A$1005,$N1260,$B$6:$B$1005,"&lt;"&amp;$P1260)+1)</f>
        <v/>
      </c>
      <c r="S1260">
        <f>IF($N1260="","",$N1260&amp;"|"&amp;RIGHT("000000"&amp;$R1260,6))</f>
        <v/>
      </c>
      <c r="T1260">
        <f>IF($N1260="","",IF(Sync!$N1260="",0,Sync!$N1260))</f>
        <v/>
      </c>
      <c r="U1260">
        <f>IF($N1260="","",IF(Sync!$O1260="",0,Sync!$O1260))</f>
        <v/>
      </c>
      <c r="V1260">
        <f>IF($N1260="","",Sync!$L1260)</f>
        <v/>
      </c>
      <c r="W1260">
        <f>IF($N1260="","",Sync!$P1260)</f>
        <v/>
      </c>
    </row>
    <row r="1261">
      <c r="N1261">
        <f>IF(OR(Sync!$M1261="",$Q1261="",$Q1261="نامعتبر"),"",Sync!$M1261)</f>
        <v/>
      </c>
      <c r="O1261">
        <f>IF($N1261="","",$Q1261)</f>
        <v/>
      </c>
      <c r="P1261">
        <f>IF($N1261="","",LEFT($Q1261,4)&amp;MID($Q1261,6,2)&amp;RIGHT($Q1261,2)&amp;IF(Sync!$K1261="","0000",IF(AND(ISNUMBER(Sync!$K1261),Sync!$K1261&gt;=0,Sync!$K1261&lt;1),RIGHT("00"&amp;HOUR(Sync!$K1261),2)&amp;RIGHT("00"&amp;MINUTE(Sync!$K1261),2),IFERROR(RIGHT("00"&amp;VALUE(LEFT(Sync!$K1261,FIND(":",Sync!$K1261)-1)),2)&amp;RIGHT("00"&amp;VALUE(MID(Sync!$K1261,FIND(":",Sync!$K1261)+1,2)),2),"0000")))&amp;"|"&amp;"2"&amp;RIGHT("00000"&amp;1256,5))</f>
        <v/>
      </c>
      <c r="Q1261">
        <f>IF(Sync!$J1261="","",IF(ISNUMBER(Sync!$J1261),IF(AND(Sync!$J1261&gt;=10000101,Sync!$J1261&lt;=99991231),INT(Sync!$J1261/10000)&amp;"/"&amp;RIGHT("00"&amp;INT(MOD(Sync!$J1261,10000)/100),2)&amp;"/"&amp;RIGHT("00"&amp;MOD(Sync!$J1261,100),2),"نامعتبر"),IF(LEN(Sync!$J1261)=10,Sync!$J1261,"نامعتبر")))</f>
        <v/>
      </c>
      <c r="R1261">
        <f>IF($P1261="","",COUNTIFS($N$6:$N$2005,$N1261,$P$6:$P$2005,"&lt;"&amp;$P1261)+COUNTIFS($A$6:$A$1005,$N1261,$B$6:$B$1005,"&lt;"&amp;$P1261)+1)</f>
        <v/>
      </c>
      <c r="S1261">
        <f>IF($N1261="","",$N1261&amp;"|"&amp;RIGHT("000000"&amp;$R1261,6))</f>
        <v/>
      </c>
      <c r="T1261">
        <f>IF($N1261="","",IF(Sync!$N1261="",0,Sync!$N1261))</f>
        <v/>
      </c>
      <c r="U1261">
        <f>IF($N1261="","",IF(Sync!$O1261="",0,Sync!$O1261))</f>
        <v/>
      </c>
      <c r="V1261">
        <f>IF($N1261="","",Sync!$L1261)</f>
        <v/>
      </c>
      <c r="W1261">
        <f>IF($N1261="","",Sync!$P1261)</f>
        <v/>
      </c>
    </row>
    <row r="1262">
      <c r="N1262">
        <f>IF(OR(Sync!$M1262="",$Q1262="",$Q1262="نامعتبر"),"",Sync!$M1262)</f>
        <v/>
      </c>
      <c r="O1262">
        <f>IF($N1262="","",$Q1262)</f>
        <v/>
      </c>
      <c r="P1262">
        <f>IF($N1262="","",LEFT($Q1262,4)&amp;MID($Q1262,6,2)&amp;RIGHT($Q1262,2)&amp;IF(Sync!$K1262="","0000",IF(AND(ISNUMBER(Sync!$K1262),Sync!$K1262&gt;=0,Sync!$K1262&lt;1),RIGHT("00"&amp;HOUR(Sync!$K1262),2)&amp;RIGHT("00"&amp;MINUTE(Sync!$K1262),2),IFERROR(RIGHT("00"&amp;VALUE(LEFT(Sync!$K1262,FIND(":",Sync!$K1262)-1)),2)&amp;RIGHT("00"&amp;VALUE(MID(Sync!$K1262,FIND(":",Sync!$K1262)+1,2)),2),"0000")))&amp;"|"&amp;"2"&amp;RIGHT("00000"&amp;1257,5))</f>
        <v/>
      </c>
      <c r="Q1262">
        <f>IF(Sync!$J1262="","",IF(ISNUMBER(Sync!$J1262),IF(AND(Sync!$J1262&gt;=10000101,Sync!$J1262&lt;=99991231),INT(Sync!$J1262/10000)&amp;"/"&amp;RIGHT("00"&amp;INT(MOD(Sync!$J1262,10000)/100),2)&amp;"/"&amp;RIGHT("00"&amp;MOD(Sync!$J1262,100),2),"نامعتبر"),IF(LEN(Sync!$J1262)=10,Sync!$J1262,"نامعتبر")))</f>
        <v/>
      </c>
      <c r="R1262">
        <f>IF($P1262="","",COUNTIFS($N$6:$N$2005,$N1262,$P$6:$P$2005,"&lt;"&amp;$P1262)+COUNTIFS($A$6:$A$1005,$N1262,$B$6:$B$1005,"&lt;"&amp;$P1262)+1)</f>
        <v/>
      </c>
      <c r="S1262">
        <f>IF($N1262="","",$N1262&amp;"|"&amp;RIGHT("000000"&amp;$R1262,6))</f>
        <v/>
      </c>
      <c r="T1262">
        <f>IF($N1262="","",IF(Sync!$N1262="",0,Sync!$N1262))</f>
        <v/>
      </c>
      <c r="U1262">
        <f>IF($N1262="","",IF(Sync!$O1262="",0,Sync!$O1262))</f>
        <v/>
      </c>
      <c r="V1262">
        <f>IF($N1262="","",Sync!$L1262)</f>
        <v/>
      </c>
      <c r="W1262">
        <f>IF($N1262="","",Sync!$P1262)</f>
        <v/>
      </c>
    </row>
    <row r="1263">
      <c r="N1263">
        <f>IF(OR(Sync!$M1263="",$Q1263="",$Q1263="نامعتبر"),"",Sync!$M1263)</f>
        <v/>
      </c>
      <c r="O1263">
        <f>IF($N1263="","",$Q1263)</f>
        <v/>
      </c>
      <c r="P1263">
        <f>IF($N1263="","",LEFT($Q1263,4)&amp;MID($Q1263,6,2)&amp;RIGHT($Q1263,2)&amp;IF(Sync!$K1263="","0000",IF(AND(ISNUMBER(Sync!$K1263),Sync!$K1263&gt;=0,Sync!$K1263&lt;1),RIGHT("00"&amp;HOUR(Sync!$K1263),2)&amp;RIGHT("00"&amp;MINUTE(Sync!$K1263),2),IFERROR(RIGHT("00"&amp;VALUE(LEFT(Sync!$K1263,FIND(":",Sync!$K1263)-1)),2)&amp;RIGHT("00"&amp;VALUE(MID(Sync!$K1263,FIND(":",Sync!$K1263)+1,2)),2),"0000")))&amp;"|"&amp;"2"&amp;RIGHT("00000"&amp;1258,5))</f>
        <v/>
      </c>
      <c r="Q1263">
        <f>IF(Sync!$J1263="","",IF(ISNUMBER(Sync!$J1263),IF(AND(Sync!$J1263&gt;=10000101,Sync!$J1263&lt;=99991231),INT(Sync!$J1263/10000)&amp;"/"&amp;RIGHT("00"&amp;INT(MOD(Sync!$J1263,10000)/100),2)&amp;"/"&amp;RIGHT("00"&amp;MOD(Sync!$J1263,100),2),"نامعتبر"),IF(LEN(Sync!$J1263)=10,Sync!$J1263,"نامعتبر")))</f>
        <v/>
      </c>
      <c r="R1263">
        <f>IF($P1263="","",COUNTIFS($N$6:$N$2005,$N1263,$P$6:$P$2005,"&lt;"&amp;$P1263)+COUNTIFS($A$6:$A$1005,$N1263,$B$6:$B$1005,"&lt;"&amp;$P1263)+1)</f>
        <v/>
      </c>
      <c r="S1263">
        <f>IF($N1263="","",$N1263&amp;"|"&amp;RIGHT("000000"&amp;$R1263,6))</f>
        <v/>
      </c>
      <c r="T1263">
        <f>IF($N1263="","",IF(Sync!$N1263="",0,Sync!$N1263))</f>
        <v/>
      </c>
      <c r="U1263">
        <f>IF($N1263="","",IF(Sync!$O1263="",0,Sync!$O1263))</f>
        <v/>
      </c>
      <c r="V1263">
        <f>IF($N1263="","",Sync!$L1263)</f>
        <v/>
      </c>
      <c r="W1263">
        <f>IF($N1263="","",Sync!$P1263)</f>
        <v/>
      </c>
    </row>
    <row r="1264">
      <c r="N1264">
        <f>IF(OR(Sync!$M1264="",$Q1264="",$Q1264="نامعتبر"),"",Sync!$M1264)</f>
        <v/>
      </c>
      <c r="O1264">
        <f>IF($N1264="","",$Q1264)</f>
        <v/>
      </c>
      <c r="P1264">
        <f>IF($N1264="","",LEFT($Q1264,4)&amp;MID($Q1264,6,2)&amp;RIGHT($Q1264,2)&amp;IF(Sync!$K1264="","0000",IF(AND(ISNUMBER(Sync!$K1264),Sync!$K1264&gt;=0,Sync!$K1264&lt;1),RIGHT("00"&amp;HOUR(Sync!$K1264),2)&amp;RIGHT("00"&amp;MINUTE(Sync!$K1264),2),IFERROR(RIGHT("00"&amp;VALUE(LEFT(Sync!$K1264,FIND(":",Sync!$K1264)-1)),2)&amp;RIGHT("00"&amp;VALUE(MID(Sync!$K1264,FIND(":",Sync!$K1264)+1,2)),2),"0000")))&amp;"|"&amp;"2"&amp;RIGHT("00000"&amp;1259,5))</f>
        <v/>
      </c>
      <c r="Q1264">
        <f>IF(Sync!$J1264="","",IF(ISNUMBER(Sync!$J1264),IF(AND(Sync!$J1264&gt;=10000101,Sync!$J1264&lt;=99991231),INT(Sync!$J1264/10000)&amp;"/"&amp;RIGHT("00"&amp;INT(MOD(Sync!$J1264,10000)/100),2)&amp;"/"&amp;RIGHT("00"&amp;MOD(Sync!$J1264,100),2),"نامعتبر"),IF(LEN(Sync!$J1264)=10,Sync!$J1264,"نامعتبر")))</f>
        <v/>
      </c>
      <c r="R1264">
        <f>IF($P1264="","",COUNTIFS($N$6:$N$2005,$N1264,$P$6:$P$2005,"&lt;"&amp;$P1264)+COUNTIFS($A$6:$A$1005,$N1264,$B$6:$B$1005,"&lt;"&amp;$P1264)+1)</f>
        <v/>
      </c>
      <c r="S1264">
        <f>IF($N1264="","",$N1264&amp;"|"&amp;RIGHT("000000"&amp;$R1264,6))</f>
        <v/>
      </c>
      <c r="T1264">
        <f>IF($N1264="","",IF(Sync!$N1264="",0,Sync!$N1264))</f>
        <v/>
      </c>
      <c r="U1264">
        <f>IF($N1264="","",IF(Sync!$O1264="",0,Sync!$O1264))</f>
        <v/>
      </c>
      <c r="V1264">
        <f>IF($N1264="","",Sync!$L1264)</f>
        <v/>
      </c>
      <c r="W1264">
        <f>IF($N1264="","",Sync!$P1264)</f>
        <v/>
      </c>
    </row>
    <row r="1265">
      <c r="N1265">
        <f>IF(OR(Sync!$M1265="",$Q1265="",$Q1265="نامعتبر"),"",Sync!$M1265)</f>
        <v/>
      </c>
      <c r="O1265">
        <f>IF($N1265="","",$Q1265)</f>
        <v/>
      </c>
      <c r="P1265">
        <f>IF($N1265="","",LEFT($Q1265,4)&amp;MID($Q1265,6,2)&amp;RIGHT($Q1265,2)&amp;IF(Sync!$K1265="","0000",IF(AND(ISNUMBER(Sync!$K1265),Sync!$K1265&gt;=0,Sync!$K1265&lt;1),RIGHT("00"&amp;HOUR(Sync!$K1265),2)&amp;RIGHT("00"&amp;MINUTE(Sync!$K1265),2),IFERROR(RIGHT("00"&amp;VALUE(LEFT(Sync!$K1265,FIND(":",Sync!$K1265)-1)),2)&amp;RIGHT("00"&amp;VALUE(MID(Sync!$K1265,FIND(":",Sync!$K1265)+1,2)),2),"0000")))&amp;"|"&amp;"2"&amp;RIGHT("00000"&amp;1260,5))</f>
        <v/>
      </c>
      <c r="Q1265">
        <f>IF(Sync!$J1265="","",IF(ISNUMBER(Sync!$J1265),IF(AND(Sync!$J1265&gt;=10000101,Sync!$J1265&lt;=99991231),INT(Sync!$J1265/10000)&amp;"/"&amp;RIGHT("00"&amp;INT(MOD(Sync!$J1265,10000)/100),2)&amp;"/"&amp;RIGHT("00"&amp;MOD(Sync!$J1265,100),2),"نامعتبر"),IF(LEN(Sync!$J1265)=10,Sync!$J1265,"نامعتبر")))</f>
        <v/>
      </c>
      <c r="R1265">
        <f>IF($P1265="","",COUNTIFS($N$6:$N$2005,$N1265,$P$6:$P$2005,"&lt;"&amp;$P1265)+COUNTIFS($A$6:$A$1005,$N1265,$B$6:$B$1005,"&lt;"&amp;$P1265)+1)</f>
        <v/>
      </c>
      <c r="S1265">
        <f>IF($N1265="","",$N1265&amp;"|"&amp;RIGHT("000000"&amp;$R1265,6))</f>
        <v/>
      </c>
      <c r="T1265">
        <f>IF($N1265="","",IF(Sync!$N1265="",0,Sync!$N1265))</f>
        <v/>
      </c>
      <c r="U1265">
        <f>IF($N1265="","",IF(Sync!$O1265="",0,Sync!$O1265))</f>
        <v/>
      </c>
      <c r="V1265">
        <f>IF($N1265="","",Sync!$L1265)</f>
        <v/>
      </c>
      <c r="W1265">
        <f>IF($N1265="","",Sync!$P1265)</f>
        <v/>
      </c>
    </row>
    <row r="1266">
      <c r="N1266">
        <f>IF(OR(Sync!$M1266="",$Q1266="",$Q1266="نامعتبر"),"",Sync!$M1266)</f>
        <v/>
      </c>
      <c r="O1266">
        <f>IF($N1266="","",$Q1266)</f>
        <v/>
      </c>
      <c r="P1266">
        <f>IF($N1266="","",LEFT($Q1266,4)&amp;MID($Q1266,6,2)&amp;RIGHT($Q1266,2)&amp;IF(Sync!$K1266="","0000",IF(AND(ISNUMBER(Sync!$K1266),Sync!$K1266&gt;=0,Sync!$K1266&lt;1),RIGHT("00"&amp;HOUR(Sync!$K1266),2)&amp;RIGHT("00"&amp;MINUTE(Sync!$K1266),2),IFERROR(RIGHT("00"&amp;VALUE(LEFT(Sync!$K1266,FIND(":",Sync!$K1266)-1)),2)&amp;RIGHT("00"&amp;VALUE(MID(Sync!$K1266,FIND(":",Sync!$K1266)+1,2)),2),"0000")))&amp;"|"&amp;"2"&amp;RIGHT("00000"&amp;1261,5))</f>
        <v/>
      </c>
      <c r="Q1266">
        <f>IF(Sync!$J1266="","",IF(ISNUMBER(Sync!$J1266),IF(AND(Sync!$J1266&gt;=10000101,Sync!$J1266&lt;=99991231),INT(Sync!$J1266/10000)&amp;"/"&amp;RIGHT("00"&amp;INT(MOD(Sync!$J1266,10000)/100),2)&amp;"/"&amp;RIGHT("00"&amp;MOD(Sync!$J1266,100),2),"نامعتبر"),IF(LEN(Sync!$J1266)=10,Sync!$J1266,"نامعتبر")))</f>
        <v/>
      </c>
      <c r="R1266">
        <f>IF($P1266="","",COUNTIFS($N$6:$N$2005,$N1266,$P$6:$P$2005,"&lt;"&amp;$P1266)+COUNTIFS($A$6:$A$1005,$N1266,$B$6:$B$1005,"&lt;"&amp;$P1266)+1)</f>
        <v/>
      </c>
      <c r="S1266">
        <f>IF($N1266="","",$N1266&amp;"|"&amp;RIGHT("000000"&amp;$R1266,6))</f>
        <v/>
      </c>
      <c r="T1266">
        <f>IF($N1266="","",IF(Sync!$N1266="",0,Sync!$N1266))</f>
        <v/>
      </c>
      <c r="U1266">
        <f>IF($N1266="","",IF(Sync!$O1266="",0,Sync!$O1266))</f>
        <v/>
      </c>
      <c r="V1266">
        <f>IF($N1266="","",Sync!$L1266)</f>
        <v/>
      </c>
      <c r="W1266">
        <f>IF($N1266="","",Sync!$P1266)</f>
        <v/>
      </c>
    </row>
    <row r="1267">
      <c r="N1267">
        <f>IF(OR(Sync!$M1267="",$Q1267="",$Q1267="نامعتبر"),"",Sync!$M1267)</f>
        <v/>
      </c>
      <c r="O1267">
        <f>IF($N1267="","",$Q1267)</f>
        <v/>
      </c>
      <c r="P1267">
        <f>IF($N1267="","",LEFT($Q1267,4)&amp;MID($Q1267,6,2)&amp;RIGHT($Q1267,2)&amp;IF(Sync!$K1267="","0000",IF(AND(ISNUMBER(Sync!$K1267),Sync!$K1267&gt;=0,Sync!$K1267&lt;1),RIGHT("00"&amp;HOUR(Sync!$K1267),2)&amp;RIGHT("00"&amp;MINUTE(Sync!$K1267),2),IFERROR(RIGHT("00"&amp;VALUE(LEFT(Sync!$K1267,FIND(":",Sync!$K1267)-1)),2)&amp;RIGHT("00"&amp;VALUE(MID(Sync!$K1267,FIND(":",Sync!$K1267)+1,2)),2),"0000")))&amp;"|"&amp;"2"&amp;RIGHT("00000"&amp;1262,5))</f>
        <v/>
      </c>
      <c r="Q1267">
        <f>IF(Sync!$J1267="","",IF(ISNUMBER(Sync!$J1267),IF(AND(Sync!$J1267&gt;=10000101,Sync!$J1267&lt;=99991231),INT(Sync!$J1267/10000)&amp;"/"&amp;RIGHT("00"&amp;INT(MOD(Sync!$J1267,10000)/100),2)&amp;"/"&amp;RIGHT("00"&amp;MOD(Sync!$J1267,100),2),"نامعتبر"),IF(LEN(Sync!$J1267)=10,Sync!$J1267,"نامعتبر")))</f>
        <v/>
      </c>
      <c r="R1267">
        <f>IF($P1267="","",COUNTIFS($N$6:$N$2005,$N1267,$P$6:$P$2005,"&lt;"&amp;$P1267)+COUNTIFS($A$6:$A$1005,$N1267,$B$6:$B$1005,"&lt;"&amp;$P1267)+1)</f>
        <v/>
      </c>
      <c r="S1267">
        <f>IF($N1267="","",$N1267&amp;"|"&amp;RIGHT("000000"&amp;$R1267,6))</f>
        <v/>
      </c>
      <c r="T1267">
        <f>IF($N1267="","",IF(Sync!$N1267="",0,Sync!$N1267))</f>
        <v/>
      </c>
      <c r="U1267">
        <f>IF($N1267="","",IF(Sync!$O1267="",0,Sync!$O1267))</f>
        <v/>
      </c>
      <c r="V1267">
        <f>IF($N1267="","",Sync!$L1267)</f>
        <v/>
      </c>
      <c r="W1267">
        <f>IF($N1267="","",Sync!$P1267)</f>
        <v/>
      </c>
    </row>
    <row r="1268">
      <c r="N1268">
        <f>IF(OR(Sync!$M1268="",$Q1268="",$Q1268="نامعتبر"),"",Sync!$M1268)</f>
        <v/>
      </c>
      <c r="O1268">
        <f>IF($N1268="","",$Q1268)</f>
        <v/>
      </c>
      <c r="P1268">
        <f>IF($N1268="","",LEFT($Q1268,4)&amp;MID($Q1268,6,2)&amp;RIGHT($Q1268,2)&amp;IF(Sync!$K1268="","0000",IF(AND(ISNUMBER(Sync!$K1268),Sync!$K1268&gt;=0,Sync!$K1268&lt;1),RIGHT("00"&amp;HOUR(Sync!$K1268),2)&amp;RIGHT("00"&amp;MINUTE(Sync!$K1268),2),IFERROR(RIGHT("00"&amp;VALUE(LEFT(Sync!$K1268,FIND(":",Sync!$K1268)-1)),2)&amp;RIGHT("00"&amp;VALUE(MID(Sync!$K1268,FIND(":",Sync!$K1268)+1,2)),2),"0000")))&amp;"|"&amp;"2"&amp;RIGHT("00000"&amp;1263,5))</f>
        <v/>
      </c>
      <c r="Q1268">
        <f>IF(Sync!$J1268="","",IF(ISNUMBER(Sync!$J1268),IF(AND(Sync!$J1268&gt;=10000101,Sync!$J1268&lt;=99991231),INT(Sync!$J1268/10000)&amp;"/"&amp;RIGHT("00"&amp;INT(MOD(Sync!$J1268,10000)/100),2)&amp;"/"&amp;RIGHT("00"&amp;MOD(Sync!$J1268,100),2),"نامعتبر"),IF(LEN(Sync!$J1268)=10,Sync!$J1268,"نامعتبر")))</f>
        <v/>
      </c>
      <c r="R1268">
        <f>IF($P1268="","",COUNTIFS($N$6:$N$2005,$N1268,$P$6:$P$2005,"&lt;"&amp;$P1268)+COUNTIFS($A$6:$A$1005,$N1268,$B$6:$B$1005,"&lt;"&amp;$P1268)+1)</f>
        <v/>
      </c>
      <c r="S1268">
        <f>IF($N1268="","",$N1268&amp;"|"&amp;RIGHT("000000"&amp;$R1268,6))</f>
        <v/>
      </c>
      <c r="T1268">
        <f>IF($N1268="","",IF(Sync!$N1268="",0,Sync!$N1268))</f>
        <v/>
      </c>
      <c r="U1268">
        <f>IF($N1268="","",IF(Sync!$O1268="",0,Sync!$O1268))</f>
        <v/>
      </c>
      <c r="V1268">
        <f>IF($N1268="","",Sync!$L1268)</f>
        <v/>
      </c>
      <c r="W1268">
        <f>IF($N1268="","",Sync!$P1268)</f>
        <v/>
      </c>
    </row>
    <row r="1269">
      <c r="N1269">
        <f>IF(OR(Sync!$M1269="",$Q1269="",$Q1269="نامعتبر"),"",Sync!$M1269)</f>
        <v/>
      </c>
      <c r="O1269">
        <f>IF($N1269="","",$Q1269)</f>
        <v/>
      </c>
      <c r="P1269">
        <f>IF($N1269="","",LEFT($Q1269,4)&amp;MID($Q1269,6,2)&amp;RIGHT($Q1269,2)&amp;IF(Sync!$K1269="","0000",IF(AND(ISNUMBER(Sync!$K1269),Sync!$K1269&gt;=0,Sync!$K1269&lt;1),RIGHT("00"&amp;HOUR(Sync!$K1269),2)&amp;RIGHT("00"&amp;MINUTE(Sync!$K1269),2),IFERROR(RIGHT("00"&amp;VALUE(LEFT(Sync!$K1269,FIND(":",Sync!$K1269)-1)),2)&amp;RIGHT("00"&amp;VALUE(MID(Sync!$K1269,FIND(":",Sync!$K1269)+1,2)),2),"0000")))&amp;"|"&amp;"2"&amp;RIGHT("00000"&amp;1264,5))</f>
        <v/>
      </c>
      <c r="Q1269">
        <f>IF(Sync!$J1269="","",IF(ISNUMBER(Sync!$J1269),IF(AND(Sync!$J1269&gt;=10000101,Sync!$J1269&lt;=99991231),INT(Sync!$J1269/10000)&amp;"/"&amp;RIGHT("00"&amp;INT(MOD(Sync!$J1269,10000)/100),2)&amp;"/"&amp;RIGHT("00"&amp;MOD(Sync!$J1269,100),2),"نامعتبر"),IF(LEN(Sync!$J1269)=10,Sync!$J1269,"نامعتبر")))</f>
        <v/>
      </c>
      <c r="R1269">
        <f>IF($P1269="","",COUNTIFS($N$6:$N$2005,$N1269,$P$6:$P$2005,"&lt;"&amp;$P1269)+COUNTIFS($A$6:$A$1005,$N1269,$B$6:$B$1005,"&lt;"&amp;$P1269)+1)</f>
        <v/>
      </c>
      <c r="S1269">
        <f>IF($N1269="","",$N1269&amp;"|"&amp;RIGHT("000000"&amp;$R1269,6))</f>
        <v/>
      </c>
      <c r="T1269">
        <f>IF($N1269="","",IF(Sync!$N1269="",0,Sync!$N1269))</f>
        <v/>
      </c>
      <c r="U1269">
        <f>IF($N1269="","",IF(Sync!$O1269="",0,Sync!$O1269))</f>
        <v/>
      </c>
      <c r="V1269">
        <f>IF($N1269="","",Sync!$L1269)</f>
        <v/>
      </c>
      <c r="W1269">
        <f>IF($N1269="","",Sync!$P1269)</f>
        <v/>
      </c>
    </row>
    <row r="1270">
      <c r="N1270">
        <f>IF(OR(Sync!$M1270="",$Q1270="",$Q1270="نامعتبر"),"",Sync!$M1270)</f>
        <v/>
      </c>
      <c r="O1270">
        <f>IF($N1270="","",$Q1270)</f>
        <v/>
      </c>
      <c r="P1270">
        <f>IF($N1270="","",LEFT($Q1270,4)&amp;MID($Q1270,6,2)&amp;RIGHT($Q1270,2)&amp;IF(Sync!$K1270="","0000",IF(AND(ISNUMBER(Sync!$K1270),Sync!$K1270&gt;=0,Sync!$K1270&lt;1),RIGHT("00"&amp;HOUR(Sync!$K1270),2)&amp;RIGHT("00"&amp;MINUTE(Sync!$K1270),2),IFERROR(RIGHT("00"&amp;VALUE(LEFT(Sync!$K1270,FIND(":",Sync!$K1270)-1)),2)&amp;RIGHT("00"&amp;VALUE(MID(Sync!$K1270,FIND(":",Sync!$K1270)+1,2)),2),"0000")))&amp;"|"&amp;"2"&amp;RIGHT("00000"&amp;1265,5))</f>
        <v/>
      </c>
      <c r="Q1270">
        <f>IF(Sync!$J1270="","",IF(ISNUMBER(Sync!$J1270),IF(AND(Sync!$J1270&gt;=10000101,Sync!$J1270&lt;=99991231),INT(Sync!$J1270/10000)&amp;"/"&amp;RIGHT("00"&amp;INT(MOD(Sync!$J1270,10000)/100),2)&amp;"/"&amp;RIGHT("00"&amp;MOD(Sync!$J1270,100),2),"نامعتبر"),IF(LEN(Sync!$J1270)=10,Sync!$J1270,"نامعتبر")))</f>
        <v/>
      </c>
      <c r="R1270">
        <f>IF($P1270="","",COUNTIFS($N$6:$N$2005,$N1270,$P$6:$P$2005,"&lt;"&amp;$P1270)+COUNTIFS($A$6:$A$1005,$N1270,$B$6:$B$1005,"&lt;"&amp;$P1270)+1)</f>
        <v/>
      </c>
      <c r="S1270">
        <f>IF($N1270="","",$N1270&amp;"|"&amp;RIGHT("000000"&amp;$R1270,6))</f>
        <v/>
      </c>
      <c r="T1270">
        <f>IF($N1270="","",IF(Sync!$N1270="",0,Sync!$N1270))</f>
        <v/>
      </c>
      <c r="U1270">
        <f>IF($N1270="","",IF(Sync!$O1270="",0,Sync!$O1270))</f>
        <v/>
      </c>
      <c r="V1270">
        <f>IF($N1270="","",Sync!$L1270)</f>
        <v/>
      </c>
      <c r="W1270">
        <f>IF($N1270="","",Sync!$P1270)</f>
        <v/>
      </c>
    </row>
    <row r="1271">
      <c r="N1271">
        <f>IF(OR(Sync!$M1271="",$Q1271="",$Q1271="نامعتبر"),"",Sync!$M1271)</f>
        <v/>
      </c>
      <c r="O1271">
        <f>IF($N1271="","",$Q1271)</f>
        <v/>
      </c>
      <c r="P1271">
        <f>IF($N1271="","",LEFT($Q1271,4)&amp;MID($Q1271,6,2)&amp;RIGHT($Q1271,2)&amp;IF(Sync!$K1271="","0000",IF(AND(ISNUMBER(Sync!$K1271),Sync!$K1271&gt;=0,Sync!$K1271&lt;1),RIGHT("00"&amp;HOUR(Sync!$K1271),2)&amp;RIGHT("00"&amp;MINUTE(Sync!$K1271),2),IFERROR(RIGHT("00"&amp;VALUE(LEFT(Sync!$K1271,FIND(":",Sync!$K1271)-1)),2)&amp;RIGHT("00"&amp;VALUE(MID(Sync!$K1271,FIND(":",Sync!$K1271)+1,2)),2),"0000")))&amp;"|"&amp;"2"&amp;RIGHT("00000"&amp;1266,5))</f>
        <v/>
      </c>
      <c r="Q1271">
        <f>IF(Sync!$J1271="","",IF(ISNUMBER(Sync!$J1271),IF(AND(Sync!$J1271&gt;=10000101,Sync!$J1271&lt;=99991231),INT(Sync!$J1271/10000)&amp;"/"&amp;RIGHT("00"&amp;INT(MOD(Sync!$J1271,10000)/100),2)&amp;"/"&amp;RIGHT("00"&amp;MOD(Sync!$J1271,100),2),"نامعتبر"),IF(LEN(Sync!$J1271)=10,Sync!$J1271,"نامعتبر")))</f>
        <v/>
      </c>
      <c r="R1271">
        <f>IF($P1271="","",COUNTIFS($N$6:$N$2005,$N1271,$P$6:$P$2005,"&lt;"&amp;$P1271)+COUNTIFS($A$6:$A$1005,$N1271,$B$6:$B$1005,"&lt;"&amp;$P1271)+1)</f>
        <v/>
      </c>
      <c r="S1271">
        <f>IF($N1271="","",$N1271&amp;"|"&amp;RIGHT("000000"&amp;$R1271,6))</f>
        <v/>
      </c>
      <c r="T1271">
        <f>IF($N1271="","",IF(Sync!$N1271="",0,Sync!$N1271))</f>
        <v/>
      </c>
      <c r="U1271">
        <f>IF($N1271="","",IF(Sync!$O1271="",0,Sync!$O1271))</f>
        <v/>
      </c>
      <c r="V1271">
        <f>IF($N1271="","",Sync!$L1271)</f>
        <v/>
      </c>
      <c r="W1271">
        <f>IF($N1271="","",Sync!$P1271)</f>
        <v/>
      </c>
    </row>
    <row r="1272">
      <c r="N1272">
        <f>IF(OR(Sync!$M1272="",$Q1272="",$Q1272="نامعتبر"),"",Sync!$M1272)</f>
        <v/>
      </c>
      <c r="O1272">
        <f>IF($N1272="","",$Q1272)</f>
        <v/>
      </c>
      <c r="P1272">
        <f>IF($N1272="","",LEFT($Q1272,4)&amp;MID($Q1272,6,2)&amp;RIGHT($Q1272,2)&amp;IF(Sync!$K1272="","0000",IF(AND(ISNUMBER(Sync!$K1272),Sync!$K1272&gt;=0,Sync!$K1272&lt;1),RIGHT("00"&amp;HOUR(Sync!$K1272),2)&amp;RIGHT("00"&amp;MINUTE(Sync!$K1272),2),IFERROR(RIGHT("00"&amp;VALUE(LEFT(Sync!$K1272,FIND(":",Sync!$K1272)-1)),2)&amp;RIGHT("00"&amp;VALUE(MID(Sync!$K1272,FIND(":",Sync!$K1272)+1,2)),2),"0000")))&amp;"|"&amp;"2"&amp;RIGHT("00000"&amp;1267,5))</f>
        <v/>
      </c>
      <c r="Q1272">
        <f>IF(Sync!$J1272="","",IF(ISNUMBER(Sync!$J1272),IF(AND(Sync!$J1272&gt;=10000101,Sync!$J1272&lt;=99991231),INT(Sync!$J1272/10000)&amp;"/"&amp;RIGHT("00"&amp;INT(MOD(Sync!$J1272,10000)/100),2)&amp;"/"&amp;RIGHT("00"&amp;MOD(Sync!$J1272,100),2),"نامعتبر"),IF(LEN(Sync!$J1272)=10,Sync!$J1272,"نامعتبر")))</f>
        <v/>
      </c>
      <c r="R1272">
        <f>IF($P1272="","",COUNTIFS($N$6:$N$2005,$N1272,$P$6:$P$2005,"&lt;"&amp;$P1272)+COUNTIFS($A$6:$A$1005,$N1272,$B$6:$B$1005,"&lt;"&amp;$P1272)+1)</f>
        <v/>
      </c>
      <c r="S1272">
        <f>IF($N1272="","",$N1272&amp;"|"&amp;RIGHT("000000"&amp;$R1272,6))</f>
        <v/>
      </c>
      <c r="T1272">
        <f>IF($N1272="","",IF(Sync!$N1272="",0,Sync!$N1272))</f>
        <v/>
      </c>
      <c r="U1272">
        <f>IF($N1272="","",IF(Sync!$O1272="",0,Sync!$O1272))</f>
        <v/>
      </c>
      <c r="V1272">
        <f>IF($N1272="","",Sync!$L1272)</f>
        <v/>
      </c>
      <c r="W1272">
        <f>IF($N1272="","",Sync!$P1272)</f>
        <v/>
      </c>
    </row>
    <row r="1273">
      <c r="N1273">
        <f>IF(OR(Sync!$M1273="",$Q1273="",$Q1273="نامعتبر"),"",Sync!$M1273)</f>
        <v/>
      </c>
      <c r="O1273">
        <f>IF($N1273="","",$Q1273)</f>
        <v/>
      </c>
      <c r="P1273">
        <f>IF($N1273="","",LEFT($Q1273,4)&amp;MID($Q1273,6,2)&amp;RIGHT($Q1273,2)&amp;IF(Sync!$K1273="","0000",IF(AND(ISNUMBER(Sync!$K1273),Sync!$K1273&gt;=0,Sync!$K1273&lt;1),RIGHT("00"&amp;HOUR(Sync!$K1273),2)&amp;RIGHT("00"&amp;MINUTE(Sync!$K1273),2),IFERROR(RIGHT("00"&amp;VALUE(LEFT(Sync!$K1273,FIND(":",Sync!$K1273)-1)),2)&amp;RIGHT("00"&amp;VALUE(MID(Sync!$K1273,FIND(":",Sync!$K1273)+1,2)),2),"0000")))&amp;"|"&amp;"2"&amp;RIGHT("00000"&amp;1268,5))</f>
        <v/>
      </c>
      <c r="Q1273">
        <f>IF(Sync!$J1273="","",IF(ISNUMBER(Sync!$J1273),IF(AND(Sync!$J1273&gt;=10000101,Sync!$J1273&lt;=99991231),INT(Sync!$J1273/10000)&amp;"/"&amp;RIGHT("00"&amp;INT(MOD(Sync!$J1273,10000)/100),2)&amp;"/"&amp;RIGHT("00"&amp;MOD(Sync!$J1273,100),2),"نامعتبر"),IF(LEN(Sync!$J1273)=10,Sync!$J1273,"نامعتبر")))</f>
        <v/>
      </c>
      <c r="R1273">
        <f>IF($P1273="","",COUNTIFS($N$6:$N$2005,$N1273,$P$6:$P$2005,"&lt;"&amp;$P1273)+COUNTIFS($A$6:$A$1005,$N1273,$B$6:$B$1005,"&lt;"&amp;$P1273)+1)</f>
        <v/>
      </c>
      <c r="S1273">
        <f>IF($N1273="","",$N1273&amp;"|"&amp;RIGHT("000000"&amp;$R1273,6))</f>
        <v/>
      </c>
      <c r="T1273">
        <f>IF($N1273="","",IF(Sync!$N1273="",0,Sync!$N1273))</f>
        <v/>
      </c>
      <c r="U1273">
        <f>IF($N1273="","",IF(Sync!$O1273="",0,Sync!$O1273))</f>
        <v/>
      </c>
      <c r="V1273">
        <f>IF($N1273="","",Sync!$L1273)</f>
        <v/>
      </c>
      <c r="W1273">
        <f>IF($N1273="","",Sync!$P1273)</f>
        <v/>
      </c>
    </row>
    <row r="1274">
      <c r="N1274">
        <f>IF(OR(Sync!$M1274="",$Q1274="",$Q1274="نامعتبر"),"",Sync!$M1274)</f>
        <v/>
      </c>
      <c r="O1274">
        <f>IF($N1274="","",$Q1274)</f>
        <v/>
      </c>
      <c r="P1274">
        <f>IF($N1274="","",LEFT($Q1274,4)&amp;MID($Q1274,6,2)&amp;RIGHT($Q1274,2)&amp;IF(Sync!$K1274="","0000",IF(AND(ISNUMBER(Sync!$K1274),Sync!$K1274&gt;=0,Sync!$K1274&lt;1),RIGHT("00"&amp;HOUR(Sync!$K1274),2)&amp;RIGHT("00"&amp;MINUTE(Sync!$K1274),2),IFERROR(RIGHT("00"&amp;VALUE(LEFT(Sync!$K1274,FIND(":",Sync!$K1274)-1)),2)&amp;RIGHT("00"&amp;VALUE(MID(Sync!$K1274,FIND(":",Sync!$K1274)+1,2)),2),"0000")))&amp;"|"&amp;"2"&amp;RIGHT("00000"&amp;1269,5))</f>
        <v/>
      </c>
      <c r="Q1274">
        <f>IF(Sync!$J1274="","",IF(ISNUMBER(Sync!$J1274),IF(AND(Sync!$J1274&gt;=10000101,Sync!$J1274&lt;=99991231),INT(Sync!$J1274/10000)&amp;"/"&amp;RIGHT("00"&amp;INT(MOD(Sync!$J1274,10000)/100),2)&amp;"/"&amp;RIGHT("00"&amp;MOD(Sync!$J1274,100),2),"نامعتبر"),IF(LEN(Sync!$J1274)=10,Sync!$J1274,"نامعتبر")))</f>
        <v/>
      </c>
      <c r="R1274">
        <f>IF($P1274="","",COUNTIFS($N$6:$N$2005,$N1274,$P$6:$P$2005,"&lt;"&amp;$P1274)+COUNTIFS($A$6:$A$1005,$N1274,$B$6:$B$1005,"&lt;"&amp;$P1274)+1)</f>
        <v/>
      </c>
      <c r="S1274">
        <f>IF($N1274="","",$N1274&amp;"|"&amp;RIGHT("000000"&amp;$R1274,6))</f>
        <v/>
      </c>
      <c r="T1274">
        <f>IF($N1274="","",IF(Sync!$N1274="",0,Sync!$N1274))</f>
        <v/>
      </c>
      <c r="U1274">
        <f>IF($N1274="","",IF(Sync!$O1274="",0,Sync!$O1274))</f>
        <v/>
      </c>
      <c r="V1274">
        <f>IF($N1274="","",Sync!$L1274)</f>
        <v/>
      </c>
      <c r="W1274">
        <f>IF($N1274="","",Sync!$P1274)</f>
        <v/>
      </c>
    </row>
    <row r="1275">
      <c r="N1275">
        <f>IF(OR(Sync!$M1275="",$Q1275="",$Q1275="نامعتبر"),"",Sync!$M1275)</f>
        <v/>
      </c>
      <c r="O1275">
        <f>IF($N1275="","",$Q1275)</f>
        <v/>
      </c>
      <c r="P1275">
        <f>IF($N1275="","",LEFT($Q1275,4)&amp;MID($Q1275,6,2)&amp;RIGHT($Q1275,2)&amp;IF(Sync!$K1275="","0000",IF(AND(ISNUMBER(Sync!$K1275),Sync!$K1275&gt;=0,Sync!$K1275&lt;1),RIGHT("00"&amp;HOUR(Sync!$K1275),2)&amp;RIGHT("00"&amp;MINUTE(Sync!$K1275),2),IFERROR(RIGHT("00"&amp;VALUE(LEFT(Sync!$K1275,FIND(":",Sync!$K1275)-1)),2)&amp;RIGHT("00"&amp;VALUE(MID(Sync!$K1275,FIND(":",Sync!$K1275)+1,2)),2),"0000")))&amp;"|"&amp;"2"&amp;RIGHT("00000"&amp;1270,5))</f>
        <v/>
      </c>
      <c r="Q1275">
        <f>IF(Sync!$J1275="","",IF(ISNUMBER(Sync!$J1275),IF(AND(Sync!$J1275&gt;=10000101,Sync!$J1275&lt;=99991231),INT(Sync!$J1275/10000)&amp;"/"&amp;RIGHT("00"&amp;INT(MOD(Sync!$J1275,10000)/100),2)&amp;"/"&amp;RIGHT("00"&amp;MOD(Sync!$J1275,100),2),"نامعتبر"),IF(LEN(Sync!$J1275)=10,Sync!$J1275,"نامعتبر")))</f>
        <v/>
      </c>
      <c r="R1275">
        <f>IF($P1275="","",COUNTIFS($N$6:$N$2005,$N1275,$P$6:$P$2005,"&lt;"&amp;$P1275)+COUNTIFS($A$6:$A$1005,$N1275,$B$6:$B$1005,"&lt;"&amp;$P1275)+1)</f>
        <v/>
      </c>
      <c r="S1275">
        <f>IF($N1275="","",$N1275&amp;"|"&amp;RIGHT("000000"&amp;$R1275,6))</f>
        <v/>
      </c>
      <c r="T1275">
        <f>IF($N1275="","",IF(Sync!$N1275="",0,Sync!$N1275))</f>
        <v/>
      </c>
      <c r="U1275">
        <f>IF($N1275="","",IF(Sync!$O1275="",0,Sync!$O1275))</f>
        <v/>
      </c>
      <c r="V1275">
        <f>IF($N1275="","",Sync!$L1275)</f>
        <v/>
      </c>
      <c r="W1275">
        <f>IF($N1275="","",Sync!$P1275)</f>
        <v/>
      </c>
    </row>
    <row r="1276">
      <c r="N1276">
        <f>IF(OR(Sync!$M1276="",$Q1276="",$Q1276="نامعتبر"),"",Sync!$M1276)</f>
        <v/>
      </c>
      <c r="O1276">
        <f>IF($N1276="","",$Q1276)</f>
        <v/>
      </c>
      <c r="P1276">
        <f>IF($N1276="","",LEFT($Q1276,4)&amp;MID($Q1276,6,2)&amp;RIGHT($Q1276,2)&amp;IF(Sync!$K1276="","0000",IF(AND(ISNUMBER(Sync!$K1276),Sync!$K1276&gt;=0,Sync!$K1276&lt;1),RIGHT("00"&amp;HOUR(Sync!$K1276),2)&amp;RIGHT("00"&amp;MINUTE(Sync!$K1276),2),IFERROR(RIGHT("00"&amp;VALUE(LEFT(Sync!$K1276,FIND(":",Sync!$K1276)-1)),2)&amp;RIGHT("00"&amp;VALUE(MID(Sync!$K1276,FIND(":",Sync!$K1276)+1,2)),2),"0000")))&amp;"|"&amp;"2"&amp;RIGHT("00000"&amp;1271,5))</f>
        <v/>
      </c>
      <c r="Q1276">
        <f>IF(Sync!$J1276="","",IF(ISNUMBER(Sync!$J1276),IF(AND(Sync!$J1276&gt;=10000101,Sync!$J1276&lt;=99991231),INT(Sync!$J1276/10000)&amp;"/"&amp;RIGHT("00"&amp;INT(MOD(Sync!$J1276,10000)/100),2)&amp;"/"&amp;RIGHT("00"&amp;MOD(Sync!$J1276,100),2),"نامعتبر"),IF(LEN(Sync!$J1276)=10,Sync!$J1276,"نامعتبر")))</f>
        <v/>
      </c>
      <c r="R1276">
        <f>IF($P1276="","",COUNTIFS($N$6:$N$2005,$N1276,$P$6:$P$2005,"&lt;"&amp;$P1276)+COUNTIFS($A$6:$A$1005,$N1276,$B$6:$B$1005,"&lt;"&amp;$P1276)+1)</f>
        <v/>
      </c>
      <c r="S1276">
        <f>IF($N1276="","",$N1276&amp;"|"&amp;RIGHT("000000"&amp;$R1276,6))</f>
        <v/>
      </c>
      <c r="T1276">
        <f>IF($N1276="","",IF(Sync!$N1276="",0,Sync!$N1276))</f>
        <v/>
      </c>
      <c r="U1276">
        <f>IF($N1276="","",IF(Sync!$O1276="",0,Sync!$O1276))</f>
        <v/>
      </c>
      <c r="V1276">
        <f>IF($N1276="","",Sync!$L1276)</f>
        <v/>
      </c>
      <c r="W1276">
        <f>IF($N1276="","",Sync!$P1276)</f>
        <v/>
      </c>
    </row>
    <row r="1277">
      <c r="N1277">
        <f>IF(OR(Sync!$M1277="",$Q1277="",$Q1277="نامعتبر"),"",Sync!$M1277)</f>
        <v/>
      </c>
      <c r="O1277">
        <f>IF($N1277="","",$Q1277)</f>
        <v/>
      </c>
      <c r="P1277">
        <f>IF($N1277="","",LEFT($Q1277,4)&amp;MID($Q1277,6,2)&amp;RIGHT($Q1277,2)&amp;IF(Sync!$K1277="","0000",IF(AND(ISNUMBER(Sync!$K1277),Sync!$K1277&gt;=0,Sync!$K1277&lt;1),RIGHT("00"&amp;HOUR(Sync!$K1277),2)&amp;RIGHT("00"&amp;MINUTE(Sync!$K1277),2),IFERROR(RIGHT("00"&amp;VALUE(LEFT(Sync!$K1277,FIND(":",Sync!$K1277)-1)),2)&amp;RIGHT("00"&amp;VALUE(MID(Sync!$K1277,FIND(":",Sync!$K1277)+1,2)),2),"0000")))&amp;"|"&amp;"2"&amp;RIGHT("00000"&amp;1272,5))</f>
        <v/>
      </c>
      <c r="Q1277">
        <f>IF(Sync!$J1277="","",IF(ISNUMBER(Sync!$J1277),IF(AND(Sync!$J1277&gt;=10000101,Sync!$J1277&lt;=99991231),INT(Sync!$J1277/10000)&amp;"/"&amp;RIGHT("00"&amp;INT(MOD(Sync!$J1277,10000)/100),2)&amp;"/"&amp;RIGHT("00"&amp;MOD(Sync!$J1277,100),2),"نامعتبر"),IF(LEN(Sync!$J1277)=10,Sync!$J1277,"نامعتبر")))</f>
        <v/>
      </c>
      <c r="R1277">
        <f>IF($P1277="","",COUNTIFS($N$6:$N$2005,$N1277,$P$6:$P$2005,"&lt;"&amp;$P1277)+COUNTIFS($A$6:$A$1005,$N1277,$B$6:$B$1005,"&lt;"&amp;$P1277)+1)</f>
        <v/>
      </c>
      <c r="S1277">
        <f>IF($N1277="","",$N1277&amp;"|"&amp;RIGHT("000000"&amp;$R1277,6))</f>
        <v/>
      </c>
      <c r="T1277">
        <f>IF($N1277="","",IF(Sync!$N1277="",0,Sync!$N1277))</f>
        <v/>
      </c>
      <c r="U1277">
        <f>IF($N1277="","",IF(Sync!$O1277="",0,Sync!$O1277))</f>
        <v/>
      </c>
      <c r="V1277">
        <f>IF($N1277="","",Sync!$L1277)</f>
        <v/>
      </c>
      <c r="W1277">
        <f>IF($N1277="","",Sync!$P1277)</f>
        <v/>
      </c>
    </row>
    <row r="1278">
      <c r="N1278">
        <f>IF(OR(Sync!$M1278="",$Q1278="",$Q1278="نامعتبر"),"",Sync!$M1278)</f>
        <v/>
      </c>
      <c r="O1278">
        <f>IF($N1278="","",$Q1278)</f>
        <v/>
      </c>
      <c r="P1278">
        <f>IF($N1278="","",LEFT($Q1278,4)&amp;MID($Q1278,6,2)&amp;RIGHT($Q1278,2)&amp;IF(Sync!$K1278="","0000",IF(AND(ISNUMBER(Sync!$K1278),Sync!$K1278&gt;=0,Sync!$K1278&lt;1),RIGHT("00"&amp;HOUR(Sync!$K1278),2)&amp;RIGHT("00"&amp;MINUTE(Sync!$K1278),2),IFERROR(RIGHT("00"&amp;VALUE(LEFT(Sync!$K1278,FIND(":",Sync!$K1278)-1)),2)&amp;RIGHT("00"&amp;VALUE(MID(Sync!$K1278,FIND(":",Sync!$K1278)+1,2)),2),"0000")))&amp;"|"&amp;"2"&amp;RIGHT("00000"&amp;1273,5))</f>
        <v/>
      </c>
      <c r="Q1278">
        <f>IF(Sync!$J1278="","",IF(ISNUMBER(Sync!$J1278),IF(AND(Sync!$J1278&gt;=10000101,Sync!$J1278&lt;=99991231),INT(Sync!$J1278/10000)&amp;"/"&amp;RIGHT("00"&amp;INT(MOD(Sync!$J1278,10000)/100),2)&amp;"/"&amp;RIGHT("00"&amp;MOD(Sync!$J1278,100),2),"نامعتبر"),IF(LEN(Sync!$J1278)=10,Sync!$J1278,"نامعتبر")))</f>
        <v/>
      </c>
      <c r="R1278">
        <f>IF($P1278="","",COUNTIFS($N$6:$N$2005,$N1278,$P$6:$P$2005,"&lt;"&amp;$P1278)+COUNTIFS($A$6:$A$1005,$N1278,$B$6:$B$1005,"&lt;"&amp;$P1278)+1)</f>
        <v/>
      </c>
      <c r="S1278">
        <f>IF($N1278="","",$N1278&amp;"|"&amp;RIGHT("000000"&amp;$R1278,6))</f>
        <v/>
      </c>
      <c r="T1278">
        <f>IF($N1278="","",IF(Sync!$N1278="",0,Sync!$N1278))</f>
        <v/>
      </c>
      <c r="U1278">
        <f>IF($N1278="","",IF(Sync!$O1278="",0,Sync!$O1278))</f>
        <v/>
      </c>
      <c r="V1278">
        <f>IF($N1278="","",Sync!$L1278)</f>
        <v/>
      </c>
      <c r="W1278">
        <f>IF($N1278="","",Sync!$P1278)</f>
        <v/>
      </c>
    </row>
    <row r="1279">
      <c r="N1279">
        <f>IF(OR(Sync!$M1279="",$Q1279="",$Q1279="نامعتبر"),"",Sync!$M1279)</f>
        <v/>
      </c>
      <c r="O1279">
        <f>IF($N1279="","",$Q1279)</f>
        <v/>
      </c>
      <c r="P1279">
        <f>IF($N1279="","",LEFT($Q1279,4)&amp;MID($Q1279,6,2)&amp;RIGHT($Q1279,2)&amp;IF(Sync!$K1279="","0000",IF(AND(ISNUMBER(Sync!$K1279),Sync!$K1279&gt;=0,Sync!$K1279&lt;1),RIGHT("00"&amp;HOUR(Sync!$K1279),2)&amp;RIGHT("00"&amp;MINUTE(Sync!$K1279),2),IFERROR(RIGHT("00"&amp;VALUE(LEFT(Sync!$K1279,FIND(":",Sync!$K1279)-1)),2)&amp;RIGHT("00"&amp;VALUE(MID(Sync!$K1279,FIND(":",Sync!$K1279)+1,2)),2),"0000")))&amp;"|"&amp;"2"&amp;RIGHT("00000"&amp;1274,5))</f>
        <v/>
      </c>
      <c r="Q1279">
        <f>IF(Sync!$J1279="","",IF(ISNUMBER(Sync!$J1279),IF(AND(Sync!$J1279&gt;=10000101,Sync!$J1279&lt;=99991231),INT(Sync!$J1279/10000)&amp;"/"&amp;RIGHT("00"&amp;INT(MOD(Sync!$J1279,10000)/100),2)&amp;"/"&amp;RIGHT("00"&amp;MOD(Sync!$J1279,100),2),"نامعتبر"),IF(LEN(Sync!$J1279)=10,Sync!$J1279,"نامعتبر")))</f>
        <v/>
      </c>
      <c r="R1279">
        <f>IF($P1279="","",COUNTIFS($N$6:$N$2005,$N1279,$P$6:$P$2005,"&lt;"&amp;$P1279)+COUNTIFS($A$6:$A$1005,$N1279,$B$6:$B$1005,"&lt;"&amp;$P1279)+1)</f>
        <v/>
      </c>
      <c r="S1279">
        <f>IF($N1279="","",$N1279&amp;"|"&amp;RIGHT("000000"&amp;$R1279,6))</f>
        <v/>
      </c>
      <c r="T1279">
        <f>IF($N1279="","",IF(Sync!$N1279="",0,Sync!$N1279))</f>
        <v/>
      </c>
      <c r="U1279">
        <f>IF($N1279="","",IF(Sync!$O1279="",0,Sync!$O1279))</f>
        <v/>
      </c>
      <c r="V1279">
        <f>IF($N1279="","",Sync!$L1279)</f>
        <v/>
      </c>
      <c r="W1279">
        <f>IF($N1279="","",Sync!$P1279)</f>
        <v/>
      </c>
    </row>
    <row r="1280">
      <c r="N1280">
        <f>IF(OR(Sync!$M1280="",$Q1280="",$Q1280="نامعتبر"),"",Sync!$M1280)</f>
        <v/>
      </c>
      <c r="O1280">
        <f>IF($N1280="","",$Q1280)</f>
        <v/>
      </c>
      <c r="P1280">
        <f>IF($N1280="","",LEFT($Q1280,4)&amp;MID($Q1280,6,2)&amp;RIGHT($Q1280,2)&amp;IF(Sync!$K1280="","0000",IF(AND(ISNUMBER(Sync!$K1280),Sync!$K1280&gt;=0,Sync!$K1280&lt;1),RIGHT("00"&amp;HOUR(Sync!$K1280),2)&amp;RIGHT("00"&amp;MINUTE(Sync!$K1280),2),IFERROR(RIGHT("00"&amp;VALUE(LEFT(Sync!$K1280,FIND(":",Sync!$K1280)-1)),2)&amp;RIGHT("00"&amp;VALUE(MID(Sync!$K1280,FIND(":",Sync!$K1280)+1,2)),2),"0000")))&amp;"|"&amp;"2"&amp;RIGHT("00000"&amp;1275,5))</f>
        <v/>
      </c>
      <c r="Q1280">
        <f>IF(Sync!$J1280="","",IF(ISNUMBER(Sync!$J1280),IF(AND(Sync!$J1280&gt;=10000101,Sync!$J1280&lt;=99991231),INT(Sync!$J1280/10000)&amp;"/"&amp;RIGHT("00"&amp;INT(MOD(Sync!$J1280,10000)/100),2)&amp;"/"&amp;RIGHT("00"&amp;MOD(Sync!$J1280,100),2),"نامعتبر"),IF(LEN(Sync!$J1280)=10,Sync!$J1280,"نامعتبر")))</f>
        <v/>
      </c>
      <c r="R1280">
        <f>IF($P1280="","",COUNTIFS($N$6:$N$2005,$N1280,$P$6:$P$2005,"&lt;"&amp;$P1280)+COUNTIFS($A$6:$A$1005,$N1280,$B$6:$B$1005,"&lt;"&amp;$P1280)+1)</f>
        <v/>
      </c>
      <c r="S1280">
        <f>IF($N1280="","",$N1280&amp;"|"&amp;RIGHT("000000"&amp;$R1280,6))</f>
        <v/>
      </c>
      <c r="T1280">
        <f>IF($N1280="","",IF(Sync!$N1280="",0,Sync!$N1280))</f>
        <v/>
      </c>
      <c r="U1280">
        <f>IF($N1280="","",IF(Sync!$O1280="",0,Sync!$O1280))</f>
        <v/>
      </c>
      <c r="V1280">
        <f>IF($N1280="","",Sync!$L1280)</f>
        <v/>
      </c>
      <c r="W1280">
        <f>IF($N1280="","",Sync!$P1280)</f>
        <v/>
      </c>
    </row>
    <row r="1281">
      <c r="N1281">
        <f>IF(OR(Sync!$M1281="",$Q1281="",$Q1281="نامعتبر"),"",Sync!$M1281)</f>
        <v/>
      </c>
      <c r="O1281">
        <f>IF($N1281="","",$Q1281)</f>
        <v/>
      </c>
      <c r="P1281">
        <f>IF($N1281="","",LEFT($Q1281,4)&amp;MID($Q1281,6,2)&amp;RIGHT($Q1281,2)&amp;IF(Sync!$K1281="","0000",IF(AND(ISNUMBER(Sync!$K1281),Sync!$K1281&gt;=0,Sync!$K1281&lt;1),RIGHT("00"&amp;HOUR(Sync!$K1281),2)&amp;RIGHT("00"&amp;MINUTE(Sync!$K1281),2),IFERROR(RIGHT("00"&amp;VALUE(LEFT(Sync!$K1281,FIND(":",Sync!$K1281)-1)),2)&amp;RIGHT("00"&amp;VALUE(MID(Sync!$K1281,FIND(":",Sync!$K1281)+1,2)),2),"0000")))&amp;"|"&amp;"2"&amp;RIGHT("00000"&amp;1276,5))</f>
        <v/>
      </c>
      <c r="Q1281">
        <f>IF(Sync!$J1281="","",IF(ISNUMBER(Sync!$J1281),IF(AND(Sync!$J1281&gt;=10000101,Sync!$J1281&lt;=99991231),INT(Sync!$J1281/10000)&amp;"/"&amp;RIGHT("00"&amp;INT(MOD(Sync!$J1281,10000)/100),2)&amp;"/"&amp;RIGHT("00"&amp;MOD(Sync!$J1281,100),2),"نامعتبر"),IF(LEN(Sync!$J1281)=10,Sync!$J1281,"نامعتبر")))</f>
        <v/>
      </c>
      <c r="R1281">
        <f>IF($P1281="","",COUNTIFS($N$6:$N$2005,$N1281,$P$6:$P$2005,"&lt;"&amp;$P1281)+COUNTIFS($A$6:$A$1005,$N1281,$B$6:$B$1005,"&lt;"&amp;$P1281)+1)</f>
        <v/>
      </c>
      <c r="S1281">
        <f>IF($N1281="","",$N1281&amp;"|"&amp;RIGHT("000000"&amp;$R1281,6))</f>
        <v/>
      </c>
      <c r="T1281">
        <f>IF($N1281="","",IF(Sync!$N1281="",0,Sync!$N1281))</f>
        <v/>
      </c>
      <c r="U1281">
        <f>IF($N1281="","",IF(Sync!$O1281="",0,Sync!$O1281))</f>
        <v/>
      </c>
      <c r="V1281">
        <f>IF($N1281="","",Sync!$L1281)</f>
        <v/>
      </c>
      <c r="W1281">
        <f>IF($N1281="","",Sync!$P1281)</f>
        <v/>
      </c>
    </row>
    <row r="1282">
      <c r="N1282">
        <f>IF(OR(Sync!$M1282="",$Q1282="",$Q1282="نامعتبر"),"",Sync!$M1282)</f>
        <v/>
      </c>
      <c r="O1282">
        <f>IF($N1282="","",$Q1282)</f>
        <v/>
      </c>
      <c r="P1282">
        <f>IF($N1282="","",LEFT($Q1282,4)&amp;MID($Q1282,6,2)&amp;RIGHT($Q1282,2)&amp;IF(Sync!$K1282="","0000",IF(AND(ISNUMBER(Sync!$K1282),Sync!$K1282&gt;=0,Sync!$K1282&lt;1),RIGHT("00"&amp;HOUR(Sync!$K1282),2)&amp;RIGHT("00"&amp;MINUTE(Sync!$K1282),2),IFERROR(RIGHT("00"&amp;VALUE(LEFT(Sync!$K1282,FIND(":",Sync!$K1282)-1)),2)&amp;RIGHT("00"&amp;VALUE(MID(Sync!$K1282,FIND(":",Sync!$K1282)+1,2)),2),"0000")))&amp;"|"&amp;"2"&amp;RIGHT("00000"&amp;1277,5))</f>
        <v/>
      </c>
      <c r="Q1282">
        <f>IF(Sync!$J1282="","",IF(ISNUMBER(Sync!$J1282),IF(AND(Sync!$J1282&gt;=10000101,Sync!$J1282&lt;=99991231),INT(Sync!$J1282/10000)&amp;"/"&amp;RIGHT("00"&amp;INT(MOD(Sync!$J1282,10000)/100),2)&amp;"/"&amp;RIGHT("00"&amp;MOD(Sync!$J1282,100),2),"نامعتبر"),IF(LEN(Sync!$J1282)=10,Sync!$J1282,"نامعتبر")))</f>
        <v/>
      </c>
      <c r="R1282">
        <f>IF($P1282="","",COUNTIFS($N$6:$N$2005,$N1282,$P$6:$P$2005,"&lt;"&amp;$P1282)+COUNTIFS($A$6:$A$1005,$N1282,$B$6:$B$1005,"&lt;"&amp;$P1282)+1)</f>
        <v/>
      </c>
      <c r="S1282">
        <f>IF($N1282="","",$N1282&amp;"|"&amp;RIGHT("000000"&amp;$R1282,6))</f>
        <v/>
      </c>
      <c r="T1282">
        <f>IF($N1282="","",IF(Sync!$N1282="",0,Sync!$N1282))</f>
        <v/>
      </c>
      <c r="U1282">
        <f>IF($N1282="","",IF(Sync!$O1282="",0,Sync!$O1282))</f>
        <v/>
      </c>
      <c r="V1282">
        <f>IF($N1282="","",Sync!$L1282)</f>
        <v/>
      </c>
      <c r="W1282">
        <f>IF($N1282="","",Sync!$P1282)</f>
        <v/>
      </c>
    </row>
    <row r="1283">
      <c r="N1283">
        <f>IF(OR(Sync!$M1283="",$Q1283="",$Q1283="نامعتبر"),"",Sync!$M1283)</f>
        <v/>
      </c>
      <c r="O1283">
        <f>IF($N1283="","",$Q1283)</f>
        <v/>
      </c>
      <c r="P1283">
        <f>IF($N1283="","",LEFT($Q1283,4)&amp;MID($Q1283,6,2)&amp;RIGHT($Q1283,2)&amp;IF(Sync!$K1283="","0000",IF(AND(ISNUMBER(Sync!$K1283),Sync!$K1283&gt;=0,Sync!$K1283&lt;1),RIGHT("00"&amp;HOUR(Sync!$K1283),2)&amp;RIGHT("00"&amp;MINUTE(Sync!$K1283),2),IFERROR(RIGHT("00"&amp;VALUE(LEFT(Sync!$K1283,FIND(":",Sync!$K1283)-1)),2)&amp;RIGHT("00"&amp;VALUE(MID(Sync!$K1283,FIND(":",Sync!$K1283)+1,2)),2),"0000")))&amp;"|"&amp;"2"&amp;RIGHT("00000"&amp;1278,5))</f>
        <v/>
      </c>
      <c r="Q1283">
        <f>IF(Sync!$J1283="","",IF(ISNUMBER(Sync!$J1283),IF(AND(Sync!$J1283&gt;=10000101,Sync!$J1283&lt;=99991231),INT(Sync!$J1283/10000)&amp;"/"&amp;RIGHT("00"&amp;INT(MOD(Sync!$J1283,10000)/100),2)&amp;"/"&amp;RIGHT("00"&amp;MOD(Sync!$J1283,100),2),"نامعتبر"),IF(LEN(Sync!$J1283)=10,Sync!$J1283,"نامعتبر")))</f>
        <v/>
      </c>
      <c r="R1283">
        <f>IF($P1283="","",COUNTIFS($N$6:$N$2005,$N1283,$P$6:$P$2005,"&lt;"&amp;$P1283)+COUNTIFS($A$6:$A$1005,$N1283,$B$6:$B$1005,"&lt;"&amp;$P1283)+1)</f>
        <v/>
      </c>
      <c r="S1283">
        <f>IF($N1283="","",$N1283&amp;"|"&amp;RIGHT("000000"&amp;$R1283,6))</f>
        <v/>
      </c>
      <c r="T1283">
        <f>IF($N1283="","",IF(Sync!$N1283="",0,Sync!$N1283))</f>
        <v/>
      </c>
      <c r="U1283">
        <f>IF($N1283="","",IF(Sync!$O1283="",0,Sync!$O1283))</f>
        <v/>
      </c>
      <c r="V1283">
        <f>IF($N1283="","",Sync!$L1283)</f>
        <v/>
      </c>
      <c r="W1283">
        <f>IF($N1283="","",Sync!$P1283)</f>
        <v/>
      </c>
    </row>
    <row r="1284">
      <c r="N1284">
        <f>IF(OR(Sync!$M1284="",$Q1284="",$Q1284="نامعتبر"),"",Sync!$M1284)</f>
        <v/>
      </c>
      <c r="O1284">
        <f>IF($N1284="","",$Q1284)</f>
        <v/>
      </c>
      <c r="P1284">
        <f>IF($N1284="","",LEFT($Q1284,4)&amp;MID($Q1284,6,2)&amp;RIGHT($Q1284,2)&amp;IF(Sync!$K1284="","0000",IF(AND(ISNUMBER(Sync!$K1284),Sync!$K1284&gt;=0,Sync!$K1284&lt;1),RIGHT("00"&amp;HOUR(Sync!$K1284),2)&amp;RIGHT("00"&amp;MINUTE(Sync!$K1284),2),IFERROR(RIGHT("00"&amp;VALUE(LEFT(Sync!$K1284,FIND(":",Sync!$K1284)-1)),2)&amp;RIGHT("00"&amp;VALUE(MID(Sync!$K1284,FIND(":",Sync!$K1284)+1,2)),2),"0000")))&amp;"|"&amp;"2"&amp;RIGHT("00000"&amp;1279,5))</f>
        <v/>
      </c>
      <c r="Q1284">
        <f>IF(Sync!$J1284="","",IF(ISNUMBER(Sync!$J1284),IF(AND(Sync!$J1284&gt;=10000101,Sync!$J1284&lt;=99991231),INT(Sync!$J1284/10000)&amp;"/"&amp;RIGHT("00"&amp;INT(MOD(Sync!$J1284,10000)/100),2)&amp;"/"&amp;RIGHT("00"&amp;MOD(Sync!$J1284,100),2),"نامعتبر"),IF(LEN(Sync!$J1284)=10,Sync!$J1284,"نامعتبر")))</f>
        <v/>
      </c>
      <c r="R1284">
        <f>IF($P1284="","",COUNTIFS($N$6:$N$2005,$N1284,$P$6:$P$2005,"&lt;"&amp;$P1284)+COUNTIFS($A$6:$A$1005,$N1284,$B$6:$B$1005,"&lt;"&amp;$P1284)+1)</f>
        <v/>
      </c>
      <c r="S1284">
        <f>IF($N1284="","",$N1284&amp;"|"&amp;RIGHT("000000"&amp;$R1284,6))</f>
        <v/>
      </c>
      <c r="T1284">
        <f>IF($N1284="","",IF(Sync!$N1284="",0,Sync!$N1284))</f>
        <v/>
      </c>
      <c r="U1284">
        <f>IF($N1284="","",IF(Sync!$O1284="",0,Sync!$O1284))</f>
        <v/>
      </c>
      <c r="V1284">
        <f>IF($N1284="","",Sync!$L1284)</f>
        <v/>
      </c>
      <c r="W1284">
        <f>IF($N1284="","",Sync!$P1284)</f>
        <v/>
      </c>
    </row>
    <row r="1285">
      <c r="N1285">
        <f>IF(OR(Sync!$M1285="",$Q1285="",$Q1285="نامعتبر"),"",Sync!$M1285)</f>
        <v/>
      </c>
      <c r="O1285">
        <f>IF($N1285="","",$Q1285)</f>
        <v/>
      </c>
      <c r="P1285">
        <f>IF($N1285="","",LEFT($Q1285,4)&amp;MID($Q1285,6,2)&amp;RIGHT($Q1285,2)&amp;IF(Sync!$K1285="","0000",IF(AND(ISNUMBER(Sync!$K1285),Sync!$K1285&gt;=0,Sync!$K1285&lt;1),RIGHT("00"&amp;HOUR(Sync!$K1285),2)&amp;RIGHT("00"&amp;MINUTE(Sync!$K1285),2),IFERROR(RIGHT("00"&amp;VALUE(LEFT(Sync!$K1285,FIND(":",Sync!$K1285)-1)),2)&amp;RIGHT("00"&amp;VALUE(MID(Sync!$K1285,FIND(":",Sync!$K1285)+1,2)),2),"0000")))&amp;"|"&amp;"2"&amp;RIGHT("00000"&amp;1280,5))</f>
        <v/>
      </c>
      <c r="Q1285">
        <f>IF(Sync!$J1285="","",IF(ISNUMBER(Sync!$J1285),IF(AND(Sync!$J1285&gt;=10000101,Sync!$J1285&lt;=99991231),INT(Sync!$J1285/10000)&amp;"/"&amp;RIGHT("00"&amp;INT(MOD(Sync!$J1285,10000)/100),2)&amp;"/"&amp;RIGHT("00"&amp;MOD(Sync!$J1285,100),2),"نامعتبر"),IF(LEN(Sync!$J1285)=10,Sync!$J1285,"نامعتبر")))</f>
        <v/>
      </c>
      <c r="R1285">
        <f>IF($P1285="","",COUNTIFS($N$6:$N$2005,$N1285,$P$6:$P$2005,"&lt;"&amp;$P1285)+COUNTIFS($A$6:$A$1005,$N1285,$B$6:$B$1005,"&lt;"&amp;$P1285)+1)</f>
        <v/>
      </c>
      <c r="S1285">
        <f>IF($N1285="","",$N1285&amp;"|"&amp;RIGHT("000000"&amp;$R1285,6))</f>
        <v/>
      </c>
      <c r="T1285">
        <f>IF($N1285="","",IF(Sync!$N1285="",0,Sync!$N1285))</f>
        <v/>
      </c>
      <c r="U1285">
        <f>IF($N1285="","",IF(Sync!$O1285="",0,Sync!$O1285))</f>
        <v/>
      </c>
      <c r="V1285">
        <f>IF($N1285="","",Sync!$L1285)</f>
        <v/>
      </c>
      <c r="W1285">
        <f>IF($N1285="","",Sync!$P1285)</f>
        <v/>
      </c>
    </row>
    <row r="1286">
      <c r="N1286">
        <f>IF(OR(Sync!$M1286="",$Q1286="",$Q1286="نامعتبر"),"",Sync!$M1286)</f>
        <v/>
      </c>
      <c r="O1286">
        <f>IF($N1286="","",$Q1286)</f>
        <v/>
      </c>
      <c r="P1286">
        <f>IF($N1286="","",LEFT($Q1286,4)&amp;MID($Q1286,6,2)&amp;RIGHT($Q1286,2)&amp;IF(Sync!$K1286="","0000",IF(AND(ISNUMBER(Sync!$K1286),Sync!$K1286&gt;=0,Sync!$K1286&lt;1),RIGHT("00"&amp;HOUR(Sync!$K1286),2)&amp;RIGHT("00"&amp;MINUTE(Sync!$K1286),2),IFERROR(RIGHT("00"&amp;VALUE(LEFT(Sync!$K1286,FIND(":",Sync!$K1286)-1)),2)&amp;RIGHT("00"&amp;VALUE(MID(Sync!$K1286,FIND(":",Sync!$K1286)+1,2)),2),"0000")))&amp;"|"&amp;"2"&amp;RIGHT("00000"&amp;1281,5))</f>
        <v/>
      </c>
      <c r="Q1286">
        <f>IF(Sync!$J1286="","",IF(ISNUMBER(Sync!$J1286),IF(AND(Sync!$J1286&gt;=10000101,Sync!$J1286&lt;=99991231),INT(Sync!$J1286/10000)&amp;"/"&amp;RIGHT("00"&amp;INT(MOD(Sync!$J1286,10000)/100),2)&amp;"/"&amp;RIGHT("00"&amp;MOD(Sync!$J1286,100),2),"نامعتبر"),IF(LEN(Sync!$J1286)=10,Sync!$J1286,"نامعتبر")))</f>
        <v/>
      </c>
      <c r="R1286">
        <f>IF($P1286="","",COUNTIFS($N$6:$N$2005,$N1286,$P$6:$P$2005,"&lt;"&amp;$P1286)+COUNTIFS($A$6:$A$1005,$N1286,$B$6:$B$1005,"&lt;"&amp;$P1286)+1)</f>
        <v/>
      </c>
      <c r="S1286">
        <f>IF($N1286="","",$N1286&amp;"|"&amp;RIGHT("000000"&amp;$R1286,6))</f>
        <v/>
      </c>
      <c r="T1286">
        <f>IF($N1286="","",IF(Sync!$N1286="",0,Sync!$N1286))</f>
        <v/>
      </c>
      <c r="U1286">
        <f>IF($N1286="","",IF(Sync!$O1286="",0,Sync!$O1286))</f>
        <v/>
      </c>
      <c r="V1286">
        <f>IF($N1286="","",Sync!$L1286)</f>
        <v/>
      </c>
      <c r="W1286">
        <f>IF($N1286="","",Sync!$P1286)</f>
        <v/>
      </c>
    </row>
    <row r="1287">
      <c r="N1287">
        <f>IF(OR(Sync!$M1287="",$Q1287="",$Q1287="نامعتبر"),"",Sync!$M1287)</f>
        <v/>
      </c>
      <c r="O1287">
        <f>IF($N1287="","",$Q1287)</f>
        <v/>
      </c>
      <c r="P1287">
        <f>IF($N1287="","",LEFT($Q1287,4)&amp;MID($Q1287,6,2)&amp;RIGHT($Q1287,2)&amp;IF(Sync!$K1287="","0000",IF(AND(ISNUMBER(Sync!$K1287),Sync!$K1287&gt;=0,Sync!$K1287&lt;1),RIGHT("00"&amp;HOUR(Sync!$K1287),2)&amp;RIGHT("00"&amp;MINUTE(Sync!$K1287),2),IFERROR(RIGHT("00"&amp;VALUE(LEFT(Sync!$K1287,FIND(":",Sync!$K1287)-1)),2)&amp;RIGHT("00"&amp;VALUE(MID(Sync!$K1287,FIND(":",Sync!$K1287)+1,2)),2),"0000")))&amp;"|"&amp;"2"&amp;RIGHT("00000"&amp;1282,5))</f>
        <v/>
      </c>
      <c r="Q1287">
        <f>IF(Sync!$J1287="","",IF(ISNUMBER(Sync!$J1287),IF(AND(Sync!$J1287&gt;=10000101,Sync!$J1287&lt;=99991231),INT(Sync!$J1287/10000)&amp;"/"&amp;RIGHT("00"&amp;INT(MOD(Sync!$J1287,10000)/100),2)&amp;"/"&amp;RIGHT("00"&amp;MOD(Sync!$J1287,100),2),"نامعتبر"),IF(LEN(Sync!$J1287)=10,Sync!$J1287,"نامعتبر")))</f>
        <v/>
      </c>
      <c r="R1287">
        <f>IF($P1287="","",COUNTIFS($N$6:$N$2005,$N1287,$P$6:$P$2005,"&lt;"&amp;$P1287)+COUNTIFS($A$6:$A$1005,$N1287,$B$6:$B$1005,"&lt;"&amp;$P1287)+1)</f>
        <v/>
      </c>
      <c r="S1287">
        <f>IF($N1287="","",$N1287&amp;"|"&amp;RIGHT("000000"&amp;$R1287,6))</f>
        <v/>
      </c>
      <c r="T1287">
        <f>IF($N1287="","",IF(Sync!$N1287="",0,Sync!$N1287))</f>
        <v/>
      </c>
      <c r="U1287">
        <f>IF($N1287="","",IF(Sync!$O1287="",0,Sync!$O1287))</f>
        <v/>
      </c>
      <c r="V1287">
        <f>IF($N1287="","",Sync!$L1287)</f>
        <v/>
      </c>
      <c r="W1287">
        <f>IF($N1287="","",Sync!$P1287)</f>
        <v/>
      </c>
    </row>
    <row r="1288">
      <c r="N1288">
        <f>IF(OR(Sync!$M1288="",$Q1288="",$Q1288="نامعتبر"),"",Sync!$M1288)</f>
        <v/>
      </c>
      <c r="O1288">
        <f>IF($N1288="","",$Q1288)</f>
        <v/>
      </c>
      <c r="P1288">
        <f>IF($N1288="","",LEFT($Q1288,4)&amp;MID($Q1288,6,2)&amp;RIGHT($Q1288,2)&amp;IF(Sync!$K1288="","0000",IF(AND(ISNUMBER(Sync!$K1288),Sync!$K1288&gt;=0,Sync!$K1288&lt;1),RIGHT("00"&amp;HOUR(Sync!$K1288),2)&amp;RIGHT("00"&amp;MINUTE(Sync!$K1288),2),IFERROR(RIGHT("00"&amp;VALUE(LEFT(Sync!$K1288,FIND(":",Sync!$K1288)-1)),2)&amp;RIGHT("00"&amp;VALUE(MID(Sync!$K1288,FIND(":",Sync!$K1288)+1,2)),2),"0000")))&amp;"|"&amp;"2"&amp;RIGHT("00000"&amp;1283,5))</f>
        <v/>
      </c>
      <c r="Q1288">
        <f>IF(Sync!$J1288="","",IF(ISNUMBER(Sync!$J1288),IF(AND(Sync!$J1288&gt;=10000101,Sync!$J1288&lt;=99991231),INT(Sync!$J1288/10000)&amp;"/"&amp;RIGHT("00"&amp;INT(MOD(Sync!$J1288,10000)/100),2)&amp;"/"&amp;RIGHT("00"&amp;MOD(Sync!$J1288,100),2),"نامعتبر"),IF(LEN(Sync!$J1288)=10,Sync!$J1288,"نامعتبر")))</f>
        <v/>
      </c>
      <c r="R1288">
        <f>IF($P1288="","",COUNTIFS($N$6:$N$2005,$N1288,$P$6:$P$2005,"&lt;"&amp;$P1288)+COUNTIFS($A$6:$A$1005,$N1288,$B$6:$B$1005,"&lt;"&amp;$P1288)+1)</f>
        <v/>
      </c>
      <c r="S1288">
        <f>IF($N1288="","",$N1288&amp;"|"&amp;RIGHT("000000"&amp;$R1288,6))</f>
        <v/>
      </c>
      <c r="T1288">
        <f>IF($N1288="","",IF(Sync!$N1288="",0,Sync!$N1288))</f>
        <v/>
      </c>
      <c r="U1288">
        <f>IF($N1288="","",IF(Sync!$O1288="",0,Sync!$O1288))</f>
        <v/>
      </c>
      <c r="V1288">
        <f>IF($N1288="","",Sync!$L1288)</f>
        <v/>
      </c>
      <c r="W1288">
        <f>IF($N1288="","",Sync!$P1288)</f>
        <v/>
      </c>
    </row>
    <row r="1289">
      <c r="N1289">
        <f>IF(OR(Sync!$M1289="",$Q1289="",$Q1289="نامعتبر"),"",Sync!$M1289)</f>
        <v/>
      </c>
      <c r="O1289">
        <f>IF($N1289="","",$Q1289)</f>
        <v/>
      </c>
      <c r="P1289">
        <f>IF($N1289="","",LEFT($Q1289,4)&amp;MID($Q1289,6,2)&amp;RIGHT($Q1289,2)&amp;IF(Sync!$K1289="","0000",IF(AND(ISNUMBER(Sync!$K1289),Sync!$K1289&gt;=0,Sync!$K1289&lt;1),RIGHT("00"&amp;HOUR(Sync!$K1289),2)&amp;RIGHT("00"&amp;MINUTE(Sync!$K1289),2),IFERROR(RIGHT("00"&amp;VALUE(LEFT(Sync!$K1289,FIND(":",Sync!$K1289)-1)),2)&amp;RIGHT("00"&amp;VALUE(MID(Sync!$K1289,FIND(":",Sync!$K1289)+1,2)),2),"0000")))&amp;"|"&amp;"2"&amp;RIGHT("00000"&amp;1284,5))</f>
        <v/>
      </c>
      <c r="Q1289">
        <f>IF(Sync!$J1289="","",IF(ISNUMBER(Sync!$J1289),IF(AND(Sync!$J1289&gt;=10000101,Sync!$J1289&lt;=99991231),INT(Sync!$J1289/10000)&amp;"/"&amp;RIGHT("00"&amp;INT(MOD(Sync!$J1289,10000)/100),2)&amp;"/"&amp;RIGHT("00"&amp;MOD(Sync!$J1289,100),2),"نامعتبر"),IF(LEN(Sync!$J1289)=10,Sync!$J1289,"نامعتبر")))</f>
        <v/>
      </c>
      <c r="R1289">
        <f>IF($P1289="","",COUNTIFS($N$6:$N$2005,$N1289,$P$6:$P$2005,"&lt;"&amp;$P1289)+COUNTIFS($A$6:$A$1005,$N1289,$B$6:$B$1005,"&lt;"&amp;$P1289)+1)</f>
        <v/>
      </c>
      <c r="S1289">
        <f>IF($N1289="","",$N1289&amp;"|"&amp;RIGHT("000000"&amp;$R1289,6))</f>
        <v/>
      </c>
      <c r="T1289">
        <f>IF($N1289="","",IF(Sync!$N1289="",0,Sync!$N1289))</f>
        <v/>
      </c>
      <c r="U1289">
        <f>IF($N1289="","",IF(Sync!$O1289="",0,Sync!$O1289))</f>
        <v/>
      </c>
      <c r="V1289">
        <f>IF($N1289="","",Sync!$L1289)</f>
        <v/>
      </c>
      <c r="W1289">
        <f>IF($N1289="","",Sync!$P1289)</f>
        <v/>
      </c>
    </row>
    <row r="1290">
      <c r="N1290">
        <f>IF(OR(Sync!$M1290="",$Q1290="",$Q1290="نامعتبر"),"",Sync!$M1290)</f>
        <v/>
      </c>
      <c r="O1290">
        <f>IF($N1290="","",$Q1290)</f>
        <v/>
      </c>
      <c r="P1290">
        <f>IF($N1290="","",LEFT($Q1290,4)&amp;MID($Q1290,6,2)&amp;RIGHT($Q1290,2)&amp;IF(Sync!$K1290="","0000",IF(AND(ISNUMBER(Sync!$K1290),Sync!$K1290&gt;=0,Sync!$K1290&lt;1),RIGHT("00"&amp;HOUR(Sync!$K1290),2)&amp;RIGHT("00"&amp;MINUTE(Sync!$K1290),2),IFERROR(RIGHT("00"&amp;VALUE(LEFT(Sync!$K1290,FIND(":",Sync!$K1290)-1)),2)&amp;RIGHT("00"&amp;VALUE(MID(Sync!$K1290,FIND(":",Sync!$K1290)+1,2)),2),"0000")))&amp;"|"&amp;"2"&amp;RIGHT("00000"&amp;1285,5))</f>
        <v/>
      </c>
      <c r="Q1290">
        <f>IF(Sync!$J1290="","",IF(ISNUMBER(Sync!$J1290),IF(AND(Sync!$J1290&gt;=10000101,Sync!$J1290&lt;=99991231),INT(Sync!$J1290/10000)&amp;"/"&amp;RIGHT("00"&amp;INT(MOD(Sync!$J1290,10000)/100),2)&amp;"/"&amp;RIGHT("00"&amp;MOD(Sync!$J1290,100),2),"نامعتبر"),IF(LEN(Sync!$J1290)=10,Sync!$J1290,"نامعتبر")))</f>
        <v/>
      </c>
      <c r="R1290">
        <f>IF($P1290="","",COUNTIFS($N$6:$N$2005,$N1290,$P$6:$P$2005,"&lt;"&amp;$P1290)+COUNTIFS($A$6:$A$1005,$N1290,$B$6:$B$1005,"&lt;"&amp;$P1290)+1)</f>
        <v/>
      </c>
      <c r="S1290">
        <f>IF($N1290="","",$N1290&amp;"|"&amp;RIGHT("000000"&amp;$R1290,6))</f>
        <v/>
      </c>
      <c r="T1290">
        <f>IF($N1290="","",IF(Sync!$N1290="",0,Sync!$N1290))</f>
        <v/>
      </c>
      <c r="U1290">
        <f>IF($N1290="","",IF(Sync!$O1290="",0,Sync!$O1290))</f>
        <v/>
      </c>
      <c r="V1290">
        <f>IF($N1290="","",Sync!$L1290)</f>
        <v/>
      </c>
      <c r="W1290">
        <f>IF($N1290="","",Sync!$P1290)</f>
        <v/>
      </c>
    </row>
    <row r="1291">
      <c r="N1291">
        <f>IF(OR(Sync!$M1291="",$Q1291="",$Q1291="نامعتبر"),"",Sync!$M1291)</f>
        <v/>
      </c>
      <c r="O1291">
        <f>IF($N1291="","",$Q1291)</f>
        <v/>
      </c>
      <c r="P1291">
        <f>IF($N1291="","",LEFT($Q1291,4)&amp;MID($Q1291,6,2)&amp;RIGHT($Q1291,2)&amp;IF(Sync!$K1291="","0000",IF(AND(ISNUMBER(Sync!$K1291),Sync!$K1291&gt;=0,Sync!$K1291&lt;1),RIGHT("00"&amp;HOUR(Sync!$K1291),2)&amp;RIGHT("00"&amp;MINUTE(Sync!$K1291),2),IFERROR(RIGHT("00"&amp;VALUE(LEFT(Sync!$K1291,FIND(":",Sync!$K1291)-1)),2)&amp;RIGHT("00"&amp;VALUE(MID(Sync!$K1291,FIND(":",Sync!$K1291)+1,2)),2),"0000")))&amp;"|"&amp;"2"&amp;RIGHT("00000"&amp;1286,5))</f>
        <v/>
      </c>
      <c r="Q1291">
        <f>IF(Sync!$J1291="","",IF(ISNUMBER(Sync!$J1291),IF(AND(Sync!$J1291&gt;=10000101,Sync!$J1291&lt;=99991231),INT(Sync!$J1291/10000)&amp;"/"&amp;RIGHT("00"&amp;INT(MOD(Sync!$J1291,10000)/100),2)&amp;"/"&amp;RIGHT("00"&amp;MOD(Sync!$J1291,100),2),"نامعتبر"),IF(LEN(Sync!$J1291)=10,Sync!$J1291,"نامعتبر")))</f>
        <v/>
      </c>
      <c r="R1291">
        <f>IF($P1291="","",COUNTIFS($N$6:$N$2005,$N1291,$P$6:$P$2005,"&lt;"&amp;$P1291)+COUNTIFS($A$6:$A$1005,$N1291,$B$6:$B$1005,"&lt;"&amp;$P1291)+1)</f>
        <v/>
      </c>
      <c r="S1291">
        <f>IF($N1291="","",$N1291&amp;"|"&amp;RIGHT("000000"&amp;$R1291,6))</f>
        <v/>
      </c>
      <c r="T1291">
        <f>IF($N1291="","",IF(Sync!$N1291="",0,Sync!$N1291))</f>
        <v/>
      </c>
      <c r="U1291">
        <f>IF($N1291="","",IF(Sync!$O1291="",0,Sync!$O1291))</f>
        <v/>
      </c>
      <c r="V1291">
        <f>IF($N1291="","",Sync!$L1291)</f>
        <v/>
      </c>
      <c r="W1291">
        <f>IF($N1291="","",Sync!$P1291)</f>
        <v/>
      </c>
    </row>
    <row r="1292">
      <c r="N1292">
        <f>IF(OR(Sync!$M1292="",$Q1292="",$Q1292="نامعتبر"),"",Sync!$M1292)</f>
        <v/>
      </c>
      <c r="O1292">
        <f>IF($N1292="","",$Q1292)</f>
        <v/>
      </c>
      <c r="P1292">
        <f>IF($N1292="","",LEFT($Q1292,4)&amp;MID($Q1292,6,2)&amp;RIGHT($Q1292,2)&amp;IF(Sync!$K1292="","0000",IF(AND(ISNUMBER(Sync!$K1292),Sync!$K1292&gt;=0,Sync!$K1292&lt;1),RIGHT("00"&amp;HOUR(Sync!$K1292),2)&amp;RIGHT("00"&amp;MINUTE(Sync!$K1292),2),IFERROR(RIGHT("00"&amp;VALUE(LEFT(Sync!$K1292,FIND(":",Sync!$K1292)-1)),2)&amp;RIGHT("00"&amp;VALUE(MID(Sync!$K1292,FIND(":",Sync!$K1292)+1,2)),2),"0000")))&amp;"|"&amp;"2"&amp;RIGHT("00000"&amp;1287,5))</f>
        <v/>
      </c>
      <c r="Q1292">
        <f>IF(Sync!$J1292="","",IF(ISNUMBER(Sync!$J1292),IF(AND(Sync!$J1292&gt;=10000101,Sync!$J1292&lt;=99991231),INT(Sync!$J1292/10000)&amp;"/"&amp;RIGHT("00"&amp;INT(MOD(Sync!$J1292,10000)/100),2)&amp;"/"&amp;RIGHT("00"&amp;MOD(Sync!$J1292,100),2),"نامعتبر"),IF(LEN(Sync!$J1292)=10,Sync!$J1292,"نامعتبر")))</f>
        <v/>
      </c>
      <c r="R1292">
        <f>IF($P1292="","",COUNTIFS($N$6:$N$2005,$N1292,$P$6:$P$2005,"&lt;"&amp;$P1292)+COUNTIFS($A$6:$A$1005,$N1292,$B$6:$B$1005,"&lt;"&amp;$P1292)+1)</f>
        <v/>
      </c>
      <c r="S1292">
        <f>IF($N1292="","",$N1292&amp;"|"&amp;RIGHT("000000"&amp;$R1292,6))</f>
        <v/>
      </c>
      <c r="T1292">
        <f>IF($N1292="","",IF(Sync!$N1292="",0,Sync!$N1292))</f>
        <v/>
      </c>
      <c r="U1292">
        <f>IF($N1292="","",IF(Sync!$O1292="",0,Sync!$O1292))</f>
        <v/>
      </c>
      <c r="V1292">
        <f>IF($N1292="","",Sync!$L1292)</f>
        <v/>
      </c>
      <c r="W1292">
        <f>IF($N1292="","",Sync!$P1292)</f>
        <v/>
      </c>
    </row>
    <row r="1293">
      <c r="N1293">
        <f>IF(OR(Sync!$M1293="",$Q1293="",$Q1293="نامعتبر"),"",Sync!$M1293)</f>
        <v/>
      </c>
      <c r="O1293">
        <f>IF($N1293="","",$Q1293)</f>
        <v/>
      </c>
      <c r="P1293">
        <f>IF($N1293="","",LEFT($Q1293,4)&amp;MID($Q1293,6,2)&amp;RIGHT($Q1293,2)&amp;IF(Sync!$K1293="","0000",IF(AND(ISNUMBER(Sync!$K1293),Sync!$K1293&gt;=0,Sync!$K1293&lt;1),RIGHT("00"&amp;HOUR(Sync!$K1293),2)&amp;RIGHT("00"&amp;MINUTE(Sync!$K1293),2),IFERROR(RIGHT("00"&amp;VALUE(LEFT(Sync!$K1293,FIND(":",Sync!$K1293)-1)),2)&amp;RIGHT("00"&amp;VALUE(MID(Sync!$K1293,FIND(":",Sync!$K1293)+1,2)),2),"0000")))&amp;"|"&amp;"2"&amp;RIGHT("00000"&amp;1288,5))</f>
        <v/>
      </c>
      <c r="Q1293">
        <f>IF(Sync!$J1293="","",IF(ISNUMBER(Sync!$J1293),IF(AND(Sync!$J1293&gt;=10000101,Sync!$J1293&lt;=99991231),INT(Sync!$J1293/10000)&amp;"/"&amp;RIGHT("00"&amp;INT(MOD(Sync!$J1293,10000)/100),2)&amp;"/"&amp;RIGHT("00"&amp;MOD(Sync!$J1293,100),2),"نامعتبر"),IF(LEN(Sync!$J1293)=10,Sync!$J1293,"نامعتبر")))</f>
        <v/>
      </c>
      <c r="R1293">
        <f>IF($P1293="","",COUNTIFS($N$6:$N$2005,$N1293,$P$6:$P$2005,"&lt;"&amp;$P1293)+COUNTIFS($A$6:$A$1005,$N1293,$B$6:$B$1005,"&lt;"&amp;$P1293)+1)</f>
        <v/>
      </c>
      <c r="S1293">
        <f>IF($N1293="","",$N1293&amp;"|"&amp;RIGHT("000000"&amp;$R1293,6))</f>
        <v/>
      </c>
      <c r="T1293">
        <f>IF($N1293="","",IF(Sync!$N1293="",0,Sync!$N1293))</f>
        <v/>
      </c>
      <c r="U1293">
        <f>IF($N1293="","",IF(Sync!$O1293="",0,Sync!$O1293))</f>
        <v/>
      </c>
      <c r="V1293">
        <f>IF($N1293="","",Sync!$L1293)</f>
        <v/>
      </c>
      <c r="W1293">
        <f>IF($N1293="","",Sync!$P1293)</f>
        <v/>
      </c>
    </row>
    <row r="1294">
      <c r="N1294">
        <f>IF(OR(Sync!$M1294="",$Q1294="",$Q1294="نامعتبر"),"",Sync!$M1294)</f>
        <v/>
      </c>
      <c r="O1294">
        <f>IF($N1294="","",$Q1294)</f>
        <v/>
      </c>
      <c r="P1294">
        <f>IF($N1294="","",LEFT($Q1294,4)&amp;MID($Q1294,6,2)&amp;RIGHT($Q1294,2)&amp;IF(Sync!$K1294="","0000",IF(AND(ISNUMBER(Sync!$K1294),Sync!$K1294&gt;=0,Sync!$K1294&lt;1),RIGHT("00"&amp;HOUR(Sync!$K1294),2)&amp;RIGHT("00"&amp;MINUTE(Sync!$K1294),2),IFERROR(RIGHT("00"&amp;VALUE(LEFT(Sync!$K1294,FIND(":",Sync!$K1294)-1)),2)&amp;RIGHT("00"&amp;VALUE(MID(Sync!$K1294,FIND(":",Sync!$K1294)+1,2)),2),"0000")))&amp;"|"&amp;"2"&amp;RIGHT("00000"&amp;1289,5))</f>
        <v/>
      </c>
      <c r="Q1294">
        <f>IF(Sync!$J1294="","",IF(ISNUMBER(Sync!$J1294),IF(AND(Sync!$J1294&gt;=10000101,Sync!$J1294&lt;=99991231),INT(Sync!$J1294/10000)&amp;"/"&amp;RIGHT("00"&amp;INT(MOD(Sync!$J1294,10000)/100),2)&amp;"/"&amp;RIGHT("00"&amp;MOD(Sync!$J1294,100),2),"نامعتبر"),IF(LEN(Sync!$J1294)=10,Sync!$J1294,"نامعتبر")))</f>
        <v/>
      </c>
      <c r="R1294">
        <f>IF($P1294="","",COUNTIFS($N$6:$N$2005,$N1294,$P$6:$P$2005,"&lt;"&amp;$P1294)+COUNTIFS($A$6:$A$1005,$N1294,$B$6:$B$1005,"&lt;"&amp;$P1294)+1)</f>
        <v/>
      </c>
      <c r="S1294">
        <f>IF($N1294="","",$N1294&amp;"|"&amp;RIGHT("000000"&amp;$R1294,6))</f>
        <v/>
      </c>
      <c r="T1294">
        <f>IF($N1294="","",IF(Sync!$N1294="",0,Sync!$N1294))</f>
        <v/>
      </c>
      <c r="U1294">
        <f>IF($N1294="","",IF(Sync!$O1294="",0,Sync!$O1294))</f>
        <v/>
      </c>
      <c r="V1294">
        <f>IF($N1294="","",Sync!$L1294)</f>
        <v/>
      </c>
      <c r="W1294">
        <f>IF($N1294="","",Sync!$P1294)</f>
        <v/>
      </c>
    </row>
    <row r="1295">
      <c r="N1295">
        <f>IF(OR(Sync!$M1295="",$Q1295="",$Q1295="نامعتبر"),"",Sync!$M1295)</f>
        <v/>
      </c>
      <c r="O1295">
        <f>IF($N1295="","",$Q1295)</f>
        <v/>
      </c>
      <c r="P1295">
        <f>IF($N1295="","",LEFT($Q1295,4)&amp;MID($Q1295,6,2)&amp;RIGHT($Q1295,2)&amp;IF(Sync!$K1295="","0000",IF(AND(ISNUMBER(Sync!$K1295),Sync!$K1295&gt;=0,Sync!$K1295&lt;1),RIGHT("00"&amp;HOUR(Sync!$K1295),2)&amp;RIGHT("00"&amp;MINUTE(Sync!$K1295),2),IFERROR(RIGHT("00"&amp;VALUE(LEFT(Sync!$K1295,FIND(":",Sync!$K1295)-1)),2)&amp;RIGHT("00"&amp;VALUE(MID(Sync!$K1295,FIND(":",Sync!$K1295)+1,2)),2),"0000")))&amp;"|"&amp;"2"&amp;RIGHT("00000"&amp;1290,5))</f>
        <v/>
      </c>
      <c r="Q1295">
        <f>IF(Sync!$J1295="","",IF(ISNUMBER(Sync!$J1295),IF(AND(Sync!$J1295&gt;=10000101,Sync!$J1295&lt;=99991231),INT(Sync!$J1295/10000)&amp;"/"&amp;RIGHT("00"&amp;INT(MOD(Sync!$J1295,10000)/100),2)&amp;"/"&amp;RIGHT("00"&amp;MOD(Sync!$J1295,100),2),"نامعتبر"),IF(LEN(Sync!$J1295)=10,Sync!$J1295,"نامعتبر")))</f>
        <v/>
      </c>
      <c r="R1295">
        <f>IF($P1295="","",COUNTIFS($N$6:$N$2005,$N1295,$P$6:$P$2005,"&lt;"&amp;$P1295)+COUNTIFS($A$6:$A$1005,$N1295,$B$6:$B$1005,"&lt;"&amp;$P1295)+1)</f>
        <v/>
      </c>
      <c r="S1295">
        <f>IF($N1295="","",$N1295&amp;"|"&amp;RIGHT("000000"&amp;$R1295,6))</f>
        <v/>
      </c>
      <c r="T1295">
        <f>IF($N1295="","",IF(Sync!$N1295="",0,Sync!$N1295))</f>
        <v/>
      </c>
      <c r="U1295">
        <f>IF($N1295="","",IF(Sync!$O1295="",0,Sync!$O1295))</f>
        <v/>
      </c>
      <c r="V1295">
        <f>IF($N1295="","",Sync!$L1295)</f>
        <v/>
      </c>
      <c r="W1295">
        <f>IF($N1295="","",Sync!$P1295)</f>
        <v/>
      </c>
    </row>
    <row r="1296">
      <c r="N1296">
        <f>IF(OR(Sync!$M1296="",$Q1296="",$Q1296="نامعتبر"),"",Sync!$M1296)</f>
        <v/>
      </c>
      <c r="O1296">
        <f>IF($N1296="","",$Q1296)</f>
        <v/>
      </c>
      <c r="P1296">
        <f>IF($N1296="","",LEFT($Q1296,4)&amp;MID($Q1296,6,2)&amp;RIGHT($Q1296,2)&amp;IF(Sync!$K1296="","0000",IF(AND(ISNUMBER(Sync!$K1296),Sync!$K1296&gt;=0,Sync!$K1296&lt;1),RIGHT("00"&amp;HOUR(Sync!$K1296),2)&amp;RIGHT("00"&amp;MINUTE(Sync!$K1296),2),IFERROR(RIGHT("00"&amp;VALUE(LEFT(Sync!$K1296,FIND(":",Sync!$K1296)-1)),2)&amp;RIGHT("00"&amp;VALUE(MID(Sync!$K1296,FIND(":",Sync!$K1296)+1,2)),2),"0000")))&amp;"|"&amp;"2"&amp;RIGHT("00000"&amp;1291,5))</f>
        <v/>
      </c>
      <c r="Q1296">
        <f>IF(Sync!$J1296="","",IF(ISNUMBER(Sync!$J1296),IF(AND(Sync!$J1296&gt;=10000101,Sync!$J1296&lt;=99991231),INT(Sync!$J1296/10000)&amp;"/"&amp;RIGHT("00"&amp;INT(MOD(Sync!$J1296,10000)/100),2)&amp;"/"&amp;RIGHT("00"&amp;MOD(Sync!$J1296,100),2),"نامعتبر"),IF(LEN(Sync!$J1296)=10,Sync!$J1296,"نامعتبر")))</f>
        <v/>
      </c>
      <c r="R1296">
        <f>IF($P1296="","",COUNTIFS($N$6:$N$2005,$N1296,$P$6:$P$2005,"&lt;"&amp;$P1296)+COUNTIFS($A$6:$A$1005,$N1296,$B$6:$B$1005,"&lt;"&amp;$P1296)+1)</f>
        <v/>
      </c>
      <c r="S1296">
        <f>IF($N1296="","",$N1296&amp;"|"&amp;RIGHT("000000"&amp;$R1296,6))</f>
        <v/>
      </c>
      <c r="T1296">
        <f>IF($N1296="","",IF(Sync!$N1296="",0,Sync!$N1296))</f>
        <v/>
      </c>
      <c r="U1296">
        <f>IF($N1296="","",IF(Sync!$O1296="",0,Sync!$O1296))</f>
        <v/>
      </c>
      <c r="V1296">
        <f>IF($N1296="","",Sync!$L1296)</f>
        <v/>
      </c>
      <c r="W1296">
        <f>IF($N1296="","",Sync!$P1296)</f>
        <v/>
      </c>
    </row>
    <row r="1297">
      <c r="N1297">
        <f>IF(OR(Sync!$M1297="",$Q1297="",$Q1297="نامعتبر"),"",Sync!$M1297)</f>
        <v/>
      </c>
      <c r="O1297">
        <f>IF($N1297="","",$Q1297)</f>
        <v/>
      </c>
      <c r="P1297">
        <f>IF($N1297="","",LEFT($Q1297,4)&amp;MID($Q1297,6,2)&amp;RIGHT($Q1297,2)&amp;IF(Sync!$K1297="","0000",IF(AND(ISNUMBER(Sync!$K1297),Sync!$K1297&gt;=0,Sync!$K1297&lt;1),RIGHT("00"&amp;HOUR(Sync!$K1297),2)&amp;RIGHT("00"&amp;MINUTE(Sync!$K1297),2),IFERROR(RIGHT("00"&amp;VALUE(LEFT(Sync!$K1297,FIND(":",Sync!$K1297)-1)),2)&amp;RIGHT("00"&amp;VALUE(MID(Sync!$K1297,FIND(":",Sync!$K1297)+1,2)),2),"0000")))&amp;"|"&amp;"2"&amp;RIGHT("00000"&amp;1292,5))</f>
        <v/>
      </c>
      <c r="Q1297">
        <f>IF(Sync!$J1297="","",IF(ISNUMBER(Sync!$J1297),IF(AND(Sync!$J1297&gt;=10000101,Sync!$J1297&lt;=99991231),INT(Sync!$J1297/10000)&amp;"/"&amp;RIGHT("00"&amp;INT(MOD(Sync!$J1297,10000)/100),2)&amp;"/"&amp;RIGHT("00"&amp;MOD(Sync!$J1297,100),2),"نامعتبر"),IF(LEN(Sync!$J1297)=10,Sync!$J1297,"نامعتبر")))</f>
        <v/>
      </c>
      <c r="R1297">
        <f>IF($P1297="","",COUNTIFS($N$6:$N$2005,$N1297,$P$6:$P$2005,"&lt;"&amp;$P1297)+COUNTIFS($A$6:$A$1005,$N1297,$B$6:$B$1005,"&lt;"&amp;$P1297)+1)</f>
        <v/>
      </c>
      <c r="S1297">
        <f>IF($N1297="","",$N1297&amp;"|"&amp;RIGHT("000000"&amp;$R1297,6))</f>
        <v/>
      </c>
      <c r="T1297">
        <f>IF($N1297="","",IF(Sync!$N1297="",0,Sync!$N1297))</f>
        <v/>
      </c>
      <c r="U1297">
        <f>IF($N1297="","",IF(Sync!$O1297="",0,Sync!$O1297))</f>
        <v/>
      </c>
      <c r="V1297">
        <f>IF($N1297="","",Sync!$L1297)</f>
        <v/>
      </c>
      <c r="W1297">
        <f>IF($N1297="","",Sync!$P1297)</f>
        <v/>
      </c>
    </row>
    <row r="1298">
      <c r="N1298">
        <f>IF(OR(Sync!$M1298="",$Q1298="",$Q1298="نامعتبر"),"",Sync!$M1298)</f>
        <v/>
      </c>
      <c r="O1298">
        <f>IF($N1298="","",$Q1298)</f>
        <v/>
      </c>
      <c r="P1298">
        <f>IF($N1298="","",LEFT($Q1298,4)&amp;MID($Q1298,6,2)&amp;RIGHT($Q1298,2)&amp;IF(Sync!$K1298="","0000",IF(AND(ISNUMBER(Sync!$K1298),Sync!$K1298&gt;=0,Sync!$K1298&lt;1),RIGHT("00"&amp;HOUR(Sync!$K1298),2)&amp;RIGHT("00"&amp;MINUTE(Sync!$K1298),2),IFERROR(RIGHT("00"&amp;VALUE(LEFT(Sync!$K1298,FIND(":",Sync!$K1298)-1)),2)&amp;RIGHT("00"&amp;VALUE(MID(Sync!$K1298,FIND(":",Sync!$K1298)+1,2)),2),"0000")))&amp;"|"&amp;"2"&amp;RIGHT("00000"&amp;1293,5))</f>
        <v/>
      </c>
      <c r="Q1298">
        <f>IF(Sync!$J1298="","",IF(ISNUMBER(Sync!$J1298),IF(AND(Sync!$J1298&gt;=10000101,Sync!$J1298&lt;=99991231),INT(Sync!$J1298/10000)&amp;"/"&amp;RIGHT("00"&amp;INT(MOD(Sync!$J1298,10000)/100),2)&amp;"/"&amp;RIGHT("00"&amp;MOD(Sync!$J1298,100),2),"نامعتبر"),IF(LEN(Sync!$J1298)=10,Sync!$J1298,"نامعتبر")))</f>
        <v/>
      </c>
      <c r="R1298">
        <f>IF($P1298="","",COUNTIFS($N$6:$N$2005,$N1298,$P$6:$P$2005,"&lt;"&amp;$P1298)+COUNTIFS($A$6:$A$1005,$N1298,$B$6:$B$1005,"&lt;"&amp;$P1298)+1)</f>
        <v/>
      </c>
      <c r="S1298">
        <f>IF($N1298="","",$N1298&amp;"|"&amp;RIGHT("000000"&amp;$R1298,6))</f>
        <v/>
      </c>
      <c r="T1298">
        <f>IF($N1298="","",IF(Sync!$N1298="",0,Sync!$N1298))</f>
        <v/>
      </c>
      <c r="U1298">
        <f>IF($N1298="","",IF(Sync!$O1298="",0,Sync!$O1298))</f>
        <v/>
      </c>
      <c r="V1298">
        <f>IF($N1298="","",Sync!$L1298)</f>
        <v/>
      </c>
      <c r="W1298">
        <f>IF($N1298="","",Sync!$P1298)</f>
        <v/>
      </c>
    </row>
    <row r="1299">
      <c r="N1299">
        <f>IF(OR(Sync!$M1299="",$Q1299="",$Q1299="نامعتبر"),"",Sync!$M1299)</f>
        <v/>
      </c>
      <c r="O1299">
        <f>IF($N1299="","",$Q1299)</f>
        <v/>
      </c>
      <c r="P1299">
        <f>IF($N1299="","",LEFT($Q1299,4)&amp;MID($Q1299,6,2)&amp;RIGHT($Q1299,2)&amp;IF(Sync!$K1299="","0000",IF(AND(ISNUMBER(Sync!$K1299),Sync!$K1299&gt;=0,Sync!$K1299&lt;1),RIGHT("00"&amp;HOUR(Sync!$K1299),2)&amp;RIGHT("00"&amp;MINUTE(Sync!$K1299),2),IFERROR(RIGHT("00"&amp;VALUE(LEFT(Sync!$K1299,FIND(":",Sync!$K1299)-1)),2)&amp;RIGHT("00"&amp;VALUE(MID(Sync!$K1299,FIND(":",Sync!$K1299)+1,2)),2),"0000")))&amp;"|"&amp;"2"&amp;RIGHT("00000"&amp;1294,5))</f>
        <v/>
      </c>
      <c r="Q1299">
        <f>IF(Sync!$J1299="","",IF(ISNUMBER(Sync!$J1299),IF(AND(Sync!$J1299&gt;=10000101,Sync!$J1299&lt;=99991231),INT(Sync!$J1299/10000)&amp;"/"&amp;RIGHT("00"&amp;INT(MOD(Sync!$J1299,10000)/100),2)&amp;"/"&amp;RIGHT("00"&amp;MOD(Sync!$J1299,100),2),"نامعتبر"),IF(LEN(Sync!$J1299)=10,Sync!$J1299,"نامعتبر")))</f>
        <v/>
      </c>
      <c r="R1299">
        <f>IF($P1299="","",COUNTIFS($N$6:$N$2005,$N1299,$P$6:$P$2005,"&lt;"&amp;$P1299)+COUNTIFS($A$6:$A$1005,$N1299,$B$6:$B$1005,"&lt;"&amp;$P1299)+1)</f>
        <v/>
      </c>
      <c r="S1299">
        <f>IF($N1299="","",$N1299&amp;"|"&amp;RIGHT("000000"&amp;$R1299,6))</f>
        <v/>
      </c>
      <c r="T1299">
        <f>IF($N1299="","",IF(Sync!$N1299="",0,Sync!$N1299))</f>
        <v/>
      </c>
      <c r="U1299">
        <f>IF($N1299="","",IF(Sync!$O1299="",0,Sync!$O1299))</f>
        <v/>
      </c>
      <c r="V1299">
        <f>IF($N1299="","",Sync!$L1299)</f>
        <v/>
      </c>
      <c r="W1299">
        <f>IF($N1299="","",Sync!$P1299)</f>
        <v/>
      </c>
    </row>
    <row r="1300">
      <c r="N1300">
        <f>IF(OR(Sync!$M1300="",$Q1300="",$Q1300="نامعتبر"),"",Sync!$M1300)</f>
        <v/>
      </c>
      <c r="O1300">
        <f>IF($N1300="","",$Q1300)</f>
        <v/>
      </c>
      <c r="P1300">
        <f>IF($N1300="","",LEFT($Q1300,4)&amp;MID($Q1300,6,2)&amp;RIGHT($Q1300,2)&amp;IF(Sync!$K1300="","0000",IF(AND(ISNUMBER(Sync!$K1300),Sync!$K1300&gt;=0,Sync!$K1300&lt;1),RIGHT("00"&amp;HOUR(Sync!$K1300),2)&amp;RIGHT("00"&amp;MINUTE(Sync!$K1300),2),IFERROR(RIGHT("00"&amp;VALUE(LEFT(Sync!$K1300,FIND(":",Sync!$K1300)-1)),2)&amp;RIGHT("00"&amp;VALUE(MID(Sync!$K1300,FIND(":",Sync!$K1300)+1,2)),2),"0000")))&amp;"|"&amp;"2"&amp;RIGHT("00000"&amp;1295,5))</f>
        <v/>
      </c>
      <c r="Q1300">
        <f>IF(Sync!$J1300="","",IF(ISNUMBER(Sync!$J1300),IF(AND(Sync!$J1300&gt;=10000101,Sync!$J1300&lt;=99991231),INT(Sync!$J1300/10000)&amp;"/"&amp;RIGHT("00"&amp;INT(MOD(Sync!$J1300,10000)/100),2)&amp;"/"&amp;RIGHT("00"&amp;MOD(Sync!$J1300,100),2),"نامعتبر"),IF(LEN(Sync!$J1300)=10,Sync!$J1300,"نامعتبر")))</f>
        <v/>
      </c>
      <c r="R1300">
        <f>IF($P1300="","",COUNTIFS($N$6:$N$2005,$N1300,$P$6:$P$2005,"&lt;"&amp;$P1300)+COUNTIFS($A$6:$A$1005,$N1300,$B$6:$B$1005,"&lt;"&amp;$P1300)+1)</f>
        <v/>
      </c>
      <c r="S1300">
        <f>IF($N1300="","",$N1300&amp;"|"&amp;RIGHT("000000"&amp;$R1300,6))</f>
        <v/>
      </c>
      <c r="T1300">
        <f>IF($N1300="","",IF(Sync!$N1300="",0,Sync!$N1300))</f>
        <v/>
      </c>
      <c r="U1300">
        <f>IF($N1300="","",IF(Sync!$O1300="",0,Sync!$O1300))</f>
        <v/>
      </c>
      <c r="V1300">
        <f>IF($N1300="","",Sync!$L1300)</f>
        <v/>
      </c>
      <c r="W1300">
        <f>IF($N1300="","",Sync!$P1300)</f>
        <v/>
      </c>
    </row>
    <row r="1301">
      <c r="N1301">
        <f>IF(OR(Sync!$M1301="",$Q1301="",$Q1301="نامعتبر"),"",Sync!$M1301)</f>
        <v/>
      </c>
      <c r="O1301">
        <f>IF($N1301="","",$Q1301)</f>
        <v/>
      </c>
      <c r="P1301">
        <f>IF($N1301="","",LEFT($Q1301,4)&amp;MID($Q1301,6,2)&amp;RIGHT($Q1301,2)&amp;IF(Sync!$K1301="","0000",IF(AND(ISNUMBER(Sync!$K1301),Sync!$K1301&gt;=0,Sync!$K1301&lt;1),RIGHT("00"&amp;HOUR(Sync!$K1301),2)&amp;RIGHT("00"&amp;MINUTE(Sync!$K1301),2),IFERROR(RIGHT("00"&amp;VALUE(LEFT(Sync!$K1301,FIND(":",Sync!$K1301)-1)),2)&amp;RIGHT("00"&amp;VALUE(MID(Sync!$K1301,FIND(":",Sync!$K1301)+1,2)),2),"0000")))&amp;"|"&amp;"2"&amp;RIGHT("00000"&amp;1296,5))</f>
        <v/>
      </c>
      <c r="Q1301">
        <f>IF(Sync!$J1301="","",IF(ISNUMBER(Sync!$J1301),IF(AND(Sync!$J1301&gt;=10000101,Sync!$J1301&lt;=99991231),INT(Sync!$J1301/10000)&amp;"/"&amp;RIGHT("00"&amp;INT(MOD(Sync!$J1301,10000)/100),2)&amp;"/"&amp;RIGHT("00"&amp;MOD(Sync!$J1301,100),2),"نامعتبر"),IF(LEN(Sync!$J1301)=10,Sync!$J1301,"نامعتبر")))</f>
        <v/>
      </c>
      <c r="R1301">
        <f>IF($P1301="","",COUNTIFS($N$6:$N$2005,$N1301,$P$6:$P$2005,"&lt;"&amp;$P1301)+COUNTIFS($A$6:$A$1005,$N1301,$B$6:$B$1005,"&lt;"&amp;$P1301)+1)</f>
        <v/>
      </c>
      <c r="S1301">
        <f>IF($N1301="","",$N1301&amp;"|"&amp;RIGHT("000000"&amp;$R1301,6))</f>
        <v/>
      </c>
      <c r="T1301">
        <f>IF($N1301="","",IF(Sync!$N1301="",0,Sync!$N1301))</f>
        <v/>
      </c>
      <c r="U1301">
        <f>IF($N1301="","",IF(Sync!$O1301="",0,Sync!$O1301))</f>
        <v/>
      </c>
      <c r="V1301">
        <f>IF($N1301="","",Sync!$L1301)</f>
        <v/>
      </c>
      <c r="W1301">
        <f>IF($N1301="","",Sync!$P1301)</f>
        <v/>
      </c>
    </row>
    <row r="1302">
      <c r="N1302">
        <f>IF(OR(Sync!$M1302="",$Q1302="",$Q1302="نامعتبر"),"",Sync!$M1302)</f>
        <v/>
      </c>
      <c r="O1302">
        <f>IF($N1302="","",$Q1302)</f>
        <v/>
      </c>
      <c r="P1302">
        <f>IF($N1302="","",LEFT($Q1302,4)&amp;MID($Q1302,6,2)&amp;RIGHT($Q1302,2)&amp;IF(Sync!$K1302="","0000",IF(AND(ISNUMBER(Sync!$K1302),Sync!$K1302&gt;=0,Sync!$K1302&lt;1),RIGHT("00"&amp;HOUR(Sync!$K1302),2)&amp;RIGHT("00"&amp;MINUTE(Sync!$K1302),2),IFERROR(RIGHT("00"&amp;VALUE(LEFT(Sync!$K1302,FIND(":",Sync!$K1302)-1)),2)&amp;RIGHT("00"&amp;VALUE(MID(Sync!$K1302,FIND(":",Sync!$K1302)+1,2)),2),"0000")))&amp;"|"&amp;"2"&amp;RIGHT("00000"&amp;1297,5))</f>
        <v/>
      </c>
      <c r="Q1302">
        <f>IF(Sync!$J1302="","",IF(ISNUMBER(Sync!$J1302),IF(AND(Sync!$J1302&gt;=10000101,Sync!$J1302&lt;=99991231),INT(Sync!$J1302/10000)&amp;"/"&amp;RIGHT("00"&amp;INT(MOD(Sync!$J1302,10000)/100),2)&amp;"/"&amp;RIGHT("00"&amp;MOD(Sync!$J1302,100),2),"نامعتبر"),IF(LEN(Sync!$J1302)=10,Sync!$J1302,"نامعتبر")))</f>
        <v/>
      </c>
      <c r="R1302">
        <f>IF($P1302="","",COUNTIFS($N$6:$N$2005,$N1302,$P$6:$P$2005,"&lt;"&amp;$P1302)+COUNTIFS($A$6:$A$1005,$N1302,$B$6:$B$1005,"&lt;"&amp;$P1302)+1)</f>
        <v/>
      </c>
      <c r="S1302">
        <f>IF($N1302="","",$N1302&amp;"|"&amp;RIGHT("000000"&amp;$R1302,6))</f>
        <v/>
      </c>
      <c r="T1302">
        <f>IF($N1302="","",IF(Sync!$N1302="",0,Sync!$N1302))</f>
        <v/>
      </c>
      <c r="U1302">
        <f>IF($N1302="","",IF(Sync!$O1302="",0,Sync!$O1302))</f>
        <v/>
      </c>
      <c r="V1302">
        <f>IF($N1302="","",Sync!$L1302)</f>
        <v/>
      </c>
      <c r="W1302">
        <f>IF($N1302="","",Sync!$P1302)</f>
        <v/>
      </c>
    </row>
    <row r="1303">
      <c r="N1303">
        <f>IF(OR(Sync!$M1303="",$Q1303="",$Q1303="نامعتبر"),"",Sync!$M1303)</f>
        <v/>
      </c>
      <c r="O1303">
        <f>IF($N1303="","",$Q1303)</f>
        <v/>
      </c>
      <c r="P1303">
        <f>IF($N1303="","",LEFT($Q1303,4)&amp;MID($Q1303,6,2)&amp;RIGHT($Q1303,2)&amp;IF(Sync!$K1303="","0000",IF(AND(ISNUMBER(Sync!$K1303),Sync!$K1303&gt;=0,Sync!$K1303&lt;1),RIGHT("00"&amp;HOUR(Sync!$K1303),2)&amp;RIGHT("00"&amp;MINUTE(Sync!$K1303),2),IFERROR(RIGHT("00"&amp;VALUE(LEFT(Sync!$K1303,FIND(":",Sync!$K1303)-1)),2)&amp;RIGHT("00"&amp;VALUE(MID(Sync!$K1303,FIND(":",Sync!$K1303)+1,2)),2),"0000")))&amp;"|"&amp;"2"&amp;RIGHT("00000"&amp;1298,5))</f>
        <v/>
      </c>
      <c r="Q1303">
        <f>IF(Sync!$J1303="","",IF(ISNUMBER(Sync!$J1303),IF(AND(Sync!$J1303&gt;=10000101,Sync!$J1303&lt;=99991231),INT(Sync!$J1303/10000)&amp;"/"&amp;RIGHT("00"&amp;INT(MOD(Sync!$J1303,10000)/100),2)&amp;"/"&amp;RIGHT("00"&amp;MOD(Sync!$J1303,100),2),"نامعتبر"),IF(LEN(Sync!$J1303)=10,Sync!$J1303,"نامعتبر")))</f>
        <v/>
      </c>
      <c r="R1303">
        <f>IF($P1303="","",COUNTIFS($N$6:$N$2005,$N1303,$P$6:$P$2005,"&lt;"&amp;$P1303)+COUNTIFS($A$6:$A$1005,$N1303,$B$6:$B$1005,"&lt;"&amp;$P1303)+1)</f>
        <v/>
      </c>
      <c r="S1303">
        <f>IF($N1303="","",$N1303&amp;"|"&amp;RIGHT("000000"&amp;$R1303,6))</f>
        <v/>
      </c>
      <c r="T1303">
        <f>IF($N1303="","",IF(Sync!$N1303="",0,Sync!$N1303))</f>
        <v/>
      </c>
      <c r="U1303">
        <f>IF($N1303="","",IF(Sync!$O1303="",0,Sync!$O1303))</f>
        <v/>
      </c>
      <c r="V1303">
        <f>IF($N1303="","",Sync!$L1303)</f>
        <v/>
      </c>
      <c r="W1303">
        <f>IF($N1303="","",Sync!$P1303)</f>
        <v/>
      </c>
    </row>
    <row r="1304">
      <c r="N1304">
        <f>IF(OR(Sync!$M1304="",$Q1304="",$Q1304="نامعتبر"),"",Sync!$M1304)</f>
        <v/>
      </c>
      <c r="O1304">
        <f>IF($N1304="","",$Q1304)</f>
        <v/>
      </c>
      <c r="P1304">
        <f>IF($N1304="","",LEFT($Q1304,4)&amp;MID($Q1304,6,2)&amp;RIGHT($Q1304,2)&amp;IF(Sync!$K1304="","0000",IF(AND(ISNUMBER(Sync!$K1304),Sync!$K1304&gt;=0,Sync!$K1304&lt;1),RIGHT("00"&amp;HOUR(Sync!$K1304),2)&amp;RIGHT("00"&amp;MINUTE(Sync!$K1304),2),IFERROR(RIGHT("00"&amp;VALUE(LEFT(Sync!$K1304,FIND(":",Sync!$K1304)-1)),2)&amp;RIGHT("00"&amp;VALUE(MID(Sync!$K1304,FIND(":",Sync!$K1304)+1,2)),2),"0000")))&amp;"|"&amp;"2"&amp;RIGHT("00000"&amp;1299,5))</f>
        <v/>
      </c>
      <c r="Q1304">
        <f>IF(Sync!$J1304="","",IF(ISNUMBER(Sync!$J1304),IF(AND(Sync!$J1304&gt;=10000101,Sync!$J1304&lt;=99991231),INT(Sync!$J1304/10000)&amp;"/"&amp;RIGHT("00"&amp;INT(MOD(Sync!$J1304,10000)/100),2)&amp;"/"&amp;RIGHT("00"&amp;MOD(Sync!$J1304,100),2),"نامعتبر"),IF(LEN(Sync!$J1304)=10,Sync!$J1304,"نامعتبر")))</f>
        <v/>
      </c>
      <c r="R1304">
        <f>IF($P1304="","",COUNTIFS($N$6:$N$2005,$N1304,$P$6:$P$2005,"&lt;"&amp;$P1304)+COUNTIFS($A$6:$A$1005,$N1304,$B$6:$B$1005,"&lt;"&amp;$P1304)+1)</f>
        <v/>
      </c>
      <c r="S1304">
        <f>IF($N1304="","",$N1304&amp;"|"&amp;RIGHT("000000"&amp;$R1304,6))</f>
        <v/>
      </c>
      <c r="T1304">
        <f>IF($N1304="","",IF(Sync!$N1304="",0,Sync!$N1304))</f>
        <v/>
      </c>
      <c r="U1304">
        <f>IF($N1304="","",IF(Sync!$O1304="",0,Sync!$O1304))</f>
        <v/>
      </c>
      <c r="V1304">
        <f>IF($N1304="","",Sync!$L1304)</f>
        <v/>
      </c>
      <c r="W1304">
        <f>IF($N1304="","",Sync!$P1304)</f>
        <v/>
      </c>
    </row>
    <row r="1305">
      <c r="N1305">
        <f>IF(OR(Sync!$M1305="",$Q1305="",$Q1305="نامعتبر"),"",Sync!$M1305)</f>
        <v/>
      </c>
      <c r="O1305">
        <f>IF($N1305="","",$Q1305)</f>
        <v/>
      </c>
      <c r="P1305">
        <f>IF($N1305="","",LEFT($Q1305,4)&amp;MID($Q1305,6,2)&amp;RIGHT($Q1305,2)&amp;IF(Sync!$K1305="","0000",IF(AND(ISNUMBER(Sync!$K1305),Sync!$K1305&gt;=0,Sync!$K1305&lt;1),RIGHT("00"&amp;HOUR(Sync!$K1305),2)&amp;RIGHT("00"&amp;MINUTE(Sync!$K1305),2),IFERROR(RIGHT("00"&amp;VALUE(LEFT(Sync!$K1305,FIND(":",Sync!$K1305)-1)),2)&amp;RIGHT("00"&amp;VALUE(MID(Sync!$K1305,FIND(":",Sync!$K1305)+1,2)),2),"0000")))&amp;"|"&amp;"2"&amp;RIGHT("00000"&amp;1300,5))</f>
        <v/>
      </c>
      <c r="Q1305">
        <f>IF(Sync!$J1305="","",IF(ISNUMBER(Sync!$J1305),IF(AND(Sync!$J1305&gt;=10000101,Sync!$J1305&lt;=99991231),INT(Sync!$J1305/10000)&amp;"/"&amp;RIGHT("00"&amp;INT(MOD(Sync!$J1305,10000)/100),2)&amp;"/"&amp;RIGHT("00"&amp;MOD(Sync!$J1305,100),2),"نامعتبر"),IF(LEN(Sync!$J1305)=10,Sync!$J1305,"نامعتبر")))</f>
        <v/>
      </c>
      <c r="R1305">
        <f>IF($P1305="","",COUNTIFS($N$6:$N$2005,$N1305,$P$6:$P$2005,"&lt;"&amp;$P1305)+COUNTIFS($A$6:$A$1005,$N1305,$B$6:$B$1005,"&lt;"&amp;$P1305)+1)</f>
        <v/>
      </c>
      <c r="S1305">
        <f>IF($N1305="","",$N1305&amp;"|"&amp;RIGHT("000000"&amp;$R1305,6))</f>
        <v/>
      </c>
      <c r="T1305">
        <f>IF($N1305="","",IF(Sync!$N1305="",0,Sync!$N1305))</f>
        <v/>
      </c>
      <c r="U1305">
        <f>IF($N1305="","",IF(Sync!$O1305="",0,Sync!$O1305))</f>
        <v/>
      </c>
      <c r="V1305">
        <f>IF($N1305="","",Sync!$L1305)</f>
        <v/>
      </c>
      <c r="W1305">
        <f>IF($N1305="","",Sync!$P1305)</f>
        <v/>
      </c>
    </row>
    <row r="1306">
      <c r="N1306">
        <f>IF(OR(Sync!$M1306="",$Q1306="",$Q1306="نامعتبر"),"",Sync!$M1306)</f>
        <v/>
      </c>
      <c r="O1306">
        <f>IF($N1306="","",$Q1306)</f>
        <v/>
      </c>
      <c r="P1306">
        <f>IF($N1306="","",LEFT($Q1306,4)&amp;MID($Q1306,6,2)&amp;RIGHT($Q1306,2)&amp;IF(Sync!$K1306="","0000",IF(AND(ISNUMBER(Sync!$K1306),Sync!$K1306&gt;=0,Sync!$K1306&lt;1),RIGHT("00"&amp;HOUR(Sync!$K1306),2)&amp;RIGHT("00"&amp;MINUTE(Sync!$K1306),2),IFERROR(RIGHT("00"&amp;VALUE(LEFT(Sync!$K1306,FIND(":",Sync!$K1306)-1)),2)&amp;RIGHT("00"&amp;VALUE(MID(Sync!$K1306,FIND(":",Sync!$K1306)+1,2)),2),"0000")))&amp;"|"&amp;"2"&amp;RIGHT("00000"&amp;1301,5))</f>
        <v/>
      </c>
      <c r="Q1306">
        <f>IF(Sync!$J1306="","",IF(ISNUMBER(Sync!$J1306),IF(AND(Sync!$J1306&gt;=10000101,Sync!$J1306&lt;=99991231),INT(Sync!$J1306/10000)&amp;"/"&amp;RIGHT("00"&amp;INT(MOD(Sync!$J1306,10000)/100),2)&amp;"/"&amp;RIGHT("00"&amp;MOD(Sync!$J1306,100),2),"نامعتبر"),IF(LEN(Sync!$J1306)=10,Sync!$J1306,"نامعتبر")))</f>
        <v/>
      </c>
      <c r="R1306">
        <f>IF($P1306="","",COUNTIFS($N$6:$N$2005,$N1306,$P$6:$P$2005,"&lt;"&amp;$P1306)+COUNTIFS($A$6:$A$1005,$N1306,$B$6:$B$1005,"&lt;"&amp;$P1306)+1)</f>
        <v/>
      </c>
      <c r="S1306">
        <f>IF($N1306="","",$N1306&amp;"|"&amp;RIGHT("000000"&amp;$R1306,6))</f>
        <v/>
      </c>
      <c r="T1306">
        <f>IF($N1306="","",IF(Sync!$N1306="",0,Sync!$N1306))</f>
        <v/>
      </c>
      <c r="U1306">
        <f>IF($N1306="","",IF(Sync!$O1306="",0,Sync!$O1306))</f>
        <v/>
      </c>
      <c r="V1306">
        <f>IF($N1306="","",Sync!$L1306)</f>
        <v/>
      </c>
      <c r="W1306">
        <f>IF($N1306="","",Sync!$P1306)</f>
        <v/>
      </c>
    </row>
    <row r="1307">
      <c r="N1307">
        <f>IF(OR(Sync!$M1307="",$Q1307="",$Q1307="نامعتبر"),"",Sync!$M1307)</f>
        <v/>
      </c>
      <c r="O1307">
        <f>IF($N1307="","",$Q1307)</f>
        <v/>
      </c>
      <c r="P1307">
        <f>IF($N1307="","",LEFT($Q1307,4)&amp;MID($Q1307,6,2)&amp;RIGHT($Q1307,2)&amp;IF(Sync!$K1307="","0000",IF(AND(ISNUMBER(Sync!$K1307),Sync!$K1307&gt;=0,Sync!$K1307&lt;1),RIGHT("00"&amp;HOUR(Sync!$K1307),2)&amp;RIGHT("00"&amp;MINUTE(Sync!$K1307),2),IFERROR(RIGHT("00"&amp;VALUE(LEFT(Sync!$K1307,FIND(":",Sync!$K1307)-1)),2)&amp;RIGHT("00"&amp;VALUE(MID(Sync!$K1307,FIND(":",Sync!$K1307)+1,2)),2),"0000")))&amp;"|"&amp;"2"&amp;RIGHT("00000"&amp;1302,5))</f>
        <v/>
      </c>
      <c r="Q1307">
        <f>IF(Sync!$J1307="","",IF(ISNUMBER(Sync!$J1307),IF(AND(Sync!$J1307&gt;=10000101,Sync!$J1307&lt;=99991231),INT(Sync!$J1307/10000)&amp;"/"&amp;RIGHT("00"&amp;INT(MOD(Sync!$J1307,10000)/100),2)&amp;"/"&amp;RIGHT("00"&amp;MOD(Sync!$J1307,100),2),"نامعتبر"),IF(LEN(Sync!$J1307)=10,Sync!$J1307,"نامعتبر")))</f>
        <v/>
      </c>
      <c r="R1307">
        <f>IF($P1307="","",COUNTIFS($N$6:$N$2005,$N1307,$P$6:$P$2005,"&lt;"&amp;$P1307)+COUNTIFS($A$6:$A$1005,$N1307,$B$6:$B$1005,"&lt;"&amp;$P1307)+1)</f>
        <v/>
      </c>
      <c r="S1307">
        <f>IF($N1307="","",$N1307&amp;"|"&amp;RIGHT("000000"&amp;$R1307,6))</f>
        <v/>
      </c>
      <c r="T1307">
        <f>IF($N1307="","",IF(Sync!$N1307="",0,Sync!$N1307))</f>
        <v/>
      </c>
      <c r="U1307">
        <f>IF($N1307="","",IF(Sync!$O1307="",0,Sync!$O1307))</f>
        <v/>
      </c>
      <c r="V1307">
        <f>IF($N1307="","",Sync!$L1307)</f>
        <v/>
      </c>
      <c r="W1307">
        <f>IF($N1307="","",Sync!$P1307)</f>
        <v/>
      </c>
    </row>
    <row r="1308">
      <c r="N1308">
        <f>IF(OR(Sync!$M1308="",$Q1308="",$Q1308="نامعتبر"),"",Sync!$M1308)</f>
        <v/>
      </c>
      <c r="O1308">
        <f>IF($N1308="","",$Q1308)</f>
        <v/>
      </c>
      <c r="P1308">
        <f>IF($N1308="","",LEFT($Q1308,4)&amp;MID($Q1308,6,2)&amp;RIGHT($Q1308,2)&amp;IF(Sync!$K1308="","0000",IF(AND(ISNUMBER(Sync!$K1308),Sync!$K1308&gt;=0,Sync!$K1308&lt;1),RIGHT("00"&amp;HOUR(Sync!$K1308),2)&amp;RIGHT("00"&amp;MINUTE(Sync!$K1308),2),IFERROR(RIGHT("00"&amp;VALUE(LEFT(Sync!$K1308,FIND(":",Sync!$K1308)-1)),2)&amp;RIGHT("00"&amp;VALUE(MID(Sync!$K1308,FIND(":",Sync!$K1308)+1,2)),2),"0000")))&amp;"|"&amp;"2"&amp;RIGHT("00000"&amp;1303,5))</f>
        <v/>
      </c>
      <c r="Q1308">
        <f>IF(Sync!$J1308="","",IF(ISNUMBER(Sync!$J1308),IF(AND(Sync!$J1308&gt;=10000101,Sync!$J1308&lt;=99991231),INT(Sync!$J1308/10000)&amp;"/"&amp;RIGHT("00"&amp;INT(MOD(Sync!$J1308,10000)/100),2)&amp;"/"&amp;RIGHT("00"&amp;MOD(Sync!$J1308,100),2),"نامعتبر"),IF(LEN(Sync!$J1308)=10,Sync!$J1308,"نامعتبر")))</f>
        <v/>
      </c>
      <c r="R1308">
        <f>IF($P1308="","",COUNTIFS($N$6:$N$2005,$N1308,$P$6:$P$2005,"&lt;"&amp;$P1308)+COUNTIFS($A$6:$A$1005,$N1308,$B$6:$B$1005,"&lt;"&amp;$P1308)+1)</f>
        <v/>
      </c>
      <c r="S1308">
        <f>IF($N1308="","",$N1308&amp;"|"&amp;RIGHT("000000"&amp;$R1308,6))</f>
        <v/>
      </c>
      <c r="T1308">
        <f>IF($N1308="","",IF(Sync!$N1308="",0,Sync!$N1308))</f>
        <v/>
      </c>
      <c r="U1308">
        <f>IF($N1308="","",IF(Sync!$O1308="",0,Sync!$O1308))</f>
        <v/>
      </c>
      <c r="V1308">
        <f>IF($N1308="","",Sync!$L1308)</f>
        <v/>
      </c>
      <c r="W1308">
        <f>IF($N1308="","",Sync!$P1308)</f>
        <v/>
      </c>
    </row>
    <row r="1309">
      <c r="N1309">
        <f>IF(OR(Sync!$M1309="",$Q1309="",$Q1309="نامعتبر"),"",Sync!$M1309)</f>
        <v/>
      </c>
      <c r="O1309">
        <f>IF($N1309="","",$Q1309)</f>
        <v/>
      </c>
      <c r="P1309">
        <f>IF($N1309="","",LEFT($Q1309,4)&amp;MID($Q1309,6,2)&amp;RIGHT($Q1309,2)&amp;IF(Sync!$K1309="","0000",IF(AND(ISNUMBER(Sync!$K1309),Sync!$K1309&gt;=0,Sync!$K1309&lt;1),RIGHT("00"&amp;HOUR(Sync!$K1309),2)&amp;RIGHT("00"&amp;MINUTE(Sync!$K1309),2),IFERROR(RIGHT("00"&amp;VALUE(LEFT(Sync!$K1309,FIND(":",Sync!$K1309)-1)),2)&amp;RIGHT("00"&amp;VALUE(MID(Sync!$K1309,FIND(":",Sync!$K1309)+1,2)),2),"0000")))&amp;"|"&amp;"2"&amp;RIGHT("00000"&amp;1304,5))</f>
        <v/>
      </c>
      <c r="Q1309">
        <f>IF(Sync!$J1309="","",IF(ISNUMBER(Sync!$J1309),IF(AND(Sync!$J1309&gt;=10000101,Sync!$J1309&lt;=99991231),INT(Sync!$J1309/10000)&amp;"/"&amp;RIGHT("00"&amp;INT(MOD(Sync!$J1309,10000)/100),2)&amp;"/"&amp;RIGHT("00"&amp;MOD(Sync!$J1309,100),2),"نامعتبر"),IF(LEN(Sync!$J1309)=10,Sync!$J1309,"نامعتبر")))</f>
        <v/>
      </c>
      <c r="R1309">
        <f>IF($P1309="","",COUNTIFS($N$6:$N$2005,$N1309,$P$6:$P$2005,"&lt;"&amp;$P1309)+COUNTIFS($A$6:$A$1005,$N1309,$B$6:$B$1005,"&lt;"&amp;$P1309)+1)</f>
        <v/>
      </c>
      <c r="S1309">
        <f>IF($N1309="","",$N1309&amp;"|"&amp;RIGHT("000000"&amp;$R1309,6))</f>
        <v/>
      </c>
      <c r="T1309">
        <f>IF($N1309="","",IF(Sync!$N1309="",0,Sync!$N1309))</f>
        <v/>
      </c>
      <c r="U1309">
        <f>IF($N1309="","",IF(Sync!$O1309="",0,Sync!$O1309))</f>
        <v/>
      </c>
      <c r="V1309">
        <f>IF($N1309="","",Sync!$L1309)</f>
        <v/>
      </c>
      <c r="W1309">
        <f>IF($N1309="","",Sync!$P1309)</f>
        <v/>
      </c>
    </row>
    <row r="1310">
      <c r="N1310">
        <f>IF(OR(Sync!$M1310="",$Q1310="",$Q1310="نامعتبر"),"",Sync!$M1310)</f>
        <v/>
      </c>
      <c r="O1310">
        <f>IF($N1310="","",$Q1310)</f>
        <v/>
      </c>
      <c r="P1310">
        <f>IF($N1310="","",LEFT($Q1310,4)&amp;MID($Q1310,6,2)&amp;RIGHT($Q1310,2)&amp;IF(Sync!$K1310="","0000",IF(AND(ISNUMBER(Sync!$K1310),Sync!$K1310&gt;=0,Sync!$K1310&lt;1),RIGHT("00"&amp;HOUR(Sync!$K1310),2)&amp;RIGHT("00"&amp;MINUTE(Sync!$K1310),2),IFERROR(RIGHT("00"&amp;VALUE(LEFT(Sync!$K1310,FIND(":",Sync!$K1310)-1)),2)&amp;RIGHT("00"&amp;VALUE(MID(Sync!$K1310,FIND(":",Sync!$K1310)+1,2)),2),"0000")))&amp;"|"&amp;"2"&amp;RIGHT("00000"&amp;1305,5))</f>
        <v/>
      </c>
      <c r="Q1310">
        <f>IF(Sync!$J1310="","",IF(ISNUMBER(Sync!$J1310),IF(AND(Sync!$J1310&gt;=10000101,Sync!$J1310&lt;=99991231),INT(Sync!$J1310/10000)&amp;"/"&amp;RIGHT("00"&amp;INT(MOD(Sync!$J1310,10000)/100),2)&amp;"/"&amp;RIGHT("00"&amp;MOD(Sync!$J1310,100),2),"نامعتبر"),IF(LEN(Sync!$J1310)=10,Sync!$J1310,"نامعتبر")))</f>
        <v/>
      </c>
      <c r="R1310">
        <f>IF($P1310="","",COUNTIFS($N$6:$N$2005,$N1310,$P$6:$P$2005,"&lt;"&amp;$P1310)+COUNTIFS($A$6:$A$1005,$N1310,$B$6:$B$1005,"&lt;"&amp;$P1310)+1)</f>
        <v/>
      </c>
      <c r="S1310">
        <f>IF($N1310="","",$N1310&amp;"|"&amp;RIGHT("000000"&amp;$R1310,6))</f>
        <v/>
      </c>
      <c r="T1310">
        <f>IF($N1310="","",IF(Sync!$N1310="",0,Sync!$N1310))</f>
        <v/>
      </c>
      <c r="U1310">
        <f>IF($N1310="","",IF(Sync!$O1310="",0,Sync!$O1310))</f>
        <v/>
      </c>
      <c r="V1310">
        <f>IF($N1310="","",Sync!$L1310)</f>
        <v/>
      </c>
      <c r="W1310">
        <f>IF($N1310="","",Sync!$P1310)</f>
        <v/>
      </c>
    </row>
    <row r="1311">
      <c r="N1311">
        <f>IF(OR(Sync!$M1311="",$Q1311="",$Q1311="نامعتبر"),"",Sync!$M1311)</f>
        <v/>
      </c>
      <c r="O1311">
        <f>IF($N1311="","",$Q1311)</f>
        <v/>
      </c>
      <c r="P1311">
        <f>IF($N1311="","",LEFT($Q1311,4)&amp;MID($Q1311,6,2)&amp;RIGHT($Q1311,2)&amp;IF(Sync!$K1311="","0000",IF(AND(ISNUMBER(Sync!$K1311),Sync!$K1311&gt;=0,Sync!$K1311&lt;1),RIGHT("00"&amp;HOUR(Sync!$K1311),2)&amp;RIGHT("00"&amp;MINUTE(Sync!$K1311),2),IFERROR(RIGHT("00"&amp;VALUE(LEFT(Sync!$K1311,FIND(":",Sync!$K1311)-1)),2)&amp;RIGHT("00"&amp;VALUE(MID(Sync!$K1311,FIND(":",Sync!$K1311)+1,2)),2),"0000")))&amp;"|"&amp;"2"&amp;RIGHT("00000"&amp;1306,5))</f>
        <v/>
      </c>
      <c r="Q1311">
        <f>IF(Sync!$J1311="","",IF(ISNUMBER(Sync!$J1311),IF(AND(Sync!$J1311&gt;=10000101,Sync!$J1311&lt;=99991231),INT(Sync!$J1311/10000)&amp;"/"&amp;RIGHT("00"&amp;INT(MOD(Sync!$J1311,10000)/100),2)&amp;"/"&amp;RIGHT("00"&amp;MOD(Sync!$J1311,100),2),"نامعتبر"),IF(LEN(Sync!$J1311)=10,Sync!$J1311,"نامعتبر")))</f>
        <v/>
      </c>
      <c r="R1311">
        <f>IF($P1311="","",COUNTIFS($N$6:$N$2005,$N1311,$P$6:$P$2005,"&lt;"&amp;$P1311)+COUNTIFS($A$6:$A$1005,$N1311,$B$6:$B$1005,"&lt;"&amp;$P1311)+1)</f>
        <v/>
      </c>
      <c r="S1311">
        <f>IF($N1311="","",$N1311&amp;"|"&amp;RIGHT("000000"&amp;$R1311,6))</f>
        <v/>
      </c>
      <c r="T1311">
        <f>IF($N1311="","",IF(Sync!$N1311="",0,Sync!$N1311))</f>
        <v/>
      </c>
      <c r="U1311">
        <f>IF($N1311="","",IF(Sync!$O1311="",0,Sync!$O1311))</f>
        <v/>
      </c>
      <c r="V1311">
        <f>IF($N1311="","",Sync!$L1311)</f>
        <v/>
      </c>
      <c r="W1311">
        <f>IF($N1311="","",Sync!$P1311)</f>
        <v/>
      </c>
    </row>
    <row r="1312">
      <c r="N1312">
        <f>IF(OR(Sync!$M1312="",$Q1312="",$Q1312="نامعتبر"),"",Sync!$M1312)</f>
        <v/>
      </c>
      <c r="O1312">
        <f>IF($N1312="","",$Q1312)</f>
        <v/>
      </c>
      <c r="P1312">
        <f>IF($N1312="","",LEFT($Q1312,4)&amp;MID($Q1312,6,2)&amp;RIGHT($Q1312,2)&amp;IF(Sync!$K1312="","0000",IF(AND(ISNUMBER(Sync!$K1312),Sync!$K1312&gt;=0,Sync!$K1312&lt;1),RIGHT("00"&amp;HOUR(Sync!$K1312),2)&amp;RIGHT("00"&amp;MINUTE(Sync!$K1312),2),IFERROR(RIGHT("00"&amp;VALUE(LEFT(Sync!$K1312,FIND(":",Sync!$K1312)-1)),2)&amp;RIGHT("00"&amp;VALUE(MID(Sync!$K1312,FIND(":",Sync!$K1312)+1,2)),2),"0000")))&amp;"|"&amp;"2"&amp;RIGHT("00000"&amp;1307,5))</f>
        <v/>
      </c>
      <c r="Q1312">
        <f>IF(Sync!$J1312="","",IF(ISNUMBER(Sync!$J1312),IF(AND(Sync!$J1312&gt;=10000101,Sync!$J1312&lt;=99991231),INT(Sync!$J1312/10000)&amp;"/"&amp;RIGHT("00"&amp;INT(MOD(Sync!$J1312,10000)/100),2)&amp;"/"&amp;RIGHT("00"&amp;MOD(Sync!$J1312,100),2),"نامعتبر"),IF(LEN(Sync!$J1312)=10,Sync!$J1312,"نامعتبر")))</f>
        <v/>
      </c>
      <c r="R1312">
        <f>IF($P1312="","",COUNTIFS($N$6:$N$2005,$N1312,$P$6:$P$2005,"&lt;"&amp;$P1312)+COUNTIFS($A$6:$A$1005,$N1312,$B$6:$B$1005,"&lt;"&amp;$P1312)+1)</f>
        <v/>
      </c>
      <c r="S1312">
        <f>IF($N1312="","",$N1312&amp;"|"&amp;RIGHT("000000"&amp;$R1312,6))</f>
        <v/>
      </c>
      <c r="T1312">
        <f>IF($N1312="","",IF(Sync!$N1312="",0,Sync!$N1312))</f>
        <v/>
      </c>
      <c r="U1312">
        <f>IF($N1312="","",IF(Sync!$O1312="",0,Sync!$O1312))</f>
        <v/>
      </c>
      <c r="V1312">
        <f>IF($N1312="","",Sync!$L1312)</f>
        <v/>
      </c>
      <c r="W1312">
        <f>IF($N1312="","",Sync!$P1312)</f>
        <v/>
      </c>
    </row>
    <row r="1313">
      <c r="N1313">
        <f>IF(OR(Sync!$M1313="",$Q1313="",$Q1313="نامعتبر"),"",Sync!$M1313)</f>
        <v/>
      </c>
      <c r="O1313">
        <f>IF($N1313="","",$Q1313)</f>
        <v/>
      </c>
      <c r="P1313">
        <f>IF($N1313="","",LEFT($Q1313,4)&amp;MID($Q1313,6,2)&amp;RIGHT($Q1313,2)&amp;IF(Sync!$K1313="","0000",IF(AND(ISNUMBER(Sync!$K1313),Sync!$K1313&gt;=0,Sync!$K1313&lt;1),RIGHT("00"&amp;HOUR(Sync!$K1313),2)&amp;RIGHT("00"&amp;MINUTE(Sync!$K1313),2),IFERROR(RIGHT("00"&amp;VALUE(LEFT(Sync!$K1313,FIND(":",Sync!$K1313)-1)),2)&amp;RIGHT("00"&amp;VALUE(MID(Sync!$K1313,FIND(":",Sync!$K1313)+1,2)),2),"0000")))&amp;"|"&amp;"2"&amp;RIGHT("00000"&amp;1308,5))</f>
        <v/>
      </c>
      <c r="Q1313">
        <f>IF(Sync!$J1313="","",IF(ISNUMBER(Sync!$J1313),IF(AND(Sync!$J1313&gt;=10000101,Sync!$J1313&lt;=99991231),INT(Sync!$J1313/10000)&amp;"/"&amp;RIGHT("00"&amp;INT(MOD(Sync!$J1313,10000)/100),2)&amp;"/"&amp;RIGHT("00"&amp;MOD(Sync!$J1313,100),2),"نامعتبر"),IF(LEN(Sync!$J1313)=10,Sync!$J1313,"نامعتبر")))</f>
        <v/>
      </c>
      <c r="R1313">
        <f>IF($P1313="","",COUNTIFS($N$6:$N$2005,$N1313,$P$6:$P$2005,"&lt;"&amp;$P1313)+COUNTIFS($A$6:$A$1005,$N1313,$B$6:$B$1005,"&lt;"&amp;$P1313)+1)</f>
        <v/>
      </c>
      <c r="S1313">
        <f>IF($N1313="","",$N1313&amp;"|"&amp;RIGHT("000000"&amp;$R1313,6))</f>
        <v/>
      </c>
      <c r="T1313">
        <f>IF($N1313="","",IF(Sync!$N1313="",0,Sync!$N1313))</f>
        <v/>
      </c>
      <c r="U1313">
        <f>IF($N1313="","",IF(Sync!$O1313="",0,Sync!$O1313))</f>
        <v/>
      </c>
      <c r="V1313">
        <f>IF($N1313="","",Sync!$L1313)</f>
        <v/>
      </c>
      <c r="W1313">
        <f>IF($N1313="","",Sync!$P1313)</f>
        <v/>
      </c>
    </row>
    <row r="1314">
      <c r="N1314">
        <f>IF(OR(Sync!$M1314="",$Q1314="",$Q1314="نامعتبر"),"",Sync!$M1314)</f>
        <v/>
      </c>
      <c r="O1314">
        <f>IF($N1314="","",$Q1314)</f>
        <v/>
      </c>
      <c r="P1314">
        <f>IF($N1314="","",LEFT($Q1314,4)&amp;MID($Q1314,6,2)&amp;RIGHT($Q1314,2)&amp;IF(Sync!$K1314="","0000",IF(AND(ISNUMBER(Sync!$K1314),Sync!$K1314&gt;=0,Sync!$K1314&lt;1),RIGHT("00"&amp;HOUR(Sync!$K1314),2)&amp;RIGHT("00"&amp;MINUTE(Sync!$K1314),2),IFERROR(RIGHT("00"&amp;VALUE(LEFT(Sync!$K1314,FIND(":",Sync!$K1314)-1)),2)&amp;RIGHT("00"&amp;VALUE(MID(Sync!$K1314,FIND(":",Sync!$K1314)+1,2)),2),"0000")))&amp;"|"&amp;"2"&amp;RIGHT("00000"&amp;1309,5))</f>
        <v/>
      </c>
      <c r="Q1314">
        <f>IF(Sync!$J1314="","",IF(ISNUMBER(Sync!$J1314),IF(AND(Sync!$J1314&gt;=10000101,Sync!$J1314&lt;=99991231),INT(Sync!$J1314/10000)&amp;"/"&amp;RIGHT("00"&amp;INT(MOD(Sync!$J1314,10000)/100),2)&amp;"/"&amp;RIGHT("00"&amp;MOD(Sync!$J1314,100),2),"نامعتبر"),IF(LEN(Sync!$J1314)=10,Sync!$J1314,"نامعتبر")))</f>
        <v/>
      </c>
      <c r="R1314">
        <f>IF($P1314="","",COUNTIFS($N$6:$N$2005,$N1314,$P$6:$P$2005,"&lt;"&amp;$P1314)+COUNTIFS($A$6:$A$1005,$N1314,$B$6:$B$1005,"&lt;"&amp;$P1314)+1)</f>
        <v/>
      </c>
      <c r="S1314">
        <f>IF($N1314="","",$N1314&amp;"|"&amp;RIGHT("000000"&amp;$R1314,6))</f>
        <v/>
      </c>
      <c r="T1314">
        <f>IF($N1314="","",IF(Sync!$N1314="",0,Sync!$N1314))</f>
        <v/>
      </c>
      <c r="U1314">
        <f>IF($N1314="","",IF(Sync!$O1314="",0,Sync!$O1314))</f>
        <v/>
      </c>
      <c r="V1314">
        <f>IF($N1314="","",Sync!$L1314)</f>
        <v/>
      </c>
      <c r="W1314">
        <f>IF($N1314="","",Sync!$P1314)</f>
        <v/>
      </c>
    </row>
    <row r="1315">
      <c r="N1315">
        <f>IF(OR(Sync!$M1315="",$Q1315="",$Q1315="نامعتبر"),"",Sync!$M1315)</f>
        <v/>
      </c>
      <c r="O1315">
        <f>IF($N1315="","",$Q1315)</f>
        <v/>
      </c>
      <c r="P1315">
        <f>IF($N1315="","",LEFT($Q1315,4)&amp;MID($Q1315,6,2)&amp;RIGHT($Q1315,2)&amp;IF(Sync!$K1315="","0000",IF(AND(ISNUMBER(Sync!$K1315),Sync!$K1315&gt;=0,Sync!$K1315&lt;1),RIGHT("00"&amp;HOUR(Sync!$K1315),2)&amp;RIGHT("00"&amp;MINUTE(Sync!$K1315),2),IFERROR(RIGHT("00"&amp;VALUE(LEFT(Sync!$K1315,FIND(":",Sync!$K1315)-1)),2)&amp;RIGHT("00"&amp;VALUE(MID(Sync!$K1315,FIND(":",Sync!$K1315)+1,2)),2),"0000")))&amp;"|"&amp;"2"&amp;RIGHT("00000"&amp;1310,5))</f>
        <v/>
      </c>
      <c r="Q1315">
        <f>IF(Sync!$J1315="","",IF(ISNUMBER(Sync!$J1315),IF(AND(Sync!$J1315&gt;=10000101,Sync!$J1315&lt;=99991231),INT(Sync!$J1315/10000)&amp;"/"&amp;RIGHT("00"&amp;INT(MOD(Sync!$J1315,10000)/100),2)&amp;"/"&amp;RIGHT("00"&amp;MOD(Sync!$J1315,100),2),"نامعتبر"),IF(LEN(Sync!$J1315)=10,Sync!$J1315,"نامعتبر")))</f>
        <v/>
      </c>
      <c r="R1315">
        <f>IF($P1315="","",COUNTIFS($N$6:$N$2005,$N1315,$P$6:$P$2005,"&lt;"&amp;$P1315)+COUNTIFS($A$6:$A$1005,$N1315,$B$6:$B$1005,"&lt;"&amp;$P1315)+1)</f>
        <v/>
      </c>
      <c r="S1315">
        <f>IF($N1315="","",$N1315&amp;"|"&amp;RIGHT("000000"&amp;$R1315,6))</f>
        <v/>
      </c>
      <c r="T1315">
        <f>IF($N1315="","",IF(Sync!$N1315="",0,Sync!$N1315))</f>
        <v/>
      </c>
      <c r="U1315">
        <f>IF($N1315="","",IF(Sync!$O1315="",0,Sync!$O1315))</f>
        <v/>
      </c>
      <c r="V1315">
        <f>IF($N1315="","",Sync!$L1315)</f>
        <v/>
      </c>
      <c r="W1315">
        <f>IF($N1315="","",Sync!$P1315)</f>
        <v/>
      </c>
    </row>
    <row r="1316">
      <c r="N1316">
        <f>IF(OR(Sync!$M1316="",$Q1316="",$Q1316="نامعتبر"),"",Sync!$M1316)</f>
        <v/>
      </c>
      <c r="O1316">
        <f>IF($N1316="","",$Q1316)</f>
        <v/>
      </c>
      <c r="P1316">
        <f>IF($N1316="","",LEFT($Q1316,4)&amp;MID($Q1316,6,2)&amp;RIGHT($Q1316,2)&amp;IF(Sync!$K1316="","0000",IF(AND(ISNUMBER(Sync!$K1316),Sync!$K1316&gt;=0,Sync!$K1316&lt;1),RIGHT("00"&amp;HOUR(Sync!$K1316),2)&amp;RIGHT("00"&amp;MINUTE(Sync!$K1316),2),IFERROR(RIGHT("00"&amp;VALUE(LEFT(Sync!$K1316,FIND(":",Sync!$K1316)-1)),2)&amp;RIGHT("00"&amp;VALUE(MID(Sync!$K1316,FIND(":",Sync!$K1316)+1,2)),2),"0000")))&amp;"|"&amp;"2"&amp;RIGHT("00000"&amp;1311,5))</f>
        <v/>
      </c>
      <c r="Q1316">
        <f>IF(Sync!$J1316="","",IF(ISNUMBER(Sync!$J1316),IF(AND(Sync!$J1316&gt;=10000101,Sync!$J1316&lt;=99991231),INT(Sync!$J1316/10000)&amp;"/"&amp;RIGHT("00"&amp;INT(MOD(Sync!$J1316,10000)/100),2)&amp;"/"&amp;RIGHT("00"&amp;MOD(Sync!$J1316,100),2),"نامعتبر"),IF(LEN(Sync!$J1316)=10,Sync!$J1316,"نامعتبر")))</f>
        <v/>
      </c>
      <c r="R1316">
        <f>IF($P1316="","",COUNTIFS($N$6:$N$2005,$N1316,$P$6:$P$2005,"&lt;"&amp;$P1316)+COUNTIFS($A$6:$A$1005,$N1316,$B$6:$B$1005,"&lt;"&amp;$P1316)+1)</f>
        <v/>
      </c>
      <c r="S1316">
        <f>IF($N1316="","",$N1316&amp;"|"&amp;RIGHT("000000"&amp;$R1316,6))</f>
        <v/>
      </c>
      <c r="T1316">
        <f>IF($N1316="","",IF(Sync!$N1316="",0,Sync!$N1316))</f>
        <v/>
      </c>
      <c r="U1316">
        <f>IF($N1316="","",IF(Sync!$O1316="",0,Sync!$O1316))</f>
        <v/>
      </c>
      <c r="V1316">
        <f>IF($N1316="","",Sync!$L1316)</f>
        <v/>
      </c>
      <c r="W1316">
        <f>IF($N1316="","",Sync!$P1316)</f>
        <v/>
      </c>
    </row>
    <row r="1317">
      <c r="N1317">
        <f>IF(OR(Sync!$M1317="",$Q1317="",$Q1317="نامعتبر"),"",Sync!$M1317)</f>
        <v/>
      </c>
      <c r="O1317">
        <f>IF($N1317="","",$Q1317)</f>
        <v/>
      </c>
      <c r="P1317">
        <f>IF($N1317="","",LEFT($Q1317,4)&amp;MID($Q1317,6,2)&amp;RIGHT($Q1317,2)&amp;IF(Sync!$K1317="","0000",IF(AND(ISNUMBER(Sync!$K1317),Sync!$K1317&gt;=0,Sync!$K1317&lt;1),RIGHT("00"&amp;HOUR(Sync!$K1317),2)&amp;RIGHT("00"&amp;MINUTE(Sync!$K1317),2),IFERROR(RIGHT("00"&amp;VALUE(LEFT(Sync!$K1317,FIND(":",Sync!$K1317)-1)),2)&amp;RIGHT("00"&amp;VALUE(MID(Sync!$K1317,FIND(":",Sync!$K1317)+1,2)),2),"0000")))&amp;"|"&amp;"2"&amp;RIGHT("00000"&amp;1312,5))</f>
        <v/>
      </c>
      <c r="Q1317">
        <f>IF(Sync!$J1317="","",IF(ISNUMBER(Sync!$J1317),IF(AND(Sync!$J1317&gt;=10000101,Sync!$J1317&lt;=99991231),INT(Sync!$J1317/10000)&amp;"/"&amp;RIGHT("00"&amp;INT(MOD(Sync!$J1317,10000)/100),2)&amp;"/"&amp;RIGHT("00"&amp;MOD(Sync!$J1317,100),2),"نامعتبر"),IF(LEN(Sync!$J1317)=10,Sync!$J1317,"نامعتبر")))</f>
        <v/>
      </c>
      <c r="R1317">
        <f>IF($P1317="","",COUNTIFS($N$6:$N$2005,$N1317,$P$6:$P$2005,"&lt;"&amp;$P1317)+COUNTIFS($A$6:$A$1005,$N1317,$B$6:$B$1005,"&lt;"&amp;$P1317)+1)</f>
        <v/>
      </c>
      <c r="S1317">
        <f>IF($N1317="","",$N1317&amp;"|"&amp;RIGHT("000000"&amp;$R1317,6))</f>
        <v/>
      </c>
      <c r="T1317">
        <f>IF($N1317="","",IF(Sync!$N1317="",0,Sync!$N1317))</f>
        <v/>
      </c>
      <c r="U1317">
        <f>IF($N1317="","",IF(Sync!$O1317="",0,Sync!$O1317))</f>
        <v/>
      </c>
      <c r="V1317">
        <f>IF($N1317="","",Sync!$L1317)</f>
        <v/>
      </c>
      <c r="W1317">
        <f>IF($N1317="","",Sync!$P1317)</f>
        <v/>
      </c>
    </row>
    <row r="1318">
      <c r="N1318">
        <f>IF(OR(Sync!$M1318="",$Q1318="",$Q1318="نامعتبر"),"",Sync!$M1318)</f>
        <v/>
      </c>
      <c r="O1318">
        <f>IF($N1318="","",$Q1318)</f>
        <v/>
      </c>
      <c r="P1318">
        <f>IF($N1318="","",LEFT($Q1318,4)&amp;MID($Q1318,6,2)&amp;RIGHT($Q1318,2)&amp;IF(Sync!$K1318="","0000",IF(AND(ISNUMBER(Sync!$K1318),Sync!$K1318&gt;=0,Sync!$K1318&lt;1),RIGHT("00"&amp;HOUR(Sync!$K1318),2)&amp;RIGHT("00"&amp;MINUTE(Sync!$K1318),2),IFERROR(RIGHT("00"&amp;VALUE(LEFT(Sync!$K1318,FIND(":",Sync!$K1318)-1)),2)&amp;RIGHT("00"&amp;VALUE(MID(Sync!$K1318,FIND(":",Sync!$K1318)+1,2)),2),"0000")))&amp;"|"&amp;"2"&amp;RIGHT("00000"&amp;1313,5))</f>
        <v/>
      </c>
      <c r="Q1318">
        <f>IF(Sync!$J1318="","",IF(ISNUMBER(Sync!$J1318),IF(AND(Sync!$J1318&gt;=10000101,Sync!$J1318&lt;=99991231),INT(Sync!$J1318/10000)&amp;"/"&amp;RIGHT("00"&amp;INT(MOD(Sync!$J1318,10000)/100),2)&amp;"/"&amp;RIGHT("00"&amp;MOD(Sync!$J1318,100),2),"نامعتبر"),IF(LEN(Sync!$J1318)=10,Sync!$J1318,"نامعتبر")))</f>
        <v/>
      </c>
      <c r="R1318">
        <f>IF($P1318="","",COUNTIFS($N$6:$N$2005,$N1318,$P$6:$P$2005,"&lt;"&amp;$P1318)+COUNTIFS($A$6:$A$1005,$N1318,$B$6:$B$1005,"&lt;"&amp;$P1318)+1)</f>
        <v/>
      </c>
      <c r="S1318">
        <f>IF($N1318="","",$N1318&amp;"|"&amp;RIGHT("000000"&amp;$R1318,6))</f>
        <v/>
      </c>
      <c r="T1318">
        <f>IF($N1318="","",IF(Sync!$N1318="",0,Sync!$N1318))</f>
        <v/>
      </c>
      <c r="U1318">
        <f>IF($N1318="","",IF(Sync!$O1318="",0,Sync!$O1318))</f>
        <v/>
      </c>
      <c r="V1318">
        <f>IF($N1318="","",Sync!$L1318)</f>
        <v/>
      </c>
      <c r="W1318">
        <f>IF($N1318="","",Sync!$P1318)</f>
        <v/>
      </c>
    </row>
    <row r="1319">
      <c r="N1319">
        <f>IF(OR(Sync!$M1319="",$Q1319="",$Q1319="نامعتبر"),"",Sync!$M1319)</f>
        <v/>
      </c>
      <c r="O1319">
        <f>IF($N1319="","",$Q1319)</f>
        <v/>
      </c>
      <c r="P1319">
        <f>IF($N1319="","",LEFT($Q1319,4)&amp;MID($Q1319,6,2)&amp;RIGHT($Q1319,2)&amp;IF(Sync!$K1319="","0000",IF(AND(ISNUMBER(Sync!$K1319),Sync!$K1319&gt;=0,Sync!$K1319&lt;1),RIGHT("00"&amp;HOUR(Sync!$K1319),2)&amp;RIGHT("00"&amp;MINUTE(Sync!$K1319),2),IFERROR(RIGHT("00"&amp;VALUE(LEFT(Sync!$K1319,FIND(":",Sync!$K1319)-1)),2)&amp;RIGHT("00"&amp;VALUE(MID(Sync!$K1319,FIND(":",Sync!$K1319)+1,2)),2),"0000")))&amp;"|"&amp;"2"&amp;RIGHT("00000"&amp;1314,5))</f>
        <v/>
      </c>
      <c r="Q1319">
        <f>IF(Sync!$J1319="","",IF(ISNUMBER(Sync!$J1319),IF(AND(Sync!$J1319&gt;=10000101,Sync!$J1319&lt;=99991231),INT(Sync!$J1319/10000)&amp;"/"&amp;RIGHT("00"&amp;INT(MOD(Sync!$J1319,10000)/100),2)&amp;"/"&amp;RIGHT("00"&amp;MOD(Sync!$J1319,100),2),"نامعتبر"),IF(LEN(Sync!$J1319)=10,Sync!$J1319,"نامعتبر")))</f>
        <v/>
      </c>
      <c r="R1319">
        <f>IF($P1319="","",COUNTIFS($N$6:$N$2005,$N1319,$P$6:$P$2005,"&lt;"&amp;$P1319)+COUNTIFS($A$6:$A$1005,$N1319,$B$6:$B$1005,"&lt;"&amp;$P1319)+1)</f>
        <v/>
      </c>
      <c r="S1319">
        <f>IF($N1319="","",$N1319&amp;"|"&amp;RIGHT("000000"&amp;$R1319,6))</f>
        <v/>
      </c>
      <c r="T1319">
        <f>IF($N1319="","",IF(Sync!$N1319="",0,Sync!$N1319))</f>
        <v/>
      </c>
      <c r="U1319">
        <f>IF($N1319="","",IF(Sync!$O1319="",0,Sync!$O1319))</f>
        <v/>
      </c>
      <c r="V1319">
        <f>IF($N1319="","",Sync!$L1319)</f>
        <v/>
      </c>
      <c r="W1319">
        <f>IF($N1319="","",Sync!$P1319)</f>
        <v/>
      </c>
    </row>
    <row r="1320">
      <c r="N1320">
        <f>IF(OR(Sync!$M1320="",$Q1320="",$Q1320="نامعتبر"),"",Sync!$M1320)</f>
        <v/>
      </c>
      <c r="O1320">
        <f>IF($N1320="","",$Q1320)</f>
        <v/>
      </c>
      <c r="P1320">
        <f>IF($N1320="","",LEFT($Q1320,4)&amp;MID($Q1320,6,2)&amp;RIGHT($Q1320,2)&amp;IF(Sync!$K1320="","0000",IF(AND(ISNUMBER(Sync!$K1320),Sync!$K1320&gt;=0,Sync!$K1320&lt;1),RIGHT("00"&amp;HOUR(Sync!$K1320),2)&amp;RIGHT("00"&amp;MINUTE(Sync!$K1320),2),IFERROR(RIGHT("00"&amp;VALUE(LEFT(Sync!$K1320,FIND(":",Sync!$K1320)-1)),2)&amp;RIGHT("00"&amp;VALUE(MID(Sync!$K1320,FIND(":",Sync!$K1320)+1,2)),2),"0000")))&amp;"|"&amp;"2"&amp;RIGHT("00000"&amp;1315,5))</f>
        <v/>
      </c>
      <c r="Q1320">
        <f>IF(Sync!$J1320="","",IF(ISNUMBER(Sync!$J1320),IF(AND(Sync!$J1320&gt;=10000101,Sync!$J1320&lt;=99991231),INT(Sync!$J1320/10000)&amp;"/"&amp;RIGHT("00"&amp;INT(MOD(Sync!$J1320,10000)/100),2)&amp;"/"&amp;RIGHT("00"&amp;MOD(Sync!$J1320,100),2),"نامعتبر"),IF(LEN(Sync!$J1320)=10,Sync!$J1320,"نامعتبر")))</f>
        <v/>
      </c>
      <c r="R1320">
        <f>IF($P1320="","",COUNTIFS($N$6:$N$2005,$N1320,$P$6:$P$2005,"&lt;"&amp;$P1320)+COUNTIFS($A$6:$A$1005,$N1320,$B$6:$B$1005,"&lt;"&amp;$P1320)+1)</f>
        <v/>
      </c>
      <c r="S1320">
        <f>IF($N1320="","",$N1320&amp;"|"&amp;RIGHT("000000"&amp;$R1320,6))</f>
        <v/>
      </c>
      <c r="T1320">
        <f>IF($N1320="","",IF(Sync!$N1320="",0,Sync!$N1320))</f>
        <v/>
      </c>
      <c r="U1320">
        <f>IF($N1320="","",IF(Sync!$O1320="",0,Sync!$O1320))</f>
        <v/>
      </c>
      <c r="V1320">
        <f>IF($N1320="","",Sync!$L1320)</f>
        <v/>
      </c>
      <c r="W1320">
        <f>IF($N1320="","",Sync!$P1320)</f>
        <v/>
      </c>
    </row>
    <row r="1321">
      <c r="N1321">
        <f>IF(OR(Sync!$M1321="",$Q1321="",$Q1321="نامعتبر"),"",Sync!$M1321)</f>
        <v/>
      </c>
      <c r="O1321">
        <f>IF($N1321="","",$Q1321)</f>
        <v/>
      </c>
      <c r="P1321">
        <f>IF($N1321="","",LEFT($Q1321,4)&amp;MID($Q1321,6,2)&amp;RIGHT($Q1321,2)&amp;IF(Sync!$K1321="","0000",IF(AND(ISNUMBER(Sync!$K1321),Sync!$K1321&gt;=0,Sync!$K1321&lt;1),RIGHT("00"&amp;HOUR(Sync!$K1321),2)&amp;RIGHT("00"&amp;MINUTE(Sync!$K1321),2),IFERROR(RIGHT("00"&amp;VALUE(LEFT(Sync!$K1321,FIND(":",Sync!$K1321)-1)),2)&amp;RIGHT("00"&amp;VALUE(MID(Sync!$K1321,FIND(":",Sync!$K1321)+1,2)),2),"0000")))&amp;"|"&amp;"2"&amp;RIGHT("00000"&amp;1316,5))</f>
        <v/>
      </c>
      <c r="Q1321">
        <f>IF(Sync!$J1321="","",IF(ISNUMBER(Sync!$J1321),IF(AND(Sync!$J1321&gt;=10000101,Sync!$J1321&lt;=99991231),INT(Sync!$J1321/10000)&amp;"/"&amp;RIGHT("00"&amp;INT(MOD(Sync!$J1321,10000)/100),2)&amp;"/"&amp;RIGHT("00"&amp;MOD(Sync!$J1321,100),2),"نامعتبر"),IF(LEN(Sync!$J1321)=10,Sync!$J1321,"نامعتبر")))</f>
        <v/>
      </c>
      <c r="R1321">
        <f>IF($P1321="","",COUNTIFS($N$6:$N$2005,$N1321,$P$6:$P$2005,"&lt;"&amp;$P1321)+COUNTIFS($A$6:$A$1005,$N1321,$B$6:$B$1005,"&lt;"&amp;$P1321)+1)</f>
        <v/>
      </c>
      <c r="S1321">
        <f>IF($N1321="","",$N1321&amp;"|"&amp;RIGHT("000000"&amp;$R1321,6))</f>
        <v/>
      </c>
      <c r="T1321">
        <f>IF($N1321="","",IF(Sync!$N1321="",0,Sync!$N1321))</f>
        <v/>
      </c>
      <c r="U1321">
        <f>IF($N1321="","",IF(Sync!$O1321="",0,Sync!$O1321))</f>
        <v/>
      </c>
      <c r="V1321">
        <f>IF($N1321="","",Sync!$L1321)</f>
        <v/>
      </c>
      <c r="W1321">
        <f>IF($N1321="","",Sync!$P1321)</f>
        <v/>
      </c>
    </row>
    <row r="1322">
      <c r="N1322">
        <f>IF(OR(Sync!$M1322="",$Q1322="",$Q1322="نامعتبر"),"",Sync!$M1322)</f>
        <v/>
      </c>
      <c r="O1322">
        <f>IF($N1322="","",$Q1322)</f>
        <v/>
      </c>
      <c r="P1322">
        <f>IF($N1322="","",LEFT($Q1322,4)&amp;MID($Q1322,6,2)&amp;RIGHT($Q1322,2)&amp;IF(Sync!$K1322="","0000",IF(AND(ISNUMBER(Sync!$K1322),Sync!$K1322&gt;=0,Sync!$K1322&lt;1),RIGHT("00"&amp;HOUR(Sync!$K1322),2)&amp;RIGHT("00"&amp;MINUTE(Sync!$K1322),2),IFERROR(RIGHT("00"&amp;VALUE(LEFT(Sync!$K1322,FIND(":",Sync!$K1322)-1)),2)&amp;RIGHT("00"&amp;VALUE(MID(Sync!$K1322,FIND(":",Sync!$K1322)+1,2)),2),"0000")))&amp;"|"&amp;"2"&amp;RIGHT("00000"&amp;1317,5))</f>
        <v/>
      </c>
      <c r="Q1322">
        <f>IF(Sync!$J1322="","",IF(ISNUMBER(Sync!$J1322),IF(AND(Sync!$J1322&gt;=10000101,Sync!$J1322&lt;=99991231),INT(Sync!$J1322/10000)&amp;"/"&amp;RIGHT("00"&amp;INT(MOD(Sync!$J1322,10000)/100),2)&amp;"/"&amp;RIGHT("00"&amp;MOD(Sync!$J1322,100),2),"نامعتبر"),IF(LEN(Sync!$J1322)=10,Sync!$J1322,"نامعتبر")))</f>
        <v/>
      </c>
      <c r="R1322">
        <f>IF($P1322="","",COUNTIFS($N$6:$N$2005,$N1322,$P$6:$P$2005,"&lt;"&amp;$P1322)+COUNTIFS($A$6:$A$1005,$N1322,$B$6:$B$1005,"&lt;"&amp;$P1322)+1)</f>
        <v/>
      </c>
      <c r="S1322">
        <f>IF($N1322="","",$N1322&amp;"|"&amp;RIGHT("000000"&amp;$R1322,6))</f>
        <v/>
      </c>
      <c r="T1322">
        <f>IF($N1322="","",IF(Sync!$N1322="",0,Sync!$N1322))</f>
        <v/>
      </c>
      <c r="U1322">
        <f>IF($N1322="","",IF(Sync!$O1322="",0,Sync!$O1322))</f>
        <v/>
      </c>
      <c r="V1322">
        <f>IF($N1322="","",Sync!$L1322)</f>
        <v/>
      </c>
      <c r="W1322">
        <f>IF($N1322="","",Sync!$P1322)</f>
        <v/>
      </c>
    </row>
    <row r="1323">
      <c r="N1323">
        <f>IF(OR(Sync!$M1323="",$Q1323="",$Q1323="نامعتبر"),"",Sync!$M1323)</f>
        <v/>
      </c>
      <c r="O1323">
        <f>IF($N1323="","",$Q1323)</f>
        <v/>
      </c>
      <c r="P1323">
        <f>IF($N1323="","",LEFT($Q1323,4)&amp;MID($Q1323,6,2)&amp;RIGHT($Q1323,2)&amp;IF(Sync!$K1323="","0000",IF(AND(ISNUMBER(Sync!$K1323),Sync!$K1323&gt;=0,Sync!$K1323&lt;1),RIGHT("00"&amp;HOUR(Sync!$K1323),2)&amp;RIGHT("00"&amp;MINUTE(Sync!$K1323),2),IFERROR(RIGHT("00"&amp;VALUE(LEFT(Sync!$K1323,FIND(":",Sync!$K1323)-1)),2)&amp;RIGHT("00"&amp;VALUE(MID(Sync!$K1323,FIND(":",Sync!$K1323)+1,2)),2),"0000")))&amp;"|"&amp;"2"&amp;RIGHT("00000"&amp;1318,5))</f>
        <v/>
      </c>
      <c r="Q1323">
        <f>IF(Sync!$J1323="","",IF(ISNUMBER(Sync!$J1323),IF(AND(Sync!$J1323&gt;=10000101,Sync!$J1323&lt;=99991231),INT(Sync!$J1323/10000)&amp;"/"&amp;RIGHT("00"&amp;INT(MOD(Sync!$J1323,10000)/100),2)&amp;"/"&amp;RIGHT("00"&amp;MOD(Sync!$J1323,100),2),"نامعتبر"),IF(LEN(Sync!$J1323)=10,Sync!$J1323,"نامعتبر")))</f>
        <v/>
      </c>
      <c r="R1323">
        <f>IF($P1323="","",COUNTIFS($N$6:$N$2005,$N1323,$P$6:$P$2005,"&lt;"&amp;$P1323)+COUNTIFS($A$6:$A$1005,$N1323,$B$6:$B$1005,"&lt;"&amp;$P1323)+1)</f>
        <v/>
      </c>
      <c r="S1323">
        <f>IF($N1323="","",$N1323&amp;"|"&amp;RIGHT("000000"&amp;$R1323,6))</f>
        <v/>
      </c>
      <c r="T1323">
        <f>IF($N1323="","",IF(Sync!$N1323="",0,Sync!$N1323))</f>
        <v/>
      </c>
      <c r="U1323">
        <f>IF($N1323="","",IF(Sync!$O1323="",0,Sync!$O1323))</f>
        <v/>
      </c>
      <c r="V1323">
        <f>IF($N1323="","",Sync!$L1323)</f>
        <v/>
      </c>
      <c r="W1323">
        <f>IF($N1323="","",Sync!$P1323)</f>
        <v/>
      </c>
    </row>
    <row r="1324">
      <c r="N1324">
        <f>IF(OR(Sync!$M1324="",$Q1324="",$Q1324="نامعتبر"),"",Sync!$M1324)</f>
        <v/>
      </c>
      <c r="O1324">
        <f>IF($N1324="","",$Q1324)</f>
        <v/>
      </c>
      <c r="P1324">
        <f>IF($N1324="","",LEFT($Q1324,4)&amp;MID($Q1324,6,2)&amp;RIGHT($Q1324,2)&amp;IF(Sync!$K1324="","0000",IF(AND(ISNUMBER(Sync!$K1324),Sync!$K1324&gt;=0,Sync!$K1324&lt;1),RIGHT("00"&amp;HOUR(Sync!$K1324),2)&amp;RIGHT("00"&amp;MINUTE(Sync!$K1324),2),IFERROR(RIGHT("00"&amp;VALUE(LEFT(Sync!$K1324,FIND(":",Sync!$K1324)-1)),2)&amp;RIGHT("00"&amp;VALUE(MID(Sync!$K1324,FIND(":",Sync!$K1324)+1,2)),2),"0000")))&amp;"|"&amp;"2"&amp;RIGHT("00000"&amp;1319,5))</f>
        <v/>
      </c>
      <c r="Q1324">
        <f>IF(Sync!$J1324="","",IF(ISNUMBER(Sync!$J1324),IF(AND(Sync!$J1324&gt;=10000101,Sync!$J1324&lt;=99991231),INT(Sync!$J1324/10000)&amp;"/"&amp;RIGHT("00"&amp;INT(MOD(Sync!$J1324,10000)/100),2)&amp;"/"&amp;RIGHT("00"&amp;MOD(Sync!$J1324,100),2),"نامعتبر"),IF(LEN(Sync!$J1324)=10,Sync!$J1324,"نامعتبر")))</f>
        <v/>
      </c>
      <c r="R1324">
        <f>IF($P1324="","",COUNTIFS($N$6:$N$2005,$N1324,$P$6:$P$2005,"&lt;"&amp;$P1324)+COUNTIFS($A$6:$A$1005,$N1324,$B$6:$B$1005,"&lt;"&amp;$P1324)+1)</f>
        <v/>
      </c>
      <c r="S1324">
        <f>IF($N1324="","",$N1324&amp;"|"&amp;RIGHT("000000"&amp;$R1324,6))</f>
        <v/>
      </c>
      <c r="T1324">
        <f>IF($N1324="","",IF(Sync!$N1324="",0,Sync!$N1324))</f>
        <v/>
      </c>
      <c r="U1324">
        <f>IF($N1324="","",IF(Sync!$O1324="",0,Sync!$O1324))</f>
        <v/>
      </c>
      <c r="V1324">
        <f>IF($N1324="","",Sync!$L1324)</f>
        <v/>
      </c>
      <c r="W1324">
        <f>IF($N1324="","",Sync!$P1324)</f>
        <v/>
      </c>
    </row>
    <row r="1325">
      <c r="N1325">
        <f>IF(OR(Sync!$M1325="",$Q1325="",$Q1325="نامعتبر"),"",Sync!$M1325)</f>
        <v/>
      </c>
      <c r="O1325">
        <f>IF($N1325="","",$Q1325)</f>
        <v/>
      </c>
      <c r="P1325">
        <f>IF($N1325="","",LEFT($Q1325,4)&amp;MID($Q1325,6,2)&amp;RIGHT($Q1325,2)&amp;IF(Sync!$K1325="","0000",IF(AND(ISNUMBER(Sync!$K1325),Sync!$K1325&gt;=0,Sync!$K1325&lt;1),RIGHT("00"&amp;HOUR(Sync!$K1325),2)&amp;RIGHT("00"&amp;MINUTE(Sync!$K1325),2),IFERROR(RIGHT("00"&amp;VALUE(LEFT(Sync!$K1325,FIND(":",Sync!$K1325)-1)),2)&amp;RIGHT("00"&amp;VALUE(MID(Sync!$K1325,FIND(":",Sync!$K1325)+1,2)),2),"0000")))&amp;"|"&amp;"2"&amp;RIGHT("00000"&amp;1320,5))</f>
        <v/>
      </c>
      <c r="Q1325">
        <f>IF(Sync!$J1325="","",IF(ISNUMBER(Sync!$J1325),IF(AND(Sync!$J1325&gt;=10000101,Sync!$J1325&lt;=99991231),INT(Sync!$J1325/10000)&amp;"/"&amp;RIGHT("00"&amp;INT(MOD(Sync!$J1325,10000)/100),2)&amp;"/"&amp;RIGHT("00"&amp;MOD(Sync!$J1325,100),2),"نامعتبر"),IF(LEN(Sync!$J1325)=10,Sync!$J1325,"نامعتبر")))</f>
        <v/>
      </c>
      <c r="R1325">
        <f>IF($P1325="","",COUNTIFS($N$6:$N$2005,$N1325,$P$6:$P$2005,"&lt;"&amp;$P1325)+COUNTIFS($A$6:$A$1005,$N1325,$B$6:$B$1005,"&lt;"&amp;$P1325)+1)</f>
        <v/>
      </c>
      <c r="S1325">
        <f>IF($N1325="","",$N1325&amp;"|"&amp;RIGHT("000000"&amp;$R1325,6))</f>
        <v/>
      </c>
      <c r="T1325">
        <f>IF($N1325="","",IF(Sync!$N1325="",0,Sync!$N1325))</f>
        <v/>
      </c>
      <c r="U1325">
        <f>IF($N1325="","",IF(Sync!$O1325="",0,Sync!$O1325))</f>
        <v/>
      </c>
      <c r="V1325">
        <f>IF($N1325="","",Sync!$L1325)</f>
        <v/>
      </c>
      <c r="W1325">
        <f>IF($N1325="","",Sync!$P1325)</f>
        <v/>
      </c>
    </row>
    <row r="1326">
      <c r="N1326">
        <f>IF(OR(Sync!$M1326="",$Q1326="",$Q1326="نامعتبر"),"",Sync!$M1326)</f>
        <v/>
      </c>
      <c r="O1326">
        <f>IF($N1326="","",$Q1326)</f>
        <v/>
      </c>
      <c r="P1326">
        <f>IF($N1326="","",LEFT($Q1326,4)&amp;MID($Q1326,6,2)&amp;RIGHT($Q1326,2)&amp;IF(Sync!$K1326="","0000",IF(AND(ISNUMBER(Sync!$K1326),Sync!$K1326&gt;=0,Sync!$K1326&lt;1),RIGHT("00"&amp;HOUR(Sync!$K1326),2)&amp;RIGHT("00"&amp;MINUTE(Sync!$K1326),2),IFERROR(RIGHT("00"&amp;VALUE(LEFT(Sync!$K1326,FIND(":",Sync!$K1326)-1)),2)&amp;RIGHT("00"&amp;VALUE(MID(Sync!$K1326,FIND(":",Sync!$K1326)+1,2)),2),"0000")))&amp;"|"&amp;"2"&amp;RIGHT("00000"&amp;1321,5))</f>
        <v/>
      </c>
      <c r="Q1326">
        <f>IF(Sync!$J1326="","",IF(ISNUMBER(Sync!$J1326),IF(AND(Sync!$J1326&gt;=10000101,Sync!$J1326&lt;=99991231),INT(Sync!$J1326/10000)&amp;"/"&amp;RIGHT("00"&amp;INT(MOD(Sync!$J1326,10000)/100),2)&amp;"/"&amp;RIGHT("00"&amp;MOD(Sync!$J1326,100),2),"نامعتبر"),IF(LEN(Sync!$J1326)=10,Sync!$J1326,"نامعتبر")))</f>
        <v/>
      </c>
      <c r="R1326">
        <f>IF($P1326="","",COUNTIFS($N$6:$N$2005,$N1326,$P$6:$P$2005,"&lt;"&amp;$P1326)+COUNTIFS($A$6:$A$1005,$N1326,$B$6:$B$1005,"&lt;"&amp;$P1326)+1)</f>
        <v/>
      </c>
      <c r="S1326">
        <f>IF($N1326="","",$N1326&amp;"|"&amp;RIGHT("000000"&amp;$R1326,6))</f>
        <v/>
      </c>
      <c r="T1326">
        <f>IF($N1326="","",IF(Sync!$N1326="",0,Sync!$N1326))</f>
        <v/>
      </c>
      <c r="U1326">
        <f>IF($N1326="","",IF(Sync!$O1326="",0,Sync!$O1326))</f>
        <v/>
      </c>
      <c r="V1326">
        <f>IF($N1326="","",Sync!$L1326)</f>
        <v/>
      </c>
      <c r="W1326">
        <f>IF($N1326="","",Sync!$P1326)</f>
        <v/>
      </c>
    </row>
    <row r="1327">
      <c r="N1327">
        <f>IF(OR(Sync!$M1327="",$Q1327="",$Q1327="نامعتبر"),"",Sync!$M1327)</f>
        <v/>
      </c>
      <c r="O1327">
        <f>IF($N1327="","",$Q1327)</f>
        <v/>
      </c>
      <c r="P1327">
        <f>IF($N1327="","",LEFT($Q1327,4)&amp;MID($Q1327,6,2)&amp;RIGHT($Q1327,2)&amp;IF(Sync!$K1327="","0000",IF(AND(ISNUMBER(Sync!$K1327),Sync!$K1327&gt;=0,Sync!$K1327&lt;1),RIGHT("00"&amp;HOUR(Sync!$K1327),2)&amp;RIGHT("00"&amp;MINUTE(Sync!$K1327),2),IFERROR(RIGHT("00"&amp;VALUE(LEFT(Sync!$K1327,FIND(":",Sync!$K1327)-1)),2)&amp;RIGHT("00"&amp;VALUE(MID(Sync!$K1327,FIND(":",Sync!$K1327)+1,2)),2),"0000")))&amp;"|"&amp;"2"&amp;RIGHT("00000"&amp;1322,5))</f>
        <v/>
      </c>
      <c r="Q1327">
        <f>IF(Sync!$J1327="","",IF(ISNUMBER(Sync!$J1327),IF(AND(Sync!$J1327&gt;=10000101,Sync!$J1327&lt;=99991231),INT(Sync!$J1327/10000)&amp;"/"&amp;RIGHT("00"&amp;INT(MOD(Sync!$J1327,10000)/100),2)&amp;"/"&amp;RIGHT("00"&amp;MOD(Sync!$J1327,100),2),"نامعتبر"),IF(LEN(Sync!$J1327)=10,Sync!$J1327,"نامعتبر")))</f>
        <v/>
      </c>
      <c r="R1327">
        <f>IF($P1327="","",COUNTIFS($N$6:$N$2005,$N1327,$P$6:$P$2005,"&lt;"&amp;$P1327)+COUNTIFS($A$6:$A$1005,$N1327,$B$6:$B$1005,"&lt;"&amp;$P1327)+1)</f>
        <v/>
      </c>
      <c r="S1327">
        <f>IF($N1327="","",$N1327&amp;"|"&amp;RIGHT("000000"&amp;$R1327,6))</f>
        <v/>
      </c>
      <c r="T1327">
        <f>IF($N1327="","",IF(Sync!$N1327="",0,Sync!$N1327))</f>
        <v/>
      </c>
      <c r="U1327">
        <f>IF($N1327="","",IF(Sync!$O1327="",0,Sync!$O1327))</f>
        <v/>
      </c>
      <c r="V1327">
        <f>IF($N1327="","",Sync!$L1327)</f>
        <v/>
      </c>
      <c r="W1327">
        <f>IF($N1327="","",Sync!$P1327)</f>
        <v/>
      </c>
    </row>
    <row r="1328">
      <c r="N1328">
        <f>IF(OR(Sync!$M1328="",$Q1328="",$Q1328="نامعتبر"),"",Sync!$M1328)</f>
        <v/>
      </c>
      <c r="O1328">
        <f>IF($N1328="","",$Q1328)</f>
        <v/>
      </c>
      <c r="P1328">
        <f>IF($N1328="","",LEFT($Q1328,4)&amp;MID($Q1328,6,2)&amp;RIGHT($Q1328,2)&amp;IF(Sync!$K1328="","0000",IF(AND(ISNUMBER(Sync!$K1328),Sync!$K1328&gt;=0,Sync!$K1328&lt;1),RIGHT("00"&amp;HOUR(Sync!$K1328),2)&amp;RIGHT("00"&amp;MINUTE(Sync!$K1328),2),IFERROR(RIGHT("00"&amp;VALUE(LEFT(Sync!$K1328,FIND(":",Sync!$K1328)-1)),2)&amp;RIGHT("00"&amp;VALUE(MID(Sync!$K1328,FIND(":",Sync!$K1328)+1,2)),2),"0000")))&amp;"|"&amp;"2"&amp;RIGHT("00000"&amp;1323,5))</f>
        <v/>
      </c>
      <c r="Q1328">
        <f>IF(Sync!$J1328="","",IF(ISNUMBER(Sync!$J1328),IF(AND(Sync!$J1328&gt;=10000101,Sync!$J1328&lt;=99991231),INT(Sync!$J1328/10000)&amp;"/"&amp;RIGHT("00"&amp;INT(MOD(Sync!$J1328,10000)/100),2)&amp;"/"&amp;RIGHT("00"&amp;MOD(Sync!$J1328,100),2),"نامعتبر"),IF(LEN(Sync!$J1328)=10,Sync!$J1328,"نامعتبر")))</f>
        <v/>
      </c>
      <c r="R1328">
        <f>IF($P1328="","",COUNTIFS($N$6:$N$2005,$N1328,$P$6:$P$2005,"&lt;"&amp;$P1328)+COUNTIFS($A$6:$A$1005,$N1328,$B$6:$B$1005,"&lt;"&amp;$P1328)+1)</f>
        <v/>
      </c>
      <c r="S1328">
        <f>IF($N1328="","",$N1328&amp;"|"&amp;RIGHT("000000"&amp;$R1328,6))</f>
        <v/>
      </c>
      <c r="T1328">
        <f>IF($N1328="","",IF(Sync!$N1328="",0,Sync!$N1328))</f>
        <v/>
      </c>
      <c r="U1328">
        <f>IF($N1328="","",IF(Sync!$O1328="",0,Sync!$O1328))</f>
        <v/>
      </c>
      <c r="V1328">
        <f>IF($N1328="","",Sync!$L1328)</f>
        <v/>
      </c>
      <c r="W1328">
        <f>IF($N1328="","",Sync!$P1328)</f>
        <v/>
      </c>
    </row>
    <row r="1329">
      <c r="N1329">
        <f>IF(OR(Sync!$M1329="",$Q1329="",$Q1329="نامعتبر"),"",Sync!$M1329)</f>
        <v/>
      </c>
      <c r="O1329">
        <f>IF($N1329="","",$Q1329)</f>
        <v/>
      </c>
      <c r="P1329">
        <f>IF($N1329="","",LEFT($Q1329,4)&amp;MID($Q1329,6,2)&amp;RIGHT($Q1329,2)&amp;IF(Sync!$K1329="","0000",IF(AND(ISNUMBER(Sync!$K1329),Sync!$K1329&gt;=0,Sync!$K1329&lt;1),RIGHT("00"&amp;HOUR(Sync!$K1329),2)&amp;RIGHT("00"&amp;MINUTE(Sync!$K1329),2),IFERROR(RIGHT("00"&amp;VALUE(LEFT(Sync!$K1329,FIND(":",Sync!$K1329)-1)),2)&amp;RIGHT("00"&amp;VALUE(MID(Sync!$K1329,FIND(":",Sync!$K1329)+1,2)),2),"0000")))&amp;"|"&amp;"2"&amp;RIGHT("00000"&amp;1324,5))</f>
        <v/>
      </c>
      <c r="Q1329">
        <f>IF(Sync!$J1329="","",IF(ISNUMBER(Sync!$J1329),IF(AND(Sync!$J1329&gt;=10000101,Sync!$J1329&lt;=99991231),INT(Sync!$J1329/10000)&amp;"/"&amp;RIGHT("00"&amp;INT(MOD(Sync!$J1329,10000)/100),2)&amp;"/"&amp;RIGHT("00"&amp;MOD(Sync!$J1329,100),2),"نامعتبر"),IF(LEN(Sync!$J1329)=10,Sync!$J1329,"نامعتبر")))</f>
        <v/>
      </c>
      <c r="R1329">
        <f>IF($P1329="","",COUNTIFS($N$6:$N$2005,$N1329,$P$6:$P$2005,"&lt;"&amp;$P1329)+COUNTIFS($A$6:$A$1005,$N1329,$B$6:$B$1005,"&lt;"&amp;$P1329)+1)</f>
        <v/>
      </c>
      <c r="S1329">
        <f>IF($N1329="","",$N1329&amp;"|"&amp;RIGHT("000000"&amp;$R1329,6))</f>
        <v/>
      </c>
      <c r="T1329">
        <f>IF($N1329="","",IF(Sync!$N1329="",0,Sync!$N1329))</f>
        <v/>
      </c>
      <c r="U1329">
        <f>IF($N1329="","",IF(Sync!$O1329="",0,Sync!$O1329))</f>
        <v/>
      </c>
      <c r="V1329">
        <f>IF($N1329="","",Sync!$L1329)</f>
        <v/>
      </c>
      <c r="W1329">
        <f>IF($N1329="","",Sync!$P1329)</f>
        <v/>
      </c>
    </row>
    <row r="1330">
      <c r="N1330">
        <f>IF(OR(Sync!$M1330="",$Q1330="",$Q1330="نامعتبر"),"",Sync!$M1330)</f>
        <v/>
      </c>
      <c r="O1330">
        <f>IF($N1330="","",$Q1330)</f>
        <v/>
      </c>
      <c r="P1330">
        <f>IF($N1330="","",LEFT($Q1330,4)&amp;MID($Q1330,6,2)&amp;RIGHT($Q1330,2)&amp;IF(Sync!$K1330="","0000",IF(AND(ISNUMBER(Sync!$K1330),Sync!$K1330&gt;=0,Sync!$K1330&lt;1),RIGHT("00"&amp;HOUR(Sync!$K1330),2)&amp;RIGHT("00"&amp;MINUTE(Sync!$K1330),2),IFERROR(RIGHT("00"&amp;VALUE(LEFT(Sync!$K1330,FIND(":",Sync!$K1330)-1)),2)&amp;RIGHT("00"&amp;VALUE(MID(Sync!$K1330,FIND(":",Sync!$K1330)+1,2)),2),"0000")))&amp;"|"&amp;"2"&amp;RIGHT("00000"&amp;1325,5))</f>
        <v/>
      </c>
      <c r="Q1330">
        <f>IF(Sync!$J1330="","",IF(ISNUMBER(Sync!$J1330),IF(AND(Sync!$J1330&gt;=10000101,Sync!$J1330&lt;=99991231),INT(Sync!$J1330/10000)&amp;"/"&amp;RIGHT("00"&amp;INT(MOD(Sync!$J1330,10000)/100),2)&amp;"/"&amp;RIGHT("00"&amp;MOD(Sync!$J1330,100),2),"نامعتبر"),IF(LEN(Sync!$J1330)=10,Sync!$J1330,"نامعتبر")))</f>
        <v/>
      </c>
      <c r="R1330">
        <f>IF($P1330="","",COUNTIFS($N$6:$N$2005,$N1330,$P$6:$P$2005,"&lt;"&amp;$P1330)+COUNTIFS($A$6:$A$1005,$N1330,$B$6:$B$1005,"&lt;"&amp;$P1330)+1)</f>
        <v/>
      </c>
      <c r="S1330">
        <f>IF($N1330="","",$N1330&amp;"|"&amp;RIGHT("000000"&amp;$R1330,6))</f>
        <v/>
      </c>
      <c r="T1330">
        <f>IF($N1330="","",IF(Sync!$N1330="",0,Sync!$N1330))</f>
        <v/>
      </c>
      <c r="U1330">
        <f>IF($N1330="","",IF(Sync!$O1330="",0,Sync!$O1330))</f>
        <v/>
      </c>
      <c r="V1330">
        <f>IF($N1330="","",Sync!$L1330)</f>
        <v/>
      </c>
      <c r="W1330">
        <f>IF($N1330="","",Sync!$P1330)</f>
        <v/>
      </c>
    </row>
    <row r="1331">
      <c r="N1331">
        <f>IF(OR(Sync!$M1331="",$Q1331="",$Q1331="نامعتبر"),"",Sync!$M1331)</f>
        <v/>
      </c>
      <c r="O1331">
        <f>IF($N1331="","",$Q1331)</f>
        <v/>
      </c>
      <c r="P1331">
        <f>IF($N1331="","",LEFT($Q1331,4)&amp;MID($Q1331,6,2)&amp;RIGHT($Q1331,2)&amp;IF(Sync!$K1331="","0000",IF(AND(ISNUMBER(Sync!$K1331),Sync!$K1331&gt;=0,Sync!$K1331&lt;1),RIGHT("00"&amp;HOUR(Sync!$K1331),2)&amp;RIGHT("00"&amp;MINUTE(Sync!$K1331),2),IFERROR(RIGHT("00"&amp;VALUE(LEFT(Sync!$K1331,FIND(":",Sync!$K1331)-1)),2)&amp;RIGHT("00"&amp;VALUE(MID(Sync!$K1331,FIND(":",Sync!$K1331)+1,2)),2),"0000")))&amp;"|"&amp;"2"&amp;RIGHT("00000"&amp;1326,5))</f>
        <v/>
      </c>
      <c r="Q1331">
        <f>IF(Sync!$J1331="","",IF(ISNUMBER(Sync!$J1331),IF(AND(Sync!$J1331&gt;=10000101,Sync!$J1331&lt;=99991231),INT(Sync!$J1331/10000)&amp;"/"&amp;RIGHT("00"&amp;INT(MOD(Sync!$J1331,10000)/100),2)&amp;"/"&amp;RIGHT("00"&amp;MOD(Sync!$J1331,100),2),"نامعتبر"),IF(LEN(Sync!$J1331)=10,Sync!$J1331,"نامعتبر")))</f>
        <v/>
      </c>
      <c r="R1331">
        <f>IF($P1331="","",COUNTIFS($N$6:$N$2005,$N1331,$P$6:$P$2005,"&lt;"&amp;$P1331)+COUNTIFS($A$6:$A$1005,$N1331,$B$6:$B$1005,"&lt;"&amp;$P1331)+1)</f>
        <v/>
      </c>
      <c r="S1331">
        <f>IF($N1331="","",$N1331&amp;"|"&amp;RIGHT("000000"&amp;$R1331,6))</f>
        <v/>
      </c>
      <c r="T1331">
        <f>IF($N1331="","",IF(Sync!$N1331="",0,Sync!$N1331))</f>
        <v/>
      </c>
      <c r="U1331">
        <f>IF($N1331="","",IF(Sync!$O1331="",0,Sync!$O1331))</f>
        <v/>
      </c>
      <c r="V1331">
        <f>IF($N1331="","",Sync!$L1331)</f>
        <v/>
      </c>
      <c r="W1331">
        <f>IF($N1331="","",Sync!$P1331)</f>
        <v/>
      </c>
    </row>
    <row r="1332">
      <c r="N1332">
        <f>IF(OR(Sync!$M1332="",$Q1332="",$Q1332="نامعتبر"),"",Sync!$M1332)</f>
        <v/>
      </c>
      <c r="O1332">
        <f>IF($N1332="","",$Q1332)</f>
        <v/>
      </c>
      <c r="P1332">
        <f>IF($N1332="","",LEFT($Q1332,4)&amp;MID($Q1332,6,2)&amp;RIGHT($Q1332,2)&amp;IF(Sync!$K1332="","0000",IF(AND(ISNUMBER(Sync!$K1332),Sync!$K1332&gt;=0,Sync!$K1332&lt;1),RIGHT("00"&amp;HOUR(Sync!$K1332),2)&amp;RIGHT("00"&amp;MINUTE(Sync!$K1332),2),IFERROR(RIGHT("00"&amp;VALUE(LEFT(Sync!$K1332,FIND(":",Sync!$K1332)-1)),2)&amp;RIGHT("00"&amp;VALUE(MID(Sync!$K1332,FIND(":",Sync!$K1332)+1,2)),2),"0000")))&amp;"|"&amp;"2"&amp;RIGHT("00000"&amp;1327,5))</f>
        <v/>
      </c>
      <c r="Q1332">
        <f>IF(Sync!$J1332="","",IF(ISNUMBER(Sync!$J1332),IF(AND(Sync!$J1332&gt;=10000101,Sync!$J1332&lt;=99991231),INT(Sync!$J1332/10000)&amp;"/"&amp;RIGHT("00"&amp;INT(MOD(Sync!$J1332,10000)/100),2)&amp;"/"&amp;RIGHT("00"&amp;MOD(Sync!$J1332,100),2),"نامعتبر"),IF(LEN(Sync!$J1332)=10,Sync!$J1332,"نامعتبر")))</f>
        <v/>
      </c>
      <c r="R1332">
        <f>IF($P1332="","",COUNTIFS($N$6:$N$2005,$N1332,$P$6:$P$2005,"&lt;"&amp;$P1332)+COUNTIFS($A$6:$A$1005,$N1332,$B$6:$B$1005,"&lt;"&amp;$P1332)+1)</f>
        <v/>
      </c>
      <c r="S1332">
        <f>IF($N1332="","",$N1332&amp;"|"&amp;RIGHT("000000"&amp;$R1332,6))</f>
        <v/>
      </c>
      <c r="T1332">
        <f>IF($N1332="","",IF(Sync!$N1332="",0,Sync!$N1332))</f>
        <v/>
      </c>
      <c r="U1332">
        <f>IF($N1332="","",IF(Sync!$O1332="",0,Sync!$O1332))</f>
        <v/>
      </c>
      <c r="V1332">
        <f>IF($N1332="","",Sync!$L1332)</f>
        <v/>
      </c>
      <c r="W1332">
        <f>IF($N1332="","",Sync!$P1332)</f>
        <v/>
      </c>
    </row>
    <row r="1333">
      <c r="N1333">
        <f>IF(OR(Sync!$M1333="",$Q1333="",$Q1333="نامعتبر"),"",Sync!$M1333)</f>
        <v/>
      </c>
      <c r="O1333">
        <f>IF($N1333="","",$Q1333)</f>
        <v/>
      </c>
      <c r="P1333">
        <f>IF($N1333="","",LEFT($Q1333,4)&amp;MID($Q1333,6,2)&amp;RIGHT($Q1333,2)&amp;IF(Sync!$K1333="","0000",IF(AND(ISNUMBER(Sync!$K1333),Sync!$K1333&gt;=0,Sync!$K1333&lt;1),RIGHT("00"&amp;HOUR(Sync!$K1333),2)&amp;RIGHT("00"&amp;MINUTE(Sync!$K1333),2),IFERROR(RIGHT("00"&amp;VALUE(LEFT(Sync!$K1333,FIND(":",Sync!$K1333)-1)),2)&amp;RIGHT("00"&amp;VALUE(MID(Sync!$K1333,FIND(":",Sync!$K1333)+1,2)),2),"0000")))&amp;"|"&amp;"2"&amp;RIGHT("00000"&amp;1328,5))</f>
        <v/>
      </c>
      <c r="Q1333">
        <f>IF(Sync!$J1333="","",IF(ISNUMBER(Sync!$J1333),IF(AND(Sync!$J1333&gt;=10000101,Sync!$J1333&lt;=99991231),INT(Sync!$J1333/10000)&amp;"/"&amp;RIGHT("00"&amp;INT(MOD(Sync!$J1333,10000)/100),2)&amp;"/"&amp;RIGHT("00"&amp;MOD(Sync!$J1333,100),2),"نامعتبر"),IF(LEN(Sync!$J1333)=10,Sync!$J1333,"نامعتبر")))</f>
        <v/>
      </c>
      <c r="R1333">
        <f>IF($P1333="","",COUNTIFS($N$6:$N$2005,$N1333,$P$6:$P$2005,"&lt;"&amp;$P1333)+COUNTIFS($A$6:$A$1005,$N1333,$B$6:$B$1005,"&lt;"&amp;$P1333)+1)</f>
        <v/>
      </c>
      <c r="S1333">
        <f>IF($N1333="","",$N1333&amp;"|"&amp;RIGHT("000000"&amp;$R1333,6))</f>
        <v/>
      </c>
      <c r="T1333">
        <f>IF($N1333="","",IF(Sync!$N1333="",0,Sync!$N1333))</f>
        <v/>
      </c>
      <c r="U1333">
        <f>IF($N1333="","",IF(Sync!$O1333="",0,Sync!$O1333))</f>
        <v/>
      </c>
      <c r="V1333">
        <f>IF($N1333="","",Sync!$L1333)</f>
        <v/>
      </c>
      <c r="W1333">
        <f>IF($N1333="","",Sync!$P1333)</f>
        <v/>
      </c>
    </row>
    <row r="1334">
      <c r="N1334">
        <f>IF(OR(Sync!$M1334="",$Q1334="",$Q1334="نامعتبر"),"",Sync!$M1334)</f>
        <v/>
      </c>
      <c r="O1334">
        <f>IF($N1334="","",$Q1334)</f>
        <v/>
      </c>
      <c r="P1334">
        <f>IF($N1334="","",LEFT($Q1334,4)&amp;MID($Q1334,6,2)&amp;RIGHT($Q1334,2)&amp;IF(Sync!$K1334="","0000",IF(AND(ISNUMBER(Sync!$K1334),Sync!$K1334&gt;=0,Sync!$K1334&lt;1),RIGHT("00"&amp;HOUR(Sync!$K1334),2)&amp;RIGHT("00"&amp;MINUTE(Sync!$K1334),2),IFERROR(RIGHT("00"&amp;VALUE(LEFT(Sync!$K1334,FIND(":",Sync!$K1334)-1)),2)&amp;RIGHT("00"&amp;VALUE(MID(Sync!$K1334,FIND(":",Sync!$K1334)+1,2)),2),"0000")))&amp;"|"&amp;"2"&amp;RIGHT("00000"&amp;1329,5))</f>
        <v/>
      </c>
      <c r="Q1334">
        <f>IF(Sync!$J1334="","",IF(ISNUMBER(Sync!$J1334),IF(AND(Sync!$J1334&gt;=10000101,Sync!$J1334&lt;=99991231),INT(Sync!$J1334/10000)&amp;"/"&amp;RIGHT("00"&amp;INT(MOD(Sync!$J1334,10000)/100),2)&amp;"/"&amp;RIGHT("00"&amp;MOD(Sync!$J1334,100),2),"نامعتبر"),IF(LEN(Sync!$J1334)=10,Sync!$J1334,"نامعتبر")))</f>
        <v/>
      </c>
      <c r="R1334">
        <f>IF($P1334="","",COUNTIFS($N$6:$N$2005,$N1334,$P$6:$P$2005,"&lt;"&amp;$P1334)+COUNTIFS($A$6:$A$1005,$N1334,$B$6:$B$1005,"&lt;"&amp;$P1334)+1)</f>
        <v/>
      </c>
      <c r="S1334">
        <f>IF($N1334="","",$N1334&amp;"|"&amp;RIGHT("000000"&amp;$R1334,6))</f>
        <v/>
      </c>
      <c r="T1334">
        <f>IF($N1334="","",IF(Sync!$N1334="",0,Sync!$N1334))</f>
        <v/>
      </c>
      <c r="U1334">
        <f>IF($N1334="","",IF(Sync!$O1334="",0,Sync!$O1334))</f>
        <v/>
      </c>
      <c r="V1334">
        <f>IF($N1334="","",Sync!$L1334)</f>
        <v/>
      </c>
      <c r="W1334">
        <f>IF($N1334="","",Sync!$P1334)</f>
        <v/>
      </c>
    </row>
    <row r="1335">
      <c r="N1335">
        <f>IF(OR(Sync!$M1335="",$Q1335="",$Q1335="نامعتبر"),"",Sync!$M1335)</f>
        <v/>
      </c>
      <c r="O1335">
        <f>IF($N1335="","",$Q1335)</f>
        <v/>
      </c>
      <c r="P1335">
        <f>IF($N1335="","",LEFT($Q1335,4)&amp;MID($Q1335,6,2)&amp;RIGHT($Q1335,2)&amp;IF(Sync!$K1335="","0000",IF(AND(ISNUMBER(Sync!$K1335),Sync!$K1335&gt;=0,Sync!$K1335&lt;1),RIGHT("00"&amp;HOUR(Sync!$K1335),2)&amp;RIGHT("00"&amp;MINUTE(Sync!$K1335),2),IFERROR(RIGHT("00"&amp;VALUE(LEFT(Sync!$K1335,FIND(":",Sync!$K1335)-1)),2)&amp;RIGHT("00"&amp;VALUE(MID(Sync!$K1335,FIND(":",Sync!$K1335)+1,2)),2),"0000")))&amp;"|"&amp;"2"&amp;RIGHT("00000"&amp;1330,5))</f>
        <v/>
      </c>
      <c r="Q1335">
        <f>IF(Sync!$J1335="","",IF(ISNUMBER(Sync!$J1335),IF(AND(Sync!$J1335&gt;=10000101,Sync!$J1335&lt;=99991231),INT(Sync!$J1335/10000)&amp;"/"&amp;RIGHT("00"&amp;INT(MOD(Sync!$J1335,10000)/100),2)&amp;"/"&amp;RIGHT("00"&amp;MOD(Sync!$J1335,100),2),"نامعتبر"),IF(LEN(Sync!$J1335)=10,Sync!$J1335,"نامعتبر")))</f>
        <v/>
      </c>
      <c r="R1335">
        <f>IF($P1335="","",COUNTIFS($N$6:$N$2005,$N1335,$P$6:$P$2005,"&lt;"&amp;$P1335)+COUNTIFS($A$6:$A$1005,$N1335,$B$6:$B$1005,"&lt;"&amp;$P1335)+1)</f>
        <v/>
      </c>
      <c r="S1335">
        <f>IF($N1335="","",$N1335&amp;"|"&amp;RIGHT("000000"&amp;$R1335,6))</f>
        <v/>
      </c>
      <c r="T1335">
        <f>IF($N1335="","",IF(Sync!$N1335="",0,Sync!$N1335))</f>
        <v/>
      </c>
      <c r="U1335">
        <f>IF($N1335="","",IF(Sync!$O1335="",0,Sync!$O1335))</f>
        <v/>
      </c>
      <c r="V1335">
        <f>IF($N1335="","",Sync!$L1335)</f>
        <v/>
      </c>
      <c r="W1335">
        <f>IF($N1335="","",Sync!$P1335)</f>
        <v/>
      </c>
    </row>
    <row r="1336">
      <c r="N1336">
        <f>IF(OR(Sync!$M1336="",$Q1336="",$Q1336="نامعتبر"),"",Sync!$M1336)</f>
        <v/>
      </c>
      <c r="O1336">
        <f>IF($N1336="","",$Q1336)</f>
        <v/>
      </c>
      <c r="P1336">
        <f>IF($N1336="","",LEFT($Q1336,4)&amp;MID($Q1336,6,2)&amp;RIGHT($Q1336,2)&amp;IF(Sync!$K1336="","0000",IF(AND(ISNUMBER(Sync!$K1336),Sync!$K1336&gt;=0,Sync!$K1336&lt;1),RIGHT("00"&amp;HOUR(Sync!$K1336),2)&amp;RIGHT("00"&amp;MINUTE(Sync!$K1336),2),IFERROR(RIGHT("00"&amp;VALUE(LEFT(Sync!$K1336,FIND(":",Sync!$K1336)-1)),2)&amp;RIGHT("00"&amp;VALUE(MID(Sync!$K1336,FIND(":",Sync!$K1336)+1,2)),2),"0000")))&amp;"|"&amp;"2"&amp;RIGHT("00000"&amp;1331,5))</f>
        <v/>
      </c>
      <c r="Q1336">
        <f>IF(Sync!$J1336="","",IF(ISNUMBER(Sync!$J1336),IF(AND(Sync!$J1336&gt;=10000101,Sync!$J1336&lt;=99991231),INT(Sync!$J1336/10000)&amp;"/"&amp;RIGHT("00"&amp;INT(MOD(Sync!$J1336,10000)/100),2)&amp;"/"&amp;RIGHT("00"&amp;MOD(Sync!$J1336,100),2),"نامعتبر"),IF(LEN(Sync!$J1336)=10,Sync!$J1336,"نامعتبر")))</f>
        <v/>
      </c>
      <c r="R1336">
        <f>IF($P1336="","",COUNTIFS($N$6:$N$2005,$N1336,$P$6:$P$2005,"&lt;"&amp;$P1336)+COUNTIFS($A$6:$A$1005,$N1336,$B$6:$B$1005,"&lt;"&amp;$P1336)+1)</f>
        <v/>
      </c>
      <c r="S1336">
        <f>IF($N1336="","",$N1336&amp;"|"&amp;RIGHT("000000"&amp;$R1336,6))</f>
        <v/>
      </c>
      <c r="T1336">
        <f>IF($N1336="","",IF(Sync!$N1336="",0,Sync!$N1336))</f>
        <v/>
      </c>
      <c r="U1336">
        <f>IF($N1336="","",IF(Sync!$O1336="",0,Sync!$O1336))</f>
        <v/>
      </c>
      <c r="V1336">
        <f>IF($N1336="","",Sync!$L1336)</f>
        <v/>
      </c>
      <c r="W1336">
        <f>IF($N1336="","",Sync!$P1336)</f>
        <v/>
      </c>
    </row>
    <row r="1337">
      <c r="N1337">
        <f>IF(OR(Sync!$M1337="",$Q1337="",$Q1337="نامعتبر"),"",Sync!$M1337)</f>
        <v/>
      </c>
      <c r="O1337">
        <f>IF($N1337="","",$Q1337)</f>
        <v/>
      </c>
      <c r="P1337">
        <f>IF($N1337="","",LEFT($Q1337,4)&amp;MID($Q1337,6,2)&amp;RIGHT($Q1337,2)&amp;IF(Sync!$K1337="","0000",IF(AND(ISNUMBER(Sync!$K1337),Sync!$K1337&gt;=0,Sync!$K1337&lt;1),RIGHT("00"&amp;HOUR(Sync!$K1337),2)&amp;RIGHT("00"&amp;MINUTE(Sync!$K1337),2),IFERROR(RIGHT("00"&amp;VALUE(LEFT(Sync!$K1337,FIND(":",Sync!$K1337)-1)),2)&amp;RIGHT("00"&amp;VALUE(MID(Sync!$K1337,FIND(":",Sync!$K1337)+1,2)),2),"0000")))&amp;"|"&amp;"2"&amp;RIGHT("00000"&amp;1332,5))</f>
        <v/>
      </c>
      <c r="Q1337">
        <f>IF(Sync!$J1337="","",IF(ISNUMBER(Sync!$J1337),IF(AND(Sync!$J1337&gt;=10000101,Sync!$J1337&lt;=99991231),INT(Sync!$J1337/10000)&amp;"/"&amp;RIGHT("00"&amp;INT(MOD(Sync!$J1337,10000)/100),2)&amp;"/"&amp;RIGHT("00"&amp;MOD(Sync!$J1337,100),2),"نامعتبر"),IF(LEN(Sync!$J1337)=10,Sync!$J1337,"نامعتبر")))</f>
        <v/>
      </c>
      <c r="R1337">
        <f>IF($P1337="","",COUNTIFS($N$6:$N$2005,$N1337,$P$6:$P$2005,"&lt;"&amp;$P1337)+COUNTIFS($A$6:$A$1005,$N1337,$B$6:$B$1005,"&lt;"&amp;$P1337)+1)</f>
        <v/>
      </c>
      <c r="S1337">
        <f>IF($N1337="","",$N1337&amp;"|"&amp;RIGHT("000000"&amp;$R1337,6))</f>
        <v/>
      </c>
      <c r="T1337">
        <f>IF($N1337="","",IF(Sync!$N1337="",0,Sync!$N1337))</f>
        <v/>
      </c>
      <c r="U1337">
        <f>IF($N1337="","",IF(Sync!$O1337="",0,Sync!$O1337))</f>
        <v/>
      </c>
      <c r="V1337">
        <f>IF($N1337="","",Sync!$L1337)</f>
        <v/>
      </c>
      <c r="W1337">
        <f>IF($N1337="","",Sync!$P1337)</f>
        <v/>
      </c>
    </row>
    <row r="1338">
      <c r="N1338">
        <f>IF(OR(Sync!$M1338="",$Q1338="",$Q1338="نامعتبر"),"",Sync!$M1338)</f>
        <v/>
      </c>
      <c r="O1338">
        <f>IF($N1338="","",$Q1338)</f>
        <v/>
      </c>
      <c r="P1338">
        <f>IF($N1338="","",LEFT($Q1338,4)&amp;MID($Q1338,6,2)&amp;RIGHT($Q1338,2)&amp;IF(Sync!$K1338="","0000",IF(AND(ISNUMBER(Sync!$K1338),Sync!$K1338&gt;=0,Sync!$K1338&lt;1),RIGHT("00"&amp;HOUR(Sync!$K1338),2)&amp;RIGHT("00"&amp;MINUTE(Sync!$K1338),2),IFERROR(RIGHT("00"&amp;VALUE(LEFT(Sync!$K1338,FIND(":",Sync!$K1338)-1)),2)&amp;RIGHT("00"&amp;VALUE(MID(Sync!$K1338,FIND(":",Sync!$K1338)+1,2)),2),"0000")))&amp;"|"&amp;"2"&amp;RIGHT("00000"&amp;1333,5))</f>
        <v/>
      </c>
      <c r="Q1338">
        <f>IF(Sync!$J1338="","",IF(ISNUMBER(Sync!$J1338),IF(AND(Sync!$J1338&gt;=10000101,Sync!$J1338&lt;=99991231),INT(Sync!$J1338/10000)&amp;"/"&amp;RIGHT("00"&amp;INT(MOD(Sync!$J1338,10000)/100),2)&amp;"/"&amp;RIGHT("00"&amp;MOD(Sync!$J1338,100),2),"نامعتبر"),IF(LEN(Sync!$J1338)=10,Sync!$J1338,"نامعتبر")))</f>
        <v/>
      </c>
      <c r="R1338">
        <f>IF($P1338="","",COUNTIFS($N$6:$N$2005,$N1338,$P$6:$P$2005,"&lt;"&amp;$P1338)+COUNTIFS($A$6:$A$1005,$N1338,$B$6:$B$1005,"&lt;"&amp;$P1338)+1)</f>
        <v/>
      </c>
      <c r="S1338">
        <f>IF($N1338="","",$N1338&amp;"|"&amp;RIGHT("000000"&amp;$R1338,6))</f>
        <v/>
      </c>
      <c r="T1338">
        <f>IF($N1338="","",IF(Sync!$N1338="",0,Sync!$N1338))</f>
        <v/>
      </c>
      <c r="U1338">
        <f>IF($N1338="","",IF(Sync!$O1338="",0,Sync!$O1338))</f>
        <v/>
      </c>
      <c r="V1338">
        <f>IF($N1338="","",Sync!$L1338)</f>
        <v/>
      </c>
      <c r="W1338">
        <f>IF($N1338="","",Sync!$P1338)</f>
        <v/>
      </c>
    </row>
    <row r="1339">
      <c r="N1339">
        <f>IF(OR(Sync!$M1339="",$Q1339="",$Q1339="نامعتبر"),"",Sync!$M1339)</f>
        <v/>
      </c>
      <c r="O1339">
        <f>IF($N1339="","",$Q1339)</f>
        <v/>
      </c>
      <c r="P1339">
        <f>IF($N1339="","",LEFT($Q1339,4)&amp;MID($Q1339,6,2)&amp;RIGHT($Q1339,2)&amp;IF(Sync!$K1339="","0000",IF(AND(ISNUMBER(Sync!$K1339),Sync!$K1339&gt;=0,Sync!$K1339&lt;1),RIGHT("00"&amp;HOUR(Sync!$K1339),2)&amp;RIGHT("00"&amp;MINUTE(Sync!$K1339),2),IFERROR(RIGHT("00"&amp;VALUE(LEFT(Sync!$K1339,FIND(":",Sync!$K1339)-1)),2)&amp;RIGHT("00"&amp;VALUE(MID(Sync!$K1339,FIND(":",Sync!$K1339)+1,2)),2),"0000")))&amp;"|"&amp;"2"&amp;RIGHT("00000"&amp;1334,5))</f>
        <v/>
      </c>
      <c r="Q1339">
        <f>IF(Sync!$J1339="","",IF(ISNUMBER(Sync!$J1339),IF(AND(Sync!$J1339&gt;=10000101,Sync!$J1339&lt;=99991231),INT(Sync!$J1339/10000)&amp;"/"&amp;RIGHT("00"&amp;INT(MOD(Sync!$J1339,10000)/100),2)&amp;"/"&amp;RIGHT("00"&amp;MOD(Sync!$J1339,100),2),"نامعتبر"),IF(LEN(Sync!$J1339)=10,Sync!$J1339,"نامعتبر")))</f>
        <v/>
      </c>
      <c r="R1339">
        <f>IF($P1339="","",COUNTIFS($N$6:$N$2005,$N1339,$P$6:$P$2005,"&lt;"&amp;$P1339)+COUNTIFS($A$6:$A$1005,$N1339,$B$6:$B$1005,"&lt;"&amp;$P1339)+1)</f>
        <v/>
      </c>
      <c r="S1339">
        <f>IF($N1339="","",$N1339&amp;"|"&amp;RIGHT("000000"&amp;$R1339,6))</f>
        <v/>
      </c>
      <c r="T1339">
        <f>IF($N1339="","",IF(Sync!$N1339="",0,Sync!$N1339))</f>
        <v/>
      </c>
      <c r="U1339">
        <f>IF($N1339="","",IF(Sync!$O1339="",0,Sync!$O1339))</f>
        <v/>
      </c>
      <c r="V1339">
        <f>IF($N1339="","",Sync!$L1339)</f>
        <v/>
      </c>
      <c r="W1339">
        <f>IF($N1339="","",Sync!$P1339)</f>
        <v/>
      </c>
    </row>
    <row r="1340">
      <c r="N1340">
        <f>IF(OR(Sync!$M1340="",$Q1340="",$Q1340="نامعتبر"),"",Sync!$M1340)</f>
        <v/>
      </c>
      <c r="O1340">
        <f>IF($N1340="","",$Q1340)</f>
        <v/>
      </c>
      <c r="P1340">
        <f>IF($N1340="","",LEFT($Q1340,4)&amp;MID($Q1340,6,2)&amp;RIGHT($Q1340,2)&amp;IF(Sync!$K1340="","0000",IF(AND(ISNUMBER(Sync!$K1340),Sync!$K1340&gt;=0,Sync!$K1340&lt;1),RIGHT("00"&amp;HOUR(Sync!$K1340),2)&amp;RIGHT("00"&amp;MINUTE(Sync!$K1340),2),IFERROR(RIGHT("00"&amp;VALUE(LEFT(Sync!$K1340,FIND(":",Sync!$K1340)-1)),2)&amp;RIGHT("00"&amp;VALUE(MID(Sync!$K1340,FIND(":",Sync!$K1340)+1,2)),2),"0000")))&amp;"|"&amp;"2"&amp;RIGHT("00000"&amp;1335,5))</f>
        <v/>
      </c>
      <c r="Q1340">
        <f>IF(Sync!$J1340="","",IF(ISNUMBER(Sync!$J1340),IF(AND(Sync!$J1340&gt;=10000101,Sync!$J1340&lt;=99991231),INT(Sync!$J1340/10000)&amp;"/"&amp;RIGHT("00"&amp;INT(MOD(Sync!$J1340,10000)/100),2)&amp;"/"&amp;RIGHT("00"&amp;MOD(Sync!$J1340,100),2),"نامعتبر"),IF(LEN(Sync!$J1340)=10,Sync!$J1340,"نامعتبر")))</f>
        <v/>
      </c>
      <c r="R1340">
        <f>IF($P1340="","",COUNTIFS($N$6:$N$2005,$N1340,$P$6:$P$2005,"&lt;"&amp;$P1340)+COUNTIFS($A$6:$A$1005,$N1340,$B$6:$B$1005,"&lt;"&amp;$P1340)+1)</f>
        <v/>
      </c>
      <c r="S1340">
        <f>IF($N1340="","",$N1340&amp;"|"&amp;RIGHT("000000"&amp;$R1340,6))</f>
        <v/>
      </c>
      <c r="T1340">
        <f>IF($N1340="","",IF(Sync!$N1340="",0,Sync!$N1340))</f>
        <v/>
      </c>
      <c r="U1340">
        <f>IF($N1340="","",IF(Sync!$O1340="",0,Sync!$O1340))</f>
        <v/>
      </c>
      <c r="V1340">
        <f>IF($N1340="","",Sync!$L1340)</f>
        <v/>
      </c>
      <c r="W1340">
        <f>IF($N1340="","",Sync!$P1340)</f>
        <v/>
      </c>
    </row>
    <row r="1341">
      <c r="N1341">
        <f>IF(OR(Sync!$M1341="",$Q1341="",$Q1341="نامعتبر"),"",Sync!$M1341)</f>
        <v/>
      </c>
      <c r="O1341">
        <f>IF($N1341="","",$Q1341)</f>
        <v/>
      </c>
      <c r="P1341">
        <f>IF($N1341="","",LEFT($Q1341,4)&amp;MID($Q1341,6,2)&amp;RIGHT($Q1341,2)&amp;IF(Sync!$K1341="","0000",IF(AND(ISNUMBER(Sync!$K1341),Sync!$K1341&gt;=0,Sync!$K1341&lt;1),RIGHT("00"&amp;HOUR(Sync!$K1341),2)&amp;RIGHT("00"&amp;MINUTE(Sync!$K1341),2),IFERROR(RIGHT("00"&amp;VALUE(LEFT(Sync!$K1341,FIND(":",Sync!$K1341)-1)),2)&amp;RIGHT("00"&amp;VALUE(MID(Sync!$K1341,FIND(":",Sync!$K1341)+1,2)),2),"0000")))&amp;"|"&amp;"2"&amp;RIGHT("00000"&amp;1336,5))</f>
        <v/>
      </c>
      <c r="Q1341">
        <f>IF(Sync!$J1341="","",IF(ISNUMBER(Sync!$J1341),IF(AND(Sync!$J1341&gt;=10000101,Sync!$J1341&lt;=99991231),INT(Sync!$J1341/10000)&amp;"/"&amp;RIGHT("00"&amp;INT(MOD(Sync!$J1341,10000)/100),2)&amp;"/"&amp;RIGHT("00"&amp;MOD(Sync!$J1341,100),2),"نامعتبر"),IF(LEN(Sync!$J1341)=10,Sync!$J1341,"نامعتبر")))</f>
        <v/>
      </c>
      <c r="R1341">
        <f>IF($P1341="","",COUNTIFS($N$6:$N$2005,$N1341,$P$6:$P$2005,"&lt;"&amp;$P1341)+COUNTIFS($A$6:$A$1005,$N1341,$B$6:$B$1005,"&lt;"&amp;$P1341)+1)</f>
        <v/>
      </c>
      <c r="S1341">
        <f>IF($N1341="","",$N1341&amp;"|"&amp;RIGHT("000000"&amp;$R1341,6))</f>
        <v/>
      </c>
      <c r="T1341">
        <f>IF($N1341="","",IF(Sync!$N1341="",0,Sync!$N1341))</f>
        <v/>
      </c>
      <c r="U1341">
        <f>IF($N1341="","",IF(Sync!$O1341="",0,Sync!$O1341))</f>
        <v/>
      </c>
      <c r="V1341">
        <f>IF($N1341="","",Sync!$L1341)</f>
        <v/>
      </c>
      <c r="W1341">
        <f>IF($N1341="","",Sync!$P1341)</f>
        <v/>
      </c>
    </row>
    <row r="1342">
      <c r="N1342">
        <f>IF(OR(Sync!$M1342="",$Q1342="",$Q1342="نامعتبر"),"",Sync!$M1342)</f>
        <v/>
      </c>
      <c r="O1342">
        <f>IF($N1342="","",$Q1342)</f>
        <v/>
      </c>
      <c r="P1342">
        <f>IF($N1342="","",LEFT($Q1342,4)&amp;MID($Q1342,6,2)&amp;RIGHT($Q1342,2)&amp;IF(Sync!$K1342="","0000",IF(AND(ISNUMBER(Sync!$K1342),Sync!$K1342&gt;=0,Sync!$K1342&lt;1),RIGHT("00"&amp;HOUR(Sync!$K1342),2)&amp;RIGHT("00"&amp;MINUTE(Sync!$K1342),2),IFERROR(RIGHT("00"&amp;VALUE(LEFT(Sync!$K1342,FIND(":",Sync!$K1342)-1)),2)&amp;RIGHT("00"&amp;VALUE(MID(Sync!$K1342,FIND(":",Sync!$K1342)+1,2)),2),"0000")))&amp;"|"&amp;"2"&amp;RIGHT("00000"&amp;1337,5))</f>
        <v/>
      </c>
      <c r="Q1342">
        <f>IF(Sync!$J1342="","",IF(ISNUMBER(Sync!$J1342),IF(AND(Sync!$J1342&gt;=10000101,Sync!$J1342&lt;=99991231),INT(Sync!$J1342/10000)&amp;"/"&amp;RIGHT("00"&amp;INT(MOD(Sync!$J1342,10000)/100),2)&amp;"/"&amp;RIGHT("00"&amp;MOD(Sync!$J1342,100),2),"نامعتبر"),IF(LEN(Sync!$J1342)=10,Sync!$J1342,"نامعتبر")))</f>
        <v/>
      </c>
      <c r="R1342">
        <f>IF($P1342="","",COUNTIFS($N$6:$N$2005,$N1342,$P$6:$P$2005,"&lt;"&amp;$P1342)+COUNTIFS($A$6:$A$1005,$N1342,$B$6:$B$1005,"&lt;"&amp;$P1342)+1)</f>
        <v/>
      </c>
      <c r="S1342">
        <f>IF($N1342="","",$N1342&amp;"|"&amp;RIGHT("000000"&amp;$R1342,6))</f>
        <v/>
      </c>
      <c r="T1342">
        <f>IF($N1342="","",IF(Sync!$N1342="",0,Sync!$N1342))</f>
        <v/>
      </c>
      <c r="U1342">
        <f>IF($N1342="","",IF(Sync!$O1342="",0,Sync!$O1342))</f>
        <v/>
      </c>
      <c r="V1342">
        <f>IF($N1342="","",Sync!$L1342)</f>
        <v/>
      </c>
      <c r="W1342">
        <f>IF($N1342="","",Sync!$P1342)</f>
        <v/>
      </c>
    </row>
    <row r="1343">
      <c r="N1343">
        <f>IF(OR(Sync!$M1343="",$Q1343="",$Q1343="نامعتبر"),"",Sync!$M1343)</f>
        <v/>
      </c>
      <c r="O1343">
        <f>IF($N1343="","",$Q1343)</f>
        <v/>
      </c>
      <c r="P1343">
        <f>IF($N1343="","",LEFT($Q1343,4)&amp;MID($Q1343,6,2)&amp;RIGHT($Q1343,2)&amp;IF(Sync!$K1343="","0000",IF(AND(ISNUMBER(Sync!$K1343),Sync!$K1343&gt;=0,Sync!$K1343&lt;1),RIGHT("00"&amp;HOUR(Sync!$K1343),2)&amp;RIGHT("00"&amp;MINUTE(Sync!$K1343),2),IFERROR(RIGHT("00"&amp;VALUE(LEFT(Sync!$K1343,FIND(":",Sync!$K1343)-1)),2)&amp;RIGHT("00"&amp;VALUE(MID(Sync!$K1343,FIND(":",Sync!$K1343)+1,2)),2),"0000")))&amp;"|"&amp;"2"&amp;RIGHT("00000"&amp;1338,5))</f>
        <v/>
      </c>
      <c r="Q1343">
        <f>IF(Sync!$J1343="","",IF(ISNUMBER(Sync!$J1343),IF(AND(Sync!$J1343&gt;=10000101,Sync!$J1343&lt;=99991231),INT(Sync!$J1343/10000)&amp;"/"&amp;RIGHT("00"&amp;INT(MOD(Sync!$J1343,10000)/100),2)&amp;"/"&amp;RIGHT("00"&amp;MOD(Sync!$J1343,100),2),"نامعتبر"),IF(LEN(Sync!$J1343)=10,Sync!$J1343,"نامعتبر")))</f>
        <v/>
      </c>
      <c r="R1343">
        <f>IF($P1343="","",COUNTIFS($N$6:$N$2005,$N1343,$P$6:$P$2005,"&lt;"&amp;$P1343)+COUNTIFS($A$6:$A$1005,$N1343,$B$6:$B$1005,"&lt;"&amp;$P1343)+1)</f>
        <v/>
      </c>
      <c r="S1343">
        <f>IF($N1343="","",$N1343&amp;"|"&amp;RIGHT("000000"&amp;$R1343,6))</f>
        <v/>
      </c>
      <c r="T1343">
        <f>IF($N1343="","",IF(Sync!$N1343="",0,Sync!$N1343))</f>
        <v/>
      </c>
      <c r="U1343">
        <f>IF($N1343="","",IF(Sync!$O1343="",0,Sync!$O1343))</f>
        <v/>
      </c>
      <c r="V1343">
        <f>IF($N1343="","",Sync!$L1343)</f>
        <v/>
      </c>
      <c r="W1343">
        <f>IF($N1343="","",Sync!$P1343)</f>
        <v/>
      </c>
    </row>
    <row r="1344">
      <c r="N1344">
        <f>IF(OR(Sync!$M1344="",$Q1344="",$Q1344="نامعتبر"),"",Sync!$M1344)</f>
        <v/>
      </c>
      <c r="O1344">
        <f>IF($N1344="","",$Q1344)</f>
        <v/>
      </c>
      <c r="P1344">
        <f>IF($N1344="","",LEFT($Q1344,4)&amp;MID($Q1344,6,2)&amp;RIGHT($Q1344,2)&amp;IF(Sync!$K1344="","0000",IF(AND(ISNUMBER(Sync!$K1344),Sync!$K1344&gt;=0,Sync!$K1344&lt;1),RIGHT("00"&amp;HOUR(Sync!$K1344),2)&amp;RIGHT("00"&amp;MINUTE(Sync!$K1344),2),IFERROR(RIGHT("00"&amp;VALUE(LEFT(Sync!$K1344,FIND(":",Sync!$K1344)-1)),2)&amp;RIGHT("00"&amp;VALUE(MID(Sync!$K1344,FIND(":",Sync!$K1344)+1,2)),2),"0000")))&amp;"|"&amp;"2"&amp;RIGHT("00000"&amp;1339,5))</f>
        <v/>
      </c>
      <c r="Q1344">
        <f>IF(Sync!$J1344="","",IF(ISNUMBER(Sync!$J1344),IF(AND(Sync!$J1344&gt;=10000101,Sync!$J1344&lt;=99991231),INT(Sync!$J1344/10000)&amp;"/"&amp;RIGHT("00"&amp;INT(MOD(Sync!$J1344,10000)/100),2)&amp;"/"&amp;RIGHT("00"&amp;MOD(Sync!$J1344,100),2),"نامعتبر"),IF(LEN(Sync!$J1344)=10,Sync!$J1344,"نامعتبر")))</f>
        <v/>
      </c>
      <c r="R1344">
        <f>IF($P1344="","",COUNTIFS($N$6:$N$2005,$N1344,$P$6:$P$2005,"&lt;"&amp;$P1344)+COUNTIFS($A$6:$A$1005,$N1344,$B$6:$B$1005,"&lt;"&amp;$P1344)+1)</f>
        <v/>
      </c>
      <c r="S1344">
        <f>IF($N1344="","",$N1344&amp;"|"&amp;RIGHT("000000"&amp;$R1344,6))</f>
        <v/>
      </c>
      <c r="T1344">
        <f>IF($N1344="","",IF(Sync!$N1344="",0,Sync!$N1344))</f>
        <v/>
      </c>
      <c r="U1344">
        <f>IF($N1344="","",IF(Sync!$O1344="",0,Sync!$O1344))</f>
        <v/>
      </c>
      <c r="V1344">
        <f>IF($N1344="","",Sync!$L1344)</f>
        <v/>
      </c>
      <c r="W1344">
        <f>IF($N1344="","",Sync!$P1344)</f>
        <v/>
      </c>
    </row>
    <row r="1345">
      <c r="N1345">
        <f>IF(OR(Sync!$M1345="",$Q1345="",$Q1345="نامعتبر"),"",Sync!$M1345)</f>
        <v/>
      </c>
      <c r="O1345">
        <f>IF($N1345="","",$Q1345)</f>
        <v/>
      </c>
      <c r="P1345">
        <f>IF($N1345="","",LEFT($Q1345,4)&amp;MID($Q1345,6,2)&amp;RIGHT($Q1345,2)&amp;IF(Sync!$K1345="","0000",IF(AND(ISNUMBER(Sync!$K1345),Sync!$K1345&gt;=0,Sync!$K1345&lt;1),RIGHT("00"&amp;HOUR(Sync!$K1345),2)&amp;RIGHT("00"&amp;MINUTE(Sync!$K1345),2),IFERROR(RIGHT("00"&amp;VALUE(LEFT(Sync!$K1345,FIND(":",Sync!$K1345)-1)),2)&amp;RIGHT("00"&amp;VALUE(MID(Sync!$K1345,FIND(":",Sync!$K1345)+1,2)),2),"0000")))&amp;"|"&amp;"2"&amp;RIGHT("00000"&amp;1340,5))</f>
        <v/>
      </c>
      <c r="Q1345">
        <f>IF(Sync!$J1345="","",IF(ISNUMBER(Sync!$J1345),IF(AND(Sync!$J1345&gt;=10000101,Sync!$J1345&lt;=99991231),INT(Sync!$J1345/10000)&amp;"/"&amp;RIGHT("00"&amp;INT(MOD(Sync!$J1345,10000)/100),2)&amp;"/"&amp;RIGHT("00"&amp;MOD(Sync!$J1345,100),2),"نامعتبر"),IF(LEN(Sync!$J1345)=10,Sync!$J1345,"نامعتبر")))</f>
        <v/>
      </c>
      <c r="R1345">
        <f>IF($P1345="","",COUNTIFS($N$6:$N$2005,$N1345,$P$6:$P$2005,"&lt;"&amp;$P1345)+COUNTIFS($A$6:$A$1005,$N1345,$B$6:$B$1005,"&lt;"&amp;$P1345)+1)</f>
        <v/>
      </c>
      <c r="S1345">
        <f>IF($N1345="","",$N1345&amp;"|"&amp;RIGHT("000000"&amp;$R1345,6))</f>
        <v/>
      </c>
      <c r="T1345">
        <f>IF($N1345="","",IF(Sync!$N1345="",0,Sync!$N1345))</f>
        <v/>
      </c>
      <c r="U1345">
        <f>IF($N1345="","",IF(Sync!$O1345="",0,Sync!$O1345))</f>
        <v/>
      </c>
      <c r="V1345">
        <f>IF($N1345="","",Sync!$L1345)</f>
        <v/>
      </c>
      <c r="W1345">
        <f>IF($N1345="","",Sync!$P1345)</f>
        <v/>
      </c>
    </row>
    <row r="1346">
      <c r="N1346">
        <f>IF(OR(Sync!$M1346="",$Q1346="",$Q1346="نامعتبر"),"",Sync!$M1346)</f>
        <v/>
      </c>
      <c r="O1346">
        <f>IF($N1346="","",$Q1346)</f>
        <v/>
      </c>
      <c r="P1346">
        <f>IF($N1346="","",LEFT($Q1346,4)&amp;MID($Q1346,6,2)&amp;RIGHT($Q1346,2)&amp;IF(Sync!$K1346="","0000",IF(AND(ISNUMBER(Sync!$K1346),Sync!$K1346&gt;=0,Sync!$K1346&lt;1),RIGHT("00"&amp;HOUR(Sync!$K1346),2)&amp;RIGHT("00"&amp;MINUTE(Sync!$K1346),2),IFERROR(RIGHT("00"&amp;VALUE(LEFT(Sync!$K1346,FIND(":",Sync!$K1346)-1)),2)&amp;RIGHT("00"&amp;VALUE(MID(Sync!$K1346,FIND(":",Sync!$K1346)+1,2)),2),"0000")))&amp;"|"&amp;"2"&amp;RIGHT("00000"&amp;1341,5))</f>
        <v/>
      </c>
      <c r="Q1346">
        <f>IF(Sync!$J1346="","",IF(ISNUMBER(Sync!$J1346),IF(AND(Sync!$J1346&gt;=10000101,Sync!$J1346&lt;=99991231),INT(Sync!$J1346/10000)&amp;"/"&amp;RIGHT("00"&amp;INT(MOD(Sync!$J1346,10000)/100),2)&amp;"/"&amp;RIGHT("00"&amp;MOD(Sync!$J1346,100),2),"نامعتبر"),IF(LEN(Sync!$J1346)=10,Sync!$J1346,"نامعتبر")))</f>
        <v/>
      </c>
      <c r="R1346">
        <f>IF($P1346="","",COUNTIFS($N$6:$N$2005,$N1346,$P$6:$P$2005,"&lt;"&amp;$P1346)+COUNTIFS($A$6:$A$1005,$N1346,$B$6:$B$1005,"&lt;"&amp;$P1346)+1)</f>
        <v/>
      </c>
      <c r="S1346">
        <f>IF($N1346="","",$N1346&amp;"|"&amp;RIGHT("000000"&amp;$R1346,6))</f>
        <v/>
      </c>
      <c r="T1346">
        <f>IF($N1346="","",IF(Sync!$N1346="",0,Sync!$N1346))</f>
        <v/>
      </c>
      <c r="U1346">
        <f>IF($N1346="","",IF(Sync!$O1346="",0,Sync!$O1346))</f>
        <v/>
      </c>
      <c r="V1346">
        <f>IF($N1346="","",Sync!$L1346)</f>
        <v/>
      </c>
      <c r="W1346">
        <f>IF($N1346="","",Sync!$P1346)</f>
        <v/>
      </c>
    </row>
    <row r="1347">
      <c r="N1347">
        <f>IF(OR(Sync!$M1347="",$Q1347="",$Q1347="نامعتبر"),"",Sync!$M1347)</f>
        <v/>
      </c>
      <c r="O1347">
        <f>IF($N1347="","",$Q1347)</f>
        <v/>
      </c>
      <c r="P1347">
        <f>IF($N1347="","",LEFT($Q1347,4)&amp;MID($Q1347,6,2)&amp;RIGHT($Q1347,2)&amp;IF(Sync!$K1347="","0000",IF(AND(ISNUMBER(Sync!$K1347),Sync!$K1347&gt;=0,Sync!$K1347&lt;1),RIGHT("00"&amp;HOUR(Sync!$K1347),2)&amp;RIGHT("00"&amp;MINUTE(Sync!$K1347),2),IFERROR(RIGHT("00"&amp;VALUE(LEFT(Sync!$K1347,FIND(":",Sync!$K1347)-1)),2)&amp;RIGHT("00"&amp;VALUE(MID(Sync!$K1347,FIND(":",Sync!$K1347)+1,2)),2),"0000")))&amp;"|"&amp;"2"&amp;RIGHT("00000"&amp;1342,5))</f>
        <v/>
      </c>
      <c r="Q1347">
        <f>IF(Sync!$J1347="","",IF(ISNUMBER(Sync!$J1347),IF(AND(Sync!$J1347&gt;=10000101,Sync!$J1347&lt;=99991231),INT(Sync!$J1347/10000)&amp;"/"&amp;RIGHT("00"&amp;INT(MOD(Sync!$J1347,10000)/100),2)&amp;"/"&amp;RIGHT("00"&amp;MOD(Sync!$J1347,100),2),"نامعتبر"),IF(LEN(Sync!$J1347)=10,Sync!$J1347,"نامعتبر")))</f>
        <v/>
      </c>
      <c r="R1347">
        <f>IF($P1347="","",COUNTIFS($N$6:$N$2005,$N1347,$P$6:$P$2005,"&lt;"&amp;$P1347)+COUNTIFS($A$6:$A$1005,$N1347,$B$6:$B$1005,"&lt;"&amp;$P1347)+1)</f>
        <v/>
      </c>
      <c r="S1347">
        <f>IF($N1347="","",$N1347&amp;"|"&amp;RIGHT("000000"&amp;$R1347,6))</f>
        <v/>
      </c>
      <c r="T1347">
        <f>IF($N1347="","",IF(Sync!$N1347="",0,Sync!$N1347))</f>
        <v/>
      </c>
      <c r="U1347">
        <f>IF($N1347="","",IF(Sync!$O1347="",0,Sync!$O1347))</f>
        <v/>
      </c>
      <c r="V1347">
        <f>IF($N1347="","",Sync!$L1347)</f>
        <v/>
      </c>
      <c r="W1347">
        <f>IF($N1347="","",Sync!$P1347)</f>
        <v/>
      </c>
    </row>
    <row r="1348">
      <c r="N1348">
        <f>IF(OR(Sync!$M1348="",$Q1348="",$Q1348="نامعتبر"),"",Sync!$M1348)</f>
        <v/>
      </c>
      <c r="O1348">
        <f>IF($N1348="","",$Q1348)</f>
        <v/>
      </c>
      <c r="P1348">
        <f>IF($N1348="","",LEFT($Q1348,4)&amp;MID($Q1348,6,2)&amp;RIGHT($Q1348,2)&amp;IF(Sync!$K1348="","0000",IF(AND(ISNUMBER(Sync!$K1348),Sync!$K1348&gt;=0,Sync!$K1348&lt;1),RIGHT("00"&amp;HOUR(Sync!$K1348),2)&amp;RIGHT("00"&amp;MINUTE(Sync!$K1348),2),IFERROR(RIGHT("00"&amp;VALUE(LEFT(Sync!$K1348,FIND(":",Sync!$K1348)-1)),2)&amp;RIGHT("00"&amp;VALUE(MID(Sync!$K1348,FIND(":",Sync!$K1348)+1,2)),2),"0000")))&amp;"|"&amp;"2"&amp;RIGHT("00000"&amp;1343,5))</f>
        <v/>
      </c>
      <c r="Q1348">
        <f>IF(Sync!$J1348="","",IF(ISNUMBER(Sync!$J1348),IF(AND(Sync!$J1348&gt;=10000101,Sync!$J1348&lt;=99991231),INT(Sync!$J1348/10000)&amp;"/"&amp;RIGHT("00"&amp;INT(MOD(Sync!$J1348,10000)/100),2)&amp;"/"&amp;RIGHT("00"&amp;MOD(Sync!$J1348,100),2),"نامعتبر"),IF(LEN(Sync!$J1348)=10,Sync!$J1348,"نامعتبر")))</f>
        <v/>
      </c>
      <c r="R1348">
        <f>IF($P1348="","",COUNTIFS($N$6:$N$2005,$N1348,$P$6:$P$2005,"&lt;"&amp;$P1348)+COUNTIFS($A$6:$A$1005,$N1348,$B$6:$B$1005,"&lt;"&amp;$P1348)+1)</f>
        <v/>
      </c>
      <c r="S1348">
        <f>IF($N1348="","",$N1348&amp;"|"&amp;RIGHT("000000"&amp;$R1348,6))</f>
        <v/>
      </c>
      <c r="T1348">
        <f>IF($N1348="","",IF(Sync!$N1348="",0,Sync!$N1348))</f>
        <v/>
      </c>
      <c r="U1348">
        <f>IF($N1348="","",IF(Sync!$O1348="",0,Sync!$O1348))</f>
        <v/>
      </c>
      <c r="V1348">
        <f>IF($N1348="","",Sync!$L1348)</f>
        <v/>
      </c>
      <c r="W1348">
        <f>IF($N1348="","",Sync!$P1348)</f>
        <v/>
      </c>
    </row>
    <row r="1349">
      <c r="N1349">
        <f>IF(OR(Sync!$M1349="",$Q1349="",$Q1349="نامعتبر"),"",Sync!$M1349)</f>
        <v/>
      </c>
      <c r="O1349">
        <f>IF($N1349="","",$Q1349)</f>
        <v/>
      </c>
      <c r="P1349">
        <f>IF($N1349="","",LEFT($Q1349,4)&amp;MID($Q1349,6,2)&amp;RIGHT($Q1349,2)&amp;IF(Sync!$K1349="","0000",IF(AND(ISNUMBER(Sync!$K1349),Sync!$K1349&gt;=0,Sync!$K1349&lt;1),RIGHT("00"&amp;HOUR(Sync!$K1349),2)&amp;RIGHT("00"&amp;MINUTE(Sync!$K1349),2),IFERROR(RIGHT("00"&amp;VALUE(LEFT(Sync!$K1349,FIND(":",Sync!$K1349)-1)),2)&amp;RIGHT("00"&amp;VALUE(MID(Sync!$K1349,FIND(":",Sync!$K1349)+1,2)),2),"0000")))&amp;"|"&amp;"2"&amp;RIGHT("00000"&amp;1344,5))</f>
        <v/>
      </c>
      <c r="Q1349">
        <f>IF(Sync!$J1349="","",IF(ISNUMBER(Sync!$J1349),IF(AND(Sync!$J1349&gt;=10000101,Sync!$J1349&lt;=99991231),INT(Sync!$J1349/10000)&amp;"/"&amp;RIGHT("00"&amp;INT(MOD(Sync!$J1349,10000)/100),2)&amp;"/"&amp;RIGHT("00"&amp;MOD(Sync!$J1349,100),2),"نامعتبر"),IF(LEN(Sync!$J1349)=10,Sync!$J1349,"نامعتبر")))</f>
        <v/>
      </c>
      <c r="R1349">
        <f>IF($P1349="","",COUNTIFS($N$6:$N$2005,$N1349,$P$6:$P$2005,"&lt;"&amp;$P1349)+COUNTIFS($A$6:$A$1005,$N1349,$B$6:$B$1005,"&lt;"&amp;$P1349)+1)</f>
        <v/>
      </c>
      <c r="S1349">
        <f>IF($N1349="","",$N1349&amp;"|"&amp;RIGHT("000000"&amp;$R1349,6))</f>
        <v/>
      </c>
      <c r="T1349">
        <f>IF($N1349="","",IF(Sync!$N1349="",0,Sync!$N1349))</f>
        <v/>
      </c>
      <c r="U1349">
        <f>IF($N1349="","",IF(Sync!$O1349="",0,Sync!$O1349))</f>
        <v/>
      </c>
      <c r="V1349">
        <f>IF($N1349="","",Sync!$L1349)</f>
        <v/>
      </c>
      <c r="W1349">
        <f>IF($N1349="","",Sync!$P1349)</f>
        <v/>
      </c>
    </row>
    <row r="1350">
      <c r="N1350">
        <f>IF(OR(Sync!$M1350="",$Q1350="",$Q1350="نامعتبر"),"",Sync!$M1350)</f>
        <v/>
      </c>
      <c r="O1350">
        <f>IF($N1350="","",$Q1350)</f>
        <v/>
      </c>
      <c r="P1350">
        <f>IF($N1350="","",LEFT($Q1350,4)&amp;MID($Q1350,6,2)&amp;RIGHT($Q1350,2)&amp;IF(Sync!$K1350="","0000",IF(AND(ISNUMBER(Sync!$K1350),Sync!$K1350&gt;=0,Sync!$K1350&lt;1),RIGHT("00"&amp;HOUR(Sync!$K1350),2)&amp;RIGHT("00"&amp;MINUTE(Sync!$K1350),2),IFERROR(RIGHT("00"&amp;VALUE(LEFT(Sync!$K1350,FIND(":",Sync!$K1350)-1)),2)&amp;RIGHT("00"&amp;VALUE(MID(Sync!$K1350,FIND(":",Sync!$K1350)+1,2)),2),"0000")))&amp;"|"&amp;"2"&amp;RIGHT("00000"&amp;1345,5))</f>
        <v/>
      </c>
      <c r="Q1350">
        <f>IF(Sync!$J1350="","",IF(ISNUMBER(Sync!$J1350),IF(AND(Sync!$J1350&gt;=10000101,Sync!$J1350&lt;=99991231),INT(Sync!$J1350/10000)&amp;"/"&amp;RIGHT("00"&amp;INT(MOD(Sync!$J1350,10000)/100),2)&amp;"/"&amp;RIGHT("00"&amp;MOD(Sync!$J1350,100),2),"نامعتبر"),IF(LEN(Sync!$J1350)=10,Sync!$J1350,"نامعتبر")))</f>
        <v/>
      </c>
      <c r="R1350">
        <f>IF($P1350="","",COUNTIFS($N$6:$N$2005,$N1350,$P$6:$P$2005,"&lt;"&amp;$P1350)+COUNTIFS($A$6:$A$1005,$N1350,$B$6:$B$1005,"&lt;"&amp;$P1350)+1)</f>
        <v/>
      </c>
      <c r="S1350">
        <f>IF($N1350="","",$N1350&amp;"|"&amp;RIGHT("000000"&amp;$R1350,6))</f>
        <v/>
      </c>
      <c r="T1350">
        <f>IF($N1350="","",IF(Sync!$N1350="",0,Sync!$N1350))</f>
        <v/>
      </c>
      <c r="U1350">
        <f>IF($N1350="","",IF(Sync!$O1350="",0,Sync!$O1350))</f>
        <v/>
      </c>
      <c r="V1350">
        <f>IF($N1350="","",Sync!$L1350)</f>
        <v/>
      </c>
      <c r="W1350">
        <f>IF($N1350="","",Sync!$P1350)</f>
        <v/>
      </c>
    </row>
    <row r="1351">
      <c r="N1351">
        <f>IF(OR(Sync!$M1351="",$Q1351="",$Q1351="نامعتبر"),"",Sync!$M1351)</f>
        <v/>
      </c>
      <c r="O1351">
        <f>IF($N1351="","",$Q1351)</f>
        <v/>
      </c>
      <c r="P1351">
        <f>IF($N1351="","",LEFT($Q1351,4)&amp;MID($Q1351,6,2)&amp;RIGHT($Q1351,2)&amp;IF(Sync!$K1351="","0000",IF(AND(ISNUMBER(Sync!$K1351),Sync!$K1351&gt;=0,Sync!$K1351&lt;1),RIGHT("00"&amp;HOUR(Sync!$K1351),2)&amp;RIGHT("00"&amp;MINUTE(Sync!$K1351),2),IFERROR(RIGHT("00"&amp;VALUE(LEFT(Sync!$K1351,FIND(":",Sync!$K1351)-1)),2)&amp;RIGHT("00"&amp;VALUE(MID(Sync!$K1351,FIND(":",Sync!$K1351)+1,2)),2),"0000")))&amp;"|"&amp;"2"&amp;RIGHT("00000"&amp;1346,5))</f>
        <v/>
      </c>
      <c r="Q1351">
        <f>IF(Sync!$J1351="","",IF(ISNUMBER(Sync!$J1351),IF(AND(Sync!$J1351&gt;=10000101,Sync!$J1351&lt;=99991231),INT(Sync!$J1351/10000)&amp;"/"&amp;RIGHT("00"&amp;INT(MOD(Sync!$J1351,10000)/100),2)&amp;"/"&amp;RIGHT("00"&amp;MOD(Sync!$J1351,100),2),"نامعتبر"),IF(LEN(Sync!$J1351)=10,Sync!$J1351,"نامعتبر")))</f>
        <v/>
      </c>
      <c r="R1351">
        <f>IF($P1351="","",COUNTIFS($N$6:$N$2005,$N1351,$P$6:$P$2005,"&lt;"&amp;$P1351)+COUNTIFS($A$6:$A$1005,$N1351,$B$6:$B$1005,"&lt;"&amp;$P1351)+1)</f>
        <v/>
      </c>
      <c r="S1351">
        <f>IF($N1351="","",$N1351&amp;"|"&amp;RIGHT("000000"&amp;$R1351,6))</f>
        <v/>
      </c>
      <c r="T1351">
        <f>IF($N1351="","",IF(Sync!$N1351="",0,Sync!$N1351))</f>
        <v/>
      </c>
      <c r="U1351">
        <f>IF($N1351="","",IF(Sync!$O1351="",0,Sync!$O1351))</f>
        <v/>
      </c>
      <c r="V1351">
        <f>IF($N1351="","",Sync!$L1351)</f>
        <v/>
      </c>
      <c r="W1351">
        <f>IF($N1351="","",Sync!$P1351)</f>
        <v/>
      </c>
    </row>
    <row r="1352">
      <c r="N1352">
        <f>IF(OR(Sync!$M1352="",$Q1352="",$Q1352="نامعتبر"),"",Sync!$M1352)</f>
        <v/>
      </c>
      <c r="O1352">
        <f>IF($N1352="","",$Q1352)</f>
        <v/>
      </c>
      <c r="P1352">
        <f>IF($N1352="","",LEFT($Q1352,4)&amp;MID($Q1352,6,2)&amp;RIGHT($Q1352,2)&amp;IF(Sync!$K1352="","0000",IF(AND(ISNUMBER(Sync!$K1352),Sync!$K1352&gt;=0,Sync!$K1352&lt;1),RIGHT("00"&amp;HOUR(Sync!$K1352),2)&amp;RIGHT("00"&amp;MINUTE(Sync!$K1352),2),IFERROR(RIGHT("00"&amp;VALUE(LEFT(Sync!$K1352,FIND(":",Sync!$K1352)-1)),2)&amp;RIGHT("00"&amp;VALUE(MID(Sync!$K1352,FIND(":",Sync!$K1352)+1,2)),2),"0000")))&amp;"|"&amp;"2"&amp;RIGHT("00000"&amp;1347,5))</f>
        <v/>
      </c>
      <c r="Q1352">
        <f>IF(Sync!$J1352="","",IF(ISNUMBER(Sync!$J1352),IF(AND(Sync!$J1352&gt;=10000101,Sync!$J1352&lt;=99991231),INT(Sync!$J1352/10000)&amp;"/"&amp;RIGHT("00"&amp;INT(MOD(Sync!$J1352,10000)/100),2)&amp;"/"&amp;RIGHT("00"&amp;MOD(Sync!$J1352,100),2),"نامعتبر"),IF(LEN(Sync!$J1352)=10,Sync!$J1352,"نامعتبر")))</f>
        <v/>
      </c>
      <c r="R1352">
        <f>IF($P1352="","",COUNTIFS($N$6:$N$2005,$N1352,$P$6:$P$2005,"&lt;"&amp;$P1352)+COUNTIFS($A$6:$A$1005,$N1352,$B$6:$B$1005,"&lt;"&amp;$P1352)+1)</f>
        <v/>
      </c>
      <c r="S1352">
        <f>IF($N1352="","",$N1352&amp;"|"&amp;RIGHT("000000"&amp;$R1352,6))</f>
        <v/>
      </c>
      <c r="T1352">
        <f>IF($N1352="","",IF(Sync!$N1352="",0,Sync!$N1352))</f>
        <v/>
      </c>
      <c r="U1352">
        <f>IF($N1352="","",IF(Sync!$O1352="",0,Sync!$O1352))</f>
        <v/>
      </c>
      <c r="V1352">
        <f>IF($N1352="","",Sync!$L1352)</f>
        <v/>
      </c>
      <c r="W1352">
        <f>IF($N1352="","",Sync!$P1352)</f>
        <v/>
      </c>
    </row>
    <row r="1353">
      <c r="N1353">
        <f>IF(OR(Sync!$M1353="",$Q1353="",$Q1353="نامعتبر"),"",Sync!$M1353)</f>
        <v/>
      </c>
      <c r="O1353">
        <f>IF($N1353="","",$Q1353)</f>
        <v/>
      </c>
      <c r="P1353">
        <f>IF($N1353="","",LEFT($Q1353,4)&amp;MID($Q1353,6,2)&amp;RIGHT($Q1353,2)&amp;IF(Sync!$K1353="","0000",IF(AND(ISNUMBER(Sync!$K1353),Sync!$K1353&gt;=0,Sync!$K1353&lt;1),RIGHT("00"&amp;HOUR(Sync!$K1353),2)&amp;RIGHT("00"&amp;MINUTE(Sync!$K1353),2),IFERROR(RIGHT("00"&amp;VALUE(LEFT(Sync!$K1353,FIND(":",Sync!$K1353)-1)),2)&amp;RIGHT("00"&amp;VALUE(MID(Sync!$K1353,FIND(":",Sync!$K1353)+1,2)),2),"0000")))&amp;"|"&amp;"2"&amp;RIGHT("00000"&amp;1348,5))</f>
        <v/>
      </c>
      <c r="Q1353">
        <f>IF(Sync!$J1353="","",IF(ISNUMBER(Sync!$J1353),IF(AND(Sync!$J1353&gt;=10000101,Sync!$J1353&lt;=99991231),INT(Sync!$J1353/10000)&amp;"/"&amp;RIGHT("00"&amp;INT(MOD(Sync!$J1353,10000)/100),2)&amp;"/"&amp;RIGHT("00"&amp;MOD(Sync!$J1353,100),2),"نامعتبر"),IF(LEN(Sync!$J1353)=10,Sync!$J1353,"نامعتبر")))</f>
        <v/>
      </c>
      <c r="R1353">
        <f>IF($P1353="","",COUNTIFS($N$6:$N$2005,$N1353,$P$6:$P$2005,"&lt;"&amp;$P1353)+COUNTIFS($A$6:$A$1005,$N1353,$B$6:$B$1005,"&lt;"&amp;$P1353)+1)</f>
        <v/>
      </c>
      <c r="S1353">
        <f>IF($N1353="","",$N1353&amp;"|"&amp;RIGHT("000000"&amp;$R1353,6))</f>
        <v/>
      </c>
      <c r="T1353">
        <f>IF($N1353="","",IF(Sync!$N1353="",0,Sync!$N1353))</f>
        <v/>
      </c>
      <c r="U1353">
        <f>IF($N1353="","",IF(Sync!$O1353="",0,Sync!$O1353))</f>
        <v/>
      </c>
      <c r="V1353">
        <f>IF($N1353="","",Sync!$L1353)</f>
        <v/>
      </c>
      <c r="W1353">
        <f>IF($N1353="","",Sync!$P1353)</f>
        <v/>
      </c>
    </row>
    <row r="1354">
      <c r="N1354">
        <f>IF(OR(Sync!$M1354="",$Q1354="",$Q1354="نامعتبر"),"",Sync!$M1354)</f>
        <v/>
      </c>
      <c r="O1354">
        <f>IF($N1354="","",$Q1354)</f>
        <v/>
      </c>
      <c r="P1354">
        <f>IF($N1354="","",LEFT($Q1354,4)&amp;MID($Q1354,6,2)&amp;RIGHT($Q1354,2)&amp;IF(Sync!$K1354="","0000",IF(AND(ISNUMBER(Sync!$K1354),Sync!$K1354&gt;=0,Sync!$K1354&lt;1),RIGHT("00"&amp;HOUR(Sync!$K1354),2)&amp;RIGHT("00"&amp;MINUTE(Sync!$K1354),2),IFERROR(RIGHT("00"&amp;VALUE(LEFT(Sync!$K1354,FIND(":",Sync!$K1354)-1)),2)&amp;RIGHT("00"&amp;VALUE(MID(Sync!$K1354,FIND(":",Sync!$K1354)+1,2)),2),"0000")))&amp;"|"&amp;"2"&amp;RIGHT("00000"&amp;1349,5))</f>
        <v/>
      </c>
      <c r="Q1354">
        <f>IF(Sync!$J1354="","",IF(ISNUMBER(Sync!$J1354),IF(AND(Sync!$J1354&gt;=10000101,Sync!$J1354&lt;=99991231),INT(Sync!$J1354/10000)&amp;"/"&amp;RIGHT("00"&amp;INT(MOD(Sync!$J1354,10000)/100),2)&amp;"/"&amp;RIGHT("00"&amp;MOD(Sync!$J1354,100),2),"نامعتبر"),IF(LEN(Sync!$J1354)=10,Sync!$J1354,"نامعتبر")))</f>
        <v/>
      </c>
      <c r="R1354">
        <f>IF($P1354="","",COUNTIFS($N$6:$N$2005,$N1354,$P$6:$P$2005,"&lt;"&amp;$P1354)+COUNTIFS($A$6:$A$1005,$N1354,$B$6:$B$1005,"&lt;"&amp;$P1354)+1)</f>
        <v/>
      </c>
      <c r="S1354">
        <f>IF($N1354="","",$N1354&amp;"|"&amp;RIGHT("000000"&amp;$R1354,6))</f>
        <v/>
      </c>
      <c r="T1354">
        <f>IF($N1354="","",IF(Sync!$N1354="",0,Sync!$N1354))</f>
        <v/>
      </c>
      <c r="U1354">
        <f>IF($N1354="","",IF(Sync!$O1354="",0,Sync!$O1354))</f>
        <v/>
      </c>
      <c r="V1354">
        <f>IF($N1354="","",Sync!$L1354)</f>
        <v/>
      </c>
      <c r="W1354">
        <f>IF($N1354="","",Sync!$P1354)</f>
        <v/>
      </c>
    </row>
    <row r="1355">
      <c r="N1355">
        <f>IF(OR(Sync!$M1355="",$Q1355="",$Q1355="نامعتبر"),"",Sync!$M1355)</f>
        <v/>
      </c>
      <c r="O1355">
        <f>IF($N1355="","",$Q1355)</f>
        <v/>
      </c>
      <c r="P1355">
        <f>IF($N1355="","",LEFT($Q1355,4)&amp;MID($Q1355,6,2)&amp;RIGHT($Q1355,2)&amp;IF(Sync!$K1355="","0000",IF(AND(ISNUMBER(Sync!$K1355),Sync!$K1355&gt;=0,Sync!$K1355&lt;1),RIGHT("00"&amp;HOUR(Sync!$K1355),2)&amp;RIGHT("00"&amp;MINUTE(Sync!$K1355),2),IFERROR(RIGHT("00"&amp;VALUE(LEFT(Sync!$K1355,FIND(":",Sync!$K1355)-1)),2)&amp;RIGHT("00"&amp;VALUE(MID(Sync!$K1355,FIND(":",Sync!$K1355)+1,2)),2),"0000")))&amp;"|"&amp;"2"&amp;RIGHT("00000"&amp;1350,5))</f>
        <v/>
      </c>
      <c r="Q1355">
        <f>IF(Sync!$J1355="","",IF(ISNUMBER(Sync!$J1355),IF(AND(Sync!$J1355&gt;=10000101,Sync!$J1355&lt;=99991231),INT(Sync!$J1355/10000)&amp;"/"&amp;RIGHT("00"&amp;INT(MOD(Sync!$J1355,10000)/100),2)&amp;"/"&amp;RIGHT("00"&amp;MOD(Sync!$J1355,100),2),"نامعتبر"),IF(LEN(Sync!$J1355)=10,Sync!$J1355,"نامعتبر")))</f>
        <v/>
      </c>
      <c r="R1355">
        <f>IF($P1355="","",COUNTIFS($N$6:$N$2005,$N1355,$P$6:$P$2005,"&lt;"&amp;$P1355)+COUNTIFS($A$6:$A$1005,$N1355,$B$6:$B$1005,"&lt;"&amp;$P1355)+1)</f>
        <v/>
      </c>
      <c r="S1355">
        <f>IF($N1355="","",$N1355&amp;"|"&amp;RIGHT("000000"&amp;$R1355,6))</f>
        <v/>
      </c>
      <c r="T1355">
        <f>IF($N1355="","",IF(Sync!$N1355="",0,Sync!$N1355))</f>
        <v/>
      </c>
      <c r="U1355">
        <f>IF($N1355="","",IF(Sync!$O1355="",0,Sync!$O1355))</f>
        <v/>
      </c>
      <c r="V1355">
        <f>IF($N1355="","",Sync!$L1355)</f>
        <v/>
      </c>
      <c r="W1355">
        <f>IF($N1355="","",Sync!$P1355)</f>
        <v/>
      </c>
    </row>
    <row r="1356">
      <c r="N1356">
        <f>IF(OR(Sync!$M1356="",$Q1356="",$Q1356="نامعتبر"),"",Sync!$M1356)</f>
        <v/>
      </c>
      <c r="O1356">
        <f>IF($N1356="","",$Q1356)</f>
        <v/>
      </c>
      <c r="P1356">
        <f>IF($N1356="","",LEFT($Q1356,4)&amp;MID($Q1356,6,2)&amp;RIGHT($Q1356,2)&amp;IF(Sync!$K1356="","0000",IF(AND(ISNUMBER(Sync!$K1356),Sync!$K1356&gt;=0,Sync!$K1356&lt;1),RIGHT("00"&amp;HOUR(Sync!$K1356),2)&amp;RIGHT("00"&amp;MINUTE(Sync!$K1356),2),IFERROR(RIGHT("00"&amp;VALUE(LEFT(Sync!$K1356,FIND(":",Sync!$K1356)-1)),2)&amp;RIGHT("00"&amp;VALUE(MID(Sync!$K1356,FIND(":",Sync!$K1356)+1,2)),2),"0000")))&amp;"|"&amp;"2"&amp;RIGHT("00000"&amp;1351,5))</f>
        <v/>
      </c>
      <c r="Q1356">
        <f>IF(Sync!$J1356="","",IF(ISNUMBER(Sync!$J1356),IF(AND(Sync!$J1356&gt;=10000101,Sync!$J1356&lt;=99991231),INT(Sync!$J1356/10000)&amp;"/"&amp;RIGHT("00"&amp;INT(MOD(Sync!$J1356,10000)/100),2)&amp;"/"&amp;RIGHT("00"&amp;MOD(Sync!$J1356,100),2),"نامعتبر"),IF(LEN(Sync!$J1356)=10,Sync!$J1356,"نامعتبر")))</f>
        <v/>
      </c>
      <c r="R1356">
        <f>IF($P1356="","",COUNTIFS($N$6:$N$2005,$N1356,$P$6:$P$2005,"&lt;"&amp;$P1356)+COUNTIFS($A$6:$A$1005,$N1356,$B$6:$B$1005,"&lt;"&amp;$P1356)+1)</f>
        <v/>
      </c>
      <c r="S1356">
        <f>IF($N1356="","",$N1356&amp;"|"&amp;RIGHT("000000"&amp;$R1356,6))</f>
        <v/>
      </c>
      <c r="T1356">
        <f>IF($N1356="","",IF(Sync!$N1356="",0,Sync!$N1356))</f>
        <v/>
      </c>
      <c r="U1356">
        <f>IF($N1356="","",IF(Sync!$O1356="",0,Sync!$O1356))</f>
        <v/>
      </c>
      <c r="V1356">
        <f>IF($N1356="","",Sync!$L1356)</f>
        <v/>
      </c>
      <c r="W1356">
        <f>IF($N1356="","",Sync!$P1356)</f>
        <v/>
      </c>
    </row>
    <row r="1357">
      <c r="N1357">
        <f>IF(OR(Sync!$M1357="",$Q1357="",$Q1357="نامعتبر"),"",Sync!$M1357)</f>
        <v/>
      </c>
      <c r="O1357">
        <f>IF($N1357="","",$Q1357)</f>
        <v/>
      </c>
      <c r="P1357">
        <f>IF($N1357="","",LEFT($Q1357,4)&amp;MID($Q1357,6,2)&amp;RIGHT($Q1357,2)&amp;IF(Sync!$K1357="","0000",IF(AND(ISNUMBER(Sync!$K1357),Sync!$K1357&gt;=0,Sync!$K1357&lt;1),RIGHT("00"&amp;HOUR(Sync!$K1357),2)&amp;RIGHT("00"&amp;MINUTE(Sync!$K1357),2),IFERROR(RIGHT("00"&amp;VALUE(LEFT(Sync!$K1357,FIND(":",Sync!$K1357)-1)),2)&amp;RIGHT("00"&amp;VALUE(MID(Sync!$K1357,FIND(":",Sync!$K1357)+1,2)),2),"0000")))&amp;"|"&amp;"2"&amp;RIGHT("00000"&amp;1352,5))</f>
        <v/>
      </c>
      <c r="Q1357">
        <f>IF(Sync!$J1357="","",IF(ISNUMBER(Sync!$J1357),IF(AND(Sync!$J1357&gt;=10000101,Sync!$J1357&lt;=99991231),INT(Sync!$J1357/10000)&amp;"/"&amp;RIGHT("00"&amp;INT(MOD(Sync!$J1357,10000)/100),2)&amp;"/"&amp;RIGHT("00"&amp;MOD(Sync!$J1357,100),2),"نامعتبر"),IF(LEN(Sync!$J1357)=10,Sync!$J1357,"نامعتبر")))</f>
        <v/>
      </c>
      <c r="R1357">
        <f>IF($P1357="","",COUNTIFS($N$6:$N$2005,$N1357,$P$6:$P$2005,"&lt;"&amp;$P1357)+COUNTIFS($A$6:$A$1005,$N1357,$B$6:$B$1005,"&lt;"&amp;$P1357)+1)</f>
        <v/>
      </c>
      <c r="S1357">
        <f>IF($N1357="","",$N1357&amp;"|"&amp;RIGHT("000000"&amp;$R1357,6))</f>
        <v/>
      </c>
      <c r="T1357">
        <f>IF($N1357="","",IF(Sync!$N1357="",0,Sync!$N1357))</f>
        <v/>
      </c>
      <c r="U1357">
        <f>IF($N1357="","",IF(Sync!$O1357="",0,Sync!$O1357))</f>
        <v/>
      </c>
      <c r="V1357">
        <f>IF($N1357="","",Sync!$L1357)</f>
        <v/>
      </c>
      <c r="W1357">
        <f>IF($N1357="","",Sync!$P1357)</f>
        <v/>
      </c>
    </row>
    <row r="1358">
      <c r="N1358">
        <f>IF(OR(Sync!$M1358="",$Q1358="",$Q1358="نامعتبر"),"",Sync!$M1358)</f>
        <v/>
      </c>
      <c r="O1358">
        <f>IF($N1358="","",$Q1358)</f>
        <v/>
      </c>
      <c r="P1358">
        <f>IF($N1358="","",LEFT($Q1358,4)&amp;MID($Q1358,6,2)&amp;RIGHT($Q1358,2)&amp;IF(Sync!$K1358="","0000",IF(AND(ISNUMBER(Sync!$K1358),Sync!$K1358&gt;=0,Sync!$K1358&lt;1),RIGHT("00"&amp;HOUR(Sync!$K1358),2)&amp;RIGHT("00"&amp;MINUTE(Sync!$K1358),2),IFERROR(RIGHT("00"&amp;VALUE(LEFT(Sync!$K1358,FIND(":",Sync!$K1358)-1)),2)&amp;RIGHT("00"&amp;VALUE(MID(Sync!$K1358,FIND(":",Sync!$K1358)+1,2)),2),"0000")))&amp;"|"&amp;"2"&amp;RIGHT("00000"&amp;1353,5))</f>
        <v/>
      </c>
      <c r="Q1358">
        <f>IF(Sync!$J1358="","",IF(ISNUMBER(Sync!$J1358),IF(AND(Sync!$J1358&gt;=10000101,Sync!$J1358&lt;=99991231),INT(Sync!$J1358/10000)&amp;"/"&amp;RIGHT("00"&amp;INT(MOD(Sync!$J1358,10000)/100),2)&amp;"/"&amp;RIGHT("00"&amp;MOD(Sync!$J1358,100),2),"نامعتبر"),IF(LEN(Sync!$J1358)=10,Sync!$J1358,"نامعتبر")))</f>
        <v/>
      </c>
      <c r="R1358">
        <f>IF($P1358="","",COUNTIFS($N$6:$N$2005,$N1358,$P$6:$P$2005,"&lt;"&amp;$P1358)+COUNTIFS($A$6:$A$1005,$N1358,$B$6:$B$1005,"&lt;"&amp;$P1358)+1)</f>
        <v/>
      </c>
      <c r="S1358">
        <f>IF($N1358="","",$N1358&amp;"|"&amp;RIGHT("000000"&amp;$R1358,6))</f>
        <v/>
      </c>
      <c r="T1358">
        <f>IF($N1358="","",IF(Sync!$N1358="",0,Sync!$N1358))</f>
        <v/>
      </c>
      <c r="U1358">
        <f>IF($N1358="","",IF(Sync!$O1358="",0,Sync!$O1358))</f>
        <v/>
      </c>
      <c r="V1358">
        <f>IF($N1358="","",Sync!$L1358)</f>
        <v/>
      </c>
      <c r="W1358">
        <f>IF($N1358="","",Sync!$P1358)</f>
        <v/>
      </c>
    </row>
    <row r="1359">
      <c r="N1359">
        <f>IF(OR(Sync!$M1359="",$Q1359="",$Q1359="نامعتبر"),"",Sync!$M1359)</f>
        <v/>
      </c>
      <c r="O1359">
        <f>IF($N1359="","",$Q1359)</f>
        <v/>
      </c>
      <c r="P1359">
        <f>IF($N1359="","",LEFT($Q1359,4)&amp;MID($Q1359,6,2)&amp;RIGHT($Q1359,2)&amp;IF(Sync!$K1359="","0000",IF(AND(ISNUMBER(Sync!$K1359),Sync!$K1359&gt;=0,Sync!$K1359&lt;1),RIGHT("00"&amp;HOUR(Sync!$K1359),2)&amp;RIGHT("00"&amp;MINUTE(Sync!$K1359),2),IFERROR(RIGHT("00"&amp;VALUE(LEFT(Sync!$K1359,FIND(":",Sync!$K1359)-1)),2)&amp;RIGHT("00"&amp;VALUE(MID(Sync!$K1359,FIND(":",Sync!$K1359)+1,2)),2),"0000")))&amp;"|"&amp;"2"&amp;RIGHT("00000"&amp;1354,5))</f>
        <v/>
      </c>
      <c r="Q1359">
        <f>IF(Sync!$J1359="","",IF(ISNUMBER(Sync!$J1359),IF(AND(Sync!$J1359&gt;=10000101,Sync!$J1359&lt;=99991231),INT(Sync!$J1359/10000)&amp;"/"&amp;RIGHT("00"&amp;INT(MOD(Sync!$J1359,10000)/100),2)&amp;"/"&amp;RIGHT("00"&amp;MOD(Sync!$J1359,100),2),"نامعتبر"),IF(LEN(Sync!$J1359)=10,Sync!$J1359,"نامعتبر")))</f>
        <v/>
      </c>
      <c r="R1359">
        <f>IF($P1359="","",COUNTIFS($N$6:$N$2005,$N1359,$P$6:$P$2005,"&lt;"&amp;$P1359)+COUNTIFS($A$6:$A$1005,$N1359,$B$6:$B$1005,"&lt;"&amp;$P1359)+1)</f>
        <v/>
      </c>
      <c r="S1359">
        <f>IF($N1359="","",$N1359&amp;"|"&amp;RIGHT("000000"&amp;$R1359,6))</f>
        <v/>
      </c>
      <c r="T1359">
        <f>IF($N1359="","",IF(Sync!$N1359="",0,Sync!$N1359))</f>
        <v/>
      </c>
      <c r="U1359">
        <f>IF($N1359="","",IF(Sync!$O1359="",0,Sync!$O1359))</f>
        <v/>
      </c>
      <c r="V1359">
        <f>IF($N1359="","",Sync!$L1359)</f>
        <v/>
      </c>
      <c r="W1359">
        <f>IF($N1359="","",Sync!$P1359)</f>
        <v/>
      </c>
    </row>
    <row r="1360">
      <c r="N1360">
        <f>IF(OR(Sync!$M1360="",$Q1360="",$Q1360="نامعتبر"),"",Sync!$M1360)</f>
        <v/>
      </c>
      <c r="O1360">
        <f>IF($N1360="","",$Q1360)</f>
        <v/>
      </c>
      <c r="P1360">
        <f>IF($N1360="","",LEFT($Q1360,4)&amp;MID($Q1360,6,2)&amp;RIGHT($Q1360,2)&amp;IF(Sync!$K1360="","0000",IF(AND(ISNUMBER(Sync!$K1360),Sync!$K1360&gt;=0,Sync!$K1360&lt;1),RIGHT("00"&amp;HOUR(Sync!$K1360),2)&amp;RIGHT("00"&amp;MINUTE(Sync!$K1360),2),IFERROR(RIGHT("00"&amp;VALUE(LEFT(Sync!$K1360,FIND(":",Sync!$K1360)-1)),2)&amp;RIGHT("00"&amp;VALUE(MID(Sync!$K1360,FIND(":",Sync!$K1360)+1,2)),2),"0000")))&amp;"|"&amp;"2"&amp;RIGHT("00000"&amp;1355,5))</f>
        <v/>
      </c>
      <c r="Q1360">
        <f>IF(Sync!$J1360="","",IF(ISNUMBER(Sync!$J1360),IF(AND(Sync!$J1360&gt;=10000101,Sync!$J1360&lt;=99991231),INT(Sync!$J1360/10000)&amp;"/"&amp;RIGHT("00"&amp;INT(MOD(Sync!$J1360,10000)/100),2)&amp;"/"&amp;RIGHT("00"&amp;MOD(Sync!$J1360,100),2),"نامعتبر"),IF(LEN(Sync!$J1360)=10,Sync!$J1360,"نامعتبر")))</f>
        <v/>
      </c>
      <c r="R1360">
        <f>IF($P1360="","",COUNTIFS($N$6:$N$2005,$N1360,$P$6:$P$2005,"&lt;"&amp;$P1360)+COUNTIFS($A$6:$A$1005,$N1360,$B$6:$B$1005,"&lt;"&amp;$P1360)+1)</f>
        <v/>
      </c>
      <c r="S1360">
        <f>IF($N1360="","",$N1360&amp;"|"&amp;RIGHT("000000"&amp;$R1360,6))</f>
        <v/>
      </c>
      <c r="T1360">
        <f>IF($N1360="","",IF(Sync!$N1360="",0,Sync!$N1360))</f>
        <v/>
      </c>
      <c r="U1360">
        <f>IF($N1360="","",IF(Sync!$O1360="",0,Sync!$O1360))</f>
        <v/>
      </c>
      <c r="V1360">
        <f>IF($N1360="","",Sync!$L1360)</f>
        <v/>
      </c>
      <c r="W1360">
        <f>IF($N1360="","",Sync!$P1360)</f>
        <v/>
      </c>
    </row>
    <row r="1361">
      <c r="N1361">
        <f>IF(OR(Sync!$M1361="",$Q1361="",$Q1361="نامعتبر"),"",Sync!$M1361)</f>
        <v/>
      </c>
      <c r="O1361">
        <f>IF($N1361="","",$Q1361)</f>
        <v/>
      </c>
      <c r="P1361">
        <f>IF($N1361="","",LEFT($Q1361,4)&amp;MID($Q1361,6,2)&amp;RIGHT($Q1361,2)&amp;IF(Sync!$K1361="","0000",IF(AND(ISNUMBER(Sync!$K1361),Sync!$K1361&gt;=0,Sync!$K1361&lt;1),RIGHT("00"&amp;HOUR(Sync!$K1361),2)&amp;RIGHT("00"&amp;MINUTE(Sync!$K1361),2),IFERROR(RIGHT("00"&amp;VALUE(LEFT(Sync!$K1361,FIND(":",Sync!$K1361)-1)),2)&amp;RIGHT("00"&amp;VALUE(MID(Sync!$K1361,FIND(":",Sync!$K1361)+1,2)),2),"0000")))&amp;"|"&amp;"2"&amp;RIGHT("00000"&amp;1356,5))</f>
        <v/>
      </c>
      <c r="Q1361">
        <f>IF(Sync!$J1361="","",IF(ISNUMBER(Sync!$J1361),IF(AND(Sync!$J1361&gt;=10000101,Sync!$J1361&lt;=99991231),INT(Sync!$J1361/10000)&amp;"/"&amp;RIGHT("00"&amp;INT(MOD(Sync!$J1361,10000)/100),2)&amp;"/"&amp;RIGHT("00"&amp;MOD(Sync!$J1361,100),2),"نامعتبر"),IF(LEN(Sync!$J1361)=10,Sync!$J1361,"نامعتبر")))</f>
        <v/>
      </c>
      <c r="R1361">
        <f>IF($P1361="","",COUNTIFS($N$6:$N$2005,$N1361,$P$6:$P$2005,"&lt;"&amp;$P1361)+COUNTIFS($A$6:$A$1005,$N1361,$B$6:$B$1005,"&lt;"&amp;$P1361)+1)</f>
        <v/>
      </c>
      <c r="S1361">
        <f>IF($N1361="","",$N1361&amp;"|"&amp;RIGHT("000000"&amp;$R1361,6))</f>
        <v/>
      </c>
      <c r="T1361">
        <f>IF($N1361="","",IF(Sync!$N1361="",0,Sync!$N1361))</f>
        <v/>
      </c>
      <c r="U1361">
        <f>IF($N1361="","",IF(Sync!$O1361="",0,Sync!$O1361))</f>
        <v/>
      </c>
      <c r="V1361">
        <f>IF($N1361="","",Sync!$L1361)</f>
        <v/>
      </c>
      <c r="W1361">
        <f>IF($N1361="","",Sync!$P1361)</f>
        <v/>
      </c>
    </row>
    <row r="1362">
      <c r="N1362">
        <f>IF(OR(Sync!$M1362="",$Q1362="",$Q1362="نامعتبر"),"",Sync!$M1362)</f>
        <v/>
      </c>
      <c r="O1362">
        <f>IF($N1362="","",$Q1362)</f>
        <v/>
      </c>
      <c r="P1362">
        <f>IF($N1362="","",LEFT($Q1362,4)&amp;MID($Q1362,6,2)&amp;RIGHT($Q1362,2)&amp;IF(Sync!$K1362="","0000",IF(AND(ISNUMBER(Sync!$K1362),Sync!$K1362&gt;=0,Sync!$K1362&lt;1),RIGHT("00"&amp;HOUR(Sync!$K1362),2)&amp;RIGHT("00"&amp;MINUTE(Sync!$K1362),2),IFERROR(RIGHT("00"&amp;VALUE(LEFT(Sync!$K1362,FIND(":",Sync!$K1362)-1)),2)&amp;RIGHT("00"&amp;VALUE(MID(Sync!$K1362,FIND(":",Sync!$K1362)+1,2)),2),"0000")))&amp;"|"&amp;"2"&amp;RIGHT("00000"&amp;1357,5))</f>
        <v/>
      </c>
      <c r="Q1362">
        <f>IF(Sync!$J1362="","",IF(ISNUMBER(Sync!$J1362),IF(AND(Sync!$J1362&gt;=10000101,Sync!$J1362&lt;=99991231),INT(Sync!$J1362/10000)&amp;"/"&amp;RIGHT("00"&amp;INT(MOD(Sync!$J1362,10000)/100),2)&amp;"/"&amp;RIGHT("00"&amp;MOD(Sync!$J1362,100),2),"نامعتبر"),IF(LEN(Sync!$J1362)=10,Sync!$J1362,"نامعتبر")))</f>
        <v/>
      </c>
      <c r="R1362">
        <f>IF($P1362="","",COUNTIFS($N$6:$N$2005,$N1362,$P$6:$P$2005,"&lt;"&amp;$P1362)+COUNTIFS($A$6:$A$1005,$N1362,$B$6:$B$1005,"&lt;"&amp;$P1362)+1)</f>
        <v/>
      </c>
      <c r="S1362">
        <f>IF($N1362="","",$N1362&amp;"|"&amp;RIGHT("000000"&amp;$R1362,6))</f>
        <v/>
      </c>
      <c r="T1362">
        <f>IF($N1362="","",IF(Sync!$N1362="",0,Sync!$N1362))</f>
        <v/>
      </c>
      <c r="U1362">
        <f>IF($N1362="","",IF(Sync!$O1362="",0,Sync!$O1362))</f>
        <v/>
      </c>
      <c r="V1362">
        <f>IF($N1362="","",Sync!$L1362)</f>
        <v/>
      </c>
      <c r="W1362">
        <f>IF($N1362="","",Sync!$P1362)</f>
        <v/>
      </c>
    </row>
    <row r="1363">
      <c r="N1363">
        <f>IF(OR(Sync!$M1363="",$Q1363="",$Q1363="نامعتبر"),"",Sync!$M1363)</f>
        <v/>
      </c>
      <c r="O1363">
        <f>IF($N1363="","",$Q1363)</f>
        <v/>
      </c>
      <c r="P1363">
        <f>IF($N1363="","",LEFT($Q1363,4)&amp;MID($Q1363,6,2)&amp;RIGHT($Q1363,2)&amp;IF(Sync!$K1363="","0000",IF(AND(ISNUMBER(Sync!$K1363),Sync!$K1363&gt;=0,Sync!$K1363&lt;1),RIGHT("00"&amp;HOUR(Sync!$K1363),2)&amp;RIGHT("00"&amp;MINUTE(Sync!$K1363),2),IFERROR(RIGHT("00"&amp;VALUE(LEFT(Sync!$K1363,FIND(":",Sync!$K1363)-1)),2)&amp;RIGHT("00"&amp;VALUE(MID(Sync!$K1363,FIND(":",Sync!$K1363)+1,2)),2),"0000")))&amp;"|"&amp;"2"&amp;RIGHT("00000"&amp;1358,5))</f>
        <v/>
      </c>
      <c r="Q1363">
        <f>IF(Sync!$J1363="","",IF(ISNUMBER(Sync!$J1363),IF(AND(Sync!$J1363&gt;=10000101,Sync!$J1363&lt;=99991231),INT(Sync!$J1363/10000)&amp;"/"&amp;RIGHT("00"&amp;INT(MOD(Sync!$J1363,10000)/100),2)&amp;"/"&amp;RIGHT("00"&amp;MOD(Sync!$J1363,100),2),"نامعتبر"),IF(LEN(Sync!$J1363)=10,Sync!$J1363,"نامعتبر")))</f>
        <v/>
      </c>
      <c r="R1363">
        <f>IF($P1363="","",COUNTIFS($N$6:$N$2005,$N1363,$P$6:$P$2005,"&lt;"&amp;$P1363)+COUNTIFS($A$6:$A$1005,$N1363,$B$6:$B$1005,"&lt;"&amp;$P1363)+1)</f>
        <v/>
      </c>
      <c r="S1363">
        <f>IF($N1363="","",$N1363&amp;"|"&amp;RIGHT("000000"&amp;$R1363,6))</f>
        <v/>
      </c>
      <c r="T1363">
        <f>IF($N1363="","",IF(Sync!$N1363="",0,Sync!$N1363))</f>
        <v/>
      </c>
      <c r="U1363">
        <f>IF($N1363="","",IF(Sync!$O1363="",0,Sync!$O1363))</f>
        <v/>
      </c>
      <c r="V1363">
        <f>IF($N1363="","",Sync!$L1363)</f>
        <v/>
      </c>
      <c r="W1363">
        <f>IF($N1363="","",Sync!$P1363)</f>
        <v/>
      </c>
    </row>
    <row r="1364">
      <c r="N1364">
        <f>IF(OR(Sync!$M1364="",$Q1364="",$Q1364="نامعتبر"),"",Sync!$M1364)</f>
        <v/>
      </c>
      <c r="O1364">
        <f>IF($N1364="","",$Q1364)</f>
        <v/>
      </c>
      <c r="P1364">
        <f>IF($N1364="","",LEFT($Q1364,4)&amp;MID($Q1364,6,2)&amp;RIGHT($Q1364,2)&amp;IF(Sync!$K1364="","0000",IF(AND(ISNUMBER(Sync!$K1364),Sync!$K1364&gt;=0,Sync!$K1364&lt;1),RIGHT("00"&amp;HOUR(Sync!$K1364),2)&amp;RIGHT("00"&amp;MINUTE(Sync!$K1364),2),IFERROR(RIGHT("00"&amp;VALUE(LEFT(Sync!$K1364,FIND(":",Sync!$K1364)-1)),2)&amp;RIGHT("00"&amp;VALUE(MID(Sync!$K1364,FIND(":",Sync!$K1364)+1,2)),2),"0000")))&amp;"|"&amp;"2"&amp;RIGHT("00000"&amp;1359,5))</f>
        <v/>
      </c>
      <c r="Q1364">
        <f>IF(Sync!$J1364="","",IF(ISNUMBER(Sync!$J1364),IF(AND(Sync!$J1364&gt;=10000101,Sync!$J1364&lt;=99991231),INT(Sync!$J1364/10000)&amp;"/"&amp;RIGHT("00"&amp;INT(MOD(Sync!$J1364,10000)/100),2)&amp;"/"&amp;RIGHT("00"&amp;MOD(Sync!$J1364,100),2),"نامعتبر"),IF(LEN(Sync!$J1364)=10,Sync!$J1364,"نامعتبر")))</f>
        <v/>
      </c>
      <c r="R1364">
        <f>IF($P1364="","",COUNTIFS($N$6:$N$2005,$N1364,$P$6:$P$2005,"&lt;"&amp;$P1364)+COUNTIFS($A$6:$A$1005,$N1364,$B$6:$B$1005,"&lt;"&amp;$P1364)+1)</f>
        <v/>
      </c>
      <c r="S1364">
        <f>IF($N1364="","",$N1364&amp;"|"&amp;RIGHT("000000"&amp;$R1364,6))</f>
        <v/>
      </c>
      <c r="T1364">
        <f>IF($N1364="","",IF(Sync!$N1364="",0,Sync!$N1364))</f>
        <v/>
      </c>
      <c r="U1364">
        <f>IF($N1364="","",IF(Sync!$O1364="",0,Sync!$O1364))</f>
        <v/>
      </c>
      <c r="V1364">
        <f>IF($N1364="","",Sync!$L1364)</f>
        <v/>
      </c>
      <c r="W1364">
        <f>IF($N1364="","",Sync!$P1364)</f>
        <v/>
      </c>
    </row>
    <row r="1365">
      <c r="N1365">
        <f>IF(OR(Sync!$M1365="",$Q1365="",$Q1365="نامعتبر"),"",Sync!$M1365)</f>
        <v/>
      </c>
      <c r="O1365">
        <f>IF($N1365="","",$Q1365)</f>
        <v/>
      </c>
      <c r="P1365">
        <f>IF($N1365="","",LEFT($Q1365,4)&amp;MID($Q1365,6,2)&amp;RIGHT($Q1365,2)&amp;IF(Sync!$K1365="","0000",IF(AND(ISNUMBER(Sync!$K1365),Sync!$K1365&gt;=0,Sync!$K1365&lt;1),RIGHT("00"&amp;HOUR(Sync!$K1365),2)&amp;RIGHT("00"&amp;MINUTE(Sync!$K1365),2),IFERROR(RIGHT("00"&amp;VALUE(LEFT(Sync!$K1365,FIND(":",Sync!$K1365)-1)),2)&amp;RIGHT("00"&amp;VALUE(MID(Sync!$K1365,FIND(":",Sync!$K1365)+1,2)),2),"0000")))&amp;"|"&amp;"2"&amp;RIGHT("00000"&amp;1360,5))</f>
        <v/>
      </c>
      <c r="Q1365">
        <f>IF(Sync!$J1365="","",IF(ISNUMBER(Sync!$J1365),IF(AND(Sync!$J1365&gt;=10000101,Sync!$J1365&lt;=99991231),INT(Sync!$J1365/10000)&amp;"/"&amp;RIGHT("00"&amp;INT(MOD(Sync!$J1365,10000)/100),2)&amp;"/"&amp;RIGHT("00"&amp;MOD(Sync!$J1365,100),2),"نامعتبر"),IF(LEN(Sync!$J1365)=10,Sync!$J1365,"نامعتبر")))</f>
        <v/>
      </c>
      <c r="R1365">
        <f>IF($P1365="","",COUNTIFS($N$6:$N$2005,$N1365,$P$6:$P$2005,"&lt;"&amp;$P1365)+COUNTIFS($A$6:$A$1005,$N1365,$B$6:$B$1005,"&lt;"&amp;$P1365)+1)</f>
        <v/>
      </c>
      <c r="S1365">
        <f>IF($N1365="","",$N1365&amp;"|"&amp;RIGHT("000000"&amp;$R1365,6))</f>
        <v/>
      </c>
      <c r="T1365">
        <f>IF($N1365="","",IF(Sync!$N1365="",0,Sync!$N1365))</f>
        <v/>
      </c>
      <c r="U1365">
        <f>IF($N1365="","",IF(Sync!$O1365="",0,Sync!$O1365))</f>
        <v/>
      </c>
      <c r="V1365">
        <f>IF($N1365="","",Sync!$L1365)</f>
        <v/>
      </c>
      <c r="W1365">
        <f>IF($N1365="","",Sync!$P1365)</f>
        <v/>
      </c>
    </row>
    <row r="1366">
      <c r="N1366">
        <f>IF(OR(Sync!$M1366="",$Q1366="",$Q1366="نامعتبر"),"",Sync!$M1366)</f>
        <v/>
      </c>
      <c r="O1366">
        <f>IF($N1366="","",$Q1366)</f>
        <v/>
      </c>
      <c r="P1366">
        <f>IF($N1366="","",LEFT($Q1366,4)&amp;MID($Q1366,6,2)&amp;RIGHT($Q1366,2)&amp;IF(Sync!$K1366="","0000",IF(AND(ISNUMBER(Sync!$K1366),Sync!$K1366&gt;=0,Sync!$K1366&lt;1),RIGHT("00"&amp;HOUR(Sync!$K1366),2)&amp;RIGHT("00"&amp;MINUTE(Sync!$K1366),2),IFERROR(RIGHT("00"&amp;VALUE(LEFT(Sync!$K1366,FIND(":",Sync!$K1366)-1)),2)&amp;RIGHT("00"&amp;VALUE(MID(Sync!$K1366,FIND(":",Sync!$K1366)+1,2)),2),"0000")))&amp;"|"&amp;"2"&amp;RIGHT("00000"&amp;1361,5))</f>
        <v/>
      </c>
      <c r="Q1366">
        <f>IF(Sync!$J1366="","",IF(ISNUMBER(Sync!$J1366),IF(AND(Sync!$J1366&gt;=10000101,Sync!$J1366&lt;=99991231),INT(Sync!$J1366/10000)&amp;"/"&amp;RIGHT("00"&amp;INT(MOD(Sync!$J1366,10000)/100),2)&amp;"/"&amp;RIGHT("00"&amp;MOD(Sync!$J1366,100),2),"نامعتبر"),IF(LEN(Sync!$J1366)=10,Sync!$J1366,"نامعتبر")))</f>
        <v/>
      </c>
      <c r="R1366">
        <f>IF($P1366="","",COUNTIFS($N$6:$N$2005,$N1366,$P$6:$P$2005,"&lt;"&amp;$P1366)+COUNTIFS($A$6:$A$1005,$N1366,$B$6:$B$1005,"&lt;"&amp;$P1366)+1)</f>
        <v/>
      </c>
      <c r="S1366">
        <f>IF($N1366="","",$N1366&amp;"|"&amp;RIGHT("000000"&amp;$R1366,6))</f>
        <v/>
      </c>
      <c r="T1366">
        <f>IF($N1366="","",IF(Sync!$N1366="",0,Sync!$N1366))</f>
        <v/>
      </c>
      <c r="U1366">
        <f>IF($N1366="","",IF(Sync!$O1366="",0,Sync!$O1366))</f>
        <v/>
      </c>
      <c r="V1366">
        <f>IF($N1366="","",Sync!$L1366)</f>
        <v/>
      </c>
      <c r="W1366">
        <f>IF($N1366="","",Sync!$P1366)</f>
        <v/>
      </c>
    </row>
    <row r="1367">
      <c r="N1367">
        <f>IF(OR(Sync!$M1367="",$Q1367="",$Q1367="نامعتبر"),"",Sync!$M1367)</f>
        <v/>
      </c>
      <c r="O1367">
        <f>IF($N1367="","",$Q1367)</f>
        <v/>
      </c>
      <c r="P1367">
        <f>IF($N1367="","",LEFT($Q1367,4)&amp;MID($Q1367,6,2)&amp;RIGHT($Q1367,2)&amp;IF(Sync!$K1367="","0000",IF(AND(ISNUMBER(Sync!$K1367),Sync!$K1367&gt;=0,Sync!$K1367&lt;1),RIGHT("00"&amp;HOUR(Sync!$K1367),2)&amp;RIGHT("00"&amp;MINUTE(Sync!$K1367),2),IFERROR(RIGHT("00"&amp;VALUE(LEFT(Sync!$K1367,FIND(":",Sync!$K1367)-1)),2)&amp;RIGHT("00"&amp;VALUE(MID(Sync!$K1367,FIND(":",Sync!$K1367)+1,2)),2),"0000")))&amp;"|"&amp;"2"&amp;RIGHT("00000"&amp;1362,5))</f>
        <v/>
      </c>
      <c r="Q1367">
        <f>IF(Sync!$J1367="","",IF(ISNUMBER(Sync!$J1367),IF(AND(Sync!$J1367&gt;=10000101,Sync!$J1367&lt;=99991231),INT(Sync!$J1367/10000)&amp;"/"&amp;RIGHT("00"&amp;INT(MOD(Sync!$J1367,10000)/100),2)&amp;"/"&amp;RIGHT("00"&amp;MOD(Sync!$J1367,100),2),"نامعتبر"),IF(LEN(Sync!$J1367)=10,Sync!$J1367,"نامعتبر")))</f>
        <v/>
      </c>
      <c r="R1367">
        <f>IF($P1367="","",COUNTIFS($N$6:$N$2005,$N1367,$P$6:$P$2005,"&lt;"&amp;$P1367)+COUNTIFS($A$6:$A$1005,$N1367,$B$6:$B$1005,"&lt;"&amp;$P1367)+1)</f>
        <v/>
      </c>
      <c r="S1367">
        <f>IF($N1367="","",$N1367&amp;"|"&amp;RIGHT("000000"&amp;$R1367,6))</f>
        <v/>
      </c>
      <c r="T1367">
        <f>IF($N1367="","",IF(Sync!$N1367="",0,Sync!$N1367))</f>
        <v/>
      </c>
      <c r="U1367">
        <f>IF($N1367="","",IF(Sync!$O1367="",0,Sync!$O1367))</f>
        <v/>
      </c>
      <c r="V1367">
        <f>IF($N1367="","",Sync!$L1367)</f>
        <v/>
      </c>
      <c r="W1367">
        <f>IF($N1367="","",Sync!$P1367)</f>
        <v/>
      </c>
    </row>
    <row r="1368">
      <c r="N1368">
        <f>IF(OR(Sync!$M1368="",$Q1368="",$Q1368="نامعتبر"),"",Sync!$M1368)</f>
        <v/>
      </c>
      <c r="O1368">
        <f>IF($N1368="","",$Q1368)</f>
        <v/>
      </c>
      <c r="P1368">
        <f>IF($N1368="","",LEFT($Q1368,4)&amp;MID($Q1368,6,2)&amp;RIGHT($Q1368,2)&amp;IF(Sync!$K1368="","0000",IF(AND(ISNUMBER(Sync!$K1368),Sync!$K1368&gt;=0,Sync!$K1368&lt;1),RIGHT("00"&amp;HOUR(Sync!$K1368),2)&amp;RIGHT("00"&amp;MINUTE(Sync!$K1368),2),IFERROR(RIGHT("00"&amp;VALUE(LEFT(Sync!$K1368,FIND(":",Sync!$K1368)-1)),2)&amp;RIGHT("00"&amp;VALUE(MID(Sync!$K1368,FIND(":",Sync!$K1368)+1,2)),2),"0000")))&amp;"|"&amp;"2"&amp;RIGHT("00000"&amp;1363,5))</f>
        <v/>
      </c>
      <c r="Q1368">
        <f>IF(Sync!$J1368="","",IF(ISNUMBER(Sync!$J1368),IF(AND(Sync!$J1368&gt;=10000101,Sync!$J1368&lt;=99991231),INT(Sync!$J1368/10000)&amp;"/"&amp;RIGHT("00"&amp;INT(MOD(Sync!$J1368,10000)/100),2)&amp;"/"&amp;RIGHT("00"&amp;MOD(Sync!$J1368,100),2),"نامعتبر"),IF(LEN(Sync!$J1368)=10,Sync!$J1368,"نامعتبر")))</f>
        <v/>
      </c>
      <c r="R1368">
        <f>IF($P1368="","",COUNTIFS($N$6:$N$2005,$N1368,$P$6:$P$2005,"&lt;"&amp;$P1368)+COUNTIFS($A$6:$A$1005,$N1368,$B$6:$B$1005,"&lt;"&amp;$P1368)+1)</f>
        <v/>
      </c>
      <c r="S1368">
        <f>IF($N1368="","",$N1368&amp;"|"&amp;RIGHT("000000"&amp;$R1368,6))</f>
        <v/>
      </c>
      <c r="T1368">
        <f>IF($N1368="","",IF(Sync!$N1368="",0,Sync!$N1368))</f>
        <v/>
      </c>
      <c r="U1368">
        <f>IF($N1368="","",IF(Sync!$O1368="",0,Sync!$O1368))</f>
        <v/>
      </c>
      <c r="V1368">
        <f>IF($N1368="","",Sync!$L1368)</f>
        <v/>
      </c>
      <c r="W1368">
        <f>IF($N1368="","",Sync!$P1368)</f>
        <v/>
      </c>
    </row>
    <row r="1369">
      <c r="N1369">
        <f>IF(OR(Sync!$M1369="",$Q1369="",$Q1369="نامعتبر"),"",Sync!$M1369)</f>
        <v/>
      </c>
      <c r="O1369">
        <f>IF($N1369="","",$Q1369)</f>
        <v/>
      </c>
      <c r="P1369">
        <f>IF($N1369="","",LEFT($Q1369,4)&amp;MID($Q1369,6,2)&amp;RIGHT($Q1369,2)&amp;IF(Sync!$K1369="","0000",IF(AND(ISNUMBER(Sync!$K1369),Sync!$K1369&gt;=0,Sync!$K1369&lt;1),RIGHT("00"&amp;HOUR(Sync!$K1369),2)&amp;RIGHT("00"&amp;MINUTE(Sync!$K1369),2),IFERROR(RIGHT("00"&amp;VALUE(LEFT(Sync!$K1369,FIND(":",Sync!$K1369)-1)),2)&amp;RIGHT("00"&amp;VALUE(MID(Sync!$K1369,FIND(":",Sync!$K1369)+1,2)),2),"0000")))&amp;"|"&amp;"2"&amp;RIGHT("00000"&amp;1364,5))</f>
        <v/>
      </c>
      <c r="Q1369">
        <f>IF(Sync!$J1369="","",IF(ISNUMBER(Sync!$J1369),IF(AND(Sync!$J1369&gt;=10000101,Sync!$J1369&lt;=99991231),INT(Sync!$J1369/10000)&amp;"/"&amp;RIGHT("00"&amp;INT(MOD(Sync!$J1369,10000)/100),2)&amp;"/"&amp;RIGHT("00"&amp;MOD(Sync!$J1369,100),2),"نامعتبر"),IF(LEN(Sync!$J1369)=10,Sync!$J1369,"نامعتبر")))</f>
        <v/>
      </c>
      <c r="R1369">
        <f>IF($P1369="","",COUNTIFS($N$6:$N$2005,$N1369,$P$6:$P$2005,"&lt;"&amp;$P1369)+COUNTIFS($A$6:$A$1005,$N1369,$B$6:$B$1005,"&lt;"&amp;$P1369)+1)</f>
        <v/>
      </c>
      <c r="S1369">
        <f>IF($N1369="","",$N1369&amp;"|"&amp;RIGHT("000000"&amp;$R1369,6))</f>
        <v/>
      </c>
      <c r="T1369">
        <f>IF($N1369="","",IF(Sync!$N1369="",0,Sync!$N1369))</f>
        <v/>
      </c>
      <c r="U1369">
        <f>IF($N1369="","",IF(Sync!$O1369="",0,Sync!$O1369))</f>
        <v/>
      </c>
      <c r="V1369">
        <f>IF($N1369="","",Sync!$L1369)</f>
        <v/>
      </c>
      <c r="W1369">
        <f>IF($N1369="","",Sync!$P1369)</f>
        <v/>
      </c>
    </row>
    <row r="1370">
      <c r="N1370">
        <f>IF(OR(Sync!$M1370="",$Q1370="",$Q1370="نامعتبر"),"",Sync!$M1370)</f>
        <v/>
      </c>
      <c r="O1370">
        <f>IF($N1370="","",$Q1370)</f>
        <v/>
      </c>
      <c r="P1370">
        <f>IF($N1370="","",LEFT($Q1370,4)&amp;MID($Q1370,6,2)&amp;RIGHT($Q1370,2)&amp;IF(Sync!$K1370="","0000",IF(AND(ISNUMBER(Sync!$K1370),Sync!$K1370&gt;=0,Sync!$K1370&lt;1),RIGHT("00"&amp;HOUR(Sync!$K1370),2)&amp;RIGHT("00"&amp;MINUTE(Sync!$K1370),2),IFERROR(RIGHT("00"&amp;VALUE(LEFT(Sync!$K1370,FIND(":",Sync!$K1370)-1)),2)&amp;RIGHT("00"&amp;VALUE(MID(Sync!$K1370,FIND(":",Sync!$K1370)+1,2)),2),"0000")))&amp;"|"&amp;"2"&amp;RIGHT("00000"&amp;1365,5))</f>
        <v/>
      </c>
      <c r="Q1370">
        <f>IF(Sync!$J1370="","",IF(ISNUMBER(Sync!$J1370),IF(AND(Sync!$J1370&gt;=10000101,Sync!$J1370&lt;=99991231),INT(Sync!$J1370/10000)&amp;"/"&amp;RIGHT("00"&amp;INT(MOD(Sync!$J1370,10000)/100),2)&amp;"/"&amp;RIGHT("00"&amp;MOD(Sync!$J1370,100),2),"نامعتبر"),IF(LEN(Sync!$J1370)=10,Sync!$J1370,"نامعتبر")))</f>
        <v/>
      </c>
      <c r="R1370">
        <f>IF($P1370="","",COUNTIFS($N$6:$N$2005,$N1370,$P$6:$P$2005,"&lt;"&amp;$P1370)+COUNTIFS($A$6:$A$1005,$N1370,$B$6:$B$1005,"&lt;"&amp;$P1370)+1)</f>
        <v/>
      </c>
      <c r="S1370">
        <f>IF($N1370="","",$N1370&amp;"|"&amp;RIGHT("000000"&amp;$R1370,6))</f>
        <v/>
      </c>
      <c r="T1370">
        <f>IF($N1370="","",IF(Sync!$N1370="",0,Sync!$N1370))</f>
        <v/>
      </c>
      <c r="U1370">
        <f>IF($N1370="","",IF(Sync!$O1370="",0,Sync!$O1370))</f>
        <v/>
      </c>
      <c r="V1370">
        <f>IF($N1370="","",Sync!$L1370)</f>
        <v/>
      </c>
      <c r="W1370">
        <f>IF($N1370="","",Sync!$P1370)</f>
        <v/>
      </c>
    </row>
    <row r="1371">
      <c r="N1371">
        <f>IF(OR(Sync!$M1371="",$Q1371="",$Q1371="نامعتبر"),"",Sync!$M1371)</f>
        <v/>
      </c>
      <c r="O1371">
        <f>IF($N1371="","",$Q1371)</f>
        <v/>
      </c>
      <c r="P1371">
        <f>IF($N1371="","",LEFT($Q1371,4)&amp;MID($Q1371,6,2)&amp;RIGHT($Q1371,2)&amp;IF(Sync!$K1371="","0000",IF(AND(ISNUMBER(Sync!$K1371),Sync!$K1371&gt;=0,Sync!$K1371&lt;1),RIGHT("00"&amp;HOUR(Sync!$K1371),2)&amp;RIGHT("00"&amp;MINUTE(Sync!$K1371),2),IFERROR(RIGHT("00"&amp;VALUE(LEFT(Sync!$K1371,FIND(":",Sync!$K1371)-1)),2)&amp;RIGHT("00"&amp;VALUE(MID(Sync!$K1371,FIND(":",Sync!$K1371)+1,2)),2),"0000")))&amp;"|"&amp;"2"&amp;RIGHT("00000"&amp;1366,5))</f>
        <v/>
      </c>
      <c r="Q1371">
        <f>IF(Sync!$J1371="","",IF(ISNUMBER(Sync!$J1371),IF(AND(Sync!$J1371&gt;=10000101,Sync!$J1371&lt;=99991231),INT(Sync!$J1371/10000)&amp;"/"&amp;RIGHT("00"&amp;INT(MOD(Sync!$J1371,10000)/100),2)&amp;"/"&amp;RIGHT("00"&amp;MOD(Sync!$J1371,100),2),"نامعتبر"),IF(LEN(Sync!$J1371)=10,Sync!$J1371,"نامعتبر")))</f>
        <v/>
      </c>
      <c r="R1371">
        <f>IF($P1371="","",COUNTIFS($N$6:$N$2005,$N1371,$P$6:$P$2005,"&lt;"&amp;$P1371)+COUNTIFS($A$6:$A$1005,$N1371,$B$6:$B$1005,"&lt;"&amp;$P1371)+1)</f>
        <v/>
      </c>
      <c r="S1371">
        <f>IF($N1371="","",$N1371&amp;"|"&amp;RIGHT("000000"&amp;$R1371,6))</f>
        <v/>
      </c>
      <c r="T1371">
        <f>IF($N1371="","",IF(Sync!$N1371="",0,Sync!$N1371))</f>
        <v/>
      </c>
      <c r="U1371">
        <f>IF($N1371="","",IF(Sync!$O1371="",0,Sync!$O1371))</f>
        <v/>
      </c>
      <c r="V1371">
        <f>IF($N1371="","",Sync!$L1371)</f>
        <v/>
      </c>
      <c r="W1371">
        <f>IF($N1371="","",Sync!$P1371)</f>
        <v/>
      </c>
    </row>
    <row r="1372">
      <c r="N1372">
        <f>IF(OR(Sync!$M1372="",$Q1372="",$Q1372="نامعتبر"),"",Sync!$M1372)</f>
        <v/>
      </c>
      <c r="O1372">
        <f>IF($N1372="","",$Q1372)</f>
        <v/>
      </c>
      <c r="P1372">
        <f>IF($N1372="","",LEFT($Q1372,4)&amp;MID($Q1372,6,2)&amp;RIGHT($Q1372,2)&amp;IF(Sync!$K1372="","0000",IF(AND(ISNUMBER(Sync!$K1372),Sync!$K1372&gt;=0,Sync!$K1372&lt;1),RIGHT("00"&amp;HOUR(Sync!$K1372),2)&amp;RIGHT("00"&amp;MINUTE(Sync!$K1372),2),IFERROR(RIGHT("00"&amp;VALUE(LEFT(Sync!$K1372,FIND(":",Sync!$K1372)-1)),2)&amp;RIGHT("00"&amp;VALUE(MID(Sync!$K1372,FIND(":",Sync!$K1372)+1,2)),2),"0000")))&amp;"|"&amp;"2"&amp;RIGHT("00000"&amp;1367,5))</f>
        <v/>
      </c>
      <c r="Q1372">
        <f>IF(Sync!$J1372="","",IF(ISNUMBER(Sync!$J1372),IF(AND(Sync!$J1372&gt;=10000101,Sync!$J1372&lt;=99991231),INT(Sync!$J1372/10000)&amp;"/"&amp;RIGHT("00"&amp;INT(MOD(Sync!$J1372,10000)/100),2)&amp;"/"&amp;RIGHT("00"&amp;MOD(Sync!$J1372,100),2),"نامعتبر"),IF(LEN(Sync!$J1372)=10,Sync!$J1372,"نامعتبر")))</f>
        <v/>
      </c>
      <c r="R1372">
        <f>IF($P1372="","",COUNTIFS($N$6:$N$2005,$N1372,$P$6:$P$2005,"&lt;"&amp;$P1372)+COUNTIFS($A$6:$A$1005,$N1372,$B$6:$B$1005,"&lt;"&amp;$P1372)+1)</f>
        <v/>
      </c>
      <c r="S1372">
        <f>IF($N1372="","",$N1372&amp;"|"&amp;RIGHT("000000"&amp;$R1372,6))</f>
        <v/>
      </c>
      <c r="T1372">
        <f>IF($N1372="","",IF(Sync!$N1372="",0,Sync!$N1372))</f>
        <v/>
      </c>
      <c r="U1372">
        <f>IF($N1372="","",IF(Sync!$O1372="",0,Sync!$O1372))</f>
        <v/>
      </c>
      <c r="V1372">
        <f>IF($N1372="","",Sync!$L1372)</f>
        <v/>
      </c>
      <c r="W1372">
        <f>IF($N1372="","",Sync!$P1372)</f>
        <v/>
      </c>
    </row>
    <row r="1373">
      <c r="N1373">
        <f>IF(OR(Sync!$M1373="",$Q1373="",$Q1373="نامعتبر"),"",Sync!$M1373)</f>
        <v/>
      </c>
      <c r="O1373">
        <f>IF($N1373="","",$Q1373)</f>
        <v/>
      </c>
      <c r="P1373">
        <f>IF($N1373="","",LEFT($Q1373,4)&amp;MID($Q1373,6,2)&amp;RIGHT($Q1373,2)&amp;IF(Sync!$K1373="","0000",IF(AND(ISNUMBER(Sync!$K1373),Sync!$K1373&gt;=0,Sync!$K1373&lt;1),RIGHT("00"&amp;HOUR(Sync!$K1373),2)&amp;RIGHT("00"&amp;MINUTE(Sync!$K1373),2),IFERROR(RIGHT("00"&amp;VALUE(LEFT(Sync!$K1373,FIND(":",Sync!$K1373)-1)),2)&amp;RIGHT("00"&amp;VALUE(MID(Sync!$K1373,FIND(":",Sync!$K1373)+1,2)),2),"0000")))&amp;"|"&amp;"2"&amp;RIGHT("00000"&amp;1368,5))</f>
        <v/>
      </c>
      <c r="Q1373">
        <f>IF(Sync!$J1373="","",IF(ISNUMBER(Sync!$J1373),IF(AND(Sync!$J1373&gt;=10000101,Sync!$J1373&lt;=99991231),INT(Sync!$J1373/10000)&amp;"/"&amp;RIGHT("00"&amp;INT(MOD(Sync!$J1373,10000)/100),2)&amp;"/"&amp;RIGHT("00"&amp;MOD(Sync!$J1373,100),2),"نامعتبر"),IF(LEN(Sync!$J1373)=10,Sync!$J1373,"نامعتبر")))</f>
        <v/>
      </c>
      <c r="R1373">
        <f>IF($P1373="","",COUNTIFS($N$6:$N$2005,$N1373,$P$6:$P$2005,"&lt;"&amp;$P1373)+COUNTIFS($A$6:$A$1005,$N1373,$B$6:$B$1005,"&lt;"&amp;$P1373)+1)</f>
        <v/>
      </c>
      <c r="S1373">
        <f>IF($N1373="","",$N1373&amp;"|"&amp;RIGHT("000000"&amp;$R1373,6))</f>
        <v/>
      </c>
      <c r="T1373">
        <f>IF($N1373="","",IF(Sync!$N1373="",0,Sync!$N1373))</f>
        <v/>
      </c>
      <c r="U1373">
        <f>IF($N1373="","",IF(Sync!$O1373="",0,Sync!$O1373))</f>
        <v/>
      </c>
      <c r="V1373">
        <f>IF($N1373="","",Sync!$L1373)</f>
        <v/>
      </c>
      <c r="W1373">
        <f>IF($N1373="","",Sync!$P1373)</f>
        <v/>
      </c>
    </row>
    <row r="1374">
      <c r="N1374">
        <f>IF(OR(Sync!$M1374="",$Q1374="",$Q1374="نامعتبر"),"",Sync!$M1374)</f>
        <v/>
      </c>
      <c r="O1374">
        <f>IF($N1374="","",$Q1374)</f>
        <v/>
      </c>
      <c r="P1374">
        <f>IF($N1374="","",LEFT($Q1374,4)&amp;MID($Q1374,6,2)&amp;RIGHT($Q1374,2)&amp;IF(Sync!$K1374="","0000",IF(AND(ISNUMBER(Sync!$K1374),Sync!$K1374&gt;=0,Sync!$K1374&lt;1),RIGHT("00"&amp;HOUR(Sync!$K1374),2)&amp;RIGHT("00"&amp;MINUTE(Sync!$K1374),2),IFERROR(RIGHT("00"&amp;VALUE(LEFT(Sync!$K1374,FIND(":",Sync!$K1374)-1)),2)&amp;RIGHT("00"&amp;VALUE(MID(Sync!$K1374,FIND(":",Sync!$K1374)+1,2)),2),"0000")))&amp;"|"&amp;"2"&amp;RIGHT("00000"&amp;1369,5))</f>
        <v/>
      </c>
      <c r="Q1374">
        <f>IF(Sync!$J1374="","",IF(ISNUMBER(Sync!$J1374),IF(AND(Sync!$J1374&gt;=10000101,Sync!$J1374&lt;=99991231),INT(Sync!$J1374/10000)&amp;"/"&amp;RIGHT("00"&amp;INT(MOD(Sync!$J1374,10000)/100),2)&amp;"/"&amp;RIGHT("00"&amp;MOD(Sync!$J1374,100),2),"نامعتبر"),IF(LEN(Sync!$J1374)=10,Sync!$J1374,"نامعتبر")))</f>
        <v/>
      </c>
      <c r="R1374">
        <f>IF($P1374="","",COUNTIFS($N$6:$N$2005,$N1374,$P$6:$P$2005,"&lt;"&amp;$P1374)+COUNTIFS($A$6:$A$1005,$N1374,$B$6:$B$1005,"&lt;"&amp;$P1374)+1)</f>
        <v/>
      </c>
      <c r="S1374">
        <f>IF($N1374="","",$N1374&amp;"|"&amp;RIGHT("000000"&amp;$R1374,6))</f>
        <v/>
      </c>
      <c r="T1374">
        <f>IF($N1374="","",IF(Sync!$N1374="",0,Sync!$N1374))</f>
        <v/>
      </c>
      <c r="U1374">
        <f>IF($N1374="","",IF(Sync!$O1374="",0,Sync!$O1374))</f>
        <v/>
      </c>
      <c r="V1374">
        <f>IF($N1374="","",Sync!$L1374)</f>
        <v/>
      </c>
      <c r="W1374">
        <f>IF($N1374="","",Sync!$P1374)</f>
        <v/>
      </c>
    </row>
    <row r="1375">
      <c r="N1375">
        <f>IF(OR(Sync!$M1375="",$Q1375="",$Q1375="نامعتبر"),"",Sync!$M1375)</f>
        <v/>
      </c>
      <c r="O1375">
        <f>IF($N1375="","",$Q1375)</f>
        <v/>
      </c>
      <c r="P1375">
        <f>IF($N1375="","",LEFT($Q1375,4)&amp;MID($Q1375,6,2)&amp;RIGHT($Q1375,2)&amp;IF(Sync!$K1375="","0000",IF(AND(ISNUMBER(Sync!$K1375),Sync!$K1375&gt;=0,Sync!$K1375&lt;1),RIGHT("00"&amp;HOUR(Sync!$K1375),2)&amp;RIGHT("00"&amp;MINUTE(Sync!$K1375),2),IFERROR(RIGHT("00"&amp;VALUE(LEFT(Sync!$K1375,FIND(":",Sync!$K1375)-1)),2)&amp;RIGHT("00"&amp;VALUE(MID(Sync!$K1375,FIND(":",Sync!$K1375)+1,2)),2),"0000")))&amp;"|"&amp;"2"&amp;RIGHT("00000"&amp;1370,5))</f>
        <v/>
      </c>
      <c r="Q1375">
        <f>IF(Sync!$J1375="","",IF(ISNUMBER(Sync!$J1375),IF(AND(Sync!$J1375&gt;=10000101,Sync!$J1375&lt;=99991231),INT(Sync!$J1375/10000)&amp;"/"&amp;RIGHT("00"&amp;INT(MOD(Sync!$J1375,10000)/100),2)&amp;"/"&amp;RIGHT("00"&amp;MOD(Sync!$J1375,100),2),"نامعتبر"),IF(LEN(Sync!$J1375)=10,Sync!$J1375,"نامعتبر")))</f>
        <v/>
      </c>
      <c r="R1375">
        <f>IF($P1375="","",COUNTIFS($N$6:$N$2005,$N1375,$P$6:$P$2005,"&lt;"&amp;$P1375)+COUNTIFS($A$6:$A$1005,$N1375,$B$6:$B$1005,"&lt;"&amp;$P1375)+1)</f>
        <v/>
      </c>
      <c r="S1375">
        <f>IF($N1375="","",$N1375&amp;"|"&amp;RIGHT("000000"&amp;$R1375,6))</f>
        <v/>
      </c>
      <c r="T1375">
        <f>IF($N1375="","",IF(Sync!$N1375="",0,Sync!$N1375))</f>
        <v/>
      </c>
      <c r="U1375">
        <f>IF($N1375="","",IF(Sync!$O1375="",0,Sync!$O1375))</f>
        <v/>
      </c>
      <c r="V1375">
        <f>IF($N1375="","",Sync!$L1375)</f>
        <v/>
      </c>
      <c r="W1375">
        <f>IF($N1375="","",Sync!$P1375)</f>
        <v/>
      </c>
    </row>
    <row r="1376">
      <c r="N1376">
        <f>IF(OR(Sync!$M1376="",$Q1376="",$Q1376="نامعتبر"),"",Sync!$M1376)</f>
        <v/>
      </c>
      <c r="O1376">
        <f>IF($N1376="","",$Q1376)</f>
        <v/>
      </c>
      <c r="P1376">
        <f>IF($N1376="","",LEFT($Q1376,4)&amp;MID($Q1376,6,2)&amp;RIGHT($Q1376,2)&amp;IF(Sync!$K1376="","0000",IF(AND(ISNUMBER(Sync!$K1376),Sync!$K1376&gt;=0,Sync!$K1376&lt;1),RIGHT("00"&amp;HOUR(Sync!$K1376),2)&amp;RIGHT("00"&amp;MINUTE(Sync!$K1376),2),IFERROR(RIGHT("00"&amp;VALUE(LEFT(Sync!$K1376,FIND(":",Sync!$K1376)-1)),2)&amp;RIGHT("00"&amp;VALUE(MID(Sync!$K1376,FIND(":",Sync!$K1376)+1,2)),2),"0000")))&amp;"|"&amp;"2"&amp;RIGHT("00000"&amp;1371,5))</f>
        <v/>
      </c>
      <c r="Q1376">
        <f>IF(Sync!$J1376="","",IF(ISNUMBER(Sync!$J1376),IF(AND(Sync!$J1376&gt;=10000101,Sync!$J1376&lt;=99991231),INT(Sync!$J1376/10000)&amp;"/"&amp;RIGHT("00"&amp;INT(MOD(Sync!$J1376,10000)/100),2)&amp;"/"&amp;RIGHT("00"&amp;MOD(Sync!$J1376,100),2),"نامعتبر"),IF(LEN(Sync!$J1376)=10,Sync!$J1376,"نامعتبر")))</f>
        <v/>
      </c>
      <c r="R1376">
        <f>IF($P1376="","",COUNTIFS($N$6:$N$2005,$N1376,$P$6:$P$2005,"&lt;"&amp;$P1376)+COUNTIFS($A$6:$A$1005,$N1376,$B$6:$B$1005,"&lt;"&amp;$P1376)+1)</f>
        <v/>
      </c>
      <c r="S1376">
        <f>IF($N1376="","",$N1376&amp;"|"&amp;RIGHT("000000"&amp;$R1376,6))</f>
        <v/>
      </c>
      <c r="T1376">
        <f>IF($N1376="","",IF(Sync!$N1376="",0,Sync!$N1376))</f>
        <v/>
      </c>
      <c r="U1376">
        <f>IF($N1376="","",IF(Sync!$O1376="",0,Sync!$O1376))</f>
        <v/>
      </c>
      <c r="V1376">
        <f>IF($N1376="","",Sync!$L1376)</f>
        <v/>
      </c>
      <c r="W1376">
        <f>IF($N1376="","",Sync!$P1376)</f>
        <v/>
      </c>
    </row>
    <row r="1377">
      <c r="N1377">
        <f>IF(OR(Sync!$M1377="",$Q1377="",$Q1377="نامعتبر"),"",Sync!$M1377)</f>
        <v/>
      </c>
      <c r="O1377">
        <f>IF($N1377="","",$Q1377)</f>
        <v/>
      </c>
      <c r="P1377">
        <f>IF($N1377="","",LEFT($Q1377,4)&amp;MID($Q1377,6,2)&amp;RIGHT($Q1377,2)&amp;IF(Sync!$K1377="","0000",IF(AND(ISNUMBER(Sync!$K1377),Sync!$K1377&gt;=0,Sync!$K1377&lt;1),RIGHT("00"&amp;HOUR(Sync!$K1377),2)&amp;RIGHT("00"&amp;MINUTE(Sync!$K1377),2),IFERROR(RIGHT("00"&amp;VALUE(LEFT(Sync!$K1377,FIND(":",Sync!$K1377)-1)),2)&amp;RIGHT("00"&amp;VALUE(MID(Sync!$K1377,FIND(":",Sync!$K1377)+1,2)),2),"0000")))&amp;"|"&amp;"2"&amp;RIGHT("00000"&amp;1372,5))</f>
        <v/>
      </c>
      <c r="Q1377">
        <f>IF(Sync!$J1377="","",IF(ISNUMBER(Sync!$J1377),IF(AND(Sync!$J1377&gt;=10000101,Sync!$J1377&lt;=99991231),INT(Sync!$J1377/10000)&amp;"/"&amp;RIGHT("00"&amp;INT(MOD(Sync!$J1377,10000)/100),2)&amp;"/"&amp;RIGHT("00"&amp;MOD(Sync!$J1377,100),2),"نامعتبر"),IF(LEN(Sync!$J1377)=10,Sync!$J1377,"نامعتبر")))</f>
        <v/>
      </c>
      <c r="R1377">
        <f>IF($P1377="","",COUNTIFS($N$6:$N$2005,$N1377,$P$6:$P$2005,"&lt;"&amp;$P1377)+COUNTIFS($A$6:$A$1005,$N1377,$B$6:$B$1005,"&lt;"&amp;$P1377)+1)</f>
        <v/>
      </c>
      <c r="S1377">
        <f>IF($N1377="","",$N1377&amp;"|"&amp;RIGHT("000000"&amp;$R1377,6))</f>
        <v/>
      </c>
      <c r="T1377">
        <f>IF($N1377="","",IF(Sync!$N1377="",0,Sync!$N1377))</f>
        <v/>
      </c>
      <c r="U1377">
        <f>IF($N1377="","",IF(Sync!$O1377="",0,Sync!$O1377))</f>
        <v/>
      </c>
      <c r="V1377">
        <f>IF($N1377="","",Sync!$L1377)</f>
        <v/>
      </c>
      <c r="W1377">
        <f>IF($N1377="","",Sync!$P1377)</f>
        <v/>
      </c>
    </row>
    <row r="1378">
      <c r="N1378">
        <f>IF(OR(Sync!$M1378="",$Q1378="",$Q1378="نامعتبر"),"",Sync!$M1378)</f>
        <v/>
      </c>
      <c r="O1378">
        <f>IF($N1378="","",$Q1378)</f>
        <v/>
      </c>
      <c r="P1378">
        <f>IF($N1378="","",LEFT($Q1378,4)&amp;MID($Q1378,6,2)&amp;RIGHT($Q1378,2)&amp;IF(Sync!$K1378="","0000",IF(AND(ISNUMBER(Sync!$K1378),Sync!$K1378&gt;=0,Sync!$K1378&lt;1),RIGHT("00"&amp;HOUR(Sync!$K1378),2)&amp;RIGHT("00"&amp;MINUTE(Sync!$K1378),2),IFERROR(RIGHT("00"&amp;VALUE(LEFT(Sync!$K1378,FIND(":",Sync!$K1378)-1)),2)&amp;RIGHT("00"&amp;VALUE(MID(Sync!$K1378,FIND(":",Sync!$K1378)+1,2)),2),"0000")))&amp;"|"&amp;"2"&amp;RIGHT("00000"&amp;1373,5))</f>
        <v/>
      </c>
      <c r="Q1378">
        <f>IF(Sync!$J1378="","",IF(ISNUMBER(Sync!$J1378),IF(AND(Sync!$J1378&gt;=10000101,Sync!$J1378&lt;=99991231),INT(Sync!$J1378/10000)&amp;"/"&amp;RIGHT("00"&amp;INT(MOD(Sync!$J1378,10000)/100),2)&amp;"/"&amp;RIGHT("00"&amp;MOD(Sync!$J1378,100),2),"نامعتبر"),IF(LEN(Sync!$J1378)=10,Sync!$J1378,"نامعتبر")))</f>
        <v/>
      </c>
      <c r="R1378">
        <f>IF($P1378="","",COUNTIFS($N$6:$N$2005,$N1378,$P$6:$P$2005,"&lt;"&amp;$P1378)+COUNTIFS($A$6:$A$1005,$N1378,$B$6:$B$1005,"&lt;"&amp;$P1378)+1)</f>
        <v/>
      </c>
      <c r="S1378">
        <f>IF($N1378="","",$N1378&amp;"|"&amp;RIGHT("000000"&amp;$R1378,6))</f>
        <v/>
      </c>
      <c r="T1378">
        <f>IF($N1378="","",IF(Sync!$N1378="",0,Sync!$N1378))</f>
        <v/>
      </c>
      <c r="U1378">
        <f>IF($N1378="","",IF(Sync!$O1378="",0,Sync!$O1378))</f>
        <v/>
      </c>
      <c r="V1378">
        <f>IF($N1378="","",Sync!$L1378)</f>
        <v/>
      </c>
      <c r="W1378">
        <f>IF($N1378="","",Sync!$P1378)</f>
        <v/>
      </c>
    </row>
    <row r="1379">
      <c r="N1379">
        <f>IF(OR(Sync!$M1379="",$Q1379="",$Q1379="نامعتبر"),"",Sync!$M1379)</f>
        <v/>
      </c>
      <c r="O1379">
        <f>IF($N1379="","",$Q1379)</f>
        <v/>
      </c>
      <c r="P1379">
        <f>IF($N1379="","",LEFT($Q1379,4)&amp;MID($Q1379,6,2)&amp;RIGHT($Q1379,2)&amp;IF(Sync!$K1379="","0000",IF(AND(ISNUMBER(Sync!$K1379),Sync!$K1379&gt;=0,Sync!$K1379&lt;1),RIGHT("00"&amp;HOUR(Sync!$K1379),2)&amp;RIGHT("00"&amp;MINUTE(Sync!$K1379),2),IFERROR(RIGHT("00"&amp;VALUE(LEFT(Sync!$K1379,FIND(":",Sync!$K1379)-1)),2)&amp;RIGHT("00"&amp;VALUE(MID(Sync!$K1379,FIND(":",Sync!$K1379)+1,2)),2),"0000")))&amp;"|"&amp;"2"&amp;RIGHT("00000"&amp;1374,5))</f>
        <v/>
      </c>
      <c r="Q1379">
        <f>IF(Sync!$J1379="","",IF(ISNUMBER(Sync!$J1379),IF(AND(Sync!$J1379&gt;=10000101,Sync!$J1379&lt;=99991231),INT(Sync!$J1379/10000)&amp;"/"&amp;RIGHT("00"&amp;INT(MOD(Sync!$J1379,10000)/100),2)&amp;"/"&amp;RIGHT("00"&amp;MOD(Sync!$J1379,100),2),"نامعتبر"),IF(LEN(Sync!$J1379)=10,Sync!$J1379,"نامعتبر")))</f>
        <v/>
      </c>
      <c r="R1379">
        <f>IF($P1379="","",COUNTIFS($N$6:$N$2005,$N1379,$P$6:$P$2005,"&lt;"&amp;$P1379)+COUNTIFS($A$6:$A$1005,$N1379,$B$6:$B$1005,"&lt;"&amp;$P1379)+1)</f>
        <v/>
      </c>
      <c r="S1379">
        <f>IF($N1379="","",$N1379&amp;"|"&amp;RIGHT("000000"&amp;$R1379,6))</f>
        <v/>
      </c>
      <c r="T1379">
        <f>IF($N1379="","",IF(Sync!$N1379="",0,Sync!$N1379))</f>
        <v/>
      </c>
      <c r="U1379">
        <f>IF($N1379="","",IF(Sync!$O1379="",0,Sync!$O1379))</f>
        <v/>
      </c>
      <c r="V1379">
        <f>IF($N1379="","",Sync!$L1379)</f>
        <v/>
      </c>
      <c r="W1379">
        <f>IF($N1379="","",Sync!$P1379)</f>
        <v/>
      </c>
    </row>
    <row r="1380">
      <c r="N1380">
        <f>IF(OR(Sync!$M1380="",$Q1380="",$Q1380="نامعتبر"),"",Sync!$M1380)</f>
        <v/>
      </c>
      <c r="O1380">
        <f>IF($N1380="","",$Q1380)</f>
        <v/>
      </c>
      <c r="P1380">
        <f>IF($N1380="","",LEFT($Q1380,4)&amp;MID($Q1380,6,2)&amp;RIGHT($Q1380,2)&amp;IF(Sync!$K1380="","0000",IF(AND(ISNUMBER(Sync!$K1380),Sync!$K1380&gt;=0,Sync!$K1380&lt;1),RIGHT("00"&amp;HOUR(Sync!$K1380),2)&amp;RIGHT("00"&amp;MINUTE(Sync!$K1380),2),IFERROR(RIGHT("00"&amp;VALUE(LEFT(Sync!$K1380,FIND(":",Sync!$K1380)-1)),2)&amp;RIGHT("00"&amp;VALUE(MID(Sync!$K1380,FIND(":",Sync!$K1380)+1,2)),2),"0000")))&amp;"|"&amp;"2"&amp;RIGHT("00000"&amp;1375,5))</f>
        <v/>
      </c>
      <c r="Q1380">
        <f>IF(Sync!$J1380="","",IF(ISNUMBER(Sync!$J1380),IF(AND(Sync!$J1380&gt;=10000101,Sync!$J1380&lt;=99991231),INT(Sync!$J1380/10000)&amp;"/"&amp;RIGHT("00"&amp;INT(MOD(Sync!$J1380,10000)/100),2)&amp;"/"&amp;RIGHT("00"&amp;MOD(Sync!$J1380,100),2),"نامعتبر"),IF(LEN(Sync!$J1380)=10,Sync!$J1380,"نامعتبر")))</f>
        <v/>
      </c>
      <c r="R1380">
        <f>IF($P1380="","",COUNTIFS($N$6:$N$2005,$N1380,$P$6:$P$2005,"&lt;"&amp;$P1380)+COUNTIFS($A$6:$A$1005,$N1380,$B$6:$B$1005,"&lt;"&amp;$P1380)+1)</f>
        <v/>
      </c>
      <c r="S1380">
        <f>IF($N1380="","",$N1380&amp;"|"&amp;RIGHT("000000"&amp;$R1380,6))</f>
        <v/>
      </c>
      <c r="T1380">
        <f>IF($N1380="","",IF(Sync!$N1380="",0,Sync!$N1380))</f>
        <v/>
      </c>
      <c r="U1380">
        <f>IF($N1380="","",IF(Sync!$O1380="",0,Sync!$O1380))</f>
        <v/>
      </c>
      <c r="V1380">
        <f>IF($N1380="","",Sync!$L1380)</f>
        <v/>
      </c>
      <c r="W1380">
        <f>IF($N1380="","",Sync!$P1380)</f>
        <v/>
      </c>
    </row>
    <row r="1381">
      <c r="N1381">
        <f>IF(OR(Sync!$M1381="",$Q1381="",$Q1381="نامعتبر"),"",Sync!$M1381)</f>
        <v/>
      </c>
      <c r="O1381">
        <f>IF($N1381="","",$Q1381)</f>
        <v/>
      </c>
      <c r="P1381">
        <f>IF($N1381="","",LEFT($Q1381,4)&amp;MID($Q1381,6,2)&amp;RIGHT($Q1381,2)&amp;IF(Sync!$K1381="","0000",IF(AND(ISNUMBER(Sync!$K1381),Sync!$K1381&gt;=0,Sync!$K1381&lt;1),RIGHT("00"&amp;HOUR(Sync!$K1381),2)&amp;RIGHT("00"&amp;MINUTE(Sync!$K1381),2),IFERROR(RIGHT("00"&amp;VALUE(LEFT(Sync!$K1381,FIND(":",Sync!$K1381)-1)),2)&amp;RIGHT("00"&amp;VALUE(MID(Sync!$K1381,FIND(":",Sync!$K1381)+1,2)),2),"0000")))&amp;"|"&amp;"2"&amp;RIGHT("00000"&amp;1376,5))</f>
        <v/>
      </c>
      <c r="Q1381">
        <f>IF(Sync!$J1381="","",IF(ISNUMBER(Sync!$J1381),IF(AND(Sync!$J1381&gt;=10000101,Sync!$J1381&lt;=99991231),INT(Sync!$J1381/10000)&amp;"/"&amp;RIGHT("00"&amp;INT(MOD(Sync!$J1381,10000)/100),2)&amp;"/"&amp;RIGHT("00"&amp;MOD(Sync!$J1381,100),2),"نامعتبر"),IF(LEN(Sync!$J1381)=10,Sync!$J1381,"نامعتبر")))</f>
        <v/>
      </c>
      <c r="R1381">
        <f>IF($P1381="","",COUNTIFS($N$6:$N$2005,$N1381,$P$6:$P$2005,"&lt;"&amp;$P1381)+COUNTIFS($A$6:$A$1005,$N1381,$B$6:$B$1005,"&lt;"&amp;$P1381)+1)</f>
        <v/>
      </c>
      <c r="S1381">
        <f>IF($N1381="","",$N1381&amp;"|"&amp;RIGHT("000000"&amp;$R1381,6))</f>
        <v/>
      </c>
      <c r="T1381">
        <f>IF($N1381="","",IF(Sync!$N1381="",0,Sync!$N1381))</f>
        <v/>
      </c>
      <c r="U1381">
        <f>IF($N1381="","",IF(Sync!$O1381="",0,Sync!$O1381))</f>
        <v/>
      </c>
      <c r="V1381">
        <f>IF($N1381="","",Sync!$L1381)</f>
        <v/>
      </c>
      <c r="W1381">
        <f>IF($N1381="","",Sync!$P1381)</f>
        <v/>
      </c>
    </row>
    <row r="1382">
      <c r="N1382">
        <f>IF(OR(Sync!$M1382="",$Q1382="",$Q1382="نامعتبر"),"",Sync!$M1382)</f>
        <v/>
      </c>
      <c r="O1382">
        <f>IF($N1382="","",$Q1382)</f>
        <v/>
      </c>
      <c r="P1382">
        <f>IF($N1382="","",LEFT($Q1382,4)&amp;MID($Q1382,6,2)&amp;RIGHT($Q1382,2)&amp;IF(Sync!$K1382="","0000",IF(AND(ISNUMBER(Sync!$K1382),Sync!$K1382&gt;=0,Sync!$K1382&lt;1),RIGHT("00"&amp;HOUR(Sync!$K1382),2)&amp;RIGHT("00"&amp;MINUTE(Sync!$K1382),2),IFERROR(RIGHT("00"&amp;VALUE(LEFT(Sync!$K1382,FIND(":",Sync!$K1382)-1)),2)&amp;RIGHT("00"&amp;VALUE(MID(Sync!$K1382,FIND(":",Sync!$K1382)+1,2)),2),"0000")))&amp;"|"&amp;"2"&amp;RIGHT("00000"&amp;1377,5))</f>
        <v/>
      </c>
      <c r="Q1382">
        <f>IF(Sync!$J1382="","",IF(ISNUMBER(Sync!$J1382),IF(AND(Sync!$J1382&gt;=10000101,Sync!$J1382&lt;=99991231),INT(Sync!$J1382/10000)&amp;"/"&amp;RIGHT("00"&amp;INT(MOD(Sync!$J1382,10000)/100),2)&amp;"/"&amp;RIGHT("00"&amp;MOD(Sync!$J1382,100),2),"نامعتبر"),IF(LEN(Sync!$J1382)=10,Sync!$J1382,"نامعتبر")))</f>
        <v/>
      </c>
      <c r="R1382">
        <f>IF($P1382="","",COUNTIFS($N$6:$N$2005,$N1382,$P$6:$P$2005,"&lt;"&amp;$P1382)+COUNTIFS($A$6:$A$1005,$N1382,$B$6:$B$1005,"&lt;"&amp;$P1382)+1)</f>
        <v/>
      </c>
      <c r="S1382">
        <f>IF($N1382="","",$N1382&amp;"|"&amp;RIGHT("000000"&amp;$R1382,6))</f>
        <v/>
      </c>
      <c r="T1382">
        <f>IF($N1382="","",IF(Sync!$N1382="",0,Sync!$N1382))</f>
        <v/>
      </c>
      <c r="U1382">
        <f>IF($N1382="","",IF(Sync!$O1382="",0,Sync!$O1382))</f>
        <v/>
      </c>
      <c r="V1382">
        <f>IF($N1382="","",Sync!$L1382)</f>
        <v/>
      </c>
      <c r="W1382">
        <f>IF($N1382="","",Sync!$P1382)</f>
        <v/>
      </c>
    </row>
    <row r="1383">
      <c r="N1383">
        <f>IF(OR(Sync!$M1383="",$Q1383="",$Q1383="نامعتبر"),"",Sync!$M1383)</f>
        <v/>
      </c>
      <c r="O1383">
        <f>IF($N1383="","",$Q1383)</f>
        <v/>
      </c>
      <c r="P1383">
        <f>IF($N1383="","",LEFT($Q1383,4)&amp;MID($Q1383,6,2)&amp;RIGHT($Q1383,2)&amp;IF(Sync!$K1383="","0000",IF(AND(ISNUMBER(Sync!$K1383),Sync!$K1383&gt;=0,Sync!$K1383&lt;1),RIGHT("00"&amp;HOUR(Sync!$K1383),2)&amp;RIGHT("00"&amp;MINUTE(Sync!$K1383),2),IFERROR(RIGHT("00"&amp;VALUE(LEFT(Sync!$K1383,FIND(":",Sync!$K1383)-1)),2)&amp;RIGHT("00"&amp;VALUE(MID(Sync!$K1383,FIND(":",Sync!$K1383)+1,2)),2),"0000")))&amp;"|"&amp;"2"&amp;RIGHT("00000"&amp;1378,5))</f>
        <v/>
      </c>
      <c r="Q1383">
        <f>IF(Sync!$J1383="","",IF(ISNUMBER(Sync!$J1383),IF(AND(Sync!$J1383&gt;=10000101,Sync!$J1383&lt;=99991231),INT(Sync!$J1383/10000)&amp;"/"&amp;RIGHT("00"&amp;INT(MOD(Sync!$J1383,10000)/100),2)&amp;"/"&amp;RIGHT("00"&amp;MOD(Sync!$J1383,100),2),"نامعتبر"),IF(LEN(Sync!$J1383)=10,Sync!$J1383,"نامعتبر")))</f>
        <v/>
      </c>
      <c r="R1383">
        <f>IF($P1383="","",COUNTIFS($N$6:$N$2005,$N1383,$P$6:$P$2005,"&lt;"&amp;$P1383)+COUNTIFS($A$6:$A$1005,$N1383,$B$6:$B$1005,"&lt;"&amp;$P1383)+1)</f>
        <v/>
      </c>
      <c r="S1383">
        <f>IF($N1383="","",$N1383&amp;"|"&amp;RIGHT("000000"&amp;$R1383,6))</f>
        <v/>
      </c>
      <c r="T1383">
        <f>IF($N1383="","",IF(Sync!$N1383="",0,Sync!$N1383))</f>
        <v/>
      </c>
      <c r="U1383">
        <f>IF($N1383="","",IF(Sync!$O1383="",0,Sync!$O1383))</f>
        <v/>
      </c>
      <c r="V1383">
        <f>IF($N1383="","",Sync!$L1383)</f>
        <v/>
      </c>
      <c r="W1383">
        <f>IF($N1383="","",Sync!$P1383)</f>
        <v/>
      </c>
    </row>
    <row r="1384">
      <c r="N1384">
        <f>IF(OR(Sync!$M1384="",$Q1384="",$Q1384="نامعتبر"),"",Sync!$M1384)</f>
        <v/>
      </c>
      <c r="O1384">
        <f>IF($N1384="","",$Q1384)</f>
        <v/>
      </c>
      <c r="P1384">
        <f>IF($N1384="","",LEFT($Q1384,4)&amp;MID($Q1384,6,2)&amp;RIGHT($Q1384,2)&amp;IF(Sync!$K1384="","0000",IF(AND(ISNUMBER(Sync!$K1384),Sync!$K1384&gt;=0,Sync!$K1384&lt;1),RIGHT("00"&amp;HOUR(Sync!$K1384),2)&amp;RIGHT("00"&amp;MINUTE(Sync!$K1384),2),IFERROR(RIGHT("00"&amp;VALUE(LEFT(Sync!$K1384,FIND(":",Sync!$K1384)-1)),2)&amp;RIGHT("00"&amp;VALUE(MID(Sync!$K1384,FIND(":",Sync!$K1384)+1,2)),2),"0000")))&amp;"|"&amp;"2"&amp;RIGHT("00000"&amp;1379,5))</f>
        <v/>
      </c>
      <c r="Q1384">
        <f>IF(Sync!$J1384="","",IF(ISNUMBER(Sync!$J1384),IF(AND(Sync!$J1384&gt;=10000101,Sync!$J1384&lt;=99991231),INT(Sync!$J1384/10000)&amp;"/"&amp;RIGHT("00"&amp;INT(MOD(Sync!$J1384,10000)/100),2)&amp;"/"&amp;RIGHT("00"&amp;MOD(Sync!$J1384,100),2),"نامعتبر"),IF(LEN(Sync!$J1384)=10,Sync!$J1384,"نامعتبر")))</f>
        <v/>
      </c>
      <c r="R1384">
        <f>IF($P1384="","",COUNTIFS($N$6:$N$2005,$N1384,$P$6:$P$2005,"&lt;"&amp;$P1384)+COUNTIFS($A$6:$A$1005,$N1384,$B$6:$B$1005,"&lt;"&amp;$P1384)+1)</f>
        <v/>
      </c>
      <c r="S1384">
        <f>IF($N1384="","",$N1384&amp;"|"&amp;RIGHT("000000"&amp;$R1384,6))</f>
        <v/>
      </c>
      <c r="T1384">
        <f>IF($N1384="","",IF(Sync!$N1384="",0,Sync!$N1384))</f>
        <v/>
      </c>
      <c r="U1384">
        <f>IF($N1384="","",IF(Sync!$O1384="",0,Sync!$O1384))</f>
        <v/>
      </c>
      <c r="V1384">
        <f>IF($N1384="","",Sync!$L1384)</f>
        <v/>
      </c>
      <c r="W1384">
        <f>IF($N1384="","",Sync!$P1384)</f>
        <v/>
      </c>
    </row>
    <row r="1385">
      <c r="N1385">
        <f>IF(OR(Sync!$M1385="",$Q1385="",$Q1385="نامعتبر"),"",Sync!$M1385)</f>
        <v/>
      </c>
      <c r="O1385">
        <f>IF($N1385="","",$Q1385)</f>
        <v/>
      </c>
      <c r="P1385">
        <f>IF($N1385="","",LEFT($Q1385,4)&amp;MID($Q1385,6,2)&amp;RIGHT($Q1385,2)&amp;IF(Sync!$K1385="","0000",IF(AND(ISNUMBER(Sync!$K1385),Sync!$K1385&gt;=0,Sync!$K1385&lt;1),RIGHT("00"&amp;HOUR(Sync!$K1385),2)&amp;RIGHT("00"&amp;MINUTE(Sync!$K1385),2),IFERROR(RIGHT("00"&amp;VALUE(LEFT(Sync!$K1385,FIND(":",Sync!$K1385)-1)),2)&amp;RIGHT("00"&amp;VALUE(MID(Sync!$K1385,FIND(":",Sync!$K1385)+1,2)),2),"0000")))&amp;"|"&amp;"2"&amp;RIGHT("00000"&amp;1380,5))</f>
        <v/>
      </c>
      <c r="Q1385">
        <f>IF(Sync!$J1385="","",IF(ISNUMBER(Sync!$J1385),IF(AND(Sync!$J1385&gt;=10000101,Sync!$J1385&lt;=99991231),INT(Sync!$J1385/10000)&amp;"/"&amp;RIGHT("00"&amp;INT(MOD(Sync!$J1385,10000)/100),2)&amp;"/"&amp;RIGHT("00"&amp;MOD(Sync!$J1385,100),2),"نامعتبر"),IF(LEN(Sync!$J1385)=10,Sync!$J1385,"نامعتبر")))</f>
        <v/>
      </c>
      <c r="R1385">
        <f>IF($P1385="","",COUNTIFS($N$6:$N$2005,$N1385,$P$6:$P$2005,"&lt;"&amp;$P1385)+COUNTIFS($A$6:$A$1005,$N1385,$B$6:$B$1005,"&lt;"&amp;$P1385)+1)</f>
        <v/>
      </c>
      <c r="S1385">
        <f>IF($N1385="","",$N1385&amp;"|"&amp;RIGHT("000000"&amp;$R1385,6))</f>
        <v/>
      </c>
      <c r="T1385">
        <f>IF($N1385="","",IF(Sync!$N1385="",0,Sync!$N1385))</f>
        <v/>
      </c>
      <c r="U1385">
        <f>IF($N1385="","",IF(Sync!$O1385="",0,Sync!$O1385))</f>
        <v/>
      </c>
      <c r="V1385">
        <f>IF($N1385="","",Sync!$L1385)</f>
        <v/>
      </c>
      <c r="W1385">
        <f>IF($N1385="","",Sync!$P1385)</f>
        <v/>
      </c>
    </row>
    <row r="1386">
      <c r="N1386">
        <f>IF(OR(Sync!$M1386="",$Q1386="",$Q1386="نامعتبر"),"",Sync!$M1386)</f>
        <v/>
      </c>
      <c r="O1386">
        <f>IF($N1386="","",$Q1386)</f>
        <v/>
      </c>
      <c r="P1386">
        <f>IF($N1386="","",LEFT($Q1386,4)&amp;MID($Q1386,6,2)&amp;RIGHT($Q1386,2)&amp;IF(Sync!$K1386="","0000",IF(AND(ISNUMBER(Sync!$K1386),Sync!$K1386&gt;=0,Sync!$K1386&lt;1),RIGHT("00"&amp;HOUR(Sync!$K1386),2)&amp;RIGHT("00"&amp;MINUTE(Sync!$K1386),2),IFERROR(RIGHT("00"&amp;VALUE(LEFT(Sync!$K1386,FIND(":",Sync!$K1386)-1)),2)&amp;RIGHT("00"&amp;VALUE(MID(Sync!$K1386,FIND(":",Sync!$K1386)+1,2)),2),"0000")))&amp;"|"&amp;"2"&amp;RIGHT("00000"&amp;1381,5))</f>
        <v/>
      </c>
      <c r="Q1386">
        <f>IF(Sync!$J1386="","",IF(ISNUMBER(Sync!$J1386),IF(AND(Sync!$J1386&gt;=10000101,Sync!$J1386&lt;=99991231),INT(Sync!$J1386/10000)&amp;"/"&amp;RIGHT("00"&amp;INT(MOD(Sync!$J1386,10000)/100),2)&amp;"/"&amp;RIGHT("00"&amp;MOD(Sync!$J1386,100),2),"نامعتبر"),IF(LEN(Sync!$J1386)=10,Sync!$J1386,"نامعتبر")))</f>
        <v/>
      </c>
      <c r="R1386">
        <f>IF($P1386="","",COUNTIFS($N$6:$N$2005,$N1386,$P$6:$P$2005,"&lt;"&amp;$P1386)+COUNTIFS($A$6:$A$1005,$N1386,$B$6:$B$1005,"&lt;"&amp;$P1386)+1)</f>
        <v/>
      </c>
      <c r="S1386">
        <f>IF($N1386="","",$N1386&amp;"|"&amp;RIGHT("000000"&amp;$R1386,6))</f>
        <v/>
      </c>
      <c r="T1386">
        <f>IF($N1386="","",IF(Sync!$N1386="",0,Sync!$N1386))</f>
        <v/>
      </c>
      <c r="U1386">
        <f>IF($N1386="","",IF(Sync!$O1386="",0,Sync!$O1386))</f>
        <v/>
      </c>
      <c r="V1386">
        <f>IF($N1386="","",Sync!$L1386)</f>
        <v/>
      </c>
      <c r="W1386">
        <f>IF($N1386="","",Sync!$P1386)</f>
        <v/>
      </c>
    </row>
    <row r="1387">
      <c r="N1387">
        <f>IF(OR(Sync!$M1387="",$Q1387="",$Q1387="نامعتبر"),"",Sync!$M1387)</f>
        <v/>
      </c>
      <c r="O1387">
        <f>IF($N1387="","",$Q1387)</f>
        <v/>
      </c>
      <c r="P1387">
        <f>IF($N1387="","",LEFT($Q1387,4)&amp;MID($Q1387,6,2)&amp;RIGHT($Q1387,2)&amp;IF(Sync!$K1387="","0000",IF(AND(ISNUMBER(Sync!$K1387),Sync!$K1387&gt;=0,Sync!$K1387&lt;1),RIGHT("00"&amp;HOUR(Sync!$K1387),2)&amp;RIGHT("00"&amp;MINUTE(Sync!$K1387),2),IFERROR(RIGHT("00"&amp;VALUE(LEFT(Sync!$K1387,FIND(":",Sync!$K1387)-1)),2)&amp;RIGHT("00"&amp;VALUE(MID(Sync!$K1387,FIND(":",Sync!$K1387)+1,2)),2),"0000")))&amp;"|"&amp;"2"&amp;RIGHT("00000"&amp;1382,5))</f>
        <v/>
      </c>
      <c r="Q1387">
        <f>IF(Sync!$J1387="","",IF(ISNUMBER(Sync!$J1387),IF(AND(Sync!$J1387&gt;=10000101,Sync!$J1387&lt;=99991231),INT(Sync!$J1387/10000)&amp;"/"&amp;RIGHT("00"&amp;INT(MOD(Sync!$J1387,10000)/100),2)&amp;"/"&amp;RIGHT("00"&amp;MOD(Sync!$J1387,100),2),"نامعتبر"),IF(LEN(Sync!$J1387)=10,Sync!$J1387,"نامعتبر")))</f>
        <v/>
      </c>
      <c r="R1387">
        <f>IF($P1387="","",COUNTIFS($N$6:$N$2005,$N1387,$P$6:$P$2005,"&lt;"&amp;$P1387)+COUNTIFS($A$6:$A$1005,$N1387,$B$6:$B$1005,"&lt;"&amp;$P1387)+1)</f>
        <v/>
      </c>
      <c r="S1387">
        <f>IF($N1387="","",$N1387&amp;"|"&amp;RIGHT("000000"&amp;$R1387,6))</f>
        <v/>
      </c>
      <c r="T1387">
        <f>IF($N1387="","",IF(Sync!$N1387="",0,Sync!$N1387))</f>
        <v/>
      </c>
      <c r="U1387">
        <f>IF($N1387="","",IF(Sync!$O1387="",0,Sync!$O1387))</f>
        <v/>
      </c>
      <c r="V1387">
        <f>IF($N1387="","",Sync!$L1387)</f>
        <v/>
      </c>
      <c r="W1387">
        <f>IF($N1387="","",Sync!$P1387)</f>
        <v/>
      </c>
    </row>
    <row r="1388">
      <c r="N1388">
        <f>IF(OR(Sync!$M1388="",$Q1388="",$Q1388="نامعتبر"),"",Sync!$M1388)</f>
        <v/>
      </c>
      <c r="O1388">
        <f>IF($N1388="","",$Q1388)</f>
        <v/>
      </c>
      <c r="P1388">
        <f>IF($N1388="","",LEFT($Q1388,4)&amp;MID($Q1388,6,2)&amp;RIGHT($Q1388,2)&amp;IF(Sync!$K1388="","0000",IF(AND(ISNUMBER(Sync!$K1388),Sync!$K1388&gt;=0,Sync!$K1388&lt;1),RIGHT("00"&amp;HOUR(Sync!$K1388),2)&amp;RIGHT("00"&amp;MINUTE(Sync!$K1388),2),IFERROR(RIGHT("00"&amp;VALUE(LEFT(Sync!$K1388,FIND(":",Sync!$K1388)-1)),2)&amp;RIGHT("00"&amp;VALUE(MID(Sync!$K1388,FIND(":",Sync!$K1388)+1,2)),2),"0000")))&amp;"|"&amp;"2"&amp;RIGHT("00000"&amp;1383,5))</f>
        <v/>
      </c>
      <c r="Q1388">
        <f>IF(Sync!$J1388="","",IF(ISNUMBER(Sync!$J1388),IF(AND(Sync!$J1388&gt;=10000101,Sync!$J1388&lt;=99991231),INT(Sync!$J1388/10000)&amp;"/"&amp;RIGHT("00"&amp;INT(MOD(Sync!$J1388,10000)/100),2)&amp;"/"&amp;RIGHT("00"&amp;MOD(Sync!$J1388,100),2),"نامعتبر"),IF(LEN(Sync!$J1388)=10,Sync!$J1388,"نامعتبر")))</f>
        <v/>
      </c>
      <c r="R1388">
        <f>IF($P1388="","",COUNTIFS($N$6:$N$2005,$N1388,$P$6:$P$2005,"&lt;"&amp;$P1388)+COUNTIFS($A$6:$A$1005,$N1388,$B$6:$B$1005,"&lt;"&amp;$P1388)+1)</f>
        <v/>
      </c>
      <c r="S1388">
        <f>IF($N1388="","",$N1388&amp;"|"&amp;RIGHT("000000"&amp;$R1388,6))</f>
        <v/>
      </c>
      <c r="T1388">
        <f>IF($N1388="","",IF(Sync!$N1388="",0,Sync!$N1388))</f>
        <v/>
      </c>
      <c r="U1388">
        <f>IF($N1388="","",IF(Sync!$O1388="",0,Sync!$O1388))</f>
        <v/>
      </c>
      <c r="V1388">
        <f>IF($N1388="","",Sync!$L1388)</f>
        <v/>
      </c>
      <c r="W1388">
        <f>IF($N1388="","",Sync!$P1388)</f>
        <v/>
      </c>
    </row>
    <row r="1389">
      <c r="N1389">
        <f>IF(OR(Sync!$M1389="",$Q1389="",$Q1389="نامعتبر"),"",Sync!$M1389)</f>
        <v/>
      </c>
      <c r="O1389">
        <f>IF($N1389="","",$Q1389)</f>
        <v/>
      </c>
      <c r="P1389">
        <f>IF($N1389="","",LEFT($Q1389,4)&amp;MID($Q1389,6,2)&amp;RIGHT($Q1389,2)&amp;IF(Sync!$K1389="","0000",IF(AND(ISNUMBER(Sync!$K1389),Sync!$K1389&gt;=0,Sync!$K1389&lt;1),RIGHT("00"&amp;HOUR(Sync!$K1389),2)&amp;RIGHT("00"&amp;MINUTE(Sync!$K1389),2),IFERROR(RIGHT("00"&amp;VALUE(LEFT(Sync!$K1389,FIND(":",Sync!$K1389)-1)),2)&amp;RIGHT("00"&amp;VALUE(MID(Sync!$K1389,FIND(":",Sync!$K1389)+1,2)),2),"0000")))&amp;"|"&amp;"2"&amp;RIGHT("00000"&amp;1384,5))</f>
        <v/>
      </c>
      <c r="Q1389">
        <f>IF(Sync!$J1389="","",IF(ISNUMBER(Sync!$J1389),IF(AND(Sync!$J1389&gt;=10000101,Sync!$J1389&lt;=99991231),INT(Sync!$J1389/10000)&amp;"/"&amp;RIGHT("00"&amp;INT(MOD(Sync!$J1389,10000)/100),2)&amp;"/"&amp;RIGHT("00"&amp;MOD(Sync!$J1389,100),2),"نامعتبر"),IF(LEN(Sync!$J1389)=10,Sync!$J1389,"نامعتبر")))</f>
        <v/>
      </c>
      <c r="R1389">
        <f>IF($P1389="","",COUNTIFS($N$6:$N$2005,$N1389,$P$6:$P$2005,"&lt;"&amp;$P1389)+COUNTIFS($A$6:$A$1005,$N1389,$B$6:$B$1005,"&lt;"&amp;$P1389)+1)</f>
        <v/>
      </c>
      <c r="S1389">
        <f>IF($N1389="","",$N1389&amp;"|"&amp;RIGHT("000000"&amp;$R1389,6))</f>
        <v/>
      </c>
      <c r="T1389">
        <f>IF($N1389="","",IF(Sync!$N1389="",0,Sync!$N1389))</f>
        <v/>
      </c>
      <c r="U1389">
        <f>IF($N1389="","",IF(Sync!$O1389="",0,Sync!$O1389))</f>
        <v/>
      </c>
      <c r="V1389">
        <f>IF($N1389="","",Sync!$L1389)</f>
        <v/>
      </c>
      <c r="W1389">
        <f>IF($N1389="","",Sync!$P1389)</f>
        <v/>
      </c>
    </row>
    <row r="1390">
      <c r="N1390">
        <f>IF(OR(Sync!$M1390="",$Q1390="",$Q1390="نامعتبر"),"",Sync!$M1390)</f>
        <v/>
      </c>
      <c r="O1390">
        <f>IF($N1390="","",$Q1390)</f>
        <v/>
      </c>
      <c r="P1390">
        <f>IF($N1390="","",LEFT($Q1390,4)&amp;MID($Q1390,6,2)&amp;RIGHT($Q1390,2)&amp;IF(Sync!$K1390="","0000",IF(AND(ISNUMBER(Sync!$K1390),Sync!$K1390&gt;=0,Sync!$K1390&lt;1),RIGHT("00"&amp;HOUR(Sync!$K1390),2)&amp;RIGHT("00"&amp;MINUTE(Sync!$K1390),2),IFERROR(RIGHT("00"&amp;VALUE(LEFT(Sync!$K1390,FIND(":",Sync!$K1390)-1)),2)&amp;RIGHT("00"&amp;VALUE(MID(Sync!$K1390,FIND(":",Sync!$K1390)+1,2)),2),"0000")))&amp;"|"&amp;"2"&amp;RIGHT("00000"&amp;1385,5))</f>
        <v/>
      </c>
      <c r="Q1390">
        <f>IF(Sync!$J1390="","",IF(ISNUMBER(Sync!$J1390),IF(AND(Sync!$J1390&gt;=10000101,Sync!$J1390&lt;=99991231),INT(Sync!$J1390/10000)&amp;"/"&amp;RIGHT("00"&amp;INT(MOD(Sync!$J1390,10000)/100),2)&amp;"/"&amp;RIGHT("00"&amp;MOD(Sync!$J1390,100),2),"نامعتبر"),IF(LEN(Sync!$J1390)=10,Sync!$J1390,"نامعتبر")))</f>
        <v/>
      </c>
      <c r="R1390">
        <f>IF($P1390="","",COUNTIFS($N$6:$N$2005,$N1390,$P$6:$P$2005,"&lt;"&amp;$P1390)+COUNTIFS($A$6:$A$1005,$N1390,$B$6:$B$1005,"&lt;"&amp;$P1390)+1)</f>
        <v/>
      </c>
      <c r="S1390">
        <f>IF($N1390="","",$N1390&amp;"|"&amp;RIGHT("000000"&amp;$R1390,6))</f>
        <v/>
      </c>
      <c r="T1390">
        <f>IF($N1390="","",IF(Sync!$N1390="",0,Sync!$N1390))</f>
        <v/>
      </c>
      <c r="U1390">
        <f>IF($N1390="","",IF(Sync!$O1390="",0,Sync!$O1390))</f>
        <v/>
      </c>
      <c r="V1390">
        <f>IF($N1390="","",Sync!$L1390)</f>
        <v/>
      </c>
      <c r="W1390">
        <f>IF($N1390="","",Sync!$P1390)</f>
        <v/>
      </c>
    </row>
    <row r="1391">
      <c r="N1391">
        <f>IF(OR(Sync!$M1391="",$Q1391="",$Q1391="نامعتبر"),"",Sync!$M1391)</f>
        <v/>
      </c>
      <c r="O1391">
        <f>IF($N1391="","",$Q1391)</f>
        <v/>
      </c>
      <c r="P1391">
        <f>IF($N1391="","",LEFT($Q1391,4)&amp;MID($Q1391,6,2)&amp;RIGHT($Q1391,2)&amp;IF(Sync!$K1391="","0000",IF(AND(ISNUMBER(Sync!$K1391),Sync!$K1391&gt;=0,Sync!$K1391&lt;1),RIGHT("00"&amp;HOUR(Sync!$K1391),2)&amp;RIGHT("00"&amp;MINUTE(Sync!$K1391),2),IFERROR(RIGHT("00"&amp;VALUE(LEFT(Sync!$K1391,FIND(":",Sync!$K1391)-1)),2)&amp;RIGHT("00"&amp;VALUE(MID(Sync!$K1391,FIND(":",Sync!$K1391)+1,2)),2),"0000")))&amp;"|"&amp;"2"&amp;RIGHT("00000"&amp;1386,5))</f>
        <v/>
      </c>
      <c r="Q1391">
        <f>IF(Sync!$J1391="","",IF(ISNUMBER(Sync!$J1391),IF(AND(Sync!$J1391&gt;=10000101,Sync!$J1391&lt;=99991231),INT(Sync!$J1391/10000)&amp;"/"&amp;RIGHT("00"&amp;INT(MOD(Sync!$J1391,10000)/100),2)&amp;"/"&amp;RIGHT("00"&amp;MOD(Sync!$J1391,100),2),"نامعتبر"),IF(LEN(Sync!$J1391)=10,Sync!$J1391,"نامعتبر")))</f>
        <v/>
      </c>
      <c r="R1391">
        <f>IF($P1391="","",COUNTIFS($N$6:$N$2005,$N1391,$P$6:$P$2005,"&lt;"&amp;$P1391)+COUNTIFS($A$6:$A$1005,$N1391,$B$6:$B$1005,"&lt;"&amp;$P1391)+1)</f>
        <v/>
      </c>
      <c r="S1391">
        <f>IF($N1391="","",$N1391&amp;"|"&amp;RIGHT("000000"&amp;$R1391,6))</f>
        <v/>
      </c>
      <c r="T1391">
        <f>IF($N1391="","",IF(Sync!$N1391="",0,Sync!$N1391))</f>
        <v/>
      </c>
      <c r="U1391">
        <f>IF($N1391="","",IF(Sync!$O1391="",0,Sync!$O1391))</f>
        <v/>
      </c>
      <c r="V1391">
        <f>IF($N1391="","",Sync!$L1391)</f>
        <v/>
      </c>
      <c r="W1391">
        <f>IF($N1391="","",Sync!$P1391)</f>
        <v/>
      </c>
    </row>
    <row r="1392">
      <c r="N1392">
        <f>IF(OR(Sync!$M1392="",$Q1392="",$Q1392="نامعتبر"),"",Sync!$M1392)</f>
        <v/>
      </c>
      <c r="O1392">
        <f>IF($N1392="","",$Q1392)</f>
        <v/>
      </c>
      <c r="P1392">
        <f>IF($N1392="","",LEFT($Q1392,4)&amp;MID($Q1392,6,2)&amp;RIGHT($Q1392,2)&amp;IF(Sync!$K1392="","0000",IF(AND(ISNUMBER(Sync!$K1392),Sync!$K1392&gt;=0,Sync!$K1392&lt;1),RIGHT("00"&amp;HOUR(Sync!$K1392),2)&amp;RIGHT("00"&amp;MINUTE(Sync!$K1392),2),IFERROR(RIGHT("00"&amp;VALUE(LEFT(Sync!$K1392,FIND(":",Sync!$K1392)-1)),2)&amp;RIGHT("00"&amp;VALUE(MID(Sync!$K1392,FIND(":",Sync!$K1392)+1,2)),2),"0000")))&amp;"|"&amp;"2"&amp;RIGHT("00000"&amp;1387,5))</f>
        <v/>
      </c>
      <c r="Q1392">
        <f>IF(Sync!$J1392="","",IF(ISNUMBER(Sync!$J1392),IF(AND(Sync!$J1392&gt;=10000101,Sync!$J1392&lt;=99991231),INT(Sync!$J1392/10000)&amp;"/"&amp;RIGHT("00"&amp;INT(MOD(Sync!$J1392,10000)/100),2)&amp;"/"&amp;RIGHT("00"&amp;MOD(Sync!$J1392,100),2),"نامعتبر"),IF(LEN(Sync!$J1392)=10,Sync!$J1392,"نامعتبر")))</f>
        <v/>
      </c>
      <c r="R1392">
        <f>IF($P1392="","",COUNTIFS($N$6:$N$2005,$N1392,$P$6:$P$2005,"&lt;"&amp;$P1392)+COUNTIFS($A$6:$A$1005,$N1392,$B$6:$B$1005,"&lt;"&amp;$P1392)+1)</f>
        <v/>
      </c>
      <c r="S1392">
        <f>IF($N1392="","",$N1392&amp;"|"&amp;RIGHT("000000"&amp;$R1392,6))</f>
        <v/>
      </c>
      <c r="T1392">
        <f>IF($N1392="","",IF(Sync!$N1392="",0,Sync!$N1392))</f>
        <v/>
      </c>
      <c r="U1392">
        <f>IF($N1392="","",IF(Sync!$O1392="",0,Sync!$O1392))</f>
        <v/>
      </c>
      <c r="V1392">
        <f>IF($N1392="","",Sync!$L1392)</f>
        <v/>
      </c>
      <c r="W1392">
        <f>IF($N1392="","",Sync!$P1392)</f>
        <v/>
      </c>
    </row>
    <row r="1393">
      <c r="N1393">
        <f>IF(OR(Sync!$M1393="",$Q1393="",$Q1393="نامعتبر"),"",Sync!$M1393)</f>
        <v/>
      </c>
      <c r="O1393">
        <f>IF($N1393="","",$Q1393)</f>
        <v/>
      </c>
      <c r="P1393">
        <f>IF($N1393="","",LEFT($Q1393,4)&amp;MID($Q1393,6,2)&amp;RIGHT($Q1393,2)&amp;IF(Sync!$K1393="","0000",IF(AND(ISNUMBER(Sync!$K1393),Sync!$K1393&gt;=0,Sync!$K1393&lt;1),RIGHT("00"&amp;HOUR(Sync!$K1393),2)&amp;RIGHT("00"&amp;MINUTE(Sync!$K1393),2),IFERROR(RIGHT("00"&amp;VALUE(LEFT(Sync!$K1393,FIND(":",Sync!$K1393)-1)),2)&amp;RIGHT("00"&amp;VALUE(MID(Sync!$K1393,FIND(":",Sync!$K1393)+1,2)),2),"0000")))&amp;"|"&amp;"2"&amp;RIGHT("00000"&amp;1388,5))</f>
        <v/>
      </c>
      <c r="Q1393">
        <f>IF(Sync!$J1393="","",IF(ISNUMBER(Sync!$J1393),IF(AND(Sync!$J1393&gt;=10000101,Sync!$J1393&lt;=99991231),INT(Sync!$J1393/10000)&amp;"/"&amp;RIGHT("00"&amp;INT(MOD(Sync!$J1393,10000)/100),2)&amp;"/"&amp;RIGHT("00"&amp;MOD(Sync!$J1393,100),2),"نامعتبر"),IF(LEN(Sync!$J1393)=10,Sync!$J1393,"نامعتبر")))</f>
        <v/>
      </c>
      <c r="R1393">
        <f>IF($P1393="","",COUNTIFS($N$6:$N$2005,$N1393,$P$6:$P$2005,"&lt;"&amp;$P1393)+COUNTIFS($A$6:$A$1005,$N1393,$B$6:$B$1005,"&lt;"&amp;$P1393)+1)</f>
        <v/>
      </c>
      <c r="S1393">
        <f>IF($N1393="","",$N1393&amp;"|"&amp;RIGHT("000000"&amp;$R1393,6))</f>
        <v/>
      </c>
      <c r="T1393">
        <f>IF($N1393="","",IF(Sync!$N1393="",0,Sync!$N1393))</f>
        <v/>
      </c>
      <c r="U1393">
        <f>IF($N1393="","",IF(Sync!$O1393="",0,Sync!$O1393))</f>
        <v/>
      </c>
      <c r="V1393">
        <f>IF($N1393="","",Sync!$L1393)</f>
        <v/>
      </c>
      <c r="W1393">
        <f>IF($N1393="","",Sync!$P1393)</f>
        <v/>
      </c>
    </row>
    <row r="1394">
      <c r="N1394">
        <f>IF(OR(Sync!$M1394="",$Q1394="",$Q1394="نامعتبر"),"",Sync!$M1394)</f>
        <v/>
      </c>
      <c r="O1394">
        <f>IF($N1394="","",$Q1394)</f>
        <v/>
      </c>
      <c r="P1394">
        <f>IF($N1394="","",LEFT($Q1394,4)&amp;MID($Q1394,6,2)&amp;RIGHT($Q1394,2)&amp;IF(Sync!$K1394="","0000",IF(AND(ISNUMBER(Sync!$K1394),Sync!$K1394&gt;=0,Sync!$K1394&lt;1),RIGHT("00"&amp;HOUR(Sync!$K1394),2)&amp;RIGHT("00"&amp;MINUTE(Sync!$K1394),2),IFERROR(RIGHT("00"&amp;VALUE(LEFT(Sync!$K1394,FIND(":",Sync!$K1394)-1)),2)&amp;RIGHT("00"&amp;VALUE(MID(Sync!$K1394,FIND(":",Sync!$K1394)+1,2)),2),"0000")))&amp;"|"&amp;"2"&amp;RIGHT("00000"&amp;1389,5))</f>
        <v/>
      </c>
      <c r="Q1394">
        <f>IF(Sync!$J1394="","",IF(ISNUMBER(Sync!$J1394),IF(AND(Sync!$J1394&gt;=10000101,Sync!$J1394&lt;=99991231),INT(Sync!$J1394/10000)&amp;"/"&amp;RIGHT("00"&amp;INT(MOD(Sync!$J1394,10000)/100),2)&amp;"/"&amp;RIGHT("00"&amp;MOD(Sync!$J1394,100),2),"نامعتبر"),IF(LEN(Sync!$J1394)=10,Sync!$J1394,"نامعتبر")))</f>
        <v/>
      </c>
      <c r="R1394">
        <f>IF($P1394="","",COUNTIFS($N$6:$N$2005,$N1394,$P$6:$P$2005,"&lt;"&amp;$P1394)+COUNTIFS($A$6:$A$1005,$N1394,$B$6:$B$1005,"&lt;"&amp;$P1394)+1)</f>
        <v/>
      </c>
      <c r="S1394">
        <f>IF($N1394="","",$N1394&amp;"|"&amp;RIGHT("000000"&amp;$R1394,6))</f>
        <v/>
      </c>
      <c r="T1394">
        <f>IF($N1394="","",IF(Sync!$N1394="",0,Sync!$N1394))</f>
        <v/>
      </c>
      <c r="U1394">
        <f>IF($N1394="","",IF(Sync!$O1394="",0,Sync!$O1394))</f>
        <v/>
      </c>
      <c r="V1394">
        <f>IF($N1394="","",Sync!$L1394)</f>
        <v/>
      </c>
      <c r="W1394">
        <f>IF($N1394="","",Sync!$P1394)</f>
        <v/>
      </c>
    </row>
    <row r="1395">
      <c r="N1395">
        <f>IF(OR(Sync!$M1395="",$Q1395="",$Q1395="نامعتبر"),"",Sync!$M1395)</f>
        <v/>
      </c>
      <c r="O1395">
        <f>IF($N1395="","",$Q1395)</f>
        <v/>
      </c>
      <c r="P1395">
        <f>IF($N1395="","",LEFT($Q1395,4)&amp;MID($Q1395,6,2)&amp;RIGHT($Q1395,2)&amp;IF(Sync!$K1395="","0000",IF(AND(ISNUMBER(Sync!$K1395),Sync!$K1395&gt;=0,Sync!$K1395&lt;1),RIGHT("00"&amp;HOUR(Sync!$K1395),2)&amp;RIGHT("00"&amp;MINUTE(Sync!$K1395),2),IFERROR(RIGHT("00"&amp;VALUE(LEFT(Sync!$K1395,FIND(":",Sync!$K1395)-1)),2)&amp;RIGHT("00"&amp;VALUE(MID(Sync!$K1395,FIND(":",Sync!$K1395)+1,2)),2),"0000")))&amp;"|"&amp;"2"&amp;RIGHT("00000"&amp;1390,5))</f>
        <v/>
      </c>
      <c r="Q1395">
        <f>IF(Sync!$J1395="","",IF(ISNUMBER(Sync!$J1395),IF(AND(Sync!$J1395&gt;=10000101,Sync!$J1395&lt;=99991231),INT(Sync!$J1395/10000)&amp;"/"&amp;RIGHT("00"&amp;INT(MOD(Sync!$J1395,10000)/100),2)&amp;"/"&amp;RIGHT("00"&amp;MOD(Sync!$J1395,100),2),"نامعتبر"),IF(LEN(Sync!$J1395)=10,Sync!$J1395,"نامعتبر")))</f>
        <v/>
      </c>
      <c r="R1395">
        <f>IF($P1395="","",COUNTIFS($N$6:$N$2005,$N1395,$P$6:$P$2005,"&lt;"&amp;$P1395)+COUNTIFS($A$6:$A$1005,$N1395,$B$6:$B$1005,"&lt;"&amp;$P1395)+1)</f>
        <v/>
      </c>
      <c r="S1395">
        <f>IF($N1395="","",$N1395&amp;"|"&amp;RIGHT("000000"&amp;$R1395,6))</f>
        <v/>
      </c>
      <c r="T1395">
        <f>IF($N1395="","",IF(Sync!$N1395="",0,Sync!$N1395))</f>
        <v/>
      </c>
      <c r="U1395">
        <f>IF($N1395="","",IF(Sync!$O1395="",0,Sync!$O1395))</f>
        <v/>
      </c>
      <c r="V1395">
        <f>IF($N1395="","",Sync!$L1395)</f>
        <v/>
      </c>
      <c r="W1395">
        <f>IF($N1395="","",Sync!$P1395)</f>
        <v/>
      </c>
    </row>
    <row r="1396">
      <c r="N1396">
        <f>IF(OR(Sync!$M1396="",$Q1396="",$Q1396="نامعتبر"),"",Sync!$M1396)</f>
        <v/>
      </c>
      <c r="O1396">
        <f>IF($N1396="","",$Q1396)</f>
        <v/>
      </c>
      <c r="P1396">
        <f>IF($N1396="","",LEFT($Q1396,4)&amp;MID($Q1396,6,2)&amp;RIGHT($Q1396,2)&amp;IF(Sync!$K1396="","0000",IF(AND(ISNUMBER(Sync!$K1396),Sync!$K1396&gt;=0,Sync!$K1396&lt;1),RIGHT("00"&amp;HOUR(Sync!$K1396),2)&amp;RIGHT("00"&amp;MINUTE(Sync!$K1396),2),IFERROR(RIGHT("00"&amp;VALUE(LEFT(Sync!$K1396,FIND(":",Sync!$K1396)-1)),2)&amp;RIGHT("00"&amp;VALUE(MID(Sync!$K1396,FIND(":",Sync!$K1396)+1,2)),2),"0000")))&amp;"|"&amp;"2"&amp;RIGHT("00000"&amp;1391,5))</f>
        <v/>
      </c>
      <c r="Q1396">
        <f>IF(Sync!$J1396="","",IF(ISNUMBER(Sync!$J1396),IF(AND(Sync!$J1396&gt;=10000101,Sync!$J1396&lt;=99991231),INT(Sync!$J1396/10000)&amp;"/"&amp;RIGHT("00"&amp;INT(MOD(Sync!$J1396,10000)/100),2)&amp;"/"&amp;RIGHT("00"&amp;MOD(Sync!$J1396,100),2),"نامعتبر"),IF(LEN(Sync!$J1396)=10,Sync!$J1396,"نامعتبر")))</f>
        <v/>
      </c>
      <c r="R1396">
        <f>IF($P1396="","",COUNTIFS($N$6:$N$2005,$N1396,$P$6:$P$2005,"&lt;"&amp;$P1396)+COUNTIFS($A$6:$A$1005,$N1396,$B$6:$B$1005,"&lt;"&amp;$P1396)+1)</f>
        <v/>
      </c>
      <c r="S1396">
        <f>IF($N1396="","",$N1396&amp;"|"&amp;RIGHT("000000"&amp;$R1396,6))</f>
        <v/>
      </c>
      <c r="T1396">
        <f>IF($N1396="","",IF(Sync!$N1396="",0,Sync!$N1396))</f>
        <v/>
      </c>
      <c r="U1396">
        <f>IF($N1396="","",IF(Sync!$O1396="",0,Sync!$O1396))</f>
        <v/>
      </c>
      <c r="V1396">
        <f>IF($N1396="","",Sync!$L1396)</f>
        <v/>
      </c>
      <c r="W1396">
        <f>IF($N1396="","",Sync!$P1396)</f>
        <v/>
      </c>
    </row>
    <row r="1397">
      <c r="N1397">
        <f>IF(OR(Sync!$M1397="",$Q1397="",$Q1397="نامعتبر"),"",Sync!$M1397)</f>
        <v/>
      </c>
      <c r="O1397">
        <f>IF($N1397="","",$Q1397)</f>
        <v/>
      </c>
      <c r="P1397">
        <f>IF($N1397="","",LEFT($Q1397,4)&amp;MID($Q1397,6,2)&amp;RIGHT($Q1397,2)&amp;IF(Sync!$K1397="","0000",IF(AND(ISNUMBER(Sync!$K1397),Sync!$K1397&gt;=0,Sync!$K1397&lt;1),RIGHT("00"&amp;HOUR(Sync!$K1397),2)&amp;RIGHT("00"&amp;MINUTE(Sync!$K1397),2),IFERROR(RIGHT("00"&amp;VALUE(LEFT(Sync!$K1397,FIND(":",Sync!$K1397)-1)),2)&amp;RIGHT("00"&amp;VALUE(MID(Sync!$K1397,FIND(":",Sync!$K1397)+1,2)),2),"0000")))&amp;"|"&amp;"2"&amp;RIGHT("00000"&amp;1392,5))</f>
        <v/>
      </c>
      <c r="Q1397">
        <f>IF(Sync!$J1397="","",IF(ISNUMBER(Sync!$J1397),IF(AND(Sync!$J1397&gt;=10000101,Sync!$J1397&lt;=99991231),INT(Sync!$J1397/10000)&amp;"/"&amp;RIGHT("00"&amp;INT(MOD(Sync!$J1397,10000)/100),2)&amp;"/"&amp;RIGHT("00"&amp;MOD(Sync!$J1397,100),2),"نامعتبر"),IF(LEN(Sync!$J1397)=10,Sync!$J1397,"نامعتبر")))</f>
        <v/>
      </c>
      <c r="R1397">
        <f>IF($P1397="","",COUNTIFS($N$6:$N$2005,$N1397,$P$6:$P$2005,"&lt;"&amp;$P1397)+COUNTIFS($A$6:$A$1005,$N1397,$B$6:$B$1005,"&lt;"&amp;$P1397)+1)</f>
        <v/>
      </c>
      <c r="S1397">
        <f>IF($N1397="","",$N1397&amp;"|"&amp;RIGHT("000000"&amp;$R1397,6))</f>
        <v/>
      </c>
      <c r="T1397">
        <f>IF($N1397="","",IF(Sync!$N1397="",0,Sync!$N1397))</f>
        <v/>
      </c>
      <c r="U1397">
        <f>IF($N1397="","",IF(Sync!$O1397="",0,Sync!$O1397))</f>
        <v/>
      </c>
      <c r="V1397">
        <f>IF($N1397="","",Sync!$L1397)</f>
        <v/>
      </c>
      <c r="W1397">
        <f>IF($N1397="","",Sync!$P1397)</f>
        <v/>
      </c>
    </row>
    <row r="1398">
      <c r="N1398">
        <f>IF(OR(Sync!$M1398="",$Q1398="",$Q1398="نامعتبر"),"",Sync!$M1398)</f>
        <v/>
      </c>
      <c r="O1398">
        <f>IF($N1398="","",$Q1398)</f>
        <v/>
      </c>
      <c r="P1398">
        <f>IF($N1398="","",LEFT($Q1398,4)&amp;MID($Q1398,6,2)&amp;RIGHT($Q1398,2)&amp;IF(Sync!$K1398="","0000",IF(AND(ISNUMBER(Sync!$K1398),Sync!$K1398&gt;=0,Sync!$K1398&lt;1),RIGHT("00"&amp;HOUR(Sync!$K1398),2)&amp;RIGHT("00"&amp;MINUTE(Sync!$K1398),2),IFERROR(RIGHT("00"&amp;VALUE(LEFT(Sync!$K1398,FIND(":",Sync!$K1398)-1)),2)&amp;RIGHT("00"&amp;VALUE(MID(Sync!$K1398,FIND(":",Sync!$K1398)+1,2)),2),"0000")))&amp;"|"&amp;"2"&amp;RIGHT("00000"&amp;1393,5))</f>
        <v/>
      </c>
      <c r="Q1398">
        <f>IF(Sync!$J1398="","",IF(ISNUMBER(Sync!$J1398),IF(AND(Sync!$J1398&gt;=10000101,Sync!$J1398&lt;=99991231),INT(Sync!$J1398/10000)&amp;"/"&amp;RIGHT("00"&amp;INT(MOD(Sync!$J1398,10000)/100),2)&amp;"/"&amp;RIGHT("00"&amp;MOD(Sync!$J1398,100),2),"نامعتبر"),IF(LEN(Sync!$J1398)=10,Sync!$J1398,"نامعتبر")))</f>
        <v/>
      </c>
      <c r="R1398">
        <f>IF($P1398="","",COUNTIFS($N$6:$N$2005,$N1398,$P$6:$P$2005,"&lt;"&amp;$P1398)+COUNTIFS($A$6:$A$1005,$N1398,$B$6:$B$1005,"&lt;"&amp;$P1398)+1)</f>
        <v/>
      </c>
      <c r="S1398">
        <f>IF($N1398="","",$N1398&amp;"|"&amp;RIGHT("000000"&amp;$R1398,6))</f>
        <v/>
      </c>
      <c r="T1398">
        <f>IF($N1398="","",IF(Sync!$N1398="",0,Sync!$N1398))</f>
        <v/>
      </c>
      <c r="U1398">
        <f>IF($N1398="","",IF(Sync!$O1398="",0,Sync!$O1398))</f>
        <v/>
      </c>
      <c r="V1398">
        <f>IF($N1398="","",Sync!$L1398)</f>
        <v/>
      </c>
      <c r="W1398">
        <f>IF($N1398="","",Sync!$P1398)</f>
        <v/>
      </c>
    </row>
    <row r="1399">
      <c r="N1399">
        <f>IF(OR(Sync!$M1399="",$Q1399="",$Q1399="نامعتبر"),"",Sync!$M1399)</f>
        <v/>
      </c>
      <c r="O1399">
        <f>IF($N1399="","",$Q1399)</f>
        <v/>
      </c>
      <c r="P1399">
        <f>IF($N1399="","",LEFT($Q1399,4)&amp;MID($Q1399,6,2)&amp;RIGHT($Q1399,2)&amp;IF(Sync!$K1399="","0000",IF(AND(ISNUMBER(Sync!$K1399),Sync!$K1399&gt;=0,Sync!$K1399&lt;1),RIGHT("00"&amp;HOUR(Sync!$K1399),2)&amp;RIGHT("00"&amp;MINUTE(Sync!$K1399),2),IFERROR(RIGHT("00"&amp;VALUE(LEFT(Sync!$K1399,FIND(":",Sync!$K1399)-1)),2)&amp;RIGHT("00"&amp;VALUE(MID(Sync!$K1399,FIND(":",Sync!$K1399)+1,2)),2),"0000")))&amp;"|"&amp;"2"&amp;RIGHT("00000"&amp;1394,5))</f>
        <v/>
      </c>
      <c r="Q1399">
        <f>IF(Sync!$J1399="","",IF(ISNUMBER(Sync!$J1399),IF(AND(Sync!$J1399&gt;=10000101,Sync!$J1399&lt;=99991231),INT(Sync!$J1399/10000)&amp;"/"&amp;RIGHT("00"&amp;INT(MOD(Sync!$J1399,10000)/100),2)&amp;"/"&amp;RIGHT("00"&amp;MOD(Sync!$J1399,100),2),"نامعتبر"),IF(LEN(Sync!$J1399)=10,Sync!$J1399,"نامعتبر")))</f>
        <v/>
      </c>
      <c r="R1399">
        <f>IF($P1399="","",COUNTIFS($N$6:$N$2005,$N1399,$P$6:$P$2005,"&lt;"&amp;$P1399)+COUNTIFS($A$6:$A$1005,$N1399,$B$6:$B$1005,"&lt;"&amp;$P1399)+1)</f>
        <v/>
      </c>
      <c r="S1399">
        <f>IF($N1399="","",$N1399&amp;"|"&amp;RIGHT("000000"&amp;$R1399,6))</f>
        <v/>
      </c>
      <c r="T1399">
        <f>IF($N1399="","",IF(Sync!$N1399="",0,Sync!$N1399))</f>
        <v/>
      </c>
      <c r="U1399">
        <f>IF($N1399="","",IF(Sync!$O1399="",0,Sync!$O1399))</f>
        <v/>
      </c>
      <c r="V1399">
        <f>IF($N1399="","",Sync!$L1399)</f>
        <v/>
      </c>
      <c r="W1399">
        <f>IF($N1399="","",Sync!$P1399)</f>
        <v/>
      </c>
    </row>
    <row r="1400">
      <c r="N1400">
        <f>IF(OR(Sync!$M1400="",$Q1400="",$Q1400="نامعتبر"),"",Sync!$M1400)</f>
        <v/>
      </c>
      <c r="O1400">
        <f>IF($N1400="","",$Q1400)</f>
        <v/>
      </c>
      <c r="P1400">
        <f>IF($N1400="","",LEFT($Q1400,4)&amp;MID($Q1400,6,2)&amp;RIGHT($Q1400,2)&amp;IF(Sync!$K1400="","0000",IF(AND(ISNUMBER(Sync!$K1400),Sync!$K1400&gt;=0,Sync!$K1400&lt;1),RIGHT("00"&amp;HOUR(Sync!$K1400),2)&amp;RIGHT("00"&amp;MINUTE(Sync!$K1400),2),IFERROR(RIGHT("00"&amp;VALUE(LEFT(Sync!$K1400,FIND(":",Sync!$K1400)-1)),2)&amp;RIGHT("00"&amp;VALUE(MID(Sync!$K1400,FIND(":",Sync!$K1400)+1,2)),2),"0000")))&amp;"|"&amp;"2"&amp;RIGHT("00000"&amp;1395,5))</f>
        <v/>
      </c>
      <c r="Q1400">
        <f>IF(Sync!$J1400="","",IF(ISNUMBER(Sync!$J1400),IF(AND(Sync!$J1400&gt;=10000101,Sync!$J1400&lt;=99991231),INT(Sync!$J1400/10000)&amp;"/"&amp;RIGHT("00"&amp;INT(MOD(Sync!$J1400,10000)/100),2)&amp;"/"&amp;RIGHT("00"&amp;MOD(Sync!$J1400,100),2),"نامعتبر"),IF(LEN(Sync!$J1400)=10,Sync!$J1400,"نامعتبر")))</f>
        <v/>
      </c>
      <c r="R1400">
        <f>IF($P1400="","",COUNTIFS($N$6:$N$2005,$N1400,$P$6:$P$2005,"&lt;"&amp;$P1400)+COUNTIFS($A$6:$A$1005,$N1400,$B$6:$B$1005,"&lt;"&amp;$P1400)+1)</f>
        <v/>
      </c>
      <c r="S1400">
        <f>IF($N1400="","",$N1400&amp;"|"&amp;RIGHT("000000"&amp;$R1400,6))</f>
        <v/>
      </c>
      <c r="T1400">
        <f>IF($N1400="","",IF(Sync!$N1400="",0,Sync!$N1400))</f>
        <v/>
      </c>
      <c r="U1400">
        <f>IF($N1400="","",IF(Sync!$O1400="",0,Sync!$O1400))</f>
        <v/>
      </c>
      <c r="V1400">
        <f>IF($N1400="","",Sync!$L1400)</f>
        <v/>
      </c>
      <c r="W1400">
        <f>IF($N1400="","",Sync!$P1400)</f>
        <v/>
      </c>
    </row>
    <row r="1401">
      <c r="N1401">
        <f>IF(OR(Sync!$M1401="",$Q1401="",$Q1401="نامعتبر"),"",Sync!$M1401)</f>
        <v/>
      </c>
      <c r="O1401">
        <f>IF($N1401="","",$Q1401)</f>
        <v/>
      </c>
      <c r="P1401">
        <f>IF($N1401="","",LEFT($Q1401,4)&amp;MID($Q1401,6,2)&amp;RIGHT($Q1401,2)&amp;IF(Sync!$K1401="","0000",IF(AND(ISNUMBER(Sync!$K1401),Sync!$K1401&gt;=0,Sync!$K1401&lt;1),RIGHT("00"&amp;HOUR(Sync!$K1401),2)&amp;RIGHT("00"&amp;MINUTE(Sync!$K1401),2),IFERROR(RIGHT("00"&amp;VALUE(LEFT(Sync!$K1401,FIND(":",Sync!$K1401)-1)),2)&amp;RIGHT("00"&amp;VALUE(MID(Sync!$K1401,FIND(":",Sync!$K1401)+1,2)),2),"0000")))&amp;"|"&amp;"2"&amp;RIGHT("00000"&amp;1396,5))</f>
        <v/>
      </c>
      <c r="Q1401">
        <f>IF(Sync!$J1401="","",IF(ISNUMBER(Sync!$J1401),IF(AND(Sync!$J1401&gt;=10000101,Sync!$J1401&lt;=99991231),INT(Sync!$J1401/10000)&amp;"/"&amp;RIGHT("00"&amp;INT(MOD(Sync!$J1401,10000)/100),2)&amp;"/"&amp;RIGHT("00"&amp;MOD(Sync!$J1401,100),2),"نامعتبر"),IF(LEN(Sync!$J1401)=10,Sync!$J1401,"نامعتبر")))</f>
        <v/>
      </c>
      <c r="R1401">
        <f>IF($P1401="","",COUNTIFS($N$6:$N$2005,$N1401,$P$6:$P$2005,"&lt;"&amp;$P1401)+COUNTIFS($A$6:$A$1005,$N1401,$B$6:$B$1005,"&lt;"&amp;$P1401)+1)</f>
        <v/>
      </c>
      <c r="S1401">
        <f>IF($N1401="","",$N1401&amp;"|"&amp;RIGHT("000000"&amp;$R1401,6))</f>
        <v/>
      </c>
      <c r="T1401">
        <f>IF($N1401="","",IF(Sync!$N1401="",0,Sync!$N1401))</f>
        <v/>
      </c>
      <c r="U1401">
        <f>IF($N1401="","",IF(Sync!$O1401="",0,Sync!$O1401))</f>
        <v/>
      </c>
      <c r="V1401">
        <f>IF($N1401="","",Sync!$L1401)</f>
        <v/>
      </c>
      <c r="W1401">
        <f>IF($N1401="","",Sync!$P1401)</f>
        <v/>
      </c>
    </row>
    <row r="1402">
      <c r="N1402">
        <f>IF(OR(Sync!$M1402="",$Q1402="",$Q1402="نامعتبر"),"",Sync!$M1402)</f>
        <v/>
      </c>
      <c r="O1402">
        <f>IF($N1402="","",$Q1402)</f>
        <v/>
      </c>
      <c r="P1402">
        <f>IF($N1402="","",LEFT($Q1402,4)&amp;MID($Q1402,6,2)&amp;RIGHT($Q1402,2)&amp;IF(Sync!$K1402="","0000",IF(AND(ISNUMBER(Sync!$K1402),Sync!$K1402&gt;=0,Sync!$K1402&lt;1),RIGHT("00"&amp;HOUR(Sync!$K1402),2)&amp;RIGHT("00"&amp;MINUTE(Sync!$K1402),2),IFERROR(RIGHT("00"&amp;VALUE(LEFT(Sync!$K1402,FIND(":",Sync!$K1402)-1)),2)&amp;RIGHT("00"&amp;VALUE(MID(Sync!$K1402,FIND(":",Sync!$K1402)+1,2)),2),"0000")))&amp;"|"&amp;"2"&amp;RIGHT("00000"&amp;1397,5))</f>
        <v/>
      </c>
      <c r="Q1402">
        <f>IF(Sync!$J1402="","",IF(ISNUMBER(Sync!$J1402),IF(AND(Sync!$J1402&gt;=10000101,Sync!$J1402&lt;=99991231),INT(Sync!$J1402/10000)&amp;"/"&amp;RIGHT("00"&amp;INT(MOD(Sync!$J1402,10000)/100),2)&amp;"/"&amp;RIGHT("00"&amp;MOD(Sync!$J1402,100),2),"نامعتبر"),IF(LEN(Sync!$J1402)=10,Sync!$J1402,"نامعتبر")))</f>
        <v/>
      </c>
      <c r="R1402">
        <f>IF($P1402="","",COUNTIFS($N$6:$N$2005,$N1402,$P$6:$P$2005,"&lt;"&amp;$P1402)+COUNTIFS($A$6:$A$1005,$N1402,$B$6:$B$1005,"&lt;"&amp;$P1402)+1)</f>
        <v/>
      </c>
      <c r="S1402">
        <f>IF($N1402="","",$N1402&amp;"|"&amp;RIGHT("000000"&amp;$R1402,6))</f>
        <v/>
      </c>
      <c r="T1402">
        <f>IF($N1402="","",IF(Sync!$N1402="",0,Sync!$N1402))</f>
        <v/>
      </c>
      <c r="U1402">
        <f>IF($N1402="","",IF(Sync!$O1402="",0,Sync!$O1402))</f>
        <v/>
      </c>
      <c r="V1402">
        <f>IF($N1402="","",Sync!$L1402)</f>
        <v/>
      </c>
      <c r="W1402">
        <f>IF($N1402="","",Sync!$P1402)</f>
        <v/>
      </c>
    </row>
    <row r="1403">
      <c r="N1403">
        <f>IF(OR(Sync!$M1403="",$Q1403="",$Q1403="نامعتبر"),"",Sync!$M1403)</f>
        <v/>
      </c>
      <c r="O1403">
        <f>IF($N1403="","",$Q1403)</f>
        <v/>
      </c>
      <c r="P1403">
        <f>IF($N1403="","",LEFT($Q1403,4)&amp;MID($Q1403,6,2)&amp;RIGHT($Q1403,2)&amp;IF(Sync!$K1403="","0000",IF(AND(ISNUMBER(Sync!$K1403),Sync!$K1403&gt;=0,Sync!$K1403&lt;1),RIGHT("00"&amp;HOUR(Sync!$K1403),2)&amp;RIGHT("00"&amp;MINUTE(Sync!$K1403),2),IFERROR(RIGHT("00"&amp;VALUE(LEFT(Sync!$K1403,FIND(":",Sync!$K1403)-1)),2)&amp;RIGHT("00"&amp;VALUE(MID(Sync!$K1403,FIND(":",Sync!$K1403)+1,2)),2),"0000")))&amp;"|"&amp;"2"&amp;RIGHT("00000"&amp;1398,5))</f>
        <v/>
      </c>
      <c r="Q1403">
        <f>IF(Sync!$J1403="","",IF(ISNUMBER(Sync!$J1403),IF(AND(Sync!$J1403&gt;=10000101,Sync!$J1403&lt;=99991231),INT(Sync!$J1403/10000)&amp;"/"&amp;RIGHT("00"&amp;INT(MOD(Sync!$J1403,10000)/100),2)&amp;"/"&amp;RIGHT("00"&amp;MOD(Sync!$J1403,100),2),"نامعتبر"),IF(LEN(Sync!$J1403)=10,Sync!$J1403,"نامعتبر")))</f>
        <v/>
      </c>
      <c r="R1403">
        <f>IF($P1403="","",COUNTIFS($N$6:$N$2005,$N1403,$P$6:$P$2005,"&lt;"&amp;$P1403)+COUNTIFS($A$6:$A$1005,$N1403,$B$6:$B$1005,"&lt;"&amp;$P1403)+1)</f>
        <v/>
      </c>
      <c r="S1403">
        <f>IF($N1403="","",$N1403&amp;"|"&amp;RIGHT("000000"&amp;$R1403,6))</f>
        <v/>
      </c>
      <c r="T1403">
        <f>IF($N1403="","",IF(Sync!$N1403="",0,Sync!$N1403))</f>
        <v/>
      </c>
      <c r="U1403">
        <f>IF($N1403="","",IF(Sync!$O1403="",0,Sync!$O1403))</f>
        <v/>
      </c>
      <c r="V1403">
        <f>IF($N1403="","",Sync!$L1403)</f>
        <v/>
      </c>
      <c r="W1403">
        <f>IF($N1403="","",Sync!$P1403)</f>
        <v/>
      </c>
    </row>
    <row r="1404">
      <c r="N1404">
        <f>IF(OR(Sync!$M1404="",$Q1404="",$Q1404="نامعتبر"),"",Sync!$M1404)</f>
        <v/>
      </c>
      <c r="O1404">
        <f>IF($N1404="","",$Q1404)</f>
        <v/>
      </c>
      <c r="P1404">
        <f>IF($N1404="","",LEFT($Q1404,4)&amp;MID($Q1404,6,2)&amp;RIGHT($Q1404,2)&amp;IF(Sync!$K1404="","0000",IF(AND(ISNUMBER(Sync!$K1404),Sync!$K1404&gt;=0,Sync!$K1404&lt;1),RIGHT("00"&amp;HOUR(Sync!$K1404),2)&amp;RIGHT("00"&amp;MINUTE(Sync!$K1404),2),IFERROR(RIGHT("00"&amp;VALUE(LEFT(Sync!$K1404,FIND(":",Sync!$K1404)-1)),2)&amp;RIGHT("00"&amp;VALUE(MID(Sync!$K1404,FIND(":",Sync!$K1404)+1,2)),2),"0000")))&amp;"|"&amp;"2"&amp;RIGHT("00000"&amp;1399,5))</f>
        <v/>
      </c>
      <c r="Q1404">
        <f>IF(Sync!$J1404="","",IF(ISNUMBER(Sync!$J1404),IF(AND(Sync!$J1404&gt;=10000101,Sync!$J1404&lt;=99991231),INT(Sync!$J1404/10000)&amp;"/"&amp;RIGHT("00"&amp;INT(MOD(Sync!$J1404,10000)/100),2)&amp;"/"&amp;RIGHT("00"&amp;MOD(Sync!$J1404,100),2),"نامعتبر"),IF(LEN(Sync!$J1404)=10,Sync!$J1404,"نامعتبر")))</f>
        <v/>
      </c>
      <c r="R1404">
        <f>IF($P1404="","",COUNTIFS($N$6:$N$2005,$N1404,$P$6:$P$2005,"&lt;"&amp;$P1404)+COUNTIFS($A$6:$A$1005,$N1404,$B$6:$B$1005,"&lt;"&amp;$P1404)+1)</f>
        <v/>
      </c>
      <c r="S1404">
        <f>IF($N1404="","",$N1404&amp;"|"&amp;RIGHT("000000"&amp;$R1404,6))</f>
        <v/>
      </c>
      <c r="T1404">
        <f>IF($N1404="","",IF(Sync!$N1404="",0,Sync!$N1404))</f>
        <v/>
      </c>
      <c r="U1404">
        <f>IF($N1404="","",IF(Sync!$O1404="",0,Sync!$O1404))</f>
        <v/>
      </c>
      <c r="V1404">
        <f>IF($N1404="","",Sync!$L1404)</f>
        <v/>
      </c>
      <c r="W1404">
        <f>IF($N1404="","",Sync!$P1404)</f>
        <v/>
      </c>
    </row>
    <row r="1405">
      <c r="N1405">
        <f>IF(OR(Sync!$M1405="",$Q1405="",$Q1405="نامعتبر"),"",Sync!$M1405)</f>
        <v/>
      </c>
      <c r="O1405">
        <f>IF($N1405="","",$Q1405)</f>
        <v/>
      </c>
      <c r="P1405">
        <f>IF($N1405="","",LEFT($Q1405,4)&amp;MID($Q1405,6,2)&amp;RIGHT($Q1405,2)&amp;IF(Sync!$K1405="","0000",IF(AND(ISNUMBER(Sync!$K1405),Sync!$K1405&gt;=0,Sync!$K1405&lt;1),RIGHT("00"&amp;HOUR(Sync!$K1405),2)&amp;RIGHT("00"&amp;MINUTE(Sync!$K1405),2),IFERROR(RIGHT("00"&amp;VALUE(LEFT(Sync!$K1405,FIND(":",Sync!$K1405)-1)),2)&amp;RIGHT("00"&amp;VALUE(MID(Sync!$K1405,FIND(":",Sync!$K1405)+1,2)),2),"0000")))&amp;"|"&amp;"2"&amp;RIGHT("00000"&amp;1400,5))</f>
        <v/>
      </c>
      <c r="Q1405">
        <f>IF(Sync!$J1405="","",IF(ISNUMBER(Sync!$J1405),IF(AND(Sync!$J1405&gt;=10000101,Sync!$J1405&lt;=99991231),INT(Sync!$J1405/10000)&amp;"/"&amp;RIGHT("00"&amp;INT(MOD(Sync!$J1405,10000)/100),2)&amp;"/"&amp;RIGHT("00"&amp;MOD(Sync!$J1405,100),2),"نامعتبر"),IF(LEN(Sync!$J1405)=10,Sync!$J1405,"نامعتبر")))</f>
        <v/>
      </c>
      <c r="R1405">
        <f>IF($P1405="","",COUNTIFS($N$6:$N$2005,$N1405,$P$6:$P$2005,"&lt;"&amp;$P1405)+COUNTIFS($A$6:$A$1005,$N1405,$B$6:$B$1005,"&lt;"&amp;$P1405)+1)</f>
        <v/>
      </c>
      <c r="S1405">
        <f>IF($N1405="","",$N1405&amp;"|"&amp;RIGHT("000000"&amp;$R1405,6))</f>
        <v/>
      </c>
      <c r="T1405">
        <f>IF($N1405="","",IF(Sync!$N1405="",0,Sync!$N1405))</f>
        <v/>
      </c>
      <c r="U1405">
        <f>IF($N1405="","",IF(Sync!$O1405="",0,Sync!$O1405))</f>
        <v/>
      </c>
      <c r="V1405">
        <f>IF($N1405="","",Sync!$L1405)</f>
        <v/>
      </c>
      <c r="W1405">
        <f>IF($N1405="","",Sync!$P1405)</f>
        <v/>
      </c>
    </row>
    <row r="1406">
      <c r="N1406">
        <f>IF(OR(Sync!$M1406="",$Q1406="",$Q1406="نامعتبر"),"",Sync!$M1406)</f>
        <v/>
      </c>
      <c r="O1406">
        <f>IF($N1406="","",$Q1406)</f>
        <v/>
      </c>
      <c r="P1406">
        <f>IF($N1406="","",LEFT($Q1406,4)&amp;MID($Q1406,6,2)&amp;RIGHT($Q1406,2)&amp;IF(Sync!$K1406="","0000",IF(AND(ISNUMBER(Sync!$K1406),Sync!$K1406&gt;=0,Sync!$K1406&lt;1),RIGHT("00"&amp;HOUR(Sync!$K1406),2)&amp;RIGHT("00"&amp;MINUTE(Sync!$K1406),2),IFERROR(RIGHT("00"&amp;VALUE(LEFT(Sync!$K1406,FIND(":",Sync!$K1406)-1)),2)&amp;RIGHT("00"&amp;VALUE(MID(Sync!$K1406,FIND(":",Sync!$K1406)+1,2)),2),"0000")))&amp;"|"&amp;"2"&amp;RIGHT("00000"&amp;1401,5))</f>
        <v/>
      </c>
      <c r="Q1406">
        <f>IF(Sync!$J1406="","",IF(ISNUMBER(Sync!$J1406),IF(AND(Sync!$J1406&gt;=10000101,Sync!$J1406&lt;=99991231),INT(Sync!$J1406/10000)&amp;"/"&amp;RIGHT("00"&amp;INT(MOD(Sync!$J1406,10000)/100),2)&amp;"/"&amp;RIGHT("00"&amp;MOD(Sync!$J1406,100),2),"نامعتبر"),IF(LEN(Sync!$J1406)=10,Sync!$J1406,"نامعتبر")))</f>
        <v/>
      </c>
      <c r="R1406">
        <f>IF($P1406="","",COUNTIFS($N$6:$N$2005,$N1406,$P$6:$P$2005,"&lt;"&amp;$P1406)+COUNTIFS($A$6:$A$1005,$N1406,$B$6:$B$1005,"&lt;"&amp;$P1406)+1)</f>
        <v/>
      </c>
      <c r="S1406">
        <f>IF($N1406="","",$N1406&amp;"|"&amp;RIGHT("000000"&amp;$R1406,6))</f>
        <v/>
      </c>
      <c r="T1406">
        <f>IF($N1406="","",IF(Sync!$N1406="",0,Sync!$N1406))</f>
        <v/>
      </c>
      <c r="U1406">
        <f>IF($N1406="","",IF(Sync!$O1406="",0,Sync!$O1406))</f>
        <v/>
      </c>
      <c r="V1406">
        <f>IF($N1406="","",Sync!$L1406)</f>
        <v/>
      </c>
      <c r="W1406">
        <f>IF($N1406="","",Sync!$P1406)</f>
        <v/>
      </c>
    </row>
    <row r="1407">
      <c r="N1407">
        <f>IF(OR(Sync!$M1407="",$Q1407="",$Q1407="نامعتبر"),"",Sync!$M1407)</f>
        <v/>
      </c>
      <c r="O1407">
        <f>IF($N1407="","",$Q1407)</f>
        <v/>
      </c>
      <c r="P1407">
        <f>IF($N1407="","",LEFT($Q1407,4)&amp;MID($Q1407,6,2)&amp;RIGHT($Q1407,2)&amp;IF(Sync!$K1407="","0000",IF(AND(ISNUMBER(Sync!$K1407),Sync!$K1407&gt;=0,Sync!$K1407&lt;1),RIGHT("00"&amp;HOUR(Sync!$K1407),2)&amp;RIGHT("00"&amp;MINUTE(Sync!$K1407),2),IFERROR(RIGHT("00"&amp;VALUE(LEFT(Sync!$K1407,FIND(":",Sync!$K1407)-1)),2)&amp;RIGHT("00"&amp;VALUE(MID(Sync!$K1407,FIND(":",Sync!$K1407)+1,2)),2),"0000")))&amp;"|"&amp;"2"&amp;RIGHT("00000"&amp;1402,5))</f>
        <v/>
      </c>
      <c r="Q1407">
        <f>IF(Sync!$J1407="","",IF(ISNUMBER(Sync!$J1407),IF(AND(Sync!$J1407&gt;=10000101,Sync!$J1407&lt;=99991231),INT(Sync!$J1407/10000)&amp;"/"&amp;RIGHT("00"&amp;INT(MOD(Sync!$J1407,10000)/100),2)&amp;"/"&amp;RIGHT("00"&amp;MOD(Sync!$J1407,100),2),"نامعتبر"),IF(LEN(Sync!$J1407)=10,Sync!$J1407,"نامعتبر")))</f>
        <v/>
      </c>
      <c r="R1407">
        <f>IF($P1407="","",COUNTIFS($N$6:$N$2005,$N1407,$P$6:$P$2005,"&lt;"&amp;$P1407)+COUNTIFS($A$6:$A$1005,$N1407,$B$6:$B$1005,"&lt;"&amp;$P1407)+1)</f>
        <v/>
      </c>
      <c r="S1407">
        <f>IF($N1407="","",$N1407&amp;"|"&amp;RIGHT("000000"&amp;$R1407,6))</f>
        <v/>
      </c>
      <c r="T1407">
        <f>IF($N1407="","",IF(Sync!$N1407="",0,Sync!$N1407))</f>
        <v/>
      </c>
      <c r="U1407">
        <f>IF($N1407="","",IF(Sync!$O1407="",0,Sync!$O1407))</f>
        <v/>
      </c>
      <c r="V1407">
        <f>IF($N1407="","",Sync!$L1407)</f>
        <v/>
      </c>
      <c r="W1407">
        <f>IF($N1407="","",Sync!$P1407)</f>
        <v/>
      </c>
    </row>
    <row r="1408">
      <c r="N1408">
        <f>IF(OR(Sync!$M1408="",$Q1408="",$Q1408="نامعتبر"),"",Sync!$M1408)</f>
        <v/>
      </c>
      <c r="O1408">
        <f>IF($N1408="","",$Q1408)</f>
        <v/>
      </c>
      <c r="P1408">
        <f>IF($N1408="","",LEFT($Q1408,4)&amp;MID($Q1408,6,2)&amp;RIGHT($Q1408,2)&amp;IF(Sync!$K1408="","0000",IF(AND(ISNUMBER(Sync!$K1408),Sync!$K1408&gt;=0,Sync!$K1408&lt;1),RIGHT("00"&amp;HOUR(Sync!$K1408),2)&amp;RIGHT("00"&amp;MINUTE(Sync!$K1408),2),IFERROR(RIGHT("00"&amp;VALUE(LEFT(Sync!$K1408,FIND(":",Sync!$K1408)-1)),2)&amp;RIGHT("00"&amp;VALUE(MID(Sync!$K1408,FIND(":",Sync!$K1408)+1,2)),2),"0000")))&amp;"|"&amp;"2"&amp;RIGHT("00000"&amp;1403,5))</f>
        <v/>
      </c>
      <c r="Q1408">
        <f>IF(Sync!$J1408="","",IF(ISNUMBER(Sync!$J1408),IF(AND(Sync!$J1408&gt;=10000101,Sync!$J1408&lt;=99991231),INT(Sync!$J1408/10000)&amp;"/"&amp;RIGHT("00"&amp;INT(MOD(Sync!$J1408,10000)/100),2)&amp;"/"&amp;RIGHT("00"&amp;MOD(Sync!$J1408,100),2),"نامعتبر"),IF(LEN(Sync!$J1408)=10,Sync!$J1408,"نامعتبر")))</f>
        <v/>
      </c>
      <c r="R1408">
        <f>IF($P1408="","",COUNTIFS($N$6:$N$2005,$N1408,$P$6:$P$2005,"&lt;"&amp;$P1408)+COUNTIFS($A$6:$A$1005,$N1408,$B$6:$B$1005,"&lt;"&amp;$P1408)+1)</f>
        <v/>
      </c>
      <c r="S1408">
        <f>IF($N1408="","",$N1408&amp;"|"&amp;RIGHT("000000"&amp;$R1408,6))</f>
        <v/>
      </c>
      <c r="T1408">
        <f>IF($N1408="","",IF(Sync!$N1408="",0,Sync!$N1408))</f>
        <v/>
      </c>
      <c r="U1408">
        <f>IF($N1408="","",IF(Sync!$O1408="",0,Sync!$O1408))</f>
        <v/>
      </c>
      <c r="V1408">
        <f>IF($N1408="","",Sync!$L1408)</f>
        <v/>
      </c>
      <c r="W1408">
        <f>IF($N1408="","",Sync!$P1408)</f>
        <v/>
      </c>
    </row>
    <row r="1409">
      <c r="N1409">
        <f>IF(OR(Sync!$M1409="",$Q1409="",$Q1409="نامعتبر"),"",Sync!$M1409)</f>
        <v/>
      </c>
      <c r="O1409">
        <f>IF($N1409="","",$Q1409)</f>
        <v/>
      </c>
      <c r="P1409">
        <f>IF($N1409="","",LEFT($Q1409,4)&amp;MID($Q1409,6,2)&amp;RIGHT($Q1409,2)&amp;IF(Sync!$K1409="","0000",IF(AND(ISNUMBER(Sync!$K1409),Sync!$K1409&gt;=0,Sync!$K1409&lt;1),RIGHT("00"&amp;HOUR(Sync!$K1409),2)&amp;RIGHT("00"&amp;MINUTE(Sync!$K1409),2),IFERROR(RIGHT("00"&amp;VALUE(LEFT(Sync!$K1409,FIND(":",Sync!$K1409)-1)),2)&amp;RIGHT("00"&amp;VALUE(MID(Sync!$K1409,FIND(":",Sync!$K1409)+1,2)),2),"0000")))&amp;"|"&amp;"2"&amp;RIGHT("00000"&amp;1404,5))</f>
        <v/>
      </c>
      <c r="Q1409">
        <f>IF(Sync!$J1409="","",IF(ISNUMBER(Sync!$J1409),IF(AND(Sync!$J1409&gt;=10000101,Sync!$J1409&lt;=99991231),INT(Sync!$J1409/10000)&amp;"/"&amp;RIGHT("00"&amp;INT(MOD(Sync!$J1409,10000)/100),2)&amp;"/"&amp;RIGHT("00"&amp;MOD(Sync!$J1409,100),2),"نامعتبر"),IF(LEN(Sync!$J1409)=10,Sync!$J1409,"نامعتبر")))</f>
        <v/>
      </c>
      <c r="R1409">
        <f>IF($P1409="","",COUNTIFS($N$6:$N$2005,$N1409,$P$6:$P$2005,"&lt;"&amp;$P1409)+COUNTIFS($A$6:$A$1005,$N1409,$B$6:$B$1005,"&lt;"&amp;$P1409)+1)</f>
        <v/>
      </c>
      <c r="S1409">
        <f>IF($N1409="","",$N1409&amp;"|"&amp;RIGHT("000000"&amp;$R1409,6))</f>
        <v/>
      </c>
      <c r="T1409">
        <f>IF($N1409="","",IF(Sync!$N1409="",0,Sync!$N1409))</f>
        <v/>
      </c>
      <c r="U1409">
        <f>IF($N1409="","",IF(Sync!$O1409="",0,Sync!$O1409))</f>
        <v/>
      </c>
      <c r="V1409">
        <f>IF($N1409="","",Sync!$L1409)</f>
        <v/>
      </c>
      <c r="W1409">
        <f>IF($N1409="","",Sync!$P1409)</f>
        <v/>
      </c>
    </row>
    <row r="1410">
      <c r="N1410">
        <f>IF(OR(Sync!$M1410="",$Q1410="",$Q1410="نامعتبر"),"",Sync!$M1410)</f>
        <v/>
      </c>
      <c r="O1410">
        <f>IF($N1410="","",$Q1410)</f>
        <v/>
      </c>
      <c r="P1410">
        <f>IF($N1410="","",LEFT($Q1410,4)&amp;MID($Q1410,6,2)&amp;RIGHT($Q1410,2)&amp;IF(Sync!$K1410="","0000",IF(AND(ISNUMBER(Sync!$K1410),Sync!$K1410&gt;=0,Sync!$K1410&lt;1),RIGHT("00"&amp;HOUR(Sync!$K1410),2)&amp;RIGHT("00"&amp;MINUTE(Sync!$K1410),2),IFERROR(RIGHT("00"&amp;VALUE(LEFT(Sync!$K1410,FIND(":",Sync!$K1410)-1)),2)&amp;RIGHT("00"&amp;VALUE(MID(Sync!$K1410,FIND(":",Sync!$K1410)+1,2)),2),"0000")))&amp;"|"&amp;"2"&amp;RIGHT("00000"&amp;1405,5))</f>
        <v/>
      </c>
      <c r="Q1410">
        <f>IF(Sync!$J1410="","",IF(ISNUMBER(Sync!$J1410),IF(AND(Sync!$J1410&gt;=10000101,Sync!$J1410&lt;=99991231),INT(Sync!$J1410/10000)&amp;"/"&amp;RIGHT("00"&amp;INT(MOD(Sync!$J1410,10000)/100),2)&amp;"/"&amp;RIGHT("00"&amp;MOD(Sync!$J1410,100),2),"نامعتبر"),IF(LEN(Sync!$J1410)=10,Sync!$J1410,"نامعتبر")))</f>
        <v/>
      </c>
      <c r="R1410">
        <f>IF($P1410="","",COUNTIFS($N$6:$N$2005,$N1410,$P$6:$P$2005,"&lt;"&amp;$P1410)+COUNTIFS($A$6:$A$1005,$N1410,$B$6:$B$1005,"&lt;"&amp;$P1410)+1)</f>
        <v/>
      </c>
      <c r="S1410">
        <f>IF($N1410="","",$N1410&amp;"|"&amp;RIGHT("000000"&amp;$R1410,6))</f>
        <v/>
      </c>
      <c r="T1410">
        <f>IF($N1410="","",IF(Sync!$N1410="",0,Sync!$N1410))</f>
        <v/>
      </c>
      <c r="U1410">
        <f>IF($N1410="","",IF(Sync!$O1410="",0,Sync!$O1410))</f>
        <v/>
      </c>
      <c r="V1410">
        <f>IF($N1410="","",Sync!$L1410)</f>
        <v/>
      </c>
      <c r="W1410">
        <f>IF($N1410="","",Sync!$P1410)</f>
        <v/>
      </c>
    </row>
    <row r="1411">
      <c r="N1411">
        <f>IF(OR(Sync!$M1411="",$Q1411="",$Q1411="نامعتبر"),"",Sync!$M1411)</f>
        <v/>
      </c>
      <c r="O1411">
        <f>IF($N1411="","",$Q1411)</f>
        <v/>
      </c>
      <c r="P1411">
        <f>IF($N1411="","",LEFT($Q1411,4)&amp;MID($Q1411,6,2)&amp;RIGHT($Q1411,2)&amp;IF(Sync!$K1411="","0000",IF(AND(ISNUMBER(Sync!$K1411),Sync!$K1411&gt;=0,Sync!$K1411&lt;1),RIGHT("00"&amp;HOUR(Sync!$K1411),2)&amp;RIGHT("00"&amp;MINUTE(Sync!$K1411),2),IFERROR(RIGHT("00"&amp;VALUE(LEFT(Sync!$K1411,FIND(":",Sync!$K1411)-1)),2)&amp;RIGHT("00"&amp;VALUE(MID(Sync!$K1411,FIND(":",Sync!$K1411)+1,2)),2),"0000")))&amp;"|"&amp;"2"&amp;RIGHT("00000"&amp;1406,5))</f>
        <v/>
      </c>
      <c r="Q1411">
        <f>IF(Sync!$J1411="","",IF(ISNUMBER(Sync!$J1411),IF(AND(Sync!$J1411&gt;=10000101,Sync!$J1411&lt;=99991231),INT(Sync!$J1411/10000)&amp;"/"&amp;RIGHT("00"&amp;INT(MOD(Sync!$J1411,10000)/100),2)&amp;"/"&amp;RIGHT("00"&amp;MOD(Sync!$J1411,100),2),"نامعتبر"),IF(LEN(Sync!$J1411)=10,Sync!$J1411,"نامعتبر")))</f>
        <v/>
      </c>
      <c r="R1411">
        <f>IF($P1411="","",COUNTIFS($N$6:$N$2005,$N1411,$P$6:$P$2005,"&lt;"&amp;$P1411)+COUNTIFS($A$6:$A$1005,$N1411,$B$6:$B$1005,"&lt;"&amp;$P1411)+1)</f>
        <v/>
      </c>
      <c r="S1411">
        <f>IF($N1411="","",$N1411&amp;"|"&amp;RIGHT("000000"&amp;$R1411,6))</f>
        <v/>
      </c>
      <c r="T1411">
        <f>IF($N1411="","",IF(Sync!$N1411="",0,Sync!$N1411))</f>
        <v/>
      </c>
      <c r="U1411">
        <f>IF($N1411="","",IF(Sync!$O1411="",0,Sync!$O1411))</f>
        <v/>
      </c>
      <c r="V1411">
        <f>IF($N1411="","",Sync!$L1411)</f>
        <v/>
      </c>
      <c r="W1411">
        <f>IF($N1411="","",Sync!$P1411)</f>
        <v/>
      </c>
    </row>
    <row r="1412">
      <c r="N1412">
        <f>IF(OR(Sync!$M1412="",$Q1412="",$Q1412="نامعتبر"),"",Sync!$M1412)</f>
        <v/>
      </c>
      <c r="O1412">
        <f>IF($N1412="","",$Q1412)</f>
        <v/>
      </c>
      <c r="P1412">
        <f>IF($N1412="","",LEFT($Q1412,4)&amp;MID($Q1412,6,2)&amp;RIGHT($Q1412,2)&amp;IF(Sync!$K1412="","0000",IF(AND(ISNUMBER(Sync!$K1412),Sync!$K1412&gt;=0,Sync!$K1412&lt;1),RIGHT("00"&amp;HOUR(Sync!$K1412),2)&amp;RIGHT("00"&amp;MINUTE(Sync!$K1412),2),IFERROR(RIGHT("00"&amp;VALUE(LEFT(Sync!$K1412,FIND(":",Sync!$K1412)-1)),2)&amp;RIGHT("00"&amp;VALUE(MID(Sync!$K1412,FIND(":",Sync!$K1412)+1,2)),2),"0000")))&amp;"|"&amp;"2"&amp;RIGHT("00000"&amp;1407,5))</f>
        <v/>
      </c>
      <c r="Q1412">
        <f>IF(Sync!$J1412="","",IF(ISNUMBER(Sync!$J1412),IF(AND(Sync!$J1412&gt;=10000101,Sync!$J1412&lt;=99991231),INT(Sync!$J1412/10000)&amp;"/"&amp;RIGHT("00"&amp;INT(MOD(Sync!$J1412,10000)/100),2)&amp;"/"&amp;RIGHT("00"&amp;MOD(Sync!$J1412,100),2),"نامعتبر"),IF(LEN(Sync!$J1412)=10,Sync!$J1412,"نامعتبر")))</f>
        <v/>
      </c>
      <c r="R1412">
        <f>IF($P1412="","",COUNTIFS($N$6:$N$2005,$N1412,$P$6:$P$2005,"&lt;"&amp;$P1412)+COUNTIFS($A$6:$A$1005,$N1412,$B$6:$B$1005,"&lt;"&amp;$P1412)+1)</f>
        <v/>
      </c>
      <c r="S1412">
        <f>IF($N1412="","",$N1412&amp;"|"&amp;RIGHT("000000"&amp;$R1412,6))</f>
        <v/>
      </c>
      <c r="T1412">
        <f>IF($N1412="","",IF(Sync!$N1412="",0,Sync!$N1412))</f>
        <v/>
      </c>
      <c r="U1412">
        <f>IF($N1412="","",IF(Sync!$O1412="",0,Sync!$O1412))</f>
        <v/>
      </c>
      <c r="V1412">
        <f>IF($N1412="","",Sync!$L1412)</f>
        <v/>
      </c>
      <c r="W1412">
        <f>IF($N1412="","",Sync!$P1412)</f>
        <v/>
      </c>
    </row>
    <row r="1413">
      <c r="N1413">
        <f>IF(OR(Sync!$M1413="",$Q1413="",$Q1413="نامعتبر"),"",Sync!$M1413)</f>
        <v/>
      </c>
      <c r="O1413">
        <f>IF($N1413="","",$Q1413)</f>
        <v/>
      </c>
      <c r="P1413">
        <f>IF($N1413="","",LEFT($Q1413,4)&amp;MID($Q1413,6,2)&amp;RIGHT($Q1413,2)&amp;IF(Sync!$K1413="","0000",IF(AND(ISNUMBER(Sync!$K1413),Sync!$K1413&gt;=0,Sync!$K1413&lt;1),RIGHT("00"&amp;HOUR(Sync!$K1413),2)&amp;RIGHT("00"&amp;MINUTE(Sync!$K1413),2),IFERROR(RIGHT("00"&amp;VALUE(LEFT(Sync!$K1413,FIND(":",Sync!$K1413)-1)),2)&amp;RIGHT("00"&amp;VALUE(MID(Sync!$K1413,FIND(":",Sync!$K1413)+1,2)),2),"0000")))&amp;"|"&amp;"2"&amp;RIGHT("00000"&amp;1408,5))</f>
        <v/>
      </c>
      <c r="Q1413">
        <f>IF(Sync!$J1413="","",IF(ISNUMBER(Sync!$J1413),IF(AND(Sync!$J1413&gt;=10000101,Sync!$J1413&lt;=99991231),INT(Sync!$J1413/10000)&amp;"/"&amp;RIGHT("00"&amp;INT(MOD(Sync!$J1413,10000)/100),2)&amp;"/"&amp;RIGHT("00"&amp;MOD(Sync!$J1413,100),2),"نامعتبر"),IF(LEN(Sync!$J1413)=10,Sync!$J1413,"نامعتبر")))</f>
        <v/>
      </c>
      <c r="R1413">
        <f>IF($P1413="","",COUNTIFS($N$6:$N$2005,$N1413,$P$6:$P$2005,"&lt;"&amp;$P1413)+COUNTIFS($A$6:$A$1005,$N1413,$B$6:$B$1005,"&lt;"&amp;$P1413)+1)</f>
        <v/>
      </c>
      <c r="S1413">
        <f>IF($N1413="","",$N1413&amp;"|"&amp;RIGHT("000000"&amp;$R1413,6))</f>
        <v/>
      </c>
      <c r="T1413">
        <f>IF($N1413="","",IF(Sync!$N1413="",0,Sync!$N1413))</f>
        <v/>
      </c>
      <c r="U1413">
        <f>IF($N1413="","",IF(Sync!$O1413="",0,Sync!$O1413))</f>
        <v/>
      </c>
      <c r="V1413">
        <f>IF($N1413="","",Sync!$L1413)</f>
        <v/>
      </c>
      <c r="W1413">
        <f>IF($N1413="","",Sync!$P1413)</f>
        <v/>
      </c>
    </row>
    <row r="1414">
      <c r="N1414">
        <f>IF(OR(Sync!$M1414="",$Q1414="",$Q1414="نامعتبر"),"",Sync!$M1414)</f>
        <v/>
      </c>
      <c r="O1414">
        <f>IF($N1414="","",$Q1414)</f>
        <v/>
      </c>
      <c r="P1414">
        <f>IF($N1414="","",LEFT($Q1414,4)&amp;MID($Q1414,6,2)&amp;RIGHT($Q1414,2)&amp;IF(Sync!$K1414="","0000",IF(AND(ISNUMBER(Sync!$K1414),Sync!$K1414&gt;=0,Sync!$K1414&lt;1),RIGHT("00"&amp;HOUR(Sync!$K1414),2)&amp;RIGHT("00"&amp;MINUTE(Sync!$K1414),2),IFERROR(RIGHT("00"&amp;VALUE(LEFT(Sync!$K1414,FIND(":",Sync!$K1414)-1)),2)&amp;RIGHT("00"&amp;VALUE(MID(Sync!$K1414,FIND(":",Sync!$K1414)+1,2)),2),"0000")))&amp;"|"&amp;"2"&amp;RIGHT("00000"&amp;1409,5))</f>
        <v/>
      </c>
      <c r="Q1414">
        <f>IF(Sync!$J1414="","",IF(ISNUMBER(Sync!$J1414),IF(AND(Sync!$J1414&gt;=10000101,Sync!$J1414&lt;=99991231),INT(Sync!$J1414/10000)&amp;"/"&amp;RIGHT("00"&amp;INT(MOD(Sync!$J1414,10000)/100),2)&amp;"/"&amp;RIGHT("00"&amp;MOD(Sync!$J1414,100),2),"نامعتبر"),IF(LEN(Sync!$J1414)=10,Sync!$J1414,"نامعتبر")))</f>
        <v/>
      </c>
      <c r="R1414">
        <f>IF($P1414="","",COUNTIFS($N$6:$N$2005,$N1414,$P$6:$P$2005,"&lt;"&amp;$P1414)+COUNTIFS($A$6:$A$1005,$N1414,$B$6:$B$1005,"&lt;"&amp;$P1414)+1)</f>
        <v/>
      </c>
      <c r="S1414">
        <f>IF($N1414="","",$N1414&amp;"|"&amp;RIGHT("000000"&amp;$R1414,6))</f>
        <v/>
      </c>
      <c r="T1414">
        <f>IF($N1414="","",IF(Sync!$N1414="",0,Sync!$N1414))</f>
        <v/>
      </c>
      <c r="U1414">
        <f>IF($N1414="","",IF(Sync!$O1414="",0,Sync!$O1414))</f>
        <v/>
      </c>
      <c r="V1414">
        <f>IF($N1414="","",Sync!$L1414)</f>
        <v/>
      </c>
      <c r="W1414">
        <f>IF($N1414="","",Sync!$P1414)</f>
        <v/>
      </c>
    </row>
    <row r="1415">
      <c r="N1415">
        <f>IF(OR(Sync!$M1415="",$Q1415="",$Q1415="نامعتبر"),"",Sync!$M1415)</f>
        <v/>
      </c>
      <c r="O1415">
        <f>IF($N1415="","",$Q1415)</f>
        <v/>
      </c>
      <c r="P1415">
        <f>IF($N1415="","",LEFT($Q1415,4)&amp;MID($Q1415,6,2)&amp;RIGHT($Q1415,2)&amp;IF(Sync!$K1415="","0000",IF(AND(ISNUMBER(Sync!$K1415),Sync!$K1415&gt;=0,Sync!$K1415&lt;1),RIGHT("00"&amp;HOUR(Sync!$K1415),2)&amp;RIGHT("00"&amp;MINUTE(Sync!$K1415),2),IFERROR(RIGHT("00"&amp;VALUE(LEFT(Sync!$K1415,FIND(":",Sync!$K1415)-1)),2)&amp;RIGHT("00"&amp;VALUE(MID(Sync!$K1415,FIND(":",Sync!$K1415)+1,2)),2),"0000")))&amp;"|"&amp;"2"&amp;RIGHT("00000"&amp;1410,5))</f>
        <v/>
      </c>
      <c r="Q1415">
        <f>IF(Sync!$J1415="","",IF(ISNUMBER(Sync!$J1415),IF(AND(Sync!$J1415&gt;=10000101,Sync!$J1415&lt;=99991231),INT(Sync!$J1415/10000)&amp;"/"&amp;RIGHT("00"&amp;INT(MOD(Sync!$J1415,10000)/100),2)&amp;"/"&amp;RIGHT("00"&amp;MOD(Sync!$J1415,100),2),"نامعتبر"),IF(LEN(Sync!$J1415)=10,Sync!$J1415,"نامعتبر")))</f>
        <v/>
      </c>
      <c r="R1415">
        <f>IF($P1415="","",COUNTIFS($N$6:$N$2005,$N1415,$P$6:$P$2005,"&lt;"&amp;$P1415)+COUNTIFS($A$6:$A$1005,$N1415,$B$6:$B$1005,"&lt;"&amp;$P1415)+1)</f>
        <v/>
      </c>
      <c r="S1415">
        <f>IF($N1415="","",$N1415&amp;"|"&amp;RIGHT("000000"&amp;$R1415,6))</f>
        <v/>
      </c>
      <c r="T1415">
        <f>IF($N1415="","",IF(Sync!$N1415="",0,Sync!$N1415))</f>
        <v/>
      </c>
      <c r="U1415">
        <f>IF($N1415="","",IF(Sync!$O1415="",0,Sync!$O1415))</f>
        <v/>
      </c>
      <c r="V1415">
        <f>IF($N1415="","",Sync!$L1415)</f>
        <v/>
      </c>
      <c r="W1415">
        <f>IF($N1415="","",Sync!$P1415)</f>
        <v/>
      </c>
    </row>
    <row r="1416">
      <c r="N1416">
        <f>IF(OR(Sync!$M1416="",$Q1416="",$Q1416="نامعتبر"),"",Sync!$M1416)</f>
        <v/>
      </c>
      <c r="O1416">
        <f>IF($N1416="","",$Q1416)</f>
        <v/>
      </c>
      <c r="P1416">
        <f>IF($N1416="","",LEFT($Q1416,4)&amp;MID($Q1416,6,2)&amp;RIGHT($Q1416,2)&amp;IF(Sync!$K1416="","0000",IF(AND(ISNUMBER(Sync!$K1416),Sync!$K1416&gt;=0,Sync!$K1416&lt;1),RIGHT("00"&amp;HOUR(Sync!$K1416),2)&amp;RIGHT("00"&amp;MINUTE(Sync!$K1416),2),IFERROR(RIGHT("00"&amp;VALUE(LEFT(Sync!$K1416,FIND(":",Sync!$K1416)-1)),2)&amp;RIGHT("00"&amp;VALUE(MID(Sync!$K1416,FIND(":",Sync!$K1416)+1,2)),2),"0000")))&amp;"|"&amp;"2"&amp;RIGHT("00000"&amp;1411,5))</f>
        <v/>
      </c>
      <c r="Q1416">
        <f>IF(Sync!$J1416="","",IF(ISNUMBER(Sync!$J1416),IF(AND(Sync!$J1416&gt;=10000101,Sync!$J1416&lt;=99991231),INT(Sync!$J1416/10000)&amp;"/"&amp;RIGHT("00"&amp;INT(MOD(Sync!$J1416,10000)/100),2)&amp;"/"&amp;RIGHT("00"&amp;MOD(Sync!$J1416,100),2),"نامعتبر"),IF(LEN(Sync!$J1416)=10,Sync!$J1416,"نامعتبر")))</f>
        <v/>
      </c>
      <c r="R1416">
        <f>IF($P1416="","",COUNTIFS($N$6:$N$2005,$N1416,$P$6:$P$2005,"&lt;"&amp;$P1416)+COUNTIFS($A$6:$A$1005,$N1416,$B$6:$B$1005,"&lt;"&amp;$P1416)+1)</f>
        <v/>
      </c>
      <c r="S1416">
        <f>IF($N1416="","",$N1416&amp;"|"&amp;RIGHT("000000"&amp;$R1416,6))</f>
        <v/>
      </c>
      <c r="T1416">
        <f>IF($N1416="","",IF(Sync!$N1416="",0,Sync!$N1416))</f>
        <v/>
      </c>
      <c r="U1416">
        <f>IF($N1416="","",IF(Sync!$O1416="",0,Sync!$O1416))</f>
        <v/>
      </c>
      <c r="V1416">
        <f>IF($N1416="","",Sync!$L1416)</f>
        <v/>
      </c>
      <c r="W1416">
        <f>IF($N1416="","",Sync!$P1416)</f>
        <v/>
      </c>
    </row>
    <row r="1417">
      <c r="N1417">
        <f>IF(OR(Sync!$M1417="",$Q1417="",$Q1417="نامعتبر"),"",Sync!$M1417)</f>
        <v/>
      </c>
      <c r="O1417">
        <f>IF($N1417="","",$Q1417)</f>
        <v/>
      </c>
      <c r="P1417">
        <f>IF($N1417="","",LEFT($Q1417,4)&amp;MID($Q1417,6,2)&amp;RIGHT($Q1417,2)&amp;IF(Sync!$K1417="","0000",IF(AND(ISNUMBER(Sync!$K1417),Sync!$K1417&gt;=0,Sync!$K1417&lt;1),RIGHT("00"&amp;HOUR(Sync!$K1417),2)&amp;RIGHT("00"&amp;MINUTE(Sync!$K1417),2),IFERROR(RIGHT("00"&amp;VALUE(LEFT(Sync!$K1417,FIND(":",Sync!$K1417)-1)),2)&amp;RIGHT("00"&amp;VALUE(MID(Sync!$K1417,FIND(":",Sync!$K1417)+1,2)),2),"0000")))&amp;"|"&amp;"2"&amp;RIGHT("00000"&amp;1412,5))</f>
        <v/>
      </c>
      <c r="Q1417">
        <f>IF(Sync!$J1417="","",IF(ISNUMBER(Sync!$J1417),IF(AND(Sync!$J1417&gt;=10000101,Sync!$J1417&lt;=99991231),INT(Sync!$J1417/10000)&amp;"/"&amp;RIGHT("00"&amp;INT(MOD(Sync!$J1417,10000)/100),2)&amp;"/"&amp;RIGHT("00"&amp;MOD(Sync!$J1417,100),2),"نامعتبر"),IF(LEN(Sync!$J1417)=10,Sync!$J1417,"نامعتبر")))</f>
        <v/>
      </c>
      <c r="R1417">
        <f>IF($P1417="","",COUNTIFS($N$6:$N$2005,$N1417,$P$6:$P$2005,"&lt;"&amp;$P1417)+COUNTIFS($A$6:$A$1005,$N1417,$B$6:$B$1005,"&lt;"&amp;$P1417)+1)</f>
        <v/>
      </c>
      <c r="S1417">
        <f>IF($N1417="","",$N1417&amp;"|"&amp;RIGHT("000000"&amp;$R1417,6))</f>
        <v/>
      </c>
      <c r="T1417">
        <f>IF($N1417="","",IF(Sync!$N1417="",0,Sync!$N1417))</f>
        <v/>
      </c>
      <c r="U1417">
        <f>IF($N1417="","",IF(Sync!$O1417="",0,Sync!$O1417))</f>
        <v/>
      </c>
      <c r="V1417">
        <f>IF($N1417="","",Sync!$L1417)</f>
        <v/>
      </c>
      <c r="W1417">
        <f>IF($N1417="","",Sync!$P1417)</f>
        <v/>
      </c>
    </row>
    <row r="1418">
      <c r="N1418">
        <f>IF(OR(Sync!$M1418="",$Q1418="",$Q1418="نامعتبر"),"",Sync!$M1418)</f>
        <v/>
      </c>
      <c r="O1418">
        <f>IF($N1418="","",$Q1418)</f>
        <v/>
      </c>
      <c r="P1418">
        <f>IF($N1418="","",LEFT($Q1418,4)&amp;MID($Q1418,6,2)&amp;RIGHT($Q1418,2)&amp;IF(Sync!$K1418="","0000",IF(AND(ISNUMBER(Sync!$K1418),Sync!$K1418&gt;=0,Sync!$K1418&lt;1),RIGHT("00"&amp;HOUR(Sync!$K1418),2)&amp;RIGHT("00"&amp;MINUTE(Sync!$K1418),2),IFERROR(RIGHT("00"&amp;VALUE(LEFT(Sync!$K1418,FIND(":",Sync!$K1418)-1)),2)&amp;RIGHT("00"&amp;VALUE(MID(Sync!$K1418,FIND(":",Sync!$K1418)+1,2)),2),"0000")))&amp;"|"&amp;"2"&amp;RIGHT("00000"&amp;1413,5))</f>
        <v/>
      </c>
      <c r="Q1418">
        <f>IF(Sync!$J1418="","",IF(ISNUMBER(Sync!$J1418),IF(AND(Sync!$J1418&gt;=10000101,Sync!$J1418&lt;=99991231),INT(Sync!$J1418/10000)&amp;"/"&amp;RIGHT("00"&amp;INT(MOD(Sync!$J1418,10000)/100),2)&amp;"/"&amp;RIGHT("00"&amp;MOD(Sync!$J1418,100),2),"نامعتبر"),IF(LEN(Sync!$J1418)=10,Sync!$J1418,"نامعتبر")))</f>
        <v/>
      </c>
      <c r="R1418">
        <f>IF($P1418="","",COUNTIFS($N$6:$N$2005,$N1418,$P$6:$P$2005,"&lt;"&amp;$P1418)+COUNTIFS($A$6:$A$1005,$N1418,$B$6:$B$1005,"&lt;"&amp;$P1418)+1)</f>
        <v/>
      </c>
      <c r="S1418">
        <f>IF($N1418="","",$N1418&amp;"|"&amp;RIGHT("000000"&amp;$R1418,6))</f>
        <v/>
      </c>
      <c r="T1418">
        <f>IF($N1418="","",IF(Sync!$N1418="",0,Sync!$N1418))</f>
        <v/>
      </c>
      <c r="U1418">
        <f>IF($N1418="","",IF(Sync!$O1418="",0,Sync!$O1418))</f>
        <v/>
      </c>
      <c r="V1418">
        <f>IF($N1418="","",Sync!$L1418)</f>
        <v/>
      </c>
      <c r="W1418">
        <f>IF($N1418="","",Sync!$P1418)</f>
        <v/>
      </c>
    </row>
    <row r="1419">
      <c r="N1419">
        <f>IF(OR(Sync!$M1419="",$Q1419="",$Q1419="نامعتبر"),"",Sync!$M1419)</f>
        <v/>
      </c>
      <c r="O1419">
        <f>IF($N1419="","",$Q1419)</f>
        <v/>
      </c>
      <c r="P1419">
        <f>IF($N1419="","",LEFT($Q1419,4)&amp;MID($Q1419,6,2)&amp;RIGHT($Q1419,2)&amp;IF(Sync!$K1419="","0000",IF(AND(ISNUMBER(Sync!$K1419),Sync!$K1419&gt;=0,Sync!$K1419&lt;1),RIGHT("00"&amp;HOUR(Sync!$K1419),2)&amp;RIGHT("00"&amp;MINUTE(Sync!$K1419),2),IFERROR(RIGHT("00"&amp;VALUE(LEFT(Sync!$K1419,FIND(":",Sync!$K1419)-1)),2)&amp;RIGHT("00"&amp;VALUE(MID(Sync!$K1419,FIND(":",Sync!$K1419)+1,2)),2),"0000")))&amp;"|"&amp;"2"&amp;RIGHT("00000"&amp;1414,5))</f>
        <v/>
      </c>
      <c r="Q1419">
        <f>IF(Sync!$J1419="","",IF(ISNUMBER(Sync!$J1419),IF(AND(Sync!$J1419&gt;=10000101,Sync!$J1419&lt;=99991231),INT(Sync!$J1419/10000)&amp;"/"&amp;RIGHT("00"&amp;INT(MOD(Sync!$J1419,10000)/100),2)&amp;"/"&amp;RIGHT("00"&amp;MOD(Sync!$J1419,100),2),"نامعتبر"),IF(LEN(Sync!$J1419)=10,Sync!$J1419,"نامعتبر")))</f>
        <v/>
      </c>
      <c r="R1419">
        <f>IF($P1419="","",COUNTIFS($N$6:$N$2005,$N1419,$P$6:$P$2005,"&lt;"&amp;$P1419)+COUNTIFS($A$6:$A$1005,$N1419,$B$6:$B$1005,"&lt;"&amp;$P1419)+1)</f>
        <v/>
      </c>
      <c r="S1419">
        <f>IF($N1419="","",$N1419&amp;"|"&amp;RIGHT("000000"&amp;$R1419,6))</f>
        <v/>
      </c>
      <c r="T1419">
        <f>IF($N1419="","",IF(Sync!$N1419="",0,Sync!$N1419))</f>
        <v/>
      </c>
      <c r="U1419">
        <f>IF($N1419="","",IF(Sync!$O1419="",0,Sync!$O1419))</f>
        <v/>
      </c>
      <c r="V1419">
        <f>IF($N1419="","",Sync!$L1419)</f>
        <v/>
      </c>
      <c r="W1419">
        <f>IF($N1419="","",Sync!$P1419)</f>
        <v/>
      </c>
    </row>
    <row r="1420">
      <c r="N1420">
        <f>IF(OR(Sync!$M1420="",$Q1420="",$Q1420="نامعتبر"),"",Sync!$M1420)</f>
        <v/>
      </c>
      <c r="O1420">
        <f>IF($N1420="","",$Q1420)</f>
        <v/>
      </c>
      <c r="P1420">
        <f>IF($N1420="","",LEFT($Q1420,4)&amp;MID($Q1420,6,2)&amp;RIGHT($Q1420,2)&amp;IF(Sync!$K1420="","0000",IF(AND(ISNUMBER(Sync!$K1420),Sync!$K1420&gt;=0,Sync!$K1420&lt;1),RIGHT("00"&amp;HOUR(Sync!$K1420),2)&amp;RIGHT("00"&amp;MINUTE(Sync!$K1420),2),IFERROR(RIGHT("00"&amp;VALUE(LEFT(Sync!$K1420,FIND(":",Sync!$K1420)-1)),2)&amp;RIGHT("00"&amp;VALUE(MID(Sync!$K1420,FIND(":",Sync!$K1420)+1,2)),2),"0000")))&amp;"|"&amp;"2"&amp;RIGHT("00000"&amp;1415,5))</f>
        <v/>
      </c>
      <c r="Q1420">
        <f>IF(Sync!$J1420="","",IF(ISNUMBER(Sync!$J1420),IF(AND(Sync!$J1420&gt;=10000101,Sync!$J1420&lt;=99991231),INT(Sync!$J1420/10000)&amp;"/"&amp;RIGHT("00"&amp;INT(MOD(Sync!$J1420,10000)/100),2)&amp;"/"&amp;RIGHT("00"&amp;MOD(Sync!$J1420,100),2),"نامعتبر"),IF(LEN(Sync!$J1420)=10,Sync!$J1420,"نامعتبر")))</f>
        <v/>
      </c>
      <c r="R1420">
        <f>IF($P1420="","",COUNTIFS($N$6:$N$2005,$N1420,$P$6:$P$2005,"&lt;"&amp;$P1420)+COUNTIFS($A$6:$A$1005,$N1420,$B$6:$B$1005,"&lt;"&amp;$P1420)+1)</f>
        <v/>
      </c>
      <c r="S1420">
        <f>IF($N1420="","",$N1420&amp;"|"&amp;RIGHT("000000"&amp;$R1420,6))</f>
        <v/>
      </c>
      <c r="T1420">
        <f>IF($N1420="","",IF(Sync!$N1420="",0,Sync!$N1420))</f>
        <v/>
      </c>
      <c r="U1420">
        <f>IF($N1420="","",IF(Sync!$O1420="",0,Sync!$O1420))</f>
        <v/>
      </c>
      <c r="V1420">
        <f>IF($N1420="","",Sync!$L1420)</f>
        <v/>
      </c>
      <c r="W1420">
        <f>IF($N1420="","",Sync!$P1420)</f>
        <v/>
      </c>
    </row>
    <row r="1421">
      <c r="N1421">
        <f>IF(OR(Sync!$M1421="",$Q1421="",$Q1421="نامعتبر"),"",Sync!$M1421)</f>
        <v/>
      </c>
      <c r="O1421">
        <f>IF($N1421="","",$Q1421)</f>
        <v/>
      </c>
      <c r="P1421">
        <f>IF($N1421="","",LEFT($Q1421,4)&amp;MID($Q1421,6,2)&amp;RIGHT($Q1421,2)&amp;IF(Sync!$K1421="","0000",IF(AND(ISNUMBER(Sync!$K1421),Sync!$K1421&gt;=0,Sync!$K1421&lt;1),RIGHT("00"&amp;HOUR(Sync!$K1421),2)&amp;RIGHT("00"&amp;MINUTE(Sync!$K1421),2),IFERROR(RIGHT("00"&amp;VALUE(LEFT(Sync!$K1421,FIND(":",Sync!$K1421)-1)),2)&amp;RIGHT("00"&amp;VALUE(MID(Sync!$K1421,FIND(":",Sync!$K1421)+1,2)),2),"0000")))&amp;"|"&amp;"2"&amp;RIGHT("00000"&amp;1416,5))</f>
        <v/>
      </c>
      <c r="Q1421">
        <f>IF(Sync!$J1421="","",IF(ISNUMBER(Sync!$J1421),IF(AND(Sync!$J1421&gt;=10000101,Sync!$J1421&lt;=99991231),INT(Sync!$J1421/10000)&amp;"/"&amp;RIGHT("00"&amp;INT(MOD(Sync!$J1421,10000)/100),2)&amp;"/"&amp;RIGHT("00"&amp;MOD(Sync!$J1421,100),2),"نامعتبر"),IF(LEN(Sync!$J1421)=10,Sync!$J1421,"نامعتبر")))</f>
        <v/>
      </c>
      <c r="R1421">
        <f>IF($P1421="","",COUNTIFS($N$6:$N$2005,$N1421,$P$6:$P$2005,"&lt;"&amp;$P1421)+COUNTIFS($A$6:$A$1005,$N1421,$B$6:$B$1005,"&lt;"&amp;$P1421)+1)</f>
        <v/>
      </c>
      <c r="S1421">
        <f>IF($N1421="","",$N1421&amp;"|"&amp;RIGHT("000000"&amp;$R1421,6))</f>
        <v/>
      </c>
      <c r="T1421">
        <f>IF($N1421="","",IF(Sync!$N1421="",0,Sync!$N1421))</f>
        <v/>
      </c>
      <c r="U1421">
        <f>IF($N1421="","",IF(Sync!$O1421="",0,Sync!$O1421))</f>
        <v/>
      </c>
      <c r="V1421">
        <f>IF($N1421="","",Sync!$L1421)</f>
        <v/>
      </c>
      <c r="W1421">
        <f>IF($N1421="","",Sync!$P1421)</f>
        <v/>
      </c>
    </row>
    <row r="1422">
      <c r="N1422">
        <f>IF(OR(Sync!$M1422="",$Q1422="",$Q1422="نامعتبر"),"",Sync!$M1422)</f>
        <v/>
      </c>
      <c r="O1422">
        <f>IF($N1422="","",$Q1422)</f>
        <v/>
      </c>
      <c r="P1422">
        <f>IF($N1422="","",LEFT($Q1422,4)&amp;MID($Q1422,6,2)&amp;RIGHT($Q1422,2)&amp;IF(Sync!$K1422="","0000",IF(AND(ISNUMBER(Sync!$K1422),Sync!$K1422&gt;=0,Sync!$K1422&lt;1),RIGHT("00"&amp;HOUR(Sync!$K1422),2)&amp;RIGHT("00"&amp;MINUTE(Sync!$K1422),2),IFERROR(RIGHT("00"&amp;VALUE(LEFT(Sync!$K1422,FIND(":",Sync!$K1422)-1)),2)&amp;RIGHT("00"&amp;VALUE(MID(Sync!$K1422,FIND(":",Sync!$K1422)+1,2)),2),"0000")))&amp;"|"&amp;"2"&amp;RIGHT("00000"&amp;1417,5))</f>
        <v/>
      </c>
      <c r="Q1422">
        <f>IF(Sync!$J1422="","",IF(ISNUMBER(Sync!$J1422),IF(AND(Sync!$J1422&gt;=10000101,Sync!$J1422&lt;=99991231),INT(Sync!$J1422/10000)&amp;"/"&amp;RIGHT("00"&amp;INT(MOD(Sync!$J1422,10000)/100),2)&amp;"/"&amp;RIGHT("00"&amp;MOD(Sync!$J1422,100),2),"نامعتبر"),IF(LEN(Sync!$J1422)=10,Sync!$J1422,"نامعتبر")))</f>
        <v/>
      </c>
      <c r="R1422">
        <f>IF($P1422="","",COUNTIFS($N$6:$N$2005,$N1422,$P$6:$P$2005,"&lt;"&amp;$P1422)+COUNTIFS($A$6:$A$1005,$N1422,$B$6:$B$1005,"&lt;"&amp;$P1422)+1)</f>
        <v/>
      </c>
      <c r="S1422">
        <f>IF($N1422="","",$N1422&amp;"|"&amp;RIGHT("000000"&amp;$R1422,6))</f>
        <v/>
      </c>
      <c r="T1422">
        <f>IF($N1422="","",IF(Sync!$N1422="",0,Sync!$N1422))</f>
        <v/>
      </c>
      <c r="U1422">
        <f>IF($N1422="","",IF(Sync!$O1422="",0,Sync!$O1422))</f>
        <v/>
      </c>
      <c r="V1422">
        <f>IF($N1422="","",Sync!$L1422)</f>
        <v/>
      </c>
      <c r="W1422">
        <f>IF($N1422="","",Sync!$P1422)</f>
        <v/>
      </c>
    </row>
    <row r="1423">
      <c r="N1423">
        <f>IF(OR(Sync!$M1423="",$Q1423="",$Q1423="نامعتبر"),"",Sync!$M1423)</f>
        <v/>
      </c>
      <c r="O1423">
        <f>IF($N1423="","",$Q1423)</f>
        <v/>
      </c>
      <c r="P1423">
        <f>IF($N1423="","",LEFT($Q1423,4)&amp;MID($Q1423,6,2)&amp;RIGHT($Q1423,2)&amp;IF(Sync!$K1423="","0000",IF(AND(ISNUMBER(Sync!$K1423),Sync!$K1423&gt;=0,Sync!$K1423&lt;1),RIGHT("00"&amp;HOUR(Sync!$K1423),2)&amp;RIGHT("00"&amp;MINUTE(Sync!$K1423),2),IFERROR(RIGHT("00"&amp;VALUE(LEFT(Sync!$K1423,FIND(":",Sync!$K1423)-1)),2)&amp;RIGHT("00"&amp;VALUE(MID(Sync!$K1423,FIND(":",Sync!$K1423)+1,2)),2),"0000")))&amp;"|"&amp;"2"&amp;RIGHT("00000"&amp;1418,5))</f>
        <v/>
      </c>
      <c r="Q1423">
        <f>IF(Sync!$J1423="","",IF(ISNUMBER(Sync!$J1423),IF(AND(Sync!$J1423&gt;=10000101,Sync!$J1423&lt;=99991231),INT(Sync!$J1423/10000)&amp;"/"&amp;RIGHT("00"&amp;INT(MOD(Sync!$J1423,10000)/100),2)&amp;"/"&amp;RIGHT("00"&amp;MOD(Sync!$J1423,100),2),"نامعتبر"),IF(LEN(Sync!$J1423)=10,Sync!$J1423,"نامعتبر")))</f>
        <v/>
      </c>
      <c r="R1423">
        <f>IF($P1423="","",COUNTIFS($N$6:$N$2005,$N1423,$P$6:$P$2005,"&lt;"&amp;$P1423)+COUNTIFS($A$6:$A$1005,$N1423,$B$6:$B$1005,"&lt;"&amp;$P1423)+1)</f>
        <v/>
      </c>
      <c r="S1423">
        <f>IF($N1423="","",$N1423&amp;"|"&amp;RIGHT("000000"&amp;$R1423,6))</f>
        <v/>
      </c>
      <c r="T1423">
        <f>IF($N1423="","",IF(Sync!$N1423="",0,Sync!$N1423))</f>
        <v/>
      </c>
      <c r="U1423">
        <f>IF($N1423="","",IF(Sync!$O1423="",0,Sync!$O1423))</f>
        <v/>
      </c>
      <c r="V1423">
        <f>IF($N1423="","",Sync!$L1423)</f>
        <v/>
      </c>
      <c r="W1423">
        <f>IF($N1423="","",Sync!$P1423)</f>
        <v/>
      </c>
    </row>
    <row r="1424">
      <c r="N1424">
        <f>IF(OR(Sync!$M1424="",$Q1424="",$Q1424="نامعتبر"),"",Sync!$M1424)</f>
        <v/>
      </c>
      <c r="O1424">
        <f>IF($N1424="","",$Q1424)</f>
        <v/>
      </c>
      <c r="P1424">
        <f>IF($N1424="","",LEFT($Q1424,4)&amp;MID($Q1424,6,2)&amp;RIGHT($Q1424,2)&amp;IF(Sync!$K1424="","0000",IF(AND(ISNUMBER(Sync!$K1424),Sync!$K1424&gt;=0,Sync!$K1424&lt;1),RIGHT("00"&amp;HOUR(Sync!$K1424),2)&amp;RIGHT("00"&amp;MINUTE(Sync!$K1424),2),IFERROR(RIGHT("00"&amp;VALUE(LEFT(Sync!$K1424,FIND(":",Sync!$K1424)-1)),2)&amp;RIGHT("00"&amp;VALUE(MID(Sync!$K1424,FIND(":",Sync!$K1424)+1,2)),2),"0000")))&amp;"|"&amp;"2"&amp;RIGHT("00000"&amp;1419,5))</f>
        <v/>
      </c>
      <c r="Q1424">
        <f>IF(Sync!$J1424="","",IF(ISNUMBER(Sync!$J1424),IF(AND(Sync!$J1424&gt;=10000101,Sync!$J1424&lt;=99991231),INT(Sync!$J1424/10000)&amp;"/"&amp;RIGHT("00"&amp;INT(MOD(Sync!$J1424,10000)/100),2)&amp;"/"&amp;RIGHT("00"&amp;MOD(Sync!$J1424,100),2),"نامعتبر"),IF(LEN(Sync!$J1424)=10,Sync!$J1424,"نامعتبر")))</f>
        <v/>
      </c>
      <c r="R1424">
        <f>IF($P1424="","",COUNTIFS($N$6:$N$2005,$N1424,$P$6:$P$2005,"&lt;"&amp;$P1424)+COUNTIFS($A$6:$A$1005,$N1424,$B$6:$B$1005,"&lt;"&amp;$P1424)+1)</f>
        <v/>
      </c>
      <c r="S1424">
        <f>IF($N1424="","",$N1424&amp;"|"&amp;RIGHT("000000"&amp;$R1424,6))</f>
        <v/>
      </c>
      <c r="T1424">
        <f>IF($N1424="","",IF(Sync!$N1424="",0,Sync!$N1424))</f>
        <v/>
      </c>
      <c r="U1424">
        <f>IF($N1424="","",IF(Sync!$O1424="",0,Sync!$O1424))</f>
        <v/>
      </c>
      <c r="V1424">
        <f>IF($N1424="","",Sync!$L1424)</f>
        <v/>
      </c>
      <c r="W1424">
        <f>IF($N1424="","",Sync!$P1424)</f>
        <v/>
      </c>
    </row>
    <row r="1425">
      <c r="N1425">
        <f>IF(OR(Sync!$M1425="",$Q1425="",$Q1425="نامعتبر"),"",Sync!$M1425)</f>
        <v/>
      </c>
      <c r="O1425">
        <f>IF($N1425="","",$Q1425)</f>
        <v/>
      </c>
      <c r="P1425">
        <f>IF($N1425="","",LEFT($Q1425,4)&amp;MID($Q1425,6,2)&amp;RIGHT($Q1425,2)&amp;IF(Sync!$K1425="","0000",IF(AND(ISNUMBER(Sync!$K1425),Sync!$K1425&gt;=0,Sync!$K1425&lt;1),RIGHT("00"&amp;HOUR(Sync!$K1425),2)&amp;RIGHT("00"&amp;MINUTE(Sync!$K1425),2),IFERROR(RIGHT("00"&amp;VALUE(LEFT(Sync!$K1425,FIND(":",Sync!$K1425)-1)),2)&amp;RIGHT("00"&amp;VALUE(MID(Sync!$K1425,FIND(":",Sync!$K1425)+1,2)),2),"0000")))&amp;"|"&amp;"2"&amp;RIGHT("00000"&amp;1420,5))</f>
        <v/>
      </c>
      <c r="Q1425">
        <f>IF(Sync!$J1425="","",IF(ISNUMBER(Sync!$J1425),IF(AND(Sync!$J1425&gt;=10000101,Sync!$J1425&lt;=99991231),INT(Sync!$J1425/10000)&amp;"/"&amp;RIGHT("00"&amp;INT(MOD(Sync!$J1425,10000)/100),2)&amp;"/"&amp;RIGHT("00"&amp;MOD(Sync!$J1425,100),2),"نامعتبر"),IF(LEN(Sync!$J1425)=10,Sync!$J1425,"نامعتبر")))</f>
        <v/>
      </c>
      <c r="R1425">
        <f>IF($P1425="","",COUNTIFS($N$6:$N$2005,$N1425,$P$6:$P$2005,"&lt;"&amp;$P1425)+COUNTIFS($A$6:$A$1005,$N1425,$B$6:$B$1005,"&lt;"&amp;$P1425)+1)</f>
        <v/>
      </c>
      <c r="S1425">
        <f>IF($N1425="","",$N1425&amp;"|"&amp;RIGHT("000000"&amp;$R1425,6))</f>
        <v/>
      </c>
      <c r="T1425">
        <f>IF($N1425="","",IF(Sync!$N1425="",0,Sync!$N1425))</f>
        <v/>
      </c>
      <c r="U1425">
        <f>IF($N1425="","",IF(Sync!$O1425="",0,Sync!$O1425))</f>
        <v/>
      </c>
      <c r="V1425">
        <f>IF($N1425="","",Sync!$L1425)</f>
        <v/>
      </c>
      <c r="W1425">
        <f>IF($N1425="","",Sync!$P1425)</f>
        <v/>
      </c>
    </row>
    <row r="1426">
      <c r="N1426">
        <f>IF(OR(Sync!$M1426="",$Q1426="",$Q1426="نامعتبر"),"",Sync!$M1426)</f>
        <v/>
      </c>
      <c r="O1426">
        <f>IF($N1426="","",$Q1426)</f>
        <v/>
      </c>
      <c r="P1426">
        <f>IF($N1426="","",LEFT($Q1426,4)&amp;MID($Q1426,6,2)&amp;RIGHT($Q1426,2)&amp;IF(Sync!$K1426="","0000",IF(AND(ISNUMBER(Sync!$K1426),Sync!$K1426&gt;=0,Sync!$K1426&lt;1),RIGHT("00"&amp;HOUR(Sync!$K1426),2)&amp;RIGHT("00"&amp;MINUTE(Sync!$K1426),2),IFERROR(RIGHT("00"&amp;VALUE(LEFT(Sync!$K1426,FIND(":",Sync!$K1426)-1)),2)&amp;RIGHT("00"&amp;VALUE(MID(Sync!$K1426,FIND(":",Sync!$K1426)+1,2)),2),"0000")))&amp;"|"&amp;"2"&amp;RIGHT("00000"&amp;1421,5))</f>
        <v/>
      </c>
      <c r="Q1426">
        <f>IF(Sync!$J1426="","",IF(ISNUMBER(Sync!$J1426),IF(AND(Sync!$J1426&gt;=10000101,Sync!$J1426&lt;=99991231),INT(Sync!$J1426/10000)&amp;"/"&amp;RIGHT("00"&amp;INT(MOD(Sync!$J1426,10000)/100),2)&amp;"/"&amp;RIGHT("00"&amp;MOD(Sync!$J1426,100),2),"نامعتبر"),IF(LEN(Sync!$J1426)=10,Sync!$J1426,"نامعتبر")))</f>
        <v/>
      </c>
      <c r="R1426">
        <f>IF($P1426="","",COUNTIFS($N$6:$N$2005,$N1426,$P$6:$P$2005,"&lt;"&amp;$P1426)+COUNTIFS($A$6:$A$1005,$N1426,$B$6:$B$1005,"&lt;"&amp;$P1426)+1)</f>
        <v/>
      </c>
      <c r="S1426">
        <f>IF($N1426="","",$N1426&amp;"|"&amp;RIGHT("000000"&amp;$R1426,6))</f>
        <v/>
      </c>
      <c r="T1426">
        <f>IF($N1426="","",IF(Sync!$N1426="",0,Sync!$N1426))</f>
        <v/>
      </c>
      <c r="U1426">
        <f>IF($N1426="","",IF(Sync!$O1426="",0,Sync!$O1426))</f>
        <v/>
      </c>
      <c r="V1426">
        <f>IF($N1426="","",Sync!$L1426)</f>
        <v/>
      </c>
      <c r="W1426">
        <f>IF($N1426="","",Sync!$P1426)</f>
        <v/>
      </c>
    </row>
    <row r="1427">
      <c r="N1427">
        <f>IF(OR(Sync!$M1427="",$Q1427="",$Q1427="نامعتبر"),"",Sync!$M1427)</f>
        <v/>
      </c>
      <c r="O1427">
        <f>IF($N1427="","",$Q1427)</f>
        <v/>
      </c>
      <c r="P1427">
        <f>IF($N1427="","",LEFT($Q1427,4)&amp;MID($Q1427,6,2)&amp;RIGHT($Q1427,2)&amp;IF(Sync!$K1427="","0000",IF(AND(ISNUMBER(Sync!$K1427),Sync!$K1427&gt;=0,Sync!$K1427&lt;1),RIGHT("00"&amp;HOUR(Sync!$K1427),2)&amp;RIGHT("00"&amp;MINUTE(Sync!$K1427),2),IFERROR(RIGHT("00"&amp;VALUE(LEFT(Sync!$K1427,FIND(":",Sync!$K1427)-1)),2)&amp;RIGHT("00"&amp;VALUE(MID(Sync!$K1427,FIND(":",Sync!$K1427)+1,2)),2),"0000")))&amp;"|"&amp;"2"&amp;RIGHT("00000"&amp;1422,5))</f>
        <v/>
      </c>
      <c r="Q1427">
        <f>IF(Sync!$J1427="","",IF(ISNUMBER(Sync!$J1427),IF(AND(Sync!$J1427&gt;=10000101,Sync!$J1427&lt;=99991231),INT(Sync!$J1427/10000)&amp;"/"&amp;RIGHT("00"&amp;INT(MOD(Sync!$J1427,10000)/100),2)&amp;"/"&amp;RIGHT("00"&amp;MOD(Sync!$J1427,100),2),"نامعتبر"),IF(LEN(Sync!$J1427)=10,Sync!$J1427,"نامعتبر")))</f>
        <v/>
      </c>
      <c r="R1427">
        <f>IF($P1427="","",COUNTIFS($N$6:$N$2005,$N1427,$P$6:$P$2005,"&lt;"&amp;$P1427)+COUNTIFS($A$6:$A$1005,$N1427,$B$6:$B$1005,"&lt;"&amp;$P1427)+1)</f>
        <v/>
      </c>
      <c r="S1427">
        <f>IF($N1427="","",$N1427&amp;"|"&amp;RIGHT("000000"&amp;$R1427,6))</f>
        <v/>
      </c>
      <c r="T1427">
        <f>IF($N1427="","",IF(Sync!$N1427="",0,Sync!$N1427))</f>
        <v/>
      </c>
      <c r="U1427">
        <f>IF($N1427="","",IF(Sync!$O1427="",0,Sync!$O1427))</f>
        <v/>
      </c>
      <c r="V1427">
        <f>IF($N1427="","",Sync!$L1427)</f>
        <v/>
      </c>
      <c r="W1427">
        <f>IF($N1427="","",Sync!$P1427)</f>
        <v/>
      </c>
    </row>
    <row r="1428">
      <c r="N1428">
        <f>IF(OR(Sync!$M1428="",$Q1428="",$Q1428="نامعتبر"),"",Sync!$M1428)</f>
        <v/>
      </c>
      <c r="O1428">
        <f>IF($N1428="","",$Q1428)</f>
        <v/>
      </c>
      <c r="P1428">
        <f>IF($N1428="","",LEFT($Q1428,4)&amp;MID($Q1428,6,2)&amp;RIGHT($Q1428,2)&amp;IF(Sync!$K1428="","0000",IF(AND(ISNUMBER(Sync!$K1428),Sync!$K1428&gt;=0,Sync!$K1428&lt;1),RIGHT("00"&amp;HOUR(Sync!$K1428),2)&amp;RIGHT("00"&amp;MINUTE(Sync!$K1428),2),IFERROR(RIGHT("00"&amp;VALUE(LEFT(Sync!$K1428,FIND(":",Sync!$K1428)-1)),2)&amp;RIGHT("00"&amp;VALUE(MID(Sync!$K1428,FIND(":",Sync!$K1428)+1,2)),2),"0000")))&amp;"|"&amp;"2"&amp;RIGHT("00000"&amp;1423,5))</f>
        <v/>
      </c>
      <c r="Q1428">
        <f>IF(Sync!$J1428="","",IF(ISNUMBER(Sync!$J1428),IF(AND(Sync!$J1428&gt;=10000101,Sync!$J1428&lt;=99991231),INT(Sync!$J1428/10000)&amp;"/"&amp;RIGHT("00"&amp;INT(MOD(Sync!$J1428,10000)/100),2)&amp;"/"&amp;RIGHT("00"&amp;MOD(Sync!$J1428,100),2),"نامعتبر"),IF(LEN(Sync!$J1428)=10,Sync!$J1428,"نامعتبر")))</f>
        <v/>
      </c>
      <c r="R1428">
        <f>IF($P1428="","",COUNTIFS($N$6:$N$2005,$N1428,$P$6:$P$2005,"&lt;"&amp;$P1428)+COUNTIFS($A$6:$A$1005,$N1428,$B$6:$B$1005,"&lt;"&amp;$P1428)+1)</f>
        <v/>
      </c>
      <c r="S1428">
        <f>IF($N1428="","",$N1428&amp;"|"&amp;RIGHT("000000"&amp;$R1428,6))</f>
        <v/>
      </c>
      <c r="T1428">
        <f>IF($N1428="","",IF(Sync!$N1428="",0,Sync!$N1428))</f>
        <v/>
      </c>
      <c r="U1428">
        <f>IF($N1428="","",IF(Sync!$O1428="",0,Sync!$O1428))</f>
        <v/>
      </c>
      <c r="V1428">
        <f>IF($N1428="","",Sync!$L1428)</f>
        <v/>
      </c>
      <c r="W1428">
        <f>IF($N1428="","",Sync!$P1428)</f>
        <v/>
      </c>
    </row>
    <row r="1429">
      <c r="N1429">
        <f>IF(OR(Sync!$M1429="",$Q1429="",$Q1429="نامعتبر"),"",Sync!$M1429)</f>
        <v/>
      </c>
      <c r="O1429">
        <f>IF($N1429="","",$Q1429)</f>
        <v/>
      </c>
      <c r="P1429">
        <f>IF($N1429="","",LEFT($Q1429,4)&amp;MID($Q1429,6,2)&amp;RIGHT($Q1429,2)&amp;IF(Sync!$K1429="","0000",IF(AND(ISNUMBER(Sync!$K1429),Sync!$K1429&gt;=0,Sync!$K1429&lt;1),RIGHT("00"&amp;HOUR(Sync!$K1429),2)&amp;RIGHT("00"&amp;MINUTE(Sync!$K1429),2),IFERROR(RIGHT("00"&amp;VALUE(LEFT(Sync!$K1429,FIND(":",Sync!$K1429)-1)),2)&amp;RIGHT("00"&amp;VALUE(MID(Sync!$K1429,FIND(":",Sync!$K1429)+1,2)),2),"0000")))&amp;"|"&amp;"2"&amp;RIGHT("00000"&amp;1424,5))</f>
        <v/>
      </c>
      <c r="Q1429">
        <f>IF(Sync!$J1429="","",IF(ISNUMBER(Sync!$J1429),IF(AND(Sync!$J1429&gt;=10000101,Sync!$J1429&lt;=99991231),INT(Sync!$J1429/10000)&amp;"/"&amp;RIGHT("00"&amp;INT(MOD(Sync!$J1429,10000)/100),2)&amp;"/"&amp;RIGHT("00"&amp;MOD(Sync!$J1429,100),2),"نامعتبر"),IF(LEN(Sync!$J1429)=10,Sync!$J1429,"نامعتبر")))</f>
        <v/>
      </c>
      <c r="R1429">
        <f>IF($P1429="","",COUNTIFS($N$6:$N$2005,$N1429,$P$6:$P$2005,"&lt;"&amp;$P1429)+COUNTIFS($A$6:$A$1005,$N1429,$B$6:$B$1005,"&lt;"&amp;$P1429)+1)</f>
        <v/>
      </c>
      <c r="S1429">
        <f>IF($N1429="","",$N1429&amp;"|"&amp;RIGHT("000000"&amp;$R1429,6))</f>
        <v/>
      </c>
      <c r="T1429">
        <f>IF($N1429="","",IF(Sync!$N1429="",0,Sync!$N1429))</f>
        <v/>
      </c>
      <c r="U1429">
        <f>IF($N1429="","",IF(Sync!$O1429="",0,Sync!$O1429))</f>
        <v/>
      </c>
      <c r="V1429">
        <f>IF($N1429="","",Sync!$L1429)</f>
        <v/>
      </c>
      <c r="W1429">
        <f>IF($N1429="","",Sync!$P1429)</f>
        <v/>
      </c>
    </row>
    <row r="1430">
      <c r="N1430">
        <f>IF(OR(Sync!$M1430="",$Q1430="",$Q1430="نامعتبر"),"",Sync!$M1430)</f>
        <v/>
      </c>
      <c r="O1430">
        <f>IF($N1430="","",$Q1430)</f>
        <v/>
      </c>
      <c r="P1430">
        <f>IF($N1430="","",LEFT($Q1430,4)&amp;MID($Q1430,6,2)&amp;RIGHT($Q1430,2)&amp;IF(Sync!$K1430="","0000",IF(AND(ISNUMBER(Sync!$K1430),Sync!$K1430&gt;=0,Sync!$K1430&lt;1),RIGHT("00"&amp;HOUR(Sync!$K1430),2)&amp;RIGHT("00"&amp;MINUTE(Sync!$K1430),2),IFERROR(RIGHT("00"&amp;VALUE(LEFT(Sync!$K1430,FIND(":",Sync!$K1430)-1)),2)&amp;RIGHT("00"&amp;VALUE(MID(Sync!$K1430,FIND(":",Sync!$K1430)+1,2)),2),"0000")))&amp;"|"&amp;"2"&amp;RIGHT("00000"&amp;1425,5))</f>
        <v/>
      </c>
      <c r="Q1430">
        <f>IF(Sync!$J1430="","",IF(ISNUMBER(Sync!$J1430),IF(AND(Sync!$J1430&gt;=10000101,Sync!$J1430&lt;=99991231),INT(Sync!$J1430/10000)&amp;"/"&amp;RIGHT("00"&amp;INT(MOD(Sync!$J1430,10000)/100),2)&amp;"/"&amp;RIGHT("00"&amp;MOD(Sync!$J1430,100),2),"نامعتبر"),IF(LEN(Sync!$J1430)=10,Sync!$J1430,"نامعتبر")))</f>
        <v/>
      </c>
      <c r="R1430">
        <f>IF($P1430="","",COUNTIFS($N$6:$N$2005,$N1430,$P$6:$P$2005,"&lt;"&amp;$P1430)+COUNTIFS($A$6:$A$1005,$N1430,$B$6:$B$1005,"&lt;"&amp;$P1430)+1)</f>
        <v/>
      </c>
      <c r="S1430">
        <f>IF($N1430="","",$N1430&amp;"|"&amp;RIGHT("000000"&amp;$R1430,6))</f>
        <v/>
      </c>
      <c r="T1430">
        <f>IF($N1430="","",IF(Sync!$N1430="",0,Sync!$N1430))</f>
        <v/>
      </c>
      <c r="U1430">
        <f>IF($N1430="","",IF(Sync!$O1430="",0,Sync!$O1430))</f>
        <v/>
      </c>
      <c r="V1430">
        <f>IF($N1430="","",Sync!$L1430)</f>
        <v/>
      </c>
      <c r="W1430">
        <f>IF($N1430="","",Sync!$P1430)</f>
        <v/>
      </c>
    </row>
    <row r="1431">
      <c r="N1431">
        <f>IF(OR(Sync!$M1431="",$Q1431="",$Q1431="نامعتبر"),"",Sync!$M1431)</f>
        <v/>
      </c>
      <c r="O1431">
        <f>IF($N1431="","",$Q1431)</f>
        <v/>
      </c>
      <c r="P1431">
        <f>IF($N1431="","",LEFT($Q1431,4)&amp;MID($Q1431,6,2)&amp;RIGHT($Q1431,2)&amp;IF(Sync!$K1431="","0000",IF(AND(ISNUMBER(Sync!$K1431),Sync!$K1431&gt;=0,Sync!$K1431&lt;1),RIGHT("00"&amp;HOUR(Sync!$K1431),2)&amp;RIGHT("00"&amp;MINUTE(Sync!$K1431),2),IFERROR(RIGHT("00"&amp;VALUE(LEFT(Sync!$K1431,FIND(":",Sync!$K1431)-1)),2)&amp;RIGHT("00"&amp;VALUE(MID(Sync!$K1431,FIND(":",Sync!$K1431)+1,2)),2),"0000")))&amp;"|"&amp;"2"&amp;RIGHT("00000"&amp;1426,5))</f>
        <v/>
      </c>
      <c r="Q1431">
        <f>IF(Sync!$J1431="","",IF(ISNUMBER(Sync!$J1431),IF(AND(Sync!$J1431&gt;=10000101,Sync!$J1431&lt;=99991231),INT(Sync!$J1431/10000)&amp;"/"&amp;RIGHT("00"&amp;INT(MOD(Sync!$J1431,10000)/100),2)&amp;"/"&amp;RIGHT("00"&amp;MOD(Sync!$J1431,100),2),"نامعتبر"),IF(LEN(Sync!$J1431)=10,Sync!$J1431,"نامعتبر")))</f>
        <v/>
      </c>
      <c r="R1431">
        <f>IF($P1431="","",COUNTIFS($N$6:$N$2005,$N1431,$P$6:$P$2005,"&lt;"&amp;$P1431)+COUNTIFS($A$6:$A$1005,$N1431,$B$6:$B$1005,"&lt;"&amp;$P1431)+1)</f>
        <v/>
      </c>
      <c r="S1431">
        <f>IF($N1431="","",$N1431&amp;"|"&amp;RIGHT("000000"&amp;$R1431,6))</f>
        <v/>
      </c>
      <c r="T1431">
        <f>IF($N1431="","",IF(Sync!$N1431="",0,Sync!$N1431))</f>
        <v/>
      </c>
      <c r="U1431">
        <f>IF($N1431="","",IF(Sync!$O1431="",0,Sync!$O1431))</f>
        <v/>
      </c>
      <c r="V1431">
        <f>IF($N1431="","",Sync!$L1431)</f>
        <v/>
      </c>
      <c r="W1431">
        <f>IF($N1431="","",Sync!$P1431)</f>
        <v/>
      </c>
    </row>
    <row r="1432">
      <c r="N1432">
        <f>IF(OR(Sync!$M1432="",$Q1432="",$Q1432="نامعتبر"),"",Sync!$M1432)</f>
        <v/>
      </c>
      <c r="O1432">
        <f>IF($N1432="","",$Q1432)</f>
        <v/>
      </c>
      <c r="P1432">
        <f>IF($N1432="","",LEFT($Q1432,4)&amp;MID($Q1432,6,2)&amp;RIGHT($Q1432,2)&amp;IF(Sync!$K1432="","0000",IF(AND(ISNUMBER(Sync!$K1432),Sync!$K1432&gt;=0,Sync!$K1432&lt;1),RIGHT("00"&amp;HOUR(Sync!$K1432),2)&amp;RIGHT("00"&amp;MINUTE(Sync!$K1432),2),IFERROR(RIGHT("00"&amp;VALUE(LEFT(Sync!$K1432,FIND(":",Sync!$K1432)-1)),2)&amp;RIGHT("00"&amp;VALUE(MID(Sync!$K1432,FIND(":",Sync!$K1432)+1,2)),2),"0000")))&amp;"|"&amp;"2"&amp;RIGHT("00000"&amp;1427,5))</f>
        <v/>
      </c>
      <c r="Q1432">
        <f>IF(Sync!$J1432="","",IF(ISNUMBER(Sync!$J1432),IF(AND(Sync!$J1432&gt;=10000101,Sync!$J1432&lt;=99991231),INT(Sync!$J1432/10000)&amp;"/"&amp;RIGHT("00"&amp;INT(MOD(Sync!$J1432,10000)/100),2)&amp;"/"&amp;RIGHT("00"&amp;MOD(Sync!$J1432,100),2),"نامعتبر"),IF(LEN(Sync!$J1432)=10,Sync!$J1432,"نامعتبر")))</f>
        <v/>
      </c>
      <c r="R1432">
        <f>IF($P1432="","",COUNTIFS($N$6:$N$2005,$N1432,$P$6:$P$2005,"&lt;"&amp;$P1432)+COUNTIFS($A$6:$A$1005,$N1432,$B$6:$B$1005,"&lt;"&amp;$P1432)+1)</f>
        <v/>
      </c>
      <c r="S1432">
        <f>IF($N1432="","",$N1432&amp;"|"&amp;RIGHT("000000"&amp;$R1432,6))</f>
        <v/>
      </c>
      <c r="T1432">
        <f>IF($N1432="","",IF(Sync!$N1432="",0,Sync!$N1432))</f>
        <v/>
      </c>
      <c r="U1432">
        <f>IF($N1432="","",IF(Sync!$O1432="",0,Sync!$O1432))</f>
        <v/>
      </c>
      <c r="V1432">
        <f>IF($N1432="","",Sync!$L1432)</f>
        <v/>
      </c>
      <c r="W1432">
        <f>IF($N1432="","",Sync!$P1432)</f>
        <v/>
      </c>
    </row>
    <row r="1433">
      <c r="N1433">
        <f>IF(OR(Sync!$M1433="",$Q1433="",$Q1433="نامعتبر"),"",Sync!$M1433)</f>
        <v/>
      </c>
      <c r="O1433">
        <f>IF($N1433="","",$Q1433)</f>
        <v/>
      </c>
      <c r="P1433">
        <f>IF($N1433="","",LEFT($Q1433,4)&amp;MID($Q1433,6,2)&amp;RIGHT($Q1433,2)&amp;IF(Sync!$K1433="","0000",IF(AND(ISNUMBER(Sync!$K1433),Sync!$K1433&gt;=0,Sync!$K1433&lt;1),RIGHT("00"&amp;HOUR(Sync!$K1433),2)&amp;RIGHT("00"&amp;MINUTE(Sync!$K1433),2),IFERROR(RIGHT("00"&amp;VALUE(LEFT(Sync!$K1433,FIND(":",Sync!$K1433)-1)),2)&amp;RIGHT("00"&amp;VALUE(MID(Sync!$K1433,FIND(":",Sync!$K1433)+1,2)),2),"0000")))&amp;"|"&amp;"2"&amp;RIGHT("00000"&amp;1428,5))</f>
        <v/>
      </c>
      <c r="Q1433">
        <f>IF(Sync!$J1433="","",IF(ISNUMBER(Sync!$J1433),IF(AND(Sync!$J1433&gt;=10000101,Sync!$J1433&lt;=99991231),INT(Sync!$J1433/10000)&amp;"/"&amp;RIGHT("00"&amp;INT(MOD(Sync!$J1433,10000)/100),2)&amp;"/"&amp;RIGHT("00"&amp;MOD(Sync!$J1433,100),2),"نامعتبر"),IF(LEN(Sync!$J1433)=10,Sync!$J1433,"نامعتبر")))</f>
        <v/>
      </c>
      <c r="R1433">
        <f>IF($P1433="","",COUNTIFS($N$6:$N$2005,$N1433,$P$6:$P$2005,"&lt;"&amp;$P1433)+COUNTIFS($A$6:$A$1005,$N1433,$B$6:$B$1005,"&lt;"&amp;$P1433)+1)</f>
        <v/>
      </c>
      <c r="S1433">
        <f>IF($N1433="","",$N1433&amp;"|"&amp;RIGHT("000000"&amp;$R1433,6))</f>
        <v/>
      </c>
      <c r="T1433">
        <f>IF($N1433="","",IF(Sync!$N1433="",0,Sync!$N1433))</f>
        <v/>
      </c>
      <c r="U1433">
        <f>IF($N1433="","",IF(Sync!$O1433="",0,Sync!$O1433))</f>
        <v/>
      </c>
      <c r="V1433">
        <f>IF($N1433="","",Sync!$L1433)</f>
        <v/>
      </c>
      <c r="W1433">
        <f>IF($N1433="","",Sync!$P1433)</f>
        <v/>
      </c>
    </row>
    <row r="1434">
      <c r="N1434">
        <f>IF(OR(Sync!$M1434="",$Q1434="",$Q1434="نامعتبر"),"",Sync!$M1434)</f>
        <v/>
      </c>
      <c r="O1434">
        <f>IF($N1434="","",$Q1434)</f>
        <v/>
      </c>
      <c r="P1434">
        <f>IF($N1434="","",LEFT($Q1434,4)&amp;MID($Q1434,6,2)&amp;RIGHT($Q1434,2)&amp;IF(Sync!$K1434="","0000",IF(AND(ISNUMBER(Sync!$K1434),Sync!$K1434&gt;=0,Sync!$K1434&lt;1),RIGHT("00"&amp;HOUR(Sync!$K1434),2)&amp;RIGHT("00"&amp;MINUTE(Sync!$K1434),2),IFERROR(RIGHT("00"&amp;VALUE(LEFT(Sync!$K1434,FIND(":",Sync!$K1434)-1)),2)&amp;RIGHT("00"&amp;VALUE(MID(Sync!$K1434,FIND(":",Sync!$K1434)+1,2)),2),"0000")))&amp;"|"&amp;"2"&amp;RIGHT("00000"&amp;1429,5))</f>
        <v/>
      </c>
      <c r="Q1434">
        <f>IF(Sync!$J1434="","",IF(ISNUMBER(Sync!$J1434),IF(AND(Sync!$J1434&gt;=10000101,Sync!$J1434&lt;=99991231),INT(Sync!$J1434/10000)&amp;"/"&amp;RIGHT("00"&amp;INT(MOD(Sync!$J1434,10000)/100),2)&amp;"/"&amp;RIGHT("00"&amp;MOD(Sync!$J1434,100),2),"نامعتبر"),IF(LEN(Sync!$J1434)=10,Sync!$J1434,"نامعتبر")))</f>
        <v/>
      </c>
      <c r="R1434">
        <f>IF($P1434="","",COUNTIFS($N$6:$N$2005,$N1434,$P$6:$P$2005,"&lt;"&amp;$P1434)+COUNTIFS($A$6:$A$1005,$N1434,$B$6:$B$1005,"&lt;"&amp;$P1434)+1)</f>
        <v/>
      </c>
      <c r="S1434">
        <f>IF($N1434="","",$N1434&amp;"|"&amp;RIGHT("000000"&amp;$R1434,6))</f>
        <v/>
      </c>
      <c r="T1434">
        <f>IF($N1434="","",IF(Sync!$N1434="",0,Sync!$N1434))</f>
        <v/>
      </c>
      <c r="U1434">
        <f>IF($N1434="","",IF(Sync!$O1434="",0,Sync!$O1434))</f>
        <v/>
      </c>
      <c r="V1434">
        <f>IF($N1434="","",Sync!$L1434)</f>
        <v/>
      </c>
      <c r="W1434">
        <f>IF($N1434="","",Sync!$P1434)</f>
        <v/>
      </c>
    </row>
    <row r="1435">
      <c r="N1435">
        <f>IF(OR(Sync!$M1435="",$Q1435="",$Q1435="نامعتبر"),"",Sync!$M1435)</f>
        <v/>
      </c>
      <c r="O1435">
        <f>IF($N1435="","",$Q1435)</f>
        <v/>
      </c>
      <c r="P1435">
        <f>IF($N1435="","",LEFT($Q1435,4)&amp;MID($Q1435,6,2)&amp;RIGHT($Q1435,2)&amp;IF(Sync!$K1435="","0000",IF(AND(ISNUMBER(Sync!$K1435),Sync!$K1435&gt;=0,Sync!$K1435&lt;1),RIGHT("00"&amp;HOUR(Sync!$K1435),2)&amp;RIGHT("00"&amp;MINUTE(Sync!$K1435),2),IFERROR(RIGHT("00"&amp;VALUE(LEFT(Sync!$K1435,FIND(":",Sync!$K1435)-1)),2)&amp;RIGHT("00"&amp;VALUE(MID(Sync!$K1435,FIND(":",Sync!$K1435)+1,2)),2),"0000")))&amp;"|"&amp;"2"&amp;RIGHT("00000"&amp;1430,5))</f>
        <v/>
      </c>
      <c r="Q1435">
        <f>IF(Sync!$J1435="","",IF(ISNUMBER(Sync!$J1435),IF(AND(Sync!$J1435&gt;=10000101,Sync!$J1435&lt;=99991231),INT(Sync!$J1435/10000)&amp;"/"&amp;RIGHT("00"&amp;INT(MOD(Sync!$J1435,10000)/100),2)&amp;"/"&amp;RIGHT("00"&amp;MOD(Sync!$J1435,100),2),"نامعتبر"),IF(LEN(Sync!$J1435)=10,Sync!$J1435,"نامعتبر")))</f>
        <v/>
      </c>
      <c r="R1435">
        <f>IF($P1435="","",COUNTIFS($N$6:$N$2005,$N1435,$P$6:$P$2005,"&lt;"&amp;$P1435)+COUNTIFS($A$6:$A$1005,$N1435,$B$6:$B$1005,"&lt;"&amp;$P1435)+1)</f>
        <v/>
      </c>
      <c r="S1435">
        <f>IF($N1435="","",$N1435&amp;"|"&amp;RIGHT("000000"&amp;$R1435,6))</f>
        <v/>
      </c>
      <c r="T1435">
        <f>IF($N1435="","",IF(Sync!$N1435="",0,Sync!$N1435))</f>
        <v/>
      </c>
      <c r="U1435">
        <f>IF($N1435="","",IF(Sync!$O1435="",0,Sync!$O1435))</f>
        <v/>
      </c>
      <c r="V1435">
        <f>IF($N1435="","",Sync!$L1435)</f>
        <v/>
      </c>
      <c r="W1435">
        <f>IF($N1435="","",Sync!$P1435)</f>
        <v/>
      </c>
    </row>
    <row r="1436">
      <c r="N1436">
        <f>IF(OR(Sync!$M1436="",$Q1436="",$Q1436="نامعتبر"),"",Sync!$M1436)</f>
        <v/>
      </c>
      <c r="O1436">
        <f>IF($N1436="","",$Q1436)</f>
        <v/>
      </c>
      <c r="P1436">
        <f>IF($N1436="","",LEFT($Q1436,4)&amp;MID($Q1436,6,2)&amp;RIGHT($Q1436,2)&amp;IF(Sync!$K1436="","0000",IF(AND(ISNUMBER(Sync!$K1436),Sync!$K1436&gt;=0,Sync!$K1436&lt;1),RIGHT("00"&amp;HOUR(Sync!$K1436),2)&amp;RIGHT("00"&amp;MINUTE(Sync!$K1436),2),IFERROR(RIGHT("00"&amp;VALUE(LEFT(Sync!$K1436,FIND(":",Sync!$K1436)-1)),2)&amp;RIGHT("00"&amp;VALUE(MID(Sync!$K1436,FIND(":",Sync!$K1436)+1,2)),2),"0000")))&amp;"|"&amp;"2"&amp;RIGHT("00000"&amp;1431,5))</f>
        <v/>
      </c>
      <c r="Q1436">
        <f>IF(Sync!$J1436="","",IF(ISNUMBER(Sync!$J1436),IF(AND(Sync!$J1436&gt;=10000101,Sync!$J1436&lt;=99991231),INT(Sync!$J1436/10000)&amp;"/"&amp;RIGHT("00"&amp;INT(MOD(Sync!$J1436,10000)/100),2)&amp;"/"&amp;RIGHT("00"&amp;MOD(Sync!$J1436,100),2),"نامعتبر"),IF(LEN(Sync!$J1436)=10,Sync!$J1436,"نامعتبر")))</f>
        <v/>
      </c>
      <c r="R1436">
        <f>IF($P1436="","",COUNTIFS($N$6:$N$2005,$N1436,$P$6:$P$2005,"&lt;"&amp;$P1436)+COUNTIFS($A$6:$A$1005,$N1436,$B$6:$B$1005,"&lt;"&amp;$P1436)+1)</f>
        <v/>
      </c>
      <c r="S1436">
        <f>IF($N1436="","",$N1436&amp;"|"&amp;RIGHT("000000"&amp;$R1436,6))</f>
        <v/>
      </c>
      <c r="T1436">
        <f>IF($N1436="","",IF(Sync!$N1436="",0,Sync!$N1436))</f>
        <v/>
      </c>
      <c r="U1436">
        <f>IF($N1436="","",IF(Sync!$O1436="",0,Sync!$O1436))</f>
        <v/>
      </c>
      <c r="V1436">
        <f>IF($N1436="","",Sync!$L1436)</f>
        <v/>
      </c>
      <c r="W1436">
        <f>IF($N1436="","",Sync!$P1436)</f>
        <v/>
      </c>
    </row>
    <row r="1437">
      <c r="N1437">
        <f>IF(OR(Sync!$M1437="",$Q1437="",$Q1437="نامعتبر"),"",Sync!$M1437)</f>
        <v/>
      </c>
      <c r="O1437">
        <f>IF($N1437="","",$Q1437)</f>
        <v/>
      </c>
      <c r="P1437">
        <f>IF($N1437="","",LEFT($Q1437,4)&amp;MID($Q1437,6,2)&amp;RIGHT($Q1437,2)&amp;IF(Sync!$K1437="","0000",IF(AND(ISNUMBER(Sync!$K1437),Sync!$K1437&gt;=0,Sync!$K1437&lt;1),RIGHT("00"&amp;HOUR(Sync!$K1437),2)&amp;RIGHT("00"&amp;MINUTE(Sync!$K1437),2),IFERROR(RIGHT("00"&amp;VALUE(LEFT(Sync!$K1437,FIND(":",Sync!$K1437)-1)),2)&amp;RIGHT("00"&amp;VALUE(MID(Sync!$K1437,FIND(":",Sync!$K1437)+1,2)),2),"0000")))&amp;"|"&amp;"2"&amp;RIGHT("00000"&amp;1432,5))</f>
        <v/>
      </c>
      <c r="Q1437">
        <f>IF(Sync!$J1437="","",IF(ISNUMBER(Sync!$J1437),IF(AND(Sync!$J1437&gt;=10000101,Sync!$J1437&lt;=99991231),INT(Sync!$J1437/10000)&amp;"/"&amp;RIGHT("00"&amp;INT(MOD(Sync!$J1437,10000)/100),2)&amp;"/"&amp;RIGHT("00"&amp;MOD(Sync!$J1437,100),2),"نامعتبر"),IF(LEN(Sync!$J1437)=10,Sync!$J1437,"نامعتبر")))</f>
        <v/>
      </c>
      <c r="R1437">
        <f>IF($P1437="","",COUNTIFS($N$6:$N$2005,$N1437,$P$6:$P$2005,"&lt;"&amp;$P1437)+COUNTIFS($A$6:$A$1005,$N1437,$B$6:$B$1005,"&lt;"&amp;$P1437)+1)</f>
        <v/>
      </c>
      <c r="S1437">
        <f>IF($N1437="","",$N1437&amp;"|"&amp;RIGHT("000000"&amp;$R1437,6))</f>
        <v/>
      </c>
      <c r="T1437">
        <f>IF($N1437="","",IF(Sync!$N1437="",0,Sync!$N1437))</f>
        <v/>
      </c>
      <c r="U1437">
        <f>IF($N1437="","",IF(Sync!$O1437="",0,Sync!$O1437))</f>
        <v/>
      </c>
      <c r="V1437">
        <f>IF($N1437="","",Sync!$L1437)</f>
        <v/>
      </c>
      <c r="W1437">
        <f>IF($N1437="","",Sync!$P1437)</f>
        <v/>
      </c>
    </row>
    <row r="1438">
      <c r="N1438">
        <f>IF(OR(Sync!$M1438="",$Q1438="",$Q1438="نامعتبر"),"",Sync!$M1438)</f>
        <v/>
      </c>
      <c r="O1438">
        <f>IF($N1438="","",$Q1438)</f>
        <v/>
      </c>
      <c r="P1438">
        <f>IF($N1438="","",LEFT($Q1438,4)&amp;MID($Q1438,6,2)&amp;RIGHT($Q1438,2)&amp;IF(Sync!$K1438="","0000",IF(AND(ISNUMBER(Sync!$K1438),Sync!$K1438&gt;=0,Sync!$K1438&lt;1),RIGHT("00"&amp;HOUR(Sync!$K1438),2)&amp;RIGHT("00"&amp;MINUTE(Sync!$K1438),2),IFERROR(RIGHT("00"&amp;VALUE(LEFT(Sync!$K1438,FIND(":",Sync!$K1438)-1)),2)&amp;RIGHT("00"&amp;VALUE(MID(Sync!$K1438,FIND(":",Sync!$K1438)+1,2)),2),"0000")))&amp;"|"&amp;"2"&amp;RIGHT("00000"&amp;1433,5))</f>
        <v/>
      </c>
      <c r="Q1438">
        <f>IF(Sync!$J1438="","",IF(ISNUMBER(Sync!$J1438),IF(AND(Sync!$J1438&gt;=10000101,Sync!$J1438&lt;=99991231),INT(Sync!$J1438/10000)&amp;"/"&amp;RIGHT("00"&amp;INT(MOD(Sync!$J1438,10000)/100),2)&amp;"/"&amp;RIGHT("00"&amp;MOD(Sync!$J1438,100),2),"نامعتبر"),IF(LEN(Sync!$J1438)=10,Sync!$J1438,"نامعتبر")))</f>
        <v/>
      </c>
      <c r="R1438">
        <f>IF($P1438="","",COUNTIFS($N$6:$N$2005,$N1438,$P$6:$P$2005,"&lt;"&amp;$P1438)+COUNTIFS($A$6:$A$1005,$N1438,$B$6:$B$1005,"&lt;"&amp;$P1438)+1)</f>
        <v/>
      </c>
      <c r="S1438">
        <f>IF($N1438="","",$N1438&amp;"|"&amp;RIGHT("000000"&amp;$R1438,6))</f>
        <v/>
      </c>
      <c r="T1438">
        <f>IF($N1438="","",IF(Sync!$N1438="",0,Sync!$N1438))</f>
        <v/>
      </c>
      <c r="U1438">
        <f>IF($N1438="","",IF(Sync!$O1438="",0,Sync!$O1438))</f>
        <v/>
      </c>
      <c r="V1438">
        <f>IF($N1438="","",Sync!$L1438)</f>
        <v/>
      </c>
      <c r="W1438">
        <f>IF($N1438="","",Sync!$P1438)</f>
        <v/>
      </c>
    </row>
    <row r="1439">
      <c r="N1439">
        <f>IF(OR(Sync!$M1439="",$Q1439="",$Q1439="نامعتبر"),"",Sync!$M1439)</f>
        <v/>
      </c>
      <c r="O1439">
        <f>IF($N1439="","",$Q1439)</f>
        <v/>
      </c>
      <c r="P1439">
        <f>IF($N1439="","",LEFT($Q1439,4)&amp;MID($Q1439,6,2)&amp;RIGHT($Q1439,2)&amp;IF(Sync!$K1439="","0000",IF(AND(ISNUMBER(Sync!$K1439),Sync!$K1439&gt;=0,Sync!$K1439&lt;1),RIGHT("00"&amp;HOUR(Sync!$K1439),2)&amp;RIGHT("00"&amp;MINUTE(Sync!$K1439),2),IFERROR(RIGHT("00"&amp;VALUE(LEFT(Sync!$K1439,FIND(":",Sync!$K1439)-1)),2)&amp;RIGHT("00"&amp;VALUE(MID(Sync!$K1439,FIND(":",Sync!$K1439)+1,2)),2),"0000")))&amp;"|"&amp;"2"&amp;RIGHT("00000"&amp;1434,5))</f>
        <v/>
      </c>
      <c r="Q1439">
        <f>IF(Sync!$J1439="","",IF(ISNUMBER(Sync!$J1439),IF(AND(Sync!$J1439&gt;=10000101,Sync!$J1439&lt;=99991231),INT(Sync!$J1439/10000)&amp;"/"&amp;RIGHT("00"&amp;INT(MOD(Sync!$J1439,10000)/100),2)&amp;"/"&amp;RIGHT("00"&amp;MOD(Sync!$J1439,100),2),"نامعتبر"),IF(LEN(Sync!$J1439)=10,Sync!$J1439,"نامعتبر")))</f>
        <v/>
      </c>
      <c r="R1439">
        <f>IF($P1439="","",COUNTIFS($N$6:$N$2005,$N1439,$P$6:$P$2005,"&lt;"&amp;$P1439)+COUNTIFS($A$6:$A$1005,$N1439,$B$6:$B$1005,"&lt;"&amp;$P1439)+1)</f>
        <v/>
      </c>
      <c r="S1439">
        <f>IF($N1439="","",$N1439&amp;"|"&amp;RIGHT("000000"&amp;$R1439,6))</f>
        <v/>
      </c>
      <c r="T1439">
        <f>IF($N1439="","",IF(Sync!$N1439="",0,Sync!$N1439))</f>
        <v/>
      </c>
      <c r="U1439">
        <f>IF($N1439="","",IF(Sync!$O1439="",0,Sync!$O1439))</f>
        <v/>
      </c>
      <c r="V1439">
        <f>IF($N1439="","",Sync!$L1439)</f>
        <v/>
      </c>
      <c r="W1439">
        <f>IF($N1439="","",Sync!$P1439)</f>
        <v/>
      </c>
    </row>
    <row r="1440">
      <c r="N1440">
        <f>IF(OR(Sync!$M1440="",$Q1440="",$Q1440="نامعتبر"),"",Sync!$M1440)</f>
        <v/>
      </c>
      <c r="O1440">
        <f>IF($N1440="","",$Q1440)</f>
        <v/>
      </c>
      <c r="P1440">
        <f>IF($N1440="","",LEFT($Q1440,4)&amp;MID($Q1440,6,2)&amp;RIGHT($Q1440,2)&amp;IF(Sync!$K1440="","0000",IF(AND(ISNUMBER(Sync!$K1440),Sync!$K1440&gt;=0,Sync!$K1440&lt;1),RIGHT("00"&amp;HOUR(Sync!$K1440),2)&amp;RIGHT("00"&amp;MINUTE(Sync!$K1440),2),IFERROR(RIGHT("00"&amp;VALUE(LEFT(Sync!$K1440,FIND(":",Sync!$K1440)-1)),2)&amp;RIGHT("00"&amp;VALUE(MID(Sync!$K1440,FIND(":",Sync!$K1440)+1,2)),2),"0000")))&amp;"|"&amp;"2"&amp;RIGHT("00000"&amp;1435,5))</f>
        <v/>
      </c>
      <c r="Q1440">
        <f>IF(Sync!$J1440="","",IF(ISNUMBER(Sync!$J1440),IF(AND(Sync!$J1440&gt;=10000101,Sync!$J1440&lt;=99991231),INT(Sync!$J1440/10000)&amp;"/"&amp;RIGHT("00"&amp;INT(MOD(Sync!$J1440,10000)/100),2)&amp;"/"&amp;RIGHT("00"&amp;MOD(Sync!$J1440,100),2),"نامعتبر"),IF(LEN(Sync!$J1440)=10,Sync!$J1440,"نامعتبر")))</f>
        <v/>
      </c>
      <c r="R1440">
        <f>IF($P1440="","",COUNTIFS($N$6:$N$2005,$N1440,$P$6:$P$2005,"&lt;"&amp;$P1440)+COUNTIFS($A$6:$A$1005,$N1440,$B$6:$B$1005,"&lt;"&amp;$P1440)+1)</f>
        <v/>
      </c>
      <c r="S1440">
        <f>IF($N1440="","",$N1440&amp;"|"&amp;RIGHT("000000"&amp;$R1440,6))</f>
        <v/>
      </c>
      <c r="T1440">
        <f>IF($N1440="","",IF(Sync!$N1440="",0,Sync!$N1440))</f>
        <v/>
      </c>
      <c r="U1440">
        <f>IF($N1440="","",IF(Sync!$O1440="",0,Sync!$O1440))</f>
        <v/>
      </c>
      <c r="V1440">
        <f>IF($N1440="","",Sync!$L1440)</f>
        <v/>
      </c>
      <c r="W1440">
        <f>IF($N1440="","",Sync!$P1440)</f>
        <v/>
      </c>
    </row>
    <row r="1441">
      <c r="N1441">
        <f>IF(OR(Sync!$M1441="",$Q1441="",$Q1441="نامعتبر"),"",Sync!$M1441)</f>
        <v/>
      </c>
      <c r="O1441">
        <f>IF($N1441="","",$Q1441)</f>
        <v/>
      </c>
      <c r="P1441">
        <f>IF($N1441="","",LEFT($Q1441,4)&amp;MID($Q1441,6,2)&amp;RIGHT($Q1441,2)&amp;IF(Sync!$K1441="","0000",IF(AND(ISNUMBER(Sync!$K1441),Sync!$K1441&gt;=0,Sync!$K1441&lt;1),RIGHT("00"&amp;HOUR(Sync!$K1441),2)&amp;RIGHT("00"&amp;MINUTE(Sync!$K1441),2),IFERROR(RIGHT("00"&amp;VALUE(LEFT(Sync!$K1441,FIND(":",Sync!$K1441)-1)),2)&amp;RIGHT("00"&amp;VALUE(MID(Sync!$K1441,FIND(":",Sync!$K1441)+1,2)),2),"0000")))&amp;"|"&amp;"2"&amp;RIGHT("00000"&amp;1436,5))</f>
        <v/>
      </c>
      <c r="Q1441">
        <f>IF(Sync!$J1441="","",IF(ISNUMBER(Sync!$J1441),IF(AND(Sync!$J1441&gt;=10000101,Sync!$J1441&lt;=99991231),INT(Sync!$J1441/10000)&amp;"/"&amp;RIGHT("00"&amp;INT(MOD(Sync!$J1441,10000)/100),2)&amp;"/"&amp;RIGHT("00"&amp;MOD(Sync!$J1441,100),2),"نامعتبر"),IF(LEN(Sync!$J1441)=10,Sync!$J1441,"نامعتبر")))</f>
        <v/>
      </c>
      <c r="R1441">
        <f>IF($P1441="","",COUNTIFS($N$6:$N$2005,$N1441,$P$6:$P$2005,"&lt;"&amp;$P1441)+COUNTIFS($A$6:$A$1005,$N1441,$B$6:$B$1005,"&lt;"&amp;$P1441)+1)</f>
        <v/>
      </c>
      <c r="S1441">
        <f>IF($N1441="","",$N1441&amp;"|"&amp;RIGHT("000000"&amp;$R1441,6))</f>
        <v/>
      </c>
      <c r="T1441">
        <f>IF($N1441="","",IF(Sync!$N1441="",0,Sync!$N1441))</f>
        <v/>
      </c>
      <c r="U1441">
        <f>IF($N1441="","",IF(Sync!$O1441="",0,Sync!$O1441))</f>
        <v/>
      </c>
      <c r="V1441">
        <f>IF($N1441="","",Sync!$L1441)</f>
        <v/>
      </c>
      <c r="W1441">
        <f>IF($N1441="","",Sync!$P1441)</f>
        <v/>
      </c>
    </row>
    <row r="1442">
      <c r="N1442">
        <f>IF(OR(Sync!$M1442="",$Q1442="",$Q1442="نامعتبر"),"",Sync!$M1442)</f>
        <v/>
      </c>
      <c r="O1442">
        <f>IF($N1442="","",$Q1442)</f>
        <v/>
      </c>
      <c r="P1442">
        <f>IF($N1442="","",LEFT($Q1442,4)&amp;MID($Q1442,6,2)&amp;RIGHT($Q1442,2)&amp;IF(Sync!$K1442="","0000",IF(AND(ISNUMBER(Sync!$K1442),Sync!$K1442&gt;=0,Sync!$K1442&lt;1),RIGHT("00"&amp;HOUR(Sync!$K1442),2)&amp;RIGHT("00"&amp;MINUTE(Sync!$K1442),2),IFERROR(RIGHT("00"&amp;VALUE(LEFT(Sync!$K1442,FIND(":",Sync!$K1442)-1)),2)&amp;RIGHT("00"&amp;VALUE(MID(Sync!$K1442,FIND(":",Sync!$K1442)+1,2)),2),"0000")))&amp;"|"&amp;"2"&amp;RIGHT("00000"&amp;1437,5))</f>
        <v/>
      </c>
      <c r="Q1442">
        <f>IF(Sync!$J1442="","",IF(ISNUMBER(Sync!$J1442),IF(AND(Sync!$J1442&gt;=10000101,Sync!$J1442&lt;=99991231),INT(Sync!$J1442/10000)&amp;"/"&amp;RIGHT("00"&amp;INT(MOD(Sync!$J1442,10000)/100),2)&amp;"/"&amp;RIGHT("00"&amp;MOD(Sync!$J1442,100),2),"نامعتبر"),IF(LEN(Sync!$J1442)=10,Sync!$J1442,"نامعتبر")))</f>
        <v/>
      </c>
      <c r="R1442">
        <f>IF($P1442="","",COUNTIFS($N$6:$N$2005,$N1442,$P$6:$P$2005,"&lt;"&amp;$P1442)+COUNTIFS($A$6:$A$1005,$N1442,$B$6:$B$1005,"&lt;"&amp;$P1442)+1)</f>
        <v/>
      </c>
      <c r="S1442">
        <f>IF($N1442="","",$N1442&amp;"|"&amp;RIGHT("000000"&amp;$R1442,6))</f>
        <v/>
      </c>
      <c r="T1442">
        <f>IF($N1442="","",IF(Sync!$N1442="",0,Sync!$N1442))</f>
        <v/>
      </c>
      <c r="U1442">
        <f>IF($N1442="","",IF(Sync!$O1442="",0,Sync!$O1442))</f>
        <v/>
      </c>
      <c r="V1442">
        <f>IF($N1442="","",Sync!$L1442)</f>
        <v/>
      </c>
      <c r="W1442">
        <f>IF($N1442="","",Sync!$P1442)</f>
        <v/>
      </c>
    </row>
    <row r="1443">
      <c r="N1443">
        <f>IF(OR(Sync!$M1443="",$Q1443="",$Q1443="نامعتبر"),"",Sync!$M1443)</f>
        <v/>
      </c>
      <c r="O1443">
        <f>IF($N1443="","",$Q1443)</f>
        <v/>
      </c>
      <c r="P1443">
        <f>IF($N1443="","",LEFT($Q1443,4)&amp;MID($Q1443,6,2)&amp;RIGHT($Q1443,2)&amp;IF(Sync!$K1443="","0000",IF(AND(ISNUMBER(Sync!$K1443),Sync!$K1443&gt;=0,Sync!$K1443&lt;1),RIGHT("00"&amp;HOUR(Sync!$K1443),2)&amp;RIGHT("00"&amp;MINUTE(Sync!$K1443),2),IFERROR(RIGHT("00"&amp;VALUE(LEFT(Sync!$K1443,FIND(":",Sync!$K1443)-1)),2)&amp;RIGHT("00"&amp;VALUE(MID(Sync!$K1443,FIND(":",Sync!$K1443)+1,2)),2),"0000")))&amp;"|"&amp;"2"&amp;RIGHT("00000"&amp;1438,5))</f>
        <v/>
      </c>
      <c r="Q1443">
        <f>IF(Sync!$J1443="","",IF(ISNUMBER(Sync!$J1443),IF(AND(Sync!$J1443&gt;=10000101,Sync!$J1443&lt;=99991231),INT(Sync!$J1443/10000)&amp;"/"&amp;RIGHT("00"&amp;INT(MOD(Sync!$J1443,10000)/100),2)&amp;"/"&amp;RIGHT("00"&amp;MOD(Sync!$J1443,100),2),"نامعتبر"),IF(LEN(Sync!$J1443)=10,Sync!$J1443,"نامعتبر")))</f>
        <v/>
      </c>
      <c r="R1443">
        <f>IF($P1443="","",COUNTIFS($N$6:$N$2005,$N1443,$P$6:$P$2005,"&lt;"&amp;$P1443)+COUNTIFS($A$6:$A$1005,$N1443,$B$6:$B$1005,"&lt;"&amp;$P1443)+1)</f>
        <v/>
      </c>
      <c r="S1443">
        <f>IF($N1443="","",$N1443&amp;"|"&amp;RIGHT("000000"&amp;$R1443,6))</f>
        <v/>
      </c>
      <c r="T1443">
        <f>IF($N1443="","",IF(Sync!$N1443="",0,Sync!$N1443))</f>
        <v/>
      </c>
      <c r="U1443">
        <f>IF($N1443="","",IF(Sync!$O1443="",0,Sync!$O1443))</f>
        <v/>
      </c>
      <c r="V1443">
        <f>IF($N1443="","",Sync!$L1443)</f>
        <v/>
      </c>
      <c r="W1443">
        <f>IF($N1443="","",Sync!$P1443)</f>
        <v/>
      </c>
    </row>
    <row r="1444">
      <c r="N1444">
        <f>IF(OR(Sync!$M1444="",$Q1444="",$Q1444="نامعتبر"),"",Sync!$M1444)</f>
        <v/>
      </c>
      <c r="O1444">
        <f>IF($N1444="","",$Q1444)</f>
        <v/>
      </c>
      <c r="P1444">
        <f>IF($N1444="","",LEFT($Q1444,4)&amp;MID($Q1444,6,2)&amp;RIGHT($Q1444,2)&amp;IF(Sync!$K1444="","0000",IF(AND(ISNUMBER(Sync!$K1444),Sync!$K1444&gt;=0,Sync!$K1444&lt;1),RIGHT("00"&amp;HOUR(Sync!$K1444),2)&amp;RIGHT("00"&amp;MINUTE(Sync!$K1444),2),IFERROR(RIGHT("00"&amp;VALUE(LEFT(Sync!$K1444,FIND(":",Sync!$K1444)-1)),2)&amp;RIGHT("00"&amp;VALUE(MID(Sync!$K1444,FIND(":",Sync!$K1444)+1,2)),2),"0000")))&amp;"|"&amp;"2"&amp;RIGHT("00000"&amp;1439,5))</f>
        <v/>
      </c>
      <c r="Q1444">
        <f>IF(Sync!$J1444="","",IF(ISNUMBER(Sync!$J1444),IF(AND(Sync!$J1444&gt;=10000101,Sync!$J1444&lt;=99991231),INT(Sync!$J1444/10000)&amp;"/"&amp;RIGHT("00"&amp;INT(MOD(Sync!$J1444,10000)/100),2)&amp;"/"&amp;RIGHT("00"&amp;MOD(Sync!$J1444,100),2),"نامعتبر"),IF(LEN(Sync!$J1444)=10,Sync!$J1444,"نامعتبر")))</f>
        <v/>
      </c>
      <c r="R1444">
        <f>IF($P1444="","",COUNTIFS($N$6:$N$2005,$N1444,$P$6:$P$2005,"&lt;"&amp;$P1444)+COUNTIFS($A$6:$A$1005,$N1444,$B$6:$B$1005,"&lt;"&amp;$P1444)+1)</f>
        <v/>
      </c>
      <c r="S1444">
        <f>IF($N1444="","",$N1444&amp;"|"&amp;RIGHT("000000"&amp;$R1444,6))</f>
        <v/>
      </c>
      <c r="T1444">
        <f>IF($N1444="","",IF(Sync!$N1444="",0,Sync!$N1444))</f>
        <v/>
      </c>
      <c r="U1444">
        <f>IF($N1444="","",IF(Sync!$O1444="",0,Sync!$O1444))</f>
        <v/>
      </c>
      <c r="V1444">
        <f>IF($N1444="","",Sync!$L1444)</f>
        <v/>
      </c>
      <c r="W1444">
        <f>IF($N1444="","",Sync!$P1444)</f>
        <v/>
      </c>
    </row>
    <row r="1445">
      <c r="N1445">
        <f>IF(OR(Sync!$M1445="",$Q1445="",$Q1445="نامعتبر"),"",Sync!$M1445)</f>
        <v/>
      </c>
      <c r="O1445">
        <f>IF($N1445="","",$Q1445)</f>
        <v/>
      </c>
      <c r="P1445">
        <f>IF($N1445="","",LEFT($Q1445,4)&amp;MID($Q1445,6,2)&amp;RIGHT($Q1445,2)&amp;IF(Sync!$K1445="","0000",IF(AND(ISNUMBER(Sync!$K1445),Sync!$K1445&gt;=0,Sync!$K1445&lt;1),RIGHT("00"&amp;HOUR(Sync!$K1445),2)&amp;RIGHT("00"&amp;MINUTE(Sync!$K1445),2),IFERROR(RIGHT("00"&amp;VALUE(LEFT(Sync!$K1445,FIND(":",Sync!$K1445)-1)),2)&amp;RIGHT("00"&amp;VALUE(MID(Sync!$K1445,FIND(":",Sync!$K1445)+1,2)),2),"0000")))&amp;"|"&amp;"2"&amp;RIGHT("00000"&amp;1440,5))</f>
        <v/>
      </c>
      <c r="Q1445">
        <f>IF(Sync!$J1445="","",IF(ISNUMBER(Sync!$J1445),IF(AND(Sync!$J1445&gt;=10000101,Sync!$J1445&lt;=99991231),INT(Sync!$J1445/10000)&amp;"/"&amp;RIGHT("00"&amp;INT(MOD(Sync!$J1445,10000)/100),2)&amp;"/"&amp;RIGHT("00"&amp;MOD(Sync!$J1445,100),2),"نامعتبر"),IF(LEN(Sync!$J1445)=10,Sync!$J1445,"نامعتبر")))</f>
        <v/>
      </c>
      <c r="R1445">
        <f>IF($P1445="","",COUNTIFS($N$6:$N$2005,$N1445,$P$6:$P$2005,"&lt;"&amp;$P1445)+COUNTIFS($A$6:$A$1005,$N1445,$B$6:$B$1005,"&lt;"&amp;$P1445)+1)</f>
        <v/>
      </c>
      <c r="S1445">
        <f>IF($N1445="","",$N1445&amp;"|"&amp;RIGHT("000000"&amp;$R1445,6))</f>
        <v/>
      </c>
      <c r="T1445">
        <f>IF($N1445="","",IF(Sync!$N1445="",0,Sync!$N1445))</f>
        <v/>
      </c>
      <c r="U1445">
        <f>IF($N1445="","",IF(Sync!$O1445="",0,Sync!$O1445))</f>
        <v/>
      </c>
      <c r="V1445">
        <f>IF($N1445="","",Sync!$L1445)</f>
        <v/>
      </c>
      <c r="W1445">
        <f>IF($N1445="","",Sync!$P1445)</f>
        <v/>
      </c>
    </row>
    <row r="1446">
      <c r="N1446">
        <f>IF(OR(Sync!$M1446="",$Q1446="",$Q1446="نامعتبر"),"",Sync!$M1446)</f>
        <v/>
      </c>
      <c r="O1446">
        <f>IF($N1446="","",$Q1446)</f>
        <v/>
      </c>
      <c r="P1446">
        <f>IF($N1446="","",LEFT($Q1446,4)&amp;MID($Q1446,6,2)&amp;RIGHT($Q1446,2)&amp;IF(Sync!$K1446="","0000",IF(AND(ISNUMBER(Sync!$K1446),Sync!$K1446&gt;=0,Sync!$K1446&lt;1),RIGHT("00"&amp;HOUR(Sync!$K1446),2)&amp;RIGHT("00"&amp;MINUTE(Sync!$K1446),2),IFERROR(RIGHT("00"&amp;VALUE(LEFT(Sync!$K1446,FIND(":",Sync!$K1446)-1)),2)&amp;RIGHT("00"&amp;VALUE(MID(Sync!$K1446,FIND(":",Sync!$K1446)+1,2)),2),"0000")))&amp;"|"&amp;"2"&amp;RIGHT("00000"&amp;1441,5))</f>
        <v/>
      </c>
      <c r="Q1446">
        <f>IF(Sync!$J1446="","",IF(ISNUMBER(Sync!$J1446),IF(AND(Sync!$J1446&gt;=10000101,Sync!$J1446&lt;=99991231),INT(Sync!$J1446/10000)&amp;"/"&amp;RIGHT("00"&amp;INT(MOD(Sync!$J1446,10000)/100),2)&amp;"/"&amp;RIGHT("00"&amp;MOD(Sync!$J1446,100),2),"نامعتبر"),IF(LEN(Sync!$J1446)=10,Sync!$J1446,"نامعتبر")))</f>
        <v/>
      </c>
      <c r="R1446">
        <f>IF($P1446="","",COUNTIFS($N$6:$N$2005,$N1446,$P$6:$P$2005,"&lt;"&amp;$P1446)+COUNTIFS($A$6:$A$1005,$N1446,$B$6:$B$1005,"&lt;"&amp;$P1446)+1)</f>
        <v/>
      </c>
      <c r="S1446">
        <f>IF($N1446="","",$N1446&amp;"|"&amp;RIGHT("000000"&amp;$R1446,6))</f>
        <v/>
      </c>
      <c r="T1446">
        <f>IF($N1446="","",IF(Sync!$N1446="",0,Sync!$N1446))</f>
        <v/>
      </c>
      <c r="U1446">
        <f>IF($N1446="","",IF(Sync!$O1446="",0,Sync!$O1446))</f>
        <v/>
      </c>
      <c r="V1446">
        <f>IF($N1446="","",Sync!$L1446)</f>
        <v/>
      </c>
      <c r="W1446">
        <f>IF($N1446="","",Sync!$P1446)</f>
        <v/>
      </c>
    </row>
    <row r="1447">
      <c r="N1447">
        <f>IF(OR(Sync!$M1447="",$Q1447="",$Q1447="نامعتبر"),"",Sync!$M1447)</f>
        <v/>
      </c>
      <c r="O1447">
        <f>IF($N1447="","",$Q1447)</f>
        <v/>
      </c>
      <c r="P1447">
        <f>IF($N1447="","",LEFT($Q1447,4)&amp;MID($Q1447,6,2)&amp;RIGHT($Q1447,2)&amp;IF(Sync!$K1447="","0000",IF(AND(ISNUMBER(Sync!$K1447),Sync!$K1447&gt;=0,Sync!$K1447&lt;1),RIGHT("00"&amp;HOUR(Sync!$K1447),2)&amp;RIGHT("00"&amp;MINUTE(Sync!$K1447),2),IFERROR(RIGHT("00"&amp;VALUE(LEFT(Sync!$K1447,FIND(":",Sync!$K1447)-1)),2)&amp;RIGHT("00"&amp;VALUE(MID(Sync!$K1447,FIND(":",Sync!$K1447)+1,2)),2),"0000")))&amp;"|"&amp;"2"&amp;RIGHT("00000"&amp;1442,5))</f>
        <v/>
      </c>
      <c r="Q1447">
        <f>IF(Sync!$J1447="","",IF(ISNUMBER(Sync!$J1447),IF(AND(Sync!$J1447&gt;=10000101,Sync!$J1447&lt;=99991231),INT(Sync!$J1447/10000)&amp;"/"&amp;RIGHT("00"&amp;INT(MOD(Sync!$J1447,10000)/100),2)&amp;"/"&amp;RIGHT("00"&amp;MOD(Sync!$J1447,100),2),"نامعتبر"),IF(LEN(Sync!$J1447)=10,Sync!$J1447,"نامعتبر")))</f>
        <v/>
      </c>
      <c r="R1447">
        <f>IF($P1447="","",COUNTIFS($N$6:$N$2005,$N1447,$P$6:$P$2005,"&lt;"&amp;$P1447)+COUNTIFS($A$6:$A$1005,$N1447,$B$6:$B$1005,"&lt;"&amp;$P1447)+1)</f>
        <v/>
      </c>
      <c r="S1447">
        <f>IF($N1447="","",$N1447&amp;"|"&amp;RIGHT("000000"&amp;$R1447,6))</f>
        <v/>
      </c>
      <c r="T1447">
        <f>IF($N1447="","",IF(Sync!$N1447="",0,Sync!$N1447))</f>
        <v/>
      </c>
      <c r="U1447">
        <f>IF($N1447="","",IF(Sync!$O1447="",0,Sync!$O1447))</f>
        <v/>
      </c>
      <c r="V1447">
        <f>IF($N1447="","",Sync!$L1447)</f>
        <v/>
      </c>
      <c r="W1447">
        <f>IF($N1447="","",Sync!$P1447)</f>
        <v/>
      </c>
    </row>
    <row r="1448">
      <c r="N1448">
        <f>IF(OR(Sync!$M1448="",$Q1448="",$Q1448="نامعتبر"),"",Sync!$M1448)</f>
        <v/>
      </c>
      <c r="O1448">
        <f>IF($N1448="","",$Q1448)</f>
        <v/>
      </c>
      <c r="P1448">
        <f>IF($N1448="","",LEFT($Q1448,4)&amp;MID($Q1448,6,2)&amp;RIGHT($Q1448,2)&amp;IF(Sync!$K1448="","0000",IF(AND(ISNUMBER(Sync!$K1448),Sync!$K1448&gt;=0,Sync!$K1448&lt;1),RIGHT("00"&amp;HOUR(Sync!$K1448),2)&amp;RIGHT("00"&amp;MINUTE(Sync!$K1448),2),IFERROR(RIGHT("00"&amp;VALUE(LEFT(Sync!$K1448,FIND(":",Sync!$K1448)-1)),2)&amp;RIGHT("00"&amp;VALUE(MID(Sync!$K1448,FIND(":",Sync!$K1448)+1,2)),2),"0000")))&amp;"|"&amp;"2"&amp;RIGHT("00000"&amp;1443,5))</f>
        <v/>
      </c>
      <c r="Q1448">
        <f>IF(Sync!$J1448="","",IF(ISNUMBER(Sync!$J1448),IF(AND(Sync!$J1448&gt;=10000101,Sync!$J1448&lt;=99991231),INT(Sync!$J1448/10000)&amp;"/"&amp;RIGHT("00"&amp;INT(MOD(Sync!$J1448,10000)/100),2)&amp;"/"&amp;RIGHT("00"&amp;MOD(Sync!$J1448,100),2),"نامعتبر"),IF(LEN(Sync!$J1448)=10,Sync!$J1448,"نامعتبر")))</f>
        <v/>
      </c>
      <c r="R1448">
        <f>IF($P1448="","",COUNTIFS($N$6:$N$2005,$N1448,$P$6:$P$2005,"&lt;"&amp;$P1448)+COUNTIFS($A$6:$A$1005,$N1448,$B$6:$B$1005,"&lt;"&amp;$P1448)+1)</f>
        <v/>
      </c>
      <c r="S1448">
        <f>IF($N1448="","",$N1448&amp;"|"&amp;RIGHT("000000"&amp;$R1448,6))</f>
        <v/>
      </c>
      <c r="T1448">
        <f>IF($N1448="","",IF(Sync!$N1448="",0,Sync!$N1448))</f>
        <v/>
      </c>
      <c r="U1448">
        <f>IF($N1448="","",IF(Sync!$O1448="",0,Sync!$O1448))</f>
        <v/>
      </c>
      <c r="V1448">
        <f>IF($N1448="","",Sync!$L1448)</f>
        <v/>
      </c>
      <c r="W1448">
        <f>IF($N1448="","",Sync!$P1448)</f>
        <v/>
      </c>
    </row>
    <row r="1449">
      <c r="N1449">
        <f>IF(OR(Sync!$M1449="",$Q1449="",$Q1449="نامعتبر"),"",Sync!$M1449)</f>
        <v/>
      </c>
      <c r="O1449">
        <f>IF($N1449="","",$Q1449)</f>
        <v/>
      </c>
      <c r="P1449">
        <f>IF($N1449="","",LEFT($Q1449,4)&amp;MID($Q1449,6,2)&amp;RIGHT($Q1449,2)&amp;IF(Sync!$K1449="","0000",IF(AND(ISNUMBER(Sync!$K1449),Sync!$K1449&gt;=0,Sync!$K1449&lt;1),RIGHT("00"&amp;HOUR(Sync!$K1449),2)&amp;RIGHT("00"&amp;MINUTE(Sync!$K1449),2),IFERROR(RIGHT("00"&amp;VALUE(LEFT(Sync!$K1449,FIND(":",Sync!$K1449)-1)),2)&amp;RIGHT("00"&amp;VALUE(MID(Sync!$K1449,FIND(":",Sync!$K1449)+1,2)),2),"0000")))&amp;"|"&amp;"2"&amp;RIGHT("00000"&amp;1444,5))</f>
        <v/>
      </c>
      <c r="Q1449">
        <f>IF(Sync!$J1449="","",IF(ISNUMBER(Sync!$J1449),IF(AND(Sync!$J1449&gt;=10000101,Sync!$J1449&lt;=99991231),INT(Sync!$J1449/10000)&amp;"/"&amp;RIGHT("00"&amp;INT(MOD(Sync!$J1449,10000)/100),2)&amp;"/"&amp;RIGHT("00"&amp;MOD(Sync!$J1449,100),2),"نامعتبر"),IF(LEN(Sync!$J1449)=10,Sync!$J1449,"نامعتبر")))</f>
        <v/>
      </c>
      <c r="R1449">
        <f>IF($P1449="","",COUNTIFS($N$6:$N$2005,$N1449,$P$6:$P$2005,"&lt;"&amp;$P1449)+COUNTIFS($A$6:$A$1005,$N1449,$B$6:$B$1005,"&lt;"&amp;$P1449)+1)</f>
        <v/>
      </c>
      <c r="S1449">
        <f>IF($N1449="","",$N1449&amp;"|"&amp;RIGHT("000000"&amp;$R1449,6))</f>
        <v/>
      </c>
      <c r="T1449">
        <f>IF($N1449="","",IF(Sync!$N1449="",0,Sync!$N1449))</f>
        <v/>
      </c>
      <c r="U1449">
        <f>IF($N1449="","",IF(Sync!$O1449="",0,Sync!$O1449))</f>
        <v/>
      </c>
      <c r="V1449">
        <f>IF($N1449="","",Sync!$L1449)</f>
        <v/>
      </c>
      <c r="W1449">
        <f>IF($N1449="","",Sync!$P1449)</f>
        <v/>
      </c>
    </row>
    <row r="1450">
      <c r="N1450">
        <f>IF(OR(Sync!$M1450="",$Q1450="",$Q1450="نامعتبر"),"",Sync!$M1450)</f>
        <v/>
      </c>
      <c r="O1450">
        <f>IF($N1450="","",$Q1450)</f>
        <v/>
      </c>
      <c r="P1450">
        <f>IF($N1450="","",LEFT($Q1450,4)&amp;MID($Q1450,6,2)&amp;RIGHT($Q1450,2)&amp;IF(Sync!$K1450="","0000",IF(AND(ISNUMBER(Sync!$K1450),Sync!$K1450&gt;=0,Sync!$K1450&lt;1),RIGHT("00"&amp;HOUR(Sync!$K1450),2)&amp;RIGHT("00"&amp;MINUTE(Sync!$K1450),2),IFERROR(RIGHT("00"&amp;VALUE(LEFT(Sync!$K1450,FIND(":",Sync!$K1450)-1)),2)&amp;RIGHT("00"&amp;VALUE(MID(Sync!$K1450,FIND(":",Sync!$K1450)+1,2)),2),"0000")))&amp;"|"&amp;"2"&amp;RIGHT("00000"&amp;1445,5))</f>
        <v/>
      </c>
      <c r="Q1450">
        <f>IF(Sync!$J1450="","",IF(ISNUMBER(Sync!$J1450),IF(AND(Sync!$J1450&gt;=10000101,Sync!$J1450&lt;=99991231),INT(Sync!$J1450/10000)&amp;"/"&amp;RIGHT("00"&amp;INT(MOD(Sync!$J1450,10000)/100),2)&amp;"/"&amp;RIGHT("00"&amp;MOD(Sync!$J1450,100),2),"نامعتبر"),IF(LEN(Sync!$J1450)=10,Sync!$J1450,"نامعتبر")))</f>
        <v/>
      </c>
      <c r="R1450">
        <f>IF($P1450="","",COUNTIFS($N$6:$N$2005,$N1450,$P$6:$P$2005,"&lt;"&amp;$P1450)+COUNTIFS($A$6:$A$1005,$N1450,$B$6:$B$1005,"&lt;"&amp;$P1450)+1)</f>
        <v/>
      </c>
      <c r="S1450">
        <f>IF($N1450="","",$N1450&amp;"|"&amp;RIGHT("000000"&amp;$R1450,6))</f>
        <v/>
      </c>
      <c r="T1450">
        <f>IF($N1450="","",IF(Sync!$N1450="",0,Sync!$N1450))</f>
        <v/>
      </c>
      <c r="U1450">
        <f>IF($N1450="","",IF(Sync!$O1450="",0,Sync!$O1450))</f>
        <v/>
      </c>
      <c r="V1450">
        <f>IF($N1450="","",Sync!$L1450)</f>
        <v/>
      </c>
      <c r="W1450">
        <f>IF($N1450="","",Sync!$P1450)</f>
        <v/>
      </c>
    </row>
    <row r="1451">
      <c r="N1451">
        <f>IF(OR(Sync!$M1451="",$Q1451="",$Q1451="نامعتبر"),"",Sync!$M1451)</f>
        <v/>
      </c>
      <c r="O1451">
        <f>IF($N1451="","",$Q1451)</f>
        <v/>
      </c>
      <c r="P1451">
        <f>IF($N1451="","",LEFT($Q1451,4)&amp;MID($Q1451,6,2)&amp;RIGHT($Q1451,2)&amp;IF(Sync!$K1451="","0000",IF(AND(ISNUMBER(Sync!$K1451),Sync!$K1451&gt;=0,Sync!$K1451&lt;1),RIGHT("00"&amp;HOUR(Sync!$K1451),2)&amp;RIGHT("00"&amp;MINUTE(Sync!$K1451),2),IFERROR(RIGHT("00"&amp;VALUE(LEFT(Sync!$K1451,FIND(":",Sync!$K1451)-1)),2)&amp;RIGHT("00"&amp;VALUE(MID(Sync!$K1451,FIND(":",Sync!$K1451)+1,2)),2),"0000")))&amp;"|"&amp;"2"&amp;RIGHT("00000"&amp;1446,5))</f>
        <v/>
      </c>
      <c r="Q1451">
        <f>IF(Sync!$J1451="","",IF(ISNUMBER(Sync!$J1451),IF(AND(Sync!$J1451&gt;=10000101,Sync!$J1451&lt;=99991231),INT(Sync!$J1451/10000)&amp;"/"&amp;RIGHT("00"&amp;INT(MOD(Sync!$J1451,10000)/100),2)&amp;"/"&amp;RIGHT("00"&amp;MOD(Sync!$J1451,100),2),"نامعتبر"),IF(LEN(Sync!$J1451)=10,Sync!$J1451,"نامعتبر")))</f>
        <v/>
      </c>
      <c r="R1451">
        <f>IF($P1451="","",COUNTIFS($N$6:$N$2005,$N1451,$P$6:$P$2005,"&lt;"&amp;$P1451)+COUNTIFS($A$6:$A$1005,$N1451,$B$6:$B$1005,"&lt;"&amp;$P1451)+1)</f>
        <v/>
      </c>
      <c r="S1451">
        <f>IF($N1451="","",$N1451&amp;"|"&amp;RIGHT("000000"&amp;$R1451,6))</f>
        <v/>
      </c>
      <c r="T1451">
        <f>IF($N1451="","",IF(Sync!$N1451="",0,Sync!$N1451))</f>
        <v/>
      </c>
      <c r="U1451">
        <f>IF($N1451="","",IF(Sync!$O1451="",0,Sync!$O1451))</f>
        <v/>
      </c>
      <c r="V1451">
        <f>IF($N1451="","",Sync!$L1451)</f>
        <v/>
      </c>
      <c r="W1451">
        <f>IF($N1451="","",Sync!$P1451)</f>
        <v/>
      </c>
    </row>
    <row r="1452">
      <c r="N1452">
        <f>IF(OR(Sync!$M1452="",$Q1452="",$Q1452="نامعتبر"),"",Sync!$M1452)</f>
        <v/>
      </c>
      <c r="O1452">
        <f>IF($N1452="","",$Q1452)</f>
        <v/>
      </c>
      <c r="P1452">
        <f>IF($N1452="","",LEFT($Q1452,4)&amp;MID($Q1452,6,2)&amp;RIGHT($Q1452,2)&amp;IF(Sync!$K1452="","0000",IF(AND(ISNUMBER(Sync!$K1452),Sync!$K1452&gt;=0,Sync!$K1452&lt;1),RIGHT("00"&amp;HOUR(Sync!$K1452),2)&amp;RIGHT("00"&amp;MINUTE(Sync!$K1452),2),IFERROR(RIGHT("00"&amp;VALUE(LEFT(Sync!$K1452,FIND(":",Sync!$K1452)-1)),2)&amp;RIGHT("00"&amp;VALUE(MID(Sync!$K1452,FIND(":",Sync!$K1452)+1,2)),2),"0000")))&amp;"|"&amp;"2"&amp;RIGHT("00000"&amp;1447,5))</f>
        <v/>
      </c>
      <c r="Q1452">
        <f>IF(Sync!$J1452="","",IF(ISNUMBER(Sync!$J1452),IF(AND(Sync!$J1452&gt;=10000101,Sync!$J1452&lt;=99991231),INT(Sync!$J1452/10000)&amp;"/"&amp;RIGHT("00"&amp;INT(MOD(Sync!$J1452,10000)/100),2)&amp;"/"&amp;RIGHT("00"&amp;MOD(Sync!$J1452,100),2),"نامعتبر"),IF(LEN(Sync!$J1452)=10,Sync!$J1452,"نامعتبر")))</f>
        <v/>
      </c>
      <c r="R1452">
        <f>IF($P1452="","",COUNTIFS($N$6:$N$2005,$N1452,$P$6:$P$2005,"&lt;"&amp;$P1452)+COUNTIFS($A$6:$A$1005,$N1452,$B$6:$B$1005,"&lt;"&amp;$P1452)+1)</f>
        <v/>
      </c>
      <c r="S1452">
        <f>IF($N1452="","",$N1452&amp;"|"&amp;RIGHT("000000"&amp;$R1452,6))</f>
        <v/>
      </c>
      <c r="T1452">
        <f>IF($N1452="","",IF(Sync!$N1452="",0,Sync!$N1452))</f>
        <v/>
      </c>
      <c r="U1452">
        <f>IF($N1452="","",IF(Sync!$O1452="",0,Sync!$O1452))</f>
        <v/>
      </c>
      <c r="V1452">
        <f>IF($N1452="","",Sync!$L1452)</f>
        <v/>
      </c>
      <c r="W1452">
        <f>IF($N1452="","",Sync!$P1452)</f>
        <v/>
      </c>
    </row>
    <row r="1453">
      <c r="N1453">
        <f>IF(OR(Sync!$M1453="",$Q1453="",$Q1453="نامعتبر"),"",Sync!$M1453)</f>
        <v/>
      </c>
      <c r="O1453">
        <f>IF($N1453="","",$Q1453)</f>
        <v/>
      </c>
      <c r="P1453">
        <f>IF($N1453="","",LEFT($Q1453,4)&amp;MID($Q1453,6,2)&amp;RIGHT($Q1453,2)&amp;IF(Sync!$K1453="","0000",IF(AND(ISNUMBER(Sync!$K1453),Sync!$K1453&gt;=0,Sync!$K1453&lt;1),RIGHT("00"&amp;HOUR(Sync!$K1453),2)&amp;RIGHT("00"&amp;MINUTE(Sync!$K1453),2),IFERROR(RIGHT("00"&amp;VALUE(LEFT(Sync!$K1453,FIND(":",Sync!$K1453)-1)),2)&amp;RIGHT("00"&amp;VALUE(MID(Sync!$K1453,FIND(":",Sync!$K1453)+1,2)),2),"0000")))&amp;"|"&amp;"2"&amp;RIGHT("00000"&amp;1448,5))</f>
        <v/>
      </c>
      <c r="Q1453">
        <f>IF(Sync!$J1453="","",IF(ISNUMBER(Sync!$J1453),IF(AND(Sync!$J1453&gt;=10000101,Sync!$J1453&lt;=99991231),INT(Sync!$J1453/10000)&amp;"/"&amp;RIGHT("00"&amp;INT(MOD(Sync!$J1453,10000)/100),2)&amp;"/"&amp;RIGHT("00"&amp;MOD(Sync!$J1453,100),2),"نامعتبر"),IF(LEN(Sync!$J1453)=10,Sync!$J1453,"نامعتبر")))</f>
        <v/>
      </c>
      <c r="R1453">
        <f>IF($P1453="","",COUNTIFS($N$6:$N$2005,$N1453,$P$6:$P$2005,"&lt;"&amp;$P1453)+COUNTIFS($A$6:$A$1005,$N1453,$B$6:$B$1005,"&lt;"&amp;$P1453)+1)</f>
        <v/>
      </c>
      <c r="S1453">
        <f>IF($N1453="","",$N1453&amp;"|"&amp;RIGHT("000000"&amp;$R1453,6))</f>
        <v/>
      </c>
      <c r="T1453">
        <f>IF($N1453="","",IF(Sync!$N1453="",0,Sync!$N1453))</f>
        <v/>
      </c>
      <c r="U1453">
        <f>IF($N1453="","",IF(Sync!$O1453="",0,Sync!$O1453))</f>
        <v/>
      </c>
      <c r="V1453">
        <f>IF($N1453="","",Sync!$L1453)</f>
        <v/>
      </c>
      <c r="W1453">
        <f>IF($N1453="","",Sync!$P1453)</f>
        <v/>
      </c>
    </row>
    <row r="1454">
      <c r="N1454">
        <f>IF(OR(Sync!$M1454="",$Q1454="",$Q1454="نامعتبر"),"",Sync!$M1454)</f>
        <v/>
      </c>
      <c r="O1454">
        <f>IF($N1454="","",$Q1454)</f>
        <v/>
      </c>
      <c r="P1454">
        <f>IF($N1454="","",LEFT($Q1454,4)&amp;MID($Q1454,6,2)&amp;RIGHT($Q1454,2)&amp;IF(Sync!$K1454="","0000",IF(AND(ISNUMBER(Sync!$K1454),Sync!$K1454&gt;=0,Sync!$K1454&lt;1),RIGHT("00"&amp;HOUR(Sync!$K1454),2)&amp;RIGHT("00"&amp;MINUTE(Sync!$K1454),2),IFERROR(RIGHT("00"&amp;VALUE(LEFT(Sync!$K1454,FIND(":",Sync!$K1454)-1)),2)&amp;RIGHT("00"&amp;VALUE(MID(Sync!$K1454,FIND(":",Sync!$K1454)+1,2)),2),"0000")))&amp;"|"&amp;"2"&amp;RIGHT("00000"&amp;1449,5))</f>
        <v/>
      </c>
      <c r="Q1454">
        <f>IF(Sync!$J1454="","",IF(ISNUMBER(Sync!$J1454),IF(AND(Sync!$J1454&gt;=10000101,Sync!$J1454&lt;=99991231),INT(Sync!$J1454/10000)&amp;"/"&amp;RIGHT("00"&amp;INT(MOD(Sync!$J1454,10000)/100),2)&amp;"/"&amp;RIGHT("00"&amp;MOD(Sync!$J1454,100),2),"نامعتبر"),IF(LEN(Sync!$J1454)=10,Sync!$J1454,"نامعتبر")))</f>
        <v/>
      </c>
      <c r="R1454">
        <f>IF($P1454="","",COUNTIFS($N$6:$N$2005,$N1454,$P$6:$P$2005,"&lt;"&amp;$P1454)+COUNTIFS($A$6:$A$1005,$N1454,$B$6:$B$1005,"&lt;"&amp;$P1454)+1)</f>
        <v/>
      </c>
      <c r="S1454">
        <f>IF($N1454="","",$N1454&amp;"|"&amp;RIGHT("000000"&amp;$R1454,6))</f>
        <v/>
      </c>
      <c r="T1454">
        <f>IF($N1454="","",IF(Sync!$N1454="",0,Sync!$N1454))</f>
        <v/>
      </c>
      <c r="U1454">
        <f>IF($N1454="","",IF(Sync!$O1454="",0,Sync!$O1454))</f>
        <v/>
      </c>
      <c r="V1454">
        <f>IF($N1454="","",Sync!$L1454)</f>
        <v/>
      </c>
      <c r="W1454">
        <f>IF($N1454="","",Sync!$P1454)</f>
        <v/>
      </c>
    </row>
    <row r="1455">
      <c r="N1455">
        <f>IF(OR(Sync!$M1455="",$Q1455="",$Q1455="نامعتبر"),"",Sync!$M1455)</f>
        <v/>
      </c>
      <c r="O1455">
        <f>IF($N1455="","",$Q1455)</f>
        <v/>
      </c>
      <c r="P1455">
        <f>IF($N1455="","",LEFT($Q1455,4)&amp;MID($Q1455,6,2)&amp;RIGHT($Q1455,2)&amp;IF(Sync!$K1455="","0000",IF(AND(ISNUMBER(Sync!$K1455),Sync!$K1455&gt;=0,Sync!$K1455&lt;1),RIGHT("00"&amp;HOUR(Sync!$K1455),2)&amp;RIGHT("00"&amp;MINUTE(Sync!$K1455),2),IFERROR(RIGHT("00"&amp;VALUE(LEFT(Sync!$K1455,FIND(":",Sync!$K1455)-1)),2)&amp;RIGHT("00"&amp;VALUE(MID(Sync!$K1455,FIND(":",Sync!$K1455)+1,2)),2),"0000")))&amp;"|"&amp;"2"&amp;RIGHT("00000"&amp;1450,5))</f>
        <v/>
      </c>
      <c r="Q1455">
        <f>IF(Sync!$J1455="","",IF(ISNUMBER(Sync!$J1455),IF(AND(Sync!$J1455&gt;=10000101,Sync!$J1455&lt;=99991231),INT(Sync!$J1455/10000)&amp;"/"&amp;RIGHT("00"&amp;INT(MOD(Sync!$J1455,10000)/100),2)&amp;"/"&amp;RIGHT("00"&amp;MOD(Sync!$J1455,100),2),"نامعتبر"),IF(LEN(Sync!$J1455)=10,Sync!$J1455,"نامعتبر")))</f>
        <v/>
      </c>
      <c r="R1455">
        <f>IF($P1455="","",COUNTIFS($N$6:$N$2005,$N1455,$P$6:$P$2005,"&lt;"&amp;$P1455)+COUNTIFS($A$6:$A$1005,$N1455,$B$6:$B$1005,"&lt;"&amp;$P1455)+1)</f>
        <v/>
      </c>
      <c r="S1455">
        <f>IF($N1455="","",$N1455&amp;"|"&amp;RIGHT("000000"&amp;$R1455,6))</f>
        <v/>
      </c>
      <c r="T1455">
        <f>IF($N1455="","",IF(Sync!$N1455="",0,Sync!$N1455))</f>
        <v/>
      </c>
      <c r="U1455">
        <f>IF($N1455="","",IF(Sync!$O1455="",0,Sync!$O1455))</f>
        <v/>
      </c>
      <c r="V1455">
        <f>IF($N1455="","",Sync!$L1455)</f>
        <v/>
      </c>
      <c r="W1455">
        <f>IF($N1455="","",Sync!$P1455)</f>
        <v/>
      </c>
    </row>
    <row r="1456">
      <c r="N1456">
        <f>IF(OR(Sync!$M1456="",$Q1456="",$Q1456="نامعتبر"),"",Sync!$M1456)</f>
        <v/>
      </c>
      <c r="O1456">
        <f>IF($N1456="","",$Q1456)</f>
        <v/>
      </c>
      <c r="P1456">
        <f>IF($N1456="","",LEFT($Q1456,4)&amp;MID($Q1456,6,2)&amp;RIGHT($Q1456,2)&amp;IF(Sync!$K1456="","0000",IF(AND(ISNUMBER(Sync!$K1456),Sync!$K1456&gt;=0,Sync!$K1456&lt;1),RIGHT("00"&amp;HOUR(Sync!$K1456),2)&amp;RIGHT("00"&amp;MINUTE(Sync!$K1456),2),IFERROR(RIGHT("00"&amp;VALUE(LEFT(Sync!$K1456,FIND(":",Sync!$K1456)-1)),2)&amp;RIGHT("00"&amp;VALUE(MID(Sync!$K1456,FIND(":",Sync!$K1456)+1,2)),2),"0000")))&amp;"|"&amp;"2"&amp;RIGHT("00000"&amp;1451,5))</f>
        <v/>
      </c>
      <c r="Q1456">
        <f>IF(Sync!$J1456="","",IF(ISNUMBER(Sync!$J1456),IF(AND(Sync!$J1456&gt;=10000101,Sync!$J1456&lt;=99991231),INT(Sync!$J1456/10000)&amp;"/"&amp;RIGHT("00"&amp;INT(MOD(Sync!$J1456,10000)/100),2)&amp;"/"&amp;RIGHT("00"&amp;MOD(Sync!$J1456,100),2),"نامعتبر"),IF(LEN(Sync!$J1456)=10,Sync!$J1456,"نامعتبر")))</f>
        <v/>
      </c>
      <c r="R1456">
        <f>IF($P1456="","",COUNTIFS($N$6:$N$2005,$N1456,$P$6:$P$2005,"&lt;"&amp;$P1456)+COUNTIFS($A$6:$A$1005,$N1456,$B$6:$B$1005,"&lt;"&amp;$P1456)+1)</f>
        <v/>
      </c>
      <c r="S1456">
        <f>IF($N1456="","",$N1456&amp;"|"&amp;RIGHT("000000"&amp;$R1456,6))</f>
        <v/>
      </c>
      <c r="T1456">
        <f>IF($N1456="","",IF(Sync!$N1456="",0,Sync!$N1456))</f>
        <v/>
      </c>
      <c r="U1456">
        <f>IF($N1456="","",IF(Sync!$O1456="",0,Sync!$O1456))</f>
        <v/>
      </c>
      <c r="V1456">
        <f>IF($N1456="","",Sync!$L1456)</f>
        <v/>
      </c>
      <c r="W1456">
        <f>IF($N1456="","",Sync!$P1456)</f>
        <v/>
      </c>
    </row>
    <row r="1457">
      <c r="N1457">
        <f>IF(OR(Sync!$M1457="",$Q1457="",$Q1457="نامعتبر"),"",Sync!$M1457)</f>
        <v/>
      </c>
      <c r="O1457">
        <f>IF($N1457="","",$Q1457)</f>
        <v/>
      </c>
      <c r="P1457">
        <f>IF($N1457="","",LEFT($Q1457,4)&amp;MID($Q1457,6,2)&amp;RIGHT($Q1457,2)&amp;IF(Sync!$K1457="","0000",IF(AND(ISNUMBER(Sync!$K1457),Sync!$K1457&gt;=0,Sync!$K1457&lt;1),RIGHT("00"&amp;HOUR(Sync!$K1457),2)&amp;RIGHT("00"&amp;MINUTE(Sync!$K1457),2),IFERROR(RIGHT("00"&amp;VALUE(LEFT(Sync!$K1457,FIND(":",Sync!$K1457)-1)),2)&amp;RIGHT("00"&amp;VALUE(MID(Sync!$K1457,FIND(":",Sync!$K1457)+1,2)),2),"0000")))&amp;"|"&amp;"2"&amp;RIGHT("00000"&amp;1452,5))</f>
        <v/>
      </c>
      <c r="Q1457">
        <f>IF(Sync!$J1457="","",IF(ISNUMBER(Sync!$J1457),IF(AND(Sync!$J1457&gt;=10000101,Sync!$J1457&lt;=99991231),INT(Sync!$J1457/10000)&amp;"/"&amp;RIGHT("00"&amp;INT(MOD(Sync!$J1457,10000)/100),2)&amp;"/"&amp;RIGHT("00"&amp;MOD(Sync!$J1457,100),2),"نامعتبر"),IF(LEN(Sync!$J1457)=10,Sync!$J1457,"نامعتبر")))</f>
        <v/>
      </c>
      <c r="R1457">
        <f>IF($P1457="","",COUNTIFS($N$6:$N$2005,$N1457,$P$6:$P$2005,"&lt;"&amp;$P1457)+COUNTIFS($A$6:$A$1005,$N1457,$B$6:$B$1005,"&lt;"&amp;$P1457)+1)</f>
        <v/>
      </c>
      <c r="S1457">
        <f>IF($N1457="","",$N1457&amp;"|"&amp;RIGHT("000000"&amp;$R1457,6))</f>
        <v/>
      </c>
      <c r="T1457">
        <f>IF($N1457="","",IF(Sync!$N1457="",0,Sync!$N1457))</f>
        <v/>
      </c>
      <c r="U1457">
        <f>IF($N1457="","",IF(Sync!$O1457="",0,Sync!$O1457))</f>
        <v/>
      </c>
      <c r="V1457">
        <f>IF($N1457="","",Sync!$L1457)</f>
        <v/>
      </c>
      <c r="W1457">
        <f>IF($N1457="","",Sync!$P1457)</f>
        <v/>
      </c>
    </row>
    <row r="1458">
      <c r="N1458">
        <f>IF(OR(Sync!$M1458="",$Q1458="",$Q1458="نامعتبر"),"",Sync!$M1458)</f>
        <v/>
      </c>
      <c r="O1458">
        <f>IF($N1458="","",$Q1458)</f>
        <v/>
      </c>
      <c r="P1458">
        <f>IF($N1458="","",LEFT($Q1458,4)&amp;MID($Q1458,6,2)&amp;RIGHT($Q1458,2)&amp;IF(Sync!$K1458="","0000",IF(AND(ISNUMBER(Sync!$K1458),Sync!$K1458&gt;=0,Sync!$K1458&lt;1),RIGHT("00"&amp;HOUR(Sync!$K1458),2)&amp;RIGHT("00"&amp;MINUTE(Sync!$K1458),2),IFERROR(RIGHT("00"&amp;VALUE(LEFT(Sync!$K1458,FIND(":",Sync!$K1458)-1)),2)&amp;RIGHT("00"&amp;VALUE(MID(Sync!$K1458,FIND(":",Sync!$K1458)+1,2)),2),"0000")))&amp;"|"&amp;"2"&amp;RIGHT("00000"&amp;1453,5))</f>
        <v/>
      </c>
      <c r="Q1458">
        <f>IF(Sync!$J1458="","",IF(ISNUMBER(Sync!$J1458),IF(AND(Sync!$J1458&gt;=10000101,Sync!$J1458&lt;=99991231),INT(Sync!$J1458/10000)&amp;"/"&amp;RIGHT("00"&amp;INT(MOD(Sync!$J1458,10000)/100),2)&amp;"/"&amp;RIGHT("00"&amp;MOD(Sync!$J1458,100),2),"نامعتبر"),IF(LEN(Sync!$J1458)=10,Sync!$J1458,"نامعتبر")))</f>
        <v/>
      </c>
      <c r="R1458">
        <f>IF($P1458="","",COUNTIFS($N$6:$N$2005,$N1458,$P$6:$P$2005,"&lt;"&amp;$P1458)+COUNTIFS($A$6:$A$1005,$N1458,$B$6:$B$1005,"&lt;"&amp;$P1458)+1)</f>
        <v/>
      </c>
      <c r="S1458">
        <f>IF($N1458="","",$N1458&amp;"|"&amp;RIGHT("000000"&amp;$R1458,6))</f>
        <v/>
      </c>
      <c r="T1458">
        <f>IF($N1458="","",IF(Sync!$N1458="",0,Sync!$N1458))</f>
        <v/>
      </c>
      <c r="U1458">
        <f>IF($N1458="","",IF(Sync!$O1458="",0,Sync!$O1458))</f>
        <v/>
      </c>
      <c r="V1458">
        <f>IF($N1458="","",Sync!$L1458)</f>
        <v/>
      </c>
      <c r="W1458">
        <f>IF($N1458="","",Sync!$P1458)</f>
        <v/>
      </c>
    </row>
    <row r="1459">
      <c r="N1459">
        <f>IF(OR(Sync!$M1459="",$Q1459="",$Q1459="نامعتبر"),"",Sync!$M1459)</f>
        <v/>
      </c>
      <c r="O1459">
        <f>IF($N1459="","",$Q1459)</f>
        <v/>
      </c>
      <c r="P1459">
        <f>IF($N1459="","",LEFT($Q1459,4)&amp;MID($Q1459,6,2)&amp;RIGHT($Q1459,2)&amp;IF(Sync!$K1459="","0000",IF(AND(ISNUMBER(Sync!$K1459),Sync!$K1459&gt;=0,Sync!$K1459&lt;1),RIGHT("00"&amp;HOUR(Sync!$K1459),2)&amp;RIGHT("00"&amp;MINUTE(Sync!$K1459),2),IFERROR(RIGHT("00"&amp;VALUE(LEFT(Sync!$K1459,FIND(":",Sync!$K1459)-1)),2)&amp;RIGHT("00"&amp;VALUE(MID(Sync!$K1459,FIND(":",Sync!$K1459)+1,2)),2),"0000")))&amp;"|"&amp;"2"&amp;RIGHT("00000"&amp;1454,5))</f>
        <v/>
      </c>
      <c r="Q1459">
        <f>IF(Sync!$J1459="","",IF(ISNUMBER(Sync!$J1459),IF(AND(Sync!$J1459&gt;=10000101,Sync!$J1459&lt;=99991231),INT(Sync!$J1459/10000)&amp;"/"&amp;RIGHT("00"&amp;INT(MOD(Sync!$J1459,10000)/100),2)&amp;"/"&amp;RIGHT("00"&amp;MOD(Sync!$J1459,100),2),"نامعتبر"),IF(LEN(Sync!$J1459)=10,Sync!$J1459,"نامعتبر")))</f>
        <v/>
      </c>
      <c r="R1459">
        <f>IF($P1459="","",COUNTIFS($N$6:$N$2005,$N1459,$P$6:$P$2005,"&lt;"&amp;$P1459)+COUNTIFS($A$6:$A$1005,$N1459,$B$6:$B$1005,"&lt;"&amp;$P1459)+1)</f>
        <v/>
      </c>
      <c r="S1459">
        <f>IF($N1459="","",$N1459&amp;"|"&amp;RIGHT("000000"&amp;$R1459,6))</f>
        <v/>
      </c>
      <c r="T1459">
        <f>IF($N1459="","",IF(Sync!$N1459="",0,Sync!$N1459))</f>
        <v/>
      </c>
      <c r="U1459">
        <f>IF($N1459="","",IF(Sync!$O1459="",0,Sync!$O1459))</f>
        <v/>
      </c>
      <c r="V1459">
        <f>IF($N1459="","",Sync!$L1459)</f>
        <v/>
      </c>
      <c r="W1459">
        <f>IF($N1459="","",Sync!$P1459)</f>
        <v/>
      </c>
    </row>
    <row r="1460">
      <c r="N1460">
        <f>IF(OR(Sync!$M1460="",$Q1460="",$Q1460="نامعتبر"),"",Sync!$M1460)</f>
        <v/>
      </c>
      <c r="O1460">
        <f>IF($N1460="","",$Q1460)</f>
        <v/>
      </c>
      <c r="P1460">
        <f>IF($N1460="","",LEFT($Q1460,4)&amp;MID($Q1460,6,2)&amp;RIGHT($Q1460,2)&amp;IF(Sync!$K1460="","0000",IF(AND(ISNUMBER(Sync!$K1460),Sync!$K1460&gt;=0,Sync!$K1460&lt;1),RIGHT("00"&amp;HOUR(Sync!$K1460),2)&amp;RIGHT("00"&amp;MINUTE(Sync!$K1460),2),IFERROR(RIGHT("00"&amp;VALUE(LEFT(Sync!$K1460,FIND(":",Sync!$K1460)-1)),2)&amp;RIGHT("00"&amp;VALUE(MID(Sync!$K1460,FIND(":",Sync!$K1460)+1,2)),2),"0000")))&amp;"|"&amp;"2"&amp;RIGHT("00000"&amp;1455,5))</f>
        <v/>
      </c>
      <c r="Q1460">
        <f>IF(Sync!$J1460="","",IF(ISNUMBER(Sync!$J1460),IF(AND(Sync!$J1460&gt;=10000101,Sync!$J1460&lt;=99991231),INT(Sync!$J1460/10000)&amp;"/"&amp;RIGHT("00"&amp;INT(MOD(Sync!$J1460,10000)/100),2)&amp;"/"&amp;RIGHT("00"&amp;MOD(Sync!$J1460,100),2),"نامعتبر"),IF(LEN(Sync!$J1460)=10,Sync!$J1460,"نامعتبر")))</f>
        <v/>
      </c>
      <c r="R1460">
        <f>IF($P1460="","",COUNTIFS($N$6:$N$2005,$N1460,$P$6:$P$2005,"&lt;"&amp;$P1460)+COUNTIFS($A$6:$A$1005,$N1460,$B$6:$B$1005,"&lt;"&amp;$P1460)+1)</f>
        <v/>
      </c>
      <c r="S1460">
        <f>IF($N1460="","",$N1460&amp;"|"&amp;RIGHT("000000"&amp;$R1460,6))</f>
        <v/>
      </c>
      <c r="T1460">
        <f>IF($N1460="","",IF(Sync!$N1460="",0,Sync!$N1460))</f>
        <v/>
      </c>
      <c r="U1460">
        <f>IF($N1460="","",IF(Sync!$O1460="",0,Sync!$O1460))</f>
        <v/>
      </c>
      <c r="V1460">
        <f>IF($N1460="","",Sync!$L1460)</f>
        <v/>
      </c>
      <c r="W1460">
        <f>IF($N1460="","",Sync!$P1460)</f>
        <v/>
      </c>
    </row>
    <row r="1461">
      <c r="N1461">
        <f>IF(OR(Sync!$M1461="",$Q1461="",$Q1461="نامعتبر"),"",Sync!$M1461)</f>
        <v/>
      </c>
      <c r="O1461">
        <f>IF($N1461="","",$Q1461)</f>
        <v/>
      </c>
      <c r="P1461">
        <f>IF($N1461="","",LEFT($Q1461,4)&amp;MID($Q1461,6,2)&amp;RIGHT($Q1461,2)&amp;IF(Sync!$K1461="","0000",IF(AND(ISNUMBER(Sync!$K1461),Sync!$K1461&gt;=0,Sync!$K1461&lt;1),RIGHT("00"&amp;HOUR(Sync!$K1461),2)&amp;RIGHT("00"&amp;MINUTE(Sync!$K1461),2),IFERROR(RIGHT("00"&amp;VALUE(LEFT(Sync!$K1461,FIND(":",Sync!$K1461)-1)),2)&amp;RIGHT("00"&amp;VALUE(MID(Sync!$K1461,FIND(":",Sync!$K1461)+1,2)),2),"0000")))&amp;"|"&amp;"2"&amp;RIGHT("00000"&amp;1456,5))</f>
        <v/>
      </c>
      <c r="Q1461">
        <f>IF(Sync!$J1461="","",IF(ISNUMBER(Sync!$J1461),IF(AND(Sync!$J1461&gt;=10000101,Sync!$J1461&lt;=99991231),INT(Sync!$J1461/10000)&amp;"/"&amp;RIGHT("00"&amp;INT(MOD(Sync!$J1461,10000)/100),2)&amp;"/"&amp;RIGHT("00"&amp;MOD(Sync!$J1461,100),2),"نامعتبر"),IF(LEN(Sync!$J1461)=10,Sync!$J1461,"نامعتبر")))</f>
        <v/>
      </c>
      <c r="R1461">
        <f>IF($P1461="","",COUNTIFS($N$6:$N$2005,$N1461,$P$6:$P$2005,"&lt;"&amp;$P1461)+COUNTIFS($A$6:$A$1005,$N1461,$B$6:$B$1005,"&lt;"&amp;$P1461)+1)</f>
        <v/>
      </c>
      <c r="S1461">
        <f>IF($N1461="","",$N1461&amp;"|"&amp;RIGHT("000000"&amp;$R1461,6))</f>
        <v/>
      </c>
      <c r="T1461">
        <f>IF($N1461="","",IF(Sync!$N1461="",0,Sync!$N1461))</f>
        <v/>
      </c>
      <c r="U1461">
        <f>IF($N1461="","",IF(Sync!$O1461="",0,Sync!$O1461))</f>
        <v/>
      </c>
      <c r="V1461">
        <f>IF($N1461="","",Sync!$L1461)</f>
        <v/>
      </c>
      <c r="W1461">
        <f>IF($N1461="","",Sync!$P1461)</f>
        <v/>
      </c>
    </row>
    <row r="1462">
      <c r="N1462">
        <f>IF(OR(Sync!$M1462="",$Q1462="",$Q1462="نامعتبر"),"",Sync!$M1462)</f>
        <v/>
      </c>
      <c r="O1462">
        <f>IF($N1462="","",$Q1462)</f>
        <v/>
      </c>
      <c r="P1462">
        <f>IF($N1462="","",LEFT($Q1462,4)&amp;MID($Q1462,6,2)&amp;RIGHT($Q1462,2)&amp;IF(Sync!$K1462="","0000",IF(AND(ISNUMBER(Sync!$K1462),Sync!$K1462&gt;=0,Sync!$K1462&lt;1),RIGHT("00"&amp;HOUR(Sync!$K1462),2)&amp;RIGHT("00"&amp;MINUTE(Sync!$K1462),2),IFERROR(RIGHT("00"&amp;VALUE(LEFT(Sync!$K1462,FIND(":",Sync!$K1462)-1)),2)&amp;RIGHT("00"&amp;VALUE(MID(Sync!$K1462,FIND(":",Sync!$K1462)+1,2)),2),"0000")))&amp;"|"&amp;"2"&amp;RIGHT("00000"&amp;1457,5))</f>
        <v/>
      </c>
      <c r="Q1462">
        <f>IF(Sync!$J1462="","",IF(ISNUMBER(Sync!$J1462),IF(AND(Sync!$J1462&gt;=10000101,Sync!$J1462&lt;=99991231),INT(Sync!$J1462/10000)&amp;"/"&amp;RIGHT("00"&amp;INT(MOD(Sync!$J1462,10000)/100),2)&amp;"/"&amp;RIGHT("00"&amp;MOD(Sync!$J1462,100),2),"نامعتبر"),IF(LEN(Sync!$J1462)=10,Sync!$J1462,"نامعتبر")))</f>
        <v/>
      </c>
      <c r="R1462">
        <f>IF($P1462="","",COUNTIFS($N$6:$N$2005,$N1462,$P$6:$P$2005,"&lt;"&amp;$P1462)+COUNTIFS($A$6:$A$1005,$N1462,$B$6:$B$1005,"&lt;"&amp;$P1462)+1)</f>
        <v/>
      </c>
      <c r="S1462">
        <f>IF($N1462="","",$N1462&amp;"|"&amp;RIGHT("000000"&amp;$R1462,6))</f>
        <v/>
      </c>
      <c r="T1462">
        <f>IF($N1462="","",IF(Sync!$N1462="",0,Sync!$N1462))</f>
        <v/>
      </c>
      <c r="U1462">
        <f>IF($N1462="","",IF(Sync!$O1462="",0,Sync!$O1462))</f>
        <v/>
      </c>
      <c r="V1462">
        <f>IF($N1462="","",Sync!$L1462)</f>
        <v/>
      </c>
      <c r="W1462">
        <f>IF($N1462="","",Sync!$P1462)</f>
        <v/>
      </c>
    </row>
    <row r="1463">
      <c r="N1463">
        <f>IF(OR(Sync!$M1463="",$Q1463="",$Q1463="نامعتبر"),"",Sync!$M1463)</f>
        <v/>
      </c>
      <c r="O1463">
        <f>IF($N1463="","",$Q1463)</f>
        <v/>
      </c>
      <c r="P1463">
        <f>IF($N1463="","",LEFT($Q1463,4)&amp;MID($Q1463,6,2)&amp;RIGHT($Q1463,2)&amp;IF(Sync!$K1463="","0000",IF(AND(ISNUMBER(Sync!$K1463),Sync!$K1463&gt;=0,Sync!$K1463&lt;1),RIGHT("00"&amp;HOUR(Sync!$K1463),2)&amp;RIGHT("00"&amp;MINUTE(Sync!$K1463),2),IFERROR(RIGHT("00"&amp;VALUE(LEFT(Sync!$K1463,FIND(":",Sync!$K1463)-1)),2)&amp;RIGHT("00"&amp;VALUE(MID(Sync!$K1463,FIND(":",Sync!$K1463)+1,2)),2),"0000")))&amp;"|"&amp;"2"&amp;RIGHT("00000"&amp;1458,5))</f>
        <v/>
      </c>
      <c r="Q1463">
        <f>IF(Sync!$J1463="","",IF(ISNUMBER(Sync!$J1463),IF(AND(Sync!$J1463&gt;=10000101,Sync!$J1463&lt;=99991231),INT(Sync!$J1463/10000)&amp;"/"&amp;RIGHT("00"&amp;INT(MOD(Sync!$J1463,10000)/100),2)&amp;"/"&amp;RIGHT("00"&amp;MOD(Sync!$J1463,100),2),"نامعتبر"),IF(LEN(Sync!$J1463)=10,Sync!$J1463,"نامعتبر")))</f>
        <v/>
      </c>
      <c r="R1463">
        <f>IF($P1463="","",COUNTIFS($N$6:$N$2005,$N1463,$P$6:$P$2005,"&lt;"&amp;$P1463)+COUNTIFS($A$6:$A$1005,$N1463,$B$6:$B$1005,"&lt;"&amp;$P1463)+1)</f>
        <v/>
      </c>
      <c r="S1463">
        <f>IF($N1463="","",$N1463&amp;"|"&amp;RIGHT("000000"&amp;$R1463,6))</f>
        <v/>
      </c>
      <c r="T1463">
        <f>IF($N1463="","",IF(Sync!$N1463="",0,Sync!$N1463))</f>
        <v/>
      </c>
      <c r="U1463">
        <f>IF($N1463="","",IF(Sync!$O1463="",0,Sync!$O1463))</f>
        <v/>
      </c>
      <c r="V1463">
        <f>IF($N1463="","",Sync!$L1463)</f>
        <v/>
      </c>
      <c r="W1463">
        <f>IF($N1463="","",Sync!$P1463)</f>
        <v/>
      </c>
    </row>
    <row r="1464">
      <c r="N1464">
        <f>IF(OR(Sync!$M1464="",$Q1464="",$Q1464="نامعتبر"),"",Sync!$M1464)</f>
        <v/>
      </c>
      <c r="O1464">
        <f>IF($N1464="","",$Q1464)</f>
        <v/>
      </c>
      <c r="P1464">
        <f>IF($N1464="","",LEFT($Q1464,4)&amp;MID($Q1464,6,2)&amp;RIGHT($Q1464,2)&amp;IF(Sync!$K1464="","0000",IF(AND(ISNUMBER(Sync!$K1464),Sync!$K1464&gt;=0,Sync!$K1464&lt;1),RIGHT("00"&amp;HOUR(Sync!$K1464),2)&amp;RIGHT("00"&amp;MINUTE(Sync!$K1464),2),IFERROR(RIGHT("00"&amp;VALUE(LEFT(Sync!$K1464,FIND(":",Sync!$K1464)-1)),2)&amp;RIGHT("00"&amp;VALUE(MID(Sync!$K1464,FIND(":",Sync!$K1464)+1,2)),2),"0000")))&amp;"|"&amp;"2"&amp;RIGHT("00000"&amp;1459,5))</f>
        <v/>
      </c>
      <c r="Q1464">
        <f>IF(Sync!$J1464="","",IF(ISNUMBER(Sync!$J1464),IF(AND(Sync!$J1464&gt;=10000101,Sync!$J1464&lt;=99991231),INT(Sync!$J1464/10000)&amp;"/"&amp;RIGHT("00"&amp;INT(MOD(Sync!$J1464,10000)/100),2)&amp;"/"&amp;RIGHT("00"&amp;MOD(Sync!$J1464,100),2),"نامعتبر"),IF(LEN(Sync!$J1464)=10,Sync!$J1464,"نامعتبر")))</f>
        <v/>
      </c>
      <c r="R1464">
        <f>IF($P1464="","",COUNTIFS($N$6:$N$2005,$N1464,$P$6:$P$2005,"&lt;"&amp;$P1464)+COUNTIFS($A$6:$A$1005,$N1464,$B$6:$B$1005,"&lt;"&amp;$P1464)+1)</f>
        <v/>
      </c>
      <c r="S1464">
        <f>IF($N1464="","",$N1464&amp;"|"&amp;RIGHT("000000"&amp;$R1464,6))</f>
        <v/>
      </c>
      <c r="T1464">
        <f>IF($N1464="","",IF(Sync!$N1464="",0,Sync!$N1464))</f>
        <v/>
      </c>
      <c r="U1464">
        <f>IF($N1464="","",IF(Sync!$O1464="",0,Sync!$O1464))</f>
        <v/>
      </c>
      <c r="V1464">
        <f>IF($N1464="","",Sync!$L1464)</f>
        <v/>
      </c>
      <c r="W1464">
        <f>IF($N1464="","",Sync!$P1464)</f>
        <v/>
      </c>
    </row>
    <row r="1465">
      <c r="N1465">
        <f>IF(OR(Sync!$M1465="",$Q1465="",$Q1465="نامعتبر"),"",Sync!$M1465)</f>
        <v/>
      </c>
      <c r="O1465">
        <f>IF($N1465="","",$Q1465)</f>
        <v/>
      </c>
      <c r="P1465">
        <f>IF($N1465="","",LEFT($Q1465,4)&amp;MID($Q1465,6,2)&amp;RIGHT($Q1465,2)&amp;IF(Sync!$K1465="","0000",IF(AND(ISNUMBER(Sync!$K1465),Sync!$K1465&gt;=0,Sync!$K1465&lt;1),RIGHT("00"&amp;HOUR(Sync!$K1465),2)&amp;RIGHT("00"&amp;MINUTE(Sync!$K1465),2),IFERROR(RIGHT("00"&amp;VALUE(LEFT(Sync!$K1465,FIND(":",Sync!$K1465)-1)),2)&amp;RIGHT("00"&amp;VALUE(MID(Sync!$K1465,FIND(":",Sync!$K1465)+1,2)),2),"0000")))&amp;"|"&amp;"2"&amp;RIGHT("00000"&amp;1460,5))</f>
        <v/>
      </c>
      <c r="Q1465">
        <f>IF(Sync!$J1465="","",IF(ISNUMBER(Sync!$J1465),IF(AND(Sync!$J1465&gt;=10000101,Sync!$J1465&lt;=99991231),INT(Sync!$J1465/10000)&amp;"/"&amp;RIGHT("00"&amp;INT(MOD(Sync!$J1465,10000)/100),2)&amp;"/"&amp;RIGHT("00"&amp;MOD(Sync!$J1465,100),2),"نامعتبر"),IF(LEN(Sync!$J1465)=10,Sync!$J1465,"نامعتبر")))</f>
        <v/>
      </c>
      <c r="R1465">
        <f>IF($P1465="","",COUNTIFS($N$6:$N$2005,$N1465,$P$6:$P$2005,"&lt;"&amp;$P1465)+COUNTIFS($A$6:$A$1005,$N1465,$B$6:$B$1005,"&lt;"&amp;$P1465)+1)</f>
        <v/>
      </c>
      <c r="S1465">
        <f>IF($N1465="","",$N1465&amp;"|"&amp;RIGHT("000000"&amp;$R1465,6))</f>
        <v/>
      </c>
      <c r="T1465">
        <f>IF($N1465="","",IF(Sync!$N1465="",0,Sync!$N1465))</f>
        <v/>
      </c>
      <c r="U1465">
        <f>IF($N1465="","",IF(Sync!$O1465="",0,Sync!$O1465))</f>
        <v/>
      </c>
      <c r="V1465">
        <f>IF($N1465="","",Sync!$L1465)</f>
        <v/>
      </c>
      <c r="W1465">
        <f>IF($N1465="","",Sync!$P1465)</f>
        <v/>
      </c>
    </row>
    <row r="1466">
      <c r="N1466">
        <f>IF(OR(Sync!$M1466="",$Q1466="",$Q1466="نامعتبر"),"",Sync!$M1466)</f>
        <v/>
      </c>
      <c r="O1466">
        <f>IF($N1466="","",$Q1466)</f>
        <v/>
      </c>
      <c r="P1466">
        <f>IF($N1466="","",LEFT($Q1466,4)&amp;MID($Q1466,6,2)&amp;RIGHT($Q1466,2)&amp;IF(Sync!$K1466="","0000",IF(AND(ISNUMBER(Sync!$K1466),Sync!$K1466&gt;=0,Sync!$K1466&lt;1),RIGHT("00"&amp;HOUR(Sync!$K1466),2)&amp;RIGHT("00"&amp;MINUTE(Sync!$K1466),2),IFERROR(RIGHT("00"&amp;VALUE(LEFT(Sync!$K1466,FIND(":",Sync!$K1466)-1)),2)&amp;RIGHT("00"&amp;VALUE(MID(Sync!$K1466,FIND(":",Sync!$K1466)+1,2)),2),"0000")))&amp;"|"&amp;"2"&amp;RIGHT("00000"&amp;1461,5))</f>
        <v/>
      </c>
      <c r="Q1466">
        <f>IF(Sync!$J1466="","",IF(ISNUMBER(Sync!$J1466),IF(AND(Sync!$J1466&gt;=10000101,Sync!$J1466&lt;=99991231),INT(Sync!$J1466/10000)&amp;"/"&amp;RIGHT("00"&amp;INT(MOD(Sync!$J1466,10000)/100),2)&amp;"/"&amp;RIGHT("00"&amp;MOD(Sync!$J1466,100),2),"نامعتبر"),IF(LEN(Sync!$J1466)=10,Sync!$J1466,"نامعتبر")))</f>
        <v/>
      </c>
      <c r="R1466">
        <f>IF($P1466="","",COUNTIFS($N$6:$N$2005,$N1466,$P$6:$P$2005,"&lt;"&amp;$P1466)+COUNTIFS($A$6:$A$1005,$N1466,$B$6:$B$1005,"&lt;"&amp;$P1466)+1)</f>
        <v/>
      </c>
      <c r="S1466">
        <f>IF($N1466="","",$N1466&amp;"|"&amp;RIGHT("000000"&amp;$R1466,6))</f>
        <v/>
      </c>
      <c r="T1466">
        <f>IF($N1466="","",IF(Sync!$N1466="",0,Sync!$N1466))</f>
        <v/>
      </c>
      <c r="U1466">
        <f>IF($N1466="","",IF(Sync!$O1466="",0,Sync!$O1466))</f>
        <v/>
      </c>
      <c r="V1466">
        <f>IF($N1466="","",Sync!$L1466)</f>
        <v/>
      </c>
      <c r="W1466">
        <f>IF($N1466="","",Sync!$P1466)</f>
        <v/>
      </c>
    </row>
    <row r="1467">
      <c r="N1467">
        <f>IF(OR(Sync!$M1467="",$Q1467="",$Q1467="نامعتبر"),"",Sync!$M1467)</f>
        <v/>
      </c>
      <c r="O1467">
        <f>IF($N1467="","",$Q1467)</f>
        <v/>
      </c>
      <c r="P1467">
        <f>IF($N1467="","",LEFT($Q1467,4)&amp;MID($Q1467,6,2)&amp;RIGHT($Q1467,2)&amp;IF(Sync!$K1467="","0000",IF(AND(ISNUMBER(Sync!$K1467),Sync!$K1467&gt;=0,Sync!$K1467&lt;1),RIGHT("00"&amp;HOUR(Sync!$K1467),2)&amp;RIGHT("00"&amp;MINUTE(Sync!$K1467),2),IFERROR(RIGHT("00"&amp;VALUE(LEFT(Sync!$K1467,FIND(":",Sync!$K1467)-1)),2)&amp;RIGHT("00"&amp;VALUE(MID(Sync!$K1467,FIND(":",Sync!$K1467)+1,2)),2),"0000")))&amp;"|"&amp;"2"&amp;RIGHT("00000"&amp;1462,5))</f>
        <v/>
      </c>
      <c r="Q1467">
        <f>IF(Sync!$J1467="","",IF(ISNUMBER(Sync!$J1467),IF(AND(Sync!$J1467&gt;=10000101,Sync!$J1467&lt;=99991231),INT(Sync!$J1467/10000)&amp;"/"&amp;RIGHT("00"&amp;INT(MOD(Sync!$J1467,10000)/100),2)&amp;"/"&amp;RIGHT("00"&amp;MOD(Sync!$J1467,100),2),"نامعتبر"),IF(LEN(Sync!$J1467)=10,Sync!$J1467,"نامعتبر")))</f>
        <v/>
      </c>
      <c r="R1467">
        <f>IF($P1467="","",COUNTIFS($N$6:$N$2005,$N1467,$P$6:$P$2005,"&lt;"&amp;$P1467)+COUNTIFS($A$6:$A$1005,$N1467,$B$6:$B$1005,"&lt;"&amp;$P1467)+1)</f>
        <v/>
      </c>
      <c r="S1467">
        <f>IF($N1467="","",$N1467&amp;"|"&amp;RIGHT("000000"&amp;$R1467,6))</f>
        <v/>
      </c>
      <c r="T1467">
        <f>IF($N1467="","",IF(Sync!$N1467="",0,Sync!$N1467))</f>
        <v/>
      </c>
      <c r="U1467">
        <f>IF($N1467="","",IF(Sync!$O1467="",0,Sync!$O1467))</f>
        <v/>
      </c>
      <c r="V1467">
        <f>IF($N1467="","",Sync!$L1467)</f>
        <v/>
      </c>
      <c r="W1467">
        <f>IF($N1467="","",Sync!$P1467)</f>
        <v/>
      </c>
    </row>
    <row r="1468">
      <c r="N1468">
        <f>IF(OR(Sync!$M1468="",$Q1468="",$Q1468="نامعتبر"),"",Sync!$M1468)</f>
        <v/>
      </c>
      <c r="O1468">
        <f>IF($N1468="","",$Q1468)</f>
        <v/>
      </c>
      <c r="P1468">
        <f>IF($N1468="","",LEFT($Q1468,4)&amp;MID($Q1468,6,2)&amp;RIGHT($Q1468,2)&amp;IF(Sync!$K1468="","0000",IF(AND(ISNUMBER(Sync!$K1468),Sync!$K1468&gt;=0,Sync!$K1468&lt;1),RIGHT("00"&amp;HOUR(Sync!$K1468),2)&amp;RIGHT("00"&amp;MINUTE(Sync!$K1468),2),IFERROR(RIGHT("00"&amp;VALUE(LEFT(Sync!$K1468,FIND(":",Sync!$K1468)-1)),2)&amp;RIGHT("00"&amp;VALUE(MID(Sync!$K1468,FIND(":",Sync!$K1468)+1,2)),2),"0000")))&amp;"|"&amp;"2"&amp;RIGHT("00000"&amp;1463,5))</f>
        <v/>
      </c>
      <c r="Q1468">
        <f>IF(Sync!$J1468="","",IF(ISNUMBER(Sync!$J1468),IF(AND(Sync!$J1468&gt;=10000101,Sync!$J1468&lt;=99991231),INT(Sync!$J1468/10000)&amp;"/"&amp;RIGHT("00"&amp;INT(MOD(Sync!$J1468,10000)/100),2)&amp;"/"&amp;RIGHT("00"&amp;MOD(Sync!$J1468,100),2),"نامعتبر"),IF(LEN(Sync!$J1468)=10,Sync!$J1468,"نامعتبر")))</f>
        <v/>
      </c>
      <c r="R1468">
        <f>IF($P1468="","",COUNTIFS($N$6:$N$2005,$N1468,$P$6:$P$2005,"&lt;"&amp;$P1468)+COUNTIFS($A$6:$A$1005,$N1468,$B$6:$B$1005,"&lt;"&amp;$P1468)+1)</f>
        <v/>
      </c>
      <c r="S1468">
        <f>IF($N1468="","",$N1468&amp;"|"&amp;RIGHT("000000"&amp;$R1468,6))</f>
        <v/>
      </c>
      <c r="T1468">
        <f>IF($N1468="","",IF(Sync!$N1468="",0,Sync!$N1468))</f>
        <v/>
      </c>
      <c r="U1468">
        <f>IF($N1468="","",IF(Sync!$O1468="",0,Sync!$O1468))</f>
        <v/>
      </c>
      <c r="V1468">
        <f>IF($N1468="","",Sync!$L1468)</f>
        <v/>
      </c>
      <c r="W1468">
        <f>IF($N1468="","",Sync!$P1468)</f>
        <v/>
      </c>
    </row>
    <row r="1469">
      <c r="N1469">
        <f>IF(OR(Sync!$M1469="",$Q1469="",$Q1469="نامعتبر"),"",Sync!$M1469)</f>
        <v/>
      </c>
      <c r="O1469">
        <f>IF($N1469="","",$Q1469)</f>
        <v/>
      </c>
      <c r="P1469">
        <f>IF($N1469="","",LEFT($Q1469,4)&amp;MID($Q1469,6,2)&amp;RIGHT($Q1469,2)&amp;IF(Sync!$K1469="","0000",IF(AND(ISNUMBER(Sync!$K1469),Sync!$K1469&gt;=0,Sync!$K1469&lt;1),RIGHT("00"&amp;HOUR(Sync!$K1469),2)&amp;RIGHT("00"&amp;MINUTE(Sync!$K1469),2),IFERROR(RIGHT("00"&amp;VALUE(LEFT(Sync!$K1469,FIND(":",Sync!$K1469)-1)),2)&amp;RIGHT("00"&amp;VALUE(MID(Sync!$K1469,FIND(":",Sync!$K1469)+1,2)),2),"0000")))&amp;"|"&amp;"2"&amp;RIGHT("00000"&amp;1464,5))</f>
        <v/>
      </c>
      <c r="Q1469">
        <f>IF(Sync!$J1469="","",IF(ISNUMBER(Sync!$J1469),IF(AND(Sync!$J1469&gt;=10000101,Sync!$J1469&lt;=99991231),INT(Sync!$J1469/10000)&amp;"/"&amp;RIGHT("00"&amp;INT(MOD(Sync!$J1469,10000)/100),2)&amp;"/"&amp;RIGHT("00"&amp;MOD(Sync!$J1469,100),2),"نامعتبر"),IF(LEN(Sync!$J1469)=10,Sync!$J1469,"نامعتبر")))</f>
        <v/>
      </c>
      <c r="R1469">
        <f>IF($P1469="","",COUNTIFS($N$6:$N$2005,$N1469,$P$6:$P$2005,"&lt;"&amp;$P1469)+COUNTIFS($A$6:$A$1005,$N1469,$B$6:$B$1005,"&lt;"&amp;$P1469)+1)</f>
        <v/>
      </c>
      <c r="S1469">
        <f>IF($N1469="","",$N1469&amp;"|"&amp;RIGHT("000000"&amp;$R1469,6))</f>
        <v/>
      </c>
      <c r="T1469">
        <f>IF($N1469="","",IF(Sync!$N1469="",0,Sync!$N1469))</f>
        <v/>
      </c>
      <c r="U1469">
        <f>IF($N1469="","",IF(Sync!$O1469="",0,Sync!$O1469))</f>
        <v/>
      </c>
      <c r="V1469">
        <f>IF($N1469="","",Sync!$L1469)</f>
        <v/>
      </c>
      <c r="W1469">
        <f>IF($N1469="","",Sync!$P1469)</f>
        <v/>
      </c>
    </row>
    <row r="1470">
      <c r="N1470">
        <f>IF(OR(Sync!$M1470="",$Q1470="",$Q1470="نامعتبر"),"",Sync!$M1470)</f>
        <v/>
      </c>
      <c r="O1470">
        <f>IF($N1470="","",$Q1470)</f>
        <v/>
      </c>
      <c r="P1470">
        <f>IF($N1470="","",LEFT($Q1470,4)&amp;MID($Q1470,6,2)&amp;RIGHT($Q1470,2)&amp;IF(Sync!$K1470="","0000",IF(AND(ISNUMBER(Sync!$K1470),Sync!$K1470&gt;=0,Sync!$K1470&lt;1),RIGHT("00"&amp;HOUR(Sync!$K1470),2)&amp;RIGHT("00"&amp;MINUTE(Sync!$K1470),2),IFERROR(RIGHT("00"&amp;VALUE(LEFT(Sync!$K1470,FIND(":",Sync!$K1470)-1)),2)&amp;RIGHT("00"&amp;VALUE(MID(Sync!$K1470,FIND(":",Sync!$K1470)+1,2)),2),"0000")))&amp;"|"&amp;"2"&amp;RIGHT("00000"&amp;1465,5))</f>
        <v/>
      </c>
      <c r="Q1470">
        <f>IF(Sync!$J1470="","",IF(ISNUMBER(Sync!$J1470),IF(AND(Sync!$J1470&gt;=10000101,Sync!$J1470&lt;=99991231),INT(Sync!$J1470/10000)&amp;"/"&amp;RIGHT("00"&amp;INT(MOD(Sync!$J1470,10000)/100),2)&amp;"/"&amp;RIGHT("00"&amp;MOD(Sync!$J1470,100),2),"نامعتبر"),IF(LEN(Sync!$J1470)=10,Sync!$J1470,"نامعتبر")))</f>
        <v/>
      </c>
      <c r="R1470">
        <f>IF($P1470="","",COUNTIFS($N$6:$N$2005,$N1470,$P$6:$P$2005,"&lt;"&amp;$P1470)+COUNTIFS($A$6:$A$1005,$N1470,$B$6:$B$1005,"&lt;"&amp;$P1470)+1)</f>
        <v/>
      </c>
      <c r="S1470">
        <f>IF($N1470="","",$N1470&amp;"|"&amp;RIGHT("000000"&amp;$R1470,6))</f>
        <v/>
      </c>
      <c r="T1470">
        <f>IF($N1470="","",IF(Sync!$N1470="",0,Sync!$N1470))</f>
        <v/>
      </c>
      <c r="U1470">
        <f>IF($N1470="","",IF(Sync!$O1470="",0,Sync!$O1470))</f>
        <v/>
      </c>
      <c r="V1470">
        <f>IF($N1470="","",Sync!$L1470)</f>
        <v/>
      </c>
      <c r="W1470">
        <f>IF($N1470="","",Sync!$P1470)</f>
        <v/>
      </c>
    </row>
    <row r="1471">
      <c r="N1471">
        <f>IF(OR(Sync!$M1471="",$Q1471="",$Q1471="نامعتبر"),"",Sync!$M1471)</f>
        <v/>
      </c>
      <c r="O1471">
        <f>IF($N1471="","",$Q1471)</f>
        <v/>
      </c>
      <c r="P1471">
        <f>IF($N1471="","",LEFT($Q1471,4)&amp;MID($Q1471,6,2)&amp;RIGHT($Q1471,2)&amp;IF(Sync!$K1471="","0000",IF(AND(ISNUMBER(Sync!$K1471),Sync!$K1471&gt;=0,Sync!$K1471&lt;1),RIGHT("00"&amp;HOUR(Sync!$K1471),2)&amp;RIGHT("00"&amp;MINUTE(Sync!$K1471),2),IFERROR(RIGHT("00"&amp;VALUE(LEFT(Sync!$K1471,FIND(":",Sync!$K1471)-1)),2)&amp;RIGHT("00"&amp;VALUE(MID(Sync!$K1471,FIND(":",Sync!$K1471)+1,2)),2),"0000")))&amp;"|"&amp;"2"&amp;RIGHT("00000"&amp;1466,5))</f>
        <v/>
      </c>
      <c r="Q1471">
        <f>IF(Sync!$J1471="","",IF(ISNUMBER(Sync!$J1471),IF(AND(Sync!$J1471&gt;=10000101,Sync!$J1471&lt;=99991231),INT(Sync!$J1471/10000)&amp;"/"&amp;RIGHT("00"&amp;INT(MOD(Sync!$J1471,10000)/100),2)&amp;"/"&amp;RIGHT("00"&amp;MOD(Sync!$J1471,100),2),"نامعتبر"),IF(LEN(Sync!$J1471)=10,Sync!$J1471,"نامعتبر")))</f>
        <v/>
      </c>
      <c r="R1471">
        <f>IF($P1471="","",COUNTIFS($N$6:$N$2005,$N1471,$P$6:$P$2005,"&lt;"&amp;$P1471)+COUNTIFS($A$6:$A$1005,$N1471,$B$6:$B$1005,"&lt;"&amp;$P1471)+1)</f>
        <v/>
      </c>
      <c r="S1471">
        <f>IF($N1471="","",$N1471&amp;"|"&amp;RIGHT("000000"&amp;$R1471,6))</f>
        <v/>
      </c>
      <c r="T1471">
        <f>IF($N1471="","",IF(Sync!$N1471="",0,Sync!$N1471))</f>
        <v/>
      </c>
      <c r="U1471">
        <f>IF($N1471="","",IF(Sync!$O1471="",0,Sync!$O1471))</f>
        <v/>
      </c>
      <c r="V1471">
        <f>IF($N1471="","",Sync!$L1471)</f>
        <v/>
      </c>
      <c r="W1471">
        <f>IF($N1471="","",Sync!$P1471)</f>
        <v/>
      </c>
    </row>
    <row r="1472">
      <c r="N1472">
        <f>IF(OR(Sync!$M1472="",$Q1472="",$Q1472="نامعتبر"),"",Sync!$M1472)</f>
        <v/>
      </c>
      <c r="O1472">
        <f>IF($N1472="","",$Q1472)</f>
        <v/>
      </c>
      <c r="P1472">
        <f>IF($N1472="","",LEFT($Q1472,4)&amp;MID($Q1472,6,2)&amp;RIGHT($Q1472,2)&amp;IF(Sync!$K1472="","0000",IF(AND(ISNUMBER(Sync!$K1472),Sync!$K1472&gt;=0,Sync!$K1472&lt;1),RIGHT("00"&amp;HOUR(Sync!$K1472),2)&amp;RIGHT("00"&amp;MINUTE(Sync!$K1472),2),IFERROR(RIGHT("00"&amp;VALUE(LEFT(Sync!$K1472,FIND(":",Sync!$K1472)-1)),2)&amp;RIGHT("00"&amp;VALUE(MID(Sync!$K1472,FIND(":",Sync!$K1472)+1,2)),2),"0000")))&amp;"|"&amp;"2"&amp;RIGHT("00000"&amp;1467,5))</f>
        <v/>
      </c>
      <c r="Q1472">
        <f>IF(Sync!$J1472="","",IF(ISNUMBER(Sync!$J1472),IF(AND(Sync!$J1472&gt;=10000101,Sync!$J1472&lt;=99991231),INT(Sync!$J1472/10000)&amp;"/"&amp;RIGHT("00"&amp;INT(MOD(Sync!$J1472,10000)/100),2)&amp;"/"&amp;RIGHT("00"&amp;MOD(Sync!$J1472,100),2),"نامعتبر"),IF(LEN(Sync!$J1472)=10,Sync!$J1472,"نامعتبر")))</f>
        <v/>
      </c>
      <c r="R1472">
        <f>IF($P1472="","",COUNTIFS($N$6:$N$2005,$N1472,$P$6:$P$2005,"&lt;"&amp;$P1472)+COUNTIFS($A$6:$A$1005,$N1472,$B$6:$B$1005,"&lt;"&amp;$P1472)+1)</f>
        <v/>
      </c>
      <c r="S1472">
        <f>IF($N1472="","",$N1472&amp;"|"&amp;RIGHT("000000"&amp;$R1472,6))</f>
        <v/>
      </c>
      <c r="T1472">
        <f>IF($N1472="","",IF(Sync!$N1472="",0,Sync!$N1472))</f>
        <v/>
      </c>
      <c r="U1472">
        <f>IF($N1472="","",IF(Sync!$O1472="",0,Sync!$O1472))</f>
        <v/>
      </c>
      <c r="V1472">
        <f>IF($N1472="","",Sync!$L1472)</f>
        <v/>
      </c>
      <c r="W1472">
        <f>IF($N1472="","",Sync!$P1472)</f>
        <v/>
      </c>
    </row>
    <row r="1473">
      <c r="N1473">
        <f>IF(OR(Sync!$M1473="",$Q1473="",$Q1473="نامعتبر"),"",Sync!$M1473)</f>
        <v/>
      </c>
      <c r="O1473">
        <f>IF($N1473="","",$Q1473)</f>
        <v/>
      </c>
      <c r="P1473">
        <f>IF($N1473="","",LEFT($Q1473,4)&amp;MID($Q1473,6,2)&amp;RIGHT($Q1473,2)&amp;IF(Sync!$K1473="","0000",IF(AND(ISNUMBER(Sync!$K1473),Sync!$K1473&gt;=0,Sync!$K1473&lt;1),RIGHT("00"&amp;HOUR(Sync!$K1473),2)&amp;RIGHT("00"&amp;MINUTE(Sync!$K1473),2),IFERROR(RIGHT("00"&amp;VALUE(LEFT(Sync!$K1473,FIND(":",Sync!$K1473)-1)),2)&amp;RIGHT("00"&amp;VALUE(MID(Sync!$K1473,FIND(":",Sync!$K1473)+1,2)),2),"0000")))&amp;"|"&amp;"2"&amp;RIGHT("00000"&amp;1468,5))</f>
        <v/>
      </c>
      <c r="Q1473">
        <f>IF(Sync!$J1473="","",IF(ISNUMBER(Sync!$J1473),IF(AND(Sync!$J1473&gt;=10000101,Sync!$J1473&lt;=99991231),INT(Sync!$J1473/10000)&amp;"/"&amp;RIGHT("00"&amp;INT(MOD(Sync!$J1473,10000)/100),2)&amp;"/"&amp;RIGHT("00"&amp;MOD(Sync!$J1473,100),2),"نامعتبر"),IF(LEN(Sync!$J1473)=10,Sync!$J1473,"نامعتبر")))</f>
        <v/>
      </c>
      <c r="R1473">
        <f>IF($P1473="","",COUNTIFS($N$6:$N$2005,$N1473,$P$6:$P$2005,"&lt;"&amp;$P1473)+COUNTIFS($A$6:$A$1005,$N1473,$B$6:$B$1005,"&lt;"&amp;$P1473)+1)</f>
        <v/>
      </c>
      <c r="S1473">
        <f>IF($N1473="","",$N1473&amp;"|"&amp;RIGHT("000000"&amp;$R1473,6))</f>
        <v/>
      </c>
      <c r="T1473">
        <f>IF($N1473="","",IF(Sync!$N1473="",0,Sync!$N1473))</f>
        <v/>
      </c>
      <c r="U1473">
        <f>IF($N1473="","",IF(Sync!$O1473="",0,Sync!$O1473))</f>
        <v/>
      </c>
      <c r="V1473">
        <f>IF($N1473="","",Sync!$L1473)</f>
        <v/>
      </c>
      <c r="W1473">
        <f>IF($N1473="","",Sync!$P1473)</f>
        <v/>
      </c>
    </row>
    <row r="1474">
      <c r="N1474">
        <f>IF(OR(Sync!$M1474="",$Q1474="",$Q1474="نامعتبر"),"",Sync!$M1474)</f>
        <v/>
      </c>
      <c r="O1474">
        <f>IF($N1474="","",$Q1474)</f>
        <v/>
      </c>
      <c r="P1474">
        <f>IF($N1474="","",LEFT($Q1474,4)&amp;MID($Q1474,6,2)&amp;RIGHT($Q1474,2)&amp;IF(Sync!$K1474="","0000",IF(AND(ISNUMBER(Sync!$K1474),Sync!$K1474&gt;=0,Sync!$K1474&lt;1),RIGHT("00"&amp;HOUR(Sync!$K1474),2)&amp;RIGHT("00"&amp;MINUTE(Sync!$K1474),2),IFERROR(RIGHT("00"&amp;VALUE(LEFT(Sync!$K1474,FIND(":",Sync!$K1474)-1)),2)&amp;RIGHT("00"&amp;VALUE(MID(Sync!$K1474,FIND(":",Sync!$K1474)+1,2)),2),"0000")))&amp;"|"&amp;"2"&amp;RIGHT("00000"&amp;1469,5))</f>
        <v/>
      </c>
      <c r="Q1474">
        <f>IF(Sync!$J1474="","",IF(ISNUMBER(Sync!$J1474),IF(AND(Sync!$J1474&gt;=10000101,Sync!$J1474&lt;=99991231),INT(Sync!$J1474/10000)&amp;"/"&amp;RIGHT("00"&amp;INT(MOD(Sync!$J1474,10000)/100),2)&amp;"/"&amp;RIGHT("00"&amp;MOD(Sync!$J1474,100),2),"نامعتبر"),IF(LEN(Sync!$J1474)=10,Sync!$J1474,"نامعتبر")))</f>
        <v/>
      </c>
      <c r="R1474">
        <f>IF($P1474="","",COUNTIFS($N$6:$N$2005,$N1474,$P$6:$P$2005,"&lt;"&amp;$P1474)+COUNTIFS($A$6:$A$1005,$N1474,$B$6:$B$1005,"&lt;"&amp;$P1474)+1)</f>
        <v/>
      </c>
      <c r="S1474">
        <f>IF($N1474="","",$N1474&amp;"|"&amp;RIGHT("000000"&amp;$R1474,6))</f>
        <v/>
      </c>
      <c r="T1474">
        <f>IF($N1474="","",IF(Sync!$N1474="",0,Sync!$N1474))</f>
        <v/>
      </c>
      <c r="U1474">
        <f>IF($N1474="","",IF(Sync!$O1474="",0,Sync!$O1474))</f>
        <v/>
      </c>
      <c r="V1474">
        <f>IF($N1474="","",Sync!$L1474)</f>
        <v/>
      </c>
      <c r="W1474">
        <f>IF($N1474="","",Sync!$P1474)</f>
        <v/>
      </c>
    </row>
    <row r="1475">
      <c r="N1475">
        <f>IF(OR(Sync!$M1475="",$Q1475="",$Q1475="نامعتبر"),"",Sync!$M1475)</f>
        <v/>
      </c>
      <c r="O1475">
        <f>IF($N1475="","",$Q1475)</f>
        <v/>
      </c>
      <c r="P1475">
        <f>IF($N1475="","",LEFT($Q1475,4)&amp;MID($Q1475,6,2)&amp;RIGHT($Q1475,2)&amp;IF(Sync!$K1475="","0000",IF(AND(ISNUMBER(Sync!$K1475),Sync!$K1475&gt;=0,Sync!$K1475&lt;1),RIGHT("00"&amp;HOUR(Sync!$K1475),2)&amp;RIGHT("00"&amp;MINUTE(Sync!$K1475),2),IFERROR(RIGHT("00"&amp;VALUE(LEFT(Sync!$K1475,FIND(":",Sync!$K1475)-1)),2)&amp;RIGHT("00"&amp;VALUE(MID(Sync!$K1475,FIND(":",Sync!$K1475)+1,2)),2),"0000")))&amp;"|"&amp;"2"&amp;RIGHT("00000"&amp;1470,5))</f>
        <v/>
      </c>
      <c r="Q1475">
        <f>IF(Sync!$J1475="","",IF(ISNUMBER(Sync!$J1475),IF(AND(Sync!$J1475&gt;=10000101,Sync!$J1475&lt;=99991231),INT(Sync!$J1475/10000)&amp;"/"&amp;RIGHT("00"&amp;INT(MOD(Sync!$J1475,10000)/100),2)&amp;"/"&amp;RIGHT("00"&amp;MOD(Sync!$J1475,100),2),"نامعتبر"),IF(LEN(Sync!$J1475)=10,Sync!$J1475,"نامعتبر")))</f>
        <v/>
      </c>
      <c r="R1475">
        <f>IF($P1475="","",COUNTIFS($N$6:$N$2005,$N1475,$P$6:$P$2005,"&lt;"&amp;$P1475)+COUNTIFS($A$6:$A$1005,$N1475,$B$6:$B$1005,"&lt;"&amp;$P1475)+1)</f>
        <v/>
      </c>
      <c r="S1475">
        <f>IF($N1475="","",$N1475&amp;"|"&amp;RIGHT("000000"&amp;$R1475,6))</f>
        <v/>
      </c>
      <c r="T1475">
        <f>IF($N1475="","",IF(Sync!$N1475="",0,Sync!$N1475))</f>
        <v/>
      </c>
      <c r="U1475">
        <f>IF($N1475="","",IF(Sync!$O1475="",0,Sync!$O1475))</f>
        <v/>
      </c>
      <c r="V1475">
        <f>IF($N1475="","",Sync!$L1475)</f>
        <v/>
      </c>
      <c r="W1475">
        <f>IF($N1475="","",Sync!$P1475)</f>
        <v/>
      </c>
    </row>
    <row r="1476">
      <c r="N1476">
        <f>IF(OR(Sync!$M1476="",$Q1476="",$Q1476="نامعتبر"),"",Sync!$M1476)</f>
        <v/>
      </c>
      <c r="O1476">
        <f>IF($N1476="","",$Q1476)</f>
        <v/>
      </c>
      <c r="P1476">
        <f>IF($N1476="","",LEFT($Q1476,4)&amp;MID($Q1476,6,2)&amp;RIGHT($Q1476,2)&amp;IF(Sync!$K1476="","0000",IF(AND(ISNUMBER(Sync!$K1476),Sync!$K1476&gt;=0,Sync!$K1476&lt;1),RIGHT("00"&amp;HOUR(Sync!$K1476),2)&amp;RIGHT("00"&amp;MINUTE(Sync!$K1476),2),IFERROR(RIGHT("00"&amp;VALUE(LEFT(Sync!$K1476,FIND(":",Sync!$K1476)-1)),2)&amp;RIGHT("00"&amp;VALUE(MID(Sync!$K1476,FIND(":",Sync!$K1476)+1,2)),2),"0000")))&amp;"|"&amp;"2"&amp;RIGHT("00000"&amp;1471,5))</f>
        <v/>
      </c>
      <c r="Q1476">
        <f>IF(Sync!$J1476="","",IF(ISNUMBER(Sync!$J1476),IF(AND(Sync!$J1476&gt;=10000101,Sync!$J1476&lt;=99991231),INT(Sync!$J1476/10000)&amp;"/"&amp;RIGHT("00"&amp;INT(MOD(Sync!$J1476,10000)/100),2)&amp;"/"&amp;RIGHT("00"&amp;MOD(Sync!$J1476,100),2),"نامعتبر"),IF(LEN(Sync!$J1476)=10,Sync!$J1476,"نامعتبر")))</f>
        <v/>
      </c>
      <c r="R1476">
        <f>IF($P1476="","",COUNTIFS($N$6:$N$2005,$N1476,$P$6:$P$2005,"&lt;"&amp;$P1476)+COUNTIFS($A$6:$A$1005,$N1476,$B$6:$B$1005,"&lt;"&amp;$P1476)+1)</f>
        <v/>
      </c>
      <c r="S1476">
        <f>IF($N1476="","",$N1476&amp;"|"&amp;RIGHT("000000"&amp;$R1476,6))</f>
        <v/>
      </c>
      <c r="T1476">
        <f>IF($N1476="","",IF(Sync!$N1476="",0,Sync!$N1476))</f>
        <v/>
      </c>
      <c r="U1476">
        <f>IF($N1476="","",IF(Sync!$O1476="",0,Sync!$O1476))</f>
        <v/>
      </c>
      <c r="V1476">
        <f>IF($N1476="","",Sync!$L1476)</f>
        <v/>
      </c>
      <c r="W1476">
        <f>IF($N1476="","",Sync!$P1476)</f>
        <v/>
      </c>
    </row>
    <row r="1477">
      <c r="N1477">
        <f>IF(OR(Sync!$M1477="",$Q1477="",$Q1477="نامعتبر"),"",Sync!$M1477)</f>
        <v/>
      </c>
      <c r="O1477">
        <f>IF($N1477="","",$Q1477)</f>
        <v/>
      </c>
      <c r="P1477">
        <f>IF($N1477="","",LEFT($Q1477,4)&amp;MID($Q1477,6,2)&amp;RIGHT($Q1477,2)&amp;IF(Sync!$K1477="","0000",IF(AND(ISNUMBER(Sync!$K1477),Sync!$K1477&gt;=0,Sync!$K1477&lt;1),RIGHT("00"&amp;HOUR(Sync!$K1477),2)&amp;RIGHT("00"&amp;MINUTE(Sync!$K1477),2),IFERROR(RIGHT("00"&amp;VALUE(LEFT(Sync!$K1477,FIND(":",Sync!$K1477)-1)),2)&amp;RIGHT("00"&amp;VALUE(MID(Sync!$K1477,FIND(":",Sync!$K1477)+1,2)),2),"0000")))&amp;"|"&amp;"2"&amp;RIGHT("00000"&amp;1472,5))</f>
        <v/>
      </c>
      <c r="Q1477">
        <f>IF(Sync!$J1477="","",IF(ISNUMBER(Sync!$J1477),IF(AND(Sync!$J1477&gt;=10000101,Sync!$J1477&lt;=99991231),INT(Sync!$J1477/10000)&amp;"/"&amp;RIGHT("00"&amp;INT(MOD(Sync!$J1477,10000)/100),2)&amp;"/"&amp;RIGHT("00"&amp;MOD(Sync!$J1477,100),2),"نامعتبر"),IF(LEN(Sync!$J1477)=10,Sync!$J1477,"نامعتبر")))</f>
        <v/>
      </c>
      <c r="R1477">
        <f>IF($P1477="","",COUNTIFS($N$6:$N$2005,$N1477,$P$6:$P$2005,"&lt;"&amp;$P1477)+COUNTIFS($A$6:$A$1005,$N1477,$B$6:$B$1005,"&lt;"&amp;$P1477)+1)</f>
        <v/>
      </c>
      <c r="S1477">
        <f>IF($N1477="","",$N1477&amp;"|"&amp;RIGHT("000000"&amp;$R1477,6))</f>
        <v/>
      </c>
      <c r="T1477">
        <f>IF($N1477="","",IF(Sync!$N1477="",0,Sync!$N1477))</f>
        <v/>
      </c>
      <c r="U1477">
        <f>IF($N1477="","",IF(Sync!$O1477="",0,Sync!$O1477))</f>
        <v/>
      </c>
      <c r="V1477">
        <f>IF($N1477="","",Sync!$L1477)</f>
        <v/>
      </c>
      <c r="W1477">
        <f>IF($N1477="","",Sync!$P1477)</f>
        <v/>
      </c>
    </row>
    <row r="1478">
      <c r="N1478">
        <f>IF(OR(Sync!$M1478="",$Q1478="",$Q1478="نامعتبر"),"",Sync!$M1478)</f>
        <v/>
      </c>
      <c r="O1478">
        <f>IF($N1478="","",$Q1478)</f>
        <v/>
      </c>
      <c r="P1478">
        <f>IF($N1478="","",LEFT($Q1478,4)&amp;MID($Q1478,6,2)&amp;RIGHT($Q1478,2)&amp;IF(Sync!$K1478="","0000",IF(AND(ISNUMBER(Sync!$K1478),Sync!$K1478&gt;=0,Sync!$K1478&lt;1),RIGHT("00"&amp;HOUR(Sync!$K1478),2)&amp;RIGHT("00"&amp;MINUTE(Sync!$K1478),2),IFERROR(RIGHT("00"&amp;VALUE(LEFT(Sync!$K1478,FIND(":",Sync!$K1478)-1)),2)&amp;RIGHT("00"&amp;VALUE(MID(Sync!$K1478,FIND(":",Sync!$K1478)+1,2)),2),"0000")))&amp;"|"&amp;"2"&amp;RIGHT("00000"&amp;1473,5))</f>
        <v/>
      </c>
      <c r="Q1478">
        <f>IF(Sync!$J1478="","",IF(ISNUMBER(Sync!$J1478),IF(AND(Sync!$J1478&gt;=10000101,Sync!$J1478&lt;=99991231),INT(Sync!$J1478/10000)&amp;"/"&amp;RIGHT("00"&amp;INT(MOD(Sync!$J1478,10000)/100),2)&amp;"/"&amp;RIGHT("00"&amp;MOD(Sync!$J1478,100),2),"نامعتبر"),IF(LEN(Sync!$J1478)=10,Sync!$J1478,"نامعتبر")))</f>
        <v/>
      </c>
      <c r="R1478">
        <f>IF($P1478="","",COUNTIFS($N$6:$N$2005,$N1478,$P$6:$P$2005,"&lt;"&amp;$P1478)+COUNTIFS($A$6:$A$1005,$N1478,$B$6:$B$1005,"&lt;"&amp;$P1478)+1)</f>
        <v/>
      </c>
      <c r="S1478">
        <f>IF($N1478="","",$N1478&amp;"|"&amp;RIGHT("000000"&amp;$R1478,6))</f>
        <v/>
      </c>
      <c r="T1478">
        <f>IF($N1478="","",IF(Sync!$N1478="",0,Sync!$N1478))</f>
        <v/>
      </c>
      <c r="U1478">
        <f>IF($N1478="","",IF(Sync!$O1478="",0,Sync!$O1478))</f>
        <v/>
      </c>
      <c r="V1478">
        <f>IF($N1478="","",Sync!$L1478)</f>
        <v/>
      </c>
      <c r="W1478">
        <f>IF($N1478="","",Sync!$P1478)</f>
        <v/>
      </c>
    </row>
    <row r="1479">
      <c r="N1479">
        <f>IF(OR(Sync!$M1479="",$Q1479="",$Q1479="نامعتبر"),"",Sync!$M1479)</f>
        <v/>
      </c>
      <c r="O1479">
        <f>IF($N1479="","",$Q1479)</f>
        <v/>
      </c>
      <c r="P1479">
        <f>IF($N1479="","",LEFT($Q1479,4)&amp;MID($Q1479,6,2)&amp;RIGHT($Q1479,2)&amp;IF(Sync!$K1479="","0000",IF(AND(ISNUMBER(Sync!$K1479),Sync!$K1479&gt;=0,Sync!$K1479&lt;1),RIGHT("00"&amp;HOUR(Sync!$K1479),2)&amp;RIGHT("00"&amp;MINUTE(Sync!$K1479),2),IFERROR(RIGHT("00"&amp;VALUE(LEFT(Sync!$K1479,FIND(":",Sync!$K1479)-1)),2)&amp;RIGHT("00"&amp;VALUE(MID(Sync!$K1479,FIND(":",Sync!$K1479)+1,2)),2),"0000")))&amp;"|"&amp;"2"&amp;RIGHT("00000"&amp;1474,5))</f>
        <v/>
      </c>
      <c r="Q1479">
        <f>IF(Sync!$J1479="","",IF(ISNUMBER(Sync!$J1479),IF(AND(Sync!$J1479&gt;=10000101,Sync!$J1479&lt;=99991231),INT(Sync!$J1479/10000)&amp;"/"&amp;RIGHT("00"&amp;INT(MOD(Sync!$J1479,10000)/100),2)&amp;"/"&amp;RIGHT("00"&amp;MOD(Sync!$J1479,100),2),"نامعتبر"),IF(LEN(Sync!$J1479)=10,Sync!$J1479,"نامعتبر")))</f>
        <v/>
      </c>
      <c r="R1479">
        <f>IF($P1479="","",COUNTIFS($N$6:$N$2005,$N1479,$P$6:$P$2005,"&lt;"&amp;$P1479)+COUNTIFS($A$6:$A$1005,$N1479,$B$6:$B$1005,"&lt;"&amp;$P1479)+1)</f>
        <v/>
      </c>
      <c r="S1479">
        <f>IF($N1479="","",$N1479&amp;"|"&amp;RIGHT("000000"&amp;$R1479,6))</f>
        <v/>
      </c>
      <c r="T1479">
        <f>IF($N1479="","",IF(Sync!$N1479="",0,Sync!$N1479))</f>
        <v/>
      </c>
      <c r="U1479">
        <f>IF($N1479="","",IF(Sync!$O1479="",0,Sync!$O1479))</f>
        <v/>
      </c>
      <c r="V1479">
        <f>IF($N1479="","",Sync!$L1479)</f>
        <v/>
      </c>
      <c r="W1479">
        <f>IF($N1479="","",Sync!$P1479)</f>
        <v/>
      </c>
    </row>
    <row r="1480">
      <c r="N1480">
        <f>IF(OR(Sync!$M1480="",$Q1480="",$Q1480="نامعتبر"),"",Sync!$M1480)</f>
        <v/>
      </c>
      <c r="O1480">
        <f>IF($N1480="","",$Q1480)</f>
        <v/>
      </c>
      <c r="P1480">
        <f>IF($N1480="","",LEFT($Q1480,4)&amp;MID($Q1480,6,2)&amp;RIGHT($Q1480,2)&amp;IF(Sync!$K1480="","0000",IF(AND(ISNUMBER(Sync!$K1480),Sync!$K1480&gt;=0,Sync!$K1480&lt;1),RIGHT("00"&amp;HOUR(Sync!$K1480),2)&amp;RIGHT("00"&amp;MINUTE(Sync!$K1480),2),IFERROR(RIGHT("00"&amp;VALUE(LEFT(Sync!$K1480,FIND(":",Sync!$K1480)-1)),2)&amp;RIGHT("00"&amp;VALUE(MID(Sync!$K1480,FIND(":",Sync!$K1480)+1,2)),2),"0000")))&amp;"|"&amp;"2"&amp;RIGHT("00000"&amp;1475,5))</f>
        <v/>
      </c>
      <c r="Q1480">
        <f>IF(Sync!$J1480="","",IF(ISNUMBER(Sync!$J1480),IF(AND(Sync!$J1480&gt;=10000101,Sync!$J1480&lt;=99991231),INT(Sync!$J1480/10000)&amp;"/"&amp;RIGHT("00"&amp;INT(MOD(Sync!$J1480,10000)/100),2)&amp;"/"&amp;RIGHT("00"&amp;MOD(Sync!$J1480,100),2),"نامعتبر"),IF(LEN(Sync!$J1480)=10,Sync!$J1480,"نامعتبر")))</f>
        <v/>
      </c>
      <c r="R1480">
        <f>IF($P1480="","",COUNTIFS($N$6:$N$2005,$N1480,$P$6:$P$2005,"&lt;"&amp;$P1480)+COUNTIFS($A$6:$A$1005,$N1480,$B$6:$B$1005,"&lt;"&amp;$P1480)+1)</f>
        <v/>
      </c>
      <c r="S1480">
        <f>IF($N1480="","",$N1480&amp;"|"&amp;RIGHT("000000"&amp;$R1480,6))</f>
        <v/>
      </c>
      <c r="T1480">
        <f>IF($N1480="","",IF(Sync!$N1480="",0,Sync!$N1480))</f>
        <v/>
      </c>
      <c r="U1480">
        <f>IF($N1480="","",IF(Sync!$O1480="",0,Sync!$O1480))</f>
        <v/>
      </c>
      <c r="V1480">
        <f>IF($N1480="","",Sync!$L1480)</f>
        <v/>
      </c>
      <c r="W1480">
        <f>IF($N1480="","",Sync!$P1480)</f>
        <v/>
      </c>
    </row>
    <row r="1481">
      <c r="N1481">
        <f>IF(OR(Sync!$M1481="",$Q1481="",$Q1481="نامعتبر"),"",Sync!$M1481)</f>
        <v/>
      </c>
      <c r="O1481">
        <f>IF($N1481="","",$Q1481)</f>
        <v/>
      </c>
      <c r="P1481">
        <f>IF($N1481="","",LEFT($Q1481,4)&amp;MID($Q1481,6,2)&amp;RIGHT($Q1481,2)&amp;IF(Sync!$K1481="","0000",IF(AND(ISNUMBER(Sync!$K1481),Sync!$K1481&gt;=0,Sync!$K1481&lt;1),RIGHT("00"&amp;HOUR(Sync!$K1481),2)&amp;RIGHT("00"&amp;MINUTE(Sync!$K1481),2),IFERROR(RIGHT("00"&amp;VALUE(LEFT(Sync!$K1481,FIND(":",Sync!$K1481)-1)),2)&amp;RIGHT("00"&amp;VALUE(MID(Sync!$K1481,FIND(":",Sync!$K1481)+1,2)),2),"0000")))&amp;"|"&amp;"2"&amp;RIGHT("00000"&amp;1476,5))</f>
        <v/>
      </c>
      <c r="Q1481">
        <f>IF(Sync!$J1481="","",IF(ISNUMBER(Sync!$J1481),IF(AND(Sync!$J1481&gt;=10000101,Sync!$J1481&lt;=99991231),INT(Sync!$J1481/10000)&amp;"/"&amp;RIGHT("00"&amp;INT(MOD(Sync!$J1481,10000)/100),2)&amp;"/"&amp;RIGHT("00"&amp;MOD(Sync!$J1481,100),2),"نامعتبر"),IF(LEN(Sync!$J1481)=10,Sync!$J1481,"نامعتبر")))</f>
        <v/>
      </c>
      <c r="R1481">
        <f>IF($P1481="","",COUNTIFS($N$6:$N$2005,$N1481,$P$6:$P$2005,"&lt;"&amp;$P1481)+COUNTIFS($A$6:$A$1005,$N1481,$B$6:$B$1005,"&lt;"&amp;$P1481)+1)</f>
        <v/>
      </c>
      <c r="S1481">
        <f>IF($N1481="","",$N1481&amp;"|"&amp;RIGHT("000000"&amp;$R1481,6))</f>
        <v/>
      </c>
      <c r="T1481">
        <f>IF($N1481="","",IF(Sync!$N1481="",0,Sync!$N1481))</f>
        <v/>
      </c>
      <c r="U1481">
        <f>IF($N1481="","",IF(Sync!$O1481="",0,Sync!$O1481))</f>
        <v/>
      </c>
      <c r="V1481">
        <f>IF($N1481="","",Sync!$L1481)</f>
        <v/>
      </c>
      <c r="W1481">
        <f>IF($N1481="","",Sync!$P1481)</f>
        <v/>
      </c>
    </row>
    <row r="1482">
      <c r="N1482">
        <f>IF(OR(Sync!$M1482="",$Q1482="",$Q1482="نامعتبر"),"",Sync!$M1482)</f>
        <v/>
      </c>
      <c r="O1482">
        <f>IF($N1482="","",$Q1482)</f>
        <v/>
      </c>
      <c r="P1482">
        <f>IF($N1482="","",LEFT($Q1482,4)&amp;MID($Q1482,6,2)&amp;RIGHT($Q1482,2)&amp;IF(Sync!$K1482="","0000",IF(AND(ISNUMBER(Sync!$K1482),Sync!$K1482&gt;=0,Sync!$K1482&lt;1),RIGHT("00"&amp;HOUR(Sync!$K1482),2)&amp;RIGHT("00"&amp;MINUTE(Sync!$K1482),2),IFERROR(RIGHT("00"&amp;VALUE(LEFT(Sync!$K1482,FIND(":",Sync!$K1482)-1)),2)&amp;RIGHT("00"&amp;VALUE(MID(Sync!$K1482,FIND(":",Sync!$K1482)+1,2)),2),"0000")))&amp;"|"&amp;"2"&amp;RIGHT("00000"&amp;1477,5))</f>
        <v/>
      </c>
      <c r="Q1482">
        <f>IF(Sync!$J1482="","",IF(ISNUMBER(Sync!$J1482),IF(AND(Sync!$J1482&gt;=10000101,Sync!$J1482&lt;=99991231),INT(Sync!$J1482/10000)&amp;"/"&amp;RIGHT("00"&amp;INT(MOD(Sync!$J1482,10000)/100),2)&amp;"/"&amp;RIGHT("00"&amp;MOD(Sync!$J1482,100),2),"نامعتبر"),IF(LEN(Sync!$J1482)=10,Sync!$J1482,"نامعتبر")))</f>
        <v/>
      </c>
      <c r="R1482">
        <f>IF($P1482="","",COUNTIFS($N$6:$N$2005,$N1482,$P$6:$P$2005,"&lt;"&amp;$P1482)+COUNTIFS($A$6:$A$1005,$N1482,$B$6:$B$1005,"&lt;"&amp;$P1482)+1)</f>
        <v/>
      </c>
      <c r="S1482">
        <f>IF($N1482="","",$N1482&amp;"|"&amp;RIGHT("000000"&amp;$R1482,6))</f>
        <v/>
      </c>
      <c r="T1482">
        <f>IF($N1482="","",IF(Sync!$N1482="",0,Sync!$N1482))</f>
        <v/>
      </c>
      <c r="U1482">
        <f>IF($N1482="","",IF(Sync!$O1482="",0,Sync!$O1482))</f>
        <v/>
      </c>
      <c r="V1482">
        <f>IF($N1482="","",Sync!$L1482)</f>
        <v/>
      </c>
      <c r="W1482">
        <f>IF($N1482="","",Sync!$P1482)</f>
        <v/>
      </c>
    </row>
    <row r="1483">
      <c r="N1483">
        <f>IF(OR(Sync!$M1483="",$Q1483="",$Q1483="نامعتبر"),"",Sync!$M1483)</f>
        <v/>
      </c>
      <c r="O1483">
        <f>IF($N1483="","",$Q1483)</f>
        <v/>
      </c>
      <c r="P1483">
        <f>IF($N1483="","",LEFT($Q1483,4)&amp;MID($Q1483,6,2)&amp;RIGHT($Q1483,2)&amp;IF(Sync!$K1483="","0000",IF(AND(ISNUMBER(Sync!$K1483),Sync!$K1483&gt;=0,Sync!$K1483&lt;1),RIGHT("00"&amp;HOUR(Sync!$K1483),2)&amp;RIGHT("00"&amp;MINUTE(Sync!$K1483),2),IFERROR(RIGHT("00"&amp;VALUE(LEFT(Sync!$K1483,FIND(":",Sync!$K1483)-1)),2)&amp;RIGHT("00"&amp;VALUE(MID(Sync!$K1483,FIND(":",Sync!$K1483)+1,2)),2),"0000")))&amp;"|"&amp;"2"&amp;RIGHT("00000"&amp;1478,5))</f>
        <v/>
      </c>
      <c r="Q1483">
        <f>IF(Sync!$J1483="","",IF(ISNUMBER(Sync!$J1483),IF(AND(Sync!$J1483&gt;=10000101,Sync!$J1483&lt;=99991231),INT(Sync!$J1483/10000)&amp;"/"&amp;RIGHT("00"&amp;INT(MOD(Sync!$J1483,10000)/100),2)&amp;"/"&amp;RIGHT("00"&amp;MOD(Sync!$J1483,100),2),"نامعتبر"),IF(LEN(Sync!$J1483)=10,Sync!$J1483,"نامعتبر")))</f>
        <v/>
      </c>
      <c r="R1483">
        <f>IF($P1483="","",COUNTIFS($N$6:$N$2005,$N1483,$P$6:$P$2005,"&lt;"&amp;$P1483)+COUNTIFS($A$6:$A$1005,$N1483,$B$6:$B$1005,"&lt;"&amp;$P1483)+1)</f>
        <v/>
      </c>
      <c r="S1483">
        <f>IF($N1483="","",$N1483&amp;"|"&amp;RIGHT("000000"&amp;$R1483,6))</f>
        <v/>
      </c>
      <c r="T1483">
        <f>IF($N1483="","",IF(Sync!$N1483="",0,Sync!$N1483))</f>
        <v/>
      </c>
      <c r="U1483">
        <f>IF($N1483="","",IF(Sync!$O1483="",0,Sync!$O1483))</f>
        <v/>
      </c>
      <c r="V1483">
        <f>IF($N1483="","",Sync!$L1483)</f>
        <v/>
      </c>
      <c r="W1483">
        <f>IF($N1483="","",Sync!$P1483)</f>
        <v/>
      </c>
    </row>
    <row r="1484">
      <c r="N1484">
        <f>IF(OR(Sync!$M1484="",$Q1484="",$Q1484="نامعتبر"),"",Sync!$M1484)</f>
        <v/>
      </c>
      <c r="O1484">
        <f>IF($N1484="","",$Q1484)</f>
        <v/>
      </c>
      <c r="P1484">
        <f>IF($N1484="","",LEFT($Q1484,4)&amp;MID($Q1484,6,2)&amp;RIGHT($Q1484,2)&amp;IF(Sync!$K1484="","0000",IF(AND(ISNUMBER(Sync!$K1484),Sync!$K1484&gt;=0,Sync!$K1484&lt;1),RIGHT("00"&amp;HOUR(Sync!$K1484),2)&amp;RIGHT("00"&amp;MINUTE(Sync!$K1484),2),IFERROR(RIGHT("00"&amp;VALUE(LEFT(Sync!$K1484,FIND(":",Sync!$K1484)-1)),2)&amp;RIGHT("00"&amp;VALUE(MID(Sync!$K1484,FIND(":",Sync!$K1484)+1,2)),2),"0000")))&amp;"|"&amp;"2"&amp;RIGHT("00000"&amp;1479,5))</f>
        <v/>
      </c>
      <c r="Q1484">
        <f>IF(Sync!$J1484="","",IF(ISNUMBER(Sync!$J1484),IF(AND(Sync!$J1484&gt;=10000101,Sync!$J1484&lt;=99991231),INT(Sync!$J1484/10000)&amp;"/"&amp;RIGHT("00"&amp;INT(MOD(Sync!$J1484,10000)/100),2)&amp;"/"&amp;RIGHT("00"&amp;MOD(Sync!$J1484,100),2),"نامعتبر"),IF(LEN(Sync!$J1484)=10,Sync!$J1484,"نامعتبر")))</f>
        <v/>
      </c>
      <c r="R1484">
        <f>IF($P1484="","",COUNTIFS($N$6:$N$2005,$N1484,$P$6:$P$2005,"&lt;"&amp;$P1484)+COUNTIFS($A$6:$A$1005,$N1484,$B$6:$B$1005,"&lt;"&amp;$P1484)+1)</f>
        <v/>
      </c>
      <c r="S1484">
        <f>IF($N1484="","",$N1484&amp;"|"&amp;RIGHT("000000"&amp;$R1484,6))</f>
        <v/>
      </c>
      <c r="T1484">
        <f>IF($N1484="","",IF(Sync!$N1484="",0,Sync!$N1484))</f>
        <v/>
      </c>
      <c r="U1484">
        <f>IF($N1484="","",IF(Sync!$O1484="",0,Sync!$O1484))</f>
        <v/>
      </c>
      <c r="V1484">
        <f>IF($N1484="","",Sync!$L1484)</f>
        <v/>
      </c>
      <c r="W1484">
        <f>IF($N1484="","",Sync!$P1484)</f>
        <v/>
      </c>
    </row>
    <row r="1485">
      <c r="N1485">
        <f>IF(OR(Sync!$M1485="",$Q1485="",$Q1485="نامعتبر"),"",Sync!$M1485)</f>
        <v/>
      </c>
      <c r="O1485">
        <f>IF($N1485="","",$Q1485)</f>
        <v/>
      </c>
      <c r="P1485">
        <f>IF($N1485="","",LEFT($Q1485,4)&amp;MID($Q1485,6,2)&amp;RIGHT($Q1485,2)&amp;IF(Sync!$K1485="","0000",IF(AND(ISNUMBER(Sync!$K1485),Sync!$K1485&gt;=0,Sync!$K1485&lt;1),RIGHT("00"&amp;HOUR(Sync!$K1485),2)&amp;RIGHT("00"&amp;MINUTE(Sync!$K1485),2),IFERROR(RIGHT("00"&amp;VALUE(LEFT(Sync!$K1485,FIND(":",Sync!$K1485)-1)),2)&amp;RIGHT("00"&amp;VALUE(MID(Sync!$K1485,FIND(":",Sync!$K1485)+1,2)),2),"0000")))&amp;"|"&amp;"2"&amp;RIGHT("00000"&amp;1480,5))</f>
        <v/>
      </c>
      <c r="Q1485">
        <f>IF(Sync!$J1485="","",IF(ISNUMBER(Sync!$J1485),IF(AND(Sync!$J1485&gt;=10000101,Sync!$J1485&lt;=99991231),INT(Sync!$J1485/10000)&amp;"/"&amp;RIGHT("00"&amp;INT(MOD(Sync!$J1485,10000)/100),2)&amp;"/"&amp;RIGHT("00"&amp;MOD(Sync!$J1485,100),2),"نامعتبر"),IF(LEN(Sync!$J1485)=10,Sync!$J1485,"نامعتبر")))</f>
        <v/>
      </c>
      <c r="R1485">
        <f>IF($P1485="","",COUNTIFS($N$6:$N$2005,$N1485,$P$6:$P$2005,"&lt;"&amp;$P1485)+COUNTIFS($A$6:$A$1005,$N1485,$B$6:$B$1005,"&lt;"&amp;$P1485)+1)</f>
        <v/>
      </c>
      <c r="S1485">
        <f>IF($N1485="","",$N1485&amp;"|"&amp;RIGHT("000000"&amp;$R1485,6))</f>
        <v/>
      </c>
      <c r="T1485">
        <f>IF($N1485="","",IF(Sync!$N1485="",0,Sync!$N1485))</f>
        <v/>
      </c>
      <c r="U1485">
        <f>IF($N1485="","",IF(Sync!$O1485="",0,Sync!$O1485))</f>
        <v/>
      </c>
      <c r="V1485">
        <f>IF($N1485="","",Sync!$L1485)</f>
        <v/>
      </c>
      <c r="W1485">
        <f>IF($N1485="","",Sync!$P1485)</f>
        <v/>
      </c>
    </row>
    <row r="1486">
      <c r="N1486">
        <f>IF(OR(Sync!$M1486="",$Q1486="",$Q1486="نامعتبر"),"",Sync!$M1486)</f>
        <v/>
      </c>
      <c r="O1486">
        <f>IF($N1486="","",$Q1486)</f>
        <v/>
      </c>
      <c r="P1486">
        <f>IF($N1486="","",LEFT($Q1486,4)&amp;MID($Q1486,6,2)&amp;RIGHT($Q1486,2)&amp;IF(Sync!$K1486="","0000",IF(AND(ISNUMBER(Sync!$K1486),Sync!$K1486&gt;=0,Sync!$K1486&lt;1),RIGHT("00"&amp;HOUR(Sync!$K1486),2)&amp;RIGHT("00"&amp;MINUTE(Sync!$K1486),2),IFERROR(RIGHT("00"&amp;VALUE(LEFT(Sync!$K1486,FIND(":",Sync!$K1486)-1)),2)&amp;RIGHT("00"&amp;VALUE(MID(Sync!$K1486,FIND(":",Sync!$K1486)+1,2)),2),"0000")))&amp;"|"&amp;"2"&amp;RIGHT("00000"&amp;1481,5))</f>
        <v/>
      </c>
      <c r="Q1486">
        <f>IF(Sync!$J1486="","",IF(ISNUMBER(Sync!$J1486),IF(AND(Sync!$J1486&gt;=10000101,Sync!$J1486&lt;=99991231),INT(Sync!$J1486/10000)&amp;"/"&amp;RIGHT("00"&amp;INT(MOD(Sync!$J1486,10000)/100),2)&amp;"/"&amp;RIGHT("00"&amp;MOD(Sync!$J1486,100),2),"نامعتبر"),IF(LEN(Sync!$J1486)=10,Sync!$J1486,"نامعتبر")))</f>
        <v/>
      </c>
      <c r="R1486">
        <f>IF($P1486="","",COUNTIFS($N$6:$N$2005,$N1486,$P$6:$P$2005,"&lt;"&amp;$P1486)+COUNTIFS($A$6:$A$1005,$N1486,$B$6:$B$1005,"&lt;"&amp;$P1486)+1)</f>
        <v/>
      </c>
      <c r="S1486">
        <f>IF($N1486="","",$N1486&amp;"|"&amp;RIGHT("000000"&amp;$R1486,6))</f>
        <v/>
      </c>
      <c r="T1486">
        <f>IF($N1486="","",IF(Sync!$N1486="",0,Sync!$N1486))</f>
        <v/>
      </c>
      <c r="U1486">
        <f>IF($N1486="","",IF(Sync!$O1486="",0,Sync!$O1486))</f>
        <v/>
      </c>
      <c r="V1486">
        <f>IF($N1486="","",Sync!$L1486)</f>
        <v/>
      </c>
      <c r="W1486">
        <f>IF($N1486="","",Sync!$P1486)</f>
        <v/>
      </c>
    </row>
    <row r="1487">
      <c r="N1487">
        <f>IF(OR(Sync!$M1487="",$Q1487="",$Q1487="نامعتبر"),"",Sync!$M1487)</f>
        <v/>
      </c>
      <c r="O1487">
        <f>IF($N1487="","",$Q1487)</f>
        <v/>
      </c>
      <c r="P1487">
        <f>IF($N1487="","",LEFT($Q1487,4)&amp;MID($Q1487,6,2)&amp;RIGHT($Q1487,2)&amp;IF(Sync!$K1487="","0000",IF(AND(ISNUMBER(Sync!$K1487),Sync!$K1487&gt;=0,Sync!$K1487&lt;1),RIGHT("00"&amp;HOUR(Sync!$K1487),2)&amp;RIGHT("00"&amp;MINUTE(Sync!$K1487),2),IFERROR(RIGHT("00"&amp;VALUE(LEFT(Sync!$K1487,FIND(":",Sync!$K1487)-1)),2)&amp;RIGHT("00"&amp;VALUE(MID(Sync!$K1487,FIND(":",Sync!$K1487)+1,2)),2),"0000")))&amp;"|"&amp;"2"&amp;RIGHT("00000"&amp;1482,5))</f>
        <v/>
      </c>
      <c r="Q1487">
        <f>IF(Sync!$J1487="","",IF(ISNUMBER(Sync!$J1487),IF(AND(Sync!$J1487&gt;=10000101,Sync!$J1487&lt;=99991231),INT(Sync!$J1487/10000)&amp;"/"&amp;RIGHT("00"&amp;INT(MOD(Sync!$J1487,10000)/100),2)&amp;"/"&amp;RIGHT("00"&amp;MOD(Sync!$J1487,100),2),"نامعتبر"),IF(LEN(Sync!$J1487)=10,Sync!$J1487,"نامعتبر")))</f>
        <v/>
      </c>
      <c r="R1487">
        <f>IF($P1487="","",COUNTIFS($N$6:$N$2005,$N1487,$P$6:$P$2005,"&lt;"&amp;$P1487)+COUNTIFS($A$6:$A$1005,$N1487,$B$6:$B$1005,"&lt;"&amp;$P1487)+1)</f>
        <v/>
      </c>
      <c r="S1487">
        <f>IF($N1487="","",$N1487&amp;"|"&amp;RIGHT("000000"&amp;$R1487,6))</f>
        <v/>
      </c>
      <c r="T1487">
        <f>IF($N1487="","",IF(Sync!$N1487="",0,Sync!$N1487))</f>
        <v/>
      </c>
      <c r="U1487">
        <f>IF($N1487="","",IF(Sync!$O1487="",0,Sync!$O1487))</f>
        <v/>
      </c>
      <c r="V1487">
        <f>IF($N1487="","",Sync!$L1487)</f>
        <v/>
      </c>
      <c r="W1487">
        <f>IF($N1487="","",Sync!$P1487)</f>
        <v/>
      </c>
    </row>
    <row r="1488">
      <c r="N1488">
        <f>IF(OR(Sync!$M1488="",$Q1488="",$Q1488="نامعتبر"),"",Sync!$M1488)</f>
        <v/>
      </c>
      <c r="O1488">
        <f>IF($N1488="","",$Q1488)</f>
        <v/>
      </c>
      <c r="P1488">
        <f>IF($N1488="","",LEFT($Q1488,4)&amp;MID($Q1488,6,2)&amp;RIGHT($Q1488,2)&amp;IF(Sync!$K1488="","0000",IF(AND(ISNUMBER(Sync!$K1488),Sync!$K1488&gt;=0,Sync!$K1488&lt;1),RIGHT("00"&amp;HOUR(Sync!$K1488),2)&amp;RIGHT("00"&amp;MINUTE(Sync!$K1488),2),IFERROR(RIGHT("00"&amp;VALUE(LEFT(Sync!$K1488,FIND(":",Sync!$K1488)-1)),2)&amp;RIGHT("00"&amp;VALUE(MID(Sync!$K1488,FIND(":",Sync!$K1488)+1,2)),2),"0000")))&amp;"|"&amp;"2"&amp;RIGHT("00000"&amp;1483,5))</f>
        <v/>
      </c>
      <c r="Q1488">
        <f>IF(Sync!$J1488="","",IF(ISNUMBER(Sync!$J1488),IF(AND(Sync!$J1488&gt;=10000101,Sync!$J1488&lt;=99991231),INT(Sync!$J1488/10000)&amp;"/"&amp;RIGHT("00"&amp;INT(MOD(Sync!$J1488,10000)/100),2)&amp;"/"&amp;RIGHT("00"&amp;MOD(Sync!$J1488,100),2),"نامعتبر"),IF(LEN(Sync!$J1488)=10,Sync!$J1488,"نامعتبر")))</f>
        <v/>
      </c>
      <c r="R1488">
        <f>IF($P1488="","",COUNTIFS($N$6:$N$2005,$N1488,$P$6:$P$2005,"&lt;"&amp;$P1488)+COUNTIFS($A$6:$A$1005,$N1488,$B$6:$B$1005,"&lt;"&amp;$P1488)+1)</f>
        <v/>
      </c>
      <c r="S1488">
        <f>IF($N1488="","",$N1488&amp;"|"&amp;RIGHT("000000"&amp;$R1488,6))</f>
        <v/>
      </c>
      <c r="T1488">
        <f>IF($N1488="","",IF(Sync!$N1488="",0,Sync!$N1488))</f>
        <v/>
      </c>
      <c r="U1488">
        <f>IF($N1488="","",IF(Sync!$O1488="",0,Sync!$O1488))</f>
        <v/>
      </c>
      <c r="V1488">
        <f>IF($N1488="","",Sync!$L1488)</f>
        <v/>
      </c>
      <c r="W1488">
        <f>IF($N1488="","",Sync!$P1488)</f>
        <v/>
      </c>
    </row>
    <row r="1489">
      <c r="N1489">
        <f>IF(OR(Sync!$M1489="",$Q1489="",$Q1489="نامعتبر"),"",Sync!$M1489)</f>
        <v/>
      </c>
      <c r="O1489">
        <f>IF($N1489="","",$Q1489)</f>
        <v/>
      </c>
      <c r="P1489">
        <f>IF($N1489="","",LEFT($Q1489,4)&amp;MID($Q1489,6,2)&amp;RIGHT($Q1489,2)&amp;IF(Sync!$K1489="","0000",IF(AND(ISNUMBER(Sync!$K1489),Sync!$K1489&gt;=0,Sync!$K1489&lt;1),RIGHT("00"&amp;HOUR(Sync!$K1489),2)&amp;RIGHT("00"&amp;MINUTE(Sync!$K1489),2),IFERROR(RIGHT("00"&amp;VALUE(LEFT(Sync!$K1489,FIND(":",Sync!$K1489)-1)),2)&amp;RIGHT("00"&amp;VALUE(MID(Sync!$K1489,FIND(":",Sync!$K1489)+1,2)),2),"0000")))&amp;"|"&amp;"2"&amp;RIGHT("00000"&amp;1484,5))</f>
        <v/>
      </c>
      <c r="Q1489">
        <f>IF(Sync!$J1489="","",IF(ISNUMBER(Sync!$J1489),IF(AND(Sync!$J1489&gt;=10000101,Sync!$J1489&lt;=99991231),INT(Sync!$J1489/10000)&amp;"/"&amp;RIGHT("00"&amp;INT(MOD(Sync!$J1489,10000)/100),2)&amp;"/"&amp;RIGHT("00"&amp;MOD(Sync!$J1489,100),2),"نامعتبر"),IF(LEN(Sync!$J1489)=10,Sync!$J1489,"نامعتبر")))</f>
        <v/>
      </c>
      <c r="R1489">
        <f>IF($P1489="","",COUNTIFS($N$6:$N$2005,$N1489,$P$6:$P$2005,"&lt;"&amp;$P1489)+COUNTIFS($A$6:$A$1005,$N1489,$B$6:$B$1005,"&lt;"&amp;$P1489)+1)</f>
        <v/>
      </c>
      <c r="S1489">
        <f>IF($N1489="","",$N1489&amp;"|"&amp;RIGHT("000000"&amp;$R1489,6))</f>
        <v/>
      </c>
      <c r="T1489">
        <f>IF($N1489="","",IF(Sync!$N1489="",0,Sync!$N1489))</f>
        <v/>
      </c>
      <c r="U1489">
        <f>IF($N1489="","",IF(Sync!$O1489="",0,Sync!$O1489))</f>
        <v/>
      </c>
      <c r="V1489">
        <f>IF($N1489="","",Sync!$L1489)</f>
        <v/>
      </c>
      <c r="W1489">
        <f>IF($N1489="","",Sync!$P1489)</f>
        <v/>
      </c>
    </row>
    <row r="1490">
      <c r="N1490">
        <f>IF(OR(Sync!$M1490="",$Q1490="",$Q1490="نامعتبر"),"",Sync!$M1490)</f>
        <v/>
      </c>
      <c r="O1490">
        <f>IF($N1490="","",$Q1490)</f>
        <v/>
      </c>
      <c r="P1490">
        <f>IF($N1490="","",LEFT($Q1490,4)&amp;MID($Q1490,6,2)&amp;RIGHT($Q1490,2)&amp;IF(Sync!$K1490="","0000",IF(AND(ISNUMBER(Sync!$K1490),Sync!$K1490&gt;=0,Sync!$K1490&lt;1),RIGHT("00"&amp;HOUR(Sync!$K1490),2)&amp;RIGHT("00"&amp;MINUTE(Sync!$K1490),2),IFERROR(RIGHT("00"&amp;VALUE(LEFT(Sync!$K1490,FIND(":",Sync!$K1490)-1)),2)&amp;RIGHT("00"&amp;VALUE(MID(Sync!$K1490,FIND(":",Sync!$K1490)+1,2)),2),"0000")))&amp;"|"&amp;"2"&amp;RIGHT("00000"&amp;1485,5))</f>
        <v/>
      </c>
      <c r="Q1490">
        <f>IF(Sync!$J1490="","",IF(ISNUMBER(Sync!$J1490),IF(AND(Sync!$J1490&gt;=10000101,Sync!$J1490&lt;=99991231),INT(Sync!$J1490/10000)&amp;"/"&amp;RIGHT("00"&amp;INT(MOD(Sync!$J1490,10000)/100),2)&amp;"/"&amp;RIGHT("00"&amp;MOD(Sync!$J1490,100),2),"نامعتبر"),IF(LEN(Sync!$J1490)=10,Sync!$J1490,"نامعتبر")))</f>
        <v/>
      </c>
      <c r="R1490">
        <f>IF($P1490="","",COUNTIFS($N$6:$N$2005,$N1490,$P$6:$P$2005,"&lt;"&amp;$P1490)+COUNTIFS($A$6:$A$1005,$N1490,$B$6:$B$1005,"&lt;"&amp;$P1490)+1)</f>
        <v/>
      </c>
      <c r="S1490">
        <f>IF($N1490="","",$N1490&amp;"|"&amp;RIGHT("000000"&amp;$R1490,6))</f>
        <v/>
      </c>
      <c r="T1490">
        <f>IF($N1490="","",IF(Sync!$N1490="",0,Sync!$N1490))</f>
        <v/>
      </c>
      <c r="U1490">
        <f>IF($N1490="","",IF(Sync!$O1490="",0,Sync!$O1490))</f>
        <v/>
      </c>
      <c r="V1490">
        <f>IF($N1490="","",Sync!$L1490)</f>
        <v/>
      </c>
      <c r="W1490">
        <f>IF($N1490="","",Sync!$P1490)</f>
        <v/>
      </c>
    </row>
    <row r="1491">
      <c r="N1491">
        <f>IF(OR(Sync!$M1491="",$Q1491="",$Q1491="نامعتبر"),"",Sync!$M1491)</f>
        <v/>
      </c>
      <c r="O1491">
        <f>IF($N1491="","",$Q1491)</f>
        <v/>
      </c>
      <c r="P1491">
        <f>IF($N1491="","",LEFT($Q1491,4)&amp;MID($Q1491,6,2)&amp;RIGHT($Q1491,2)&amp;IF(Sync!$K1491="","0000",IF(AND(ISNUMBER(Sync!$K1491),Sync!$K1491&gt;=0,Sync!$K1491&lt;1),RIGHT("00"&amp;HOUR(Sync!$K1491),2)&amp;RIGHT("00"&amp;MINUTE(Sync!$K1491),2),IFERROR(RIGHT("00"&amp;VALUE(LEFT(Sync!$K1491,FIND(":",Sync!$K1491)-1)),2)&amp;RIGHT("00"&amp;VALUE(MID(Sync!$K1491,FIND(":",Sync!$K1491)+1,2)),2),"0000")))&amp;"|"&amp;"2"&amp;RIGHT("00000"&amp;1486,5))</f>
        <v/>
      </c>
      <c r="Q1491">
        <f>IF(Sync!$J1491="","",IF(ISNUMBER(Sync!$J1491),IF(AND(Sync!$J1491&gt;=10000101,Sync!$J1491&lt;=99991231),INT(Sync!$J1491/10000)&amp;"/"&amp;RIGHT("00"&amp;INT(MOD(Sync!$J1491,10000)/100),2)&amp;"/"&amp;RIGHT("00"&amp;MOD(Sync!$J1491,100),2),"نامعتبر"),IF(LEN(Sync!$J1491)=10,Sync!$J1491,"نامعتبر")))</f>
        <v/>
      </c>
      <c r="R1491">
        <f>IF($P1491="","",COUNTIFS($N$6:$N$2005,$N1491,$P$6:$P$2005,"&lt;"&amp;$P1491)+COUNTIFS($A$6:$A$1005,$N1491,$B$6:$B$1005,"&lt;"&amp;$P1491)+1)</f>
        <v/>
      </c>
      <c r="S1491">
        <f>IF($N1491="","",$N1491&amp;"|"&amp;RIGHT("000000"&amp;$R1491,6))</f>
        <v/>
      </c>
      <c r="T1491">
        <f>IF($N1491="","",IF(Sync!$N1491="",0,Sync!$N1491))</f>
        <v/>
      </c>
      <c r="U1491">
        <f>IF($N1491="","",IF(Sync!$O1491="",0,Sync!$O1491))</f>
        <v/>
      </c>
      <c r="V1491">
        <f>IF($N1491="","",Sync!$L1491)</f>
        <v/>
      </c>
      <c r="W1491">
        <f>IF($N1491="","",Sync!$P1491)</f>
        <v/>
      </c>
    </row>
    <row r="1492">
      <c r="N1492">
        <f>IF(OR(Sync!$M1492="",$Q1492="",$Q1492="نامعتبر"),"",Sync!$M1492)</f>
        <v/>
      </c>
      <c r="O1492">
        <f>IF($N1492="","",$Q1492)</f>
        <v/>
      </c>
      <c r="P1492">
        <f>IF($N1492="","",LEFT($Q1492,4)&amp;MID($Q1492,6,2)&amp;RIGHT($Q1492,2)&amp;IF(Sync!$K1492="","0000",IF(AND(ISNUMBER(Sync!$K1492),Sync!$K1492&gt;=0,Sync!$K1492&lt;1),RIGHT("00"&amp;HOUR(Sync!$K1492),2)&amp;RIGHT("00"&amp;MINUTE(Sync!$K1492),2),IFERROR(RIGHT("00"&amp;VALUE(LEFT(Sync!$K1492,FIND(":",Sync!$K1492)-1)),2)&amp;RIGHT("00"&amp;VALUE(MID(Sync!$K1492,FIND(":",Sync!$K1492)+1,2)),2),"0000")))&amp;"|"&amp;"2"&amp;RIGHT("00000"&amp;1487,5))</f>
        <v/>
      </c>
      <c r="Q1492">
        <f>IF(Sync!$J1492="","",IF(ISNUMBER(Sync!$J1492),IF(AND(Sync!$J1492&gt;=10000101,Sync!$J1492&lt;=99991231),INT(Sync!$J1492/10000)&amp;"/"&amp;RIGHT("00"&amp;INT(MOD(Sync!$J1492,10000)/100),2)&amp;"/"&amp;RIGHT("00"&amp;MOD(Sync!$J1492,100),2),"نامعتبر"),IF(LEN(Sync!$J1492)=10,Sync!$J1492,"نامعتبر")))</f>
        <v/>
      </c>
      <c r="R1492">
        <f>IF($P1492="","",COUNTIFS($N$6:$N$2005,$N1492,$P$6:$P$2005,"&lt;"&amp;$P1492)+COUNTIFS($A$6:$A$1005,$N1492,$B$6:$B$1005,"&lt;"&amp;$P1492)+1)</f>
        <v/>
      </c>
      <c r="S1492">
        <f>IF($N1492="","",$N1492&amp;"|"&amp;RIGHT("000000"&amp;$R1492,6))</f>
        <v/>
      </c>
      <c r="T1492">
        <f>IF($N1492="","",IF(Sync!$N1492="",0,Sync!$N1492))</f>
        <v/>
      </c>
      <c r="U1492">
        <f>IF($N1492="","",IF(Sync!$O1492="",0,Sync!$O1492))</f>
        <v/>
      </c>
      <c r="V1492">
        <f>IF($N1492="","",Sync!$L1492)</f>
        <v/>
      </c>
      <c r="W1492">
        <f>IF($N1492="","",Sync!$P1492)</f>
        <v/>
      </c>
    </row>
    <row r="1493">
      <c r="N1493">
        <f>IF(OR(Sync!$M1493="",$Q1493="",$Q1493="نامعتبر"),"",Sync!$M1493)</f>
        <v/>
      </c>
      <c r="O1493">
        <f>IF($N1493="","",$Q1493)</f>
        <v/>
      </c>
      <c r="P1493">
        <f>IF($N1493="","",LEFT($Q1493,4)&amp;MID($Q1493,6,2)&amp;RIGHT($Q1493,2)&amp;IF(Sync!$K1493="","0000",IF(AND(ISNUMBER(Sync!$K1493),Sync!$K1493&gt;=0,Sync!$K1493&lt;1),RIGHT("00"&amp;HOUR(Sync!$K1493),2)&amp;RIGHT("00"&amp;MINUTE(Sync!$K1493),2),IFERROR(RIGHT("00"&amp;VALUE(LEFT(Sync!$K1493,FIND(":",Sync!$K1493)-1)),2)&amp;RIGHT("00"&amp;VALUE(MID(Sync!$K1493,FIND(":",Sync!$K1493)+1,2)),2),"0000")))&amp;"|"&amp;"2"&amp;RIGHT("00000"&amp;1488,5))</f>
        <v/>
      </c>
      <c r="Q1493">
        <f>IF(Sync!$J1493="","",IF(ISNUMBER(Sync!$J1493),IF(AND(Sync!$J1493&gt;=10000101,Sync!$J1493&lt;=99991231),INT(Sync!$J1493/10000)&amp;"/"&amp;RIGHT("00"&amp;INT(MOD(Sync!$J1493,10000)/100),2)&amp;"/"&amp;RIGHT("00"&amp;MOD(Sync!$J1493,100),2),"نامعتبر"),IF(LEN(Sync!$J1493)=10,Sync!$J1493,"نامعتبر")))</f>
        <v/>
      </c>
      <c r="R1493">
        <f>IF($P1493="","",COUNTIFS($N$6:$N$2005,$N1493,$P$6:$P$2005,"&lt;"&amp;$P1493)+COUNTIFS($A$6:$A$1005,$N1493,$B$6:$B$1005,"&lt;"&amp;$P1493)+1)</f>
        <v/>
      </c>
      <c r="S1493">
        <f>IF($N1493="","",$N1493&amp;"|"&amp;RIGHT("000000"&amp;$R1493,6))</f>
        <v/>
      </c>
      <c r="T1493">
        <f>IF($N1493="","",IF(Sync!$N1493="",0,Sync!$N1493))</f>
        <v/>
      </c>
      <c r="U1493">
        <f>IF($N1493="","",IF(Sync!$O1493="",0,Sync!$O1493))</f>
        <v/>
      </c>
      <c r="V1493">
        <f>IF($N1493="","",Sync!$L1493)</f>
        <v/>
      </c>
      <c r="W1493">
        <f>IF($N1493="","",Sync!$P1493)</f>
        <v/>
      </c>
    </row>
    <row r="1494">
      <c r="N1494">
        <f>IF(OR(Sync!$M1494="",$Q1494="",$Q1494="نامعتبر"),"",Sync!$M1494)</f>
        <v/>
      </c>
      <c r="O1494">
        <f>IF($N1494="","",$Q1494)</f>
        <v/>
      </c>
      <c r="P1494">
        <f>IF($N1494="","",LEFT($Q1494,4)&amp;MID($Q1494,6,2)&amp;RIGHT($Q1494,2)&amp;IF(Sync!$K1494="","0000",IF(AND(ISNUMBER(Sync!$K1494),Sync!$K1494&gt;=0,Sync!$K1494&lt;1),RIGHT("00"&amp;HOUR(Sync!$K1494),2)&amp;RIGHT("00"&amp;MINUTE(Sync!$K1494),2),IFERROR(RIGHT("00"&amp;VALUE(LEFT(Sync!$K1494,FIND(":",Sync!$K1494)-1)),2)&amp;RIGHT("00"&amp;VALUE(MID(Sync!$K1494,FIND(":",Sync!$K1494)+1,2)),2),"0000")))&amp;"|"&amp;"2"&amp;RIGHT("00000"&amp;1489,5))</f>
        <v/>
      </c>
      <c r="Q1494">
        <f>IF(Sync!$J1494="","",IF(ISNUMBER(Sync!$J1494),IF(AND(Sync!$J1494&gt;=10000101,Sync!$J1494&lt;=99991231),INT(Sync!$J1494/10000)&amp;"/"&amp;RIGHT("00"&amp;INT(MOD(Sync!$J1494,10000)/100),2)&amp;"/"&amp;RIGHT("00"&amp;MOD(Sync!$J1494,100),2),"نامعتبر"),IF(LEN(Sync!$J1494)=10,Sync!$J1494,"نامعتبر")))</f>
        <v/>
      </c>
      <c r="R1494">
        <f>IF($P1494="","",COUNTIFS($N$6:$N$2005,$N1494,$P$6:$P$2005,"&lt;"&amp;$P1494)+COUNTIFS($A$6:$A$1005,$N1494,$B$6:$B$1005,"&lt;"&amp;$P1494)+1)</f>
        <v/>
      </c>
      <c r="S1494">
        <f>IF($N1494="","",$N1494&amp;"|"&amp;RIGHT("000000"&amp;$R1494,6))</f>
        <v/>
      </c>
      <c r="T1494">
        <f>IF($N1494="","",IF(Sync!$N1494="",0,Sync!$N1494))</f>
        <v/>
      </c>
      <c r="U1494">
        <f>IF($N1494="","",IF(Sync!$O1494="",0,Sync!$O1494))</f>
        <v/>
      </c>
      <c r="V1494">
        <f>IF($N1494="","",Sync!$L1494)</f>
        <v/>
      </c>
      <c r="W1494">
        <f>IF($N1494="","",Sync!$P1494)</f>
        <v/>
      </c>
    </row>
    <row r="1495">
      <c r="N1495">
        <f>IF(OR(Sync!$M1495="",$Q1495="",$Q1495="نامعتبر"),"",Sync!$M1495)</f>
        <v/>
      </c>
      <c r="O1495">
        <f>IF($N1495="","",$Q1495)</f>
        <v/>
      </c>
      <c r="P1495">
        <f>IF($N1495="","",LEFT($Q1495,4)&amp;MID($Q1495,6,2)&amp;RIGHT($Q1495,2)&amp;IF(Sync!$K1495="","0000",IF(AND(ISNUMBER(Sync!$K1495),Sync!$K1495&gt;=0,Sync!$K1495&lt;1),RIGHT("00"&amp;HOUR(Sync!$K1495),2)&amp;RIGHT("00"&amp;MINUTE(Sync!$K1495),2),IFERROR(RIGHT("00"&amp;VALUE(LEFT(Sync!$K1495,FIND(":",Sync!$K1495)-1)),2)&amp;RIGHT("00"&amp;VALUE(MID(Sync!$K1495,FIND(":",Sync!$K1495)+1,2)),2),"0000")))&amp;"|"&amp;"2"&amp;RIGHT("00000"&amp;1490,5))</f>
        <v/>
      </c>
      <c r="Q1495">
        <f>IF(Sync!$J1495="","",IF(ISNUMBER(Sync!$J1495),IF(AND(Sync!$J1495&gt;=10000101,Sync!$J1495&lt;=99991231),INT(Sync!$J1495/10000)&amp;"/"&amp;RIGHT("00"&amp;INT(MOD(Sync!$J1495,10000)/100),2)&amp;"/"&amp;RIGHT("00"&amp;MOD(Sync!$J1495,100),2),"نامعتبر"),IF(LEN(Sync!$J1495)=10,Sync!$J1495,"نامعتبر")))</f>
        <v/>
      </c>
      <c r="R1495">
        <f>IF($P1495="","",COUNTIFS($N$6:$N$2005,$N1495,$P$6:$P$2005,"&lt;"&amp;$P1495)+COUNTIFS($A$6:$A$1005,$N1495,$B$6:$B$1005,"&lt;"&amp;$P1495)+1)</f>
        <v/>
      </c>
      <c r="S1495">
        <f>IF($N1495="","",$N1495&amp;"|"&amp;RIGHT("000000"&amp;$R1495,6))</f>
        <v/>
      </c>
      <c r="T1495">
        <f>IF($N1495="","",IF(Sync!$N1495="",0,Sync!$N1495))</f>
        <v/>
      </c>
      <c r="U1495">
        <f>IF($N1495="","",IF(Sync!$O1495="",0,Sync!$O1495))</f>
        <v/>
      </c>
      <c r="V1495">
        <f>IF($N1495="","",Sync!$L1495)</f>
        <v/>
      </c>
      <c r="W1495">
        <f>IF($N1495="","",Sync!$P1495)</f>
        <v/>
      </c>
    </row>
    <row r="1496">
      <c r="N1496">
        <f>IF(OR(Sync!$M1496="",$Q1496="",$Q1496="نامعتبر"),"",Sync!$M1496)</f>
        <v/>
      </c>
      <c r="O1496">
        <f>IF($N1496="","",$Q1496)</f>
        <v/>
      </c>
      <c r="P1496">
        <f>IF($N1496="","",LEFT($Q1496,4)&amp;MID($Q1496,6,2)&amp;RIGHT($Q1496,2)&amp;IF(Sync!$K1496="","0000",IF(AND(ISNUMBER(Sync!$K1496),Sync!$K1496&gt;=0,Sync!$K1496&lt;1),RIGHT("00"&amp;HOUR(Sync!$K1496),2)&amp;RIGHT("00"&amp;MINUTE(Sync!$K1496),2),IFERROR(RIGHT("00"&amp;VALUE(LEFT(Sync!$K1496,FIND(":",Sync!$K1496)-1)),2)&amp;RIGHT("00"&amp;VALUE(MID(Sync!$K1496,FIND(":",Sync!$K1496)+1,2)),2),"0000")))&amp;"|"&amp;"2"&amp;RIGHT("00000"&amp;1491,5))</f>
        <v/>
      </c>
      <c r="Q1496">
        <f>IF(Sync!$J1496="","",IF(ISNUMBER(Sync!$J1496),IF(AND(Sync!$J1496&gt;=10000101,Sync!$J1496&lt;=99991231),INT(Sync!$J1496/10000)&amp;"/"&amp;RIGHT("00"&amp;INT(MOD(Sync!$J1496,10000)/100),2)&amp;"/"&amp;RIGHT("00"&amp;MOD(Sync!$J1496,100),2),"نامعتبر"),IF(LEN(Sync!$J1496)=10,Sync!$J1496,"نامعتبر")))</f>
        <v/>
      </c>
      <c r="R1496">
        <f>IF($P1496="","",COUNTIFS($N$6:$N$2005,$N1496,$P$6:$P$2005,"&lt;"&amp;$P1496)+COUNTIFS($A$6:$A$1005,$N1496,$B$6:$B$1005,"&lt;"&amp;$P1496)+1)</f>
        <v/>
      </c>
      <c r="S1496">
        <f>IF($N1496="","",$N1496&amp;"|"&amp;RIGHT("000000"&amp;$R1496,6))</f>
        <v/>
      </c>
      <c r="T1496">
        <f>IF($N1496="","",IF(Sync!$N1496="",0,Sync!$N1496))</f>
        <v/>
      </c>
      <c r="U1496">
        <f>IF($N1496="","",IF(Sync!$O1496="",0,Sync!$O1496))</f>
        <v/>
      </c>
      <c r="V1496">
        <f>IF($N1496="","",Sync!$L1496)</f>
        <v/>
      </c>
      <c r="W1496">
        <f>IF($N1496="","",Sync!$P1496)</f>
        <v/>
      </c>
    </row>
    <row r="1497">
      <c r="N1497">
        <f>IF(OR(Sync!$M1497="",$Q1497="",$Q1497="نامعتبر"),"",Sync!$M1497)</f>
        <v/>
      </c>
      <c r="O1497">
        <f>IF($N1497="","",$Q1497)</f>
        <v/>
      </c>
      <c r="P1497">
        <f>IF($N1497="","",LEFT($Q1497,4)&amp;MID($Q1497,6,2)&amp;RIGHT($Q1497,2)&amp;IF(Sync!$K1497="","0000",IF(AND(ISNUMBER(Sync!$K1497),Sync!$K1497&gt;=0,Sync!$K1497&lt;1),RIGHT("00"&amp;HOUR(Sync!$K1497),2)&amp;RIGHT("00"&amp;MINUTE(Sync!$K1497),2),IFERROR(RIGHT("00"&amp;VALUE(LEFT(Sync!$K1497,FIND(":",Sync!$K1497)-1)),2)&amp;RIGHT("00"&amp;VALUE(MID(Sync!$K1497,FIND(":",Sync!$K1497)+1,2)),2),"0000")))&amp;"|"&amp;"2"&amp;RIGHT("00000"&amp;1492,5))</f>
        <v/>
      </c>
      <c r="Q1497">
        <f>IF(Sync!$J1497="","",IF(ISNUMBER(Sync!$J1497),IF(AND(Sync!$J1497&gt;=10000101,Sync!$J1497&lt;=99991231),INT(Sync!$J1497/10000)&amp;"/"&amp;RIGHT("00"&amp;INT(MOD(Sync!$J1497,10000)/100),2)&amp;"/"&amp;RIGHT("00"&amp;MOD(Sync!$J1497,100),2),"نامعتبر"),IF(LEN(Sync!$J1497)=10,Sync!$J1497,"نامعتبر")))</f>
        <v/>
      </c>
      <c r="R1497">
        <f>IF($P1497="","",COUNTIFS($N$6:$N$2005,$N1497,$P$6:$P$2005,"&lt;"&amp;$P1497)+COUNTIFS($A$6:$A$1005,$N1497,$B$6:$B$1005,"&lt;"&amp;$P1497)+1)</f>
        <v/>
      </c>
      <c r="S1497">
        <f>IF($N1497="","",$N1497&amp;"|"&amp;RIGHT("000000"&amp;$R1497,6))</f>
        <v/>
      </c>
      <c r="T1497">
        <f>IF($N1497="","",IF(Sync!$N1497="",0,Sync!$N1497))</f>
        <v/>
      </c>
      <c r="U1497">
        <f>IF($N1497="","",IF(Sync!$O1497="",0,Sync!$O1497))</f>
        <v/>
      </c>
      <c r="V1497">
        <f>IF($N1497="","",Sync!$L1497)</f>
        <v/>
      </c>
      <c r="W1497">
        <f>IF($N1497="","",Sync!$P1497)</f>
        <v/>
      </c>
    </row>
    <row r="1498">
      <c r="N1498">
        <f>IF(OR(Sync!$M1498="",$Q1498="",$Q1498="نامعتبر"),"",Sync!$M1498)</f>
        <v/>
      </c>
      <c r="O1498">
        <f>IF($N1498="","",$Q1498)</f>
        <v/>
      </c>
      <c r="P1498">
        <f>IF($N1498="","",LEFT($Q1498,4)&amp;MID($Q1498,6,2)&amp;RIGHT($Q1498,2)&amp;IF(Sync!$K1498="","0000",IF(AND(ISNUMBER(Sync!$K1498),Sync!$K1498&gt;=0,Sync!$K1498&lt;1),RIGHT("00"&amp;HOUR(Sync!$K1498),2)&amp;RIGHT("00"&amp;MINUTE(Sync!$K1498),2),IFERROR(RIGHT("00"&amp;VALUE(LEFT(Sync!$K1498,FIND(":",Sync!$K1498)-1)),2)&amp;RIGHT("00"&amp;VALUE(MID(Sync!$K1498,FIND(":",Sync!$K1498)+1,2)),2),"0000")))&amp;"|"&amp;"2"&amp;RIGHT("00000"&amp;1493,5))</f>
        <v/>
      </c>
      <c r="Q1498">
        <f>IF(Sync!$J1498="","",IF(ISNUMBER(Sync!$J1498),IF(AND(Sync!$J1498&gt;=10000101,Sync!$J1498&lt;=99991231),INT(Sync!$J1498/10000)&amp;"/"&amp;RIGHT("00"&amp;INT(MOD(Sync!$J1498,10000)/100),2)&amp;"/"&amp;RIGHT("00"&amp;MOD(Sync!$J1498,100),2),"نامعتبر"),IF(LEN(Sync!$J1498)=10,Sync!$J1498,"نامعتبر")))</f>
        <v/>
      </c>
      <c r="R1498">
        <f>IF($P1498="","",COUNTIFS($N$6:$N$2005,$N1498,$P$6:$P$2005,"&lt;"&amp;$P1498)+COUNTIFS($A$6:$A$1005,$N1498,$B$6:$B$1005,"&lt;"&amp;$P1498)+1)</f>
        <v/>
      </c>
      <c r="S1498">
        <f>IF($N1498="","",$N1498&amp;"|"&amp;RIGHT("000000"&amp;$R1498,6))</f>
        <v/>
      </c>
      <c r="T1498">
        <f>IF($N1498="","",IF(Sync!$N1498="",0,Sync!$N1498))</f>
        <v/>
      </c>
      <c r="U1498">
        <f>IF($N1498="","",IF(Sync!$O1498="",0,Sync!$O1498))</f>
        <v/>
      </c>
      <c r="V1498">
        <f>IF($N1498="","",Sync!$L1498)</f>
        <v/>
      </c>
      <c r="W1498">
        <f>IF($N1498="","",Sync!$P1498)</f>
        <v/>
      </c>
    </row>
    <row r="1499">
      <c r="N1499">
        <f>IF(OR(Sync!$M1499="",$Q1499="",$Q1499="نامعتبر"),"",Sync!$M1499)</f>
        <v/>
      </c>
      <c r="O1499">
        <f>IF($N1499="","",$Q1499)</f>
        <v/>
      </c>
      <c r="P1499">
        <f>IF($N1499="","",LEFT($Q1499,4)&amp;MID($Q1499,6,2)&amp;RIGHT($Q1499,2)&amp;IF(Sync!$K1499="","0000",IF(AND(ISNUMBER(Sync!$K1499),Sync!$K1499&gt;=0,Sync!$K1499&lt;1),RIGHT("00"&amp;HOUR(Sync!$K1499),2)&amp;RIGHT("00"&amp;MINUTE(Sync!$K1499),2),IFERROR(RIGHT("00"&amp;VALUE(LEFT(Sync!$K1499,FIND(":",Sync!$K1499)-1)),2)&amp;RIGHT("00"&amp;VALUE(MID(Sync!$K1499,FIND(":",Sync!$K1499)+1,2)),2),"0000")))&amp;"|"&amp;"2"&amp;RIGHT("00000"&amp;1494,5))</f>
        <v/>
      </c>
      <c r="Q1499">
        <f>IF(Sync!$J1499="","",IF(ISNUMBER(Sync!$J1499),IF(AND(Sync!$J1499&gt;=10000101,Sync!$J1499&lt;=99991231),INT(Sync!$J1499/10000)&amp;"/"&amp;RIGHT("00"&amp;INT(MOD(Sync!$J1499,10000)/100),2)&amp;"/"&amp;RIGHT("00"&amp;MOD(Sync!$J1499,100),2),"نامعتبر"),IF(LEN(Sync!$J1499)=10,Sync!$J1499,"نامعتبر")))</f>
        <v/>
      </c>
      <c r="R1499">
        <f>IF($P1499="","",COUNTIFS($N$6:$N$2005,$N1499,$P$6:$P$2005,"&lt;"&amp;$P1499)+COUNTIFS($A$6:$A$1005,$N1499,$B$6:$B$1005,"&lt;"&amp;$P1499)+1)</f>
        <v/>
      </c>
      <c r="S1499">
        <f>IF($N1499="","",$N1499&amp;"|"&amp;RIGHT("000000"&amp;$R1499,6))</f>
        <v/>
      </c>
      <c r="T1499">
        <f>IF($N1499="","",IF(Sync!$N1499="",0,Sync!$N1499))</f>
        <v/>
      </c>
      <c r="U1499">
        <f>IF($N1499="","",IF(Sync!$O1499="",0,Sync!$O1499))</f>
        <v/>
      </c>
      <c r="V1499">
        <f>IF($N1499="","",Sync!$L1499)</f>
        <v/>
      </c>
      <c r="W1499">
        <f>IF($N1499="","",Sync!$P1499)</f>
        <v/>
      </c>
    </row>
    <row r="1500">
      <c r="N1500">
        <f>IF(OR(Sync!$M1500="",$Q1500="",$Q1500="نامعتبر"),"",Sync!$M1500)</f>
        <v/>
      </c>
      <c r="O1500">
        <f>IF($N1500="","",$Q1500)</f>
        <v/>
      </c>
      <c r="P1500">
        <f>IF($N1500="","",LEFT($Q1500,4)&amp;MID($Q1500,6,2)&amp;RIGHT($Q1500,2)&amp;IF(Sync!$K1500="","0000",IF(AND(ISNUMBER(Sync!$K1500),Sync!$K1500&gt;=0,Sync!$K1500&lt;1),RIGHT("00"&amp;HOUR(Sync!$K1500),2)&amp;RIGHT("00"&amp;MINUTE(Sync!$K1500),2),IFERROR(RIGHT("00"&amp;VALUE(LEFT(Sync!$K1500,FIND(":",Sync!$K1500)-1)),2)&amp;RIGHT("00"&amp;VALUE(MID(Sync!$K1500,FIND(":",Sync!$K1500)+1,2)),2),"0000")))&amp;"|"&amp;"2"&amp;RIGHT("00000"&amp;1495,5))</f>
        <v/>
      </c>
      <c r="Q1500">
        <f>IF(Sync!$J1500="","",IF(ISNUMBER(Sync!$J1500),IF(AND(Sync!$J1500&gt;=10000101,Sync!$J1500&lt;=99991231),INT(Sync!$J1500/10000)&amp;"/"&amp;RIGHT("00"&amp;INT(MOD(Sync!$J1500,10000)/100),2)&amp;"/"&amp;RIGHT("00"&amp;MOD(Sync!$J1500,100),2),"نامعتبر"),IF(LEN(Sync!$J1500)=10,Sync!$J1500,"نامعتبر")))</f>
        <v/>
      </c>
      <c r="R1500">
        <f>IF($P1500="","",COUNTIFS($N$6:$N$2005,$N1500,$P$6:$P$2005,"&lt;"&amp;$P1500)+COUNTIFS($A$6:$A$1005,$N1500,$B$6:$B$1005,"&lt;"&amp;$P1500)+1)</f>
        <v/>
      </c>
      <c r="S1500">
        <f>IF($N1500="","",$N1500&amp;"|"&amp;RIGHT("000000"&amp;$R1500,6))</f>
        <v/>
      </c>
      <c r="T1500">
        <f>IF($N1500="","",IF(Sync!$N1500="",0,Sync!$N1500))</f>
        <v/>
      </c>
      <c r="U1500">
        <f>IF($N1500="","",IF(Sync!$O1500="",0,Sync!$O1500))</f>
        <v/>
      </c>
      <c r="V1500">
        <f>IF($N1500="","",Sync!$L1500)</f>
        <v/>
      </c>
      <c r="W1500">
        <f>IF($N1500="","",Sync!$P1500)</f>
        <v/>
      </c>
    </row>
    <row r="1501">
      <c r="N1501">
        <f>IF(OR(Sync!$M1501="",$Q1501="",$Q1501="نامعتبر"),"",Sync!$M1501)</f>
        <v/>
      </c>
      <c r="O1501">
        <f>IF($N1501="","",$Q1501)</f>
        <v/>
      </c>
      <c r="P1501">
        <f>IF($N1501="","",LEFT($Q1501,4)&amp;MID($Q1501,6,2)&amp;RIGHT($Q1501,2)&amp;IF(Sync!$K1501="","0000",IF(AND(ISNUMBER(Sync!$K1501),Sync!$K1501&gt;=0,Sync!$K1501&lt;1),RIGHT("00"&amp;HOUR(Sync!$K1501),2)&amp;RIGHT("00"&amp;MINUTE(Sync!$K1501),2),IFERROR(RIGHT("00"&amp;VALUE(LEFT(Sync!$K1501,FIND(":",Sync!$K1501)-1)),2)&amp;RIGHT("00"&amp;VALUE(MID(Sync!$K1501,FIND(":",Sync!$K1501)+1,2)),2),"0000")))&amp;"|"&amp;"2"&amp;RIGHT("00000"&amp;1496,5))</f>
        <v/>
      </c>
      <c r="Q1501">
        <f>IF(Sync!$J1501="","",IF(ISNUMBER(Sync!$J1501),IF(AND(Sync!$J1501&gt;=10000101,Sync!$J1501&lt;=99991231),INT(Sync!$J1501/10000)&amp;"/"&amp;RIGHT("00"&amp;INT(MOD(Sync!$J1501,10000)/100),2)&amp;"/"&amp;RIGHT("00"&amp;MOD(Sync!$J1501,100),2),"نامعتبر"),IF(LEN(Sync!$J1501)=10,Sync!$J1501,"نامعتبر")))</f>
        <v/>
      </c>
      <c r="R1501">
        <f>IF($P1501="","",COUNTIFS($N$6:$N$2005,$N1501,$P$6:$P$2005,"&lt;"&amp;$P1501)+COUNTIFS($A$6:$A$1005,$N1501,$B$6:$B$1005,"&lt;"&amp;$P1501)+1)</f>
        <v/>
      </c>
      <c r="S1501">
        <f>IF($N1501="","",$N1501&amp;"|"&amp;RIGHT("000000"&amp;$R1501,6))</f>
        <v/>
      </c>
      <c r="T1501">
        <f>IF($N1501="","",IF(Sync!$N1501="",0,Sync!$N1501))</f>
        <v/>
      </c>
      <c r="U1501">
        <f>IF($N1501="","",IF(Sync!$O1501="",0,Sync!$O1501))</f>
        <v/>
      </c>
      <c r="V1501">
        <f>IF($N1501="","",Sync!$L1501)</f>
        <v/>
      </c>
      <c r="W1501">
        <f>IF($N1501="","",Sync!$P1501)</f>
        <v/>
      </c>
    </row>
    <row r="1502">
      <c r="N1502">
        <f>IF(OR(Sync!$M1502="",$Q1502="",$Q1502="نامعتبر"),"",Sync!$M1502)</f>
        <v/>
      </c>
      <c r="O1502">
        <f>IF($N1502="","",$Q1502)</f>
        <v/>
      </c>
      <c r="P1502">
        <f>IF($N1502="","",LEFT($Q1502,4)&amp;MID($Q1502,6,2)&amp;RIGHT($Q1502,2)&amp;IF(Sync!$K1502="","0000",IF(AND(ISNUMBER(Sync!$K1502),Sync!$K1502&gt;=0,Sync!$K1502&lt;1),RIGHT("00"&amp;HOUR(Sync!$K1502),2)&amp;RIGHT("00"&amp;MINUTE(Sync!$K1502),2),IFERROR(RIGHT("00"&amp;VALUE(LEFT(Sync!$K1502,FIND(":",Sync!$K1502)-1)),2)&amp;RIGHT("00"&amp;VALUE(MID(Sync!$K1502,FIND(":",Sync!$K1502)+1,2)),2),"0000")))&amp;"|"&amp;"2"&amp;RIGHT("00000"&amp;1497,5))</f>
        <v/>
      </c>
      <c r="Q1502">
        <f>IF(Sync!$J1502="","",IF(ISNUMBER(Sync!$J1502),IF(AND(Sync!$J1502&gt;=10000101,Sync!$J1502&lt;=99991231),INT(Sync!$J1502/10000)&amp;"/"&amp;RIGHT("00"&amp;INT(MOD(Sync!$J1502,10000)/100),2)&amp;"/"&amp;RIGHT("00"&amp;MOD(Sync!$J1502,100),2),"نامعتبر"),IF(LEN(Sync!$J1502)=10,Sync!$J1502,"نامعتبر")))</f>
        <v/>
      </c>
      <c r="R1502">
        <f>IF($P1502="","",COUNTIFS($N$6:$N$2005,$N1502,$P$6:$P$2005,"&lt;"&amp;$P1502)+COUNTIFS($A$6:$A$1005,$N1502,$B$6:$B$1005,"&lt;"&amp;$P1502)+1)</f>
        <v/>
      </c>
      <c r="S1502">
        <f>IF($N1502="","",$N1502&amp;"|"&amp;RIGHT("000000"&amp;$R1502,6))</f>
        <v/>
      </c>
      <c r="T1502">
        <f>IF($N1502="","",IF(Sync!$N1502="",0,Sync!$N1502))</f>
        <v/>
      </c>
      <c r="U1502">
        <f>IF($N1502="","",IF(Sync!$O1502="",0,Sync!$O1502))</f>
        <v/>
      </c>
      <c r="V1502">
        <f>IF($N1502="","",Sync!$L1502)</f>
        <v/>
      </c>
      <c r="W1502">
        <f>IF($N1502="","",Sync!$P1502)</f>
        <v/>
      </c>
    </row>
    <row r="1503">
      <c r="N1503">
        <f>IF(OR(Sync!$M1503="",$Q1503="",$Q1503="نامعتبر"),"",Sync!$M1503)</f>
        <v/>
      </c>
      <c r="O1503">
        <f>IF($N1503="","",$Q1503)</f>
        <v/>
      </c>
      <c r="P1503">
        <f>IF($N1503="","",LEFT($Q1503,4)&amp;MID($Q1503,6,2)&amp;RIGHT($Q1503,2)&amp;IF(Sync!$K1503="","0000",IF(AND(ISNUMBER(Sync!$K1503),Sync!$K1503&gt;=0,Sync!$K1503&lt;1),RIGHT("00"&amp;HOUR(Sync!$K1503),2)&amp;RIGHT("00"&amp;MINUTE(Sync!$K1503),2),IFERROR(RIGHT("00"&amp;VALUE(LEFT(Sync!$K1503,FIND(":",Sync!$K1503)-1)),2)&amp;RIGHT("00"&amp;VALUE(MID(Sync!$K1503,FIND(":",Sync!$K1503)+1,2)),2),"0000")))&amp;"|"&amp;"2"&amp;RIGHT("00000"&amp;1498,5))</f>
        <v/>
      </c>
      <c r="Q1503">
        <f>IF(Sync!$J1503="","",IF(ISNUMBER(Sync!$J1503),IF(AND(Sync!$J1503&gt;=10000101,Sync!$J1503&lt;=99991231),INT(Sync!$J1503/10000)&amp;"/"&amp;RIGHT("00"&amp;INT(MOD(Sync!$J1503,10000)/100),2)&amp;"/"&amp;RIGHT("00"&amp;MOD(Sync!$J1503,100),2),"نامعتبر"),IF(LEN(Sync!$J1503)=10,Sync!$J1503,"نامعتبر")))</f>
        <v/>
      </c>
      <c r="R1503">
        <f>IF($P1503="","",COUNTIFS($N$6:$N$2005,$N1503,$P$6:$P$2005,"&lt;"&amp;$P1503)+COUNTIFS($A$6:$A$1005,$N1503,$B$6:$B$1005,"&lt;"&amp;$P1503)+1)</f>
        <v/>
      </c>
      <c r="S1503">
        <f>IF($N1503="","",$N1503&amp;"|"&amp;RIGHT("000000"&amp;$R1503,6))</f>
        <v/>
      </c>
      <c r="T1503">
        <f>IF($N1503="","",IF(Sync!$N1503="",0,Sync!$N1503))</f>
        <v/>
      </c>
      <c r="U1503">
        <f>IF($N1503="","",IF(Sync!$O1503="",0,Sync!$O1503))</f>
        <v/>
      </c>
      <c r="V1503">
        <f>IF($N1503="","",Sync!$L1503)</f>
        <v/>
      </c>
      <c r="W1503">
        <f>IF($N1503="","",Sync!$P1503)</f>
        <v/>
      </c>
    </row>
    <row r="1504">
      <c r="N1504">
        <f>IF(OR(Sync!$M1504="",$Q1504="",$Q1504="نامعتبر"),"",Sync!$M1504)</f>
        <v/>
      </c>
      <c r="O1504">
        <f>IF($N1504="","",$Q1504)</f>
        <v/>
      </c>
      <c r="P1504">
        <f>IF($N1504="","",LEFT($Q1504,4)&amp;MID($Q1504,6,2)&amp;RIGHT($Q1504,2)&amp;IF(Sync!$K1504="","0000",IF(AND(ISNUMBER(Sync!$K1504),Sync!$K1504&gt;=0,Sync!$K1504&lt;1),RIGHT("00"&amp;HOUR(Sync!$K1504),2)&amp;RIGHT("00"&amp;MINUTE(Sync!$K1504),2),IFERROR(RIGHT("00"&amp;VALUE(LEFT(Sync!$K1504,FIND(":",Sync!$K1504)-1)),2)&amp;RIGHT("00"&amp;VALUE(MID(Sync!$K1504,FIND(":",Sync!$K1504)+1,2)),2),"0000")))&amp;"|"&amp;"2"&amp;RIGHT("00000"&amp;1499,5))</f>
        <v/>
      </c>
      <c r="Q1504">
        <f>IF(Sync!$J1504="","",IF(ISNUMBER(Sync!$J1504),IF(AND(Sync!$J1504&gt;=10000101,Sync!$J1504&lt;=99991231),INT(Sync!$J1504/10000)&amp;"/"&amp;RIGHT("00"&amp;INT(MOD(Sync!$J1504,10000)/100),2)&amp;"/"&amp;RIGHT("00"&amp;MOD(Sync!$J1504,100),2),"نامعتبر"),IF(LEN(Sync!$J1504)=10,Sync!$J1504,"نامعتبر")))</f>
        <v/>
      </c>
      <c r="R1504">
        <f>IF($P1504="","",COUNTIFS($N$6:$N$2005,$N1504,$P$6:$P$2005,"&lt;"&amp;$P1504)+COUNTIFS($A$6:$A$1005,$N1504,$B$6:$B$1005,"&lt;"&amp;$P1504)+1)</f>
        <v/>
      </c>
      <c r="S1504">
        <f>IF($N1504="","",$N1504&amp;"|"&amp;RIGHT("000000"&amp;$R1504,6))</f>
        <v/>
      </c>
      <c r="T1504">
        <f>IF($N1504="","",IF(Sync!$N1504="",0,Sync!$N1504))</f>
        <v/>
      </c>
      <c r="U1504">
        <f>IF($N1504="","",IF(Sync!$O1504="",0,Sync!$O1504))</f>
        <v/>
      </c>
      <c r="V1504">
        <f>IF($N1504="","",Sync!$L1504)</f>
        <v/>
      </c>
      <c r="W1504">
        <f>IF($N1504="","",Sync!$P1504)</f>
        <v/>
      </c>
    </row>
    <row r="1505">
      <c r="N1505">
        <f>IF(OR(Sync!$M1505="",$Q1505="",$Q1505="نامعتبر"),"",Sync!$M1505)</f>
        <v/>
      </c>
      <c r="O1505">
        <f>IF($N1505="","",$Q1505)</f>
        <v/>
      </c>
      <c r="P1505">
        <f>IF($N1505="","",LEFT($Q1505,4)&amp;MID($Q1505,6,2)&amp;RIGHT($Q1505,2)&amp;IF(Sync!$K1505="","0000",IF(AND(ISNUMBER(Sync!$K1505),Sync!$K1505&gt;=0,Sync!$K1505&lt;1),RIGHT("00"&amp;HOUR(Sync!$K1505),2)&amp;RIGHT("00"&amp;MINUTE(Sync!$K1505),2),IFERROR(RIGHT("00"&amp;VALUE(LEFT(Sync!$K1505,FIND(":",Sync!$K1505)-1)),2)&amp;RIGHT("00"&amp;VALUE(MID(Sync!$K1505,FIND(":",Sync!$K1505)+1,2)),2),"0000")))&amp;"|"&amp;"2"&amp;RIGHT("00000"&amp;1500,5))</f>
        <v/>
      </c>
      <c r="Q1505">
        <f>IF(Sync!$J1505="","",IF(ISNUMBER(Sync!$J1505),IF(AND(Sync!$J1505&gt;=10000101,Sync!$J1505&lt;=99991231),INT(Sync!$J1505/10000)&amp;"/"&amp;RIGHT("00"&amp;INT(MOD(Sync!$J1505,10000)/100),2)&amp;"/"&amp;RIGHT("00"&amp;MOD(Sync!$J1505,100),2),"نامعتبر"),IF(LEN(Sync!$J1505)=10,Sync!$J1505,"نامعتبر")))</f>
        <v/>
      </c>
      <c r="R1505">
        <f>IF($P1505="","",COUNTIFS($N$6:$N$2005,$N1505,$P$6:$P$2005,"&lt;"&amp;$P1505)+COUNTIFS($A$6:$A$1005,$N1505,$B$6:$B$1005,"&lt;"&amp;$P1505)+1)</f>
        <v/>
      </c>
      <c r="S1505">
        <f>IF($N1505="","",$N1505&amp;"|"&amp;RIGHT("000000"&amp;$R1505,6))</f>
        <v/>
      </c>
      <c r="T1505">
        <f>IF($N1505="","",IF(Sync!$N1505="",0,Sync!$N1505))</f>
        <v/>
      </c>
      <c r="U1505">
        <f>IF($N1505="","",IF(Sync!$O1505="",0,Sync!$O1505))</f>
        <v/>
      </c>
      <c r="V1505">
        <f>IF($N1505="","",Sync!$L1505)</f>
        <v/>
      </c>
      <c r="W1505">
        <f>IF($N1505="","",Sync!$P1505)</f>
        <v/>
      </c>
    </row>
    <row r="1506">
      <c r="N1506">
        <f>IF(OR(Sync!$M1506="",$Q1506="",$Q1506="نامعتبر"),"",Sync!$M1506)</f>
        <v/>
      </c>
      <c r="O1506">
        <f>IF($N1506="","",$Q1506)</f>
        <v/>
      </c>
      <c r="P1506">
        <f>IF($N1506="","",LEFT($Q1506,4)&amp;MID($Q1506,6,2)&amp;RIGHT($Q1506,2)&amp;IF(Sync!$K1506="","0000",IF(AND(ISNUMBER(Sync!$K1506),Sync!$K1506&gt;=0,Sync!$K1506&lt;1),RIGHT("00"&amp;HOUR(Sync!$K1506),2)&amp;RIGHT("00"&amp;MINUTE(Sync!$K1506),2),IFERROR(RIGHT("00"&amp;VALUE(LEFT(Sync!$K1506,FIND(":",Sync!$K1506)-1)),2)&amp;RIGHT("00"&amp;VALUE(MID(Sync!$K1506,FIND(":",Sync!$K1506)+1,2)),2),"0000")))&amp;"|"&amp;"2"&amp;RIGHT("00000"&amp;1501,5))</f>
        <v/>
      </c>
      <c r="Q1506">
        <f>IF(Sync!$J1506="","",IF(ISNUMBER(Sync!$J1506),IF(AND(Sync!$J1506&gt;=10000101,Sync!$J1506&lt;=99991231),INT(Sync!$J1506/10000)&amp;"/"&amp;RIGHT("00"&amp;INT(MOD(Sync!$J1506,10000)/100),2)&amp;"/"&amp;RIGHT("00"&amp;MOD(Sync!$J1506,100),2),"نامعتبر"),IF(LEN(Sync!$J1506)=10,Sync!$J1506,"نامعتبر")))</f>
        <v/>
      </c>
      <c r="R1506">
        <f>IF($P1506="","",COUNTIFS($N$6:$N$2005,$N1506,$P$6:$P$2005,"&lt;"&amp;$P1506)+COUNTIFS($A$6:$A$1005,$N1506,$B$6:$B$1005,"&lt;"&amp;$P1506)+1)</f>
        <v/>
      </c>
      <c r="S1506">
        <f>IF($N1506="","",$N1506&amp;"|"&amp;RIGHT("000000"&amp;$R1506,6))</f>
        <v/>
      </c>
      <c r="T1506">
        <f>IF($N1506="","",IF(Sync!$N1506="",0,Sync!$N1506))</f>
        <v/>
      </c>
      <c r="U1506">
        <f>IF($N1506="","",IF(Sync!$O1506="",0,Sync!$O1506))</f>
        <v/>
      </c>
      <c r="V1506">
        <f>IF($N1506="","",Sync!$L1506)</f>
        <v/>
      </c>
      <c r="W1506">
        <f>IF($N1506="","",Sync!$P1506)</f>
        <v/>
      </c>
    </row>
    <row r="1507">
      <c r="N1507">
        <f>IF(OR(Sync!$M1507="",$Q1507="",$Q1507="نامعتبر"),"",Sync!$M1507)</f>
        <v/>
      </c>
      <c r="O1507">
        <f>IF($N1507="","",$Q1507)</f>
        <v/>
      </c>
      <c r="P1507">
        <f>IF($N1507="","",LEFT($Q1507,4)&amp;MID($Q1507,6,2)&amp;RIGHT($Q1507,2)&amp;IF(Sync!$K1507="","0000",IF(AND(ISNUMBER(Sync!$K1507),Sync!$K1507&gt;=0,Sync!$K1507&lt;1),RIGHT("00"&amp;HOUR(Sync!$K1507),2)&amp;RIGHT("00"&amp;MINUTE(Sync!$K1507),2),IFERROR(RIGHT("00"&amp;VALUE(LEFT(Sync!$K1507,FIND(":",Sync!$K1507)-1)),2)&amp;RIGHT("00"&amp;VALUE(MID(Sync!$K1507,FIND(":",Sync!$K1507)+1,2)),2),"0000")))&amp;"|"&amp;"2"&amp;RIGHT("00000"&amp;1502,5))</f>
        <v/>
      </c>
      <c r="Q1507">
        <f>IF(Sync!$J1507="","",IF(ISNUMBER(Sync!$J1507),IF(AND(Sync!$J1507&gt;=10000101,Sync!$J1507&lt;=99991231),INT(Sync!$J1507/10000)&amp;"/"&amp;RIGHT("00"&amp;INT(MOD(Sync!$J1507,10000)/100),2)&amp;"/"&amp;RIGHT("00"&amp;MOD(Sync!$J1507,100),2),"نامعتبر"),IF(LEN(Sync!$J1507)=10,Sync!$J1507,"نامعتبر")))</f>
        <v/>
      </c>
      <c r="R1507">
        <f>IF($P1507="","",COUNTIFS($N$6:$N$2005,$N1507,$P$6:$P$2005,"&lt;"&amp;$P1507)+COUNTIFS($A$6:$A$1005,$N1507,$B$6:$B$1005,"&lt;"&amp;$P1507)+1)</f>
        <v/>
      </c>
      <c r="S1507">
        <f>IF($N1507="","",$N1507&amp;"|"&amp;RIGHT("000000"&amp;$R1507,6))</f>
        <v/>
      </c>
      <c r="T1507">
        <f>IF($N1507="","",IF(Sync!$N1507="",0,Sync!$N1507))</f>
        <v/>
      </c>
      <c r="U1507">
        <f>IF($N1507="","",IF(Sync!$O1507="",0,Sync!$O1507))</f>
        <v/>
      </c>
      <c r="V1507">
        <f>IF($N1507="","",Sync!$L1507)</f>
        <v/>
      </c>
      <c r="W1507">
        <f>IF($N1507="","",Sync!$P1507)</f>
        <v/>
      </c>
    </row>
    <row r="1508">
      <c r="N1508">
        <f>IF(OR(Sync!$M1508="",$Q1508="",$Q1508="نامعتبر"),"",Sync!$M1508)</f>
        <v/>
      </c>
      <c r="O1508">
        <f>IF($N1508="","",$Q1508)</f>
        <v/>
      </c>
      <c r="P1508">
        <f>IF($N1508="","",LEFT($Q1508,4)&amp;MID($Q1508,6,2)&amp;RIGHT($Q1508,2)&amp;IF(Sync!$K1508="","0000",IF(AND(ISNUMBER(Sync!$K1508),Sync!$K1508&gt;=0,Sync!$K1508&lt;1),RIGHT("00"&amp;HOUR(Sync!$K1508),2)&amp;RIGHT("00"&amp;MINUTE(Sync!$K1508),2),IFERROR(RIGHT("00"&amp;VALUE(LEFT(Sync!$K1508,FIND(":",Sync!$K1508)-1)),2)&amp;RIGHT("00"&amp;VALUE(MID(Sync!$K1508,FIND(":",Sync!$K1508)+1,2)),2),"0000")))&amp;"|"&amp;"2"&amp;RIGHT("00000"&amp;1503,5))</f>
        <v/>
      </c>
      <c r="Q1508">
        <f>IF(Sync!$J1508="","",IF(ISNUMBER(Sync!$J1508),IF(AND(Sync!$J1508&gt;=10000101,Sync!$J1508&lt;=99991231),INT(Sync!$J1508/10000)&amp;"/"&amp;RIGHT("00"&amp;INT(MOD(Sync!$J1508,10000)/100),2)&amp;"/"&amp;RIGHT("00"&amp;MOD(Sync!$J1508,100),2),"نامعتبر"),IF(LEN(Sync!$J1508)=10,Sync!$J1508,"نامعتبر")))</f>
        <v/>
      </c>
      <c r="R1508">
        <f>IF($P1508="","",COUNTIFS($N$6:$N$2005,$N1508,$P$6:$P$2005,"&lt;"&amp;$P1508)+COUNTIFS($A$6:$A$1005,$N1508,$B$6:$B$1005,"&lt;"&amp;$P1508)+1)</f>
        <v/>
      </c>
      <c r="S1508">
        <f>IF($N1508="","",$N1508&amp;"|"&amp;RIGHT("000000"&amp;$R1508,6))</f>
        <v/>
      </c>
      <c r="T1508">
        <f>IF($N1508="","",IF(Sync!$N1508="",0,Sync!$N1508))</f>
        <v/>
      </c>
      <c r="U1508">
        <f>IF($N1508="","",IF(Sync!$O1508="",0,Sync!$O1508))</f>
        <v/>
      </c>
      <c r="V1508">
        <f>IF($N1508="","",Sync!$L1508)</f>
        <v/>
      </c>
      <c r="W1508">
        <f>IF($N1508="","",Sync!$P1508)</f>
        <v/>
      </c>
    </row>
    <row r="1509">
      <c r="N1509">
        <f>IF(OR(Sync!$M1509="",$Q1509="",$Q1509="نامعتبر"),"",Sync!$M1509)</f>
        <v/>
      </c>
      <c r="O1509">
        <f>IF($N1509="","",$Q1509)</f>
        <v/>
      </c>
      <c r="P1509">
        <f>IF($N1509="","",LEFT($Q1509,4)&amp;MID($Q1509,6,2)&amp;RIGHT($Q1509,2)&amp;IF(Sync!$K1509="","0000",IF(AND(ISNUMBER(Sync!$K1509),Sync!$K1509&gt;=0,Sync!$K1509&lt;1),RIGHT("00"&amp;HOUR(Sync!$K1509),2)&amp;RIGHT("00"&amp;MINUTE(Sync!$K1509),2),IFERROR(RIGHT("00"&amp;VALUE(LEFT(Sync!$K1509,FIND(":",Sync!$K1509)-1)),2)&amp;RIGHT("00"&amp;VALUE(MID(Sync!$K1509,FIND(":",Sync!$K1509)+1,2)),2),"0000")))&amp;"|"&amp;"2"&amp;RIGHT("00000"&amp;1504,5))</f>
        <v/>
      </c>
      <c r="Q1509">
        <f>IF(Sync!$J1509="","",IF(ISNUMBER(Sync!$J1509),IF(AND(Sync!$J1509&gt;=10000101,Sync!$J1509&lt;=99991231),INT(Sync!$J1509/10000)&amp;"/"&amp;RIGHT("00"&amp;INT(MOD(Sync!$J1509,10000)/100),2)&amp;"/"&amp;RIGHT("00"&amp;MOD(Sync!$J1509,100),2),"نامعتبر"),IF(LEN(Sync!$J1509)=10,Sync!$J1509,"نامعتبر")))</f>
        <v/>
      </c>
      <c r="R1509">
        <f>IF($P1509="","",COUNTIFS($N$6:$N$2005,$N1509,$P$6:$P$2005,"&lt;"&amp;$P1509)+COUNTIFS($A$6:$A$1005,$N1509,$B$6:$B$1005,"&lt;"&amp;$P1509)+1)</f>
        <v/>
      </c>
      <c r="S1509">
        <f>IF($N1509="","",$N1509&amp;"|"&amp;RIGHT("000000"&amp;$R1509,6))</f>
        <v/>
      </c>
      <c r="T1509">
        <f>IF($N1509="","",IF(Sync!$N1509="",0,Sync!$N1509))</f>
        <v/>
      </c>
      <c r="U1509">
        <f>IF($N1509="","",IF(Sync!$O1509="",0,Sync!$O1509))</f>
        <v/>
      </c>
      <c r="V1509">
        <f>IF($N1509="","",Sync!$L1509)</f>
        <v/>
      </c>
      <c r="W1509">
        <f>IF($N1509="","",Sync!$P1509)</f>
        <v/>
      </c>
    </row>
    <row r="1510">
      <c r="N1510">
        <f>IF(OR(Sync!$M1510="",$Q1510="",$Q1510="نامعتبر"),"",Sync!$M1510)</f>
        <v/>
      </c>
      <c r="O1510">
        <f>IF($N1510="","",$Q1510)</f>
        <v/>
      </c>
      <c r="P1510">
        <f>IF($N1510="","",LEFT($Q1510,4)&amp;MID($Q1510,6,2)&amp;RIGHT($Q1510,2)&amp;IF(Sync!$K1510="","0000",IF(AND(ISNUMBER(Sync!$K1510),Sync!$K1510&gt;=0,Sync!$K1510&lt;1),RIGHT("00"&amp;HOUR(Sync!$K1510),2)&amp;RIGHT("00"&amp;MINUTE(Sync!$K1510),2),IFERROR(RIGHT("00"&amp;VALUE(LEFT(Sync!$K1510,FIND(":",Sync!$K1510)-1)),2)&amp;RIGHT("00"&amp;VALUE(MID(Sync!$K1510,FIND(":",Sync!$K1510)+1,2)),2),"0000")))&amp;"|"&amp;"2"&amp;RIGHT("00000"&amp;1505,5))</f>
        <v/>
      </c>
      <c r="Q1510">
        <f>IF(Sync!$J1510="","",IF(ISNUMBER(Sync!$J1510),IF(AND(Sync!$J1510&gt;=10000101,Sync!$J1510&lt;=99991231),INT(Sync!$J1510/10000)&amp;"/"&amp;RIGHT("00"&amp;INT(MOD(Sync!$J1510,10000)/100),2)&amp;"/"&amp;RIGHT("00"&amp;MOD(Sync!$J1510,100),2),"نامعتبر"),IF(LEN(Sync!$J1510)=10,Sync!$J1510,"نامعتبر")))</f>
        <v/>
      </c>
      <c r="R1510">
        <f>IF($P1510="","",COUNTIFS($N$6:$N$2005,$N1510,$P$6:$P$2005,"&lt;"&amp;$P1510)+COUNTIFS($A$6:$A$1005,$N1510,$B$6:$B$1005,"&lt;"&amp;$P1510)+1)</f>
        <v/>
      </c>
      <c r="S1510">
        <f>IF($N1510="","",$N1510&amp;"|"&amp;RIGHT("000000"&amp;$R1510,6))</f>
        <v/>
      </c>
      <c r="T1510">
        <f>IF($N1510="","",IF(Sync!$N1510="",0,Sync!$N1510))</f>
        <v/>
      </c>
      <c r="U1510">
        <f>IF($N1510="","",IF(Sync!$O1510="",0,Sync!$O1510))</f>
        <v/>
      </c>
      <c r="V1510">
        <f>IF($N1510="","",Sync!$L1510)</f>
        <v/>
      </c>
      <c r="W1510">
        <f>IF($N1510="","",Sync!$P1510)</f>
        <v/>
      </c>
    </row>
    <row r="1511">
      <c r="N1511">
        <f>IF(OR(Sync!$M1511="",$Q1511="",$Q1511="نامعتبر"),"",Sync!$M1511)</f>
        <v/>
      </c>
      <c r="O1511">
        <f>IF($N1511="","",$Q1511)</f>
        <v/>
      </c>
      <c r="P1511">
        <f>IF($N1511="","",LEFT($Q1511,4)&amp;MID($Q1511,6,2)&amp;RIGHT($Q1511,2)&amp;IF(Sync!$K1511="","0000",IF(AND(ISNUMBER(Sync!$K1511),Sync!$K1511&gt;=0,Sync!$K1511&lt;1),RIGHT("00"&amp;HOUR(Sync!$K1511),2)&amp;RIGHT("00"&amp;MINUTE(Sync!$K1511),2),IFERROR(RIGHT("00"&amp;VALUE(LEFT(Sync!$K1511,FIND(":",Sync!$K1511)-1)),2)&amp;RIGHT("00"&amp;VALUE(MID(Sync!$K1511,FIND(":",Sync!$K1511)+1,2)),2),"0000")))&amp;"|"&amp;"2"&amp;RIGHT("00000"&amp;1506,5))</f>
        <v/>
      </c>
      <c r="Q1511">
        <f>IF(Sync!$J1511="","",IF(ISNUMBER(Sync!$J1511),IF(AND(Sync!$J1511&gt;=10000101,Sync!$J1511&lt;=99991231),INT(Sync!$J1511/10000)&amp;"/"&amp;RIGHT("00"&amp;INT(MOD(Sync!$J1511,10000)/100),2)&amp;"/"&amp;RIGHT("00"&amp;MOD(Sync!$J1511,100),2),"نامعتبر"),IF(LEN(Sync!$J1511)=10,Sync!$J1511,"نامعتبر")))</f>
        <v/>
      </c>
      <c r="R1511">
        <f>IF($P1511="","",COUNTIFS($N$6:$N$2005,$N1511,$P$6:$P$2005,"&lt;"&amp;$P1511)+COUNTIFS($A$6:$A$1005,$N1511,$B$6:$B$1005,"&lt;"&amp;$P1511)+1)</f>
        <v/>
      </c>
      <c r="S1511">
        <f>IF($N1511="","",$N1511&amp;"|"&amp;RIGHT("000000"&amp;$R1511,6))</f>
        <v/>
      </c>
      <c r="T1511">
        <f>IF($N1511="","",IF(Sync!$N1511="",0,Sync!$N1511))</f>
        <v/>
      </c>
      <c r="U1511">
        <f>IF($N1511="","",IF(Sync!$O1511="",0,Sync!$O1511))</f>
        <v/>
      </c>
      <c r="V1511">
        <f>IF($N1511="","",Sync!$L1511)</f>
        <v/>
      </c>
      <c r="W1511">
        <f>IF($N1511="","",Sync!$P1511)</f>
        <v/>
      </c>
    </row>
    <row r="1512">
      <c r="N1512">
        <f>IF(OR(Sync!$M1512="",$Q1512="",$Q1512="نامعتبر"),"",Sync!$M1512)</f>
        <v/>
      </c>
      <c r="O1512">
        <f>IF($N1512="","",$Q1512)</f>
        <v/>
      </c>
      <c r="P1512">
        <f>IF($N1512="","",LEFT($Q1512,4)&amp;MID($Q1512,6,2)&amp;RIGHT($Q1512,2)&amp;IF(Sync!$K1512="","0000",IF(AND(ISNUMBER(Sync!$K1512),Sync!$K1512&gt;=0,Sync!$K1512&lt;1),RIGHT("00"&amp;HOUR(Sync!$K1512),2)&amp;RIGHT("00"&amp;MINUTE(Sync!$K1512),2),IFERROR(RIGHT("00"&amp;VALUE(LEFT(Sync!$K1512,FIND(":",Sync!$K1512)-1)),2)&amp;RIGHT("00"&amp;VALUE(MID(Sync!$K1512,FIND(":",Sync!$K1512)+1,2)),2),"0000")))&amp;"|"&amp;"2"&amp;RIGHT("00000"&amp;1507,5))</f>
        <v/>
      </c>
      <c r="Q1512">
        <f>IF(Sync!$J1512="","",IF(ISNUMBER(Sync!$J1512),IF(AND(Sync!$J1512&gt;=10000101,Sync!$J1512&lt;=99991231),INT(Sync!$J1512/10000)&amp;"/"&amp;RIGHT("00"&amp;INT(MOD(Sync!$J1512,10000)/100),2)&amp;"/"&amp;RIGHT("00"&amp;MOD(Sync!$J1512,100),2),"نامعتبر"),IF(LEN(Sync!$J1512)=10,Sync!$J1512,"نامعتبر")))</f>
        <v/>
      </c>
      <c r="R1512">
        <f>IF($P1512="","",COUNTIFS($N$6:$N$2005,$N1512,$P$6:$P$2005,"&lt;"&amp;$P1512)+COUNTIFS($A$6:$A$1005,$N1512,$B$6:$B$1005,"&lt;"&amp;$P1512)+1)</f>
        <v/>
      </c>
      <c r="S1512">
        <f>IF($N1512="","",$N1512&amp;"|"&amp;RIGHT("000000"&amp;$R1512,6))</f>
        <v/>
      </c>
      <c r="T1512">
        <f>IF($N1512="","",IF(Sync!$N1512="",0,Sync!$N1512))</f>
        <v/>
      </c>
      <c r="U1512">
        <f>IF($N1512="","",IF(Sync!$O1512="",0,Sync!$O1512))</f>
        <v/>
      </c>
      <c r="V1512">
        <f>IF($N1512="","",Sync!$L1512)</f>
        <v/>
      </c>
      <c r="W1512">
        <f>IF($N1512="","",Sync!$P1512)</f>
        <v/>
      </c>
    </row>
    <row r="1513">
      <c r="N1513">
        <f>IF(OR(Sync!$M1513="",$Q1513="",$Q1513="نامعتبر"),"",Sync!$M1513)</f>
        <v/>
      </c>
      <c r="O1513">
        <f>IF($N1513="","",$Q1513)</f>
        <v/>
      </c>
      <c r="P1513">
        <f>IF($N1513="","",LEFT($Q1513,4)&amp;MID($Q1513,6,2)&amp;RIGHT($Q1513,2)&amp;IF(Sync!$K1513="","0000",IF(AND(ISNUMBER(Sync!$K1513),Sync!$K1513&gt;=0,Sync!$K1513&lt;1),RIGHT("00"&amp;HOUR(Sync!$K1513),2)&amp;RIGHT("00"&amp;MINUTE(Sync!$K1513),2),IFERROR(RIGHT("00"&amp;VALUE(LEFT(Sync!$K1513,FIND(":",Sync!$K1513)-1)),2)&amp;RIGHT("00"&amp;VALUE(MID(Sync!$K1513,FIND(":",Sync!$K1513)+1,2)),2),"0000")))&amp;"|"&amp;"2"&amp;RIGHT("00000"&amp;1508,5))</f>
        <v/>
      </c>
      <c r="Q1513">
        <f>IF(Sync!$J1513="","",IF(ISNUMBER(Sync!$J1513),IF(AND(Sync!$J1513&gt;=10000101,Sync!$J1513&lt;=99991231),INT(Sync!$J1513/10000)&amp;"/"&amp;RIGHT("00"&amp;INT(MOD(Sync!$J1513,10000)/100),2)&amp;"/"&amp;RIGHT("00"&amp;MOD(Sync!$J1513,100),2),"نامعتبر"),IF(LEN(Sync!$J1513)=10,Sync!$J1513,"نامعتبر")))</f>
        <v/>
      </c>
      <c r="R1513">
        <f>IF($P1513="","",COUNTIFS($N$6:$N$2005,$N1513,$P$6:$P$2005,"&lt;"&amp;$P1513)+COUNTIFS($A$6:$A$1005,$N1513,$B$6:$B$1005,"&lt;"&amp;$P1513)+1)</f>
        <v/>
      </c>
      <c r="S1513">
        <f>IF($N1513="","",$N1513&amp;"|"&amp;RIGHT("000000"&amp;$R1513,6))</f>
        <v/>
      </c>
      <c r="T1513">
        <f>IF($N1513="","",IF(Sync!$N1513="",0,Sync!$N1513))</f>
        <v/>
      </c>
      <c r="U1513">
        <f>IF($N1513="","",IF(Sync!$O1513="",0,Sync!$O1513))</f>
        <v/>
      </c>
      <c r="V1513">
        <f>IF($N1513="","",Sync!$L1513)</f>
        <v/>
      </c>
      <c r="W1513">
        <f>IF($N1513="","",Sync!$P1513)</f>
        <v/>
      </c>
    </row>
    <row r="1514">
      <c r="N1514">
        <f>IF(OR(Sync!$M1514="",$Q1514="",$Q1514="نامعتبر"),"",Sync!$M1514)</f>
        <v/>
      </c>
      <c r="O1514">
        <f>IF($N1514="","",$Q1514)</f>
        <v/>
      </c>
      <c r="P1514">
        <f>IF($N1514="","",LEFT($Q1514,4)&amp;MID($Q1514,6,2)&amp;RIGHT($Q1514,2)&amp;IF(Sync!$K1514="","0000",IF(AND(ISNUMBER(Sync!$K1514),Sync!$K1514&gt;=0,Sync!$K1514&lt;1),RIGHT("00"&amp;HOUR(Sync!$K1514),2)&amp;RIGHT("00"&amp;MINUTE(Sync!$K1514),2),IFERROR(RIGHT("00"&amp;VALUE(LEFT(Sync!$K1514,FIND(":",Sync!$K1514)-1)),2)&amp;RIGHT("00"&amp;VALUE(MID(Sync!$K1514,FIND(":",Sync!$K1514)+1,2)),2),"0000")))&amp;"|"&amp;"2"&amp;RIGHT("00000"&amp;1509,5))</f>
        <v/>
      </c>
      <c r="Q1514">
        <f>IF(Sync!$J1514="","",IF(ISNUMBER(Sync!$J1514),IF(AND(Sync!$J1514&gt;=10000101,Sync!$J1514&lt;=99991231),INT(Sync!$J1514/10000)&amp;"/"&amp;RIGHT("00"&amp;INT(MOD(Sync!$J1514,10000)/100),2)&amp;"/"&amp;RIGHT("00"&amp;MOD(Sync!$J1514,100),2),"نامعتبر"),IF(LEN(Sync!$J1514)=10,Sync!$J1514,"نامعتبر")))</f>
        <v/>
      </c>
      <c r="R1514">
        <f>IF($P1514="","",COUNTIFS($N$6:$N$2005,$N1514,$P$6:$P$2005,"&lt;"&amp;$P1514)+COUNTIFS($A$6:$A$1005,$N1514,$B$6:$B$1005,"&lt;"&amp;$P1514)+1)</f>
        <v/>
      </c>
      <c r="S1514">
        <f>IF($N1514="","",$N1514&amp;"|"&amp;RIGHT("000000"&amp;$R1514,6))</f>
        <v/>
      </c>
      <c r="T1514">
        <f>IF($N1514="","",IF(Sync!$N1514="",0,Sync!$N1514))</f>
        <v/>
      </c>
      <c r="U1514">
        <f>IF($N1514="","",IF(Sync!$O1514="",0,Sync!$O1514))</f>
        <v/>
      </c>
      <c r="V1514">
        <f>IF($N1514="","",Sync!$L1514)</f>
        <v/>
      </c>
      <c r="W1514">
        <f>IF($N1514="","",Sync!$P1514)</f>
        <v/>
      </c>
    </row>
    <row r="1515">
      <c r="N1515">
        <f>IF(OR(Sync!$M1515="",$Q1515="",$Q1515="نامعتبر"),"",Sync!$M1515)</f>
        <v/>
      </c>
      <c r="O1515">
        <f>IF($N1515="","",$Q1515)</f>
        <v/>
      </c>
      <c r="P1515">
        <f>IF($N1515="","",LEFT($Q1515,4)&amp;MID($Q1515,6,2)&amp;RIGHT($Q1515,2)&amp;IF(Sync!$K1515="","0000",IF(AND(ISNUMBER(Sync!$K1515),Sync!$K1515&gt;=0,Sync!$K1515&lt;1),RIGHT("00"&amp;HOUR(Sync!$K1515),2)&amp;RIGHT("00"&amp;MINUTE(Sync!$K1515),2),IFERROR(RIGHT("00"&amp;VALUE(LEFT(Sync!$K1515,FIND(":",Sync!$K1515)-1)),2)&amp;RIGHT("00"&amp;VALUE(MID(Sync!$K1515,FIND(":",Sync!$K1515)+1,2)),2),"0000")))&amp;"|"&amp;"2"&amp;RIGHT("00000"&amp;1510,5))</f>
        <v/>
      </c>
      <c r="Q1515">
        <f>IF(Sync!$J1515="","",IF(ISNUMBER(Sync!$J1515),IF(AND(Sync!$J1515&gt;=10000101,Sync!$J1515&lt;=99991231),INT(Sync!$J1515/10000)&amp;"/"&amp;RIGHT("00"&amp;INT(MOD(Sync!$J1515,10000)/100),2)&amp;"/"&amp;RIGHT("00"&amp;MOD(Sync!$J1515,100),2),"نامعتبر"),IF(LEN(Sync!$J1515)=10,Sync!$J1515,"نامعتبر")))</f>
        <v/>
      </c>
      <c r="R1515">
        <f>IF($P1515="","",COUNTIFS($N$6:$N$2005,$N1515,$P$6:$P$2005,"&lt;"&amp;$P1515)+COUNTIFS($A$6:$A$1005,$N1515,$B$6:$B$1005,"&lt;"&amp;$P1515)+1)</f>
        <v/>
      </c>
      <c r="S1515">
        <f>IF($N1515="","",$N1515&amp;"|"&amp;RIGHT("000000"&amp;$R1515,6))</f>
        <v/>
      </c>
      <c r="T1515">
        <f>IF($N1515="","",IF(Sync!$N1515="",0,Sync!$N1515))</f>
        <v/>
      </c>
      <c r="U1515">
        <f>IF($N1515="","",IF(Sync!$O1515="",0,Sync!$O1515))</f>
        <v/>
      </c>
      <c r="V1515">
        <f>IF($N1515="","",Sync!$L1515)</f>
        <v/>
      </c>
      <c r="W1515">
        <f>IF($N1515="","",Sync!$P1515)</f>
        <v/>
      </c>
    </row>
    <row r="1516">
      <c r="N1516">
        <f>IF(OR(Sync!$M1516="",$Q1516="",$Q1516="نامعتبر"),"",Sync!$M1516)</f>
        <v/>
      </c>
      <c r="O1516">
        <f>IF($N1516="","",$Q1516)</f>
        <v/>
      </c>
      <c r="P1516">
        <f>IF($N1516="","",LEFT($Q1516,4)&amp;MID($Q1516,6,2)&amp;RIGHT($Q1516,2)&amp;IF(Sync!$K1516="","0000",IF(AND(ISNUMBER(Sync!$K1516),Sync!$K1516&gt;=0,Sync!$K1516&lt;1),RIGHT("00"&amp;HOUR(Sync!$K1516),2)&amp;RIGHT("00"&amp;MINUTE(Sync!$K1516),2),IFERROR(RIGHT("00"&amp;VALUE(LEFT(Sync!$K1516,FIND(":",Sync!$K1516)-1)),2)&amp;RIGHT("00"&amp;VALUE(MID(Sync!$K1516,FIND(":",Sync!$K1516)+1,2)),2),"0000")))&amp;"|"&amp;"2"&amp;RIGHT("00000"&amp;1511,5))</f>
        <v/>
      </c>
      <c r="Q1516">
        <f>IF(Sync!$J1516="","",IF(ISNUMBER(Sync!$J1516),IF(AND(Sync!$J1516&gt;=10000101,Sync!$J1516&lt;=99991231),INT(Sync!$J1516/10000)&amp;"/"&amp;RIGHT("00"&amp;INT(MOD(Sync!$J1516,10000)/100),2)&amp;"/"&amp;RIGHT("00"&amp;MOD(Sync!$J1516,100),2),"نامعتبر"),IF(LEN(Sync!$J1516)=10,Sync!$J1516,"نامعتبر")))</f>
        <v/>
      </c>
      <c r="R1516">
        <f>IF($P1516="","",COUNTIFS($N$6:$N$2005,$N1516,$P$6:$P$2005,"&lt;"&amp;$P1516)+COUNTIFS($A$6:$A$1005,$N1516,$B$6:$B$1005,"&lt;"&amp;$P1516)+1)</f>
        <v/>
      </c>
      <c r="S1516">
        <f>IF($N1516="","",$N1516&amp;"|"&amp;RIGHT("000000"&amp;$R1516,6))</f>
        <v/>
      </c>
      <c r="T1516">
        <f>IF($N1516="","",IF(Sync!$N1516="",0,Sync!$N1516))</f>
        <v/>
      </c>
      <c r="U1516">
        <f>IF($N1516="","",IF(Sync!$O1516="",0,Sync!$O1516))</f>
        <v/>
      </c>
      <c r="V1516">
        <f>IF($N1516="","",Sync!$L1516)</f>
        <v/>
      </c>
      <c r="W1516">
        <f>IF($N1516="","",Sync!$P1516)</f>
        <v/>
      </c>
    </row>
    <row r="1517">
      <c r="N1517">
        <f>IF(OR(Sync!$M1517="",$Q1517="",$Q1517="نامعتبر"),"",Sync!$M1517)</f>
        <v/>
      </c>
      <c r="O1517">
        <f>IF($N1517="","",$Q1517)</f>
        <v/>
      </c>
      <c r="P1517">
        <f>IF($N1517="","",LEFT($Q1517,4)&amp;MID($Q1517,6,2)&amp;RIGHT($Q1517,2)&amp;IF(Sync!$K1517="","0000",IF(AND(ISNUMBER(Sync!$K1517),Sync!$K1517&gt;=0,Sync!$K1517&lt;1),RIGHT("00"&amp;HOUR(Sync!$K1517),2)&amp;RIGHT("00"&amp;MINUTE(Sync!$K1517),2),IFERROR(RIGHT("00"&amp;VALUE(LEFT(Sync!$K1517,FIND(":",Sync!$K1517)-1)),2)&amp;RIGHT("00"&amp;VALUE(MID(Sync!$K1517,FIND(":",Sync!$K1517)+1,2)),2),"0000")))&amp;"|"&amp;"2"&amp;RIGHT("00000"&amp;1512,5))</f>
        <v/>
      </c>
      <c r="Q1517">
        <f>IF(Sync!$J1517="","",IF(ISNUMBER(Sync!$J1517),IF(AND(Sync!$J1517&gt;=10000101,Sync!$J1517&lt;=99991231),INT(Sync!$J1517/10000)&amp;"/"&amp;RIGHT("00"&amp;INT(MOD(Sync!$J1517,10000)/100),2)&amp;"/"&amp;RIGHT("00"&amp;MOD(Sync!$J1517,100),2),"نامعتبر"),IF(LEN(Sync!$J1517)=10,Sync!$J1517,"نامعتبر")))</f>
        <v/>
      </c>
      <c r="R1517">
        <f>IF($P1517="","",COUNTIFS($N$6:$N$2005,$N1517,$P$6:$P$2005,"&lt;"&amp;$P1517)+COUNTIFS($A$6:$A$1005,$N1517,$B$6:$B$1005,"&lt;"&amp;$P1517)+1)</f>
        <v/>
      </c>
      <c r="S1517">
        <f>IF($N1517="","",$N1517&amp;"|"&amp;RIGHT("000000"&amp;$R1517,6))</f>
        <v/>
      </c>
      <c r="T1517">
        <f>IF($N1517="","",IF(Sync!$N1517="",0,Sync!$N1517))</f>
        <v/>
      </c>
      <c r="U1517">
        <f>IF($N1517="","",IF(Sync!$O1517="",0,Sync!$O1517))</f>
        <v/>
      </c>
      <c r="V1517">
        <f>IF($N1517="","",Sync!$L1517)</f>
        <v/>
      </c>
      <c r="W1517">
        <f>IF($N1517="","",Sync!$P1517)</f>
        <v/>
      </c>
    </row>
    <row r="1518">
      <c r="N1518">
        <f>IF(OR(Sync!$M1518="",$Q1518="",$Q1518="نامعتبر"),"",Sync!$M1518)</f>
        <v/>
      </c>
      <c r="O1518">
        <f>IF($N1518="","",$Q1518)</f>
        <v/>
      </c>
      <c r="P1518">
        <f>IF($N1518="","",LEFT($Q1518,4)&amp;MID($Q1518,6,2)&amp;RIGHT($Q1518,2)&amp;IF(Sync!$K1518="","0000",IF(AND(ISNUMBER(Sync!$K1518),Sync!$K1518&gt;=0,Sync!$K1518&lt;1),RIGHT("00"&amp;HOUR(Sync!$K1518),2)&amp;RIGHT("00"&amp;MINUTE(Sync!$K1518),2),IFERROR(RIGHT("00"&amp;VALUE(LEFT(Sync!$K1518,FIND(":",Sync!$K1518)-1)),2)&amp;RIGHT("00"&amp;VALUE(MID(Sync!$K1518,FIND(":",Sync!$K1518)+1,2)),2),"0000")))&amp;"|"&amp;"2"&amp;RIGHT("00000"&amp;1513,5))</f>
        <v/>
      </c>
      <c r="Q1518">
        <f>IF(Sync!$J1518="","",IF(ISNUMBER(Sync!$J1518),IF(AND(Sync!$J1518&gt;=10000101,Sync!$J1518&lt;=99991231),INT(Sync!$J1518/10000)&amp;"/"&amp;RIGHT("00"&amp;INT(MOD(Sync!$J1518,10000)/100),2)&amp;"/"&amp;RIGHT("00"&amp;MOD(Sync!$J1518,100),2),"نامعتبر"),IF(LEN(Sync!$J1518)=10,Sync!$J1518,"نامعتبر")))</f>
        <v/>
      </c>
      <c r="R1518">
        <f>IF($P1518="","",COUNTIFS($N$6:$N$2005,$N1518,$P$6:$P$2005,"&lt;"&amp;$P1518)+COUNTIFS($A$6:$A$1005,$N1518,$B$6:$B$1005,"&lt;"&amp;$P1518)+1)</f>
        <v/>
      </c>
      <c r="S1518">
        <f>IF($N1518="","",$N1518&amp;"|"&amp;RIGHT("000000"&amp;$R1518,6))</f>
        <v/>
      </c>
      <c r="T1518">
        <f>IF($N1518="","",IF(Sync!$N1518="",0,Sync!$N1518))</f>
        <v/>
      </c>
      <c r="U1518">
        <f>IF($N1518="","",IF(Sync!$O1518="",0,Sync!$O1518))</f>
        <v/>
      </c>
      <c r="V1518">
        <f>IF($N1518="","",Sync!$L1518)</f>
        <v/>
      </c>
      <c r="W1518">
        <f>IF($N1518="","",Sync!$P1518)</f>
        <v/>
      </c>
    </row>
    <row r="1519">
      <c r="N1519">
        <f>IF(OR(Sync!$M1519="",$Q1519="",$Q1519="نامعتبر"),"",Sync!$M1519)</f>
        <v/>
      </c>
      <c r="O1519">
        <f>IF($N1519="","",$Q1519)</f>
        <v/>
      </c>
      <c r="P1519">
        <f>IF($N1519="","",LEFT($Q1519,4)&amp;MID($Q1519,6,2)&amp;RIGHT($Q1519,2)&amp;IF(Sync!$K1519="","0000",IF(AND(ISNUMBER(Sync!$K1519),Sync!$K1519&gt;=0,Sync!$K1519&lt;1),RIGHT("00"&amp;HOUR(Sync!$K1519),2)&amp;RIGHT("00"&amp;MINUTE(Sync!$K1519),2),IFERROR(RIGHT("00"&amp;VALUE(LEFT(Sync!$K1519,FIND(":",Sync!$K1519)-1)),2)&amp;RIGHT("00"&amp;VALUE(MID(Sync!$K1519,FIND(":",Sync!$K1519)+1,2)),2),"0000")))&amp;"|"&amp;"2"&amp;RIGHT("00000"&amp;1514,5))</f>
        <v/>
      </c>
      <c r="Q1519">
        <f>IF(Sync!$J1519="","",IF(ISNUMBER(Sync!$J1519),IF(AND(Sync!$J1519&gt;=10000101,Sync!$J1519&lt;=99991231),INT(Sync!$J1519/10000)&amp;"/"&amp;RIGHT("00"&amp;INT(MOD(Sync!$J1519,10000)/100),2)&amp;"/"&amp;RIGHT("00"&amp;MOD(Sync!$J1519,100),2),"نامعتبر"),IF(LEN(Sync!$J1519)=10,Sync!$J1519,"نامعتبر")))</f>
        <v/>
      </c>
      <c r="R1519">
        <f>IF($P1519="","",COUNTIFS($N$6:$N$2005,$N1519,$P$6:$P$2005,"&lt;"&amp;$P1519)+COUNTIFS($A$6:$A$1005,$N1519,$B$6:$B$1005,"&lt;"&amp;$P1519)+1)</f>
        <v/>
      </c>
      <c r="S1519">
        <f>IF($N1519="","",$N1519&amp;"|"&amp;RIGHT("000000"&amp;$R1519,6))</f>
        <v/>
      </c>
      <c r="T1519">
        <f>IF($N1519="","",IF(Sync!$N1519="",0,Sync!$N1519))</f>
        <v/>
      </c>
      <c r="U1519">
        <f>IF($N1519="","",IF(Sync!$O1519="",0,Sync!$O1519))</f>
        <v/>
      </c>
      <c r="V1519">
        <f>IF($N1519="","",Sync!$L1519)</f>
        <v/>
      </c>
      <c r="W1519">
        <f>IF($N1519="","",Sync!$P1519)</f>
        <v/>
      </c>
    </row>
    <row r="1520">
      <c r="N1520">
        <f>IF(OR(Sync!$M1520="",$Q1520="",$Q1520="نامعتبر"),"",Sync!$M1520)</f>
        <v/>
      </c>
      <c r="O1520">
        <f>IF($N1520="","",$Q1520)</f>
        <v/>
      </c>
      <c r="P1520">
        <f>IF($N1520="","",LEFT($Q1520,4)&amp;MID($Q1520,6,2)&amp;RIGHT($Q1520,2)&amp;IF(Sync!$K1520="","0000",IF(AND(ISNUMBER(Sync!$K1520),Sync!$K1520&gt;=0,Sync!$K1520&lt;1),RIGHT("00"&amp;HOUR(Sync!$K1520),2)&amp;RIGHT("00"&amp;MINUTE(Sync!$K1520),2),IFERROR(RIGHT("00"&amp;VALUE(LEFT(Sync!$K1520,FIND(":",Sync!$K1520)-1)),2)&amp;RIGHT("00"&amp;VALUE(MID(Sync!$K1520,FIND(":",Sync!$K1520)+1,2)),2),"0000")))&amp;"|"&amp;"2"&amp;RIGHT("00000"&amp;1515,5))</f>
        <v/>
      </c>
      <c r="Q1520">
        <f>IF(Sync!$J1520="","",IF(ISNUMBER(Sync!$J1520),IF(AND(Sync!$J1520&gt;=10000101,Sync!$J1520&lt;=99991231),INT(Sync!$J1520/10000)&amp;"/"&amp;RIGHT("00"&amp;INT(MOD(Sync!$J1520,10000)/100),2)&amp;"/"&amp;RIGHT("00"&amp;MOD(Sync!$J1520,100),2),"نامعتبر"),IF(LEN(Sync!$J1520)=10,Sync!$J1520,"نامعتبر")))</f>
        <v/>
      </c>
      <c r="R1520">
        <f>IF($P1520="","",COUNTIFS($N$6:$N$2005,$N1520,$P$6:$P$2005,"&lt;"&amp;$P1520)+COUNTIFS($A$6:$A$1005,$N1520,$B$6:$B$1005,"&lt;"&amp;$P1520)+1)</f>
        <v/>
      </c>
      <c r="S1520">
        <f>IF($N1520="","",$N1520&amp;"|"&amp;RIGHT("000000"&amp;$R1520,6))</f>
        <v/>
      </c>
      <c r="T1520">
        <f>IF($N1520="","",IF(Sync!$N1520="",0,Sync!$N1520))</f>
        <v/>
      </c>
      <c r="U1520">
        <f>IF($N1520="","",IF(Sync!$O1520="",0,Sync!$O1520))</f>
        <v/>
      </c>
      <c r="V1520">
        <f>IF($N1520="","",Sync!$L1520)</f>
        <v/>
      </c>
      <c r="W1520">
        <f>IF($N1520="","",Sync!$P1520)</f>
        <v/>
      </c>
    </row>
    <row r="1521">
      <c r="N1521">
        <f>IF(OR(Sync!$M1521="",$Q1521="",$Q1521="نامعتبر"),"",Sync!$M1521)</f>
        <v/>
      </c>
      <c r="O1521">
        <f>IF($N1521="","",$Q1521)</f>
        <v/>
      </c>
      <c r="P1521">
        <f>IF($N1521="","",LEFT($Q1521,4)&amp;MID($Q1521,6,2)&amp;RIGHT($Q1521,2)&amp;IF(Sync!$K1521="","0000",IF(AND(ISNUMBER(Sync!$K1521),Sync!$K1521&gt;=0,Sync!$K1521&lt;1),RIGHT("00"&amp;HOUR(Sync!$K1521),2)&amp;RIGHT("00"&amp;MINUTE(Sync!$K1521),2),IFERROR(RIGHT("00"&amp;VALUE(LEFT(Sync!$K1521,FIND(":",Sync!$K1521)-1)),2)&amp;RIGHT("00"&amp;VALUE(MID(Sync!$K1521,FIND(":",Sync!$K1521)+1,2)),2),"0000")))&amp;"|"&amp;"2"&amp;RIGHT("00000"&amp;1516,5))</f>
        <v/>
      </c>
      <c r="Q1521">
        <f>IF(Sync!$J1521="","",IF(ISNUMBER(Sync!$J1521),IF(AND(Sync!$J1521&gt;=10000101,Sync!$J1521&lt;=99991231),INT(Sync!$J1521/10000)&amp;"/"&amp;RIGHT("00"&amp;INT(MOD(Sync!$J1521,10000)/100),2)&amp;"/"&amp;RIGHT("00"&amp;MOD(Sync!$J1521,100),2),"نامعتبر"),IF(LEN(Sync!$J1521)=10,Sync!$J1521,"نامعتبر")))</f>
        <v/>
      </c>
      <c r="R1521">
        <f>IF($P1521="","",COUNTIFS($N$6:$N$2005,$N1521,$P$6:$P$2005,"&lt;"&amp;$P1521)+COUNTIFS($A$6:$A$1005,$N1521,$B$6:$B$1005,"&lt;"&amp;$P1521)+1)</f>
        <v/>
      </c>
      <c r="S1521">
        <f>IF($N1521="","",$N1521&amp;"|"&amp;RIGHT("000000"&amp;$R1521,6))</f>
        <v/>
      </c>
      <c r="T1521">
        <f>IF($N1521="","",IF(Sync!$N1521="",0,Sync!$N1521))</f>
        <v/>
      </c>
      <c r="U1521">
        <f>IF($N1521="","",IF(Sync!$O1521="",0,Sync!$O1521))</f>
        <v/>
      </c>
      <c r="V1521">
        <f>IF($N1521="","",Sync!$L1521)</f>
        <v/>
      </c>
      <c r="W1521">
        <f>IF($N1521="","",Sync!$P1521)</f>
        <v/>
      </c>
    </row>
    <row r="1522">
      <c r="N1522">
        <f>IF(OR(Sync!$M1522="",$Q1522="",$Q1522="نامعتبر"),"",Sync!$M1522)</f>
        <v/>
      </c>
      <c r="O1522">
        <f>IF($N1522="","",$Q1522)</f>
        <v/>
      </c>
      <c r="P1522">
        <f>IF($N1522="","",LEFT($Q1522,4)&amp;MID($Q1522,6,2)&amp;RIGHT($Q1522,2)&amp;IF(Sync!$K1522="","0000",IF(AND(ISNUMBER(Sync!$K1522),Sync!$K1522&gt;=0,Sync!$K1522&lt;1),RIGHT("00"&amp;HOUR(Sync!$K1522),2)&amp;RIGHT("00"&amp;MINUTE(Sync!$K1522),2),IFERROR(RIGHT("00"&amp;VALUE(LEFT(Sync!$K1522,FIND(":",Sync!$K1522)-1)),2)&amp;RIGHT("00"&amp;VALUE(MID(Sync!$K1522,FIND(":",Sync!$K1522)+1,2)),2),"0000")))&amp;"|"&amp;"2"&amp;RIGHT("00000"&amp;1517,5))</f>
        <v/>
      </c>
      <c r="Q1522">
        <f>IF(Sync!$J1522="","",IF(ISNUMBER(Sync!$J1522),IF(AND(Sync!$J1522&gt;=10000101,Sync!$J1522&lt;=99991231),INT(Sync!$J1522/10000)&amp;"/"&amp;RIGHT("00"&amp;INT(MOD(Sync!$J1522,10000)/100),2)&amp;"/"&amp;RIGHT("00"&amp;MOD(Sync!$J1522,100),2),"نامعتبر"),IF(LEN(Sync!$J1522)=10,Sync!$J1522,"نامعتبر")))</f>
        <v/>
      </c>
      <c r="R1522">
        <f>IF($P1522="","",COUNTIFS($N$6:$N$2005,$N1522,$P$6:$P$2005,"&lt;"&amp;$P1522)+COUNTIFS($A$6:$A$1005,$N1522,$B$6:$B$1005,"&lt;"&amp;$P1522)+1)</f>
        <v/>
      </c>
      <c r="S1522">
        <f>IF($N1522="","",$N1522&amp;"|"&amp;RIGHT("000000"&amp;$R1522,6))</f>
        <v/>
      </c>
      <c r="T1522">
        <f>IF($N1522="","",IF(Sync!$N1522="",0,Sync!$N1522))</f>
        <v/>
      </c>
      <c r="U1522">
        <f>IF($N1522="","",IF(Sync!$O1522="",0,Sync!$O1522))</f>
        <v/>
      </c>
      <c r="V1522">
        <f>IF($N1522="","",Sync!$L1522)</f>
        <v/>
      </c>
      <c r="W1522">
        <f>IF($N1522="","",Sync!$P1522)</f>
        <v/>
      </c>
    </row>
    <row r="1523">
      <c r="N1523">
        <f>IF(OR(Sync!$M1523="",$Q1523="",$Q1523="نامعتبر"),"",Sync!$M1523)</f>
        <v/>
      </c>
      <c r="O1523">
        <f>IF($N1523="","",$Q1523)</f>
        <v/>
      </c>
      <c r="P1523">
        <f>IF($N1523="","",LEFT($Q1523,4)&amp;MID($Q1523,6,2)&amp;RIGHT($Q1523,2)&amp;IF(Sync!$K1523="","0000",IF(AND(ISNUMBER(Sync!$K1523),Sync!$K1523&gt;=0,Sync!$K1523&lt;1),RIGHT("00"&amp;HOUR(Sync!$K1523),2)&amp;RIGHT("00"&amp;MINUTE(Sync!$K1523),2),IFERROR(RIGHT("00"&amp;VALUE(LEFT(Sync!$K1523,FIND(":",Sync!$K1523)-1)),2)&amp;RIGHT("00"&amp;VALUE(MID(Sync!$K1523,FIND(":",Sync!$K1523)+1,2)),2),"0000")))&amp;"|"&amp;"2"&amp;RIGHT("00000"&amp;1518,5))</f>
        <v/>
      </c>
      <c r="Q1523">
        <f>IF(Sync!$J1523="","",IF(ISNUMBER(Sync!$J1523),IF(AND(Sync!$J1523&gt;=10000101,Sync!$J1523&lt;=99991231),INT(Sync!$J1523/10000)&amp;"/"&amp;RIGHT("00"&amp;INT(MOD(Sync!$J1523,10000)/100),2)&amp;"/"&amp;RIGHT("00"&amp;MOD(Sync!$J1523,100),2),"نامعتبر"),IF(LEN(Sync!$J1523)=10,Sync!$J1523,"نامعتبر")))</f>
        <v/>
      </c>
      <c r="R1523">
        <f>IF($P1523="","",COUNTIFS($N$6:$N$2005,$N1523,$P$6:$P$2005,"&lt;"&amp;$P1523)+COUNTIFS($A$6:$A$1005,$N1523,$B$6:$B$1005,"&lt;"&amp;$P1523)+1)</f>
        <v/>
      </c>
      <c r="S1523">
        <f>IF($N1523="","",$N1523&amp;"|"&amp;RIGHT("000000"&amp;$R1523,6))</f>
        <v/>
      </c>
      <c r="T1523">
        <f>IF($N1523="","",IF(Sync!$N1523="",0,Sync!$N1523))</f>
        <v/>
      </c>
      <c r="U1523">
        <f>IF($N1523="","",IF(Sync!$O1523="",0,Sync!$O1523))</f>
        <v/>
      </c>
      <c r="V1523">
        <f>IF($N1523="","",Sync!$L1523)</f>
        <v/>
      </c>
      <c r="W1523">
        <f>IF($N1523="","",Sync!$P1523)</f>
        <v/>
      </c>
    </row>
    <row r="1524">
      <c r="N1524">
        <f>IF(OR(Sync!$M1524="",$Q1524="",$Q1524="نامعتبر"),"",Sync!$M1524)</f>
        <v/>
      </c>
      <c r="O1524">
        <f>IF($N1524="","",$Q1524)</f>
        <v/>
      </c>
      <c r="P1524">
        <f>IF($N1524="","",LEFT($Q1524,4)&amp;MID($Q1524,6,2)&amp;RIGHT($Q1524,2)&amp;IF(Sync!$K1524="","0000",IF(AND(ISNUMBER(Sync!$K1524),Sync!$K1524&gt;=0,Sync!$K1524&lt;1),RIGHT("00"&amp;HOUR(Sync!$K1524),2)&amp;RIGHT("00"&amp;MINUTE(Sync!$K1524),2),IFERROR(RIGHT("00"&amp;VALUE(LEFT(Sync!$K1524,FIND(":",Sync!$K1524)-1)),2)&amp;RIGHT("00"&amp;VALUE(MID(Sync!$K1524,FIND(":",Sync!$K1524)+1,2)),2),"0000")))&amp;"|"&amp;"2"&amp;RIGHT("00000"&amp;1519,5))</f>
        <v/>
      </c>
      <c r="Q1524">
        <f>IF(Sync!$J1524="","",IF(ISNUMBER(Sync!$J1524),IF(AND(Sync!$J1524&gt;=10000101,Sync!$J1524&lt;=99991231),INT(Sync!$J1524/10000)&amp;"/"&amp;RIGHT("00"&amp;INT(MOD(Sync!$J1524,10000)/100),2)&amp;"/"&amp;RIGHT("00"&amp;MOD(Sync!$J1524,100),2),"نامعتبر"),IF(LEN(Sync!$J1524)=10,Sync!$J1524,"نامعتبر")))</f>
        <v/>
      </c>
      <c r="R1524">
        <f>IF($P1524="","",COUNTIFS($N$6:$N$2005,$N1524,$P$6:$P$2005,"&lt;"&amp;$P1524)+COUNTIFS($A$6:$A$1005,$N1524,$B$6:$B$1005,"&lt;"&amp;$P1524)+1)</f>
        <v/>
      </c>
      <c r="S1524">
        <f>IF($N1524="","",$N1524&amp;"|"&amp;RIGHT("000000"&amp;$R1524,6))</f>
        <v/>
      </c>
      <c r="T1524">
        <f>IF($N1524="","",IF(Sync!$N1524="",0,Sync!$N1524))</f>
        <v/>
      </c>
      <c r="U1524">
        <f>IF($N1524="","",IF(Sync!$O1524="",0,Sync!$O1524))</f>
        <v/>
      </c>
      <c r="V1524">
        <f>IF($N1524="","",Sync!$L1524)</f>
        <v/>
      </c>
      <c r="W1524">
        <f>IF($N1524="","",Sync!$P1524)</f>
        <v/>
      </c>
    </row>
    <row r="1525">
      <c r="N1525">
        <f>IF(OR(Sync!$M1525="",$Q1525="",$Q1525="نامعتبر"),"",Sync!$M1525)</f>
        <v/>
      </c>
      <c r="O1525">
        <f>IF($N1525="","",$Q1525)</f>
        <v/>
      </c>
      <c r="P1525">
        <f>IF($N1525="","",LEFT($Q1525,4)&amp;MID($Q1525,6,2)&amp;RIGHT($Q1525,2)&amp;IF(Sync!$K1525="","0000",IF(AND(ISNUMBER(Sync!$K1525),Sync!$K1525&gt;=0,Sync!$K1525&lt;1),RIGHT("00"&amp;HOUR(Sync!$K1525),2)&amp;RIGHT("00"&amp;MINUTE(Sync!$K1525),2),IFERROR(RIGHT("00"&amp;VALUE(LEFT(Sync!$K1525,FIND(":",Sync!$K1525)-1)),2)&amp;RIGHT("00"&amp;VALUE(MID(Sync!$K1525,FIND(":",Sync!$K1525)+1,2)),2),"0000")))&amp;"|"&amp;"2"&amp;RIGHT("00000"&amp;1520,5))</f>
        <v/>
      </c>
      <c r="Q1525">
        <f>IF(Sync!$J1525="","",IF(ISNUMBER(Sync!$J1525),IF(AND(Sync!$J1525&gt;=10000101,Sync!$J1525&lt;=99991231),INT(Sync!$J1525/10000)&amp;"/"&amp;RIGHT("00"&amp;INT(MOD(Sync!$J1525,10000)/100),2)&amp;"/"&amp;RIGHT("00"&amp;MOD(Sync!$J1525,100),2),"نامعتبر"),IF(LEN(Sync!$J1525)=10,Sync!$J1525,"نامعتبر")))</f>
        <v/>
      </c>
      <c r="R1525">
        <f>IF($P1525="","",COUNTIFS($N$6:$N$2005,$N1525,$P$6:$P$2005,"&lt;"&amp;$P1525)+COUNTIFS($A$6:$A$1005,$N1525,$B$6:$B$1005,"&lt;"&amp;$P1525)+1)</f>
        <v/>
      </c>
      <c r="S1525">
        <f>IF($N1525="","",$N1525&amp;"|"&amp;RIGHT("000000"&amp;$R1525,6))</f>
        <v/>
      </c>
      <c r="T1525">
        <f>IF($N1525="","",IF(Sync!$N1525="",0,Sync!$N1525))</f>
        <v/>
      </c>
      <c r="U1525">
        <f>IF($N1525="","",IF(Sync!$O1525="",0,Sync!$O1525))</f>
        <v/>
      </c>
      <c r="V1525">
        <f>IF($N1525="","",Sync!$L1525)</f>
        <v/>
      </c>
      <c r="W1525">
        <f>IF($N1525="","",Sync!$P1525)</f>
        <v/>
      </c>
    </row>
    <row r="1526">
      <c r="N1526">
        <f>IF(OR(Sync!$M1526="",$Q1526="",$Q1526="نامعتبر"),"",Sync!$M1526)</f>
        <v/>
      </c>
      <c r="O1526">
        <f>IF($N1526="","",$Q1526)</f>
        <v/>
      </c>
      <c r="P1526">
        <f>IF($N1526="","",LEFT($Q1526,4)&amp;MID($Q1526,6,2)&amp;RIGHT($Q1526,2)&amp;IF(Sync!$K1526="","0000",IF(AND(ISNUMBER(Sync!$K1526),Sync!$K1526&gt;=0,Sync!$K1526&lt;1),RIGHT("00"&amp;HOUR(Sync!$K1526),2)&amp;RIGHT("00"&amp;MINUTE(Sync!$K1526),2),IFERROR(RIGHT("00"&amp;VALUE(LEFT(Sync!$K1526,FIND(":",Sync!$K1526)-1)),2)&amp;RIGHT("00"&amp;VALUE(MID(Sync!$K1526,FIND(":",Sync!$K1526)+1,2)),2),"0000")))&amp;"|"&amp;"2"&amp;RIGHT("00000"&amp;1521,5))</f>
        <v/>
      </c>
      <c r="Q1526">
        <f>IF(Sync!$J1526="","",IF(ISNUMBER(Sync!$J1526),IF(AND(Sync!$J1526&gt;=10000101,Sync!$J1526&lt;=99991231),INT(Sync!$J1526/10000)&amp;"/"&amp;RIGHT("00"&amp;INT(MOD(Sync!$J1526,10000)/100),2)&amp;"/"&amp;RIGHT("00"&amp;MOD(Sync!$J1526,100),2),"نامعتبر"),IF(LEN(Sync!$J1526)=10,Sync!$J1526,"نامعتبر")))</f>
        <v/>
      </c>
      <c r="R1526">
        <f>IF($P1526="","",COUNTIFS($N$6:$N$2005,$N1526,$P$6:$P$2005,"&lt;"&amp;$P1526)+COUNTIFS($A$6:$A$1005,$N1526,$B$6:$B$1005,"&lt;"&amp;$P1526)+1)</f>
        <v/>
      </c>
      <c r="S1526">
        <f>IF($N1526="","",$N1526&amp;"|"&amp;RIGHT("000000"&amp;$R1526,6))</f>
        <v/>
      </c>
      <c r="T1526">
        <f>IF($N1526="","",IF(Sync!$N1526="",0,Sync!$N1526))</f>
        <v/>
      </c>
      <c r="U1526">
        <f>IF($N1526="","",IF(Sync!$O1526="",0,Sync!$O1526))</f>
        <v/>
      </c>
      <c r="V1526">
        <f>IF($N1526="","",Sync!$L1526)</f>
        <v/>
      </c>
      <c r="W1526">
        <f>IF($N1526="","",Sync!$P1526)</f>
        <v/>
      </c>
    </row>
    <row r="1527">
      <c r="N1527">
        <f>IF(OR(Sync!$M1527="",$Q1527="",$Q1527="نامعتبر"),"",Sync!$M1527)</f>
        <v/>
      </c>
      <c r="O1527">
        <f>IF($N1527="","",$Q1527)</f>
        <v/>
      </c>
      <c r="P1527">
        <f>IF($N1527="","",LEFT($Q1527,4)&amp;MID($Q1527,6,2)&amp;RIGHT($Q1527,2)&amp;IF(Sync!$K1527="","0000",IF(AND(ISNUMBER(Sync!$K1527),Sync!$K1527&gt;=0,Sync!$K1527&lt;1),RIGHT("00"&amp;HOUR(Sync!$K1527),2)&amp;RIGHT("00"&amp;MINUTE(Sync!$K1527),2),IFERROR(RIGHT("00"&amp;VALUE(LEFT(Sync!$K1527,FIND(":",Sync!$K1527)-1)),2)&amp;RIGHT("00"&amp;VALUE(MID(Sync!$K1527,FIND(":",Sync!$K1527)+1,2)),2),"0000")))&amp;"|"&amp;"2"&amp;RIGHT("00000"&amp;1522,5))</f>
        <v/>
      </c>
      <c r="Q1527">
        <f>IF(Sync!$J1527="","",IF(ISNUMBER(Sync!$J1527),IF(AND(Sync!$J1527&gt;=10000101,Sync!$J1527&lt;=99991231),INT(Sync!$J1527/10000)&amp;"/"&amp;RIGHT("00"&amp;INT(MOD(Sync!$J1527,10000)/100),2)&amp;"/"&amp;RIGHT("00"&amp;MOD(Sync!$J1527,100),2),"نامعتبر"),IF(LEN(Sync!$J1527)=10,Sync!$J1527,"نامعتبر")))</f>
        <v/>
      </c>
      <c r="R1527">
        <f>IF($P1527="","",COUNTIFS($N$6:$N$2005,$N1527,$P$6:$P$2005,"&lt;"&amp;$P1527)+COUNTIFS($A$6:$A$1005,$N1527,$B$6:$B$1005,"&lt;"&amp;$P1527)+1)</f>
        <v/>
      </c>
      <c r="S1527">
        <f>IF($N1527="","",$N1527&amp;"|"&amp;RIGHT("000000"&amp;$R1527,6))</f>
        <v/>
      </c>
      <c r="T1527">
        <f>IF($N1527="","",IF(Sync!$N1527="",0,Sync!$N1527))</f>
        <v/>
      </c>
      <c r="U1527">
        <f>IF($N1527="","",IF(Sync!$O1527="",0,Sync!$O1527))</f>
        <v/>
      </c>
      <c r="V1527">
        <f>IF($N1527="","",Sync!$L1527)</f>
        <v/>
      </c>
      <c r="W1527">
        <f>IF($N1527="","",Sync!$P1527)</f>
        <v/>
      </c>
    </row>
    <row r="1528">
      <c r="N1528">
        <f>IF(OR(Sync!$M1528="",$Q1528="",$Q1528="نامعتبر"),"",Sync!$M1528)</f>
        <v/>
      </c>
      <c r="O1528">
        <f>IF($N1528="","",$Q1528)</f>
        <v/>
      </c>
      <c r="P1528">
        <f>IF($N1528="","",LEFT($Q1528,4)&amp;MID($Q1528,6,2)&amp;RIGHT($Q1528,2)&amp;IF(Sync!$K1528="","0000",IF(AND(ISNUMBER(Sync!$K1528),Sync!$K1528&gt;=0,Sync!$K1528&lt;1),RIGHT("00"&amp;HOUR(Sync!$K1528),2)&amp;RIGHT("00"&amp;MINUTE(Sync!$K1528),2),IFERROR(RIGHT("00"&amp;VALUE(LEFT(Sync!$K1528,FIND(":",Sync!$K1528)-1)),2)&amp;RIGHT("00"&amp;VALUE(MID(Sync!$K1528,FIND(":",Sync!$K1528)+1,2)),2),"0000")))&amp;"|"&amp;"2"&amp;RIGHT("00000"&amp;1523,5))</f>
        <v/>
      </c>
      <c r="Q1528">
        <f>IF(Sync!$J1528="","",IF(ISNUMBER(Sync!$J1528),IF(AND(Sync!$J1528&gt;=10000101,Sync!$J1528&lt;=99991231),INT(Sync!$J1528/10000)&amp;"/"&amp;RIGHT("00"&amp;INT(MOD(Sync!$J1528,10000)/100),2)&amp;"/"&amp;RIGHT("00"&amp;MOD(Sync!$J1528,100),2),"نامعتبر"),IF(LEN(Sync!$J1528)=10,Sync!$J1528,"نامعتبر")))</f>
        <v/>
      </c>
      <c r="R1528">
        <f>IF($P1528="","",COUNTIFS($N$6:$N$2005,$N1528,$P$6:$P$2005,"&lt;"&amp;$P1528)+COUNTIFS($A$6:$A$1005,$N1528,$B$6:$B$1005,"&lt;"&amp;$P1528)+1)</f>
        <v/>
      </c>
      <c r="S1528">
        <f>IF($N1528="","",$N1528&amp;"|"&amp;RIGHT("000000"&amp;$R1528,6))</f>
        <v/>
      </c>
      <c r="T1528">
        <f>IF($N1528="","",IF(Sync!$N1528="",0,Sync!$N1528))</f>
        <v/>
      </c>
      <c r="U1528">
        <f>IF($N1528="","",IF(Sync!$O1528="",0,Sync!$O1528))</f>
        <v/>
      </c>
      <c r="V1528">
        <f>IF($N1528="","",Sync!$L1528)</f>
        <v/>
      </c>
      <c r="W1528">
        <f>IF($N1528="","",Sync!$P1528)</f>
        <v/>
      </c>
    </row>
    <row r="1529">
      <c r="N1529">
        <f>IF(OR(Sync!$M1529="",$Q1529="",$Q1529="نامعتبر"),"",Sync!$M1529)</f>
        <v/>
      </c>
      <c r="O1529">
        <f>IF($N1529="","",$Q1529)</f>
        <v/>
      </c>
      <c r="P1529">
        <f>IF($N1529="","",LEFT($Q1529,4)&amp;MID($Q1529,6,2)&amp;RIGHT($Q1529,2)&amp;IF(Sync!$K1529="","0000",IF(AND(ISNUMBER(Sync!$K1529),Sync!$K1529&gt;=0,Sync!$K1529&lt;1),RIGHT("00"&amp;HOUR(Sync!$K1529),2)&amp;RIGHT("00"&amp;MINUTE(Sync!$K1529),2),IFERROR(RIGHT("00"&amp;VALUE(LEFT(Sync!$K1529,FIND(":",Sync!$K1529)-1)),2)&amp;RIGHT("00"&amp;VALUE(MID(Sync!$K1529,FIND(":",Sync!$K1529)+1,2)),2),"0000")))&amp;"|"&amp;"2"&amp;RIGHT("00000"&amp;1524,5))</f>
        <v/>
      </c>
      <c r="Q1529">
        <f>IF(Sync!$J1529="","",IF(ISNUMBER(Sync!$J1529),IF(AND(Sync!$J1529&gt;=10000101,Sync!$J1529&lt;=99991231),INT(Sync!$J1529/10000)&amp;"/"&amp;RIGHT("00"&amp;INT(MOD(Sync!$J1529,10000)/100),2)&amp;"/"&amp;RIGHT("00"&amp;MOD(Sync!$J1529,100),2),"نامعتبر"),IF(LEN(Sync!$J1529)=10,Sync!$J1529,"نامعتبر")))</f>
        <v/>
      </c>
      <c r="R1529">
        <f>IF($P1529="","",COUNTIFS($N$6:$N$2005,$N1529,$P$6:$P$2005,"&lt;"&amp;$P1529)+COUNTIFS($A$6:$A$1005,$N1529,$B$6:$B$1005,"&lt;"&amp;$P1529)+1)</f>
        <v/>
      </c>
      <c r="S1529">
        <f>IF($N1529="","",$N1529&amp;"|"&amp;RIGHT("000000"&amp;$R1529,6))</f>
        <v/>
      </c>
      <c r="T1529">
        <f>IF($N1529="","",IF(Sync!$N1529="",0,Sync!$N1529))</f>
        <v/>
      </c>
      <c r="U1529">
        <f>IF($N1529="","",IF(Sync!$O1529="",0,Sync!$O1529))</f>
        <v/>
      </c>
      <c r="V1529">
        <f>IF($N1529="","",Sync!$L1529)</f>
        <v/>
      </c>
      <c r="W1529">
        <f>IF($N1529="","",Sync!$P1529)</f>
        <v/>
      </c>
    </row>
    <row r="1530">
      <c r="N1530">
        <f>IF(OR(Sync!$M1530="",$Q1530="",$Q1530="نامعتبر"),"",Sync!$M1530)</f>
        <v/>
      </c>
      <c r="O1530">
        <f>IF($N1530="","",$Q1530)</f>
        <v/>
      </c>
      <c r="P1530">
        <f>IF($N1530="","",LEFT($Q1530,4)&amp;MID($Q1530,6,2)&amp;RIGHT($Q1530,2)&amp;IF(Sync!$K1530="","0000",IF(AND(ISNUMBER(Sync!$K1530),Sync!$K1530&gt;=0,Sync!$K1530&lt;1),RIGHT("00"&amp;HOUR(Sync!$K1530),2)&amp;RIGHT("00"&amp;MINUTE(Sync!$K1530),2),IFERROR(RIGHT("00"&amp;VALUE(LEFT(Sync!$K1530,FIND(":",Sync!$K1530)-1)),2)&amp;RIGHT("00"&amp;VALUE(MID(Sync!$K1530,FIND(":",Sync!$K1530)+1,2)),2),"0000")))&amp;"|"&amp;"2"&amp;RIGHT("00000"&amp;1525,5))</f>
        <v/>
      </c>
      <c r="Q1530">
        <f>IF(Sync!$J1530="","",IF(ISNUMBER(Sync!$J1530),IF(AND(Sync!$J1530&gt;=10000101,Sync!$J1530&lt;=99991231),INT(Sync!$J1530/10000)&amp;"/"&amp;RIGHT("00"&amp;INT(MOD(Sync!$J1530,10000)/100),2)&amp;"/"&amp;RIGHT("00"&amp;MOD(Sync!$J1530,100),2),"نامعتبر"),IF(LEN(Sync!$J1530)=10,Sync!$J1530,"نامعتبر")))</f>
        <v/>
      </c>
      <c r="R1530">
        <f>IF($P1530="","",COUNTIFS($N$6:$N$2005,$N1530,$P$6:$P$2005,"&lt;"&amp;$P1530)+COUNTIFS($A$6:$A$1005,$N1530,$B$6:$B$1005,"&lt;"&amp;$P1530)+1)</f>
        <v/>
      </c>
      <c r="S1530">
        <f>IF($N1530="","",$N1530&amp;"|"&amp;RIGHT("000000"&amp;$R1530,6))</f>
        <v/>
      </c>
      <c r="T1530">
        <f>IF($N1530="","",IF(Sync!$N1530="",0,Sync!$N1530))</f>
        <v/>
      </c>
      <c r="U1530">
        <f>IF($N1530="","",IF(Sync!$O1530="",0,Sync!$O1530))</f>
        <v/>
      </c>
      <c r="V1530">
        <f>IF($N1530="","",Sync!$L1530)</f>
        <v/>
      </c>
      <c r="W1530">
        <f>IF($N1530="","",Sync!$P1530)</f>
        <v/>
      </c>
    </row>
    <row r="1531">
      <c r="N1531">
        <f>IF(OR(Sync!$M1531="",$Q1531="",$Q1531="نامعتبر"),"",Sync!$M1531)</f>
        <v/>
      </c>
      <c r="O1531">
        <f>IF($N1531="","",$Q1531)</f>
        <v/>
      </c>
      <c r="P1531">
        <f>IF($N1531="","",LEFT($Q1531,4)&amp;MID($Q1531,6,2)&amp;RIGHT($Q1531,2)&amp;IF(Sync!$K1531="","0000",IF(AND(ISNUMBER(Sync!$K1531),Sync!$K1531&gt;=0,Sync!$K1531&lt;1),RIGHT("00"&amp;HOUR(Sync!$K1531),2)&amp;RIGHT("00"&amp;MINUTE(Sync!$K1531),2),IFERROR(RIGHT("00"&amp;VALUE(LEFT(Sync!$K1531,FIND(":",Sync!$K1531)-1)),2)&amp;RIGHT("00"&amp;VALUE(MID(Sync!$K1531,FIND(":",Sync!$K1531)+1,2)),2),"0000")))&amp;"|"&amp;"2"&amp;RIGHT("00000"&amp;1526,5))</f>
        <v/>
      </c>
      <c r="Q1531">
        <f>IF(Sync!$J1531="","",IF(ISNUMBER(Sync!$J1531),IF(AND(Sync!$J1531&gt;=10000101,Sync!$J1531&lt;=99991231),INT(Sync!$J1531/10000)&amp;"/"&amp;RIGHT("00"&amp;INT(MOD(Sync!$J1531,10000)/100),2)&amp;"/"&amp;RIGHT("00"&amp;MOD(Sync!$J1531,100),2),"نامعتبر"),IF(LEN(Sync!$J1531)=10,Sync!$J1531,"نامعتبر")))</f>
        <v/>
      </c>
      <c r="R1531">
        <f>IF($P1531="","",COUNTIFS($N$6:$N$2005,$N1531,$P$6:$P$2005,"&lt;"&amp;$P1531)+COUNTIFS($A$6:$A$1005,$N1531,$B$6:$B$1005,"&lt;"&amp;$P1531)+1)</f>
        <v/>
      </c>
      <c r="S1531">
        <f>IF($N1531="","",$N1531&amp;"|"&amp;RIGHT("000000"&amp;$R1531,6))</f>
        <v/>
      </c>
      <c r="T1531">
        <f>IF($N1531="","",IF(Sync!$N1531="",0,Sync!$N1531))</f>
        <v/>
      </c>
      <c r="U1531">
        <f>IF($N1531="","",IF(Sync!$O1531="",0,Sync!$O1531))</f>
        <v/>
      </c>
      <c r="V1531">
        <f>IF($N1531="","",Sync!$L1531)</f>
        <v/>
      </c>
      <c r="W1531">
        <f>IF($N1531="","",Sync!$P1531)</f>
        <v/>
      </c>
    </row>
    <row r="1532">
      <c r="N1532">
        <f>IF(OR(Sync!$M1532="",$Q1532="",$Q1532="نامعتبر"),"",Sync!$M1532)</f>
        <v/>
      </c>
      <c r="O1532">
        <f>IF($N1532="","",$Q1532)</f>
        <v/>
      </c>
      <c r="P1532">
        <f>IF($N1532="","",LEFT($Q1532,4)&amp;MID($Q1532,6,2)&amp;RIGHT($Q1532,2)&amp;IF(Sync!$K1532="","0000",IF(AND(ISNUMBER(Sync!$K1532),Sync!$K1532&gt;=0,Sync!$K1532&lt;1),RIGHT("00"&amp;HOUR(Sync!$K1532),2)&amp;RIGHT("00"&amp;MINUTE(Sync!$K1532),2),IFERROR(RIGHT("00"&amp;VALUE(LEFT(Sync!$K1532,FIND(":",Sync!$K1532)-1)),2)&amp;RIGHT("00"&amp;VALUE(MID(Sync!$K1532,FIND(":",Sync!$K1532)+1,2)),2),"0000")))&amp;"|"&amp;"2"&amp;RIGHT("00000"&amp;1527,5))</f>
        <v/>
      </c>
      <c r="Q1532">
        <f>IF(Sync!$J1532="","",IF(ISNUMBER(Sync!$J1532),IF(AND(Sync!$J1532&gt;=10000101,Sync!$J1532&lt;=99991231),INT(Sync!$J1532/10000)&amp;"/"&amp;RIGHT("00"&amp;INT(MOD(Sync!$J1532,10000)/100),2)&amp;"/"&amp;RIGHT("00"&amp;MOD(Sync!$J1532,100),2),"نامعتبر"),IF(LEN(Sync!$J1532)=10,Sync!$J1532,"نامعتبر")))</f>
        <v/>
      </c>
      <c r="R1532">
        <f>IF($P1532="","",COUNTIFS($N$6:$N$2005,$N1532,$P$6:$P$2005,"&lt;"&amp;$P1532)+COUNTIFS($A$6:$A$1005,$N1532,$B$6:$B$1005,"&lt;"&amp;$P1532)+1)</f>
        <v/>
      </c>
      <c r="S1532">
        <f>IF($N1532="","",$N1532&amp;"|"&amp;RIGHT("000000"&amp;$R1532,6))</f>
        <v/>
      </c>
      <c r="T1532">
        <f>IF($N1532="","",IF(Sync!$N1532="",0,Sync!$N1532))</f>
        <v/>
      </c>
      <c r="U1532">
        <f>IF($N1532="","",IF(Sync!$O1532="",0,Sync!$O1532))</f>
        <v/>
      </c>
      <c r="V1532">
        <f>IF($N1532="","",Sync!$L1532)</f>
        <v/>
      </c>
      <c r="W1532">
        <f>IF($N1532="","",Sync!$P1532)</f>
        <v/>
      </c>
    </row>
    <row r="1533">
      <c r="N1533">
        <f>IF(OR(Sync!$M1533="",$Q1533="",$Q1533="نامعتبر"),"",Sync!$M1533)</f>
        <v/>
      </c>
      <c r="O1533">
        <f>IF($N1533="","",$Q1533)</f>
        <v/>
      </c>
      <c r="P1533">
        <f>IF($N1533="","",LEFT($Q1533,4)&amp;MID($Q1533,6,2)&amp;RIGHT($Q1533,2)&amp;IF(Sync!$K1533="","0000",IF(AND(ISNUMBER(Sync!$K1533),Sync!$K1533&gt;=0,Sync!$K1533&lt;1),RIGHT("00"&amp;HOUR(Sync!$K1533),2)&amp;RIGHT("00"&amp;MINUTE(Sync!$K1533),2),IFERROR(RIGHT("00"&amp;VALUE(LEFT(Sync!$K1533,FIND(":",Sync!$K1533)-1)),2)&amp;RIGHT("00"&amp;VALUE(MID(Sync!$K1533,FIND(":",Sync!$K1533)+1,2)),2),"0000")))&amp;"|"&amp;"2"&amp;RIGHT("00000"&amp;1528,5))</f>
        <v/>
      </c>
      <c r="Q1533">
        <f>IF(Sync!$J1533="","",IF(ISNUMBER(Sync!$J1533),IF(AND(Sync!$J1533&gt;=10000101,Sync!$J1533&lt;=99991231),INT(Sync!$J1533/10000)&amp;"/"&amp;RIGHT("00"&amp;INT(MOD(Sync!$J1533,10000)/100),2)&amp;"/"&amp;RIGHT("00"&amp;MOD(Sync!$J1533,100),2),"نامعتبر"),IF(LEN(Sync!$J1533)=10,Sync!$J1533,"نامعتبر")))</f>
        <v/>
      </c>
      <c r="R1533">
        <f>IF($P1533="","",COUNTIFS($N$6:$N$2005,$N1533,$P$6:$P$2005,"&lt;"&amp;$P1533)+COUNTIFS($A$6:$A$1005,$N1533,$B$6:$B$1005,"&lt;"&amp;$P1533)+1)</f>
        <v/>
      </c>
      <c r="S1533">
        <f>IF($N1533="","",$N1533&amp;"|"&amp;RIGHT("000000"&amp;$R1533,6))</f>
        <v/>
      </c>
      <c r="T1533">
        <f>IF($N1533="","",IF(Sync!$N1533="",0,Sync!$N1533))</f>
        <v/>
      </c>
      <c r="U1533">
        <f>IF($N1533="","",IF(Sync!$O1533="",0,Sync!$O1533))</f>
        <v/>
      </c>
      <c r="V1533">
        <f>IF($N1533="","",Sync!$L1533)</f>
        <v/>
      </c>
      <c r="W1533">
        <f>IF($N1533="","",Sync!$P1533)</f>
        <v/>
      </c>
    </row>
    <row r="1534">
      <c r="N1534">
        <f>IF(OR(Sync!$M1534="",$Q1534="",$Q1534="نامعتبر"),"",Sync!$M1534)</f>
        <v/>
      </c>
      <c r="O1534">
        <f>IF($N1534="","",$Q1534)</f>
        <v/>
      </c>
      <c r="P1534">
        <f>IF($N1534="","",LEFT($Q1534,4)&amp;MID($Q1534,6,2)&amp;RIGHT($Q1534,2)&amp;IF(Sync!$K1534="","0000",IF(AND(ISNUMBER(Sync!$K1534),Sync!$K1534&gt;=0,Sync!$K1534&lt;1),RIGHT("00"&amp;HOUR(Sync!$K1534),2)&amp;RIGHT("00"&amp;MINUTE(Sync!$K1534),2),IFERROR(RIGHT("00"&amp;VALUE(LEFT(Sync!$K1534,FIND(":",Sync!$K1534)-1)),2)&amp;RIGHT("00"&amp;VALUE(MID(Sync!$K1534,FIND(":",Sync!$K1534)+1,2)),2),"0000")))&amp;"|"&amp;"2"&amp;RIGHT("00000"&amp;1529,5))</f>
        <v/>
      </c>
      <c r="Q1534">
        <f>IF(Sync!$J1534="","",IF(ISNUMBER(Sync!$J1534),IF(AND(Sync!$J1534&gt;=10000101,Sync!$J1534&lt;=99991231),INT(Sync!$J1534/10000)&amp;"/"&amp;RIGHT("00"&amp;INT(MOD(Sync!$J1534,10000)/100),2)&amp;"/"&amp;RIGHT("00"&amp;MOD(Sync!$J1534,100),2),"نامعتبر"),IF(LEN(Sync!$J1534)=10,Sync!$J1534,"نامعتبر")))</f>
        <v/>
      </c>
      <c r="R1534">
        <f>IF($P1534="","",COUNTIFS($N$6:$N$2005,$N1534,$P$6:$P$2005,"&lt;"&amp;$P1534)+COUNTIFS($A$6:$A$1005,$N1534,$B$6:$B$1005,"&lt;"&amp;$P1534)+1)</f>
        <v/>
      </c>
      <c r="S1534">
        <f>IF($N1534="","",$N1534&amp;"|"&amp;RIGHT("000000"&amp;$R1534,6))</f>
        <v/>
      </c>
      <c r="T1534">
        <f>IF($N1534="","",IF(Sync!$N1534="",0,Sync!$N1534))</f>
        <v/>
      </c>
      <c r="U1534">
        <f>IF($N1534="","",IF(Sync!$O1534="",0,Sync!$O1534))</f>
        <v/>
      </c>
      <c r="V1534">
        <f>IF($N1534="","",Sync!$L1534)</f>
        <v/>
      </c>
      <c r="W1534">
        <f>IF($N1534="","",Sync!$P1534)</f>
        <v/>
      </c>
    </row>
    <row r="1535">
      <c r="N1535">
        <f>IF(OR(Sync!$M1535="",$Q1535="",$Q1535="نامعتبر"),"",Sync!$M1535)</f>
        <v/>
      </c>
      <c r="O1535">
        <f>IF($N1535="","",$Q1535)</f>
        <v/>
      </c>
      <c r="P1535">
        <f>IF($N1535="","",LEFT($Q1535,4)&amp;MID($Q1535,6,2)&amp;RIGHT($Q1535,2)&amp;IF(Sync!$K1535="","0000",IF(AND(ISNUMBER(Sync!$K1535),Sync!$K1535&gt;=0,Sync!$K1535&lt;1),RIGHT("00"&amp;HOUR(Sync!$K1535),2)&amp;RIGHT("00"&amp;MINUTE(Sync!$K1535),2),IFERROR(RIGHT("00"&amp;VALUE(LEFT(Sync!$K1535,FIND(":",Sync!$K1535)-1)),2)&amp;RIGHT("00"&amp;VALUE(MID(Sync!$K1535,FIND(":",Sync!$K1535)+1,2)),2),"0000")))&amp;"|"&amp;"2"&amp;RIGHT("00000"&amp;1530,5))</f>
        <v/>
      </c>
      <c r="Q1535">
        <f>IF(Sync!$J1535="","",IF(ISNUMBER(Sync!$J1535),IF(AND(Sync!$J1535&gt;=10000101,Sync!$J1535&lt;=99991231),INT(Sync!$J1535/10000)&amp;"/"&amp;RIGHT("00"&amp;INT(MOD(Sync!$J1535,10000)/100),2)&amp;"/"&amp;RIGHT("00"&amp;MOD(Sync!$J1535,100),2),"نامعتبر"),IF(LEN(Sync!$J1535)=10,Sync!$J1535,"نامعتبر")))</f>
        <v/>
      </c>
      <c r="R1535">
        <f>IF($P1535="","",COUNTIFS($N$6:$N$2005,$N1535,$P$6:$P$2005,"&lt;"&amp;$P1535)+COUNTIFS($A$6:$A$1005,$N1535,$B$6:$B$1005,"&lt;"&amp;$P1535)+1)</f>
        <v/>
      </c>
      <c r="S1535">
        <f>IF($N1535="","",$N1535&amp;"|"&amp;RIGHT("000000"&amp;$R1535,6))</f>
        <v/>
      </c>
      <c r="T1535">
        <f>IF($N1535="","",IF(Sync!$N1535="",0,Sync!$N1535))</f>
        <v/>
      </c>
      <c r="U1535">
        <f>IF($N1535="","",IF(Sync!$O1535="",0,Sync!$O1535))</f>
        <v/>
      </c>
      <c r="V1535">
        <f>IF($N1535="","",Sync!$L1535)</f>
        <v/>
      </c>
      <c r="W1535">
        <f>IF($N1535="","",Sync!$P1535)</f>
        <v/>
      </c>
    </row>
    <row r="1536">
      <c r="N1536">
        <f>IF(OR(Sync!$M1536="",$Q1536="",$Q1536="نامعتبر"),"",Sync!$M1536)</f>
        <v/>
      </c>
      <c r="O1536">
        <f>IF($N1536="","",$Q1536)</f>
        <v/>
      </c>
      <c r="P1536">
        <f>IF($N1536="","",LEFT($Q1536,4)&amp;MID($Q1536,6,2)&amp;RIGHT($Q1536,2)&amp;IF(Sync!$K1536="","0000",IF(AND(ISNUMBER(Sync!$K1536),Sync!$K1536&gt;=0,Sync!$K1536&lt;1),RIGHT("00"&amp;HOUR(Sync!$K1536),2)&amp;RIGHT("00"&amp;MINUTE(Sync!$K1536),2),IFERROR(RIGHT("00"&amp;VALUE(LEFT(Sync!$K1536,FIND(":",Sync!$K1536)-1)),2)&amp;RIGHT("00"&amp;VALUE(MID(Sync!$K1536,FIND(":",Sync!$K1536)+1,2)),2),"0000")))&amp;"|"&amp;"2"&amp;RIGHT("00000"&amp;1531,5))</f>
        <v/>
      </c>
      <c r="Q1536">
        <f>IF(Sync!$J1536="","",IF(ISNUMBER(Sync!$J1536),IF(AND(Sync!$J1536&gt;=10000101,Sync!$J1536&lt;=99991231),INT(Sync!$J1536/10000)&amp;"/"&amp;RIGHT("00"&amp;INT(MOD(Sync!$J1536,10000)/100),2)&amp;"/"&amp;RIGHT("00"&amp;MOD(Sync!$J1536,100),2),"نامعتبر"),IF(LEN(Sync!$J1536)=10,Sync!$J1536,"نامعتبر")))</f>
        <v/>
      </c>
      <c r="R1536">
        <f>IF($P1536="","",COUNTIFS($N$6:$N$2005,$N1536,$P$6:$P$2005,"&lt;"&amp;$P1536)+COUNTIFS($A$6:$A$1005,$N1536,$B$6:$B$1005,"&lt;"&amp;$P1536)+1)</f>
        <v/>
      </c>
      <c r="S1536">
        <f>IF($N1536="","",$N1536&amp;"|"&amp;RIGHT("000000"&amp;$R1536,6))</f>
        <v/>
      </c>
      <c r="T1536">
        <f>IF($N1536="","",IF(Sync!$N1536="",0,Sync!$N1536))</f>
        <v/>
      </c>
      <c r="U1536">
        <f>IF($N1536="","",IF(Sync!$O1536="",0,Sync!$O1536))</f>
        <v/>
      </c>
      <c r="V1536">
        <f>IF($N1536="","",Sync!$L1536)</f>
        <v/>
      </c>
      <c r="W1536">
        <f>IF($N1536="","",Sync!$P1536)</f>
        <v/>
      </c>
    </row>
    <row r="1537">
      <c r="N1537">
        <f>IF(OR(Sync!$M1537="",$Q1537="",$Q1537="نامعتبر"),"",Sync!$M1537)</f>
        <v/>
      </c>
      <c r="O1537">
        <f>IF($N1537="","",$Q1537)</f>
        <v/>
      </c>
      <c r="P1537">
        <f>IF($N1537="","",LEFT($Q1537,4)&amp;MID($Q1537,6,2)&amp;RIGHT($Q1537,2)&amp;IF(Sync!$K1537="","0000",IF(AND(ISNUMBER(Sync!$K1537),Sync!$K1537&gt;=0,Sync!$K1537&lt;1),RIGHT("00"&amp;HOUR(Sync!$K1537),2)&amp;RIGHT("00"&amp;MINUTE(Sync!$K1537),2),IFERROR(RIGHT("00"&amp;VALUE(LEFT(Sync!$K1537,FIND(":",Sync!$K1537)-1)),2)&amp;RIGHT("00"&amp;VALUE(MID(Sync!$K1537,FIND(":",Sync!$K1537)+1,2)),2),"0000")))&amp;"|"&amp;"2"&amp;RIGHT("00000"&amp;1532,5))</f>
        <v/>
      </c>
      <c r="Q1537">
        <f>IF(Sync!$J1537="","",IF(ISNUMBER(Sync!$J1537),IF(AND(Sync!$J1537&gt;=10000101,Sync!$J1537&lt;=99991231),INT(Sync!$J1537/10000)&amp;"/"&amp;RIGHT("00"&amp;INT(MOD(Sync!$J1537,10000)/100),2)&amp;"/"&amp;RIGHT("00"&amp;MOD(Sync!$J1537,100),2),"نامعتبر"),IF(LEN(Sync!$J1537)=10,Sync!$J1537,"نامعتبر")))</f>
        <v/>
      </c>
      <c r="R1537">
        <f>IF($P1537="","",COUNTIFS($N$6:$N$2005,$N1537,$P$6:$P$2005,"&lt;"&amp;$P1537)+COUNTIFS($A$6:$A$1005,$N1537,$B$6:$B$1005,"&lt;"&amp;$P1537)+1)</f>
        <v/>
      </c>
      <c r="S1537">
        <f>IF($N1537="","",$N1537&amp;"|"&amp;RIGHT("000000"&amp;$R1537,6))</f>
        <v/>
      </c>
      <c r="T1537">
        <f>IF($N1537="","",IF(Sync!$N1537="",0,Sync!$N1537))</f>
        <v/>
      </c>
      <c r="U1537">
        <f>IF($N1537="","",IF(Sync!$O1537="",0,Sync!$O1537))</f>
        <v/>
      </c>
      <c r="V1537">
        <f>IF($N1537="","",Sync!$L1537)</f>
        <v/>
      </c>
      <c r="W1537">
        <f>IF($N1537="","",Sync!$P1537)</f>
        <v/>
      </c>
    </row>
    <row r="1538">
      <c r="N1538">
        <f>IF(OR(Sync!$M1538="",$Q1538="",$Q1538="نامعتبر"),"",Sync!$M1538)</f>
        <v/>
      </c>
      <c r="O1538">
        <f>IF($N1538="","",$Q1538)</f>
        <v/>
      </c>
      <c r="P1538">
        <f>IF($N1538="","",LEFT($Q1538,4)&amp;MID($Q1538,6,2)&amp;RIGHT($Q1538,2)&amp;IF(Sync!$K1538="","0000",IF(AND(ISNUMBER(Sync!$K1538),Sync!$K1538&gt;=0,Sync!$K1538&lt;1),RIGHT("00"&amp;HOUR(Sync!$K1538),2)&amp;RIGHT("00"&amp;MINUTE(Sync!$K1538),2),IFERROR(RIGHT("00"&amp;VALUE(LEFT(Sync!$K1538,FIND(":",Sync!$K1538)-1)),2)&amp;RIGHT("00"&amp;VALUE(MID(Sync!$K1538,FIND(":",Sync!$K1538)+1,2)),2),"0000")))&amp;"|"&amp;"2"&amp;RIGHT("00000"&amp;1533,5))</f>
        <v/>
      </c>
      <c r="Q1538">
        <f>IF(Sync!$J1538="","",IF(ISNUMBER(Sync!$J1538),IF(AND(Sync!$J1538&gt;=10000101,Sync!$J1538&lt;=99991231),INT(Sync!$J1538/10000)&amp;"/"&amp;RIGHT("00"&amp;INT(MOD(Sync!$J1538,10000)/100),2)&amp;"/"&amp;RIGHT("00"&amp;MOD(Sync!$J1538,100),2),"نامعتبر"),IF(LEN(Sync!$J1538)=10,Sync!$J1538,"نامعتبر")))</f>
        <v/>
      </c>
      <c r="R1538">
        <f>IF($P1538="","",COUNTIFS($N$6:$N$2005,$N1538,$P$6:$P$2005,"&lt;"&amp;$P1538)+COUNTIFS($A$6:$A$1005,$N1538,$B$6:$B$1005,"&lt;"&amp;$P1538)+1)</f>
        <v/>
      </c>
      <c r="S1538">
        <f>IF($N1538="","",$N1538&amp;"|"&amp;RIGHT("000000"&amp;$R1538,6))</f>
        <v/>
      </c>
      <c r="T1538">
        <f>IF($N1538="","",IF(Sync!$N1538="",0,Sync!$N1538))</f>
        <v/>
      </c>
      <c r="U1538">
        <f>IF($N1538="","",IF(Sync!$O1538="",0,Sync!$O1538))</f>
        <v/>
      </c>
      <c r="V1538">
        <f>IF($N1538="","",Sync!$L1538)</f>
        <v/>
      </c>
      <c r="W1538">
        <f>IF($N1538="","",Sync!$P1538)</f>
        <v/>
      </c>
    </row>
    <row r="1539">
      <c r="N1539">
        <f>IF(OR(Sync!$M1539="",$Q1539="",$Q1539="نامعتبر"),"",Sync!$M1539)</f>
        <v/>
      </c>
      <c r="O1539">
        <f>IF($N1539="","",$Q1539)</f>
        <v/>
      </c>
      <c r="P1539">
        <f>IF($N1539="","",LEFT($Q1539,4)&amp;MID($Q1539,6,2)&amp;RIGHT($Q1539,2)&amp;IF(Sync!$K1539="","0000",IF(AND(ISNUMBER(Sync!$K1539),Sync!$K1539&gt;=0,Sync!$K1539&lt;1),RIGHT("00"&amp;HOUR(Sync!$K1539),2)&amp;RIGHT("00"&amp;MINUTE(Sync!$K1539),2),IFERROR(RIGHT("00"&amp;VALUE(LEFT(Sync!$K1539,FIND(":",Sync!$K1539)-1)),2)&amp;RIGHT("00"&amp;VALUE(MID(Sync!$K1539,FIND(":",Sync!$K1539)+1,2)),2),"0000")))&amp;"|"&amp;"2"&amp;RIGHT("00000"&amp;1534,5))</f>
        <v/>
      </c>
      <c r="Q1539">
        <f>IF(Sync!$J1539="","",IF(ISNUMBER(Sync!$J1539),IF(AND(Sync!$J1539&gt;=10000101,Sync!$J1539&lt;=99991231),INT(Sync!$J1539/10000)&amp;"/"&amp;RIGHT("00"&amp;INT(MOD(Sync!$J1539,10000)/100),2)&amp;"/"&amp;RIGHT("00"&amp;MOD(Sync!$J1539,100),2),"نامعتبر"),IF(LEN(Sync!$J1539)=10,Sync!$J1539,"نامعتبر")))</f>
        <v/>
      </c>
      <c r="R1539">
        <f>IF($P1539="","",COUNTIFS($N$6:$N$2005,$N1539,$P$6:$P$2005,"&lt;"&amp;$P1539)+COUNTIFS($A$6:$A$1005,$N1539,$B$6:$B$1005,"&lt;"&amp;$P1539)+1)</f>
        <v/>
      </c>
      <c r="S1539">
        <f>IF($N1539="","",$N1539&amp;"|"&amp;RIGHT("000000"&amp;$R1539,6))</f>
        <v/>
      </c>
      <c r="T1539">
        <f>IF($N1539="","",IF(Sync!$N1539="",0,Sync!$N1539))</f>
        <v/>
      </c>
      <c r="U1539">
        <f>IF($N1539="","",IF(Sync!$O1539="",0,Sync!$O1539))</f>
        <v/>
      </c>
      <c r="V1539">
        <f>IF($N1539="","",Sync!$L1539)</f>
        <v/>
      </c>
      <c r="W1539">
        <f>IF($N1539="","",Sync!$P1539)</f>
        <v/>
      </c>
    </row>
    <row r="1540">
      <c r="N1540">
        <f>IF(OR(Sync!$M1540="",$Q1540="",$Q1540="نامعتبر"),"",Sync!$M1540)</f>
        <v/>
      </c>
      <c r="O1540">
        <f>IF($N1540="","",$Q1540)</f>
        <v/>
      </c>
      <c r="P1540">
        <f>IF($N1540="","",LEFT($Q1540,4)&amp;MID($Q1540,6,2)&amp;RIGHT($Q1540,2)&amp;IF(Sync!$K1540="","0000",IF(AND(ISNUMBER(Sync!$K1540),Sync!$K1540&gt;=0,Sync!$K1540&lt;1),RIGHT("00"&amp;HOUR(Sync!$K1540),2)&amp;RIGHT("00"&amp;MINUTE(Sync!$K1540),2),IFERROR(RIGHT("00"&amp;VALUE(LEFT(Sync!$K1540,FIND(":",Sync!$K1540)-1)),2)&amp;RIGHT("00"&amp;VALUE(MID(Sync!$K1540,FIND(":",Sync!$K1540)+1,2)),2),"0000")))&amp;"|"&amp;"2"&amp;RIGHT("00000"&amp;1535,5))</f>
        <v/>
      </c>
      <c r="Q1540">
        <f>IF(Sync!$J1540="","",IF(ISNUMBER(Sync!$J1540),IF(AND(Sync!$J1540&gt;=10000101,Sync!$J1540&lt;=99991231),INT(Sync!$J1540/10000)&amp;"/"&amp;RIGHT("00"&amp;INT(MOD(Sync!$J1540,10000)/100),2)&amp;"/"&amp;RIGHT("00"&amp;MOD(Sync!$J1540,100),2),"نامعتبر"),IF(LEN(Sync!$J1540)=10,Sync!$J1540,"نامعتبر")))</f>
        <v/>
      </c>
      <c r="R1540">
        <f>IF($P1540="","",COUNTIFS($N$6:$N$2005,$N1540,$P$6:$P$2005,"&lt;"&amp;$P1540)+COUNTIFS($A$6:$A$1005,$N1540,$B$6:$B$1005,"&lt;"&amp;$P1540)+1)</f>
        <v/>
      </c>
      <c r="S1540">
        <f>IF($N1540="","",$N1540&amp;"|"&amp;RIGHT("000000"&amp;$R1540,6))</f>
        <v/>
      </c>
      <c r="T1540">
        <f>IF($N1540="","",IF(Sync!$N1540="",0,Sync!$N1540))</f>
        <v/>
      </c>
      <c r="U1540">
        <f>IF($N1540="","",IF(Sync!$O1540="",0,Sync!$O1540))</f>
        <v/>
      </c>
      <c r="V1540">
        <f>IF($N1540="","",Sync!$L1540)</f>
        <v/>
      </c>
      <c r="W1540">
        <f>IF($N1540="","",Sync!$P1540)</f>
        <v/>
      </c>
    </row>
    <row r="1541">
      <c r="N1541">
        <f>IF(OR(Sync!$M1541="",$Q1541="",$Q1541="نامعتبر"),"",Sync!$M1541)</f>
        <v/>
      </c>
      <c r="O1541">
        <f>IF($N1541="","",$Q1541)</f>
        <v/>
      </c>
      <c r="P1541">
        <f>IF($N1541="","",LEFT($Q1541,4)&amp;MID($Q1541,6,2)&amp;RIGHT($Q1541,2)&amp;IF(Sync!$K1541="","0000",IF(AND(ISNUMBER(Sync!$K1541),Sync!$K1541&gt;=0,Sync!$K1541&lt;1),RIGHT("00"&amp;HOUR(Sync!$K1541),2)&amp;RIGHT("00"&amp;MINUTE(Sync!$K1541),2),IFERROR(RIGHT("00"&amp;VALUE(LEFT(Sync!$K1541,FIND(":",Sync!$K1541)-1)),2)&amp;RIGHT("00"&amp;VALUE(MID(Sync!$K1541,FIND(":",Sync!$K1541)+1,2)),2),"0000")))&amp;"|"&amp;"2"&amp;RIGHT("00000"&amp;1536,5))</f>
        <v/>
      </c>
      <c r="Q1541">
        <f>IF(Sync!$J1541="","",IF(ISNUMBER(Sync!$J1541),IF(AND(Sync!$J1541&gt;=10000101,Sync!$J1541&lt;=99991231),INT(Sync!$J1541/10000)&amp;"/"&amp;RIGHT("00"&amp;INT(MOD(Sync!$J1541,10000)/100),2)&amp;"/"&amp;RIGHT("00"&amp;MOD(Sync!$J1541,100),2),"نامعتبر"),IF(LEN(Sync!$J1541)=10,Sync!$J1541,"نامعتبر")))</f>
        <v/>
      </c>
      <c r="R1541">
        <f>IF($P1541="","",COUNTIFS($N$6:$N$2005,$N1541,$P$6:$P$2005,"&lt;"&amp;$P1541)+COUNTIFS($A$6:$A$1005,$N1541,$B$6:$B$1005,"&lt;"&amp;$P1541)+1)</f>
        <v/>
      </c>
      <c r="S1541">
        <f>IF($N1541="","",$N1541&amp;"|"&amp;RIGHT("000000"&amp;$R1541,6))</f>
        <v/>
      </c>
      <c r="T1541">
        <f>IF($N1541="","",IF(Sync!$N1541="",0,Sync!$N1541))</f>
        <v/>
      </c>
      <c r="U1541">
        <f>IF($N1541="","",IF(Sync!$O1541="",0,Sync!$O1541))</f>
        <v/>
      </c>
      <c r="V1541">
        <f>IF($N1541="","",Sync!$L1541)</f>
        <v/>
      </c>
      <c r="W1541">
        <f>IF($N1541="","",Sync!$P1541)</f>
        <v/>
      </c>
    </row>
    <row r="1542">
      <c r="N1542">
        <f>IF(OR(Sync!$M1542="",$Q1542="",$Q1542="نامعتبر"),"",Sync!$M1542)</f>
        <v/>
      </c>
      <c r="O1542">
        <f>IF($N1542="","",$Q1542)</f>
        <v/>
      </c>
      <c r="P1542">
        <f>IF($N1542="","",LEFT($Q1542,4)&amp;MID($Q1542,6,2)&amp;RIGHT($Q1542,2)&amp;IF(Sync!$K1542="","0000",IF(AND(ISNUMBER(Sync!$K1542),Sync!$K1542&gt;=0,Sync!$K1542&lt;1),RIGHT("00"&amp;HOUR(Sync!$K1542),2)&amp;RIGHT("00"&amp;MINUTE(Sync!$K1542),2),IFERROR(RIGHT("00"&amp;VALUE(LEFT(Sync!$K1542,FIND(":",Sync!$K1542)-1)),2)&amp;RIGHT("00"&amp;VALUE(MID(Sync!$K1542,FIND(":",Sync!$K1542)+1,2)),2),"0000")))&amp;"|"&amp;"2"&amp;RIGHT("00000"&amp;1537,5))</f>
        <v/>
      </c>
      <c r="Q1542">
        <f>IF(Sync!$J1542="","",IF(ISNUMBER(Sync!$J1542),IF(AND(Sync!$J1542&gt;=10000101,Sync!$J1542&lt;=99991231),INT(Sync!$J1542/10000)&amp;"/"&amp;RIGHT("00"&amp;INT(MOD(Sync!$J1542,10000)/100),2)&amp;"/"&amp;RIGHT("00"&amp;MOD(Sync!$J1542,100),2),"نامعتبر"),IF(LEN(Sync!$J1542)=10,Sync!$J1542,"نامعتبر")))</f>
        <v/>
      </c>
      <c r="R1542">
        <f>IF($P1542="","",COUNTIFS($N$6:$N$2005,$N1542,$P$6:$P$2005,"&lt;"&amp;$P1542)+COUNTIFS($A$6:$A$1005,$N1542,$B$6:$B$1005,"&lt;"&amp;$P1542)+1)</f>
        <v/>
      </c>
      <c r="S1542">
        <f>IF($N1542="","",$N1542&amp;"|"&amp;RIGHT("000000"&amp;$R1542,6))</f>
        <v/>
      </c>
      <c r="T1542">
        <f>IF($N1542="","",IF(Sync!$N1542="",0,Sync!$N1542))</f>
        <v/>
      </c>
      <c r="U1542">
        <f>IF($N1542="","",IF(Sync!$O1542="",0,Sync!$O1542))</f>
        <v/>
      </c>
      <c r="V1542">
        <f>IF($N1542="","",Sync!$L1542)</f>
        <v/>
      </c>
      <c r="W1542">
        <f>IF($N1542="","",Sync!$P1542)</f>
        <v/>
      </c>
    </row>
    <row r="1543">
      <c r="N1543">
        <f>IF(OR(Sync!$M1543="",$Q1543="",$Q1543="نامعتبر"),"",Sync!$M1543)</f>
        <v/>
      </c>
      <c r="O1543">
        <f>IF($N1543="","",$Q1543)</f>
        <v/>
      </c>
      <c r="P1543">
        <f>IF($N1543="","",LEFT($Q1543,4)&amp;MID($Q1543,6,2)&amp;RIGHT($Q1543,2)&amp;IF(Sync!$K1543="","0000",IF(AND(ISNUMBER(Sync!$K1543),Sync!$K1543&gt;=0,Sync!$K1543&lt;1),RIGHT("00"&amp;HOUR(Sync!$K1543),2)&amp;RIGHT("00"&amp;MINUTE(Sync!$K1543),2),IFERROR(RIGHT("00"&amp;VALUE(LEFT(Sync!$K1543,FIND(":",Sync!$K1543)-1)),2)&amp;RIGHT("00"&amp;VALUE(MID(Sync!$K1543,FIND(":",Sync!$K1543)+1,2)),2),"0000")))&amp;"|"&amp;"2"&amp;RIGHT("00000"&amp;1538,5))</f>
        <v/>
      </c>
      <c r="Q1543">
        <f>IF(Sync!$J1543="","",IF(ISNUMBER(Sync!$J1543),IF(AND(Sync!$J1543&gt;=10000101,Sync!$J1543&lt;=99991231),INT(Sync!$J1543/10000)&amp;"/"&amp;RIGHT("00"&amp;INT(MOD(Sync!$J1543,10000)/100),2)&amp;"/"&amp;RIGHT("00"&amp;MOD(Sync!$J1543,100),2),"نامعتبر"),IF(LEN(Sync!$J1543)=10,Sync!$J1543,"نامعتبر")))</f>
        <v/>
      </c>
      <c r="R1543">
        <f>IF($P1543="","",COUNTIFS($N$6:$N$2005,$N1543,$P$6:$P$2005,"&lt;"&amp;$P1543)+COUNTIFS($A$6:$A$1005,$N1543,$B$6:$B$1005,"&lt;"&amp;$P1543)+1)</f>
        <v/>
      </c>
      <c r="S1543">
        <f>IF($N1543="","",$N1543&amp;"|"&amp;RIGHT("000000"&amp;$R1543,6))</f>
        <v/>
      </c>
      <c r="T1543">
        <f>IF($N1543="","",IF(Sync!$N1543="",0,Sync!$N1543))</f>
        <v/>
      </c>
      <c r="U1543">
        <f>IF($N1543="","",IF(Sync!$O1543="",0,Sync!$O1543))</f>
        <v/>
      </c>
      <c r="V1543">
        <f>IF($N1543="","",Sync!$L1543)</f>
        <v/>
      </c>
      <c r="W1543">
        <f>IF($N1543="","",Sync!$P1543)</f>
        <v/>
      </c>
    </row>
    <row r="1544">
      <c r="N1544">
        <f>IF(OR(Sync!$M1544="",$Q1544="",$Q1544="نامعتبر"),"",Sync!$M1544)</f>
        <v/>
      </c>
      <c r="O1544">
        <f>IF($N1544="","",$Q1544)</f>
        <v/>
      </c>
      <c r="P1544">
        <f>IF($N1544="","",LEFT($Q1544,4)&amp;MID($Q1544,6,2)&amp;RIGHT($Q1544,2)&amp;IF(Sync!$K1544="","0000",IF(AND(ISNUMBER(Sync!$K1544),Sync!$K1544&gt;=0,Sync!$K1544&lt;1),RIGHT("00"&amp;HOUR(Sync!$K1544),2)&amp;RIGHT("00"&amp;MINUTE(Sync!$K1544),2),IFERROR(RIGHT("00"&amp;VALUE(LEFT(Sync!$K1544,FIND(":",Sync!$K1544)-1)),2)&amp;RIGHT("00"&amp;VALUE(MID(Sync!$K1544,FIND(":",Sync!$K1544)+1,2)),2),"0000")))&amp;"|"&amp;"2"&amp;RIGHT("00000"&amp;1539,5))</f>
        <v/>
      </c>
      <c r="Q1544">
        <f>IF(Sync!$J1544="","",IF(ISNUMBER(Sync!$J1544),IF(AND(Sync!$J1544&gt;=10000101,Sync!$J1544&lt;=99991231),INT(Sync!$J1544/10000)&amp;"/"&amp;RIGHT("00"&amp;INT(MOD(Sync!$J1544,10000)/100),2)&amp;"/"&amp;RIGHT("00"&amp;MOD(Sync!$J1544,100),2),"نامعتبر"),IF(LEN(Sync!$J1544)=10,Sync!$J1544,"نامعتبر")))</f>
        <v/>
      </c>
      <c r="R1544">
        <f>IF($P1544="","",COUNTIFS($N$6:$N$2005,$N1544,$P$6:$P$2005,"&lt;"&amp;$P1544)+COUNTIFS($A$6:$A$1005,$N1544,$B$6:$B$1005,"&lt;"&amp;$P1544)+1)</f>
        <v/>
      </c>
      <c r="S1544">
        <f>IF($N1544="","",$N1544&amp;"|"&amp;RIGHT("000000"&amp;$R1544,6))</f>
        <v/>
      </c>
      <c r="T1544">
        <f>IF($N1544="","",IF(Sync!$N1544="",0,Sync!$N1544))</f>
        <v/>
      </c>
      <c r="U1544">
        <f>IF($N1544="","",IF(Sync!$O1544="",0,Sync!$O1544))</f>
        <v/>
      </c>
      <c r="V1544">
        <f>IF($N1544="","",Sync!$L1544)</f>
        <v/>
      </c>
      <c r="W1544">
        <f>IF($N1544="","",Sync!$P1544)</f>
        <v/>
      </c>
    </row>
    <row r="1545">
      <c r="N1545">
        <f>IF(OR(Sync!$M1545="",$Q1545="",$Q1545="نامعتبر"),"",Sync!$M1545)</f>
        <v/>
      </c>
      <c r="O1545">
        <f>IF($N1545="","",$Q1545)</f>
        <v/>
      </c>
      <c r="P1545">
        <f>IF($N1545="","",LEFT($Q1545,4)&amp;MID($Q1545,6,2)&amp;RIGHT($Q1545,2)&amp;IF(Sync!$K1545="","0000",IF(AND(ISNUMBER(Sync!$K1545),Sync!$K1545&gt;=0,Sync!$K1545&lt;1),RIGHT("00"&amp;HOUR(Sync!$K1545),2)&amp;RIGHT("00"&amp;MINUTE(Sync!$K1545),2),IFERROR(RIGHT("00"&amp;VALUE(LEFT(Sync!$K1545,FIND(":",Sync!$K1545)-1)),2)&amp;RIGHT("00"&amp;VALUE(MID(Sync!$K1545,FIND(":",Sync!$K1545)+1,2)),2),"0000")))&amp;"|"&amp;"2"&amp;RIGHT("00000"&amp;1540,5))</f>
        <v/>
      </c>
      <c r="Q1545">
        <f>IF(Sync!$J1545="","",IF(ISNUMBER(Sync!$J1545),IF(AND(Sync!$J1545&gt;=10000101,Sync!$J1545&lt;=99991231),INT(Sync!$J1545/10000)&amp;"/"&amp;RIGHT("00"&amp;INT(MOD(Sync!$J1545,10000)/100),2)&amp;"/"&amp;RIGHT("00"&amp;MOD(Sync!$J1545,100),2),"نامعتبر"),IF(LEN(Sync!$J1545)=10,Sync!$J1545,"نامعتبر")))</f>
        <v/>
      </c>
      <c r="R1545">
        <f>IF($P1545="","",COUNTIFS($N$6:$N$2005,$N1545,$P$6:$P$2005,"&lt;"&amp;$P1545)+COUNTIFS($A$6:$A$1005,$N1545,$B$6:$B$1005,"&lt;"&amp;$P1545)+1)</f>
        <v/>
      </c>
      <c r="S1545">
        <f>IF($N1545="","",$N1545&amp;"|"&amp;RIGHT("000000"&amp;$R1545,6))</f>
        <v/>
      </c>
      <c r="T1545">
        <f>IF($N1545="","",IF(Sync!$N1545="",0,Sync!$N1545))</f>
        <v/>
      </c>
      <c r="U1545">
        <f>IF($N1545="","",IF(Sync!$O1545="",0,Sync!$O1545))</f>
        <v/>
      </c>
      <c r="V1545">
        <f>IF($N1545="","",Sync!$L1545)</f>
        <v/>
      </c>
      <c r="W1545">
        <f>IF($N1545="","",Sync!$P1545)</f>
        <v/>
      </c>
    </row>
    <row r="1546">
      <c r="N1546">
        <f>IF(OR(Sync!$M1546="",$Q1546="",$Q1546="نامعتبر"),"",Sync!$M1546)</f>
        <v/>
      </c>
      <c r="O1546">
        <f>IF($N1546="","",$Q1546)</f>
        <v/>
      </c>
      <c r="P1546">
        <f>IF($N1546="","",LEFT($Q1546,4)&amp;MID($Q1546,6,2)&amp;RIGHT($Q1546,2)&amp;IF(Sync!$K1546="","0000",IF(AND(ISNUMBER(Sync!$K1546),Sync!$K1546&gt;=0,Sync!$K1546&lt;1),RIGHT("00"&amp;HOUR(Sync!$K1546),2)&amp;RIGHT("00"&amp;MINUTE(Sync!$K1546),2),IFERROR(RIGHT("00"&amp;VALUE(LEFT(Sync!$K1546,FIND(":",Sync!$K1546)-1)),2)&amp;RIGHT("00"&amp;VALUE(MID(Sync!$K1546,FIND(":",Sync!$K1546)+1,2)),2),"0000")))&amp;"|"&amp;"2"&amp;RIGHT("00000"&amp;1541,5))</f>
        <v/>
      </c>
      <c r="Q1546">
        <f>IF(Sync!$J1546="","",IF(ISNUMBER(Sync!$J1546),IF(AND(Sync!$J1546&gt;=10000101,Sync!$J1546&lt;=99991231),INT(Sync!$J1546/10000)&amp;"/"&amp;RIGHT("00"&amp;INT(MOD(Sync!$J1546,10000)/100),2)&amp;"/"&amp;RIGHT("00"&amp;MOD(Sync!$J1546,100),2),"نامعتبر"),IF(LEN(Sync!$J1546)=10,Sync!$J1546,"نامعتبر")))</f>
        <v/>
      </c>
      <c r="R1546">
        <f>IF($P1546="","",COUNTIFS($N$6:$N$2005,$N1546,$P$6:$P$2005,"&lt;"&amp;$P1546)+COUNTIFS($A$6:$A$1005,$N1546,$B$6:$B$1005,"&lt;"&amp;$P1546)+1)</f>
        <v/>
      </c>
      <c r="S1546">
        <f>IF($N1546="","",$N1546&amp;"|"&amp;RIGHT("000000"&amp;$R1546,6))</f>
        <v/>
      </c>
      <c r="T1546">
        <f>IF($N1546="","",IF(Sync!$N1546="",0,Sync!$N1546))</f>
        <v/>
      </c>
      <c r="U1546">
        <f>IF($N1546="","",IF(Sync!$O1546="",0,Sync!$O1546))</f>
        <v/>
      </c>
      <c r="V1546">
        <f>IF($N1546="","",Sync!$L1546)</f>
        <v/>
      </c>
      <c r="W1546">
        <f>IF($N1546="","",Sync!$P1546)</f>
        <v/>
      </c>
    </row>
    <row r="1547">
      <c r="N1547">
        <f>IF(OR(Sync!$M1547="",$Q1547="",$Q1547="نامعتبر"),"",Sync!$M1547)</f>
        <v/>
      </c>
      <c r="O1547">
        <f>IF($N1547="","",$Q1547)</f>
        <v/>
      </c>
      <c r="P1547">
        <f>IF($N1547="","",LEFT($Q1547,4)&amp;MID($Q1547,6,2)&amp;RIGHT($Q1547,2)&amp;IF(Sync!$K1547="","0000",IF(AND(ISNUMBER(Sync!$K1547),Sync!$K1547&gt;=0,Sync!$K1547&lt;1),RIGHT("00"&amp;HOUR(Sync!$K1547),2)&amp;RIGHT("00"&amp;MINUTE(Sync!$K1547),2),IFERROR(RIGHT("00"&amp;VALUE(LEFT(Sync!$K1547,FIND(":",Sync!$K1547)-1)),2)&amp;RIGHT("00"&amp;VALUE(MID(Sync!$K1547,FIND(":",Sync!$K1547)+1,2)),2),"0000")))&amp;"|"&amp;"2"&amp;RIGHT("00000"&amp;1542,5))</f>
        <v/>
      </c>
      <c r="Q1547">
        <f>IF(Sync!$J1547="","",IF(ISNUMBER(Sync!$J1547),IF(AND(Sync!$J1547&gt;=10000101,Sync!$J1547&lt;=99991231),INT(Sync!$J1547/10000)&amp;"/"&amp;RIGHT("00"&amp;INT(MOD(Sync!$J1547,10000)/100),2)&amp;"/"&amp;RIGHT("00"&amp;MOD(Sync!$J1547,100),2),"نامعتبر"),IF(LEN(Sync!$J1547)=10,Sync!$J1547,"نامعتبر")))</f>
        <v/>
      </c>
      <c r="R1547">
        <f>IF($P1547="","",COUNTIFS($N$6:$N$2005,$N1547,$P$6:$P$2005,"&lt;"&amp;$P1547)+COUNTIFS($A$6:$A$1005,$N1547,$B$6:$B$1005,"&lt;"&amp;$P1547)+1)</f>
        <v/>
      </c>
      <c r="S1547">
        <f>IF($N1547="","",$N1547&amp;"|"&amp;RIGHT("000000"&amp;$R1547,6))</f>
        <v/>
      </c>
      <c r="T1547">
        <f>IF($N1547="","",IF(Sync!$N1547="",0,Sync!$N1547))</f>
        <v/>
      </c>
      <c r="U1547">
        <f>IF($N1547="","",IF(Sync!$O1547="",0,Sync!$O1547))</f>
        <v/>
      </c>
      <c r="V1547">
        <f>IF($N1547="","",Sync!$L1547)</f>
        <v/>
      </c>
      <c r="W1547">
        <f>IF($N1547="","",Sync!$P1547)</f>
        <v/>
      </c>
    </row>
    <row r="1548">
      <c r="N1548">
        <f>IF(OR(Sync!$M1548="",$Q1548="",$Q1548="نامعتبر"),"",Sync!$M1548)</f>
        <v/>
      </c>
      <c r="O1548">
        <f>IF($N1548="","",$Q1548)</f>
        <v/>
      </c>
      <c r="P1548">
        <f>IF($N1548="","",LEFT($Q1548,4)&amp;MID($Q1548,6,2)&amp;RIGHT($Q1548,2)&amp;IF(Sync!$K1548="","0000",IF(AND(ISNUMBER(Sync!$K1548),Sync!$K1548&gt;=0,Sync!$K1548&lt;1),RIGHT("00"&amp;HOUR(Sync!$K1548),2)&amp;RIGHT("00"&amp;MINUTE(Sync!$K1548),2),IFERROR(RIGHT("00"&amp;VALUE(LEFT(Sync!$K1548,FIND(":",Sync!$K1548)-1)),2)&amp;RIGHT("00"&amp;VALUE(MID(Sync!$K1548,FIND(":",Sync!$K1548)+1,2)),2),"0000")))&amp;"|"&amp;"2"&amp;RIGHT("00000"&amp;1543,5))</f>
        <v/>
      </c>
      <c r="Q1548">
        <f>IF(Sync!$J1548="","",IF(ISNUMBER(Sync!$J1548),IF(AND(Sync!$J1548&gt;=10000101,Sync!$J1548&lt;=99991231),INT(Sync!$J1548/10000)&amp;"/"&amp;RIGHT("00"&amp;INT(MOD(Sync!$J1548,10000)/100),2)&amp;"/"&amp;RIGHT("00"&amp;MOD(Sync!$J1548,100),2),"نامعتبر"),IF(LEN(Sync!$J1548)=10,Sync!$J1548,"نامعتبر")))</f>
        <v/>
      </c>
      <c r="R1548">
        <f>IF($P1548="","",COUNTIFS($N$6:$N$2005,$N1548,$P$6:$P$2005,"&lt;"&amp;$P1548)+COUNTIFS($A$6:$A$1005,$N1548,$B$6:$B$1005,"&lt;"&amp;$P1548)+1)</f>
        <v/>
      </c>
      <c r="S1548">
        <f>IF($N1548="","",$N1548&amp;"|"&amp;RIGHT("000000"&amp;$R1548,6))</f>
        <v/>
      </c>
      <c r="T1548">
        <f>IF($N1548="","",IF(Sync!$N1548="",0,Sync!$N1548))</f>
        <v/>
      </c>
      <c r="U1548">
        <f>IF($N1548="","",IF(Sync!$O1548="",0,Sync!$O1548))</f>
        <v/>
      </c>
      <c r="V1548">
        <f>IF($N1548="","",Sync!$L1548)</f>
        <v/>
      </c>
      <c r="W1548">
        <f>IF($N1548="","",Sync!$P1548)</f>
        <v/>
      </c>
    </row>
    <row r="1549">
      <c r="N1549">
        <f>IF(OR(Sync!$M1549="",$Q1549="",$Q1549="نامعتبر"),"",Sync!$M1549)</f>
        <v/>
      </c>
      <c r="O1549">
        <f>IF($N1549="","",$Q1549)</f>
        <v/>
      </c>
      <c r="P1549">
        <f>IF($N1549="","",LEFT($Q1549,4)&amp;MID($Q1549,6,2)&amp;RIGHT($Q1549,2)&amp;IF(Sync!$K1549="","0000",IF(AND(ISNUMBER(Sync!$K1549),Sync!$K1549&gt;=0,Sync!$K1549&lt;1),RIGHT("00"&amp;HOUR(Sync!$K1549),2)&amp;RIGHT("00"&amp;MINUTE(Sync!$K1549),2),IFERROR(RIGHT("00"&amp;VALUE(LEFT(Sync!$K1549,FIND(":",Sync!$K1549)-1)),2)&amp;RIGHT("00"&amp;VALUE(MID(Sync!$K1549,FIND(":",Sync!$K1549)+1,2)),2),"0000")))&amp;"|"&amp;"2"&amp;RIGHT("00000"&amp;1544,5))</f>
        <v/>
      </c>
      <c r="Q1549">
        <f>IF(Sync!$J1549="","",IF(ISNUMBER(Sync!$J1549),IF(AND(Sync!$J1549&gt;=10000101,Sync!$J1549&lt;=99991231),INT(Sync!$J1549/10000)&amp;"/"&amp;RIGHT("00"&amp;INT(MOD(Sync!$J1549,10000)/100),2)&amp;"/"&amp;RIGHT("00"&amp;MOD(Sync!$J1549,100),2),"نامعتبر"),IF(LEN(Sync!$J1549)=10,Sync!$J1549,"نامعتبر")))</f>
        <v/>
      </c>
      <c r="R1549">
        <f>IF($P1549="","",COUNTIFS($N$6:$N$2005,$N1549,$P$6:$P$2005,"&lt;"&amp;$P1549)+COUNTIFS($A$6:$A$1005,$N1549,$B$6:$B$1005,"&lt;"&amp;$P1549)+1)</f>
        <v/>
      </c>
      <c r="S1549">
        <f>IF($N1549="","",$N1549&amp;"|"&amp;RIGHT("000000"&amp;$R1549,6))</f>
        <v/>
      </c>
      <c r="T1549">
        <f>IF($N1549="","",IF(Sync!$N1549="",0,Sync!$N1549))</f>
        <v/>
      </c>
      <c r="U1549">
        <f>IF($N1549="","",IF(Sync!$O1549="",0,Sync!$O1549))</f>
        <v/>
      </c>
      <c r="V1549">
        <f>IF($N1549="","",Sync!$L1549)</f>
        <v/>
      </c>
      <c r="W1549">
        <f>IF($N1549="","",Sync!$P1549)</f>
        <v/>
      </c>
    </row>
    <row r="1550">
      <c r="N1550">
        <f>IF(OR(Sync!$M1550="",$Q1550="",$Q1550="نامعتبر"),"",Sync!$M1550)</f>
        <v/>
      </c>
      <c r="O1550">
        <f>IF($N1550="","",$Q1550)</f>
        <v/>
      </c>
      <c r="P1550">
        <f>IF($N1550="","",LEFT($Q1550,4)&amp;MID($Q1550,6,2)&amp;RIGHT($Q1550,2)&amp;IF(Sync!$K1550="","0000",IF(AND(ISNUMBER(Sync!$K1550),Sync!$K1550&gt;=0,Sync!$K1550&lt;1),RIGHT("00"&amp;HOUR(Sync!$K1550),2)&amp;RIGHT("00"&amp;MINUTE(Sync!$K1550),2),IFERROR(RIGHT("00"&amp;VALUE(LEFT(Sync!$K1550,FIND(":",Sync!$K1550)-1)),2)&amp;RIGHT("00"&amp;VALUE(MID(Sync!$K1550,FIND(":",Sync!$K1550)+1,2)),2),"0000")))&amp;"|"&amp;"2"&amp;RIGHT("00000"&amp;1545,5))</f>
        <v/>
      </c>
      <c r="Q1550">
        <f>IF(Sync!$J1550="","",IF(ISNUMBER(Sync!$J1550),IF(AND(Sync!$J1550&gt;=10000101,Sync!$J1550&lt;=99991231),INT(Sync!$J1550/10000)&amp;"/"&amp;RIGHT("00"&amp;INT(MOD(Sync!$J1550,10000)/100),2)&amp;"/"&amp;RIGHT("00"&amp;MOD(Sync!$J1550,100),2),"نامعتبر"),IF(LEN(Sync!$J1550)=10,Sync!$J1550,"نامعتبر")))</f>
        <v/>
      </c>
      <c r="R1550">
        <f>IF($P1550="","",COUNTIFS($N$6:$N$2005,$N1550,$P$6:$P$2005,"&lt;"&amp;$P1550)+COUNTIFS($A$6:$A$1005,$N1550,$B$6:$B$1005,"&lt;"&amp;$P1550)+1)</f>
        <v/>
      </c>
      <c r="S1550">
        <f>IF($N1550="","",$N1550&amp;"|"&amp;RIGHT("000000"&amp;$R1550,6))</f>
        <v/>
      </c>
      <c r="T1550">
        <f>IF($N1550="","",IF(Sync!$N1550="",0,Sync!$N1550))</f>
        <v/>
      </c>
      <c r="U1550">
        <f>IF($N1550="","",IF(Sync!$O1550="",0,Sync!$O1550))</f>
        <v/>
      </c>
      <c r="V1550">
        <f>IF($N1550="","",Sync!$L1550)</f>
        <v/>
      </c>
      <c r="W1550">
        <f>IF($N1550="","",Sync!$P1550)</f>
        <v/>
      </c>
    </row>
    <row r="1551">
      <c r="N1551">
        <f>IF(OR(Sync!$M1551="",$Q1551="",$Q1551="نامعتبر"),"",Sync!$M1551)</f>
        <v/>
      </c>
      <c r="O1551">
        <f>IF($N1551="","",$Q1551)</f>
        <v/>
      </c>
      <c r="P1551">
        <f>IF($N1551="","",LEFT($Q1551,4)&amp;MID($Q1551,6,2)&amp;RIGHT($Q1551,2)&amp;IF(Sync!$K1551="","0000",IF(AND(ISNUMBER(Sync!$K1551),Sync!$K1551&gt;=0,Sync!$K1551&lt;1),RIGHT("00"&amp;HOUR(Sync!$K1551),2)&amp;RIGHT("00"&amp;MINUTE(Sync!$K1551),2),IFERROR(RIGHT("00"&amp;VALUE(LEFT(Sync!$K1551,FIND(":",Sync!$K1551)-1)),2)&amp;RIGHT("00"&amp;VALUE(MID(Sync!$K1551,FIND(":",Sync!$K1551)+1,2)),2),"0000")))&amp;"|"&amp;"2"&amp;RIGHT("00000"&amp;1546,5))</f>
        <v/>
      </c>
      <c r="Q1551">
        <f>IF(Sync!$J1551="","",IF(ISNUMBER(Sync!$J1551),IF(AND(Sync!$J1551&gt;=10000101,Sync!$J1551&lt;=99991231),INT(Sync!$J1551/10000)&amp;"/"&amp;RIGHT("00"&amp;INT(MOD(Sync!$J1551,10000)/100),2)&amp;"/"&amp;RIGHT("00"&amp;MOD(Sync!$J1551,100),2),"نامعتبر"),IF(LEN(Sync!$J1551)=10,Sync!$J1551,"نامعتبر")))</f>
        <v/>
      </c>
      <c r="R1551">
        <f>IF($P1551="","",COUNTIFS($N$6:$N$2005,$N1551,$P$6:$P$2005,"&lt;"&amp;$P1551)+COUNTIFS($A$6:$A$1005,$N1551,$B$6:$B$1005,"&lt;"&amp;$P1551)+1)</f>
        <v/>
      </c>
      <c r="S1551">
        <f>IF($N1551="","",$N1551&amp;"|"&amp;RIGHT("000000"&amp;$R1551,6))</f>
        <v/>
      </c>
      <c r="T1551">
        <f>IF($N1551="","",IF(Sync!$N1551="",0,Sync!$N1551))</f>
        <v/>
      </c>
      <c r="U1551">
        <f>IF($N1551="","",IF(Sync!$O1551="",0,Sync!$O1551))</f>
        <v/>
      </c>
      <c r="V1551">
        <f>IF($N1551="","",Sync!$L1551)</f>
        <v/>
      </c>
      <c r="W1551">
        <f>IF($N1551="","",Sync!$P1551)</f>
        <v/>
      </c>
    </row>
    <row r="1552">
      <c r="N1552">
        <f>IF(OR(Sync!$M1552="",$Q1552="",$Q1552="نامعتبر"),"",Sync!$M1552)</f>
        <v/>
      </c>
      <c r="O1552">
        <f>IF($N1552="","",$Q1552)</f>
        <v/>
      </c>
      <c r="P1552">
        <f>IF($N1552="","",LEFT($Q1552,4)&amp;MID($Q1552,6,2)&amp;RIGHT($Q1552,2)&amp;IF(Sync!$K1552="","0000",IF(AND(ISNUMBER(Sync!$K1552),Sync!$K1552&gt;=0,Sync!$K1552&lt;1),RIGHT("00"&amp;HOUR(Sync!$K1552),2)&amp;RIGHT("00"&amp;MINUTE(Sync!$K1552),2),IFERROR(RIGHT("00"&amp;VALUE(LEFT(Sync!$K1552,FIND(":",Sync!$K1552)-1)),2)&amp;RIGHT("00"&amp;VALUE(MID(Sync!$K1552,FIND(":",Sync!$K1552)+1,2)),2),"0000")))&amp;"|"&amp;"2"&amp;RIGHT("00000"&amp;1547,5))</f>
        <v/>
      </c>
      <c r="Q1552">
        <f>IF(Sync!$J1552="","",IF(ISNUMBER(Sync!$J1552),IF(AND(Sync!$J1552&gt;=10000101,Sync!$J1552&lt;=99991231),INT(Sync!$J1552/10000)&amp;"/"&amp;RIGHT("00"&amp;INT(MOD(Sync!$J1552,10000)/100),2)&amp;"/"&amp;RIGHT("00"&amp;MOD(Sync!$J1552,100),2),"نامعتبر"),IF(LEN(Sync!$J1552)=10,Sync!$J1552,"نامعتبر")))</f>
        <v/>
      </c>
      <c r="R1552">
        <f>IF($P1552="","",COUNTIFS($N$6:$N$2005,$N1552,$P$6:$P$2005,"&lt;"&amp;$P1552)+COUNTIFS($A$6:$A$1005,$N1552,$B$6:$B$1005,"&lt;"&amp;$P1552)+1)</f>
        <v/>
      </c>
      <c r="S1552">
        <f>IF($N1552="","",$N1552&amp;"|"&amp;RIGHT("000000"&amp;$R1552,6))</f>
        <v/>
      </c>
      <c r="T1552">
        <f>IF($N1552="","",IF(Sync!$N1552="",0,Sync!$N1552))</f>
        <v/>
      </c>
      <c r="U1552">
        <f>IF($N1552="","",IF(Sync!$O1552="",0,Sync!$O1552))</f>
        <v/>
      </c>
      <c r="V1552">
        <f>IF($N1552="","",Sync!$L1552)</f>
        <v/>
      </c>
      <c r="W1552">
        <f>IF($N1552="","",Sync!$P1552)</f>
        <v/>
      </c>
    </row>
    <row r="1553">
      <c r="N1553">
        <f>IF(OR(Sync!$M1553="",$Q1553="",$Q1553="نامعتبر"),"",Sync!$M1553)</f>
        <v/>
      </c>
      <c r="O1553">
        <f>IF($N1553="","",$Q1553)</f>
        <v/>
      </c>
      <c r="P1553">
        <f>IF($N1553="","",LEFT($Q1553,4)&amp;MID($Q1553,6,2)&amp;RIGHT($Q1553,2)&amp;IF(Sync!$K1553="","0000",IF(AND(ISNUMBER(Sync!$K1553),Sync!$K1553&gt;=0,Sync!$K1553&lt;1),RIGHT("00"&amp;HOUR(Sync!$K1553),2)&amp;RIGHT("00"&amp;MINUTE(Sync!$K1553),2),IFERROR(RIGHT("00"&amp;VALUE(LEFT(Sync!$K1553,FIND(":",Sync!$K1553)-1)),2)&amp;RIGHT("00"&amp;VALUE(MID(Sync!$K1553,FIND(":",Sync!$K1553)+1,2)),2),"0000")))&amp;"|"&amp;"2"&amp;RIGHT("00000"&amp;1548,5))</f>
        <v/>
      </c>
      <c r="Q1553">
        <f>IF(Sync!$J1553="","",IF(ISNUMBER(Sync!$J1553),IF(AND(Sync!$J1553&gt;=10000101,Sync!$J1553&lt;=99991231),INT(Sync!$J1553/10000)&amp;"/"&amp;RIGHT("00"&amp;INT(MOD(Sync!$J1553,10000)/100),2)&amp;"/"&amp;RIGHT("00"&amp;MOD(Sync!$J1553,100),2),"نامعتبر"),IF(LEN(Sync!$J1553)=10,Sync!$J1553,"نامعتبر")))</f>
        <v/>
      </c>
      <c r="R1553">
        <f>IF($P1553="","",COUNTIFS($N$6:$N$2005,$N1553,$P$6:$P$2005,"&lt;"&amp;$P1553)+COUNTIFS($A$6:$A$1005,$N1553,$B$6:$B$1005,"&lt;"&amp;$P1553)+1)</f>
        <v/>
      </c>
      <c r="S1553">
        <f>IF($N1553="","",$N1553&amp;"|"&amp;RIGHT("000000"&amp;$R1553,6))</f>
        <v/>
      </c>
      <c r="T1553">
        <f>IF($N1553="","",IF(Sync!$N1553="",0,Sync!$N1553))</f>
        <v/>
      </c>
      <c r="U1553">
        <f>IF($N1553="","",IF(Sync!$O1553="",0,Sync!$O1553))</f>
        <v/>
      </c>
      <c r="V1553">
        <f>IF($N1553="","",Sync!$L1553)</f>
        <v/>
      </c>
      <c r="W1553">
        <f>IF($N1553="","",Sync!$P1553)</f>
        <v/>
      </c>
    </row>
    <row r="1554">
      <c r="N1554">
        <f>IF(OR(Sync!$M1554="",$Q1554="",$Q1554="نامعتبر"),"",Sync!$M1554)</f>
        <v/>
      </c>
      <c r="O1554">
        <f>IF($N1554="","",$Q1554)</f>
        <v/>
      </c>
      <c r="P1554">
        <f>IF($N1554="","",LEFT($Q1554,4)&amp;MID($Q1554,6,2)&amp;RIGHT($Q1554,2)&amp;IF(Sync!$K1554="","0000",IF(AND(ISNUMBER(Sync!$K1554),Sync!$K1554&gt;=0,Sync!$K1554&lt;1),RIGHT("00"&amp;HOUR(Sync!$K1554),2)&amp;RIGHT("00"&amp;MINUTE(Sync!$K1554),2),IFERROR(RIGHT("00"&amp;VALUE(LEFT(Sync!$K1554,FIND(":",Sync!$K1554)-1)),2)&amp;RIGHT("00"&amp;VALUE(MID(Sync!$K1554,FIND(":",Sync!$K1554)+1,2)),2),"0000")))&amp;"|"&amp;"2"&amp;RIGHT("00000"&amp;1549,5))</f>
        <v/>
      </c>
      <c r="Q1554">
        <f>IF(Sync!$J1554="","",IF(ISNUMBER(Sync!$J1554),IF(AND(Sync!$J1554&gt;=10000101,Sync!$J1554&lt;=99991231),INT(Sync!$J1554/10000)&amp;"/"&amp;RIGHT("00"&amp;INT(MOD(Sync!$J1554,10000)/100),2)&amp;"/"&amp;RIGHT("00"&amp;MOD(Sync!$J1554,100),2),"نامعتبر"),IF(LEN(Sync!$J1554)=10,Sync!$J1554,"نامعتبر")))</f>
        <v/>
      </c>
      <c r="R1554">
        <f>IF($P1554="","",COUNTIFS($N$6:$N$2005,$N1554,$P$6:$P$2005,"&lt;"&amp;$P1554)+COUNTIFS($A$6:$A$1005,$N1554,$B$6:$B$1005,"&lt;"&amp;$P1554)+1)</f>
        <v/>
      </c>
      <c r="S1554">
        <f>IF($N1554="","",$N1554&amp;"|"&amp;RIGHT("000000"&amp;$R1554,6))</f>
        <v/>
      </c>
      <c r="T1554">
        <f>IF($N1554="","",IF(Sync!$N1554="",0,Sync!$N1554))</f>
        <v/>
      </c>
      <c r="U1554">
        <f>IF($N1554="","",IF(Sync!$O1554="",0,Sync!$O1554))</f>
        <v/>
      </c>
      <c r="V1554">
        <f>IF($N1554="","",Sync!$L1554)</f>
        <v/>
      </c>
      <c r="W1554">
        <f>IF($N1554="","",Sync!$P1554)</f>
        <v/>
      </c>
    </row>
    <row r="1555">
      <c r="N1555">
        <f>IF(OR(Sync!$M1555="",$Q1555="",$Q1555="نامعتبر"),"",Sync!$M1555)</f>
        <v/>
      </c>
      <c r="O1555">
        <f>IF($N1555="","",$Q1555)</f>
        <v/>
      </c>
      <c r="P1555">
        <f>IF($N1555="","",LEFT($Q1555,4)&amp;MID($Q1555,6,2)&amp;RIGHT($Q1555,2)&amp;IF(Sync!$K1555="","0000",IF(AND(ISNUMBER(Sync!$K1555),Sync!$K1555&gt;=0,Sync!$K1555&lt;1),RIGHT("00"&amp;HOUR(Sync!$K1555),2)&amp;RIGHT("00"&amp;MINUTE(Sync!$K1555),2),IFERROR(RIGHT("00"&amp;VALUE(LEFT(Sync!$K1555,FIND(":",Sync!$K1555)-1)),2)&amp;RIGHT("00"&amp;VALUE(MID(Sync!$K1555,FIND(":",Sync!$K1555)+1,2)),2),"0000")))&amp;"|"&amp;"2"&amp;RIGHT("00000"&amp;1550,5))</f>
        <v/>
      </c>
      <c r="Q1555">
        <f>IF(Sync!$J1555="","",IF(ISNUMBER(Sync!$J1555),IF(AND(Sync!$J1555&gt;=10000101,Sync!$J1555&lt;=99991231),INT(Sync!$J1555/10000)&amp;"/"&amp;RIGHT("00"&amp;INT(MOD(Sync!$J1555,10000)/100),2)&amp;"/"&amp;RIGHT("00"&amp;MOD(Sync!$J1555,100),2),"نامعتبر"),IF(LEN(Sync!$J1555)=10,Sync!$J1555,"نامعتبر")))</f>
        <v/>
      </c>
      <c r="R1555">
        <f>IF($P1555="","",COUNTIFS($N$6:$N$2005,$N1555,$P$6:$P$2005,"&lt;"&amp;$P1555)+COUNTIFS($A$6:$A$1005,$N1555,$B$6:$B$1005,"&lt;"&amp;$P1555)+1)</f>
        <v/>
      </c>
      <c r="S1555">
        <f>IF($N1555="","",$N1555&amp;"|"&amp;RIGHT("000000"&amp;$R1555,6))</f>
        <v/>
      </c>
      <c r="T1555">
        <f>IF($N1555="","",IF(Sync!$N1555="",0,Sync!$N1555))</f>
        <v/>
      </c>
      <c r="U1555">
        <f>IF($N1555="","",IF(Sync!$O1555="",0,Sync!$O1555))</f>
        <v/>
      </c>
      <c r="V1555">
        <f>IF($N1555="","",Sync!$L1555)</f>
        <v/>
      </c>
      <c r="W1555">
        <f>IF($N1555="","",Sync!$P1555)</f>
        <v/>
      </c>
    </row>
    <row r="1556">
      <c r="N1556">
        <f>IF(OR(Sync!$M1556="",$Q1556="",$Q1556="نامعتبر"),"",Sync!$M1556)</f>
        <v/>
      </c>
      <c r="O1556">
        <f>IF($N1556="","",$Q1556)</f>
        <v/>
      </c>
      <c r="P1556">
        <f>IF($N1556="","",LEFT($Q1556,4)&amp;MID($Q1556,6,2)&amp;RIGHT($Q1556,2)&amp;IF(Sync!$K1556="","0000",IF(AND(ISNUMBER(Sync!$K1556),Sync!$K1556&gt;=0,Sync!$K1556&lt;1),RIGHT("00"&amp;HOUR(Sync!$K1556),2)&amp;RIGHT("00"&amp;MINUTE(Sync!$K1556),2),IFERROR(RIGHT("00"&amp;VALUE(LEFT(Sync!$K1556,FIND(":",Sync!$K1556)-1)),2)&amp;RIGHT("00"&amp;VALUE(MID(Sync!$K1556,FIND(":",Sync!$K1556)+1,2)),2),"0000")))&amp;"|"&amp;"2"&amp;RIGHT("00000"&amp;1551,5))</f>
        <v/>
      </c>
      <c r="Q1556">
        <f>IF(Sync!$J1556="","",IF(ISNUMBER(Sync!$J1556),IF(AND(Sync!$J1556&gt;=10000101,Sync!$J1556&lt;=99991231),INT(Sync!$J1556/10000)&amp;"/"&amp;RIGHT("00"&amp;INT(MOD(Sync!$J1556,10000)/100),2)&amp;"/"&amp;RIGHT("00"&amp;MOD(Sync!$J1556,100),2),"نامعتبر"),IF(LEN(Sync!$J1556)=10,Sync!$J1556,"نامعتبر")))</f>
        <v/>
      </c>
      <c r="R1556">
        <f>IF($P1556="","",COUNTIFS($N$6:$N$2005,$N1556,$P$6:$P$2005,"&lt;"&amp;$P1556)+COUNTIFS($A$6:$A$1005,$N1556,$B$6:$B$1005,"&lt;"&amp;$P1556)+1)</f>
        <v/>
      </c>
      <c r="S1556">
        <f>IF($N1556="","",$N1556&amp;"|"&amp;RIGHT("000000"&amp;$R1556,6))</f>
        <v/>
      </c>
      <c r="T1556">
        <f>IF($N1556="","",IF(Sync!$N1556="",0,Sync!$N1556))</f>
        <v/>
      </c>
      <c r="U1556">
        <f>IF($N1556="","",IF(Sync!$O1556="",0,Sync!$O1556))</f>
        <v/>
      </c>
      <c r="V1556">
        <f>IF($N1556="","",Sync!$L1556)</f>
        <v/>
      </c>
      <c r="W1556">
        <f>IF($N1556="","",Sync!$P1556)</f>
        <v/>
      </c>
    </row>
    <row r="1557">
      <c r="N1557">
        <f>IF(OR(Sync!$M1557="",$Q1557="",$Q1557="نامعتبر"),"",Sync!$M1557)</f>
        <v/>
      </c>
      <c r="O1557">
        <f>IF($N1557="","",$Q1557)</f>
        <v/>
      </c>
      <c r="P1557">
        <f>IF($N1557="","",LEFT($Q1557,4)&amp;MID($Q1557,6,2)&amp;RIGHT($Q1557,2)&amp;IF(Sync!$K1557="","0000",IF(AND(ISNUMBER(Sync!$K1557),Sync!$K1557&gt;=0,Sync!$K1557&lt;1),RIGHT("00"&amp;HOUR(Sync!$K1557),2)&amp;RIGHT("00"&amp;MINUTE(Sync!$K1557),2),IFERROR(RIGHT("00"&amp;VALUE(LEFT(Sync!$K1557,FIND(":",Sync!$K1557)-1)),2)&amp;RIGHT("00"&amp;VALUE(MID(Sync!$K1557,FIND(":",Sync!$K1557)+1,2)),2),"0000")))&amp;"|"&amp;"2"&amp;RIGHT("00000"&amp;1552,5))</f>
        <v/>
      </c>
      <c r="Q1557">
        <f>IF(Sync!$J1557="","",IF(ISNUMBER(Sync!$J1557),IF(AND(Sync!$J1557&gt;=10000101,Sync!$J1557&lt;=99991231),INT(Sync!$J1557/10000)&amp;"/"&amp;RIGHT("00"&amp;INT(MOD(Sync!$J1557,10000)/100),2)&amp;"/"&amp;RIGHT("00"&amp;MOD(Sync!$J1557,100),2),"نامعتبر"),IF(LEN(Sync!$J1557)=10,Sync!$J1557,"نامعتبر")))</f>
        <v/>
      </c>
      <c r="R1557">
        <f>IF($P1557="","",COUNTIFS($N$6:$N$2005,$N1557,$P$6:$P$2005,"&lt;"&amp;$P1557)+COUNTIFS($A$6:$A$1005,$N1557,$B$6:$B$1005,"&lt;"&amp;$P1557)+1)</f>
        <v/>
      </c>
      <c r="S1557">
        <f>IF($N1557="","",$N1557&amp;"|"&amp;RIGHT("000000"&amp;$R1557,6))</f>
        <v/>
      </c>
      <c r="T1557">
        <f>IF($N1557="","",IF(Sync!$N1557="",0,Sync!$N1557))</f>
        <v/>
      </c>
      <c r="U1557">
        <f>IF($N1557="","",IF(Sync!$O1557="",0,Sync!$O1557))</f>
        <v/>
      </c>
      <c r="V1557">
        <f>IF($N1557="","",Sync!$L1557)</f>
        <v/>
      </c>
      <c r="W1557">
        <f>IF($N1557="","",Sync!$P1557)</f>
        <v/>
      </c>
    </row>
    <row r="1558">
      <c r="N1558">
        <f>IF(OR(Sync!$M1558="",$Q1558="",$Q1558="نامعتبر"),"",Sync!$M1558)</f>
        <v/>
      </c>
      <c r="O1558">
        <f>IF($N1558="","",$Q1558)</f>
        <v/>
      </c>
      <c r="P1558">
        <f>IF($N1558="","",LEFT($Q1558,4)&amp;MID($Q1558,6,2)&amp;RIGHT($Q1558,2)&amp;IF(Sync!$K1558="","0000",IF(AND(ISNUMBER(Sync!$K1558),Sync!$K1558&gt;=0,Sync!$K1558&lt;1),RIGHT("00"&amp;HOUR(Sync!$K1558),2)&amp;RIGHT("00"&amp;MINUTE(Sync!$K1558),2),IFERROR(RIGHT("00"&amp;VALUE(LEFT(Sync!$K1558,FIND(":",Sync!$K1558)-1)),2)&amp;RIGHT("00"&amp;VALUE(MID(Sync!$K1558,FIND(":",Sync!$K1558)+1,2)),2),"0000")))&amp;"|"&amp;"2"&amp;RIGHT("00000"&amp;1553,5))</f>
        <v/>
      </c>
      <c r="Q1558">
        <f>IF(Sync!$J1558="","",IF(ISNUMBER(Sync!$J1558),IF(AND(Sync!$J1558&gt;=10000101,Sync!$J1558&lt;=99991231),INT(Sync!$J1558/10000)&amp;"/"&amp;RIGHT("00"&amp;INT(MOD(Sync!$J1558,10000)/100),2)&amp;"/"&amp;RIGHT("00"&amp;MOD(Sync!$J1558,100),2),"نامعتبر"),IF(LEN(Sync!$J1558)=10,Sync!$J1558,"نامعتبر")))</f>
        <v/>
      </c>
      <c r="R1558">
        <f>IF($P1558="","",COUNTIFS($N$6:$N$2005,$N1558,$P$6:$P$2005,"&lt;"&amp;$P1558)+COUNTIFS($A$6:$A$1005,$N1558,$B$6:$B$1005,"&lt;"&amp;$P1558)+1)</f>
        <v/>
      </c>
      <c r="S1558">
        <f>IF($N1558="","",$N1558&amp;"|"&amp;RIGHT("000000"&amp;$R1558,6))</f>
        <v/>
      </c>
      <c r="T1558">
        <f>IF($N1558="","",IF(Sync!$N1558="",0,Sync!$N1558))</f>
        <v/>
      </c>
      <c r="U1558">
        <f>IF($N1558="","",IF(Sync!$O1558="",0,Sync!$O1558))</f>
        <v/>
      </c>
      <c r="V1558">
        <f>IF($N1558="","",Sync!$L1558)</f>
        <v/>
      </c>
      <c r="W1558">
        <f>IF($N1558="","",Sync!$P1558)</f>
        <v/>
      </c>
    </row>
    <row r="1559">
      <c r="N1559">
        <f>IF(OR(Sync!$M1559="",$Q1559="",$Q1559="نامعتبر"),"",Sync!$M1559)</f>
        <v/>
      </c>
      <c r="O1559">
        <f>IF($N1559="","",$Q1559)</f>
        <v/>
      </c>
      <c r="P1559">
        <f>IF($N1559="","",LEFT($Q1559,4)&amp;MID($Q1559,6,2)&amp;RIGHT($Q1559,2)&amp;IF(Sync!$K1559="","0000",IF(AND(ISNUMBER(Sync!$K1559),Sync!$K1559&gt;=0,Sync!$K1559&lt;1),RIGHT("00"&amp;HOUR(Sync!$K1559),2)&amp;RIGHT("00"&amp;MINUTE(Sync!$K1559),2),IFERROR(RIGHT("00"&amp;VALUE(LEFT(Sync!$K1559,FIND(":",Sync!$K1559)-1)),2)&amp;RIGHT("00"&amp;VALUE(MID(Sync!$K1559,FIND(":",Sync!$K1559)+1,2)),2),"0000")))&amp;"|"&amp;"2"&amp;RIGHT("00000"&amp;1554,5))</f>
        <v/>
      </c>
      <c r="Q1559">
        <f>IF(Sync!$J1559="","",IF(ISNUMBER(Sync!$J1559),IF(AND(Sync!$J1559&gt;=10000101,Sync!$J1559&lt;=99991231),INT(Sync!$J1559/10000)&amp;"/"&amp;RIGHT("00"&amp;INT(MOD(Sync!$J1559,10000)/100),2)&amp;"/"&amp;RIGHT("00"&amp;MOD(Sync!$J1559,100),2),"نامعتبر"),IF(LEN(Sync!$J1559)=10,Sync!$J1559,"نامعتبر")))</f>
        <v/>
      </c>
      <c r="R1559">
        <f>IF($P1559="","",COUNTIFS($N$6:$N$2005,$N1559,$P$6:$P$2005,"&lt;"&amp;$P1559)+COUNTIFS($A$6:$A$1005,$N1559,$B$6:$B$1005,"&lt;"&amp;$P1559)+1)</f>
        <v/>
      </c>
      <c r="S1559">
        <f>IF($N1559="","",$N1559&amp;"|"&amp;RIGHT("000000"&amp;$R1559,6))</f>
        <v/>
      </c>
      <c r="T1559">
        <f>IF($N1559="","",IF(Sync!$N1559="",0,Sync!$N1559))</f>
        <v/>
      </c>
      <c r="U1559">
        <f>IF($N1559="","",IF(Sync!$O1559="",0,Sync!$O1559))</f>
        <v/>
      </c>
      <c r="V1559">
        <f>IF($N1559="","",Sync!$L1559)</f>
        <v/>
      </c>
      <c r="W1559">
        <f>IF($N1559="","",Sync!$P1559)</f>
        <v/>
      </c>
    </row>
    <row r="1560">
      <c r="N1560">
        <f>IF(OR(Sync!$M1560="",$Q1560="",$Q1560="نامعتبر"),"",Sync!$M1560)</f>
        <v/>
      </c>
      <c r="O1560">
        <f>IF($N1560="","",$Q1560)</f>
        <v/>
      </c>
      <c r="P1560">
        <f>IF($N1560="","",LEFT($Q1560,4)&amp;MID($Q1560,6,2)&amp;RIGHT($Q1560,2)&amp;IF(Sync!$K1560="","0000",IF(AND(ISNUMBER(Sync!$K1560),Sync!$K1560&gt;=0,Sync!$K1560&lt;1),RIGHT("00"&amp;HOUR(Sync!$K1560),2)&amp;RIGHT("00"&amp;MINUTE(Sync!$K1560),2),IFERROR(RIGHT("00"&amp;VALUE(LEFT(Sync!$K1560,FIND(":",Sync!$K1560)-1)),2)&amp;RIGHT("00"&amp;VALUE(MID(Sync!$K1560,FIND(":",Sync!$K1560)+1,2)),2),"0000")))&amp;"|"&amp;"2"&amp;RIGHT("00000"&amp;1555,5))</f>
        <v/>
      </c>
      <c r="Q1560">
        <f>IF(Sync!$J1560="","",IF(ISNUMBER(Sync!$J1560),IF(AND(Sync!$J1560&gt;=10000101,Sync!$J1560&lt;=99991231),INT(Sync!$J1560/10000)&amp;"/"&amp;RIGHT("00"&amp;INT(MOD(Sync!$J1560,10000)/100),2)&amp;"/"&amp;RIGHT("00"&amp;MOD(Sync!$J1560,100),2),"نامعتبر"),IF(LEN(Sync!$J1560)=10,Sync!$J1560,"نامعتبر")))</f>
        <v/>
      </c>
      <c r="R1560">
        <f>IF($P1560="","",COUNTIFS($N$6:$N$2005,$N1560,$P$6:$P$2005,"&lt;"&amp;$P1560)+COUNTIFS($A$6:$A$1005,$N1560,$B$6:$B$1005,"&lt;"&amp;$P1560)+1)</f>
        <v/>
      </c>
      <c r="S1560">
        <f>IF($N1560="","",$N1560&amp;"|"&amp;RIGHT("000000"&amp;$R1560,6))</f>
        <v/>
      </c>
      <c r="T1560">
        <f>IF($N1560="","",IF(Sync!$N1560="",0,Sync!$N1560))</f>
        <v/>
      </c>
      <c r="U1560">
        <f>IF($N1560="","",IF(Sync!$O1560="",0,Sync!$O1560))</f>
        <v/>
      </c>
      <c r="V1560">
        <f>IF($N1560="","",Sync!$L1560)</f>
        <v/>
      </c>
      <c r="W1560">
        <f>IF($N1560="","",Sync!$P1560)</f>
        <v/>
      </c>
    </row>
    <row r="1561">
      <c r="N1561">
        <f>IF(OR(Sync!$M1561="",$Q1561="",$Q1561="نامعتبر"),"",Sync!$M1561)</f>
        <v/>
      </c>
      <c r="O1561">
        <f>IF($N1561="","",$Q1561)</f>
        <v/>
      </c>
      <c r="P1561">
        <f>IF($N1561="","",LEFT($Q1561,4)&amp;MID($Q1561,6,2)&amp;RIGHT($Q1561,2)&amp;IF(Sync!$K1561="","0000",IF(AND(ISNUMBER(Sync!$K1561),Sync!$K1561&gt;=0,Sync!$K1561&lt;1),RIGHT("00"&amp;HOUR(Sync!$K1561),2)&amp;RIGHT("00"&amp;MINUTE(Sync!$K1561),2),IFERROR(RIGHT("00"&amp;VALUE(LEFT(Sync!$K1561,FIND(":",Sync!$K1561)-1)),2)&amp;RIGHT("00"&amp;VALUE(MID(Sync!$K1561,FIND(":",Sync!$K1561)+1,2)),2),"0000")))&amp;"|"&amp;"2"&amp;RIGHT("00000"&amp;1556,5))</f>
        <v/>
      </c>
      <c r="Q1561">
        <f>IF(Sync!$J1561="","",IF(ISNUMBER(Sync!$J1561),IF(AND(Sync!$J1561&gt;=10000101,Sync!$J1561&lt;=99991231),INT(Sync!$J1561/10000)&amp;"/"&amp;RIGHT("00"&amp;INT(MOD(Sync!$J1561,10000)/100),2)&amp;"/"&amp;RIGHT("00"&amp;MOD(Sync!$J1561,100),2),"نامعتبر"),IF(LEN(Sync!$J1561)=10,Sync!$J1561,"نامعتبر")))</f>
        <v/>
      </c>
      <c r="R1561">
        <f>IF($P1561="","",COUNTIFS($N$6:$N$2005,$N1561,$P$6:$P$2005,"&lt;"&amp;$P1561)+COUNTIFS($A$6:$A$1005,$N1561,$B$6:$B$1005,"&lt;"&amp;$P1561)+1)</f>
        <v/>
      </c>
      <c r="S1561">
        <f>IF($N1561="","",$N1561&amp;"|"&amp;RIGHT("000000"&amp;$R1561,6))</f>
        <v/>
      </c>
      <c r="T1561">
        <f>IF($N1561="","",IF(Sync!$N1561="",0,Sync!$N1561))</f>
        <v/>
      </c>
      <c r="U1561">
        <f>IF($N1561="","",IF(Sync!$O1561="",0,Sync!$O1561))</f>
        <v/>
      </c>
      <c r="V1561">
        <f>IF($N1561="","",Sync!$L1561)</f>
        <v/>
      </c>
      <c r="W1561">
        <f>IF($N1561="","",Sync!$P1561)</f>
        <v/>
      </c>
    </row>
    <row r="1562">
      <c r="N1562">
        <f>IF(OR(Sync!$M1562="",$Q1562="",$Q1562="نامعتبر"),"",Sync!$M1562)</f>
        <v/>
      </c>
      <c r="O1562">
        <f>IF($N1562="","",$Q1562)</f>
        <v/>
      </c>
      <c r="P1562">
        <f>IF($N1562="","",LEFT($Q1562,4)&amp;MID($Q1562,6,2)&amp;RIGHT($Q1562,2)&amp;IF(Sync!$K1562="","0000",IF(AND(ISNUMBER(Sync!$K1562),Sync!$K1562&gt;=0,Sync!$K1562&lt;1),RIGHT("00"&amp;HOUR(Sync!$K1562),2)&amp;RIGHT("00"&amp;MINUTE(Sync!$K1562),2),IFERROR(RIGHT("00"&amp;VALUE(LEFT(Sync!$K1562,FIND(":",Sync!$K1562)-1)),2)&amp;RIGHT("00"&amp;VALUE(MID(Sync!$K1562,FIND(":",Sync!$K1562)+1,2)),2),"0000")))&amp;"|"&amp;"2"&amp;RIGHT("00000"&amp;1557,5))</f>
        <v/>
      </c>
      <c r="Q1562">
        <f>IF(Sync!$J1562="","",IF(ISNUMBER(Sync!$J1562),IF(AND(Sync!$J1562&gt;=10000101,Sync!$J1562&lt;=99991231),INT(Sync!$J1562/10000)&amp;"/"&amp;RIGHT("00"&amp;INT(MOD(Sync!$J1562,10000)/100),2)&amp;"/"&amp;RIGHT("00"&amp;MOD(Sync!$J1562,100),2),"نامعتبر"),IF(LEN(Sync!$J1562)=10,Sync!$J1562,"نامعتبر")))</f>
        <v/>
      </c>
      <c r="R1562">
        <f>IF($P1562="","",COUNTIFS($N$6:$N$2005,$N1562,$P$6:$P$2005,"&lt;"&amp;$P1562)+COUNTIFS($A$6:$A$1005,$N1562,$B$6:$B$1005,"&lt;"&amp;$P1562)+1)</f>
        <v/>
      </c>
      <c r="S1562">
        <f>IF($N1562="","",$N1562&amp;"|"&amp;RIGHT("000000"&amp;$R1562,6))</f>
        <v/>
      </c>
      <c r="T1562">
        <f>IF($N1562="","",IF(Sync!$N1562="",0,Sync!$N1562))</f>
        <v/>
      </c>
      <c r="U1562">
        <f>IF($N1562="","",IF(Sync!$O1562="",0,Sync!$O1562))</f>
        <v/>
      </c>
      <c r="V1562">
        <f>IF($N1562="","",Sync!$L1562)</f>
        <v/>
      </c>
      <c r="W1562">
        <f>IF($N1562="","",Sync!$P1562)</f>
        <v/>
      </c>
    </row>
    <row r="1563">
      <c r="N1563">
        <f>IF(OR(Sync!$M1563="",$Q1563="",$Q1563="نامعتبر"),"",Sync!$M1563)</f>
        <v/>
      </c>
      <c r="O1563">
        <f>IF($N1563="","",$Q1563)</f>
        <v/>
      </c>
      <c r="P1563">
        <f>IF($N1563="","",LEFT($Q1563,4)&amp;MID($Q1563,6,2)&amp;RIGHT($Q1563,2)&amp;IF(Sync!$K1563="","0000",IF(AND(ISNUMBER(Sync!$K1563),Sync!$K1563&gt;=0,Sync!$K1563&lt;1),RIGHT("00"&amp;HOUR(Sync!$K1563),2)&amp;RIGHT("00"&amp;MINUTE(Sync!$K1563),2),IFERROR(RIGHT("00"&amp;VALUE(LEFT(Sync!$K1563,FIND(":",Sync!$K1563)-1)),2)&amp;RIGHT("00"&amp;VALUE(MID(Sync!$K1563,FIND(":",Sync!$K1563)+1,2)),2),"0000")))&amp;"|"&amp;"2"&amp;RIGHT("00000"&amp;1558,5))</f>
        <v/>
      </c>
      <c r="Q1563">
        <f>IF(Sync!$J1563="","",IF(ISNUMBER(Sync!$J1563),IF(AND(Sync!$J1563&gt;=10000101,Sync!$J1563&lt;=99991231),INT(Sync!$J1563/10000)&amp;"/"&amp;RIGHT("00"&amp;INT(MOD(Sync!$J1563,10000)/100),2)&amp;"/"&amp;RIGHT("00"&amp;MOD(Sync!$J1563,100),2),"نامعتبر"),IF(LEN(Sync!$J1563)=10,Sync!$J1563,"نامعتبر")))</f>
        <v/>
      </c>
      <c r="R1563">
        <f>IF($P1563="","",COUNTIFS($N$6:$N$2005,$N1563,$P$6:$P$2005,"&lt;"&amp;$P1563)+COUNTIFS($A$6:$A$1005,$N1563,$B$6:$B$1005,"&lt;"&amp;$P1563)+1)</f>
        <v/>
      </c>
      <c r="S1563">
        <f>IF($N1563="","",$N1563&amp;"|"&amp;RIGHT("000000"&amp;$R1563,6))</f>
        <v/>
      </c>
      <c r="T1563">
        <f>IF($N1563="","",IF(Sync!$N1563="",0,Sync!$N1563))</f>
        <v/>
      </c>
      <c r="U1563">
        <f>IF($N1563="","",IF(Sync!$O1563="",0,Sync!$O1563))</f>
        <v/>
      </c>
      <c r="V1563">
        <f>IF($N1563="","",Sync!$L1563)</f>
        <v/>
      </c>
      <c r="W1563">
        <f>IF($N1563="","",Sync!$P1563)</f>
        <v/>
      </c>
    </row>
    <row r="1564">
      <c r="N1564">
        <f>IF(OR(Sync!$M1564="",$Q1564="",$Q1564="نامعتبر"),"",Sync!$M1564)</f>
        <v/>
      </c>
      <c r="O1564">
        <f>IF($N1564="","",$Q1564)</f>
        <v/>
      </c>
      <c r="P1564">
        <f>IF($N1564="","",LEFT($Q1564,4)&amp;MID($Q1564,6,2)&amp;RIGHT($Q1564,2)&amp;IF(Sync!$K1564="","0000",IF(AND(ISNUMBER(Sync!$K1564),Sync!$K1564&gt;=0,Sync!$K1564&lt;1),RIGHT("00"&amp;HOUR(Sync!$K1564),2)&amp;RIGHT("00"&amp;MINUTE(Sync!$K1564),2),IFERROR(RIGHT("00"&amp;VALUE(LEFT(Sync!$K1564,FIND(":",Sync!$K1564)-1)),2)&amp;RIGHT("00"&amp;VALUE(MID(Sync!$K1564,FIND(":",Sync!$K1564)+1,2)),2),"0000")))&amp;"|"&amp;"2"&amp;RIGHT("00000"&amp;1559,5))</f>
        <v/>
      </c>
      <c r="Q1564">
        <f>IF(Sync!$J1564="","",IF(ISNUMBER(Sync!$J1564),IF(AND(Sync!$J1564&gt;=10000101,Sync!$J1564&lt;=99991231),INT(Sync!$J1564/10000)&amp;"/"&amp;RIGHT("00"&amp;INT(MOD(Sync!$J1564,10000)/100),2)&amp;"/"&amp;RIGHT("00"&amp;MOD(Sync!$J1564,100),2),"نامعتبر"),IF(LEN(Sync!$J1564)=10,Sync!$J1564,"نامعتبر")))</f>
        <v/>
      </c>
      <c r="R1564">
        <f>IF($P1564="","",COUNTIFS($N$6:$N$2005,$N1564,$P$6:$P$2005,"&lt;"&amp;$P1564)+COUNTIFS($A$6:$A$1005,$N1564,$B$6:$B$1005,"&lt;"&amp;$P1564)+1)</f>
        <v/>
      </c>
      <c r="S1564">
        <f>IF($N1564="","",$N1564&amp;"|"&amp;RIGHT("000000"&amp;$R1564,6))</f>
        <v/>
      </c>
      <c r="T1564">
        <f>IF($N1564="","",IF(Sync!$N1564="",0,Sync!$N1564))</f>
        <v/>
      </c>
      <c r="U1564">
        <f>IF($N1564="","",IF(Sync!$O1564="",0,Sync!$O1564))</f>
        <v/>
      </c>
      <c r="V1564">
        <f>IF($N1564="","",Sync!$L1564)</f>
        <v/>
      </c>
      <c r="W1564">
        <f>IF($N1564="","",Sync!$P1564)</f>
        <v/>
      </c>
    </row>
    <row r="1565">
      <c r="N1565">
        <f>IF(OR(Sync!$M1565="",$Q1565="",$Q1565="نامعتبر"),"",Sync!$M1565)</f>
        <v/>
      </c>
      <c r="O1565">
        <f>IF($N1565="","",$Q1565)</f>
        <v/>
      </c>
      <c r="P1565">
        <f>IF($N1565="","",LEFT($Q1565,4)&amp;MID($Q1565,6,2)&amp;RIGHT($Q1565,2)&amp;IF(Sync!$K1565="","0000",IF(AND(ISNUMBER(Sync!$K1565),Sync!$K1565&gt;=0,Sync!$K1565&lt;1),RIGHT("00"&amp;HOUR(Sync!$K1565),2)&amp;RIGHT("00"&amp;MINUTE(Sync!$K1565),2),IFERROR(RIGHT("00"&amp;VALUE(LEFT(Sync!$K1565,FIND(":",Sync!$K1565)-1)),2)&amp;RIGHT("00"&amp;VALUE(MID(Sync!$K1565,FIND(":",Sync!$K1565)+1,2)),2),"0000")))&amp;"|"&amp;"2"&amp;RIGHT("00000"&amp;1560,5))</f>
        <v/>
      </c>
      <c r="Q1565">
        <f>IF(Sync!$J1565="","",IF(ISNUMBER(Sync!$J1565),IF(AND(Sync!$J1565&gt;=10000101,Sync!$J1565&lt;=99991231),INT(Sync!$J1565/10000)&amp;"/"&amp;RIGHT("00"&amp;INT(MOD(Sync!$J1565,10000)/100),2)&amp;"/"&amp;RIGHT("00"&amp;MOD(Sync!$J1565,100),2),"نامعتبر"),IF(LEN(Sync!$J1565)=10,Sync!$J1565,"نامعتبر")))</f>
        <v/>
      </c>
      <c r="R1565">
        <f>IF($P1565="","",COUNTIFS($N$6:$N$2005,$N1565,$P$6:$P$2005,"&lt;"&amp;$P1565)+COUNTIFS($A$6:$A$1005,$N1565,$B$6:$B$1005,"&lt;"&amp;$P1565)+1)</f>
        <v/>
      </c>
      <c r="S1565">
        <f>IF($N1565="","",$N1565&amp;"|"&amp;RIGHT("000000"&amp;$R1565,6))</f>
        <v/>
      </c>
      <c r="T1565">
        <f>IF($N1565="","",IF(Sync!$N1565="",0,Sync!$N1565))</f>
        <v/>
      </c>
      <c r="U1565">
        <f>IF($N1565="","",IF(Sync!$O1565="",0,Sync!$O1565))</f>
        <v/>
      </c>
      <c r="V1565">
        <f>IF($N1565="","",Sync!$L1565)</f>
        <v/>
      </c>
      <c r="W1565">
        <f>IF($N1565="","",Sync!$P1565)</f>
        <v/>
      </c>
    </row>
    <row r="1566">
      <c r="N1566">
        <f>IF(OR(Sync!$M1566="",$Q1566="",$Q1566="نامعتبر"),"",Sync!$M1566)</f>
        <v/>
      </c>
      <c r="O1566">
        <f>IF($N1566="","",$Q1566)</f>
        <v/>
      </c>
      <c r="P1566">
        <f>IF($N1566="","",LEFT($Q1566,4)&amp;MID($Q1566,6,2)&amp;RIGHT($Q1566,2)&amp;IF(Sync!$K1566="","0000",IF(AND(ISNUMBER(Sync!$K1566),Sync!$K1566&gt;=0,Sync!$K1566&lt;1),RIGHT("00"&amp;HOUR(Sync!$K1566),2)&amp;RIGHT("00"&amp;MINUTE(Sync!$K1566),2),IFERROR(RIGHT("00"&amp;VALUE(LEFT(Sync!$K1566,FIND(":",Sync!$K1566)-1)),2)&amp;RIGHT("00"&amp;VALUE(MID(Sync!$K1566,FIND(":",Sync!$K1566)+1,2)),2),"0000")))&amp;"|"&amp;"2"&amp;RIGHT("00000"&amp;1561,5))</f>
        <v/>
      </c>
      <c r="Q1566">
        <f>IF(Sync!$J1566="","",IF(ISNUMBER(Sync!$J1566),IF(AND(Sync!$J1566&gt;=10000101,Sync!$J1566&lt;=99991231),INT(Sync!$J1566/10000)&amp;"/"&amp;RIGHT("00"&amp;INT(MOD(Sync!$J1566,10000)/100),2)&amp;"/"&amp;RIGHT("00"&amp;MOD(Sync!$J1566,100),2),"نامعتبر"),IF(LEN(Sync!$J1566)=10,Sync!$J1566,"نامعتبر")))</f>
        <v/>
      </c>
      <c r="R1566">
        <f>IF($P1566="","",COUNTIFS($N$6:$N$2005,$N1566,$P$6:$P$2005,"&lt;"&amp;$P1566)+COUNTIFS($A$6:$A$1005,$N1566,$B$6:$B$1005,"&lt;"&amp;$P1566)+1)</f>
        <v/>
      </c>
      <c r="S1566">
        <f>IF($N1566="","",$N1566&amp;"|"&amp;RIGHT("000000"&amp;$R1566,6))</f>
        <v/>
      </c>
      <c r="T1566">
        <f>IF($N1566="","",IF(Sync!$N1566="",0,Sync!$N1566))</f>
        <v/>
      </c>
      <c r="U1566">
        <f>IF($N1566="","",IF(Sync!$O1566="",0,Sync!$O1566))</f>
        <v/>
      </c>
      <c r="V1566">
        <f>IF($N1566="","",Sync!$L1566)</f>
        <v/>
      </c>
      <c r="W1566">
        <f>IF($N1566="","",Sync!$P1566)</f>
        <v/>
      </c>
    </row>
    <row r="1567">
      <c r="N1567">
        <f>IF(OR(Sync!$M1567="",$Q1567="",$Q1567="نامعتبر"),"",Sync!$M1567)</f>
        <v/>
      </c>
      <c r="O1567">
        <f>IF($N1567="","",$Q1567)</f>
        <v/>
      </c>
      <c r="P1567">
        <f>IF($N1567="","",LEFT($Q1567,4)&amp;MID($Q1567,6,2)&amp;RIGHT($Q1567,2)&amp;IF(Sync!$K1567="","0000",IF(AND(ISNUMBER(Sync!$K1567),Sync!$K1567&gt;=0,Sync!$K1567&lt;1),RIGHT("00"&amp;HOUR(Sync!$K1567),2)&amp;RIGHT("00"&amp;MINUTE(Sync!$K1567),2),IFERROR(RIGHT("00"&amp;VALUE(LEFT(Sync!$K1567,FIND(":",Sync!$K1567)-1)),2)&amp;RIGHT("00"&amp;VALUE(MID(Sync!$K1567,FIND(":",Sync!$K1567)+1,2)),2),"0000")))&amp;"|"&amp;"2"&amp;RIGHT("00000"&amp;1562,5))</f>
        <v/>
      </c>
      <c r="Q1567">
        <f>IF(Sync!$J1567="","",IF(ISNUMBER(Sync!$J1567),IF(AND(Sync!$J1567&gt;=10000101,Sync!$J1567&lt;=99991231),INT(Sync!$J1567/10000)&amp;"/"&amp;RIGHT("00"&amp;INT(MOD(Sync!$J1567,10000)/100),2)&amp;"/"&amp;RIGHT("00"&amp;MOD(Sync!$J1567,100),2),"نامعتبر"),IF(LEN(Sync!$J1567)=10,Sync!$J1567,"نامعتبر")))</f>
        <v/>
      </c>
      <c r="R1567">
        <f>IF($P1567="","",COUNTIFS($N$6:$N$2005,$N1567,$P$6:$P$2005,"&lt;"&amp;$P1567)+COUNTIFS($A$6:$A$1005,$N1567,$B$6:$B$1005,"&lt;"&amp;$P1567)+1)</f>
        <v/>
      </c>
      <c r="S1567">
        <f>IF($N1567="","",$N1567&amp;"|"&amp;RIGHT("000000"&amp;$R1567,6))</f>
        <v/>
      </c>
      <c r="T1567">
        <f>IF($N1567="","",IF(Sync!$N1567="",0,Sync!$N1567))</f>
        <v/>
      </c>
      <c r="U1567">
        <f>IF($N1567="","",IF(Sync!$O1567="",0,Sync!$O1567))</f>
        <v/>
      </c>
      <c r="V1567">
        <f>IF($N1567="","",Sync!$L1567)</f>
        <v/>
      </c>
      <c r="W1567">
        <f>IF($N1567="","",Sync!$P1567)</f>
        <v/>
      </c>
    </row>
    <row r="1568">
      <c r="N1568">
        <f>IF(OR(Sync!$M1568="",$Q1568="",$Q1568="نامعتبر"),"",Sync!$M1568)</f>
        <v/>
      </c>
      <c r="O1568">
        <f>IF($N1568="","",$Q1568)</f>
        <v/>
      </c>
      <c r="P1568">
        <f>IF($N1568="","",LEFT($Q1568,4)&amp;MID($Q1568,6,2)&amp;RIGHT($Q1568,2)&amp;IF(Sync!$K1568="","0000",IF(AND(ISNUMBER(Sync!$K1568),Sync!$K1568&gt;=0,Sync!$K1568&lt;1),RIGHT("00"&amp;HOUR(Sync!$K1568),2)&amp;RIGHT("00"&amp;MINUTE(Sync!$K1568),2),IFERROR(RIGHT("00"&amp;VALUE(LEFT(Sync!$K1568,FIND(":",Sync!$K1568)-1)),2)&amp;RIGHT("00"&amp;VALUE(MID(Sync!$K1568,FIND(":",Sync!$K1568)+1,2)),2),"0000")))&amp;"|"&amp;"2"&amp;RIGHT("00000"&amp;1563,5))</f>
        <v/>
      </c>
      <c r="Q1568">
        <f>IF(Sync!$J1568="","",IF(ISNUMBER(Sync!$J1568),IF(AND(Sync!$J1568&gt;=10000101,Sync!$J1568&lt;=99991231),INT(Sync!$J1568/10000)&amp;"/"&amp;RIGHT("00"&amp;INT(MOD(Sync!$J1568,10000)/100),2)&amp;"/"&amp;RIGHT("00"&amp;MOD(Sync!$J1568,100),2),"نامعتبر"),IF(LEN(Sync!$J1568)=10,Sync!$J1568,"نامعتبر")))</f>
        <v/>
      </c>
      <c r="R1568">
        <f>IF($P1568="","",COUNTIFS($N$6:$N$2005,$N1568,$P$6:$P$2005,"&lt;"&amp;$P1568)+COUNTIFS($A$6:$A$1005,$N1568,$B$6:$B$1005,"&lt;"&amp;$P1568)+1)</f>
        <v/>
      </c>
      <c r="S1568">
        <f>IF($N1568="","",$N1568&amp;"|"&amp;RIGHT("000000"&amp;$R1568,6))</f>
        <v/>
      </c>
      <c r="T1568">
        <f>IF($N1568="","",IF(Sync!$N1568="",0,Sync!$N1568))</f>
        <v/>
      </c>
      <c r="U1568">
        <f>IF($N1568="","",IF(Sync!$O1568="",0,Sync!$O1568))</f>
        <v/>
      </c>
      <c r="V1568">
        <f>IF($N1568="","",Sync!$L1568)</f>
        <v/>
      </c>
      <c r="W1568">
        <f>IF($N1568="","",Sync!$P1568)</f>
        <v/>
      </c>
    </row>
    <row r="1569">
      <c r="N1569">
        <f>IF(OR(Sync!$M1569="",$Q1569="",$Q1569="نامعتبر"),"",Sync!$M1569)</f>
        <v/>
      </c>
      <c r="O1569">
        <f>IF($N1569="","",$Q1569)</f>
        <v/>
      </c>
      <c r="P1569">
        <f>IF($N1569="","",LEFT($Q1569,4)&amp;MID($Q1569,6,2)&amp;RIGHT($Q1569,2)&amp;IF(Sync!$K1569="","0000",IF(AND(ISNUMBER(Sync!$K1569),Sync!$K1569&gt;=0,Sync!$K1569&lt;1),RIGHT("00"&amp;HOUR(Sync!$K1569),2)&amp;RIGHT("00"&amp;MINUTE(Sync!$K1569),2),IFERROR(RIGHT("00"&amp;VALUE(LEFT(Sync!$K1569,FIND(":",Sync!$K1569)-1)),2)&amp;RIGHT("00"&amp;VALUE(MID(Sync!$K1569,FIND(":",Sync!$K1569)+1,2)),2),"0000")))&amp;"|"&amp;"2"&amp;RIGHT("00000"&amp;1564,5))</f>
        <v/>
      </c>
      <c r="Q1569">
        <f>IF(Sync!$J1569="","",IF(ISNUMBER(Sync!$J1569),IF(AND(Sync!$J1569&gt;=10000101,Sync!$J1569&lt;=99991231),INT(Sync!$J1569/10000)&amp;"/"&amp;RIGHT("00"&amp;INT(MOD(Sync!$J1569,10000)/100),2)&amp;"/"&amp;RIGHT("00"&amp;MOD(Sync!$J1569,100),2),"نامعتبر"),IF(LEN(Sync!$J1569)=10,Sync!$J1569,"نامعتبر")))</f>
        <v/>
      </c>
      <c r="R1569">
        <f>IF($P1569="","",COUNTIFS($N$6:$N$2005,$N1569,$P$6:$P$2005,"&lt;"&amp;$P1569)+COUNTIFS($A$6:$A$1005,$N1569,$B$6:$B$1005,"&lt;"&amp;$P1569)+1)</f>
        <v/>
      </c>
      <c r="S1569">
        <f>IF($N1569="","",$N1569&amp;"|"&amp;RIGHT("000000"&amp;$R1569,6))</f>
        <v/>
      </c>
      <c r="T1569">
        <f>IF($N1569="","",IF(Sync!$N1569="",0,Sync!$N1569))</f>
        <v/>
      </c>
      <c r="U1569">
        <f>IF($N1569="","",IF(Sync!$O1569="",0,Sync!$O1569))</f>
        <v/>
      </c>
      <c r="V1569">
        <f>IF($N1569="","",Sync!$L1569)</f>
        <v/>
      </c>
      <c r="W1569">
        <f>IF($N1569="","",Sync!$P1569)</f>
        <v/>
      </c>
    </row>
    <row r="1570">
      <c r="N1570">
        <f>IF(OR(Sync!$M1570="",$Q1570="",$Q1570="نامعتبر"),"",Sync!$M1570)</f>
        <v/>
      </c>
      <c r="O1570">
        <f>IF($N1570="","",$Q1570)</f>
        <v/>
      </c>
      <c r="P1570">
        <f>IF($N1570="","",LEFT($Q1570,4)&amp;MID($Q1570,6,2)&amp;RIGHT($Q1570,2)&amp;IF(Sync!$K1570="","0000",IF(AND(ISNUMBER(Sync!$K1570),Sync!$K1570&gt;=0,Sync!$K1570&lt;1),RIGHT("00"&amp;HOUR(Sync!$K1570),2)&amp;RIGHT("00"&amp;MINUTE(Sync!$K1570),2),IFERROR(RIGHT("00"&amp;VALUE(LEFT(Sync!$K1570,FIND(":",Sync!$K1570)-1)),2)&amp;RIGHT("00"&amp;VALUE(MID(Sync!$K1570,FIND(":",Sync!$K1570)+1,2)),2),"0000")))&amp;"|"&amp;"2"&amp;RIGHT("00000"&amp;1565,5))</f>
        <v/>
      </c>
      <c r="Q1570">
        <f>IF(Sync!$J1570="","",IF(ISNUMBER(Sync!$J1570),IF(AND(Sync!$J1570&gt;=10000101,Sync!$J1570&lt;=99991231),INT(Sync!$J1570/10000)&amp;"/"&amp;RIGHT("00"&amp;INT(MOD(Sync!$J1570,10000)/100),2)&amp;"/"&amp;RIGHT("00"&amp;MOD(Sync!$J1570,100),2),"نامعتبر"),IF(LEN(Sync!$J1570)=10,Sync!$J1570,"نامعتبر")))</f>
        <v/>
      </c>
      <c r="R1570">
        <f>IF($P1570="","",COUNTIFS($N$6:$N$2005,$N1570,$P$6:$P$2005,"&lt;"&amp;$P1570)+COUNTIFS($A$6:$A$1005,$N1570,$B$6:$B$1005,"&lt;"&amp;$P1570)+1)</f>
        <v/>
      </c>
      <c r="S1570">
        <f>IF($N1570="","",$N1570&amp;"|"&amp;RIGHT("000000"&amp;$R1570,6))</f>
        <v/>
      </c>
      <c r="T1570">
        <f>IF($N1570="","",IF(Sync!$N1570="",0,Sync!$N1570))</f>
        <v/>
      </c>
      <c r="U1570">
        <f>IF($N1570="","",IF(Sync!$O1570="",0,Sync!$O1570))</f>
        <v/>
      </c>
      <c r="V1570">
        <f>IF($N1570="","",Sync!$L1570)</f>
        <v/>
      </c>
      <c r="W1570">
        <f>IF($N1570="","",Sync!$P1570)</f>
        <v/>
      </c>
    </row>
    <row r="1571">
      <c r="N1571">
        <f>IF(OR(Sync!$M1571="",$Q1571="",$Q1571="نامعتبر"),"",Sync!$M1571)</f>
        <v/>
      </c>
      <c r="O1571">
        <f>IF($N1571="","",$Q1571)</f>
        <v/>
      </c>
      <c r="P1571">
        <f>IF($N1571="","",LEFT($Q1571,4)&amp;MID($Q1571,6,2)&amp;RIGHT($Q1571,2)&amp;IF(Sync!$K1571="","0000",IF(AND(ISNUMBER(Sync!$K1571),Sync!$K1571&gt;=0,Sync!$K1571&lt;1),RIGHT("00"&amp;HOUR(Sync!$K1571),2)&amp;RIGHT("00"&amp;MINUTE(Sync!$K1571),2),IFERROR(RIGHT("00"&amp;VALUE(LEFT(Sync!$K1571,FIND(":",Sync!$K1571)-1)),2)&amp;RIGHT("00"&amp;VALUE(MID(Sync!$K1571,FIND(":",Sync!$K1571)+1,2)),2),"0000")))&amp;"|"&amp;"2"&amp;RIGHT("00000"&amp;1566,5))</f>
        <v/>
      </c>
      <c r="Q1571">
        <f>IF(Sync!$J1571="","",IF(ISNUMBER(Sync!$J1571),IF(AND(Sync!$J1571&gt;=10000101,Sync!$J1571&lt;=99991231),INT(Sync!$J1571/10000)&amp;"/"&amp;RIGHT("00"&amp;INT(MOD(Sync!$J1571,10000)/100),2)&amp;"/"&amp;RIGHT("00"&amp;MOD(Sync!$J1571,100),2),"نامعتبر"),IF(LEN(Sync!$J1571)=10,Sync!$J1571,"نامعتبر")))</f>
        <v/>
      </c>
      <c r="R1571">
        <f>IF($P1571="","",COUNTIFS($N$6:$N$2005,$N1571,$P$6:$P$2005,"&lt;"&amp;$P1571)+COUNTIFS($A$6:$A$1005,$N1571,$B$6:$B$1005,"&lt;"&amp;$P1571)+1)</f>
        <v/>
      </c>
      <c r="S1571">
        <f>IF($N1571="","",$N1571&amp;"|"&amp;RIGHT("000000"&amp;$R1571,6))</f>
        <v/>
      </c>
      <c r="T1571">
        <f>IF($N1571="","",IF(Sync!$N1571="",0,Sync!$N1571))</f>
        <v/>
      </c>
      <c r="U1571">
        <f>IF($N1571="","",IF(Sync!$O1571="",0,Sync!$O1571))</f>
        <v/>
      </c>
      <c r="V1571">
        <f>IF($N1571="","",Sync!$L1571)</f>
        <v/>
      </c>
      <c r="W1571">
        <f>IF($N1571="","",Sync!$P1571)</f>
        <v/>
      </c>
    </row>
    <row r="1572">
      <c r="N1572">
        <f>IF(OR(Sync!$M1572="",$Q1572="",$Q1572="نامعتبر"),"",Sync!$M1572)</f>
        <v/>
      </c>
      <c r="O1572">
        <f>IF($N1572="","",$Q1572)</f>
        <v/>
      </c>
      <c r="P1572">
        <f>IF($N1572="","",LEFT($Q1572,4)&amp;MID($Q1572,6,2)&amp;RIGHT($Q1572,2)&amp;IF(Sync!$K1572="","0000",IF(AND(ISNUMBER(Sync!$K1572),Sync!$K1572&gt;=0,Sync!$K1572&lt;1),RIGHT("00"&amp;HOUR(Sync!$K1572),2)&amp;RIGHT("00"&amp;MINUTE(Sync!$K1572),2),IFERROR(RIGHT("00"&amp;VALUE(LEFT(Sync!$K1572,FIND(":",Sync!$K1572)-1)),2)&amp;RIGHT("00"&amp;VALUE(MID(Sync!$K1572,FIND(":",Sync!$K1572)+1,2)),2),"0000")))&amp;"|"&amp;"2"&amp;RIGHT("00000"&amp;1567,5))</f>
        <v/>
      </c>
      <c r="Q1572">
        <f>IF(Sync!$J1572="","",IF(ISNUMBER(Sync!$J1572),IF(AND(Sync!$J1572&gt;=10000101,Sync!$J1572&lt;=99991231),INT(Sync!$J1572/10000)&amp;"/"&amp;RIGHT("00"&amp;INT(MOD(Sync!$J1572,10000)/100),2)&amp;"/"&amp;RIGHT("00"&amp;MOD(Sync!$J1572,100),2),"نامعتبر"),IF(LEN(Sync!$J1572)=10,Sync!$J1572,"نامعتبر")))</f>
        <v/>
      </c>
      <c r="R1572">
        <f>IF($P1572="","",COUNTIFS($N$6:$N$2005,$N1572,$P$6:$P$2005,"&lt;"&amp;$P1572)+COUNTIFS($A$6:$A$1005,$N1572,$B$6:$B$1005,"&lt;"&amp;$P1572)+1)</f>
        <v/>
      </c>
      <c r="S1572">
        <f>IF($N1572="","",$N1572&amp;"|"&amp;RIGHT("000000"&amp;$R1572,6))</f>
        <v/>
      </c>
      <c r="T1572">
        <f>IF($N1572="","",IF(Sync!$N1572="",0,Sync!$N1572))</f>
        <v/>
      </c>
      <c r="U1572">
        <f>IF($N1572="","",IF(Sync!$O1572="",0,Sync!$O1572))</f>
        <v/>
      </c>
      <c r="V1572">
        <f>IF($N1572="","",Sync!$L1572)</f>
        <v/>
      </c>
      <c r="W1572">
        <f>IF($N1572="","",Sync!$P1572)</f>
        <v/>
      </c>
    </row>
    <row r="1573">
      <c r="N1573">
        <f>IF(OR(Sync!$M1573="",$Q1573="",$Q1573="نامعتبر"),"",Sync!$M1573)</f>
        <v/>
      </c>
      <c r="O1573">
        <f>IF($N1573="","",$Q1573)</f>
        <v/>
      </c>
      <c r="P1573">
        <f>IF($N1573="","",LEFT($Q1573,4)&amp;MID($Q1573,6,2)&amp;RIGHT($Q1573,2)&amp;IF(Sync!$K1573="","0000",IF(AND(ISNUMBER(Sync!$K1573),Sync!$K1573&gt;=0,Sync!$K1573&lt;1),RIGHT("00"&amp;HOUR(Sync!$K1573),2)&amp;RIGHT("00"&amp;MINUTE(Sync!$K1573),2),IFERROR(RIGHT("00"&amp;VALUE(LEFT(Sync!$K1573,FIND(":",Sync!$K1573)-1)),2)&amp;RIGHT("00"&amp;VALUE(MID(Sync!$K1573,FIND(":",Sync!$K1573)+1,2)),2),"0000")))&amp;"|"&amp;"2"&amp;RIGHT("00000"&amp;1568,5))</f>
        <v/>
      </c>
      <c r="Q1573">
        <f>IF(Sync!$J1573="","",IF(ISNUMBER(Sync!$J1573),IF(AND(Sync!$J1573&gt;=10000101,Sync!$J1573&lt;=99991231),INT(Sync!$J1573/10000)&amp;"/"&amp;RIGHT("00"&amp;INT(MOD(Sync!$J1573,10000)/100),2)&amp;"/"&amp;RIGHT("00"&amp;MOD(Sync!$J1573,100),2),"نامعتبر"),IF(LEN(Sync!$J1573)=10,Sync!$J1573,"نامعتبر")))</f>
        <v/>
      </c>
      <c r="R1573">
        <f>IF($P1573="","",COUNTIFS($N$6:$N$2005,$N1573,$P$6:$P$2005,"&lt;"&amp;$P1573)+COUNTIFS($A$6:$A$1005,$N1573,$B$6:$B$1005,"&lt;"&amp;$P1573)+1)</f>
        <v/>
      </c>
      <c r="S1573">
        <f>IF($N1573="","",$N1573&amp;"|"&amp;RIGHT("000000"&amp;$R1573,6))</f>
        <v/>
      </c>
      <c r="T1573">
        <f>IF($N1573="","",IF(Sync!$N1573="",0,Sync!$N1573))</f>
        <v/>
      </c>
      <c r="U1573">
        <f>IF($N1573="","",IF(Sync!$O1573="",0,Sync!$O1573))</f>
        <v/>
      </c>
      <c r="V1573">
        <f>IF($N1573="","",Sync!$L1573)</f>
        <v/>
      </c>
      <c r="W1573">
        <f>IF($N1573="","",Sync!$P1573)</f>
        <v/>
      </c>
    </row>
    <row r="1574">
      <c r="N1574">
        <f>IF(OR(Sync!$M1574="",$Q1574="",$Q1574="نامعتبر"),"",Sync!$M1574)</f>
        <v/>
      </c>
      <c r="O1574">
        <f>IF($N1574="","",$Q1574)</f>
        <v/>
      </c>
      <c r="P1574">
        <f>IF($N1574="","",LEFT($Q1574,4)&amp;MID($Q1574,6,2)&amp;RIGHT($Q1574,2)&amp;IF(Sync!$K1574="","0000",IF(AND(ISNUMBER(Sync!$K1574),Sync!$K1574&gt;=0,Sync!$K1574&lt;1),RIGHT("00"&amp;HOUR(Sync!$K1574),2)&amp;RIGHT("00"&amp;MINUTE(Sync!$K1574),2),IFERROR(RIGHT("00"&amp;VALUE(LEFT(Sync!$K1574,FIND(":",Sync!$K1574)-1)),2)&amp;RIGHT("00"&amp;VALUE(MID(Sync!$K1574,FIND(":",Sync!$K1574)+1,2)),2),"0000")))&amp;"|"&amp;"2"&amp;RIGHT("00000"&amp;1569,5))</f>
        <v/>
      </c>
      <c r="Q1574">
        <f>IF(Sync!$J1574="","",IF(ISNUMBER(Sync!$J1574),IF(AND(Sync!$J1574&gt;=10000101,Sync!$J1574&lt;=99991231),INT(Sync!$J1574/10000)&amp;"/"&amp;RIGHT("00"&amp;INT(MOD(Sync!$J1574,10000)/100),2)&amp;"/"&amp;RIGHT("00"&amp;MOD(Sync!$J1574,100),2),"نامعتبر"),IF(LEN(Sync!$J1574)=10,Sync!$J1574,"نامعتبر")))</f>
        <v/>
      </c>
      <c r="R1574">
        <f>IF($P1574="","",COUNTIFS($N$6:$N$2005,$N1574,$P$6:$P$2005,"&lt;"&amp;$P1574)+COUNTIFS($A$6:$A$1005,$N1574,$B$6:$B$1005,"&lt;"&amp;$P1574)+1)</f>
        <v/>
      </c>
      <c r="S1574">
        <f>IF($N1574="","",$N1574&amp;"|"&amp;RIGHT("000000"&amp;$R1574,6))</f>
        <v/>
      </c>
      <c r="T1574">
        <f>IF($N1574="","",IF(Sync!$N1574="",0,Sync!$N1574))</f>
        <v/>
      </c>
      <c r="U1574">
        <f>IF($N1574="","",IF(Sync!$O1574="",0,Sync!$O1574))</f>
        <v/>
      </c>
      <c r="V1574">
        <f>IF($N1574="","",Sync!$L1574)</f>
        <v/>
      </c>
      <c r="W1574">
        <f>IF($N1574="","",Sync!$P1574)</f>
        <v/>
      </c>
    </row>
    <row r="1575">
      <c r="N1575">
        <f>IF(OR(Sync!$M1575="",$Q1575="",$Q1575="نامعتبر"),"",Sync!$M1575)</f>
        <v/>
      </c>
      <c r="O1575">
        <f>IF($N1575="","",$Q1575)</f>
        <v/>
      </c>
      <c r="P1575">
        <f>IF($N1575="","",LEFT($Q1575,4)&amp;MID($Q1575,6,2)&amp;RIGHT($Q1575,2)&amp;IF(Sync!$K1575="","0000",IF(AND(ISNUMBER(Sync!$K1575),Sync!$K1575&gt;=0,Sync!$K1575&lt;1),RIGHT("00"&amp;HOUR(Sync!$K1575),2)&amp;RIGHT("00"&amp;MINUTE(Sync!$K1575),2),IFERROR(RIGHT("00"&amp;VALUE(LEFT(Sync!$K1575,FIND(":",Sync!$K1575)-1)),2)&amp;RIGHT("00"&amp;VALUE(MID(Sync!$K1575,FIND(":",Sync!$K1575)+1,2)),2),"0000")))&amp;"|"&amp;"2"&amp;RIGHT("00000"&amp;1570,5))</f>
        <v/>
      </c>
      <c r="Q1575">
        <f>IF(Sync!$J1575="","",IF(ISNUMBER(Sync!$J1575),IF(AND(Sync!$J1575&gt;=10000101,Sync!$J1575&lt;=99991231),INT(Sync!$J1575/10000)&amp;"/"&amp;RIGHT("00"&amp;INT(MOD(Sync!$J1575,10000)/100),2)&amp;"/"&amp;RIGHT("00"&amp;MOD(Sync!$J1575,100),2),"نامعتبر"),IF(LEN(Sync!$J1575)=10,Sync!$J1575,"نامعتبر")))</f>
        <v/>
      </c>
      <c r="R1575">
        <f>IF($P1575="","",COUNTIFS($N$6:$N$2005,$N1575,$P$6:$P$2005,"&lt;"&amp;$P1575)+COUNTIFS($A$6:$A$1005,$N1575,$B$6:$B$1005,"&lt;"&amp;$P1575)+1)</f>
        <v/>
      </c>
      <c r="S1575">
        <f>IF($N1575="","",$N1575&amp;"|"&amp;RIGHT("000000"&amp;$R1575,6))</f>
        <v/>
      </c>
      <c r="T1575">
        <f>IF($N1575="","",IF(Sync!$N1575="",0,Sync!$N1575))</f>
        <v/>
      </c>
      <c r="U1575">
        <f>IF($N1575="","",IF(Sync!$O1575="",0,Sync!$O1575))</f>
        <v/>
      </c>
      <c r="V1575">
        <f>IF($N1575="","",Sync!$L1575)</f>
        <v/>
      </c>
      <c r="W1575">
        <f>IF($N1575="","",Sync!$P1575)</f>
        <v/>
      </c>
    </row>
    <row r="1576">
      <c r="N1576">
        <f>IF(OR(Sync!$M1576="",$Q1576="",$Q1576="نامعتبر"),"",Sync!$M1576)</f>
        <v/>
      </c>
      <c r="O1576">
        <f>IF($N1576="","",$Q1576)</f>
        <v/>
      </c>
      <c r="P1576">
        <f>IF($N1576="","",LEFT($Q1576,4)&amp;MID($Q1576,6,2)&amp;RIGHT($Q1576,2)&amp;IF(Sync!$K1576="","0000",IF(AND(ISNUMBER(Sync!$K1576),Sync!$K1576&gt;=0,Sync!$K1576&lt;1),RIGHT("00"&amp;HOUR(Sync!$K1576),2)&amp;RIGHT("00"&amp;MINUTE(Sync!$K1576),2),IFERROR(RIGHT("00"&amp;VALUE(LEFT(Sync!$K1576,FIND(":",Sync!$K1576)-1)),2)&amp;RIGHT("00"&amp;VALUE(MID(Sync!$K1576,FIND(":",Sync!$K1576)+1,2)),2),"0000")))&amp;"|"&amp;"2"&amp;RIGHT("00000"&amp;1571,5))</f>
        <v/>
      </c>
      <c r="Q1576">
        <f>IF(Sync!$J1576="","",IF(ISNUMBER(Sync!$J1576),IF(AND(Sync!$J1576&gt;=10000101,Sync!$J1576&lt;=99991231),INT(Sync!$J1576/10000)&amp;"/"&amp;RIGHT("00"&amp;INT(MOD(Sync!$J1576,10000)/100),2)&amp;"/"&amp;RIGHT("00"&amp;MOD(Sync!$J1576,100),2),"نامعتبر"),IF(LEN(Sync!$J1576)=10,Sync!$J1576,"نامعتبر")))</f>
        <v/>
      </c>
      <c r="R1576">
        <f>IF($P1576="","",COUNTIFS($N$6:$N$2005,$N1576,$P$6:$P$2005,"&lt;"&amp;$P1576)+COUNTIFS($A$6:$A$1005,$N1576,$B$6:$B$1005,"&lt;"&amp;$P1576)+1)</f>
        <v/>
      </c>
      <c r="S1576">
        <f>IF($N1576="","",$N1576&amp;"|"&amp;RIGHT("000000"&amp;$R1576,6))</f>
        <v/>
      </c>
      <c r="T1576">
        <f>IF($N1576="","",IF(Sync!$N1576="",0,Sync!$N1576))</f>
        <v/>
      </c>
      <c r="U1576">
        <f>IF($N1576="","",IF(Sync!$O1576="",0,Sync!$O1576))</f>
        <v/>
      </c>
      <c r="V1576">
        <f>IF($N1576="","",Sync!$L1576)</f>
        <v/>
      </c>
      <c r="W1576">
        <f>IF($N1576="","",Sync!$P1576)</f>
        <v/>
      </c>
    </row>
    <row r="1577">
      <c r="N1577">
        <f>IF(OR(Sync!$M1577="",$Q1577="",$Q1577="نامعتبر"),"",Sync!$M1577)</f>
        <v/>
      </c>
      <c r="O1577">
        <f>IF($N1577="","",$Q1577)</f>
        <v/>
      </c>
      <c r="P1577">
        <f>IF($N1577="","",LEFT($Q1577,4)&amp;MID($Q1577,6,2)&amp;RIGHT($Q1577,2)&amp;IF(Sync!$K1577="","0000",IF(AND(ISNUMBER(Sync!$K1577),Sync!$K1577&gt;=0,Sync!$K1577&lt;1),RIGHT("00"&amp;HOUR(Sync!$K1577),2)&amp;RIGHT("00"&amp;MINUTE(Sync!$K1577),2),IFERROR(RIGHT("00"&amp;VALUE(LEFT(Sync!$K1577,FIND(":",Sync!$K1577)-1)),2)&amp;RIGHT("00"&amp;VALUE(MID(Sync!$K1577,FIND(":",Sync!$K1577)+1,2)),2),"0000")))&amp;"|"&amp;"2"&amp;RIGHT("00000"&amp;1572,5))</f>
        <v/>
      </c>
      <c r="Q1577">
        <f>IF(Sync!$J1577="","",IF(ISNUMBER(Sync!$J1577),IF(AND(Sync!$J1577&gt;=10000101,Sync!$J1577&lt;=99991231),INT(Sync!$J1577/10000)&amp;"/"&amp;RIGHT("00"&amp;INT(MOD(Sync!$J1577,10000)/100),2)&amp;"/"&amp;RIGHT("00"&amp;MOD(Sync!$J1577,100),2),"نامعتبر"),IF(LEN(Sync!$J1577)=10,Sync!$J1577,"نامعتبر")))</f>
        <v/>
      </c>
      <c r="R1577">
        <f>IF($P1577="","",COUNTIFS($N$6:$N$2005,$N1577,$P$6:$P$2005,"&lt;"&amp;$P1577)+COUNTIFS($A$6:$A$1005,$N1577,$B$6:$B$1005,"&lt;"&amp;$P1577)+1)</f>
        <v/>
      </c>
      <c r="S1577">
        <f>IF($N1577="","",$N1577&amp;"|"&amp;RIGHT("000000"&amp;$R1577,6))</f>
        <v/>
      </c>
      <c r="T1577">
        <f>IF($N1577="","",IF(Sync!$N1577="",0,Sync!$N1577))</f>
        <v/>
      </c>
      <c r="U1577">
        <f>IF($N1577="","",IF(Sync!$O1577="",0,Sync!$O1577))</f>
        <v/>
      </c>
      <c r="V1577">
        <f>IF($N1577="","",Sync!$L1577)</f>
        <v/>
      </c>
      <c r="W1577">
        <f>IF($N1577="","",Sync!$P1577)</f>
        <v/>
      </c>
    </row>
    <row r="1578">
      <c r="N1578">
        <f>IF(OR(Sync!$M1578="",$Q1578="",$Q1578="نامعتبر"),"",Sync!$M1578)</f>
        <v/>
      </c>
      <c r="O1578">
        <f>IF($N1578="","",$Q1578)</f>
        <v/>
      </c>
      <c r="P1578">
        <f>IF($N1578="","",LEFT($Q1578,4)&amp;MID($Q1578,6,2)&amp;RIGHT($Q1578,2)&amp;IF(Sync!$K1578="","0000",IF(AND(ISNUMBER(Sync!$K1578),Sync!$K1578&gt;=0,Sync!$K1578&lt;1),RIGHT("00"&amp;HOUR(Sync!$K1578),2)&amp;RIGHT("00"&amp;MINUTE(Sync!$K1578),2),IFERROR(RIGHT("00"&amp;VALUE(LEFT(Sync!$K1578,FIND(":",Sync!$K1578)-1)),2)&amp;RIGHT("00"&amp;VALUE(MID(Sync!$K1578,FIND(":",Sync!$K1578)+1,2)),2),"0000")))&amp;"|"&amp;"2"&amp;RIGHT("00000"&amp;1573,5))</f>
        <v/>
      </c>
      <c r="Q1578">
        <f>IF(Sync!$J1578="","",IF(ISNUMBER(Sync!$J1578),IF(AND(Sync!$J1578&gt;=10000101,Sync!$J1578&lt;=99991231),INT(Sync!$J1578/10000)&amp;"/"&amp;RIGHT("00"&amp;INT(MOD(Sync!$J1578,10000)/100),2)&amp;"/"&amp;RIGHT("00"&amp;MOD(Sync!$J1578,100),2),"نامعتبر"),IF(LEN(Sync!$J1578)=10,Sync!$J1578,"نامعتبر")))</f>
        <v/>
      </c>
      <c r="R1578">
        <f>IF($P1578="","",COUNTIFS($N$6:$N$2005,$N1578,$P$6:$P$2005,"&lt;"&amp;$P1578)+COUNTIFS($A$6:$A$1005,$N1578,$B$6:$B$1005,"&lt;"&amp;$P1578)+1)</f>
        <v/>
      </c>
      <c r="S1578">
        <f>IF($N1578="","",$N1578&amp;"|"&amp;RIGHT("000000"&amp;$R1578,6))</f>
        <v/>
      </c>
      <c r="T1578">
        <f>IF($N1578="","",IF(Sync!$N1578="",0,Sync!$N1578))</f>
        <v/>
      </c>
      <c r="U1578">
        <f>IF($N1578="","",IF(Sync!$O1578="",0,Sync!$O1578))</f>
        <v/>
      </c>
      <c r="V1578">
        <f>IF($N1578="","",Sync!$L1578)</f>
        <v/>
      </c>
      <c r="W1578">
        <f>IF($N1578="","",Sync!$P1578)</f>
        <v/>
      </c>
    </row>
    <row r="1579">
      <c r="N1579">
        <f>IF(OR(Sync!$M1579="",$Q1579="",$Q1579="نامعتبر"),"",Sync!$M1579)</f>
        <v/>
      </c>
      <c r="O1579">
        <f>IF($N1579="","",$Q1579)</f>
        <v/>
      </c>
      <c r="P1579">
        <f>IF($N1579="","",LEFT($Q1579,4)&amp;MID($Q1579,6,2)&amp;RIGHT($Q1579,2)&amp;IF(Sync!$K1579="","0000",IF(AND(ISNUMBER(Sync!$K1579),Sync!$K1579&gt;=0,Sync!$K1579&lt;1),RIGHT("00"&amp;HOUR(Sync!$K1579),2)&amp;RIGHT("00"&amp;MINUTE(Sync!$K1579),2),IFERROR(RIGHT("00"&amp;VALUE(LEFT(Sync!$K1579,FIND(":",Sync!$K1579)-1)),2)&amp;RIGHT("00"&amp;VALUE(MID(Sync!$K1579,FIND(":",Sync!$K1579)+1,2)),2),"0000")))&amp;"|"&amp;"2"&amp;RIGHT("00000"&amp;1574,5))</f>
        <v/>
      </c>
      <c r="Q1579">
        <f>IF(Sync!$J1579="","",IF(ISNUMBER(Sync!$J1579),IF(AND(Sync!$J1579&gt;=10000101,Sync!$J1579&lt;=99991231),INT(Sync!$J1579/10000)&amp;"/"&amp;RIGHT("00"&amp;INT(MOD(Sync!$J1579,10000)/100),2)&amp;"/"&amp;RIGHT("00"&amp;MOD(Sync!$J1579,100),2),"نامعتبر"),IF(LEN(Sync!$J1579)=10,Sync!$J1579,"نامعتبر")))</f>
        <v/>
      </c>
      <c r="R1579">
        <f>IF($P1579="","",COUNTIFS($N$6:$N$2005,$N1579,$P$6:$P$2005,"&lt;"&amp;$P1579)+COUNTIFS($A$6:$A$1005,$N1579,$B$6:$B$1005,"&lt;"&amp;$P1579)+1)</f>
        <v/>
      </c>
      <c r="S1579">
        <f>IF($N1579="","",$N1579&amp;"|"&amp;RIGHT("000000"&amp;$R1579,6))</f>
        <v/>
      </c>
      <c r="T1579">
        <f>IF($N1579="","",IF(Sync!$N1579="",0,Sync!$N1579))</f>
        <v/>
      </c>
      <c r="U1579">
        <f>IF($N1579="","",IF(Sync!$O1579="",0,Sync!$O1579))</f>
        <v/>
      </c>
      <c r="V1579">
        <f>IF($N1579="","",Sync!$L1579)</f>
        <v/>
      </c>
      <c r="W1579">
        <f>IF($N1579="","",Sync!$P1579)</f>
        <v/>
      </c>
    </row>
    <row r="1580">
      <c r="N1580">
        <f>IF(OR(Sync!$M1580="",$Q1580="",$Q1580="نامعتبر"),"",Sync!$M1580)</f>
        <v/>
      </c>
      <c r="O1580">
        <f>IF($N1580="","",$Q1580)</f>
        <v/>
      </c>
      <c r="P1580">
        <f>IF($N1580="","",LEFT($Q1580,4)&amp;MID($Q1580,6,2)&amp;RIGHT($Q1580,2)&amp;IF(Sync!$K1580="","0000",IF(AND(ISNUMBER(Sync!$K1580),Sync!$K1580&gt;=0,Sync!$K1580&lt;1),RIGHT("00"&amp;HOUR(Sync!$K1580),2)&amp;RIGHT("00"&amp;MINUTE(Sync!$K1580),2),IFERROR(RIGHT("00"&amp;VALUE(LEFT(Sync!$K1580,FIND(":",Sync!$K1580)-1)),2)&amp;RIGHT("00"&amp;VALUE(MID(Sync!$K1580,FIND(":",Sync!$K1580)+1,2)),2),"0000")))&amp;"|"&amp;"2"&amp;RIGHT("00000"&amp;1575,5))</f>
        <v/>
      </c>
      <c r="Q1580">
        <f>IF(Sync!$J1580="","",IF(ISNUMBER(Sync!$J1580),IF(AND(Sync!$J1580&gt;=10000101,Sync!$J1580&lt;=99991231),INT(Sync!$J1580/10000)&amp;"/"&amp;RIGHT("00"&amp;INT(MOD(Sync!$J1580,10000)/100),2)&amp;"/"&amp;RIGHT("00"&amp;MOD(Sync!$J1580,100),2),"نامعتبر"),IF(LEN(Sync!$J1580)=10,Sync!$J1580,"نامعتبر")))</f>
        <v/>
      </c>
      <c r="R1580">
        <f>IF($P1580="","",COUNTIFS($N$6:$N$2005,$N1580,$P$6:$P$2005,"&lt;"&amp;$P1580)+COUNTIFS($A$6:$A$1005,$N1580,$B$6:$B$1005,"&lt;"&amp;$P1580)+1)</f>
        <v/>
      </c>
      <c r="S1580">
        <f>IF($N1580="","",$N1580&amp;"|"&amp;RIGHT("000000"&amp;$R1580,6))</f>
        <v/>
      </c>
      <c r="T1580">
        <f>IF($N1580="","",IF(Sync!$N1580="",0,Sync!$N1580))</f>
        <v/>
      </c>
      <c r="U1580">
        <f>IF($N1580="","",IF(Sync!$O1580="",0,Sync!$O1580))</f>
        <v/>
      </c>
      <c r="V1580">
        <f>IF($N1580="","",Sync!$L1580)</f>
        <v/>
      </c>
      <c r="W1580">
        <f>IF($N1580="","",Sync!$P1580)</f>
        <v/>
      </c>
    </row>
    <row r="1581">
      <c r="N1581">
        <f>IF(OR(Sync!$M1581="",$Q1581="",$Q1581="نامعتبر"),"",Sync!$M1581)</f>
        <v/>
      </c>
      <c r="O1581">
        <f>IF($N1581="","",$Q1581)</f>
        <v/>
      </c>
      <c r="P1581">
        <f>IF($N1581="","",LEFT($Q1581,4)&amp;MID($Q1581,6,2)&amp;RIGHT($Q1581,2)&amp;IF(Sync!$K1581="","0000",IF(AND(ISNUMBER(Sync!$K1581),Sync!$K1581&gt;=0,Sync!$K1581&lt;1),RIGHT("00"&amp;HOUR(Sync!$K1581),2)&amp;RIGHT("00"&amp;MINUTE(Sync!$K1581),2),IFERROR(RIGHT("00"&amp;VALUE(LEFT(Sync!$K1581,FIND(":",Sync!$K1581)-1)),2)&amp;RIGHT("00"&amp;VALUE(MID(Sync!$K1581,FIND(":",Sync!$K1581)+1,2)),2),"0000")))&amp;"|"&amp;"2"&amp;RIGHT("00000"&amp;1576,5))</f>
        <v/>
      </c>
      <c r="Q1581">
        <f>IF(Sync!$J1581="","",IF(ISNUMBER(Sync!$J1581),IF(AND(Sync!$J1581&gt;=10000101,Sync!$J1581&lt;=99991231),INT(Sync!$J1581/10000)&amp;"/"&amp;RIGHT("00"&amp;INT(MOD(Sync!$J1581,10000)/100),2)&amp;"/"&amp;RIGHT("00"&amp;MOD(Sync!$J1581,100),2),"نامعتبر"),IF(LEN(Sync!$J1581)=10,Sync!$J1581,"نامعتبر")))</f>
        <v/>
      </c>
      <c r="R1581">
        <f>IF($P1581="","",COUNTIFS($N$6:$N$2005,$N1581,$P$6:$P$2005,"&lt;"&amp;$P1581)+COUNTIFS($A$6:$A$1005,$N1581,$B$6:$B$1005,"&lt;"&amp;$P1581)+1)</f>
        <v/>
      </c>
      <c r="S1581">
        <f>IF($N1581="","",$N1581&amp;"|"&amp;RIGHT("000000"&amp;$R1581,6))</f>
        <v/>
      </c>
      <c r="T1581">
        <f>IF($N1581="","",IF(Sync!$N1581="",0,Sync!$N1581))</f>
        <v/>
      </c>
      <c r="U1581">
        <f>IF($N1581="","",IF(Sync!$O1581="",0,Sync!$O1581))</f>
        <v/>
      </c>
      <c r="V1581">
        <f>IF($N1581="","",Sync!$L1581)</f>
        <v/>
      </c>
      <c r="W1581">
        <f>IF($N1581="","",Sync!$P1581)</f>
        <v/>
      </c>
    </row>
    <row r="1582">
      <c r="N1582">
        <f>IF(OR(Sync!$M1582="",$Q1582="",$Q1582="نامعتبر"),"",Sync!$M1582)</f>
        <v/>
      </c>
      <c r="O1582">
        <f>IF($N1582="","",$Q1582)</f>
        <v/>
      </c>
      <c r="P1582">
        <f>IF($N1582="","",LEFT($Q1582,4)&amp;MID($Q1582,6,2)&amp;RIGHT($Q1582,2)&amp;IF(Sync!$K1582="","0000",IF(AND(ISNUMBER(Sync!$K1582),Sync!$K1582&gt;=0,Sync!$K1582&lt;1),RIGHT("00"&amp;HOUR(Sync!$K1582),2)&amp;RIGHT("00"&amp;MINUTE(Sync!$K1582),2),IFERROR(RIGHT("00"&amp;VALUE(LEFT(Sync!$K1582,FIND(":",Sync!$K1582)-1)),2)&amp;RIGHT("00"&amp;VALUE(MID(Sync!$K1582,FIND(":",Sync!$K1582)+1,2)),2),"0000")))&amp;"|"&amp;"2"&amp;RIGHT("00000"&amp;1577,5))</f>
        <v/>
      </c>
      <c r="Q1582">
        <f>IF(Sync!$J1582="","",IF(ISNUMBER(Sync!$J1582),IF(AND(Sync!$J1582&gt;=10000101,Sync!$J1582&lt;=99991231),INT(Sync!$J1582/10000)&amp;"/"&amp;RIGHT("00"&amp;INT(MOD(Sync!$J1582,10000)/100),2)&amp;"/"&amp;RIGHT("00"&amp;MOD(Sync!$J1582,100),2),"نامعتبر"),IF(LEN(Sync!$J1582)=10,Sync!$J1582,"نامعتبر")))</f>
        <v/>
      </c>
      <c r="R1582">
        <f>IF($P1582="","",COUNTIFS($N$6:$N$2005,$N1582,$P$6:$P$2005,"&lt;"&amp;$P1582)+COUNTIFS($A$6:$A$1005,$N1582,$B$6:$B$1005,"&lt;"&amp;$P1582)+1)</f>
        <v/>
      </c>
      <c r="S1582">
        <f>IF($N1582="","",$N1582&amp;"|"&amp;RIGHT("000000"&amp;$R1582,6))</f>
        <v/>
      </c>
      <c r="T1582">
        <f>IF($N1582="","",IF(Sync!$N1582="",0,Sync!$N1582))</f>
        <v/>
      </c>
      <c r="U1582">
        <f>IF($N1582="","",IF(Sync!$O1582="",0,Sync!$O1582))</f>
        <v/>
      </c>
      <c r="V1582">
        <f>IF($N1582="","",Sync!$L1582)</f>
        <v/>
      </c>
      <c r="W1582">
        <f>IF($N1582="","",Sync!$P1582)</f>
        <v/>
      </c>
    </row>
    <row r="1583">
      <c r="N1583">
        <f>IF(OR(Sync!$M1583="",$Q1583="",$Q1583="نامعتبر"),"",Sync!$M1583)</f>
        <v/>
      </c>
      <c r="O1583">
        <f>IF($N1583="","",$Q1583)</f>
        <v/>
      </c>
      <c r="P1583">
        <f>IF($N1583="","",LEFT($Q1583,4)&amp;MID($Q1583,6,2)&amp;RIGHT($Q1583,2)&amp;IF(Sync!$K1583="","0000",IF(AND(ISNUMBER(Sync!$K1583),Sync!$K1583&gt;=0,Sync!$K1583&lt;1),RIGHT("00"&amp;HOUR(Sync!$K1583),2)&amp;RIGHT("00"&amp;MINUTE(Sync!$K1583),2),IFERROR(RIGHT("00"&amp;VALUE(LEFT(Sync!$K1583,FIND(":",Sync!$K1583)-1)),2)&amp;RIGHT("00"&amp;VALUE(MID(Sync!$K1583,FIND(":",Sync!$K1583)+1,2)),2),"0000")))&amp;"|"&amp;"2"&amp;RIGHT("00000"&amp;1578,5))</f>
        <v/>
      </c>
      <c r="Q1583">
        <f>IF(Sync!$J1583="","",IF(ISNUMBER(Sync!$J1583),IF(AND(Sync!$J1583&gt;=10000101,Sync!$J1583&lt;=99991231),INT(Sync!$J1583/10000)&amp;"/"&amp;RIGHT("00"&amp;INT(MOD(Sync!$J1583,10000)/100),2)&amp;"/"&amp;RIGHT("00"&amp;MOD(Sync!$J1583,100),2),"نامعتبر"),IF(LEN(Sync!$J1583)=10,Sync!$J1583,"نامعتبر")))</f>
        <v/>
      </c>
      <c r="R1583">
        <f>IF($P1583="","",COUNTIFS($N$6:$N$2005,$N1583,$P$6:$P$2005,"&lt;"&amp;$P1583)+COUNTIFS($A$6:$A$1005,$N1583,$B$6:$B$1005,"&lt;"&amp;$P1583)+1)</f>
        <v/>
      </c>
      <c r="S1583">
        <f>IF($N1583="","",$N1583&amp;"|"&amp;RIGHT("000000"&amp;$R1583,6))</f>
        <v/>
      </c>
      <c r="T1583">
        <f>IF($N1583="","",IF(Sync!$N1583="",0,Sync!$N1583))</f>
        <v/>
      </c>
      <c r="U1583">
        <f>IF($N1583="","",IF(Sync!$O1583="",0,Sync!$O1583))</f>
        <v/>
      </c>
      <c r="V1583">
        <f>IF($N1583="","",Sync!$L1583)</f>
        <v/>
      </c>
      <c r="W1583">
        <f>IF($N1583="","",Sync!$P1583)</f>
        <v/>
      </c>
    </row>
    <row r="1584">
      <c r="N1584">
        <f>IF(OR(Sync!$M1584="",$Q1584="",$Q1584="نامعتبر"),"",Sync!$M1584)</f>
        <v/>
      </c>
      <c r="O1584">
        <f>IF($N1584="","",$Q1584)</f>
        <v/>
      </c>
      <c r="P1584">
        <f>IF($N1584="","",LEFT($Q1584,4)&amp;MID($Q1584,6,2)&amp;RIGHT($Q1584,2)&amp;IF(Sync!$K1584="","0000",IF(AND(ISNUMBER(Sync!$K1584),Sync!$K1584&gt;=0,Sync!$K1584&lt;1),RIGHT("00"&amp;HOUR(Sync!$K1584),2)&amp;RIGHT("00"&amp;MINUTE(Sync!$K1584),2),IFERROR(RIGHT("00"&amp;VALUE(LEFT(Sync!$K1584,FIND(":",Sync!$K1584)-1)),2)&amp;RIGHT("00"&amp;VALUE(MID(Sync!$K1584,FIND(":",Sync!$K1584)+1,2)),2),"0000")))&amp;"|"&amp;"2"&amp;RIGHT("00000"&amp;1579,5))</f>
        <v/>
      </c>
      <c r="Q1584">
        <f>IF(Sync!$J1584="","",IF(ISNUMBER(Sync!$J1584),IF(AND(Sync!$J1584&gt;=10000101,Sync!$J1584&lt;=99991231),INT(Sync!$J1584/10000)&amp;"/"&amp;RIGHT("00"&amp;INT(MOD(Sync!$J1584,10000)/100),2)&amp;"/"&amp;RIGHT("00"&amp;MOD(Sync!$J1584,100),2),"نامعتبر"),IF(LEN(Sync!$J1584)=10,Sync!$J1584,"نامعتبر")))</f>
        <v/>
      </c>
      <c r="R1584">
        <f>IF($P1584="","",COUNTIFS($N$6:$N$2005,$N1584,$P$6:$P$2005,"&lt;"&amp;$P1584)+COUNTIFS($A$6:$A$1005,$N1584,$B$6:$B$1005,"&lt;"&amp;$P1584)+1)</f>
        <v/>
      </c>
      <c r="S1584">
        <f>IF($N1584="","",$N1584&amp;"|"&amp;RIGHT("000000"&amp;$R1584,6))</f>
        <v/>
      </c>
      <c r="T1584">
        <f>IF($N1584="","",IF(Sync!$N1584="",0,Sync!$N1584))</f>
        <v/>
      </c>
      <c r="U1584">
        <f>IF($N1584="","",IF(Sync!$O1584="",0,Sync!$O1584))</f>
        <v/>
      </c>
      <c r="V1584">
        <f>IF($N1584="","",Sync!$L1584)</f>
        <v/>
      </c>
      <c r="W1584">
        <f>IF($N1584="","",Sync!$P1584)</f>
        <v/>
      </c>
    </row>
    <row r="1585">
      <c r="N1585">
        <f>IF(OR(Sync!$M1585="",$Q1585="",$Q1585="نامعتبر"),"",Sync!$M1585)</f>
        <v/>
      </c>
      <c r="O1585">
        <f>IF($N1585="","",$Q1585)</f>
        <v/>
      </c>
      <c r="P1585">
        <f>IF($N1585="","",LEFT($Q1585,4)&amp;MID($Q1585,6,2)&amp;RIGHT($Q1585,2)&amp;IF(Sync!$K1585="","0000",IF(AND(ISNUMBER(Sync!$K1585),Sync!$K1585&gt;=0,Sync!$K1585&lt;1),RIGHT("00"&amp;HOUR(Sync!$K1585),2)&amp;RIGHT("00"&amp;MINUTE(Sync!$K1585),2),IFERROR(RIGHT("00"&amp;VALUE(LEFT(Sync!$K1585,FIND(":",Sync!$K1585)-1)),2)&amp;RIGHT("00"&amp;VALUE(MID(Sync!$K1585,FIND(":",Sync!$K1585)+1,2)),2),"0000")))&amp;"|"&amp;"2"&amp;RIGHT("00000"&amp;1580,5))</f>
        <v/>
      </c>
      <c r="Q1585">
        <f>IF(Sync!$J1585="","",IF(ISNUMBER(Sync!$J1585),IF(AND(Sync!$J1585&gt;=10000101,Sync!$J1585&lt;=99991231),INT(Sync!$J1585/10000)&amp;"/"&amp;RIGHT("00"&amp;INT(MOD(Sync!$J1585,10000)/100),2)&amp;"/"&amp;RIGHT("00"&amp;MOD(Sync!$J1585,100),2),"نامعتبر"),IF(LEN(Sync!$J1585)=10,Sync!$J1585,"نامعتبر")))</f>
        <v/>
      </c>
      <c r="R1585">
        <f>IF($P1585="","",COUNTIFS($N$6:$N$2005,$N1585,$P$6:$P$2005,"&lt;"&amp;$P1585)+COUNTIFS($A$6:$A$1005,$N1585,$B$6:$B$1005,"&lt;"&amp;$P1585)+1)</f>
        <v/>
      </c>
      <c r="S1585">
        <f>IF($N1585="","",$N1585&amp;"|"&amp;RIGHT("000000"&amp;$R1585,6))</f>
        <v/>
      </c>
      <c r="T1585">
        <f>IF($N1585="","",IF(Sync!$N1585="",0,Sync!$N1585))</f>
        <v/>
      </c>
      <c r="U1585">
        <f>IF($N1585="","",IF(Sync!$O1585="",0,Sync!$O1585))</f>
        <v/>
      </c>
      <c r="V1585">
        <f>IF($N1585="","",Sync!$L1585)</f>
        <v/>
      </c>
      <c r="W1585">
        <f>IF($N1585="","",Sync!$P1585)</f>
        <v/>
      </c>
    </row>
    <row r="1586">
      <c r="N1586">
        <f>IF(OR(Sync!$M1586="",$Q1586="",$Q1586="نامعتبر"),"",Sync!$M1586)</f>
        <v/>
      </c>
      <c r="O1586">
        <f>IF($N1586="","",$Q1586)</f>
        <v/>
      </c>
      <c r="P1586">
        <f>IF($N1586="","",LEFT($Q1586,4)&amp;MID($Q1586,6,2)&amp;RIGHT($Q1586,2)&amp;IF(Sync!$K1586="","0000",IF(AND(ISNUMBER(Sync!$K1586),Sync!$K1586&gt;=0,Sync!$K1586&lt;1),RIGHT("00"&amp;HOUR(Sync!$K1586),2)&amp;RIGHT("00"&amp;MINUTE(Sync!$K1586),2),IFERROR(RIGHT("00"&amp;VALUE(LEFT(Sync!$K1586,FIND(":",Sync!$K1586)-1)),2)&amp;RIGHT("00"&amp;VALUE(MID(Sync!$K1586,FIND(":",Sync!$K1586)+1,2)),2),"0000")))&amp;"|"&amp;"2"&amp;RIGHT("00000"&amp;1581,5))</f>
        <v/>
      </c>
      <c r="Q1586">
        <f>IF(Sync!$J1586="","",IF(ISNUMBER(Sync!$J1586),IF(AND(Sync!$J1586&gt;=10000101,Sync!$J1586&lt;=99991231),INT(Sync!$J1586/10000)&amp;"/"&amp;RIGHT("00"&amp;INT(MOD(Sync!$J1586,10000)/100),2)&amp;"/"&amp;RIGHT("00"&amp;MOD(Sync!$J1586,100),2),"نامعتبر"),IF(LEN(Sync!$J1586)=10,Sync!$J1586,"نامعتبر")))</f>
        <v/>
      </c>
      <c r="R1586">
        <f>IF($P1586="","",COUNTIFS($N$6:$N$2005,$N1586,$P$6:$P$2005,"&lt;"&amp;$P1586)+COUNTIFS($A$6:$A$1005,$N1586,$B$6:$B$1005,"&lt;"&amp;$P1586)+1)</f>
        <v/>
      </c>
      <c r="S1586">
        <f>IF($N1586="","",$N1586&amp;"|"&amp;RIGHT("000000"&amp;$R1586,6))</f>
        <v/>
      </c>
      <c r="T1586">
        <f>IF($N1586="","",IF(Sync!$N1586="",0,Sync!$N1586))</f>
        <v/>
      </c>
      <c r="U1586">
        <f>IF($N1586="","",IF(Sync!$O1586="",0,Sync!$O1586))</f>
        <v/>
      </c>
      <c r="V1586">
        <f>IF($N1586="","",Sync!$L1586)</f>
        <v/>
      </c>
      <c r="W1586">
        <f>IF($N1586="","",Sync!$P1586)</f>
        <v/>
      </c>
    </row>
    <row r="1587">
      <c r="N1587">
        <f>IF(OR(Sync!$M1587="",$Q1587="",$Q1587="نامعتبر"),"",Sync!$M1587)</f>
        <v/>
      </c>
      <c r="O1587">
        <f>IF($N1587="","",$Q1587)</f>
        <v/>
      </c>
      <c r="P1587">
        <f>IF($N1587="","",LEFT($Q1587,4)&amp;MID($Q1587,6,2)&amp;RIGHT($Q1587,2)&amp;IF(Sync!$K1587="","0000",IF(AND(ISNUMBER(Sync!$K1587),Sync!$K1587&gt;=0,Sync!$K1587&lt;1),RIGHT("00"&amp;HOUR(Sync!$K1587),2)&amp;RIGHT("00"&amp;MINUTE(Sync!$K1587),2),IFERROR(RIGHT("00"&amp;VALUE(LEFT(Sync!$K1587,FIND(":",Sync!$K1587)-1)),2)&amp;RIGHT("00"&amp;VALUE(MID(Sync!$K1587,FIND(":",Sync!$K1587)+1,2)),2),"0000")))&amp;"|"&amp;"2"&amp;RIGHT("00000"&amp;1582,5))</f>
        <v/>
      </c>
      <c r="Q1587">
        <f>IF(Sync!$J1587="","",IF(ISNUMBER(Sync!$J1587),IF(AND(Sync!$J1587&gt;=10000101,Sync!$J1587&lt;=99991231),INT(Sync!$J1587/10000)&amp;"/"&amp;RIGHT("00"&amp;INT(MOD(Sync!$J1587,10000)/100),2)&amp;"/"&amp;RIGHT("00"&amp;MOD(Sync!$J1587,100),2),"نامعتبر"),IF(LEN(Sync!$J1587)=10,Sync!$J1587,"نامعتبر")))</f>
        <v/>
      </c>
      <c r="R1587">
        <f>IF($P1587="","",COUNTIFS($N$6:$N$2005,$N1587,$P$6:$P$2005,"&lt;"&amp;$P1587)+COUNTIFS($A$6:$A$1005,$N1587,$B$6:$B$1005,"&lt;"&amp;$P1587)+1)</f>
        <v/>
      </c>
      <c r="S1587">
        <f>IF($N1587="","",$N1587&amp;"|"&amp;RIGHT("000000"&amp;$R1587,6))</f>
        <v/>
      </c>
      <c r="T1587">
        <f>IF($N1587="","",IF(Sync!$N1587="",0,Sync!$N1587))</f>
        <v/>
      </c>
      <c r="U1587">
        <f>IF($N1587="","",IF(Sync!$O1587="",0,Sync!$O1587))</f>
        <v/>
      </c>
      <c r="V1587">
        <f>IF($N1587="","",Sync!$L1587)</f>
        <v/>
      </c>
      <c r="W1587">
        <f>IF($N1587="","",Sync!$P1587)</f>
        <v/>
      </c>
    </row>
    <row r="1588">
      <c r="N1588">
        <f>IF(OR(Sync!$M1588="",$Q1588="",$Q1588="نامعتبر"),"",Sync!$M1588)</f>
        <v/>
      </c>
      <c r="O1588">
        <f>IF($N1588="","",$Q1588)</f>
        <v/>
      </c>
      <c r="P1588">
        <f>IF($N1588="","",LEFT($Q1588,4)&amp;MID($Q1588,6,2)&amp;RIGHT($Q1588,2)&amp;IF(Sync!$K1588="","0000",IF(AND(ISNUMBER(Sync!$K1588),Sync!$K1588&gt;=0,Sync!$K1588&lt;1),RIGHT("00"&amp;HOUR(Sync!$K1588),2)&amp;RIGHT("00"&amp;MINUTE(Sync!$K1588),2),IFERROR(RIGHT("00"&amp;VALUE(LEFT(Sync!$K1588,FIND(":",Sync!$K1588)-1)),2)&amp;RIGHT("00"&amp;VALUE(MID(Sync!$K1588,FIND(":",Sync!$K1588)+1,2)),2),"0000")))&amp;"|"&amp;"2"&amp;RIGHT("00000"&amp;1583,5))</f>
        <v/>
      </c>
      <c r="Q1588">
        <f>IF(Sync!$J1588="","",IF(ISNUMBER(Sync!$J1588),IF(AND(Sync!$J1588&gt;=10000101,Sync!$J1588&lt;=99991231),INT(Sync!$J1588/10000)&amp;"/"&amp;RIGHT("00"&amp;INT(MOD(Sync!$J1588,10000)/100),2)&amp;"/"&amp;RIGHT("00"&amp;MOD(Sync!$J1588,100),2),"نامعتبر"),IF(LEN(Sync!$J1588)=10,Sync!$J1588,"نامعتبر")))</f>
        <v/>
      </c>
      <c r="R1588">
        <f>IF($P1588="","",COUNTIFS($N$6:$N$2005,$N1588,$P$6:$P$2005,"&lt;"&amp;$P1588)+COUNTIFS($A$6:$A$1005,$N1588,$B$6:$B$1005,"&lt;"&amp;$P1588)+1)</f>
        <v/>
      </c>
      <c r="S1588">
        <f>IF($N1588="","",$N1588&amp;"|"&amp;RIGHT("000000"&amp;$R1588,6))</f>
        <v/>
      </c>
      <c r="T1588">
        <f>IF($N1588="","",IF(Sync!$N1588="",0,Sync!$N1588))</f>
        <v/>
      </c>
      <c r="U1588">
        <f>IF($N1588="","",IF(Sync!$O1588="",0,Sync!$O1588))</f>
        <v/>
      </c>
      <c r="V1588">
        <f>IF($N1588="","",Sync!$L1588)</f>
        <v/>
      </c>
      <c r="W1588">
        <f>IF($N1588="","",Sync!$P1588)</f>
        <v/>
      </c>
    </row>
    <row r="1589">
      <c r="N1589">
        <f>IF(OR(Sync!$M1589="",$Q1589="",$Q1589="نامعتبر"),"",Sync!$M1589)</f>
        <v/>
      </c>
      <c r="O1589">
        <f>IF($N1589="","",$Q1589)</f>
        <v/>
      </c>
      <c r="P1589">
        <f>IF($N1589="","",LEFT($Q1589,4)&amp;MID($Q1589,6,2)&amp;RIGHT($Q1589,2)&amp;IF(Sync!$K1589="","0000",IF(AND(ISNUMBER(Sync!$K1589),Sync!$K1589&gt;=0,Sync!$K1589&lt;1),RIGHT("00"&amp;HOUR(Sync!$K1589),2)&amp;RIGHT("00"&amp;MINUTE(Sync!$K1589),2),IFERROR(RIGHT("00"&amp;VALUE(LEFT(Sync!$K1589,FIND(":",Sync!$K1589)-1)),2)&amp;RIGHT("00"&amp;VALUE(MID(Sync!$K1589,FIND(":",Sync!$K1589)+1,2)),2),"0000")))&amp;"|"&amp;"2"&amp;RIGHT("00000"&amp;1584,5))</f>
        <v/>
      </c>
      <c r="Q1589">
        <f>IF(Sync!$J1589="","",IF(ISNUMBER(Sync!$J1589),IF(AND(Sync!$J1589&gt;=10000101,Sync!$J1589&lt;=99991231),INT(Sync!$J1589/10000)&amp;"/"&amp;RIGHT("00"&amp;INT(MOD(Sync!$J1589,10000)/100),2)&amp;"/"&amp;RIGHT("00"&amp;MOD(Sync!$J1589,100),2),"نامعتبر"),IF(LEN(Sync!$J1589)=10,Sync!$J1589,"نامعتبر")))</f>
        <v/>
      </c>
      <c r="R1589">
        <f>IF($P1589="","",COUNTIFS($N$6:$N$2005,$N1589,$P$6:$P$2005,"&lt;"&amp;$P1589)+COUNTIFS($A$6:$A$1005,$N1589,$B$6:$B$1005,"&lt;"&amp;$P1589)+1)</f>
        <v/>
      </c>
      <c r="S1589">
        <f>IF($N1589="","",$N1589&amp;"|"&amp;RIGHT("000000"&amp;$R1589,6))</f>
        <v/>
      </c>
      <c r="T1589">
        <f>IF($N1589="","",IF(Sync!$N1589="",0,Sync!$N1589))</f>
        <v/>
      </c>
      <c r="U1589">
        <f>IF($N1589="","",IF(Sync!$O1589="",0,Sync!$O1589))</f>
        <v/>
      </c>
      <c r="V1589">
        <f>IF($N1589="","",Sync!$L1589)</f>
        <v/>
      </c>
      <c r="W1589">
        <f>IF($N1589="","",Sync!$P1589)</f>
        <v/>
      </c>
    </row>
    <row r="1590">
      <c r="N1590">
        <f>IF(OR(Sync!$M1590="",$Q1590="",$Q1590="نامعتبر"),"",Sync!$M1590)</f>
        <v/>
      </c>
      <c r="O1590">
        <f>IF($N1590="","",$Q1590)</f>
        <v/>
      </c>
      <c r="P1590">
        <f>IF($N1590="","",LEFT($Q1590,4)&amp;MID($Q1590,6,2)&amp;RIGHT($Q1590,2)&amp;IF(Sync!$K1590="","0000",IF(AND(ISNUMBER(Sync!$K1590),Sync!$K1590&gt;=0,Sync!$K1590&lt;1),RIGHT("00"&amp;HOUR(Sync!$K1590),2)&amp;RIGHT("00"&amp;MINUTE(Sync!$K1590),2),IFERROR(RIGHT("00"&amp;VALUE(LEFT(Sync!$K1590,FIND(":",Sync!$K1590)-1)),2)&amp;RIGHT("00"&amp;VALUE(MID(Sync!$K1590,FIND(":",Sync!$K1590)+1,2)),2),"0000")))&amp;"|"&amp;"2"&amp;RIGHT("00000"&amp;1585,5))</f>
        <v/>
      </c>
      <c r="Q1590">
        <f>IF(Sync!$J1590="","",IF(ISNUMBER(Sync!$J1590),IF(AND(Sync!$J1590&gt;=10000101,Sync!$J1590&lt;=99991231),INT(Sync!$J1590/10000)&amp;"/"&amp;RIGHT("00"&amp;INT(MOD(Sync!$J1590,10000)/100),2)&amp;"/"&amp;RIGHT("00"&amp;MOD(Sync!$J1590,100),2),"نامعتبر"),IF(LEN(Sync!$J1590)=10,Sync!$J1590,"نامعتبر")))</f>
        <v/>
      </c>
      <c r="R1590">
        <f>IF($P1590="","",COUNTIFS($N$6:$N$2005,$N1590,$P$6:$P$2005,"&lt;"&amp;$P1590)+COUNTIFS($A$6:$A$1005,$N1590,$B$6:$B$1005,"&lt;"&amp;$P1590)+1)</f>
        <v/>
      </c>
      <c r="S1590">
        <f>IF($N1590="","",$N1590&amp;"|"&amp;RIGHT("000000"&amp;$R1590,6))</f>
        <v/>
      </c>
      <c r="T1590">
        <f>IF($N1590="","",IF(Sync!$N1590="",0,Sync!$N1590))</f>
        <v/>
      </c>
      <c r="U1590">
        <f>IF($N1590="","",IF(Sync!$O1590="",0,Sync!$O1590))</f>
        <v/>
      </c>
      <c r="V1590">
        <f>IF($N1590="","",Sync!$L1590)</f>
        <v/>
      </c>
      <c r="W1590">
        <f>IF($N1590="","",Sync!$P1590)</f>
        <v/>
      </c>
    </row>
    <row r="1591">
      <c r="N1591">
        <f>IF(OR(Sync!$M1591="",$Q1591="",$Q1591="نامعتبر"),"",Sync!$M1591)</f>
        <v/>
      </c>
      <c r="O1591">
        <f>IF($N1591="","",$Q1591)</f>
        <v/>
      </c>
      <c r="P1591">
        <f>IF($N1591="","",LEFT($Q1591,4)&amp;MID($Q1591,6,2)&amp;RIGHT($Q1591,2)&amp;IF(Sync!$K1591="","0000",IF(AND(ISNUMBER(Sync!$K1591),Sync!$K1591&gt;=0,Sync!$K1591&lt;1),RIGHT("00"&amp;HOUR(Sync!$K1591),2)&amp;RIGHT("00"&amp;MINUTE(Sync!$K1591),2),IFERROR(RIGHT("00"&amp;VALUE(LEFT(Sync!$K1591,FIND(":",Sync!$K1591)-1)),2)&amp;RIGHT("00"&amp;VALUE(MID(Sync!$K1591,FIND(":",Sync!$K1591)+1,2)),2),"0000")))&amp;"|"&amp;"2"&amp;RIGHT("00000"&amp;1586,5))</f>
        <v/>
      </c>
      <c r="Q1591">
        <f>IF(Sync!$J1591="","",IF(ISNUMBER(Sync!$J1591),IF(AND(Sync!$J1591&gt;=10000101,Sync!$J1591&lt;=99991231),INT(Sync!$J1591/10000)&amp;"/"&amp;RIGHT("00"&amp;INT(MOD(Sync!$J1591,10000)/100),2)&amp;"/"&amp;RIGHT("00"&amp;MOD(Sync!$J1591,100),2),"نامعتبر"),IF(LEN(Sync!$J1591)=10,Sync!$J1591,"نامعتبر")))</f>
        <v/>
      </c>
      <c r="R1591">
        <f>IF($P1591="","",COUNTIFS($N$6:$N$2005,$N1591,$P$6:$P$2005,"&lt;"&amp;$P1591)+COUNTIFS($A$6:$A$1005,$N1591,$B$6:$B$1005,"&lt;"&amp;$P1591)+1)</f>
        <v/>
      </c>
      <c r="S1591">
        <f>IF($N1591="","",$N1591&amp;"|"&amp;RIGHT("000000"&amp;$R1591,6))</f>
        <v/>
      </c>
      <c r="T1591">
        <f>IF($N1591="","",IF(Sync!$N1591="",0,Sync!$N1591))</f>
        <v/>
      </c>
      <c r="U1591">
        <f>IF($N1591="","",IF(Sync!$O1591="",0,Sync!$O1591))</f>
        <v/>
      </c>
      <c r="V1591">
        <f>IF($N1591="","",Sync!$L1591)</f>
        <v/>
      </c>
      <c r="W1591">
        <f>IF($N1591="","",Sync!$P1591)</f>
        <v/>
      </c>
    </row>
    <row r="1592">
      <c r="N1592">
        <f>IF(OR(Sync!$M1592="",$Q1592="",$Q1592="نامعتبر"),"",Sync!$M1592)</f>
        <v/>
      </c>
      <c r="O1592">
        <f>IF($N1592="","",$Q1592)</f>
        <v/>
      </c>
      <c r="P1592">
        <f>IF($N1592="","",LEFT($Q1592,4)&amp;MID($Q1592,6,2)&amp;RIGHT($Q1592,2)&amp;IF(Sync!$K1592="","0000",IF(AND(ISNUMBER(Sync!$K1592),Sync!$K1592&gt;=0,Sync!$K1592&lt;1),RIGHT("00"&amp;HOUR(Sync!$K1592),2)&amp;RIGHT("00"&amp;MINUTE(Sync!$K1592),2),IFERROR(RIGHT("00"&amp;VALUE(LEFT(Sync!$K1592,FIND(":",Sync!$K1592)-1)),2)&amp;RIGHT("00"&amp;VALUE(MID(Sync!$K1592,FIND(":",Sync!$K1592)+1,2)),2),"0000")))&amp;"|"&amp;"2"&amp;RIGHT("00000"&amp;1587,5))</f>
        <v/>
      </c>
      <c r="Q1592">
        <f>IF(Sync!$J1592="","",IF(ISNUMBER(Sync!$J1592),IF(AND(Sync!$J1592&gt;=10000101,Sync!$J1592&lt;=99991231),INT(Sync!$J1592/10000)&amp;"/"&amp;RIGHT("00"&amp;INT(MOD(Sync!$J1592,10000)/100),2)&amp;"/"&amp;RIGHT("00"&amp;MOD(Sync!$J1592,100),2),"نامعتبر"),IF(LEN(Sync!$J1592)=10,Sync!$J1592,"نامعتبر")))</f>
        <v/>
      </c>
      <c r="R1592">
        <f>IF($P1592="","",COUNTIFS($N$6:$N$2005,$N1592,$P$6:$P$2005,"&lt;"&amp;$P1592)+COUNTIFS($A$6:$A$1005,$N1592,$B$6:$B$1005,"&lt;"&amp;$P1592)+1)</f>
        <v/>
      </c>
      <c r="S1592">
        <f>IF($N1592="","",$N1592&amp;"|"&amp;RIGHT("000000"&amp;$R1592,6))</f>
        <v/>
      </c>
      <c r="T1592">
        <f>IF($N1592="","",IF(Sync!$N1592="",0,Sync!$N1592))</f>
        <v/>
      </c>
      <c r="U1592">
        <f>IF($N1592="","",IF(Sync!$O1592="",0,Sync!$O1592))</f>
        <v/>
      </c>
      <c r="V1592">
        <f>IF($N1592="","",Sync!$L1592)</f>
        <v/>
      </c>
      <c r="W1592">
        <f>IF($N1592="","",Sync!$P1592)</f>
        <v/>
      </c>
    </row>
    <row r="1593">
      <c r="N1593">
        <f>IF(OR(Sync!$M1593="",$Q1593="",$Q1593="نامعتبر"),"",Sync!$M1593)</f>
        <v/>
      </c>
      <c r="O1593">
        <f>IF($N1593="","",$Q1593)</f>
        <v/>
      </c>
      <c r="P1593">
        <f>IF($N1593="","",LEFT($Q1593,4)&amp;MID($Q1593,6,2)&amp;RIGHT($Q1593,2)&amp;IF(Sync!$K1593="","0000",IF(AND(ISNUMBER(Sync!$K1593),Sync!$K1593&gt;=0,Sync!$K1593&lt;1),RIGHT("00"&amp;HOUR(Sync!$K1593),2)&amp;RIGHT("00"&amp;MINUTE(Sync!$K1593),2),IFERROR(RIGHT("00"&amp;VALUE(LEFT(Sync!$K1593,FIND(":",Sync!$K1593)-1)),2)&amp;RIGHT("00"&amp;VALUE(MID(Sync!$K1593,FIND(":",Sync!$K1593)+1,2)),2),"0000")))&amp;"|"&amp;"2"&amp;RIGHT("00000"&amp;1588,5))</f>
        <v/>
      </c>
      <c r="Q1593">
        <f>IF(Sync!$J1593="","",IF(ISNUMBER(Sync!$J1593),IF(AND(Sync!$J1593&gt;=10000101,Sync!$J1593&lt;=99991231),INT(Sync!$J1593/10000)&amp;"/"&amp;RIGHT("00"&amp;INT(MOD(Sync!$J1593,10000)/100),2)&amp;"/"&amp;RIGHT("00"&amp;MOD(Sync!$J1593,100),2),"نامعتبر"),IF(LEN(Sync!$J1593)=10,Sync!$J1593,"نامعتبر")))</f>
        <v/>
      </c>
      <c r="R1593">
        <f>IF($P1593="","",COUNTIFS($N$6:$N$2005,$N1593,$P$6:$P$2005,"&lt;"&amp;$P1593)+COUNTIFS($A$6:$A$1005,$N1593,$B$6:$B$1005,"&lt;"&amp;$P1593)+1)</f>
        <v/>
      </c>
      <c r="S1593">
        <f>IF($N1593="","",$N1593&amp;"|"&amp;RIGHT("000000"&amp;$R1593,6))</f>
        <v/>
      </c>
      <c r="T1593">
        <f>IF($N1593="","",IF(Sync!$N1593="",0,Sync!$N1593))</f>
        <v/>
      </c>
      <c r="U1593">
        <f>IF($N1593="","",IF(Sync!$O1593="",0,Sync!$O1593))</f>
        <v/>
      </c>
      <c r="V1593">
        <f>IF($N1593="","",Sync!$L1593)</f>
        <v/>
      </c>
      <c r="W1593">
        <f>IF($N1593="","",Sync!$P1593)</f>
        <v/>
      </c>
    </row>
    <row r="1594">
      <c r="N1594">
        <f>IF(OR(Sync!$M1594="",$Q1594="",$Q1594="نامعتبر"),"",Sync!$M1594)</f>
        <v/>
      </c>
      <c r="O1594">
        <f>IF($N1594="","",$Q1594)</f>
        <v/>
      </c>
      <c r="P1594">
        <f>IF($N1594="","",LEFT($Q1594,4)&amp;MID($Q1594,6,2)&amp;RIGHT($Q1594,2)&amp;IF(Sync!$K1594="","0000",IF(AND(ISNUMBER(Sync!$K1594),Sync!$K1594&gt;=0,Sync!$K1594&lt;1),RIGHT("00"&amp;HOUR(Sync!$K1594),2)&amp;RIGHT("00"&amp;MINUTE(Sync!$K1594),2),IFERROR(RIGHT("00"&amp;VALUE(LEFT(Sync!$K1594,FIND(":",Sync!$K1594)-1)),2)&amp;RIGHT("00"&amp;VALUE(MID(Sync!$K1594,FIND(":",Sync!$K1594)+1,2)),2),"0000")))&amp;"|"&amp;"2"&amp;RIGHT("00000"&amp;1589,5))</f>
        <v/>
      </c>
      <c r="Q1594">
        <f>IF(Sync!$J1594="","",IF(ISNUMBER(Sync!$J1594),IF(AND(Sync!$J1594&gt;=10000101,Sync!$J1594&lt;=99991231),INT(Sync!$J1594/10000)&amp;"/"&amp;RIGHT("00"&amp;INT(MOD(Sync!$J1594,10000)/100),2)&amp;"/"&amp;RIGHT("00"&amp;MOD(Sync!$J1594,100),2),"نامعتبر"),IF(LEN(Sync!$J1594)=10,Sync!$J1594,"نامعتبر")))</f>
        <v/>
      </c>
      <c r="R1594">
        <f>IF($P1594="","",COUNTIFS($N$6:$N$2005,$N1594,$P$6:$P$2005,"&lt;"&amp;$P1594)+COUNTIFS($A$6:$A$1005,$N1594,$B$6:$B$1005,"&lt;"&amp;$P1594)+1)</f>
        <v/>
      </c>
      <c r="S1594">
        <f>IF($N1594="","",$N1594&amp;"|"&amp;RIGHT("000000"&amp;$R1594,6))</f>
        <v/>
      </c>
      <c r="T1594">
        <f>IF($N1594="","",IF(Sync!$N1594="",0,Sync!$N1594))</f>
        <v/>
      </c>
      <c r="U1594">
        <f>IF($N1594="","",IF(Sync!$O1594="",0,Sync!$O1594))</f>
        <v/>
      </c>
      <c r="V1594">
        <f>IF($N1594="","",Sync!$L1594)</f>
        <v/>
      </c>
      <c r="W1594">
        <f>IF($N1594="","",Sync!$P1594)</f>
        <v/>
      </c>
    </row>
    <row r="1595">
      <c r="N1595">
        <f>IF(OR(Sync!$M1595="",$Q1595="",$Q1595="نامعتبر"),"",Sync!$M1595)</f>
        <v/>
      </c>
      <c r="O1595">
        <f>IF($N1595="","",$Q1595)</f>
        <v/>
      </c>
      <c r="P1595">
        <f>IF($N1595="","",LEFT($Q1595,4)&amp;MID($Q1595,6,2)&amp;RIGHT($Q1595,2)&amp;IF(Sync!$K1595="","0000",IF(AND(ISNUMBER(Sync!$K1595),Sync!$K1595&gt;=0,Sync!$K1595&lt;1),RIGHT("00"&amp;HOUR(Sync!$K1595),2)&amp;RIGHT("00"&amp;MINUTE(Sync!$K1595),2),IFERROR(RIGHT("00"&amp;VALUE(LEFT(Sync!$K1595,FIND(":",Sync!$K1595)-1)),2)&amp;RIGHT("00"&amp;VALUE(MID(Sync!$K1595,FIND(":",Sync!$K1595)+1,2)),2),"0000")))&amp;"|"&amp;"2"&amp;RIGHT("00000"&amp;1590,5))</f>
        <v/>
      </c>
      <c r="Q1595">
        <f>IF(Sync!$J1595="","",IF(ISNUMBER(Sync!$J1595),IF(AND(Sync!$J1595&gt;=10000101,Sync!$J1595&lt;=99991231),INT(Sync!$J1595/10000)&amp;"/"&amp;RIGHT("00"&amp;INT(MOD(Sync!$J1595,10000)/100),2)&amp;"/"&amp;RIGHT("00"&amp;MOD(Sync!$J1595,100),2),"نامعتبر"),IF(LEN(Sync!$J1595)=10,Sync!$J1595,"نامعتبر")))</f>
        <v/>
      </c>
      <c r="R1595">
        <f>IF($P1595="","",COUNTIFS($N$6:$N$2005,$N1595,$P$6:$P$2005,"&lt;"&amp;$P1595)+COUNTIFS($A$6:$A$1005,$N1595,$B$6:$B$1005,"&lt;"&amp;$P1595)+1)</f>
        <v/>
      </c>
      <c r="S1595">
        <f>IF($N1595="","",$N1595&amp;"|"&amp;RIGHT("000000"&amp;$R1595,6))</f>
        <v/>
      </c>
      <c r="T1595">
        <f>IF($N1595="","",IF(Sync!$N1595="",0,Sync!$N1595))</f>
        <v/>
      </c>
      <c r="U1595">
        <f>IF($N1595="","",IF(Sync!$O1595="",0,Sync!$O1595))</f>
        <v/>
      </c>
      <c r="V1595">
        <f>IF($N1595="","",Sync!$L1595)</f>
        <v/>
      </c>
      <c r="W1595">
        <f>IF($N1595="","",Sync!$P1595)</f>
        <v/>
      </c>
    </row>
    <row r="1596">
      <c r="N1596">
        <f>IF(OR(Sync!$M1596="",$Q1596="",$Q1596="نامعتبر"),"",Sync!$M1596)</f>
        <v/>
      </c>
      <c r="O1596">
        <f>IF($N1596="","",$Q1596)</f>
        <v/>
      </c>
      <c r="P1596">
        <f>IF($N1596="","",LEFT($Q1596,4)&amp;MID($Q1596,6,2)&amp;RIGHT($Q1596,2)&amp;IF(Sync!$K1596="","0000",IF(AND(ISNUMBER(Sync!$K1596),Sync!$K1596&gt;=0,Sync!$K1596&lt;1),RIGHT("00"&amp;HOUR(Sync!$K1596),2)&amp;RIGHT("00"&amp;MINUTE(Sync!$K1596),2),IFERROR(RIGHT("00"&amp;VALUE(LEFT(Sync!$K1596,FIND(":",Sync!$K1596)-1)),2)&amp;RIGHT("00"&amp;VALUE(MID(Sync!$K1596,FIND(":",Sync!$K1596)+1,2)),2),"0000")))&amp;"|"&amp;"2"&amp;RIGHT("00000"&amp;1591,5))</f>
        <v/>
      </c>
      <c r="Q1596">
        <f>IF(Sync!$J1596="","",IF(ISNUMBER(Sync!$J1596),IF(AND(Sync!$J1596&gt;=10000101,Sync!$J1596&lt;=99991231),INT(Sync!$J1596/10000)&amp;"/"&amp;RIGHT("00"&amp;INT(MOD(Sync!$J1596,10000)/100),2)&amp;"/"&amp;RIGHT("00"&amp;MOD(Sync!$J1596,100),2),"نامعتبر"),IF(LEN(Sync!$J1596)=10,Sync!$J1596,"نامعتبر")))</f>
        <v/>
      </c>
      <c r="R1596">
        <f>IF($P1596="","",COUNTIFS($N$6:$N$2005,$N1596,$P$6:$P$2005,"&lt;"&amp;$P1596)+COUNTIFS($A$6:$A$1005,$N1596,$B$6:$B$1005,"&lt;"&amp;$P1596)+1)</f>
        <v/>
      </c>
      <c r="S1596">
        <f>IF($N1596="","",$N1596&amp;"|"&amp;RIGHT("000000"&amp;$R1596,6))</f>
        <v/>
      </c>
      <c r="T1596">
        <f>IF($N1596="","",IF(Sync!$N1596="",0,Sync!$N1596))</f>
        <v/>
      </c>
      <c r="U1596">
        <f>IF($N1596="","",IF(Sync!$O1596="",0,Sync!$O1596))</f>
        <v/>
      </c>
      <c r="V1596">
        <f>IF($N1596="","",Sync!$L1596)</f>
        <v/>
      </c>
      <c r="W1596">
        <f>IF($N1596="","",Sync!$P1596)</f>
        <v/>
      </c>
    </row>
    <row r="1597">
      <c r="N1597">
        <f>IF(OR(Sync!$M1597="",$Q1597="",$Q1597="نامعتبر"),"",Sync!$M1597)</f>
        <v/>
      </c>
      <c r="O1597">
        <f>IF($N1597="","",$Q1597)</f>
        <v/>
      </c>
      <c r="P1597">
        <f>IF($N1597="","",LEFT($Q1597,4)&amp;MID($Q1597,6,2)&amp;RIGHT($Q1597,2)&amp;IF(Sync!$K1597="","0000",IF(AND(ISNUMBER(Sync!$K1597),Sync!$K1597&gt;=0,Sync!$K1597&lt;1),RIGHT("00"&amp;HOUR(Sync!$K1597),2)&amp;RIGHT("00"&amp;MINUTE(Sync!$K1597),2),IFERROR(RIGHT("00"&amp;VALUE(LEFT(Sync!$K1597,FIND(":",Sync!$K1597)-1)),2)&amp;RIGHT("00"&amp;VALUE(MID(Sync!$K1597,FIND(":",Sync!$K1597)+1,2)),2),"0000")))&amp;"|"&amp;"2"&amp;RIGHT("00000"&amp;1592,5))</f>
        <v/>
      </c>
      <c r="Q1597">
        <f>IF(Sync!$J1597="","",IF(ISNUMBER(Sync!$J1597),IF(AND(Sync!$J1597&gt;=10000101,Sync!$J1597&lt;=99991231),INT(Sync!$J1597/10000)&amp;"/"&amp;RIGHT("00"&amp;INT(MOD(Sync!$J1597,10000)/100),2)&amp;"/"&amp;RIGHT("00"&amp;MOD(Sync!$J1597,100),2),"نامعتبر"),IF(LEN(Sync!$J1597)=10,Sync!$J1597,"نامعتبر")))</f>
        <v/>
      </c>
      <c r="R1597">
        <f>IF($P1597="","",COUNTIFS($N$6:$N$2005,$N1597,$P$6:$P$2005,"&lt;"&amp;$P1597)+COUNTIFS($A$6:$A$1005,$N1597,$B$6:$B$1005,"&lt;"&amp;$P1597)+1)</f>
        <v/>
      </c>
      <c r="S1597">
        <f>IF($N1597="","",$N1597&amp;"|"&amp;RIGHT("000000"&amp;$R1597,6))</f>
        <v/>
      </c>
      <c r="T1597">
        <f>IF($N1597="","",IF(Sync!$N1597="",0,Sync!$N1597))</f>
        <v/>
      </c>
      <c r="U1597">
        <f>IF($N1597="","",IF(Sync!$O1597="",0,Sync!$O1597))</f>
        <v/>
      </c>
      <c r="V1597">
        <f>IF($N1597="","",Sync!$L1597)</f>
        <v/>
      </c>
      <c r="W1597">
        <f>IF($N1597="","",Sync!$P1597)</f>
        <v/>
      </c>
    </row>
    <row r="1598">
      <c r="N1598">
        <f>IF(OR(Sync!$M1598="",$Q1598="",$Q1598="نامعتبر"),"",Sync!$M1598)</f>
        <v/>
      </c>
      <c r="O1598">
        <f>IF($N1598="","",$Q1598)</f>
        <v/>
      </c>
      <c r="P1598">
        <f>IF($N1598="","",LEFT($Q1598,4)&amp;MID($Q1598,6,2)&amp;RIGHT($Q1598,2)&amp;IF(Sync!$K1598="","0000",IF(AND(ISNUMBER(Sync!$K1598),Sync!$K1598&gt;=0,Sync!$K1598&lt;1),RIGHT("00"&amp;HOUR(Sync!$K1598),2)&amp;RIGHT("00"&amp;MINUTE(Sync!$K1598),2),IFERROR(RIGHT("00"&amp;VALUE(LEFT(Sync!$K1598,FIND(":",Sync!$K1598)-1)),2)&amp;RIGHT("00"&amp;VALUE(MID(Sync!$K1598,FIND(":",Sync!$K1598)+1,2)),2),"0000")))&amp;"|"&amp;"2"&amp;RIGHT("00000"&amp;1593,5))</f>
        <v/>
      </c>
      <c r="Q1598">
        <f>IF(Sync!$J1598="","",IF(ISNUMBER(Sync!$J1598),IF(AND(Sync!$J1598&gt;=10000101,Sync!$J1598&lt;=99991231),INT(Sync!$J1598/10000)&amp;"/"&amp;RIGHT("00"&amp;INT(MOD(Sync!$J1598,10000)/100),2)&amp;"/"&amp;RIGHT("00"&amp;MOD(Sync!$J1598,100),2),"نامعتبر"),IF(LEN(Sync!$J1598)=10,Sync!$J1598,"نامعتبر")))</f>
        <v/>
      </c>
      <c r="R1598">
        <f>IF($P1598="","",COUNTIFS($N$6:$N$2005,$N1598,$P$6:$P$2005,"&lt;"&amp;$P1598)+COUNTIFS($A$6:$A$1005,$N1598,$B$6:$B$1005,"&lt;"&amp;$P1598)+1)</f>
        <v/>
      </c>
      <c r="S1598">
        <f>IF($N1598="","",$N1598&amp;"|"&amp;RIGHT("000000"&amp;$R1598,6))</f>
        <v/>
      </c>
      <c r="T1598">
        <f>IF($N1598="","",IF(Sync!$N1598="",0,Sync!$N1598))</f>
        <v/>
      </c>
      <c r="U1598">
        <f>IF($N1598="","",IF(Sync!$O1598="",0,Sync!$O1598))</f>
        <v/>
      </c>
      <c r="V1598">
        <f>IF($N1598="","",Sync!$L1598)</f>
        <v/>
      </c>
      <c r="W1598">
        <f>IF($N1598="","",Sync!$P1598)</f>
        <v/>
      </c>
    </row>
    <row r="1599">
      <c r="N1599">
        <f>IF(OR(Sync!$M1599="",$Q1599="",$Q1599="نامعتبر"),"",Sync!$M1599)</f>
        <v/>
      </c>
      <c r="O1599">
        <f>IF($N1599="","",$Q1599)</f>
        <v/>
      </c>
      <c r="P1599">
        <f>IF($N1599="","",LEFT($Q1599,4)&amp;MID($Q1599,6,2)&amp;RIGHT($Q1599,2)&amp;IF(Sync!$K1599="","0000",IF(AND(ISNUMBER(Sync!$K1599),Sync!$K1599&gt;=0,Sync!$K1599&lt;1),RIGHT("00"&amp;HOUR(Sync!$K1599),2)&amp;RIGHT("00"&amp;MINUTE(Sync!$K1599),2),IFERROR(RIGHT("00"&amp;VALUE(LEFT(Sync!$K1599,FIND(":",Sync!$K1599)-1)),2)&amp;RIGHT("00"&amp;VALUE(MID(Sync!$K1599,FIND(":",Sync!$K1599)+1,2)),2),"0000")))&amp;"|"&amp;"2"&amp;RIGHT("00000"&amp;1594,5))</f>
        <v/>
      </c>
      <c r="Q1599">
        <f>IF(Sync!$J1599="","",IF(ISNUMBER(Sync!$J1599),IF(AND(Sync!$J1599&gt;=10000101,Sync!$J1599&lt;=99991231),INT(Sync!$J1599/10000)&amp;"/"&amp;RIGHT("00"&amp;INT(MOD(Sync!$J1599,10000)/100),2)&amp;"/"&amp;RIGHT("00"&amp;MOD(Sync!$J1599,100),2),"نامعتبر"),IF(LEN(Sync!$J1599)=10,Sync!$J1599,"نامعتبر")))</f>
        <v/>
      </c>
      <c r="R1599">
        <f>IF($P1599="","",COUNTIFS($N$6:$N$2005,$N1599,$P$6:$P$2005,"&lt;"&amp;$P1599)+COUNTIFS($A$6:$A$1005,$N1599,$B$6:$B$1005,"&lt;"&amp;$P1599)+1)</f>
        <v/>
      </c>
      <c r="S1599">
        <f>IF($N1599="","",$N1599&amp;"|"&amp;RIGHT("000000"&amp;$R1599,6))</f>
        <v/>
      </c>
      <c r="T1599">
        <f>IF($N1599="","",IF(Sync!$N1599="",0,Sync!$N1599))</f>
        <v/>
      </c>
      <c r="U1599">
        <f>IF($N1599="","",IF(Sync!$O1599="",0,Sync!$O1599))</f>
        <v/>
      </c>
      <c r="V1599">
        <f>IF($N1599="","",Sync!$L1599)</f>
        <v/>
      </c>
      <c r="W1599">
        <f>IF($N1599="","",Sync!$P1599)</f>
        <v/>
      </c>
    </row>
    <row r="1600">
      <c r="N1600">
        <f>IF(OR(Sync!$M1600="",$Q1600="",$Q1600="نامعتبر"),"",Sync!$M1600)</f>
        <v/>
      </c>
      <c r="O1600">
        <f>IF($N1600="","",$Q1600)</f>
        <v/>
      </c>
      <c r="P1600">
        <f>IF($N1600="","",LEFT($Q1600,4)&amp;MID($Q1600,6,2)&amp;RIGHT($Q1600,2)&amp;IF(Sync!$K1600="","0000",IF(AND(ISNUMBER(Sync!$K1600),Sync!$K1600&gt;=0,Sync!$K1600&lt;1),RIGHT("00"&amp;HOUR(Sync!$K1600),2)&amp;RIGHT("00"&amp;MINUTE(Sync!$K1600),2),IFERROR(RIGHT("00"&amp;VALUE(LEFT(Sync!$K1600,FIND(":",Sync!$K1600)-1)),2)&amp;RIGHT("00"&amp;VALUE(MID(Sync!$K1600,FIND(":",Sync!$K1600)+1,2)),2),"0000")))&amp;"|"&amp;"2"&amp;RIGHT("00000"&amp;1595,5))</f>
        <v/>
      </c>
      <c r="Q1600">
        <f>IF(Sync!$J1600="","",IF(ISNUMBER(Sync!$J1600),IF(AND(Sync!$J1600&gt;=10000101,Sync!$J1600&lt;=99991231),INT(Sync!$J1600/10000)&amp;"/"&amp;RIGHT("00"&amp;INT(MOD(Sync!$J1600,10000)/100),2)&amp;"/"&amp;RIGHT("00"&amp;MOD(Sync!$J1600,100),2),"نامعتبر"),IF(LEN(Sync!$J1600)=10,Sync!$J1600,"نامعتبر")))</f>
        <v/>
      </c>
      <c r="R1600">
        <f>IF($P1600="","",COUNTIFS($N$6:$N$2005,$N1600,$P$6:$P$2005,"&lt;"&amp;$P1600)+COUNTIFS($A$6:$A$1005,$N1600,$B$6:$B$1005,"&lt;"&amp;$P1600)+1)</f>
        <v/>
      </c>
      <c r="S1600">
        <f>IF($N1600="","",$N1600&amp;"|"&amp;RIGHT("000000"&amp;$R1600,6))</f>
        <v/>
      </c>
      <c r="T1600">
        <f>IF($N1600="","",IF(Sync!$N1600="",0,Sync!$N1600))</f>
        <v/>
      </c>
      <c r="U1600">
        <f>IF($N1600="","",IF(Sync!$O1600="",0,Sync!$O1600))</f>
        <v/>
      </c>
      <c r="V1600">
        <f>IF($N1600="","",Sync!$L1600)</f>
        <v/>
      </c>
      <c r="W1600">
        <f>IF($N1600="","",Sync!$P1600)</f>
        <v/>
      </c>
    </row>
    <row r="1601">
      <c r="N1601">
        <f>IF(OR(Sync!$M1601="",$Q1601="",$Q1601="نامعتبر"),"",Sync!$M1601)</f>
        <v/>
      </c>
      <c r="O1601">
        <f>IF($N1601="","",$Q1601)</f>
        <v/>
      </c>
      <c r="P1601">
        <f>IF($N1601="","",LEFT($Q1601,4)&amp;MID($Q1601,6,2)&amp;RIGHT($Q1601,2)&amp;IF(Sync!$K1601="","0000",IF(AND(ISNUMBER(Sync!$K1601),Sync!$K1601&gt;=0,Sync!$K1601&lt;1),RIGHT("00"&amp;HOUR(Sync!$K1601),2)&amp;RIGHT("00"&amp;MINUTE(Sync!$K1601),2),IFERROR(RIGHT("00"&amp;VALUE(LEFT(Sync!$K1601,FIND(":",Sync!$K1601)-1)),2)&amp;RIGHT("00"&amp;VALUE(MID(Sync!$K1601,FIND(":",Sync!$K1601)+1,2)),2),"0000")))&amp;"|"&amp;"2"&amp;RIGHT("00000"&amp;1596,5))</f>
        <v/>
      </c>
      <c r="Q1601">
        <f>IF(Sync!$J1601="","",IF(ISNUMBER(Sync!$J1601),IF(AND(Sync!$J1601&gt;=10000101,Sync!$J1601&lt;=99991231),INT(Sync!$J1601/10000)&amp;"/"&amp;RIGHT("00"&amp;INT(MOD(Sync!$J1601,10000)/100),2)&amp;"/"&amp;RIGHT("00"&amp;MOD(Sync!$J1601,100),2),"نامعتبر"),IF(LEN(Sync!$J1601)=10,Sync!$J1601,"نامعتبر")))</f>
        <v/>
      </c>
      <c r="R1601">
        <f>IF($P1601="","",COUNTIFS($N$6:$N$2005,$N1601,$P$6:$P$2005,"&lt;"&amp;$P1601)+COUNTIFS($A$6:$A$1005,$N1601,$B$6:$B$1005,"&lt;"&amp;$P1601)+1)</f>
        <v/>
      </c>
      <c r="S1601">
        <f>IF($N1601="","",$N1601&amp;"|"&amp;RIGHT("000000"&amp;$R1601,6))</f>
        <v/>
      </c>
      <c r="T1601">
        <f>IF($N1601="","",IF(Sync!$N1601="",0,Sync!$N1601))</f>
        <v/>
      </c>
      <c r="U1601">
        <f>IF($N1601="","",IF(Sync!$O1601="",0,Sync!$O1601))</f>
        <v/>
      </c>
      <c r="V1601">
        <f>IF($N1601="","",Sync!$L1601)</f>
        <v/>
      </c>
      <c r="W1601">
        <f>IF($N1601="","",Sync!$P1601)</f>
        <v/>
      </c>
    </row>
    <row r="1602">
      <c r="N1602">
        <f>IF(OR(Sync!$M1602="",$Q1602="",$Q1602="نامعتبر"),"",Sync!$M1602)</f>
        <v/>
      </c>
      <c r="O1602">
        <f>IF($N1602="","",$Q1602)</f>
        <v/>
      </c>
      <c r="P1602">
        <f>IF($N1602="","",LEFT($Q1602,4)&amp;MID($Q1602,6,2)&amp;RIGHT($Q1602,2)&amp;IF(Sync!$K1602="","0000",IF(AND(ISNUMBER(Sync!$K1602),Sync!$K1602&gt;=0,Sync!$K1602&lt;1),RIGHT("00"&amp;HOUR(Sync!$K1602),2)&amp;RIGHT("00"&amp;MINUTE(Sync!$K1602),2),IFERROR(RIGHT("00"&amp;VALUE(LEFT(Sync!$K1602,FIND(":",Sync!$K1602)-1)),2)&amp;RIGHT("00"&amp;VALUE(MID(Sync!$K1602,FIND(":",Sync!$K1602)+1,2)),2),"0000")))&amp;"|"&amp;"2"&amp;RIGHT("00000"&amp;1597,5))</f>
        <v/>
      </c>
      <c r="Q1602">
        <f>IF(Sync!$J1602="","",IF(ISNUMBER(Sync!$J1602),IF(AND(Sync!$J1602&gt;=10000101,Sync!$J1602&lt;=99991231),INT(Sync!$J1602/10000)&amp;"/"&amp;RIGHT("00"&amp;INT(MOD(Sync!$J1602,10000)/100),2)&amp;"/"&amp;RIGHT("00"&amp;MOD(Sync!$J1602,100),2),"نامعتبر"),IF(LEN(Sync!$J1602)=10,Sync!$J1602,"نامعتبر")))</f>
        <v/>
      </c>
      <c r="R1602">
        <f>IF($P1602="","",COUNTIFS($N$6:$N$2005,$N1602,$P$6:$P$2005,"&lt;"&amp;$P1602)+COUNTIFS($A$6:$A$1005,$N1602,$B$6:$B$1005,"&lt;"&amp;$P1602)+1)</f>
        <v/>
      </c>
      <c r="S1602">
        <f>IF($N1602="","",$N1602&amp;"|"&amp;RIGHT("000000"&amp;$R1602,6))</f>
        <v/>
      </c>
      <c r="T1602">
        <f>IF($N1602="","",IF(Sync!$N1602="",0,Sync!$N1602))</f>
        <v/>
      </c>
      <c r="U1602">
        <f>IF($N1602="","",IF(Sync!$O1602="",0,Sync!$O1602))</f>
        <v/>
      </c>
      <c r="V1602">
        <f>IF($N1602="","",Sync!$L1602)</f>
        <v/>
      </c>
      <c r="W1602">
        <f>IF($N1602="","",Sync!$P1602)</f>
        <v/>
      </c>
    </row>
    <row r="1603">
      <c r="N1603">
        <f>IF(OR(Sync!$M1603="",$Q1603="",$Q1603="نامعتبر"),"",Sync!$M1603)</f>
        <v/>
      </c>
      <c r="O1603">
        <f>IF($N1603="","",$Q1603)</f>
        <v/>
      </c>
      <c r="P1603">
        <f>IF($N1603="","",LEFT($Q1603,4)&amp;MID($Q1603,6,2)&amp;RIGHT($Q1603,2)&amp;IF(Sync!$K1603="","0000",IF(AND(ISNUMBER(Sync!$K1603),Sync!$K1603&gt;=0,Sync!$K1603&lt;1),RIGHT("00"&amp;HOUR(Sync!$K1603),2)&amp;RIGHT("00"&amp;MINUTE(Sync!$K1603),2),IFERROR(RIGHT("00"&amp;VALUE(LEFT(Sync!$K1603,FIND(":",Sync!$K1603)-1)),2)&amp;RIGHT("00"&amp;VALUE(MID(Sync!$K1603,FIND(":",Sync!$K1603)+1,2)),2),"0000")))&amp;"|"&amp;"2"&amp;RIGHT("00000"&amp;1598,5))</f>
        <v/>
      </c>
      <c r="Q1603">
        <f>IF(Sync!$J1603="","",IF(ISNUMBER(Sync!$J1603),IF(AND(Sync!$J1603&gt;=10000101,Sync!$J1603&lt;=99991231),INT(Sync!$J1603/10000)&amp;"/"&amp;RIGHT("00"&amp;INT(MOD(Sync!$J1603,10000)/100),2)&amp;"/"&amp;RIGHT("00"&amp;MOD(Sync!$J1603,100),2),"نامعتبر"),IF(LEN(Sync!$J1603)=10,Sync!$J1603,"نامعتبر")))</f>
        <v/>
      </c>
      <c r="R1603">
        <f>IF($P1603="","",COUNTIFS($N$6:$N$2005,$N1603,$P$6:$P$2005,"&lt;"&amp;$P1603)+COUNTIFS($A$6:$A$1005,$N1603,$B$6:$B$1005,"&lt;"&amp;$P1603)+1)</f>
        <v/>
      </c>
      <c r="S1603">
        <f>IF($N1603="","",$N1603&amp;"|"&amp;RIGHT("000000"&amp;$R1603,6))</f>
        <v/>
      </c>
      <c r="T1603">
        <f>IF($N1603="","",IF(Sync!$N1603="",0,Sync!$N1603))</f>
        <v/>
      </c>
      <c r="U1603">
        <f>IF($N1603="","",IF(Sync!$O1603="",0,Sync!$O1603))</f>
        <v/>
      </c>
      <c r="V1603">
        <f>IF($N1603="","",Sync!$L1603)</f>
        <v/>
      </c>
      <c r="W1603">
        <f>IF($N1603="","",Sync!$P1603)</f>
        <v/>
      </c>
    </row>
    <row r="1604">
      <c r="N1604">
        <f>IF(OR(Sync!$M1604="",$Q1604="",$Q1604="نامعتبر"),"",Sync!$M1604)</f>
        <v/>
      </c>
      <c r="O1604">
        <f>IF($N1604="","",$Q1604)</f>
        <v/>
      </c>
      <c r="P1604">
        <f>IF($N1604="","",LEFT($Q1604,4)&amp;MID($Q1604,6,2)&amp;RIGHT($Q1604,2)&amp;IF(Sync!$K1604="","0000",IF(AND(ISNUMBER(Sync!$K1604),Sync!$K1604&gt;=0,Sync!$K1604&lt;1),RIGHT("00"&amp;HOUR(Sync!$K1604),2)&amp;RIGHT("00"&amp;MINUTE(Sync!$K1604),2),IFERROR(RIGHT("00"&amp;VALUE(LEFT(Sync!$K1604,FIND(":",Sync!$K1604)-1)),2)&amp;RIGHT("00"&amp;VALUE(MID(Sync!$K1604,FIND(":",Sync!$K1604)+1,2)),2),"0000")))&amp;"|"&amp;"2"&amp;RIGHT("00000"&amp;1599,5))</f>
        <v/>
      </c>
      <c r="Q1604">
        <f>IF(Sync!$J1604="","",IF(ISNUMBER(Sync!$J1604),IF(AND(Sync!$J1604&gt;=10000101,Sync!$J1604&lt;=99991231),INT(Sync!$J1604/10000)&amp;"/"&amp;RIGHT("00"&amp;INT(MOD(Sync!$J1604,10000)/100),2)&amp;"/"&amp;RIGHT("00"&amp;MOD(Sync!$J1604,100),2),"نامعتبر"),IF(LEN(Sync!$J1604)=10,Sync!$J1604,"نامعتبر")))</f>
        <v/>
      </c>
      <c r="R1604">
        <f>IF($P1604="","",COUNTIFS($N$6:$N$2005,$N1604,$P$6:$P$2005,"&lt;"&amp;$P1604)+COUNTIFS($A$6:$A$1005,$N1604,$B$6:$B$1005,"&lt;"&amp;$P1604)+1)</f>
        <v/>
      </c>
      <c r="S1604">
        <f>IF($N1604="","",$N1604&amp;"|"&amp;RIGHT("000000"&amp;$R1604,6))</f>
        <v/>
      </c>
      <c r="T1604">
        <f>IF($N1604="","",IF(Sync!$N1604="",0,Sync!$N1604))</f>
        <v/>
      </c>
      <c r="U1604">
        <f>IF($N1604="","",IF(Sync!$O1604="",0,Sync!$O1604))</f>
        <v/>
      </c>
      <c r="V1604">
        <f>IF($N1604="","",Sync!$L1604)</f>
        <v/>
      </c>
      <c r="W1604">
        <f>IF($N1604="","",Sync!$P1604)</f>
        <v/>
      </c>
    </row>
    <row r="1605">
      <c r="N1605">
        <f>IF(OR(Sync!$M1605="",$Q1605="",$Q1605="نامعتبر"),"",Sync!$M1605)</f>
        <v/>
      </c>
      <c r="O1605">
        <f>IF($N1605="","",$Q1605)</f>
        <v/>
      </c>
      <c r="P1605">
        <f>IF($N1605="","",LEFT($Q1605,4)&amp;MID($Q1605,6,2)&amp;RIGHT($Q1605,2)&amp;IF(Sync!$K1605="","0000",IF(AND(ISNUMBER(Sync!$K1605),Sync!$K1605&gt;=0,Sync!$K1605&lt;1),RIGHT("00"&amp;HOUR(Sync!$K1605),2)&amp;RIGHT("00"&amp;MINUTE(Sync!$K1605),2),IFERROR(RIGHT("00"&amp;VALUE(LEFT(Sync!$K1605,FIND(":",Sync!$K1605)-1)),2)&amp;RIGHT("00"&amp;VALUE(MID(Sync!$K1605,FIND(":",Sync!$K1605)+1,2)),2),"0000")))&amp;"|"&amp;"2"&amp;RIGHT("00000"&amp;1600,5))</f>
        <v/>
      </c>
      <c r="Q1605">
        <f>IF(Sync!$J1605="","",IF(ISNUMBER(Sync!$J1605),IF(AND(Sync!$J1605&gt;=10000101,Sync!$J1605&lt;=99991231),INT(Sync!$J1605/10000)&amp;"/"&amp;RIGHT("00"&amp;INT(MOD(Sync!$J1605,10000)/100),2)&amp;"/"&amp;RIGHT("00"&amp;MOD(Sync!$J1605,100),2),"نامعتبر"),IF(LEN(Sync!$J1605)=10,Sync!$J1605,"نامعتبر")))</f>
        <v/>
      </c>
      <c r="R1605">
        <f>IF($P1605="","",COUNTIFS($N$6:$N$2005,$N1605,$P$6:$P$2005,"&lt;"&amp;$P1605)+COUNTIFS($A$6:$A$1005,$N1605,$B$6:$B$1005,"&lt;"&amp;$P1605)+1)</f>
        <v/>
      </c>
      <c r="S1605">
        <f>IF($N1605="","",$N1605&amp;"|"&amp;RIGHT("000000"&amp;$R1605,6))</f>
        <v/>
      </c>
      <c r="T1605">
        <f>IF($N1605="","",IF(Sync!$N1605="",0,Sync!$N1605))</f>
        <v/>
      </c>
      <c r="U1605">
        <f>IF($N1605="","",IF(Sync!$O1605="",0,Sync!$O1605))</f>
        <v/>
      </c>
      <c r="V1605">
        <f>IF($N1605="","",Sync!$L1605)</f>
        <v/>
      </c>
      <c r="W1605">
        <f>IF($N1605="","",Sync!$P1605)</f>
        <v/>
      </c>
    </row>
    <row r="1606">
      <c r="N1606">
        <f>IF(OR(Sync!$M1606="",$Q1606="",$Q1606="نامعتبر"),"",Sync!$M1606)</f>
        <v/>
      </c>
      <c r="O1606">
        <f>IF($N1606="","",$Q1606)</f>
        <v/>
      </c>
      <c r="P1606">
        <f>IF($N1606="","",LEFT($Q1606,4)&amp;MID($Q1606,6,2)&amp;RIGHT($Q1606,2)&amp;IF(Sync!$K1606="","0000",IF(AND(ISNUMBER(Sync!$K1606),Sync!$K1606&gt;=0,Sync!$K1606&lt;1),RIGHT("00"&amp;HOUR(Sync!$K1606),2)&amp;RIGHT("00"&amp;MINUTE(Sync!$K1606),2),IFERROR(RIGHT("00"&amp;VALUE(LEFT(Sync!$K1606,FIND(":",Sync!$K1606)-1)),2)&amp;RIGHT("00"&amp;VALUE(MID(Sync!$K1606,FIND(":",Sync!$K1606)+1,2)),2),"0000")))&amp;"|"&amp;"2"&amp;RIGHT("00000"&amp;1601,5))</f>
        <v/>
      </c>
      <c r="Q1606">
        <f>IF(Sync!$J1606="","",IF(ISNUMBER(Sync!$J1606),IF(AND(Sync!$J1606&gt;=10000101,Sync!$J1606&lt;=99991231),INT(Sync!$J1606/10000)&amp;"/"&amp;RIGHT("00"&amp;INT(MOD(Sync!$J1606,10000)/100),2)&amp;"/"&amp;RIGHT("00"&amp;MOD(Sync!$J1606,100),2),"نامعتبر"),IF(LEN(Sync!$J1606)=10,Sync!$J1606,"نامعتبر")))</f>
        <v/>
      </c>
      <c r="R1606">
        <f>IF($P1606="","",COUNTIFS($N$6:$N$2005,$N1606,$P$6:$P$2005,"&lt;"&amp;$P1606)+COUNTIFS($A$6:$A$1005,$N1606,$B$6:$B$1005,"&lt;"&amp;$P1606)+1)</f>
        <v/>
      </c>
      <c r="S1606">
        <f>IF($N1606="","",$N1606&amp;"|"&amp;RIGHT("000000"&amp;$R1606,6))</f>
        <v/>
      </c>
      <c r="T1606">
        <f>IF($N1606="","",IF(Sync!$N1606="",0,Sync!$N1606))</f>
        <v/>
      </c>
      <c r="U1606">
        <f>IF($N1606="","",IF(Sync!$O1606="",0,Sync!$O1606))</f>
        <v/>
      </c>
      <c r="V1606">
        <f>IF($N1606="","",Sync!$L1606)</f>
        <v/>
      </c>
      <c r="W1606">
        <f>IF($N1606="","",Sync!$P1606)</f>
        <v/>
      </c>
    </row>
    <row r="1607">
      <c r="N1607">
        <f>IF(OR(Sync!$M1607="",$Q1607="",$Q1607="نامعتبر"),"",Sync!$M1607)</f>
        <v/>
      </c>
      <c r="O1607">
        <f>IF($N1607="","",$Q1607)</f>
        <v/>
      </c>
      <c r="P1607">
        <f>IF($N1607="","",LEFT($Q1607,4)&amp;MID($Q1607,6,2)&amp;RIGHT($Q1607,2)&amp;IF(Sync!$K1607="","0000",IF(AND(ISNUMBER(Sync!$K1607),Sync!$K1607&gt;=0,Sync!$K1607&lt;1),RIGHT("00"&amp;HOUR(Sync!$K1607),2)&amp;RIGHT("00"&amp;MINUTE(Sync!$K1607),2),IFERROR(RIGHT("00"&amp;VALUE(LEFT(Sync!$K1607,FIND(":",Sync!$K1607)-1)),2)&amp;RIGHT("00"&amp;VALUE(MID(Sync!$K1607,FIND(":",Sync!$K1607)+1,2)),2),"0000")))&amp;"|"&amp;"2"&amp;RIGHT("00000"&amp;1602,5))</f>
        <v/>
      </c>
      <c r="Q1607">
        <f>IF(Sync!$J1607="","",IF(ISNUMBER(Sync!$J1607),IF(AND(Sync!$J1607&gt;=10000101,Sync!$J1607&lt;=99991231),INT(Sync!$J1607/10000)&amp;"/"&amp;RIGHT("00"&amp;INT(MOD(Sync!$J1607,10000)/100),2)&amp;"/"&amp;RIGHT("00"&amp;MOD(Sync!$J1607,100),2),"نامعتبر"),IF(LEN(Sync!$J1607)=10,Sync!$J1607,"نامعتبر")))</f>
        <v/>
      </c>
      <c r="R1607">
        <f>IF($P1607="","",COUNTIFS($N$6:$N$2005,$N1607,$P$6:$P$2005,"&lt;"&amp;$P1607)+COUNTIFS($A$6:$A$1005,$N1607,$B$6:$B$1005,"&lt;"&amp;$P1607)+1)</f>
        <v/>
      </c>
      <c r="S1607">
        <f>IF($N1607="","",$N1607&amp;"|"&amp;RIGHT("000000"&amp;$R1607,6))</f>
        <v/>
      </c>
      <c r="T1607">
        <f>IF($N1607="","",IF(Sync!$N1607="",0,Sync!$N1607))</f>
        <v/>
      </c>
      <c r="U1607">
        <f>IF($N1607="","",IF(Sync!$O1607="",0,Sync!$O1607))</f>
        <v/>
      </c>
      <c r="V1607">
        <f>IF($N1607="","",Sync!$L1607)</f>
        <v/>
      </c>
      <c r="W1607">
        <f>IF($N1607="","",Sync!$P1607)</f>
        <v/>
      </c>
    </row>
    <row r="1608">
      <c r="N1608">
        <f>IF(OR(Sync!$M1608="",$Q1608="",$Q1608="نامعتبر"),"",Sync!$M1608)</f>
        <v/>
      </c>
      <c r="O1608">
        <f>IF($N1608="","",$Q1608)</f>
        <v/>
      </c>
      <c r="P1608">
        <f>IF($N1608="","",LEFT($Q1608,4)&amp;MID($Q1608,6,2)&amp;RIGHT($Q1608,2)&amp;IF(Sync!$K1608="","0000",IF(AND(ISNUMBER(Sync!$K1608),Sync!$K1608&gt;=0,Sync!$K1608&lt;1),RIGHT("00"&amp;HOUR(Sync!$K1608),2)&amp;RIGHT("00"&amp;MINUTE(Sync!$K1608),2),IFERROR(RIGHT("00"&amp;VALUE(LEFT(Sync!$K1608,FIND(":",Sync!$K1608)-1)),2)&amp;RIGHT("00"&amp;VALUE(MID(Sync!$K1608,FIND(":",Sync!$K1608)+1,2)),2),"0000")))&amp;"|"&amp;"2"&amp;RIGHT("00000"&amp;1603,5))</f>
        <v/>
      </c>
      <c r="Q1608">
        <f>IF(Sync!$J1608="","",IF(ISNUMBER(Sync!$J1608),IF(AND(Sync!$J1608&gt;=10000101,Sync!$J1608&lt;=99991231),INT(Sync!$J1608/10000)&amp;"/"&amp;RIGHT("00"&amp;INT(MOD(Sync!$J1608,10000)/100),2)&amp;"/"&amp;RIGHT("00"&amp;MOD(Sync!$J1608,100),2),"نامعتبر"),IF(LEN(Sync!$J1608)=10,Sync!$J1608,"نامعتبر")))</f>
        <v/>
      </c>
      <c r="R1608">
        <f>IF($P1608="","",COUNTIFS($N$6:$N$2005,$N1608,$P$6:$P$2005,"&lt;"&amp;$P1608)+COUNTIFS($A$6:$A$1005,$N1608,$B$6:$B$1005,"&lt;"&amp;$P1608)+1)</f>
        <v/>
      </c>
      <c r="S1608">
        <f>IF($N1608="","",$N1608&amp;"|"&amp;RIGHT("000000"&amp;$R1608,6))</f>
        <v/>
      </c>
      <c r="T1608">
        <f>IF($N1608="","",IF(Sync!$N1608="",0,Sync!$N1608))</f>
        <v/>
      </c>
      <c r="U1608">
        <f>IF($N1608="","",IF(Sync!$O1608="",0,Sync!$O1608))</f>
        <v/>
      </c>
      <c r="V1608">
        <f>IF($N1608="","",Sync!$L1608)</f>
        <v/>
      </c>
      <c r="W1608">
        <f>IF($N1608="","",Sync!$P1608)</f>
        <v/>
      </c>
    </row>
    <row r="1609">
      <c r="N1609">
        <f>IF(OR(Sync!$M1609="",$Q1609="",$Q1609="نامعتبر"),"",Sync!$M1609)</f>
        <v/>
      </c>
      <c r="O1609">
        <f>IF($N1609="","",$Q1609)</f>
        <v/>
      </c>
      <c r="P1609">
        <f>IF($N1609="","",LEFT($Q1609,4)&amp;MID($Q1609,6,2)&amp;RIGHT($Q1609,2)&amp;IF(Sync!$K1609="","0000",IF(AND(ISNUMBER(Sync!$K1609),Sync!$K1609&gt;=0,Sync!$K1609&lt;1),RIGHT("00"&amp;HOUR(Sync!$K1609),2)&amp;RIGHT("00"&amp;MINUTE(Sync!$K1609),2),IFERROR(RIGHT("00"&amp;VALUE(LEFT(Sync!$K1609,FIND(":",Sync!$K1609)-1)),2)&amp;RIGHT("00"&amp;VALUE(MID(Sync!$K1609,FIND(":",Sync!$K1609)+1,2)),2),"0000")))&amp;"|"&amp;"2"&amp;RIGHT("00000"&amp;1604,5))</f>
        <v/>
      </c>
      <c r="Q1609">
        <f>IF(Sync!$J1609="","",IF(ISNUMBER(Sync!$J1609),IF(AND(Sync!$J1609&gt;=10000101,Sync!$J1609&lt;=99991231),INT(Sync!$J1609/10000)&amp;"/"&amp;RIGHT("00"&amp;INT(MOD(Sync!$J1609,10000)/100),2)&amp;"/"&amp;RIGHT("00"&amp;MOD(Sync!$J1609,100),2),"نامعتبر"),IF(LEN(Sync!$J1609)=10,Sync!$J1609,"نامعتبر")))</f>
        <v/>
      </c>
      <c r="R1609">
        <f>IF($P1609="","",COUNTIFS($N$6:$N$2005,$N1609,$P$6:$P$2005,"&lt;"&amp;$P1609)+COUNTIFS($A$6:$A$1005,$N1609,$B$6:$B$1005,"&lt;"&amp;$P1609)+1)</f>
        <v/>
      </c>
      <c r="S1609">
        <f>IF($N1609="","",$N1609&amp;"|"&amp;RIGHT("000000"&amp;$R1609,6))</f>
        <v/>
      </c>
      <c r="T1609">
        <f>IF($N1609="","",IF(Sync!$N1609="",0,Sync!$N1609))</f>
        <v/>
      </c>
      <c r="U1609">
        <f>IF($N1609="","",IF(Sync!$O1609="",0,Sync!$O1609))</f>
        <v/>
      </c>
      <c r="V1609">
        <f>IF($N1609="","",Sync!$L1609)</f>
        <v/>
      </c>
      <c r="W1609">
        <f>IF($N1609="","",Sync!$P1609)</f>
        <v/>
      </c>
    </row>
    <row r="1610">
      <c r="N1610">
        <f>IF(OR(Sync!$M1610="",$Q1610="",$Q1610="نامعتبر"),"",Sync!$M1610)</f>
        <v/>
      </c>
      <c r="O1610">
        <f>IF($N1610="","",$Q1610)</f>
        <v/>
      </c>
      <c r="P1610">
        <f>IF($N1610="","",LEFT($Q1610,4)&amp;MID($Q1610,6,2)&amp;RIGHT($Q1610,2)&amp;IF(Sync!$K1610="","0000",IF(AND(ISNUMBER(Sync!$K1610),Sync!$K1610&gt;=0,Sync!$K1610&lt;1),RIGHT("00"&amp;HOUR(Sync!$K1610),2)&amp;RIGHT("00"&amp;MINUTE(Sync!$K1610),2),IFERROR(RIGHT("00"&amp;VALUE(LEFT(Sync!$K1610,FIND(":",Sync!$K1610)-1)),2)&amp;RIGHT("00"&amp;VALUE(MID(Sync!$K1610,FIND(":",Sync!$K1610)+1,2)),2),"0000")))&amp;"|"&amp;"2"&amp;RIGHT("00000"&amp;1605,5))</f>
        <v/>
      </c>
      <c r="Q1610">
        <f>IF(Sync!$J1610="","",IF(ISNUMBER(Sync!$J1610),IF(AND(Sync!$J1610&gt;=10000101,Sync!$J1610&lt;=99991231),INT(Sync!$J1610/10000)&amp;"/"&amp;RIGHT("00"&amp;INT(MOD(Sync!$J1610,10000)/100),2)&amp;"/"&amp;RIGHT("00"&amp;MOD(Sync!$J1610,100),2),"نامعتبر"),IF(LEN(Sync!$J1610)=10,Sync!$J1610,"نامعتبر")))</f>
        <v/>
      </c>
      <c r="R1610">
        <f>IF($P1610="","",COUNTIFS($N$6:$N$2005,$N1610,$P$6:$P$2005,"&lt;"&amp;$P1610)+COUNTIFS($A$6:$A$1005,$N1610,$B$6:$B$1005,"&lt;"&amp;$P1610)+1)</f>
        <v/>
      </c>
      <c r="S1610">
        <f>IF($N1610="","",$N1610&amp;"|"&amp;RIGHT("000000"&amp;$R1610,6))</f>
        <v/>
      </c>
      <c r="T1610">
        <f>IF($N1610="","",IF(Sync!$N1610="",0,Sync!$N1610))</f>
        <v/>
      </c>
      <c r="U1610">
        <f>IF($N1610="","",IF(Sync!$O1610="",0,Sync!$O1610))</f>
        <v/>
      </c>
      <c r="V1610">
        <f>IF($N1610="","",Sync!$L1610)</f>
        <v/>
      </c>
      <c r="W1610">
        <f>IF($N1610="","",Sync!$P1610)</f>
        <v/>
      </c>
    </row>
    <row r="1611">
      <c r="N1611">
        <f>IF(OR(Sync!$M1611="",$Q1611="",$Q1611="نامعتبر"),"",Sync!$M1611)</f>
        <v/>
      </c>
      <c r="O1611">
        <f>IF($N1611="","",$Q1611)</f>
        <v/>
      </c>
      <c r="P1611">
        <f>IF($N1611="","",LEFT($Q1611,4)&amp;MID($Q1611,6,2)&amp;RIGHT($Q1611,2)&amp;IF(Sync!$K1611="","0000",IF(AND(ISNUMBER(Sync!$K1611),Sync!$K1611&gt;=0,Sync!$K1611&lt;1),RIGHT("00"&amp;HOUR(Sync!$K1611),2)&amp;RIGHT("00"&amp;MINUTE(Sync!$K1611),2),IFERROR(RIGHT("00"&amp;VALUE(LEFT(Sync!$K1611,FIND(":",Sync!$K1611)-1)),2)&amp;RIGHT("00"&amp;VALUE(MID(Sync!$K1611,FIND(":",Sync!$K1611)+1,2)),2),"0000")))&amp;"|"&amp;"2"&amp;RIGHT("00000"&amp;1606,5))</f>
        <v/>
      </c>
      <c r="Q1611">
        <f>IF(Sync!$J1611="","",IF(ISNUMBER(Sync!$J1611),IF(AND(Sync!$J1611&gt;=10000101,Sync!$J1611&lt;=99991231),INT(Sync!$J1611/10000)&amp;"/"&amp;RIGHT("00"&amp;INT(MOD(Sync!$J1611,10000)/100),2)&amp;"/"&amp;RIGHT("00"&amp;MOD(Sync!$J1611,100),2),"نامعتبر"),IF(LEN(Sync!$J1611)=10,Sync!$J1611,"نامعتبر")))</f>
        <v/>
      </c>
      <c r="R1611">
        <f>IF($P1611="","",COUNTIFS($N$6:$N$2005,$N1611,$P$6:$P$2005,"&lt;"&amp;$P1611)+COUNTIFS($A$6:$A$1005,$N1611,$B$6:$B$1005,"&lt;"&amp;$P1611)+1)</f>
        <v/>
      </c>
      <c r="S1611">
        <f>IF($N1611="","",$N1611&amp;"|"&amp;RIGHT("000000"&amp;$R1611,6))</f>
        <v/>
      </c>
      <c r="T1611">
        <f>IF($N1611="","",IF(Sync!$N1611="",0,Sync!$N1611))</f>
        <v/>
      </c>
      <c r="U1611">
        <f>IF($N1611="","",IF(Sync!$O1611="",0,Sync!$O1611))</f>
        <v/>
      </c>
      <c r="V1611">
        <f>IF($N1611="","",Sync!$L1611)</f>
        <v/>
      </c>
      <c r="W1611">
        <f>IF($N1611="","",Sync!$P1611)</f>
        <v/>
      </c>
    </row>
    <row r="1612">
      <c r="N1612">
        <f>IF(OR(Sync!$M1612="",$Q1612="",$Q1612="نامعتبر"),"",Sync!$M1612)</f>
        <v/>
      </c>
      <c r="O1612">
        <f>IF($N1612="","",$Q1612)</f>
        <v/>
      </c>
      <c r="P1612">
        <f>IF($N1612="","",LEFT($Q1612,4)&amp;MID($Q1612,6,2)&amp;RIGHT($Q1612,2)&amp;IF(Sync!$K1612="","0000",IF(AND(ISNUMBER(Sync!$K1612),Sync!$K1612&gt;=0,Sync!$K1612&lt;1),RIGHT("00"&amp;HOUR(Sync!$K1612),2)&amp;RIGHT("00"&amp;MINUTE(Sync!$K1612),2),IFERROR(RIGHT("00"&amp;VALUE(LEFT(Sync!$K1612,FIND(":",Sync!$K1612)-1)),2)&amp;RIGHT("00"&amp;VALUE(MID(Sync!$K1612,FIND(":",Sync!$K1612)+1,2)),2),"0000")))&amp;"|"&amp;"2"&amp;RIGHT("00000"&amp;1607,5))</f>
        <v/>
      </c>
      <c r="Q1612">
        <f>IF(Sync!$J1612="","",IF(ISNUMBER(Sync!$J1612),IF(AND(Sync!$J1612&gt;=10000101,Sync!$J1612&lt;=99991231),INT(Sync!$J1612/10000)&amp;"/"&amp;RIGHT("00"&amp;INT(MOD(Sync!$J1612,10000)/100),2)&amp;"/"&amp;RIGHT("00"&amp;MOD(Sync!$J1612,100),2),"نامعتبر"),IF(LEN(Sync!$J1612)=10,Sync!$J1612,"نامعتبر")))</f>
        <v/>
      </c>
      <c r="R1612">
        <f>IF($P1612="","",COUNTIFS($N$6:$N$2005,$N1612,$P$6:$P$2005,"&lt;"&amp;$P1612)+COUNTIFS($A$6:$A$1005,$N1612,$B$6:$B$1005,"&lt;"&amp;$P1612)+1)</f>
        <v/>
      </c>
      <c r="S1612">
        <f>IF($N1612="","",$N1612&amp;"|"&amp;RIGHT("000000"&amp;$R1612,6))</f>
        <v/>
      </c>
      <c r="T1612">
        <f>IF($N1612="","",IF(Sync!$N1612="",0,Sync!$N1612))</f>
        <v/>
      </c>
      <c r="U1612">
        <f>IF($N1612="","",IF(Sync!$O1612="",0,Sync!$O1612))</f>
        <v/>
      </c>
      <c r="V1612">
        <f>IF($N1612="","",Sync!$L1612)</f>
        <v/>
      </c>
      <c r="W1612">
        <f>IF($N1612="","",Sync!$P1612)</f>
        <v/>
      </c>
    </row>
    <row r="1613">
      <c r="N1613">
        <f>IF(OR(Sync!$M1613="",$Q1613="",$Q1613="نامعتبر"),"",Sync!$M1613)</f>
        <v/>
      </c>
      <c r="O1613">
        <f>IF($N1613="","",$Q1613)</f>
        <v/>
      </c>
      <c r="P1613">
        <f>IF($N1613="","",LEFT($Q1613,4)&amp;MID($Q1613,6,2)&amp;RIGHT($Q1613,2)&amp;IF(Sync!$K1613="","0000",IF(AND(ISNUMBER(Sync!$K1613),Sync!$K1613&gt;=0,Sync!$K1613&lt;1),RIGHT("00"&amp;HOUR(Sync!$K1613),2)&amp;RIGHT("00"&amp;MINUTE(Sync!$K1613),2),IFERROR(RIGHT("00"&amp;VALUE(LEFT(Sync!$K1613,FIND(":",Sync!$K1613)-1)),2)&amp;RIGHT("00"&amp;VALUE(MID(Sync!$K1613,FIND(":",Sync!$K1613)+1,2)),2),"0000")))&amp;"|"&amp;"2"&amp;RIGHT("00000"&amp;1608,5))</f>
        <v/>
      </c>
      <c r="Q1613">
        <f>IF(Sync!$J1613="","",IF(ISNUMBER(Sync!$J1613),IF(AND(Sync!$J1613&gt;=10000101,Sync!$J1613&lt;=99991231),INT(Sync!$J1613/10000)&amp;"/"&amp;RIGHT("00"&amp;INT(MOD(Sync!$J1613,10000)/100),2)&amp;"/"&amp;RIGHT("00"&amp;MOD(Sync!$J1613,100),2),"نامعتبر"),IF(LEN(Sync!$J1613)=10,Sync!$J1613,"نامعتبر")))</f>
        <v/>
      </c>
      <c r="R1613">
        <f>IF($P1613="","",COUNTIFS($N$6:$N$2005,$N1613,$P$6:$P$2005,"&lt;"&amp;$P1613)+COUNTIFS($A$6:$A$1005,$N1613,$B$6:$B$1005,"&lt;"&amp;$P1613)+1)</f>
        <v/>
      </c>
      <c r="S1613">
        <f>IF($N1613="","",$N1613&amp;"|"&amp;RIGHT("000000"&amp;$R1613,6))</f>
        <v/>
      </c>
      <c r="T1613">
        <f>IF($N1613="","",IF(Sync!$N1613="",0,Sync!$N1613))</f>
        <v/>
      </c>
      <c r="U1613">
        <f>IF($N1613="","",IF(Sync!$O1613="",0,Sync!$O1613))</f>
        <v/>
      </c>
      <c r="V1613">
        <f>IF($N1613="","",Sync!$L1613)</f>
        <v/>
      </c>
      <c r="W1613">
        <f>IF($N1613="","",Sync!$P1613)</f>
        <v/>
      </c>
    </row>
    <row r="1614">
      <c r="N1614">
        <f>IF(OR(Sync!$M1614="",$Q1614="",$Q1614="نامعتبر"),"",Sync!$M1614)</f>
        <v/>
      </c>
      <c r="O1614">
        <f>IF($N1614="","",$Q1614)</f>
        <v/>
      </c>
      <c r="P1614">
        <f>IF($N1614="","",LEFT($Q1614,4)&amp;MID($Q1614,6,2)&amp;RIGHT($Q1614,2)&amp;IF(Sync!$K1614="","0000",IF(AND(ISNUMBER(Sync!$K1614),Sync!$K1614&gt;=0,Sync!$K1614&lt;1),RIGHT("00"&amp;HOUR(Sync!$K1614),2)&amp;RIGHT("00"&amp;MINUTE(Sync!$K1614),2),IFERROR(RIGHT("00"&amp;VALUE(LEFT(Sync!$K1614,FIND(":",Sync!$K1614)-1)),2)&amp;RIGHT("00"&amp;VALUE(MID(Sync!$K1614,FIND(":",Sync!$K1614)+1,2)),2),"0000")))&amp;"|"&amp;"2"&amp;RIGHT("00000"&amp;1609,5))</f>
        <v/>
      </c>
      <c r="Q1614">
        <f>IF(Sync!$J1614="","",IF(ISNUMBER(Sync!$J1614),IF(AND(Sync!$J1614&gt;=10000101,Sync!$J1614&lt;=99991231),INT(Sync!$J1614/10000)&amp;"/"&amp;RIGHT("00"&amp;INT(MOD(Sync!$J1614,10000)/100),2)&amp;"/"&amp;RIGHT("00"&amp;MOD(Sync!$J1614,100),2),"نامعتبر"),IF(LEN(Sync!$J1614)=10,Sync!$J1614,"نامعتبر")))</f>
        <v/>
      </c>
      <c r="R1614">
        <f>IF($P1614="","",COUNTIFS($N$6:$N$2005,$N1614,$P$6:$P$2005,"&lt;"&amp;$P1614)+COUNTIFS($A$6:$A$1005,$N1614,$B$6:$B$1005,"&lt;"&amp;$P1614)+1)</f>
        <v/>
      </c>
      <c r="S1614">
        <f>IF($N1614="","",$N1614&amp;"|"&amp;RIGHT("000000"&amp;$R1614,6))</f>
        <v/>
      </c>
      <c r="T1614">
        <f>IF($N1614="","",IF(Sync!$N1614="",0,Sync!$N1614))</f>
        <v/>
      </c>
      <c r="U1614">
        <f>IF($N1614="","",IF(Sync!$O1614="",0,Sync!$O1614))</f>
        <v/>
      </c>
      <c r="V1614">
        <f>IF($N1614="","",Sync!$L1614)</f>
        <v/>
      </c>
      <c r="W1614">
        <f>IF($N1614="","",Sync!$P1614)</f>
        <v/>
      </c>
    </row>
    <row r="1615">
      <c r="N1615">
        <f>IF(OR(Sync!$M1615="",$Q1615="",$Q1615="نامعتبر"),"",Sync!$M1615)</f>
        <v/>
      </c>
      <c r="O1615">
        <f>IF($N1615="","",$Q1615)</f>
        <v/>
      </c>
      <c r="P1615">
        <f>IF($N1615="","",LEFT($Q1615,4)&amp;MID($Q1615,6,2)&amp;RIGHT($Q1615,2)&amp;IF(Sync!$K1615="","0000",IF(AND(ISNUMBER(Sync!$K1615),Sync!$K1615&gt;=0,Sync!$K1615&lt;1),RIGHT("00"&amp;HOUR(Sync!$K1615),2)&amp;RIGHT("00"&amp;MINUTE(Sync!$K1615),2),IFERROR(RIGHT("00"&amp;VALUE(LEFT(Sync!$K1615,FIND(":",Sync!$K1615)-1)),2)&amp;RIGHT("00"&amp;VALUE(MID(Sync!$K1615,FIND(":",Sync!$K1615)+1,2)),2),"0000")))&amp;"|"&amp;"2"&amp;RIGHT("00000"&amp;1610,5))</f>
        <v/>
      </c>
      <c r="Q1615">
        <f>IF(Sync!$J1615="","",IF(ISNUMBER(Sync!$J1615),IF(AND(Sync!$J1615&gt;=10000101,Sync!$J1615&lt;=99991231),INT(Sync!$J1615/10000)&amp;"/"&amp;RIGHT("00"&amp;INT(MOD(Sync!$J1615,10000)/100),2)&amp;"/"&amp;RIGHT("00"&amp;MOD(Sync!$J1615,100),2),"نامعتبر"),IF(LEN(Sync!$J1615)=10,Sync!$J1615,"نامعتبر")))</f>
        <v/>
      </c>
      <c r="R1615">
        <f>IF($P1615="","",COUNTIFS($N$6:$N$2005,$N1615,$P$6:$P$2005,"&lt;"&amp;$P1615)+COUNTIFS($A$6:$A$1005,$N1615,$B$6:$B$1005,"&lt;"&amp;$P1615)+1)</f>
        <v/>
      </c>
      <c r="S1615">
        <f>IF($N1615="","",$N1615&amp;"|"&amp;RIGHT("000000"&amp;$R1615,6))</f>
        <v/>
      </c>
      <c r="T1615">
        <f>IF($N1615="","",IF(Sync!$N1615="",0,Sync!$N1615))</f>
        <v/>
      </c>
      <c r="U1615">
        <f>IF($N1615="","",IF(Sync!$O1615="",0,Sync!$O1615))</f>
        <v/>
      </c>
      <c r="V1615">
        <f>IF($N1615="","",Sync!$L1615)</f>
        <v/>
      </c>
      <c r="W1615">
        <f>IF($N1615="","",Sync!$P1615)</f>
        <v/>
      </c>
    </row>
    <row r="1616">
      <c r="N1616">
        <f>IF(OR(Sync!$M1616="",$Q1616="",$Q1616="نامعتبر"),"",Sync!$M1616)</f>
        <v/>
      </c>
      <c r="O1616">
        <f>IF($N1616="","",$Q1616)</f>
        <v/>
      </c>
      <c r="P1616">
        <f>IF($N1616="","",LEFT($Q1616,4)&amp;MID($Q1616,6,2)&amp;RIGHT($Q1616,2)&amp;IF(Sync!$K1616="","0000",IF(AND(ISNUMBER(Sync!$K1616),Sync!$K1616&gt;=0,Sync!$K1616&lt;1),RIGHT("00"&amp;HOUR(Sync!$K1616),2)&amp;RIGHT("00"&amp;MINUTE(Sync!$K1616),2),IFERROR(RIGHT("00"&amp;VALUE(LEFT(Sync!$K1616,FIND(":",Sync!$K1616)-1)),2)&amp;RIGHT("00"&amp;VALUE(MID(Sync!$K1616,FIND(":",Sync!$K1616)+1,2)),2),"0000")))&amp;"|"&amp;"2"&amp;RIGHT("00000"&amp;1611,5))</f>
        <v/>
      </c>
      <c r="Q1616">
        <f>IF(Sync!$J1616="","",IF(ISNUMBER(Sync!$J1616),IF(AND(Sync!$J1616&gt;=10000101,Sync!$J1616&lt;=99991231),INT(Sync!$J1616/10000)&amp;"/"&amp;RIGHT("00"&amp;INT(MOD(Sync!$J1616,10000)/100),2)&amp;"/"&amp;RIGHT("00"&amp;MOD(Sync!$J1616,100),2),"نامعتبر"),IF(LEN(Sync!$J1616)=10,Sync!$J1616,"نامعتبر")))</f>
        <v/>
      </c>
      <c r="R1616">
        <f>IF($P1616="","",COUNTIFS($N$6:$N$2005,$N1616,$P$6:$P$2005,"&lt;"&amp;$P1616)+COUNTIFS($A$6:$A$1005,$N1616,$B$6:$B$1005,"&lt;"&amp;$P1616)+1)</f>
        <v/>
      </c>
      <c r="S1616">
        <f>IF($N1616="","",$N1616&amp;"|"&amp;RIGHT("000000"&amp;$R1616,6))</f>
        <v/>
      </c>
      <c r="T1616">
        <f>IF($N1616="","",IF(Sync!$N1616="",0,Sync!$N1616))</f>
        <v/>
      </c>
      <c r="U1616">
        <f>IF($N1616="","",IF(Sync!$O1616="",0,Sync!$O1616))</f>
        <v/>
      </c>
      <c r="V1616">
        <f>IF($N1616="","",Sync!$L1616)</f>
        <v/>
      </c>
      <c r="W1616">
        <f>IF($N1616="","",Sync!$P1616)</f>
        <v/>
      </c>
    </row>
    <row r="1617">
      <c r="N1617">
        <f>IF(OR(Sync!$M1617="",$Q1617="",$Q1617="نامعتبر"),"",Sync!$M1617)</f>
        <v/>
      </c>
      <c r="O1617">
        <f>IF($N1617="","",$Q1617)</f>
        <v/>
      </c>
      <c r="P1617">
        <f>IF($N1617="","",LEFT($Q1617,4)&amp;MID($Q1617,6,2)&amp;RIGHT($Q1617,2)&amp;IF(Sync!$K1617="","0000",IF(AND(ISNUMBER(Sync!$K1617),Sync!$K1617&gt;=0,Sync!$K1617&lt;1),RIGHT("00"&amp;HOUR(Sync!$K1617),2)&amp;RIGHT("00"&amp;MINUTE(Sync!$K1617),2),IFERROR(RIGHT("00"&amp;VALUE(LEFT(Sync!$K1617,FIND(":",Sync!$K1617)-1)),2)&amp;RIGHT("00"&amp;VALUE(MID(Sync!$K1617,FIND(":",Sync!$K1617)+1,2)),2),"0000")))&amp;"|"&amp;"2"&amp;RIGHT("00000"&amp;1612,5))</f>
        <v/>
      </c>
      <c r="Q1617">
        <f>IF(Sync!$J1617="","",IF(ISNUMBER(Sync!$J1617),IF(AND(Sync!$J1617&gt;=10000101,Sync!$J1617&lt;=99991231),INT(Sync!$J1617/10000)&amp;"/"&amp;RIGHT("00"&amp;INT(MOD(Sync!$J1617,10000)/100),2)&amp;"/"&amp;RIGHT("00"&amp;MOD(Sync!$J1617,100),2),"نامعتبر"),IF(LEN(Sync!$J1617)=10,Sync!$J1617,"نامعتبر")))</f>
        <v/>
      </c>
      <c r="R1617">
        <f>IF($P1617="","",COUNTIFS($N$6:$N$2005,$N1617,$P$6:$P$2005,"&lt;"&amp;$P1617)+COUNTIFS($A$6:$A$1005,$N1617,$B$6:$B$1005,"&lt;"&amp;$P1617)+1)</f>
        <v/>
      </c>
      <c r="S1617">
        <f>IF($N1617="","",$N1617&amp;"|"&amp;RIGHT("000000"&amp;$R1617,6))</f>
        <v/>
      </c>
      <c r="T1617">
        <f>IF($N1617="","",IF(Sync!$N1617="",0,Sync!$N1617))</f>
        <v/>
      </c>
      <c r="U1617">
        <f>IF($N1617="","",IF(Sync!$O1617="",0,Sync!$O1617))</f>
        <v/>
      </c>
      <c r="V1617">
        <f>IF($N1617="","",Sync!$L1617)</f>
        <v/>
      </c>
      <c r="W1617">
        <f>IF($N1617="","",Sync!$P1617)</f>
        <v/>
      </c>
    </row>
    <row r="1618">
      <c r="N1618">
        <f>IF(OR(Sync!$M1618="",$Q1618="",$Q1618="نامعتبر"),"",Sync!$M1618)</f>
        <v/>
      </c>
      <c r="O1618">
        <f>IF($N1618="","",$Q1618)</f>
        <v/>
      </c>
      <c r="P1618">
        <f>IF($N1618="","",LEFT($Q1618,4)&amp;MID($Q1618,6,2)&amp;RIGHT($Q1618,2)&amp;IF(Sync!$K1618="","0000",IF(AND(ISNUMBER(Sync!$K1618),Sync!$K1618&gt;=0,Sync!$K1618&lt;1),RIGHT("00"&amp;HOUR(Sync!$K1618),2)&amp;RIGHT("00"&amp;MINUTE(Sync!$K1618),2),IFERROR(RIGHT("00"&amp;VALUE(LEFT(Sync!$K1618,FIND(":",Sync!$K1618)-1)),2)&amp;RIGHT("00"&amp;VALUE(MID(Sync!$K1618,FIND(":",Sync!$K1618)+1,2)),2),"0000")))&amp;"|"&amp;"2"&amp;RIGHT("00000"&amp;1613,5))</f>
        <v/>
      </c>
      <c r="Q1618">
        <f>IF(Sync!$J1618="","",IF(ISNUMBER(Sync!$J1618),IF(AND(Sync!$J1618&gt;=10000101,Sync!$J1618&lt;=99991231),INT(Sync!$J1618/10000)&amp;"/"&amp;RIGHT("00"&amp;INT(MOD(Sync!$J1618,10000)/100),2)&amp;"/"&amp;RIGHT("00"&amp;MOD(Sync!$J1618,100),2),"نامعتبر"),IF(LEN(Sync!$J1618)=10,Sync!$J1618,"نامعتبر")))</f>
        <v/>
      </c>
      <c r="R1618">
        <f>IF($P1618="","",COUNTIFS($N$6:$N$2005,$N1618,$P$6:$P$2005,"&lt;"&amp;$P1618)+COUNTIFS($A$6:$A$1005,$N1618,$B$6:$B$1005,"&lt;"&amp;$P1618)+1)</f>
        <v/>
      </c>
      <c r="S1618">
        <f>IF($N1618="","",$N1618&amp;"|"&amp;RIGHT("000000"&amp;$R1618,6))</f>
        <v/>
      </c>
      <c r="T1618">
        <f>IF($N1618="","",IF(Sync!$N1618="",0,Sync!$N1618))</f>
        <v/>
      </c>
      <c r="U1618">
        <f>IF($N1618="","",IF(Sync!$O1618="",0,Sync!$O1618))</f>
        <v/>
      </c>
      <c r="V1618">
        <f>IF($N1618="","",Sync!$L1618)</f>
        <v/>
      </c>
      <c r="W1618">
        <f>IF($N1618="","",Sync!$P1618)</f>
        <v/>
      </c>
    </row>
    <row r="1619">
      <c r="N1619">
        <f>IF(OR(Sync!$M1619="",$Q1619="",$Q1619="نامعتبر"),"",Sync!$M1619)</f>
        <v/>
      </c>
      <c r="O1619">
        <f>IF($N1619="","",$Q1619)</f>
        <v/>
      </c>
      <c r="P1619">
        <f>IF($N1619="","",LEFT($Q1619,4)&amp;MID($Q1619,6,2)&amp;RIGHT($Q1619,2)&amp;IF(Sync!$K1619="","0000",IF(AND(ISNUMBER(Sync!$K1619),Sync!$K1619&gt;=0,Sync!$K1619&lt;1),RIGHT("00"&amp;HOUR(Sync!$K1619),2)&amp;RIGHT("00"&amp;MINUTE(Sync!$K1619),2),IFERROR(RIGHT("00"&amp;VALUE(LEFT(Sync!$K1619,FIND(":",Sync!$K1619)-1)),2)&amp;RIGHT("00"&amp;VALUE(MID(Sync!$K1619,FIND(":",Sync!$K1619)+1,2)),2),"0000")))&amp;"|"&amp;"2"&amp;RIGHT("00000"&amp;1614,5))</f>
        <v/>
      </c>
      <c r="Q1619">
        <f>IF(Sync!$J1619="","",IF(ISNUMBER(Sync!$J1619),IF(AND(Sync!$J1619&gt;=10000101,Sync!$J1619&lt;=99991231),INT(Sync!$J1619/10000)&amp;"/"&amp;RIGHT("00"&amp;INT(MOD(Sync!$J1619,10000)/100),2)&amp;"/"&amp;RIGHT("00"&amp;MOD(Sync!$J1619,100),2),"نامعتبر"),IF(LEN(Sync!$J1619)=10,Sync!$J1619,"نامعتبر")))</f>
        <v/>
      </c>
      <c r="R1619">
        <f>IF($P1619="","",COUNTIFS($N$6:$N$2005,$N1619,$P$6:$P$2005,"&lt;"&amp;$P1619)+COUNTIFS($A$6:$A$1005,$N1619,$B$6:$B$1005,"&lt;"&amp;$P1619)+1)</f>
        <v/>
      </c>
      <c r="S1619">
        <f>IF($N1619="","",$N1619&amp;"|"&amp;RIGHT("000000"&amp;$R1619,6))</f>
        <v/>
      </c>
      <c r="T1619">
        <f>IF($N1619="","",IF(Sync!$N1619="",0,Sync!$N1619))</f>
        <v/>
      </c>
      <c r="U1619">
        <f>IF($N1619="","",IF(Sync!$O1619="",0,Sync!$O1619))</f>
        <v/>
      </c>
      <c r="V1619">
        <f>IF($N1619="","",Sync!$L1619)</f>
        <v/>
      </c>
      <c r="W1619">
        <f>IF($N1619="","",Sync!$P1619)</f>
        <v/>
      </c>
    </row>
    <row r="1620">
      <c r="N1620">
        <f>IF(OR(Sync!$M1620="",$Q1620="",$Q1620="نامعتبر"),"",Sync!$M1620)</f>
        <v/>
      </c>
      <c r="O1620">
        <f>IF($N1620="","",$Q1620)</f>
        <v/>
      </c>
      <c r="P1620">
        <f>IF($N1620="","",LEFT($Q1620,4)&amp;MID($Q1620,6,2)&amp;RIGHT($Q1620,2)&amp;IF(Sync!$K1620="","0000",IF(AND(ISNUMBER(Sync!$K1620),Sync!$K1620&gt;=0,Sync!$K1620&lt;1),RIGHT("00"&amp;HOUR(Sync!$K1620),2)&amp;RIGHT("00"&amp;MINUTE(Sync!$K1620),2),IFERROR(RIGHT("00"&amp;VALUE(LEFT(Sync!$K1620,FIND(":",Sync!$K1620)-1)),2)&amp;RIGHT("00"&amp;VALUE(MID(Sync!$K1620,FIND(":",Sync!$K1620)+1,2)),2),"0000")))&amp;"|"&amp;"2"&amp;RIGHT("00000"&amp;1615,5))</f>
        <v/>
      </c>
      <c r="Q1620">
        <f>IF(Sync!$J1620="","",IF(ISNUMBER(Sync!$J1620),IF(AND(Sync!$J1620&gt;=10000101,Sync!$J1620&lt;=99991231),INT(Sync!$J1620/10000)&amp;"/"&amp;RIGHT("00"&amp;INT(MOD(Sync!$J1620,10000)/100),2)&amp;"/"&amp;RIGHT("00"&amp;MOD(Sync!$J1620,100),2),"نامعتبر"),IF(LEN(Sync!$J1620)=10,Sync!$J1620,"نامعتبر")))</f>
        <v/>
      </c>
      <c r="R1620">
        <f>IF($P1620="","",COUNTIFS($N$6:$N$2005,$N1620,$P$6:$P$2005,"&lt;"&amp;$P1620)+COUNTIFS($A$6:$A$1005,$N1620,$B$6:$B$1005,"&lt;"&amp;$P1620)+1)</f>
        <v/>
      </c>
      <c r="S1620">
        <f>IF($N1620="","",$N1620&amp;"|"&amp;RIGHT("000000"&amp;$R1620,6))</f>
        <v/>
      </c>
      <c r="T1620">
        <f>IF($N1620="","",IF(Sync!$N1620="",0,Sync!$N1620))</f>
        <v/>
      </c>
      <c r="U1620">
        <f>IF($N1620="","",IF(Sync!$O1620="",0,Sync!$O1620))</f>
        <v/>
      </c>
      <c r="V1620">
        <f>IF($N1620="","",Sync!$L1620)</f>
        <v/>
      </c>
      <c r="W1620">
        <f>IF($N1620="","",Sync!$P1620)</f>
        <v/>
      </c>
    </row>
    <row r="1621">
      <c r="N1621">
        <f>IF(OR(Sync!$M1621="",$Q1621="",$Q1621="نامعتبر"),"",Sync!$M1621)</f>
        <v/>
      </c>
      <c r="O1621">
        <f>IF($N1621="","",$Q1621)</f>
        <v/>
      </c>
      <c r="P1621">
        <f>IF($N1621="","",LEFT($Q1621,4)&amp;MID($Q1621,6,2)&amp;RIGHT($Q1621,2)&amp;IF(Sync!$K1621="","0000",IF(AND(ISNUMBER(Sync!$K1621),Sync!$K1621&gt;=0,Sync!$K1621&lt;1),RIGHT("00"&amp;HOUR(Sync!$K1621),2)&amp;RIGHT("00"&amp;MINUTE(Sync!$K1621),2),IFERROR(RIGHT("00"&amp;VALUE(LEFT(Sync!$K1621,FIND(":",Sync!$K1621)-1)),2)&amp;RIGHT("00"&amp;VALUE(MID(Sync!$K1621,FIND(":",Sync!$K1621)+1,2)),2),"0000")))&amp;"|"&amp;"2"&amp;RIGHT("00000"&amp;1616,5))</f>
        <v/>
      </c>
      <c r="Q1621">
        <f>IF(Sync!$J1621="","",IF(ISNUMBER(Sync!$J1621),IF(AND(Sync!$J1621&gt;=10000101,Sync!$J1621&lt;=99991231),INT(Sync!$J1621/10000)&amp;"/"&amp;RIGHT("00"&amp;INT(MOD(Sync!$J1621,10000)/100),2)&amp;"/"&amp;RIGHT("00"&amp;MOD(Sync!$J1621,100),2),"نامعتبر"),IF(LEN(Sync!$J1621)=10,Sync!$J1621,"نامعتبر")))</f>
        <v/>
      </c>
      <c r="R1621">
        <f>IF($P1621="","",COUNTIFS($N$6:$N$2005,$N1621,$P$6:$P$2005,"&lt;"&amp;$P1621)+COUNTIFS($A$6:$A$1005,$N1621,$B$6:$B$1005,"&lt;"&amp;$P1621)+1)</f>
        <v/>
      </c>
      <c r="S1621">
        <f>IF($N1621="","",$N1621&amp;"|"&amp;RIGHT("000000"&amp;$R1621,6))</f>
        <v/>
      </c>
      <c r="T1621">
        <f>IF($N1621="","",IF(Sync!$N1621="",0,Sync!$N1621))</f>
        <v/>
      </c>
      <c r="U1621">
        <f>IF($N1621="","",IF(Sync!$O1621="",0,Sync!$O1621))</f>
        <v/>
      </c>
      <c r="V1621">
        <f>IF($N1621="","",Sync!$L1621)</f>
        <v/>
      </c>
      <c r="W1621">
        <f>IF($N1621="","",Sync!$P1621)</f>
        <v/>
      </c>
    </row>
    <row r="1622">
      <c r="N1622">
        <f>IF(OR(Sync!$M1622="",$Q1622="",$Q1622="نامعتبر"),"",Sync!$M1622)</f>
        <v/>
      </c>
      <c r="O1622">
        <f>IF($N1622="","",$Q1622)</f>
        <v/>
      </c>
      <c r="P1622">
        <f>IF($N1622="","",LEFT($Q1622,4)&amp;MID($Q1622,6,2)&amp;RIGHT($Q1622,2)&amp;IF(Sync!$K1622="","0000",IF(AND(ISNUMBER(Sync!$K1622),Sync!$K1622&gt;=0,Sync!$K1622&lt;1),RIGHT("00"&amp;HOUR(Sync!$K1622),2)&amp;RIGHT("00"&amp;MINUTE(Sync!$K1622),2),IFERROR(RIGHT("00"&amp;VALUE(LEFT(Sync!$K1622,FIND(":",Sync!$K1622)-1)),2)&amp;RIGHT("00"&amp;VALUE(MID(Sync!$K1622,FIND(":",Sync!$K1622)+1,2)),2),"0000")))&amp;"|"&amp;"2"&amp;RIGHT("00000"&amp;1617,5))</f>
        <v/>
      </c>
      <c r="Q1622">
        <f>IF(Sync!$J1622="","",IF(ISNUMBER(Sync!$J1622),IF(AND(Sync!$J1622&gt;=10000101,Sync!$J1622&lt;=99991231),INT(Sync!$J1622/10000)&amp;"/"&amp;RIGHT("00"&amp;INT(MOD(Sync!$J1622,10000)/100),2)&amp;"/"&amp;RIGHT("00"&amp;MOD(Sync!$J1622,100),2),"نامعتبر"),IF(LEN(Sync!$J1622)=10,Sync!$J1622,"نامعتبر")))</f>
        <v/>
      </c>
      <c r="R1622">
        <f>IF($P1622="","",COUNTIFS($N$6:$N$2005,$N1622,$P$6:$P$2005,"&lt;"&amp;$P1622)+COUNTIFS($A$6:$A$1005,$N1622,$B$6:$B$1005,"&lt;"&amp;$P1622)+1)</f>
        <v/>
      </c>
      <c r="S1622">
        <f>IF($N1622="","",$N1622&amp;"|"&amp;RIGHT("000000"&amp;$R1622,6))</f>
        <v/>
      </c>
      <c r="T1622">
        <f>IF($N1622="","",IF(Sync!$N1622="",0,Sync!$N1622))</f>
        <v/>
      </c>
      <c r="U1622">
        <f>IF($N1622="","",IF(Sync!$O1622="",0,Sync!$O1622))</f>
        <v/>
      </c>
      <c r="V1622">
        <f>IF($N1622="","",Sync!$L1622)</f>
        <v/>
      </c>
      <c r="W1622">
        <f>IF($N1622="","",Sync!$P1622)</f>
        <v/>
      </c>
    </row>
    <row r="1623">
      <c r="N1623">
        <f>IF(OR(Sync!$M1623="",$Q1623="",$Q1623="نامعتبر"),"",Sync!$M1623)</f>
        <v/>
      </c>
      <c r="O1623">
        <f>IF($N1623="","",$Q1623)</f>
        <v/>
      </c>
      <c r="P1623">
        <f>IF($N1623="","",LEFT($Q1623,4)&amp;MID($Q1623,6,2)&amp;RIGHT($Q1623,2)&amp;IF(Sync!$K1623="","0000",IF(AND(ISNUMBER(Sync!$K1623),Sync!$K1623&gt;=0,Sync!$K1623&lt;1),RIGHT("00"&amp;HOUR(Sync!$K1623),2)&amp;RIGHT("00"&amp;MINUTE(Sync!$K1623),2),IFERROR(RIGHT("00"&amp;VALUE(LEFT(Sync!$K1623,FIND(":",Sync!$K1623)-1)),2)&amp;RIGHT("00"&amp;VALUE(MID(Sync!$K1623,FIND(":",Sync!$K1623)+1,2)),2),"0000")))&amp;"|"&amp;"2"&amp;RIGHT("00000"&amp;1618,5))</f>
        <v/>
      </c>
      <c r="Q1623">
        <f>IF(Sync!$J1623="","",IF(ISNUMBER(Sync!$J1623),IF(AND(Sync!$J1623&gt;=10000101,Sync!$J1623&lt;=99991231),INT(Sync!$J1623/10000)&amp;"/"&amp;RIGHT("00"&amp;INT(MOD(Sync!$J1623,10000)/100),2)&amp;"/"&amp;RIGHT("00"&amp;MOD(Sync!$J1623,100),2),"نامعتبر"),IF(LEN(Sync!$J1623)=10,Sync!$J1623,"نامعتبر")))</f>
        <v/>
      </c>
      <c r="R1623">
        <f>IF($P1623="","",COUNTIFS($N$6:$N$2005,$N1623,$P$6:$P$2005,"&lt;"&amp;$P1623)+COUNTIFS($A$6:$A$1005,$N1623,$B$6:$B$1005,"&lt;"&amp;$P1623)+1)</f>
        <v/>
      </c>
      <c r="S1623">
        <f>IF($N1623="","",$N1623&amp;"|"&amp;RIGHT("000000"&amp;$R1623,6))</f>
        <v/>
      </c>
      <c r="T1623">
        <f>IF($N1623="","",IF(Sync!$N1623="",0,Sync!$N1623))</f>
        <v/>
      </c>
      <c r="U1623">
        <f>IF($N1623="","",IF(Sync!$O1623="",0,Sync!$O1623))</f>
        <v/>
      </c>
      <c r="V1623">
        <f>IF($N1623="","",Sync!$L1623)</f>
        <v/>
      </c>
      <c r="W1623">
        <f>IF($N1623="","",Sync!$P1623)</f>
        <v/>
      </c>
    </row>
    <row r="1624">
      <c r="N1624">
        <f>IF(OR(Sync!$M1624="",$Q1624="",$Q1624="نامعتبر"),"",Sync!$M1624)</f>
        <v/>
      </c>
      <c r="O1624">
        <f>IF($N1624="","",$Q1624)</f>
        <v/>
      </c>
      <c r="P1624">
        <f>IF($N1624="","",LEFT($Q1624,4)&amp;MID($Q1624,6,2)&amp;RIGHT($Q1624,2)&amp;IF(Sync!$K1624="","0000",IF(AND(ISNUMBER(Sync!$K1624),Sync!$K1624&gt;=0,Sync!$K1624&lt;1),RIGHT("00"&amp;HOUR(Sync!$K1624),2)&amp;RIGHT("00"&amp;MINUTE(Sync!$K1624),2),IFERROR(RIGHT("00"&amp;VALUE(LEFT(Sync!$K1624,FIND(":",Sync!$K1624)-1)),2)&amp;RIGHT("00"&amp;VALUE(MID(Sync!$K1624,FIND(":",Sync!$K1624)+1,2)),2),"0000")))&amp;"|"&amp;"2"&amp;RIGHT("00000"&amp;1619,5))</f>
        <v/>
      </c>
      <c r="Q1624">
        <f>IF(Sync!$J1624="","",IF(ISNUMBER(Sync!$J1624),IF(AND(Sync!$J1624&gt;=10000101,Sync!$J1624&lt;=99991231),INT(Sync!$J1624/10000)&amp;"/"&amp;RIGHT("00"&amp;INT(MOD(Sync!$J1624,10000)/100),2)&amp;"/"&amp;RIGHT("00"&amp;MOD(Sync!$J1624,100),2),"نامعتبر"),IF(LEN(Sync!$J1624)=10,Sync!$J1624,"نامعتبر")))</f>
        <v/>
      </c>
      <c r="R1624">
        <f>IF($P1624="","",COUNTIFS($N$6:$N$2005,$N1624,$P$6:$P$2005,"&lt;"&amp;$P1624)+COUNTIFS($A$6:$A$1005,$N1624,$B$6:$B$1005,"&lt;"&amp;$P1624)+1)</f>
        <v/>
      </c>
      <c r="S1624">
        <f>IF($N1624="","",$N1624&amp;"|"&amp;RIGHT("000000"&amp;$R1624,6))</f>
        <v/>
      </c>
      <c r="T1624">
        <f>IF($N1624="","",IF(Sync!$N1624="",0,Sync!$N1624))</f>
        <v/>
      </c>
      <c r="U1624">
        <f>IF($N1624="","",IF(Sync!$O1624="",0,Sync!$O1624))</f>
        <v/>
      </c>
      <c r="V1624">
        <f>IF($N1624="","",Sync!$L1624)</f>
        <v/>
      </c>
      <c r="W1624">
        <f>IF($N1624="","",Sync!$P1624)</f>
        <v/>
      </c>
    </row>
    <row r="1625">
      <c r="N1625">
        <f>IF(OR(Sync!$M1625="",$Q1625="",$Q1625="نامعتبر"),"",Sync!$M1625)</f>
        <v/>
      </c>
      <c r="O1625">
        <f>IF($N1625="","",$Q1625)</f>
        <v/>
      </c>
      <c r="P1625">
        <f>IF($N1625="","",LEFT($Q1625,4)&amp;MID($Q1625,6,2)&amp;RIGHT($Q1625,2)&amp;IF(Sync!$K1625="","0000",IF(AND(ISNUMBER(Sync!$K1625),Sync!$K1625&gt;=0,Sync!$K1625&lt;1),RIGHT("00"&amp;HOUR(Sync!$K1625),2)&amp;RIGHT("00"&amp;MINUTE(Sync!$K1625),2),IFERROR(RIGHT("00"&amp;VALUE(LEFT(Sync!$K1625,FIND(":",Sync!$K1625)-1)),2)&amp;RIGHT("00"&amp;VALUE(MID(Sync!$K1625,FIND(":",Sync!$K1625)+1,2)),2),"0000")))&amp;"|"&amp;"2"&amp;RIGHT("00000"&amp;1620,5))</f>
        <v/>
      </c>
      <c r="Q1625">
        <f>IF(Sync!$J1625="","",IF(ISNUMBER(Sync!$J1625),IF(AND(Sync!$J1625&gt;=10000101,Sync!$J1625&lt;=99991231),INT(Sync!$J1625/10000)&amp;"/"&amp;RIGHT("00"&amp;INT(MOD(Sync!$J1625,10000)/100),2)&amp;"/"&amp;RIGHT("00"&amp;MOD(Sync!$J1625,100),2),"نامعتبر"),IF(LEN(Sync!$J1625)=10,Sync!$J1625,"نامعتبر")))</f>
        <v/>
      </c>
      <c r="R1625">
        <f>IF($P1625="","",COUNTIFS($N$6:$N$2005,$N1625,$P$6:$P$2005,"&lt;"&amp;$P1625)+COUNTIFS($A$6:$A$1005,$N1625,$B$6:$B$1005,"&lt;"&amp;$P1625)+1)</f>
        <v/>
      </c>
      <c r="S1625">
        <f>IF($N1625="","",$N1625&amp;"|"&amp;RIGHT("000000"&amp;$R1625,6))</f>
        <v/>
      </c>
      <c r="T1625">
        <f>IF($N1625="","",IF(Sync!$N1625="",0,Sync!$N1625))</f>
        <v/>
      </c>
      <c r="U1625">
        <f>IF($N1625="","",IF(Sync!$O1625="",0,Sync!$O1625))</f>
        <v/>
      </c>
      <c r="V1625">
        <f>IF($N1625="","",Sync!$L1625)</f>
        <v/>
      </c>
      <c r="W1625">
        <f>IF($N1625="","",Sync!$P1625)</f>
        <v/>
      </c>
    </row>
    <row r="1626">
      <c r="N1626">
        <f>IF(OR(Sync!$M1626="",$Q1626="",$Q1626="نامعتبر"),"",Sync!$M1626)</f>
        <v/>
      </c>
      <c r="O1626">
        <f>IF($N1626="","",$Q1626)</f>
        <v/>
      </c>
      <c r="P1626">
        <f>IF($N1626="","",LEFT($Q1626,4)&amp;MID($Q1626,6,2)&amp;RIGHT($Q1626,2)&amp;IF(Sync!$K1626="","0000",IF(AND(ISNUMBER(Sync!$K1626),Sync!$K1626&gt;=0,Sync!$K1626&lt;1),RIGHT("00"&amp;HOUR(Sync!$K1626),2)&amp;RIGHT("00"&amp;MINUTE(Sync!$K1626),2),IFERROR(RIGHT("00"&amp;VALUE(LEFT(Sync!$K1626,FIND(":",Sync!$K1626)-1)),2)&amp;RIGHT("00"&amp;VALUE(MID(Sync!$K1626,FIND(":",Sync!$K1626)+1,2)),2),"0000")))&amp;"|"&amp;"2"&amp;RIGHT("00000"&amp;1621,5))</f>
        <v/>
      </c>
      <c r="Q1626">
        <f>IF(Sync!$J1626="","",IF(ISNUMBER(Sync!$J1626),IF(AND(Sync!$J1626&gt;=10000101,Sync!$J1626&lt;=99991231),INT(Sync!$J1626/10000)&amp;"/"&amp;RIGHT("00"&amp;INT(MOD(Sync!$J1626,10000)/100),2)&amp;"/"&amp;RIGHT("00"&amp;MOD(Sync!$J1626,100),2),"نامعتبر"),IF(LEN(Sync!$J1626)=10,Sync!$J1626,"نامعتبر")))</f>
        <v/>
      </c>
      <c r="R1626">
        <f>IF($P1626="","",COUNTIFS($N$6:$N$2005,$N1626,$P$6:$P$2005,"&lt;"&amp;$P1626)+COUNTIFS($A$6:$A$1005,$N1626,$B$6:$B$1005,"&lt;"&amp;$P1626)+1)</f>
        <v/>
      </c>
      <c r="S1626">
        <f>IF($N1626="","",$N1626&amp;"|"&amp;RIGHT("000000"&amp;$R1626,6))</f>
        <v/>
      </c>
      <c r="T1626">
        <f>IF($N1626="","",IF(Sync!$N1626="",0,Sync!$N1626))</f>
        <v/>
      </c>
      <c r="U1626">
        <f>IF($N1626="","",IF(Sync!$O1626="",0,Sync!$O1626))</f>
        <v/>
      </c>
      <c r="V1626">
        <f>IF($N1626="","",Sync!$L1626)</f>
        <v/>
      </c>
      <c r="W1626">
        <f>IF($N1626="","",Sync!$P1626)</f>
        <v/>
      </c>
    </row>
    <row r="1627">
      <c r="N1627">
        <f>IF(OR(Sync!$M1627="",$Q1627="",$Q1627="نامعتبر"),"",Sync!$M1627)</f>
        <v/>
      </c>
      <c r="O1627">
        <f>IF($N1627="","",$Q1627)</f>
        <v/>
      </c>
      <c r="P1627">
        <f>IF($N1627="","",LEFT($Q1627,4)&amp;MID($Q1627,6,2)&amp;RIGHT($Q1627,2)&amp;IF(Sync!$K1627="","0000",IF(AND(ISNUMBER(Sync!$K1627),Sync!$K1627&gt;=0,Sync!$K1627&lt;1),RIGHT("00"&amp;HOUR(Sync!$K1627),2)&amp;RIGHT("00"&amp;MINUTE(Sync!$K1627),2),IFERROR(RIGHT("00"&amp;VALUE(LEFT(Sync!$K1627,FIND(":",Sync!$K1627)-1)),2)&amp;RIGHT("00"&amp;VALUE(MID(Sync!$K1627,FIND(":",Sync!$K1627)+1,2)),2),"0000")))&amp;"|"&amp;"2"&amp;RIGHT("00000"&amp;1622,5))</f>
        <v/>
      </c>
      <c r="Q1627">
        <f>IF(Sync!$J1627="","",IF(ISNUMBER(Sync!$J1627),IF(AND(Sync!$J1627&gt;=10000101,Sync!$J1627&lt;=99991231),INT(Sync!$J1627/10000)&amp;"/"&amp;RIGHT("00"&amp;INT(MOD(Sync!$J1627,10000)/100),2)&amp;"/"&amp;RIGHT("00"&amp;MOD(Sync!$J1627,100),2),"نامعتبر"),IF(LEN(Sync!$J1627)=10,Sync!$J1627,"نامعتبر")))</f>
        <v/>
      </c>
      <c r="R1627">
        <f>IF($P1627="","",COUNTIFS($N$6:$N$2005,$N1627,$P$6:$P$2005,"&lt;"&amp;$P1627)+COUNTIFS($A$6:$A$1005,$N1627,$B$6:$B$1005,"&lt;"&amp;$P1627)+1)</f>
        <v/>
      </c>
      <c r="S1627">
        <f>IF($N1627="","",$N1627&amp;"|"&amp;RIGHT("000000"&amp;$R1627,6))</f>
        <v/>
      </c>
      <c r="T1627">
        <f>IF($N1627="","",IF(Sync!$N1627="",0,Sync!$N1627))</f>
        <v/>
      </c>
      <c r="U1627">
        <f>IF($N1627="","",IF(Sync!$O1627="",0,Sync!$O1627))</f>
        <v/>
      </c>
      <c r="V1627">
        <f>IF($N1627="","",Sync!$L1627)</f>
        <v/>
      </c>
      <c r="W1627">
        <f>IF($N1627="","",Sync!$P1627)</f>
        <v/>
      </c>
    </row>
    <row r="1628">
      <c r="N1628">
        <f>IF(OR(Sync!$M1628="",$Q1628="",$Q1628="نامعتبر"),"",Sync!$M1628)</f>
        <v/>
      </c>
      <c r="O1628">
        <f>IF($N1628="","",$Q1628)</f>
        <v/>
      </c>
      <c r="P1628">
        <f>IF($N1628="","",LEFT($Q1628,4)&amp;MID($Q1628,6,2)&amp;RIGHT($Q1628,2)&amp;IF(Sync!$K1628="","0000",IF(AND(ISNUMBER(Sync!$K1628),Sync!$K1628&gt;=0,Sync!$K1628&lt;1),RIGHT("00"&amp;HOUR(Sync!$K1628),2)&amp;RIGHT("00"&amp;MINUTE(Sync!$K1628),2),IFERROR(RIGHT("00"&amp;VALUE(LEFT(Sync!$K1628,FIND(":",Sync!$K1628)-1)),2)&amp;RIGHT("00"&amp;VALUE(MID(Sync!$K1628,FIND(":",Sync!$K1628)+1,2)),2),"0000")))&amp;"|"&amp;"2"&amp;RIGHT("00000"&amp;1623,5))</f>
        <v/>
      </c>
      <c r="Q1628">
        <f>IF(Sync!$J1628="","",IF(ISNUMBER(Sync!$J1628),IF(AND(Sync!$J1628&gt;=10000101,Sync!$J1628&lt;=99991231),INT(Sync!$J1628/10000)&amp;"/"&amp;RIGHT("00"&amp;INT(MOD(Sync!$J1628,10000)/100),2)&amp;"/"&amp;RIGHT("00"&amp;MOD(Sync!$J1628,100),2),"نامعتبر"),IF(LEN(Sync!$J1628)=10,Sync!$J1628,"نامعتبر")))</f>
        <v/>
      </c>
      <c r="R1628">
        <f>IF($P1628="","",COUNTIFS($N$6:$N$2005,$N1628,$P$6:$P$2005,"&lt;"&amp;$P1628)+COUNTIFS($A$6:$A$1005,$N1628,$B$6:$B$1005,"&lt;"&amp;$P1628)+1)</f>
        <v/>
      </c>
      <c r="S1628">
        <f>IF($N1628="","",$N1628&amp;"|"&amp;RIGHT("000000"&amp;$R1628,6))</f>
        <v/>
      </c>
      <c r="T1628">
        <f>IF($N1628="","",IF(Sync!$N1628="",0,Sync!$N1628))</f>
        <v/>
      </c>
      <c r="U1628">
        <f>IF($N1628="","",IF(Sync!$O1628="",0,Sync!$O1628))</f>
        <v/>
      </c>
      <c r="V1628">
        <f>IF($N1628="","",Sync!$L1628)</f>
        <v/>
      </c>
      <c r="W1628">
        <f>IF($N1628="","",Sync!$P1628)</f>
        <v/>
      </c>
    </row>
    <row r="1629">
      <c r="N1629">
        <f>IF(OR(Sync!$M1629="",$Q1629="",$Q1629="نامعتبر"),"",Sync!$M1629)</f>
        <v/>
      </c>
      <c r="O1629">
        <f>IF($N1629="","",$Q1629)</f>
        <v/>
      </c>
      <c r="P1629">
        <f>IF($N1629="","",LEFT($Q1629,4)&amp;MID($Q1629,6,2)&amp;RIGHT($Q1629,2)&amp;IF(Sync!$K1629="","0000",IF(AND(ISNUMBER(Sync!$K1629),Sync!$K1629&gt;=0,Sync!$K1629&lt;1),RIGHT("00"&amp;HOUR(Sync!$K1629),2)&amp;RIGHT("00"&amp;MINUTE(Sync!$K1629),2),IFERROR(RIGHT("00"&amp;VALUE(LEFT(Sync!$K1629,FIND(":",Sync!$K1629)-1)),2)&amp;RIGHT("00"&amp;VALUE(MID(Sync!$K1629,FIND(":",Sync!$K1629)+1,2)),2),"0000")))&amp;"|"&amp;"2"&amp;RIGHT("00000"&amp;1624,5))</f>
        <v/>
      </c>
      <c r="Q1629">
        <f>IF(Sync!$J1629="","",IF(ISNUMBER(Sync!$J1629),IF(AND(Sync!$J1629&gt;=10000101,Sync!$J1629&lt;=99991231),INT(Sync!$J1629/10000)&amp;"/"&amp;RIGHT("00"&amp;INT(MOD(Sync!$J1629,10000)/100),2)&amp;"/"&amp;RIGHT("00"&amp;MOD(Sync!$J1629,100),2),"نامعتبر"),IF(LEN(Sync!$J1629)=10,Sync!$J1629,"نامعتبر")))</f>
        <v/>
      </c>
      <c r="R1629">
        <f>IF($P1629="","",COUNTIFS($N$6:$N$2005,$N1629,$P$6:$P$2005,"&lt;"&amp;$P1629)+COUNTIFS($A$6:$A$1005,$N1629,$B$6:$B$1005,"&lt;"&amp;$P1629)+1)</f>
        <v/>
      </c>
      <c r="S1629">
        <f>IF($N1629="","",$N1629&amp;"|"&amp;RIGHT("000000"&amp;$R1629,6))</f>
        <v/>
      </c>
      <c r="T1629">
        <f>IF($N1629="","",IF(Sync!$N1629="",0,Sync!$N1629))</f>
        <v/>
      </c>
      <c r="U1629">
        <f>IF($N1629="","",IF(Sync!$O1629="",0,Sync!$O1629))</f>
        <v/>
      </c>
      <c r="V1629">
        <f>IF($N1629="","",Sync!$L1629)</f>
        <v/>
      </c>
      <c r="W1629">
        <f>IF($N1629="","",Sync!$P1629)</f>
        <v/>
      </c>
    </row>
    <row r="1630">
      <c r="N1630">
        <f>IF(OR(Sync!$M1630="",$Q1630="",$Q1630="نامعتبر"),"",Sync!$M1630)</f>
        <v/>
      </c>
      <c r="O1630">
        <f>IF($N1630="","",$Q1630)</f>
        <v/>
      </c>
      <c r="P1630">
        <f>IF($N1630="","",LEFT($Q1630,4)&amp;MID($Q1630,6,2)&amp;RIGHT($Q1630,2)&amp;IF(Sync!$K1630="","0000",IF(AND(ISNUMBER(Sync!$K1630),Sync!$K1630&gt;=0,Sync!$K1630&lt;1),RIGHT("00"&amp;HOUR(Sync!$K1630),2)&amp;RIGHT("00"&amp;MINUTE(Sync!$K1630),2),IFERROR(RIGHT("00"&amp;VALUE(LEFT(Sync!$K1630,FIND(":",Sync!$K1630)-1)),2)&amp;RIGHT("00"&amp;VALUE(MID(Sync!$K1630,FIND(":",Sync!$K1630)+1,2)),2),"0000")))&amp;"|"&amp;"2"&amp;RIGHT("00000"&amp;1625,5))</f>
        <v/>
      </c>
      <c r="Q1630">
        <f>IF(Sync!$J1630="","",IF(ISNUMBER(Sync!$J1630),IF(AND(Sync!$J1630&gt;=10000101,Sync!$J1630&lt;=99991231),INT(Sync!$J1630/10000)&amp;"/"&amp;RIGHT("00"&amp;INT(MOD(Sync!$J1630,10000)/100),2)&amp;"/"&amp;RIGHT("00"&amp;MOD(Sync!$J1630,100),2),"نامعتبر"),IF(LEN(Sync!$J1630)=10,Sync!$J1630,"نامعتبر")))</f>
        <v/>
      </c>
      <c r="R1630">
        <f>IF($P1630="","",COUNTIFS($N$6:$N$2005,$N1630,$P$6:$P$2005,"&lt;"&amp;$P1630)+COUNTIFS($A$6:$A$1005,$N1630,$B$6:$B$1005,"&lt;"&amp;$P1630)+1)</f>
        <v/>
      </c>
      <c r="S1630">
        <f>IF($N1630="","",$N1630&amp;"|"&amp;RIGHT("000000"&amp;$R1630,6))</f>
        <v/>
      </c>
      <c r="T1630">
        <f>IF($N1630="","",IF(Sync!$N1630="",0,Sync!$N1630))</f>
        <v/>
      </c>
      <c r="U1630">
        <f>IF($N1630="","",IF(Sync!$O1630="",0,Sync!$O1630))</f>
        <v/>
      </c>
      <c r="V1630">
        <f>IF($N1630="","",Sync!$L1630)</f>
        <v/>
      </c>
      <c r="W1630">
        <f>IF($N1630="","",Sync!$P1630)</f>
        <v/>
      </c>
    </row>
    <row r="1631">
      <c r="N1631">
        <f>IF(OR(Sync!$M1631="",$Q1631="",$Q1631="نامعتبر"),"",Sync!$M1631)</f>
        <v/>
      </c>
      <c r="O1631">
        <f>IF($N1631="","",$Q1631)</f>
        <v/>
      </c>
      <c r="P1631">
        <f>IF($N1631="","",LEFT($Q1631,4)&amp;MID($Q1631,6,2)&amp;RIGHT($Q1631,2)&amp;IF(Sync!$K1631="","0000",IF(AND(ISNUMBER(Sync!$K1631),Sync!$K1631&gt;=0,Sync!$K1631&lt;1),RIGHT("00"&amp;HOUR(Sync!$K1631),2)&amp;RIGHT("00"&amp;MINUTE(Sync!$K1631),2),IFERROR(RIGHT("00"&amp;VALUE(LEFT(Sync!$K1631,FIND(":",Sync!$K1631)-1)),2)&amp;RIGHT("00"&amp;VALUE(MID(Sync!$K1631,FIND(":",Sync!$K1631)+1,2)),2),"0000")))&amp;"|"&amp;"2"&amp;RIGHT("00000"&amp;1626,5))</f>
        <v/>
      </c>
      <c r="Q1631">
        <f>IF(Sync!$J1631="","",IF(ISNUMBER(Sync!$J1631),IF(AND(Sync!$J1631&gt;=10000101,Sync!$J1631&lt;=99991231),INT(Sync!$J1631/10000)&amp;"/"&amp;RIGHT("00"&amp;INT(MOD(Sync!$J1631,10000)/100),2)&amp;"/"&amp;RIGHT("00"&amp;MOD(Sync!$J1631,100),2),"نامعتبر"),IF(LEN(Sync!$J1631)=10,Sync!$J1631,"نامعتبر")))</f>
        <v/>
      </c>
      <c r="R1631">
        <f>IF($P1631="","",COUNTIFS($N$6:$N$2005,$N1631,$P$6:$P$2005,"&lt;"&amp;$P1631)+COUNTIFS($A$6:$A$1005,$N1631,$B$6:$B$1005,"&lt;"&amp;$P1631)+1)</f>
        <v/>
      </c>
      <c r="S1631">
        <f>IF($N1631="","",$N1631&amp;"|"&amp;RIGHT("000000"&amp;$R1631,6))</f>
        <v/>
      </c>
      <c r="T1631">
        <f>IF($N1631="","",IF(Sync!$N1631="",0,Sync!$N1631))</f>
        <v/>
      </c>
      <c r="U1631">
        <f>IF($N1631="","",IF(Sync!$O1631="",0,Sync!$O1631))</f>
        <v/>
      </c>
      <c r="V1631">
        <f>IF($N1631="","",Sync!$L1631)</f>
        <v/>
      </c>
      <c r="W1631">
        <f>IF($N1631="","",Sync!$P1631)</f>
        <v/>
      </c>
    </row>
    <row r="1632">
      <c r="N1632">
        <f>IF(OR(Sync!$M1632="",$Q1632="",$Q1632="نامعتبر"),"",Sync!$M1632)</f>
        <v/>
      </c>
      <c r="O1632">
        <f>IF($N1632="","",$Q1632)</f>
        <v/>
      </c>
      <c r="P1632">
        <f>IF($N1632="","",LEFT($Q1632,4)&amp;MID($Q1632,6,2)&amp;RIGHT($Q1632,2)&amp;IF(Sync!$K1632="","0000",IF(AND(ISNUMBER(Sync!$K1632),Sync!$K1632&gt;=0,Sync!$K1632&lt;1),RIGHT("00"&amp;HOUR(Sync!$K1632),2)&amp;RIGHT("00"&amp;MINUTE(Sync!$K1632),2),IFERROR(RIGHT("00"&amp;VALUE(LEFT(Sync!$K1632,FIND(":",Sync!$K1632)-1)),2)&amp;RIGHT("00"&amp;VALUE(MID(Sync!$K1632,FIND(":",Sync!$K1632)+1,2)),2),"0000")))&amp;"|"&amp;"2"&amp;RIGHT("00000"&amp;1627,5))</f>
        <v/>
      </c>
      <c r="Q1632">
        <f>IF(Sync!$J1632="","",IF(ISNUMBER(Sync!$J1632),IF(AND(Sync!$J1632&gt;=10000101,Sync!$J1632&lt;=99991231),INT(Sync!$J1632/10000)&amp;"/"&amp;RIGHT("00"&amp;INT(MOD(Sync!$J1632,10000)/100),2)&amp;"/"&amp;RIGHT("00"&amp;MOD(Sync!$J1632,100),2),"نامعتبر"),IF(LEN(Sync!$J1632)=10,Sync!$J1632,"نامعتبر")))</f>
        <v/>
      </c>
      <c r="R1632">
        <f>IF($P1632="","",COUNTIFS($N$6:$N$2005,$N1632,$P$6:$P$2005,"&lt;"&amp;$P1632)+COUNTIFS($A$6:$A$1005,$N1632,$B$6:$B$1005,"&lt;"&amp;$P1632)+1)</f>
        <v/>
      </c>
      <c r="S1632">
        <f>IF($N1632="","",$N1632&amp;"|"&amp;RIGHT("000000"&amp;$R1632,6))</f>
        <v/>
      </c>
      <c r="T1632">
        <f>IF($N1632="","",IF(Sync!$N1632="",0,Sync!$N1632))</f>
        <v/>
      </c>
      <c r="U1632">
        <f>IF($N1632="","",IF(Sync!$O1632="",0,Sync!$O1632))</f>
        <v/>
      </c>
      <c r="V1632">
        <f>IF($N1632="","",Sync!$L1632)</f>
        <v/>
      </c>
      <c r="W1632">
        <f>IF($N1632="","",Sync!$P1632)</f>
        <v/>
      </c>
    </row>
    <row r="1633">
      <c r="N1633">
        <f>IF(OR(Sync!$M1633="",$Q1633="",$Q1633="نامعتبر"),"",Sync!$M1633)</f>
        <v/>
      </c>
      <c r="O1633">
        <f>IF($N1633="","",$Q1633)</f>
        <v/>
      </c>
      <c r="P1633">
        <f>IF($N1633="","",LEFT($Q1633,4)&amp;MID($Q1633,6,2)&amp;RIGHT($Q1633,2)&amp;IF(Sync!$K1633="","0000",IF(AND(ISNUMBER(Sync!$K1633),Sync!$K1633&gt;=0,Sync!$K1633&lt;1),RIGHT("00"&amp;HOUR(Sync!$K1633),2)&amp;RIGHT("00"&amp;MINUTE(Sync!$K1633),2),IFERROR(RIGHT("00"&amp;VALUE(LEFT(Sync!$K1633,FIND(":",Sync!$K1633)-1)),2)&amp;RIGHT("00"&amp;VALUE(MID(Sync!$K1633,FIND(":",Sync!$K1633)+1,2)),2),"0000")))&amp;"|"&amp;"2"&amp;RIGHT("00000"&amp;1628,5))</f>
        <v/>
      </c>
      <c r="Q1633">
        <f>IF(Sync!$J1633="","",IF(ISNUMBER(Sync!$J1633),IF(AND(Sync!$J1633&gt;=10000101,Sync!$J1633&lt;=99991231),INT(Sync!$J1633/10000)&amp;"/"&amp;RIGHT("00"&amp;INT(MOD(Sync!$J1633,10000)/100),2)&amp;"/"&amp;RIGHT("00"&amp;MOD(Sync!$J1633,100),2),"نامعتبر"),IF(LEN(Sync!$J1633)=10,Sync!$J1633,"نامعتبر")))</f>
        <v/>
      </c>
      <c r="R1633">
        <f>IF($P1633="","",COUNTIFS($N$6:$N$2005,$N1633,$P$6:$P$2005,"&lt;"&amp;$P1633)+COUNTIFS($A$6:$A$1005,$N1633,$B$6:$B$1005,"&lt;"&amp;$P1633)+1)</f>
        <v/>
      </c>
      <c r="S1633">
        <f>IF($N1633="","",$N1633&amp;"|"&amp;RIGHT("000000"&amp;$R1633,6))</f>
        <v/>
      </c>
      <c r="T1633">
        <f>IF($N1633="","",IF(Sync!$N1633="",0,Sync!$N1633))</f>
        <v/>
      </c>
      <c r="U1633">
        <f>IF($N1633="","",IF(Sync!$O1633="",0,Sync!$O1633))</f>
        <v/>
      </c>
      <c r="V1633">
        <f>IF($N1633="","",Sync!$L1633)</f>
        <v/>
      </c>
      <c r="W1633">
        <f>IF($N1633="","",Sync!$P1633)</f>
        <v/>
      </c>
    </row>
    <row r="1634">
      <c r="N1634">
        <f>IF(OR(Sync!$M1634="",$Q1634="",$Q1634="نامعتبر"),"",Sync!$M1634)</f>
        <v/>
      </c>
      <c r="O1634">
        <f>IF($N1634="","",$Q1634)</f>
        <v/>
      </c>
      <c r="P1634">
        <f>IF($N1634="","",LEFT($Q1634,4)&amp;MID($Q1634,6,2)&amp;RIGHT($Q1634,2)&amp;IF(Sync!$K1634="","0000",IF(AND(ISNUMBER(Sync!$K1634),Sync!$K1634&gt;=0,Sync!$K1634&lt;1),RIGHT("00"&amp;HOUR(Sync!$K1634),2)&amp;RIGHT("00"&amp;MINUTE(Sync!$K1634),2),IFERROR(RIGHT("00"&amp;VALUE(LEFT(Sync!$K1634,FIND(":",Sync!$K1634)-1)),2)&amp;RIGHT("00"&amp;VALUE(MID(Sync!$K1634,FIND(":",Sync!$K1634)+1,2)),2),"0000")))&amp;"|"&amp;"2"&amp;RIGHT("00000"&amp;1629,5))</f>
        <v/>
      </c>
      <c r="Q1634">
        <f>IF(Sync!$J1634="","",IF(ISNUMBER(Sync!$J1634),IF(AND(Sync!$J1634&gt;=10000101,Sync!$J1634&lt;=99991231),INT(Sync!$J1634/10000)&amp;"/"&amp;RIGHT("00"&amp;INT(MOD(Sync!$J1634,10000)/100),2)&amp;"/"&amp;RIGHT("00"&amp;MOD(Sync!$J1634,100),2),"نامعتبر"),IF(LEN(Sync!$J1634)=10,Sync!$J1634,"نامعتبر")))</f>
        <v/>
      </c>
      <c r="R1634">
        <f>IF($P1634="","",COUNTIFS($N$6:$N$2005,$N1634,$P$6:$P$2005,"&lt;"&amp;$P1634)+COUNTIFS($A$6:$A$1005,$N1634,$B$6:$B$1005,"&lt;"&amp;$P1634)+1)</f>
        <v/>
      </c>
      <c r="S1634">
        <f>IF($N1634="","",$N1634&amp;"|"&amp;RIGHT("000000"&amp;$R1634,6))</f>
        <v/>
      </c>
      <c r="T1634">
        <f>IF($N1634="","",IF(Sync!$N1634="",0,Sync!$N1634))</f>
        <v/>
      </c>
      <c r="U1634">
        <f>IF($N1634="","",IF(Sync!$O1634="",0,Sync!$O1634))</f>
        <v/>
      </c>
      <c r="V1634">
        <f>IF($N1634="","",Sync!$L1634)</f>
        <v/>
      </c>
      <c r="W1634">
        <f>IF($N1634="","",Sync!$P1634)</f>
        <v/>
      </c>
    </row>
    <row r="1635">
      <c r="N1635">
        <f>IF(OR(Sync!$M1635="",$Q1635="",$Q1635="نامعتبر"),"",Sync!$M1635)</f>
        <v/>
      </c>
      <c r="O1635">
        <f>IF($N1635="","",$Q1635)</f>
        <v/>
      </c>
      <c r="P1635">
        <f>IF($N1635="","",LEFT($Q1635,4)&amp;MID($Q1635,6,2)&amp;RIGHT($Q1635,2)&amp;IF(Sync!$K1635="","0000",IF(AND(ISNUMBER(Sync!$K1635),Sync!$K1635&gt;=0,Sync!$K1635&lt;1),RIGHT("00"&amp;HOUR(Sync!$K1635),2)&amp;RIGHT("00"&amp;MINUTE(Sync!$K1635),2),IFERROR(RIGHT("00"&amp;VALUE(LEFT(Sync!$K1635,FIND(":",Sync!$K1635)-1)),2)&amp;RIGHT("00"&amp;VALUE(MID(Sync!$K1635,FIND(":",Sync!$K1635)+1,2)),2),"0000")))&amp;"|"&amp;"2"&amp;RIGHT("00000"&amp;1630,5))</f>
        <v/>
      </c>
      <c r="Q1635">
        <f>IF(Sync!$J1635="","",IF(ISNUMBER(Sync!$J1635),IF(AND(Sync!$J1635&gt;=10000101,Sync!$J1635&lt;=99991231),INT(Sync!$J1635/10000)&amp;"/"&amp;RIGHT("00"&amp;INT(MOD(Sync!$J1635,10000)/100),2)&amp;"/"&amp;RIGHT("00"&amp;MOD(Sync!$J1635,100),2),"نامعتبر"),IF(LEN(Sync!$J1635)=10,Sync!$J1635,"نامعتبر")))</f>
        <v/>
      </c>
      <c r="R1635">
        <f>IF($P1635="","",COUNTIFS($N$6:$N$2005,$N1635,$P$6:$P$2005,"&lt;"&amp;$P1635)+COUNTIFS($A$6:$A$1005,$N1635,$B$6:$B$1005,"&lt;"&amp;$P1635)+1)</f>
        <v/>
      </c>
      <c r="S1635">
        <f>IF($N1635="","",$N1635&amp;"|"&amp;RIGHT("000000"&amp;$R1635,6))</f>
        <v/>
      </c>
      <c r="T1635">
        <f>IF($N1635="","",IF(Sync!$N1635="",0,Sync!$N1635))</f>
        <v/>
      </c>
      <c r="U1635">
        <f>IF($N1635="","",IF(Sync!$O1635="",0,Sync!$O1635))</f>
        <v/>
      </c>
      <c r="V1635">
        <f>IF($N1635="","",Sync!$L1635)</f>
        <v/>
      </c>
      <c r="W1635">
        <f>IF($N1635="","",Sync!$P1635)</f>
        <v/>
      </c>
    </row>
    <row r="1636">
      <c r="N1636">
        <f>IF(OR(Sync!$M1636="",$Q1636="",$Q1636="نامعتبر"),"",Sync!$M1636)</f>
        <v/>
      </c>
      <c r="O1636">
        <f>IF($N1636="","",$Q1636)</f>
        <v/>
      </c>
      <c r="P1636">
        <f>IF($N1636="","",LEFT($Q1636,4)&amp;MID($Q1636,6,2)&amp;RIGHT($Q1636,2)&amp;IF(Sync!$K1636="","0000",IF(AND(ISNUMBER(Sync!$K1636),Sync!$K1636&gt;=0,Sync!$K1636&lt;1),RIGHT("00"&amp;HOUR(Sync!$K1636),2)&amp;RIGHT("00"&amp;MINUTE(Sync!$K1636),2),IFERROR(RIGHT("00"&amp;VALUE(LEFT(Sync!$K1636,FIND(":",Sync!$K1636)-1)),2)&amp;RIGHT("00"&amp;VALUE(MID(Sync!$K1636,FIND(":",Sync!$K1636)+1,2)),2),"0000")))&amp;"|"&amp;"2"&amp;RIGHT("00000"&amp;1631,5))</f>
        <v/>
      </c>
      <c r="Q1636">
        <f>IF(Sync!$J1636="","",IF(ISNUMBER(Sync!$J1636),IF(AND(Sync!$J1636&gt;=10000101,Sync!$J1636&lt;=99991231),INT(Sync!$J1636/10000)&amp;"/"&amp;RIGHT("00"&amp;INT(MOD(Sync!$J1636,10000)/100),2)&amp;"/"&amp;RIGHT("00"&amp;MOD(Sync!$J1636,100),2),"نامعتبر"),IF(LEN(Sync!$J1636)=10,Sync!$J1636,"نامعتبر")))</f>
        <v/>
      </c>
      <c r="R1636">
        <f>IF($P1636="","",COUNTIFS($N$6:$N$2005,$N1636,$P$6:$P$2005,"&lt;"&amp;$P1636)+COUNTIFS($A$6:$A$1005,$N1636,$B$6:$B$1005,"&lt;"&amp;$P1636)+1)</f>
        <v/>
      </c>
      <c r="S1636">
        <f>IF($N1636="","",$N1636&amp;"|"&amp;RIGHT("000000"&amp;$R1636,6))</f>
        <v/>
      </c>
      <c r="T1636">
        <f>IF($N1636="","",IF(Sync!$N1636="",0,Sync!$N1636))</f>
        <v/>
      </c>
      <c r="U1636">
        <f>IF($N1636="","",IF(Sync!$O1636="",0,Sync!$O1636))</f>
        <v/>
      </c>
      <c r="V1636">
        <f>IF($N1636="","",Sync!$L1636)</f>
        <v/>
      </c>
      <c r="W1636">
        <f>IF($N1636="","",Sync!$P1636)</f>
        <v/>
      </c>
    </row>
    <row r="1637">
      <c r="N1637">
        <f>IF(OR(Sync!$M1637="",$Q1637="",$Q1637="نامعتبر"),"",Sync!$M1637)</f>
        <v/>
      </c>
      <c r="O1637">
        <f>IF($N1637="","",$Q1637)</f>
        <v/>
      </c>
      <c r="P1637">
        <f>IF($N1637="","",LEFT($Q1637,4)&amp;MID($Q1637,6,2)&amp;RIGHT($Q1637,2)&amp;IF(Sync!$K1637="","0000",IF(AND(ISNUMBER(Sync!$K1637),Sync!$K1637&gt;=0,Sync!$K1637&lt;1),RIGHT("00"&amp;HOUR(Sync!$K1637),2)&amp;RIGHT("00"&amp;MINUTE(Sync!$K1637),2),IFERROR(RIGHT("00"&amp;VALUE(LEFT(Sync!$K1637,FIND(":",Sync!$K1637)-1)),2)&amp;RIGHT("00"&amp;VALUE(MID(Sync!$K1637,FIND(":",Sync!$K1637)+1,2)),2),"0000")))&amp;"|"&amp;"2"&amp;RIGHT("00000"&amp;1632,5))</f>
        <v/>
      </c>
      <c r="Q1637">
        <f>IF(Sync!$J1637="","",IF(ISNUMBER(Sync!$J1637),IF(AND(Sync!$J1637&gt;=10000101,Sync!$J1637&lt;=99991231),INT(Sync!$J1637/10000)&amp;"/"&amp;RIGHT("00"&amp;INT(MOD(Sync!$J1637,10000)/100),2)&amp;"/"&amp;RIGHT("00"&amp;MOD(Sync!$J1637,100),2),"نامعتبر"),IF(LEN(Sync!$J1637)=10,Sync!$J1637,"نامعتبر")))</f>
        <v/>
      </c>
      <c r="R1637">
        <f>IF($P1637="","",COUNTIFS($N$6:$N$2005,$N1637,$P$6:$P$2005,"&lt;"&amp;$P1637)+COUNTIFS($A$6:$A$1005,$N1637,$B$6:$B$1005,"&lt;"&amp;$P1637)+1)</f>
        <v/>
      </c>
      <c r="S1637">
        <f>IF($N1637="","",$N1637&amp;"|"&amp;RIGHT("000000"&amp;$R1637,6))</f>
        <v/>
      </c>
      <c r="T1637">
        <f>IF($N1637="","",IF(Sync!$N1637="",0,Sync!$N1637))</f>
        <v/>
      </c>
      <c r="U1637">
        <f>IF($N1637="","",IF(Sync!$O1637="",0,Sync!$O1637))</f>
        <v/>
      </c>
      <c r="V1637">
        <f>IF($N1637="","",Sync!$L1637)</f>
        <v/>
      </c>
      <c r="W1637">
        <f>IF($N1637="","",Sync!$P1637)</f>
        <v/>
      </c>
    </row>
    <row r="1638">
      <c r="N1638">
        <f>IF(OR(Sync!$M1638="",$Q1638="",$Q1638="نامعتبر"),"",Sync!$M1638)</f>
        <v/>
      </c>
      <c r="O1638">
        <f>IF($N1638="","",$Q1638)</f>
        <v/>
      </c>
      <c r="P1638">
        <f>IF($N1638="","",LEFT($Q1638,4)&amp;MID($Q1638,6,2)&amp;RIGHT($Q1638,2)&amp;IF(Sync!$K1638="","0000",IF(AND(ISNUMBER(Sync!$K1638),Sync!$K1638&gt;=0,Sync!$K1638&lt;1),RIGHT("00"&amp;HOUR(Sync!$K1638),2)&amp;RIGHT("00"&amp;MINUTE(Sync!$K1638),2),IFERROR(RIGHT("00"&amp;VALUE(LEFT(Sync!$K1638,FIND(":",Sync!$K1638)-1)),2)&amp;RIGHT("00"&amp;VALUE(MID(Sync!$K1638,FIND(":",Sync!$K1638)+1,2)),2),"0000")))&amp;"|"&amp;"2"&amp;RIGHT("00000"&amp;1633,5))</f>
        <v/>
      </c>
      <c r="Q1638">
        <f>IF(Sync!$J1638="","",IF(ISNUMBER(Sync!$J1638),IF(AND(Sync!$J1638&gt;=10000101,Sync!$J1638&lt;=99991231),INT(Sync!$J1638/10000)&amp;"/"&amp;RIGHT("00"&amp;INT(MOD(Sync!$J1638,10000)/100),2)&amp;"/"&amp;RIGHT("00"&amp;MOD(Sync!$J1638,100),2),"نامعتبر"),IF(LEN(Sync!$J1638)=10,Sync!$J1638,"نامعتبر")))</f>
        <v/>
      </c>
      <c r="R1638">
        <f>IF($P1638="","",COUNTIFS($N$6:$N$2005,$N1638,$P$6:$P$2005,"&lt;"&amp;$P1638)+COUNTIFS($A$6:$A$1005,$N1638,$B$6:$B$1005,"&lt;"&amp;$P1638)+1)</f>
        <v/>
      </c>
      <c r="S1638">
        <f>IF($N1638="","",$N1638&amp;"|"&amp;RIGHT("000000"&amp;$R1638,6))</f>
        <v/>
      </c>
      <c r="T1638">
        <f>IF($N1638="","",IF(Sync!$N1638="",0,Sync!$N1638))</f>
        <v/>
      </c>
      <c r="U1638">
        <f>IF($N1638="","",IF(Sync!$O1638="",0,Sync!$O1638))</f>
        <v/>
      </c>
      <c r="V1638">
        <f>IF($N1638="","",Sync!$L1638)</f>
        <v/>
      </c>
      <c r="W1638">
        <f>IF($N1638="","",Sync!$P1638)</f>
        <v/>
      </c>
    </row>
    <row r="1639">
      <c r="N1639">
        <f>IF(OR(Sync!$M1639="",$Q1639="",$Q1639="نامعتبر"),"",Sync!$M1639)</f>
        <v/>
      </c>
      <c r="O1639">
        <f>IF($N1639="","",$Q1639)</f>
        <v/>
      </c>
      <c r="P1639">
        <f>IF($N1639="","",LEFT($Q1639,4)&amp;MID($Q1639,6,2)&amp;RIGHT($Q1639,2)&amp;IF(Sync!$K1639="","0000",IF(AND(ISNUMBER(Sync!$K1639),Sync!$K1639&gt;=0,Sync!$K1639&lt;1),RIGHT("00"&amp;HOUR(Sync!$K1639),2)&amp;RIGHT("00"&amp;MINUTE(Sync!$K1639),2),IFERROR(RIGHT("00"&amp;VALUE(LEFT(Sync!$K1639,FIND(":",Sync!$K1639)-1)),2)&amp;RIGHT("00"&amp;VALUE(MID(Sync!$K1639,FIND(":",Sync!$K1639)+1,2)),2),"0000")))&amp;"|"&amp;"2"&amp;RIGHT("00000"&amp;1634,5))</f>
        <v/>
      </c>
      <c r="Q1639">
        <f>IF(Sync!$J1639="","",IF(ISNUMBER(Sync!$J1639),IF(AND(Sync!$J1639&gt;=10000101,Sync!$J1639&lt;=99991231),INT(Sync!$J1639/10000)&amp;"/"&amp;RIGHT("00"&amp;INT(MOD(Sync!$J1639,10000)/100),2)&amp;"/"&amp;RIGHT("00"&amp;MOD(Sync!$J1639,100),2),"نامعتبر"),IF(LEN(Sync!$J1639)=10,Sync!$J1639,"نامعتبر")))</f>
        <v/>
      </c>
      <c r="R1639">
        <f>IF($P1639="","",COUNTIFS($N$6:$N$2005,$N1639,$P$6:$P$2005,"&lt;"&amp;$P1639)+COUNTIFS($A$6:$A$1005,$N1639,$B$6:$B$1005,"&lt;"&amp;$P1639)+1)</f>
        <v/>
      </c>
      <c r="S1639">
        <f>IF($N1639="","",$N1639&amp;"|"&amp;RIGHT("000000"&amp;$R1639,6))</f>
        <v/>
      </c>
      <c r="T1639">
        <f>IF($N1639="","",IF(Sync!$N1639="",0,Sync!$N1639))</f>
        <v/>
      </c>
      <c r="U1639">
        <f>IF($N1639="","",IF(Sync!$O1639="",0,Sync!$O1639))</f>
        <v/>
      </c>
      <c r="V1639">
        <f>IF($N1639="","",Sync!$L1639)</f>
        <v/>
      </c>
      <c r="W1639">
        <f>IF($N1639="","",Sync!$P1639)</f>
        <v/>
      </c>
    </row>
    <row r="1640">
      <c r="N1640">
        <f>IF(OR(Sync!$M1640="",$Q1640="",$Q1640="نامعتبر"),"",Sync!$M1640)</f>
        <v/>
      </c>
      <c r="O1640">
        <f>IF($N1640="","",$Q1640)</f>
        <v/>
      </c>
      <c r="P1640">
        <f>IF($N1640="","",LEFT($Q1640,4)&amp;MID($Q1640,6,2)&amp;RIGHT($Q1640,2)&amp;IF(Sync!$K1640="","0000",IF(AND(ISNUMBER(Sync!$K1640),Sync!$K1640&gt;=0,Sync!$K1640&lt;1),RIGHT("00"&amp;HOUR(Sync!$K1640),2)&amp;RIGHT("00"&amp;MINUTE(Sync!$K1640),2),IFERROR(RIGHT("00"&amp;VALUE(LEFT(Sync!$K1640,FIND(":",Sync!$K1640)-1)),2)&amp;RIGHT("00"&amp;VALUE(MID(Sync!$K1640,FIND(":",Sync!$K1640)+1,2)),2),"0000")))&amp;"|"&amp;"2"&amp;RIGHT("00000"&amp;1635,5))</f>
        <v/>
      </c>
      <c r="Q1640">
        <f>IF(Sync!$J1640="","",IF(ISNUMBER(Sync!$J1640),IF(AND(Sync!$J1640&gt;=10000101,Sync!$J1640&lt;=99991231),INT(Sync!$J1640/10000)&amp;"/"&amp;RIGHT("00"&amp;INT(MOD(Sync!$J1640,10000)/100),2)&amp;"/"&amp;RIGHT("00"&amp;MOD(Sync!$J1640,100),2),"نامعتبر"),IF(LEN(Sync!$J1640)=10,Sync!$J1640,"نامعتبر")))</f>
        <v/>
      </c>
      <c r="R1640">
        <f>IF($P1640="","",COUNTIFS($N$6:$N$2005,$N1640,$P$6:$P$2005,"&lt;"&amp;$P1640)+COUNTIFS($A$6:$A$1005,$N1640,$B$6:$B$1005,"&lt;"&amp;$P1640)+1)</f>
        <v/>
      </c>
      <c r="S1640">
        <f>IF($N1640="","",$N1640&amp;"|"&amp;RIGHT("000000"&amp;$R1640,6))</f>
        <v/>
      </c>
      <c r="T1640">
        <f>IF($N1640="","",IF(Sync!$N1640="",0,Sync!$N1640))</f>
        <v/>
      </c>
      <c r="U1640">
        <f>IF($N1640="","",IF(Sync!$O1640="",0,Sync!$O1640))</f>
        <v/>
      </c>
      <c r="V1640">
        <f>IF($N1640="","",Sync!$L1640)</f>
        <v/>
      </c>
      <c r="W1640">
        <f>IF($N1640="","",Sync!$P1640)</f>
        <v/>
      </c>
    </row>
    <row r="1641">
      <c r="N1641">
        <f>IF(OR(Sync!$M1641="",$Q1641="",$Q1641="نامعتبر"),"",Sync!$M1641)</f>
        <v/>
      </c>
      <c r="O1641">
        <f>IF($N1641="","",$Q1641)</f>
        <v/>
      </c>
      <c r="P1641">
        <f>IF($N1641="","",LEFT($Q1641,4)&amp;MID($Q1641,6,2)&amp;RIGHT($Q1641,2)&amp;IF(Sync!$K1641="","0000",IF(AND(ISNUMBER(Sync!$K1641),Sync!$K1641&gt;=0,Sync!$K1641&lt;1),RIGHT("00"&amp;HOUR(Sync!$K1641),2)&amp;RIGHT("00"&amp;MINUTE(Sync!$K1641),2),IFERROR(RIGHT("00"&amp;VALUE(LEFT(Sync!$K1641,FIND(":",Sync!$K1641)-1)),2)&amp;RIGHT("00"&amp;VALUE(MID(Sync!$K1641,FIND(":",Sync!$K1641)+1,2)),2),"0000")))&amp;"|"&amp;"2"&amp;RIGHT("00000"&amp;1636,5))</f>
        <v/>
      </c>
      <c r="Q1641">
        <f>IF(Sync!$J1641="","",IF(ISNUMBER(Sync!$J1641),IF(AND(Sync!$J1641&gt;=10000101,Sync!$J1641&lt;=99991231),INT(Sync!$J1641/10000)&amp;"/"&amp;RIGHT("00"&amp;INT(MOD(Sync!$J1641,10000)/100),2)&amp;"/"&amp;RIGHT("00"&amp;MOD(Sync!$J1641,100),2),"نامعتبر"),IF(LEN(Sync!$J1641)=10,Sync!$J1641,"نامعتبر")))</f>
        <v/>
      </c>
      <c r="R1641">
        <f>IF($P1641="","",COUNTIFS($N$6:$N$2005,$N1641,$P$6:$P$2005,"&lt;"&amp;$P1641)+COUNTIFS($A$6:$A$1005,$N1641,$B$6:$B$1005,"&lt;"&amp;$P1641)+1)</f>
        <v/>
      </c>
      <c r="S1641">
        <f>IF($N1641="","",$N1641&amp;"|"&amp;RIGHT("000000"&amp;$R1641,6))</f>
        <v/>
      </c>
      <c r="T1641">
        <f>IF($N1641="","",IF(Sync!$N1641="",0,Sync!$N1641))</f>
        <v/>
      </c>
      <c r="U1641">
        <f>IF($N1641="","",IF(Sync!$O1641="",0,Sync!$O1641))</f>
        <v/>
      </c>
      <c r="V1641">
        <f>IF($N1641="","",Sync!$L1641)</f>
        <v/>
      </c>
      <c r="W1641">
        <f>IF($N1641="","",Sync!$P1641)</f>
        <v/>
      </c>
    </row>
    <row r="1642">
      <c r="N1642">
        <f>IF(OR(Sync!$M1642="",$Q1642="",$Q1642="نامعتبر"),"",Sync!$M1642)</f>
        <v/>
      </c>
      <c r="O1642">
        <f>IF($N1642="","",$Q1642)</f>
        <v/>
      </c>
      <c r="P1642">
        <f>IF($N1642="","",LEFT($Q1642,4)&amp;MID($Q1642,6,2)&amp;RIGHT($Q1642,2)&amp;IF(Sync!$K1642="","0000",IF(AND(ISNUMBER(Sync!$K1642),Sync!$K1642&gt;=0,Sync!$K1642&lt;1),RIGHT("00"&amp;HOUR(Sync!$K1642),2)&amp;RIGHT("00"&amp;MINUTE(Sync!$K1642),2),IFERROR(RIGHT("00"&amp;VALUE(LEFT(Sync!$K1642,FIND(":",Sync!$K1642)-1)),2)&amp;RIGHT("00"&amp;VALUE(MID(Sync!$K1642,FIND(":",Sync!$K1642)+1,2)),2),"0000")))&amp;"|"&amp;"2"&amp;RIGHT("00000"&amp;1637,5))</f>
        <v/>
      </c>
      <c r="Q1642">
        <f>IF(Sync!$J1642="","",IF(ISNUMBER(Sync!$J1642),IF(AND(Sync!$J1642&gt;=10000101,Sync!$J1642&lt;=99991231),INT(Sync!$J1642/10000)&amp;"/"&amp;RIGHT("00"&amp;INT(MOD(Sync!$J1642,10000)/100),2)&amp;"/"&amp;RIGHT("00"&amp;MOD(Sync!$J1642,100),2),"نامعتبر"),IF(LEN(Sync!$J1642)=10,Sync!$J1642,"نامعتبر")))</f>
        <v/>
      </c>
      <c r="R1642">
        <f>IF($P1642="","",COUNTIFS($N$6:$N$2005,$N1642,$P$6:$P$2005,"&lt;"&amp;$P1642)+COUNTIFS($A$6:$A$1005,$N1642,$B$6:$B$1005,"&lt;"&amp;$P1642)+1)</f>
        <v/>
      </c>
      <c r="S1642">
        <f>IF($N1642="","",$N1642&amp;"|"&amp;RIGHT("000000"&amp;$R1642,6))</f>
        <v/>
      </c>
      <c r="T1642">
        <f>IF($N1642="","",IF(Sync!$N1642="",0,Sync!$N1642))</f>
        <v/>
      </c>
      <c r="U1642">
        <f>IF($N1642="","",IF(Sync!$O1642="",0,Sync!$O1642))</f>
        <v/>
      </c>
      <c r="V1642">
        <f>IF($N1642="","",Sync!$L1642)</f>
        <v/>
      </c>
      <c r="W1642">
        <f>IF($N1642="","",Sync!$P1642)</f>
        <v/>
      </c>
    </row>
    <row r="1643">
      <c r="N1643">
        <f>IF(OR(Sync!$M1643="",$Q1643="",$Q1643="نامعتبر"),"",Sync!$M1643)</f>
        <v/>
      </c>
      <c r="O1643">
        <f>IF($N1643="","",$Q1643)</f>
        <v/>
      </c>
      <c r="P1643">
        <f>IF($N1643="","",LEFT($Q1643,4)&amp;MID($Q1643,6,2)&amp;RIGHT($Q1643,2)&amp;IF(Sync!$K1643="","0000",IF(AND(ISNUMBER(Sync!$K1643),Sync!$K1643&gt;=0,Sync!$K1643&lt;1),RIGHT("00"&amp;HOUR(Sync!$K1643),2)&amp;RIGHT("00"&amp;MINUTE(Sync!$K1643),2),IFERROR(RIGHT("00"&amp;VALUE(LEFT(Sync!$K1643,FIND(":",Sync!$K1643)-1)),2)&amp;RIGHT("00"&amp;VALUE(MID(Sync!$K1643,FIND(":",Sync!$K1643)+1,2)),2),"0000")))&amp;"|"&amp;"2"&amp;RIGHT("00000"&amp;1638,5))</f>
        <v/>
      </c>
      <c r="Q1643">
        <f>IF(Sync!$J1643="","",IF(ISNUMBER(Sync!$J1643),IF(AND(Sync!$J1643&gt;=10000101,Sync!$J1643&lt;=99991231),INT(Sync!$J1643/10000)&amp;"/"&amp;RIGHT("00"&amp;INT(MOD(Sync!$J1643,10000)/100),2)&amp;"/"&amp;RIGHT("00"&amp;MOD(Sync!$J1643,100),2),"نامعتبر"),IF(LEN(Sync!$J1643)=10,Sync!$J1643,"نامعتبر")))</f>
        <v/>
      </c>
      <c r="R1643">
        <f>IF($P1643="","",COUNTIFS($N$6:$N$2005,$N1643,$P$6:$P$2005,"&lt;"&amp;$P1643)+COUNTIFS($A$6:$A$1005,$N1643,$B$6:$B$1005,"&lt;"&amp;$P1643)+1)</f>
        <v/>
      </c>
      <c r="S1643">
        <f>IF($N1643="","",$N1643&amp;"|"&amp;RIGHT("000000"&amp;$R1643,6))</f>
        <v/>
      </c>
      <c r="T1643">
        <f>IF($N1643="","",IF(Sync!$N1643="",0,Sync!$N1643))</f>
        <v/>
      </c>
      <c r="U1643">
        <f>IF($N1643="","",IF(Sync!$O1643="",0,Sync!$O1643))</f>
        <v/>
      </c>
      <c r="V1643">
        <f>IF($N1643="","",Sync!$L1643)</f>
        <v/>
      </c>
      <c r="W1643">
        <f>IF($N1643="","",Sync!$P1643)</f>
        <v/>
      </c>
    </row>
    <row r="1644">
      <c r="N1644">
        <f>IF(OR(Sync!$M1644="",$Q1644="",$Q1644="نامعتبر"),"",Sync!$M1644)</f>
        <v/>
      </c>
      <c r="O1644">
        <f>IF($N1644="","",$Q1644)</f>
        <v/>
      </c>
      <c r="P1644">
        <f>IF($N1644="","",LEFT($Q1644,4)&amp;MID($Q1644,6,2)&amp;RIGHT($Q1644,2)&amp;IF(Sync!$K1644="","0000",IF(AND(ISNUMBER(Sync!$K1644),Sync!$K1644&gt;=0,Sync!$K1644&lt;1),RIGHT("00"&amp;HOUR(Sync!$K1644),2)&amp;RIGHT("00"&amp;MINUTE(Sync!$K1644),2),IFERROR(RIGHT("00"&amp;VALUE(LEFT(Sync!$K1644,FIND(":",Sync!$K1644)-1)),2)&amp;RIGHT("00"&amp;VALUE(MID(Sync!$K1644,FIND(":",Sync!$K1644)+1,2)),2),"0000")))&amp;"|"&amp;"2"&amp;RIGHT("00000"&amp;1639,5))</f>
        <v/>
      </c>
      <c r="Q1644">
        <f>IF(Sync!$J1644="","",IF(ISNUMBER(Sync!$J1644),IF(AND(Sync!$J1644&gt;=10000101,Sync!$J1644&lt;=99991231),INT(Sync!$J1644/10000)&amp;"/"&amp;RIGHT("00"&amp;INT(MOD(Sync!$J1644,10000)/100),2)&amp;"/"&amp;RIGHT("00"&amp;MOD(Sync!$J1644,100),2),"نامعتبر"),IF(LEN(Sync!$J1644)=10,Sync!$J1644,"نامعتبر")))</f>
        <v/>
      </c>
      <c r="R1644">
        <f>IF($P1644="","",COUNTIFS($N$6:$N$2005,$N1644,$P$6:$P$2005,"&lt;"&amp;$P1644)+COUNTIFS($A$6:$A$1005,$N1644,$B$6:$B$1005,"&lt;"&amp;$P1644)+1)</f>
        <v/>
      </c>
      <c r="S1644">
        <f>IF($N1644="","",$N1644&amp;"|"&amp;RIGHT("000000"&amp;$R1644,6))</f>
        <v/>
      </c>
      <c r="T1644">
        <f>IF($N1644="","",IF(Sync!$N1644="",0,Sync!$N1644))</f>
        <v/>
      </c>
      <c r="U1644">
        <f>IF($N1644="","",IF(Sync!$O1644="",0,Sync!$O1644))</f>
        <v/>
      </c>
      <c r="V1644">
        <f>IF($N1644="","",Sync!$L1644)</f>
        <v/>
      </c>
      <c r="W1644">
        <f>IF($N1644="","",Sync!$P1644)</f>
        <v/>
      </c>
    </row>
    <row r="1645">
      <c r="N1645">
        <f>IF(OR(Sync!$M1645="",$Q1645="",$Q1645="نامعتبر"),"",Sync!$M1645)</f>
        <v/>
      </c>
      <c r="O1645">
        <f>IF($N1645="","",$Q1645)</f>
        <v/>
      </c>
      <c r="P1645">
        <f>IF($N1645="","",LEFT($Q1645,4)&amp;MID($Q1645,6,2)&amp;RIGHT($Q1645,2)&amp;IF(Sync!$K1645="","0000",IF(AND(ISNUMBER(Sync!$K1645),Sync!$K1645&gt;=0,Sync!$K1645&lt;1),RIGHT("00"&amp;HOUR(Sync!$K1645),2)&amp;RIGHT("00"&amp;MINUTE(Sync!$K1645),2),IFERROR(RIGHT("00"&amp;VALUE(LEFT(Sync!$K1645,FIND(":",Sync!$K1645)-1)),2)&amp;RIGHT("00"&amp;VALUE(MID(Sync!$K1645,FIND(":",Sync!$K1645)+1,2)),2),"0000")))&amp;"|"&amp;"2"&amp;RIGHT("00000"&amp;1640,5))</f>
        <v/>
      </c>
      <c r="Q1645">
        <f>IF(Sync!$J1645="","",IF(ISNUMBER(Sync!$J1645),IF(AND(Sync!$J1645&gt;=10000101,Sync!$J1645&lt;=99991231),INT(Sync!$J1645/10000)&amp;"/"&amp;RIGHT("00"&amp;INT(MOD(Sync!$J1645,10000)/100),2)&amp;"/"&amp;RIGHT("00"&amp;MOD(Sync!$J1645,100),2),"نامعتبر"),IF(LEN(Sync!$J1645)=10,Sync!$J1645,"نامعتبر")))</f>
        <v/>
      </c>
      <c r="R1645">
        <f>IF($P1645="","",COUNTIFS($N$6:$N$2005,$N1645,$P$6:$P$2005,"&lt;"&amp;$P1645)+COUNTIFS($A$6:$A$1005,$N1645,$B$6:$B$1005,"&lt;"&amp;$P1645)+1)</f>
        <v/>
      </c>
      <c r="S1645">
        <f>IF($N1645="","",$N1645&amp;"|"&amp;RIGHT("000000"&amp;$R1645,6))</f>
        <v/>
      </c>
      <c r="T1645">
        <f>IF($N1645="","",IF(Sync!$N1645="",0,Sync!$N1645))</f>
        <v/>
      </c>
      <c r="U1645">
        <f>IF($N1645="","",IF(Sync!$O1645="",0,Sync!$O1645))</f>
        <v/>
      </c>
      <c r="V1645">
        <f>IF($N1645="","",Sync!$L1645)</f>
        <v/>
      </c>
      <c r="W1645">
        <f>IF($N1645="","",Sync!$P1645)</f>
        <v/>
      </c>
    </row>
    <row r="1646">
      <c r="N1646">
        <f>IF(OR(Sync!$M1646="",$Q1646="",$Q1646="نامعتبر"),"",Sync!$M1646)</f>
        <v/>
      </c>
      <c r="O1646">
        <f>IF($N1646="","",$Q1646)</f>
        <v/>
      </c>
      <c r="P1646">
        <f>IF($N1646="","",LEFT($Q1646,4)&amp;MID($Q1646,6,2)&amp;RIGHT($Q1646,2)&amp;IF(Sync!$K1646="","0000",IF(AND(ISNUMBER(Sync!$K1646),Sync!$K1646&gt;=0,Sync!$K1646&lt;1),RIGHT("00"&amp;HOUR(Sync!$K1646),2)&amp;RIGHT("00"&amp;MINUTE(Sync!$K1646),2),IFERROR(RIGHT("00"&amp;VALUE(LEFT(Sync!$K1646,FIND(":",Sync!$K1646)-1)),2)&amp;RIGHT("00"&amp;VALUE(MID(Sync!$K1646,FIND(":",Sync!$K1646)+1,2)),2),"0000")))&amp;"|"&amp;"2"&amp;RIGHT("00000"&amp;1641,5))</f>
        <v/>
      </c>
      <c r="Q1646">
        <f>IF(Sync!$J1646="","",IF(ISNUMBER(Sync!$J1646),IF(AND(Sync!$J1646&gt;=10000101,Sync!$J1646&lt;=99991231),INT(Sync!$J1646/10000)&amp;"/"&amp;RIGHT("00"&amp;INT(MOD(Sync!$J1646,10000)/100),2)&amp;"/"&amp;RIGHT("00"&amp;MOD(Sync!$J1646,100),2),"نامعتبر"),IF(LEN(Sync!$J1646)=10,Sync!$J1646,"نامعتبر")))</f>
        <v/>
      </c>
      <c r="R1646">
        <f>IF($P1646="","",COUNTIFS($N$6:$N$2005,$N1646,$P$6:$P$2005,"&lt;"&amp;$P1646)+COUNTIFS($A$6:$A$1005,$N1646,$B$6:$B$1005,"&lt;"&amp;$P1646)+1)</f>
        <v/>
      </c>
      <c r="S1646">
        <f>IF($N1646="","",$N1646&amp;"|"&amp;RIGHT("000000"&amp;$R1646,6))</f>
        <v/>
      </c>
      <c r="T1646">
        <f>IF($N1646="","",IF(Sync!$N1646="",0,Sync!$N1646))</f>
        <v/>
      </c>
      <c r="U1646">
        <f>IF($N1646="","",IF(Sync!$O1646="",0,Sync!$O1646))</f>
        <v/>
      </c>
      <c r="V1646">
        <f>IF($N1646="","",Sync!$L1646)</f>
        <v/>
      </c>
      <c r="W1646">
        <f>IF($N1646="","",Sync!$P1646)</f>
        <v/>
      </c>
    </row>
    <row r="1647">
      <c r="N1647">
        <f>IF(OR(Sync!$M1647="",$Q1647="",$Q1647="نامعتبر"),"",Sync!$M1647)</f>
        <v/>
      </c>
      <c r="O1647">
        <f>IF($N1647="","",$Q1647)</f>
        <v/>
      </c>
      <c r="P1647">
        <f>IF($N1647="","",LEFT($Q1647,4)&amp;MID($Q1647,6,2)&amp;RIGHT($Q1647,2)&amp;IF(Sync!$K1647="","0000",IF(AND(ISNUMBER(Sync!$K1647),Sync!$K1647&gt;=0,Sync!$K1647&lt;1),RIGHT("00"&amp;HOUR(Sync!$K1647),2)&amp;RIGHT("00"&amp;MINUTE(Sync!$K1647),2),IFERROR(RIGHT("00"&amp;VALUE(LEFT(Sync!$K1647,FIND(":",Sync!$K1647)-1)),2)&amp;RIGHT("00"&amp;VALUE(MID(Sync!$K1647,FIND(":",Sync!$K1647)+1,2)),2),"0000")))&amp;"|"&amp;"2"&amp;RIGHT("00000"&amp;1642,5))</f>
        <v/>
      </c>
      <c r="Q1647">
        <f>IF(Sync!$J1647="","",IF(ISNUMBER(Sync!$J1647),IF(AND(Sync!$J1647&gt;=10000101,Sync!$J1647&lt;=99991231),INT(Sync!$J1647/10000)&amp;"/"&amp;RIGHT("00"&amp;INT(MOD(Sync!$J1647,10000)/100),2)&amp;"/"&amp;RIGHT("00"&amp;MOD(Sync!$J1647,100),2),"نامعتبر"),IF(LEN(Sync!$J1647)=10,Sync!$J1647,"نامعتبر")))</f>
        <v/>
      </c>
      <c r="R1647">
        <f>IF($P1647="","",COUNTIFS($N$6:$N$2005,$N1647,$P$6:$P$2005,"&lt;"&amp;$P1647)+COUNTIFS($A$6:$A$1005,$N1647,$B$6:$B$1005,"&lt;"&amp;$P1647)+1)</f>
        <v/>
      </c>
      <c r="S1647">
        <f>IF($N1647="","",$N1647&amp;"|"&amp;RIGHT("000000"&amp;$R1647,6))</f>
        <v/>
      </c>
      <c r="T1647">
        <f>IF($N1647="","",IF(Sync!$N1647="",0,Sync!$N1647))</f>
        <v/>
      </c>
      <c r="U1647">
        <f>IF($N1647="","",IF(Sync!$O1647="",0,Sync!$O1647))</f>
        <v/>
      </c>
      <c r="V1647">
        <f>IF($N1647="","",Sync!$L1647)</f>
        <v/>
      </c>
      <c r="W1647">
        <f>IF($N1647="","",Sync!$P1647)</f>
        <v/>
      </c>
    </row>
    <row r="1648">
      <c r="N1648">
        <f>IF(OR(Sync!$M1648="",$Q1648="",$Q1648="نامعتبر"),"",Sync!$M1648)</f>
        <v/>
      </c>
      <c r="O1648">
        <f>IF($N1648="","",$Q1648)</f>
        <v/>
      </c>
      <c r="P1648">
        <f>IF($N1648="","",LEFT($Q1648,4)&amp;MID($Q1648,6,2)&amp;RIGHT($Q1648,2)&amp;IF(Sync!$K1648="","0000",IF(AND(ISNUMBER(Sync!$K1648),Sync!$K1648&gt;=0,Sync!$K1648&lt;1),RIGHT("00"&amp;HOUR(Sync!$K1648),2)&amp;RIGHT("00"&amp;MINUTE(Sync!$K1648),2),IFERROR(RIGHT("00"&amp;VALUE(LEFT(Sync!$K1648,FIND(":",Sync!$K1648)-1)),2)&amp;RIGHT("00"&amp;VALUE(MID(Sync!$K1648,FIND(":",Sync!$K1648)+1,2)),2),"0000")))&amp;"|"&amp;"2"&amp;RIGHT("00000"&amp;1643,5))</f>
        <v/>
      </c>
      <c r="Q1648">
        <f>IF(Sync!$J1648="","",IF(ISNUMBER(Sync!$J1648),IF(AND(Sync!$J1648&gt;=10000101,Sync!$J1648&lt;=99991231),INT(Sync!$J1648/10000)&amp;"/"&amp;RIGHT("00"&amp;INT(MOD(Sync!$J1648,10000)/100),2)&amp;"/"&amp;RIGHT("00"&amp;MOD(Sync!$J1648,100),2),"نامعتبر"),IF(LEN(Sync!$J1648)=10,Sync!$J1648,"نامعتبر")))</f>
        <v/>
      </c>
      <c r="R1648">
        <f>IF($P1648="","",COUNTIFS($N$6:$N$2005,$N1648,$P$6:$P$2005,"&lt;"&amp;$P1648)+COUNTIFS($A$6:$A$1005,$N1648,$B$6:$B$1005,"&lt;"&amp;$P1648)+1)</f>
        <v/>
      </c>
      <c r="S1648">
        <f>IF($N1648="","",$N1648&amp;"|"&amp;RIGHT("000000"&amp;$R1648,6))</f>
        <v/>
      </c>
      <c r="T1648">
        <f>IF($N1648="","",IF(Sync!$N1648="",0,Sync!$N1648))</f>
        <v/>
      </c>
      <c r="U1648">
        <f>IF($N1648="","",IF(Sync!$O1648="",0,Sync!$O1648))</f>
        <v/>
      </c>
      <c r="V1648">
        <f>IF($N1648="","",Sync!$L1648)</f>
        <v/>
      </c>
      <c r="W1648">
        <f>IF($N1648="","",Sync!$P1648)</f>
        <v/>
      </c>
    </row>
    <row r="1649">
      <c r="N1649">
        <f>IF(OR(Sync!$M1649="",$Q1649="",$Q1649="نامعتبر"),"",Sync!$M1649)</f>
        <v/>
      </c>
      <c r="O1649">
        <f>IF($N1649="","",$Q1649)</f>
        <v/>
      </c>
      <c r="P1649">
        <f>IF($N1649="","",LEFT($Q1649,4)&amp;MID($Q1649,6,2)&amp;RIGHT($Q1649,2)&amp;IF(Sync!$K1649="","0000",IF(AND(ISNUMBER(Sync!$K1649),Sync!$K1649&gt;=0,Sync!$K1649&lt;1),RIGHT("00"&amp;HOUR(Sync!$K1649),2)&amp;RIGHT("00"&amp;MINUTE(Sync!$K1649),2),IFERROR(RIGHT("00"&amp;VALUE(LEFT(Sync!$K1649,FIND(":",Sync!$K1649)-1)),2)&amp;RIGHT("00"&amp;VALUE(MID(Sync!$K1649,FIND(":",Sync!$K1649)+1,2)),2),"0000")))&amp;"|"&amp;"2"&amp;RIGHT("00000"&amp;1644,5))</f>
        <v/>
      </c>
      <c r="Q1649">
        <f>IF(Sync!$J1649="","",IF(ISNUMBER(Sync!$J1649),IF(AND(Sync!$J1649&gt;=10000101,Sync!$J1649&lt;=99991231),INT(Sync!$J1649/10000)&amp;"/"&amp;RIGHT("00"&amp;INT(MOD(Sync!$J1649,10000)/100),2)&amp;"/"&amp;RIGHT("00"&amp;MOD(Sync!$J1649,100),2),"نامعتبر"),IF(LEN(Sync!$J1649)=10,Sync!$J1649,"نامعتبر")))</f>
        <v/>
      </c>
      <c r="R1649">
        <f>IF($P1649="","",COUNTIFS($N$6:$N$2005,$N1649,$P$6:$P$2005,"&lt;"&amp;$P1649)+COUNTIFS($A$6:$A$1005,$N1649,$B$6:$B$1005,"&lt;"&amp;$P1649)+1)</f>
        <v/>
      </c>
      <c r="S1649">
        <f>IF($N1649="","",$N1649&amp;"|"&amp;RIGHT("000000"&amp;$R1649,6))</f>
        <v/>
      </c>
      <c r="T1649">
        <f>IF($N1649="","",IF(Sync!$N1649="",0,Sync!$N1649))</f>
        <v/>
      </c>
      <c r="U1649">
        <f>IF($N1649="","",IF(Sync!$O1649="",0,Sync!$O1649))</f>
        <v/>
      </c>
      <c r="V1649">
        <f>IF($N1649="","",Sync!$L1649)</f>
        <v/>
      </c>
      <c r="W1649">
        <f>IF($N1649="","",Sync!$P1649)</f>
        <v/>
      </c>
    </row>
    <row r="1650">
      <c r="N1650">
        <f>IF(OR(Sync!$M1650="",$Q1650="",$Q1650="نامعتبر"),"",Sync!$M1650)</f>
        <v/>
      </c>
      <c r="O1650">
        <f>IF($N1650="","",$Q1650)</f>
        <v/>
      </c>
      <c r="P1650">
        <f>IF($N1650="","",LEFT($Q1650,4)&amp;MID($Q1650,6,2)&amp;RIGHT($Q1650,2)&amp;IF(Sync!$K1650="","0000",IF(AND(ISNUMBER(Sync!$K1650),Sync!$K1650&gt;=0,Sync!$K1650&lt;1),RIGHT("00"&amp;HOUR(Sync!$K1650),2)&amp;RIGHT("00"&amp;MINUTE(Sync!$K1650),2),IFERROR(RIGHT("00"&amp;VALUE(LEFT(Sync!$K1650,FIND(":",Sync!$K1650)-1)),2)&amp;RIGHT("00"&amp;VALUE(MID(Sync!$K1650,FIND(":",Sync!$K1650)+1,2)),2),"0000")))&amp;"|"&amp;"2"&amp;RIGHT("00000"&amp;1645,5))</f>
        <v/>
      </c>
      <c r="Q1650">
        <f>IF(Sync!$J1650="","",IF(ISNUMBER(Sync!$J1650),IF(AND(Sync!$J1650&gt;=10000101,Sync!$J1650&lt;=99991231),INT(Sync!$J1650/10000)&amp;"/"&amp;RIGHT("00"&amp;INT(MOD(Sync!$J1650,10000)/100),2)&amp;"/"&amp;RIGHT("00"&amp;MOD(Sync!$J1650,100),2),"نامعتبر"),IF(LEN(Sync!$J1650)=10,Sync!$J1650,"نامعتبر")))</f>
        <v/>
      </c>
      <c r="R1650">
        <f>IF($P1650="","",COUNTIFS($N$6:$N$2005,$N1650,$P$6:$P$2005,"&lt;"&amp;$P1650)+COUNTIFS($A$6:$A$1005,$N1650,$B$6:$B$1005,"&lt;"&amp;$P1650)+1)</f>
        <v/>
      </c>
      <c r="S1650">
        <f>IF($N1650="","",$N1650&amp;"|"&amp;RIGHT("000000"&amp;$R1650,6))</f>
        <v/>
      </c>
      <c r="T1650">
        <f>IF($N1650="","",IF(Sync!$N1650="",0,Sync!$N1650))</f>
        <v/>
      </c>
      <c r="U1650">
        <f>IF($N1650="","",IF(Sync!$O1650="",0,Sync!$O1650))</f>
        <v/>
      </c>
      <c r="V1650">
        <f>IF($N1650="","",Sync!$L1650)</f>
        <v/>
      </c>
      <c r="W1650">
        <f>IF($N1650="","",Sync!$P1650)</f>
        <v/>
      </c>
    </row>
    <row r="1651">
      <c r="N1651">
        <f>IF(OR(Sync!$M1651="",$Q1651="",$Q1651="نامعتبر"),"",Sync!$M1651)</f>
        <v/>
      </c>
      <c r="O1651">
        <f>IF($N1651="","",$Q1651)</f>
        <v/>
      </c>
      <c r="P1651">
        <f>IF($N1651="","",LEFT($Q1651,4)&amp;MID($Q1651,6,2)&amp;RIGHT($Q1651,2)&amp;IF(Sync!$K1651="","0000",IF(AND(ISNUMBER(Sync!$K1651),Sync!$K1651&gt;=0,Sync!$K1651&lt;1),RIGHT("00"&amp;HOUR(Sync!$K1651),2)&amp;RIGHT("00"&amp;MINUTE(Sync!$K1651),2),IFERROR(RIGHT("00"&amp;VALUE(LEFT(Sync!$K1651,FIND(":",Sync!$K1651)-1)),2)&amp;RIGHT("00"&amp;VALUE(MID(Sync!$K1651,FIND(":",Sync!$K1651)+1,2)),2),"0000")))&amp;"|"&amp;"2"&amp;RIGHT("00000"&amp;1646,5))</f>
        <v/>
      </c>
      <c r="Q1651">
        <f>IF(Sync!$J1651="","",IF(ISNUMBER(Sync!$J1651),IF(AND(Sync!$J1651&gt;=10000101,Sync!$J1651&lt;=99991231),INT(Sync!$J1651/10000)&amp;"/"&amp;RIGHT("00"&amp;INT(MOD(Sync!$J1651,10000)/100),2)&amp;"/"&amp;RIGHT("00"&amp;MOD(Sync!$J1651,100),2),"نامعتبر"),IF(LEN(Sync!$J1651)=10,Sync!$J1651,"نامعتبر")))</f>
        <v/>
      </c>
      <c r="R1651">
        <f>IF($P1651="","",COUNTIFS($N$6:$N$2005,$N1651,$P$6:$P$2005,"&lt;"&amp;$P1651)+COUNTIFS($A$6:$A$1005,$N1651,$B$6:$B$1005,"&lt;"&amp;$P1651)+1)</f>
        <v/>
      </c>
      <c r="S1651">
        <f>IF($N1651="","",$N1651&amp;"|"&amp;RIGHT("000000"&amp;$R1651,6))</f>
        <v/>
      </c>
      <c r="T1651">
        <f>IF($N1651="","",IF(Sync!$N1651="",0,Sync!$N1651))</f>
        <v/>
      </c>
      <c r="U1651">
        <f>IF($N1651="","",IF(Sync!$O1651="",0,Sync!$O1651))</f>
        <v/>
      </c>
      <c r="V1651">
        <f>IF($N1651="","",Sync!$L1651)</f>
        <v/>
      </c>
      <c r="W1651">
        <f>IF($N1651="","",Sync!$P1651)</f>
        <v/>
      </c>
    </row>
    <row r="1652">
      <c r="N1652">
        <f>IF(OR(Sync!$M1652="",$Q1652="",$Q1652="نامعتبر"),"",Sync!$M1652)</f>
        <v/>
      </c>
      <c r="O1652">
        <f>IF($N1652="","",$Q1652)</f>
        <v/>
      </c>
      <c r="P1652">
        <f>IF($N1652="","",LEFT($Q1652,4)&amp;MID($Q1652,6,2)&amp;RIGHT($Q1652,2)&amp;IF(Sync!$K1652="","0000",IF(AND(ISNUMBER(Sync!$K1652),Sync!$K1652&gt;=0,Sync!$K1652&lt;1),RIGHT("00"&amp;HOUR(Sync!$K1652),2)&amp;RIGHT("00"&amp;MINUTE(Sync!$K1652),2),IFERROR(RIGHT("00"&amp;VALUE(LEFT(Sync!$K1652,FIND(":",Sync!$K1652)-1)),2)&amp;RIGHT("00"&amp;VALUE(MID(Sync!$K1652,FIND(":",Sync!$K1652)+1,2)),2),"0000")))&amp;"|"&amp;"2"&amp;RIGHT("00000"&amp;1647,5))</f>
        <v/>
      </c>
      <c r="Q1652">
        <f>IF(Sync!$J1652="","",IF(ISNUMBER(Sync!$J1652),IF(AND(Sync!$J1652&gt;=10000101,Sync!$J1652&lt;=99991231),INT(Sync!$J1652/10000)&amp;"/"&amp;RIGHT("00"&amp;INT(MOD(Sync!$J1652,10000)/100),2)&amp;"/"&amp;RIGHT("00"&amp;MOD(Sync!$J1652,100),2),"نامعتبر"),IF(LEN(Sync!$J1652)=10,Sync!$J1652,"نامعتبر")))</f>
        <v/>
      </c>
      <c r="R1652">
        <f>IF($P1652="","",COUNTIFS($N$6:$N$2005,$N1652,$P$6:$P$2005,"&lt;"&amp;$P1652)+COUNTIFS($A$6:$A$1005,$N1652,$B$6:$B$1005,"&lt;"&amp;$P1652)+1)</f>
        <v/>
      </c>
      <c r="S1652">
        <f>IF($N1652="","",$N1652&amp;"|"&amp;RIGHT("000000"&amp;$R1652,6))</f>
        <v/>
      </c>
      <c r="T1652">
        <f>IF($N1652="","",IF(Sync!$N1652="",0,Sync!$N1652))</f>
        <v/>
      </c>
      <c r="U1652">
        <f>IF($N1652="","",IF(Sync!$O1652="",0,Sync!$O1652))</f>
        <v/>
      </c>
      <c r="V1652">
        <f>IF($N1652="","",Sync!$L1652)</f>
        <v/>
      </c>
      <c r="W1652">
        <f>IF($N1652="","",Sync!$P1652)</f>
        <v/>
      </c>
    </row>
    <row r="1653">
      <c r="N1653">
        <f>IF(OR(Sync!$M1653="",$Q1653="",$Q1653="نامعتبر"),"",Sync!$M1653)</f>
        <v/>
      </c>
      <c r="O1653">
        <f>IF($N1653="","",$Q1653)</f>
        <v/>
      </c>
      <c r="P1653">
        <f>IF($N1653="","",LEFT($Q1653,4)&amp;MID($Q1653,6,2)&amp;RIGHT($Q1653,2)&amp;IF(Sync!$K1653="","0000",IF(AND(ISNUMBER(Sync!$K1653),Sync!$K1653&gt;=0,Sync!$K1653&lt;1),RIGHT("00"&amp;HOUR(Sync!$K1653),2)&amp;RIGHT("00"&amp;MINUTE(Sync!$K1653),2),IFERROR(RIGHT("00"&amp;VALUE(LEFT(Sync!$K1653,FIND(":",Sync!$K1653)-1)),2)&amp;RIGHT("00"&amp;VALUE(MID(Sync!$K1653,FIND(":",Sync!$K1653)+1,2)),2),"0000")))&amp;"|"&amp;"2"&amp;RIGHT("00000"&amp;1648,5))</f>
        <v/>
      </c>
      <c r="Q1653">
        <f>IF(Sync!$J1653="","",IF(ISNUMBER(Sync!$J1653),IF(AND(Sync!$J1653&gt;=10000101,Sync!$J1653&lt;=99991231),INT(Sync!$J1653/10000)&amp;"/"&amp;RIGHT("00"&amp;INT(MOD(Sync!$J1653,10000)/100),2)&amp;"/"&amp;RIGHT("00"&amp;MOD(Sync!$J1653,100),2),"نامعتبر"),IF(LEN(Sync!$J1653)=10,Sync!$J1653,"نامعتبر")))</f>
        <v/>
      </c>
      <c r="R1653">
        <f>IF($P1653="","",COUNTIFS($N$6:$N$2005,$N1653,$P$6:$P$2005,"&lt;"&amp;$P1653)+COUNTIFS($A$6:$A$1005,$N1653,$B$6:$B$1005,"&lt;"&amp;$P1653)+1)</f>
        <v/>
      </c>
      <c r="S1653">
        <f>IF($N1653="","",$N1653&amp;"|"&amp;RIGHT("000000"&amp;$R1653,6))</f>
        <v/>
      </c>
      <c r="T1653">
        <f>IF($N1653="","",IF(Sync!$N1653="",0,Sync!$N1653))</f>
        <v/>
      </c>
      <c r="U1653">
        <f>IF($N1653="","",IF(Sync!$O1653="",0,Sync!$O1653))</f>
        <v/>
      </c>
      <c r="V1653">
        <f>IF($N1653="","",Sync!$L1653)</f>
        <v/>
      </c>
      <c r="W1653">
        <f>IF($N1653="","",Sync!$P1653)</f>
        <v/>
      </c>
    </row>
    <row r="1654">
      <c r="N1654">
        <f>IF(OR(Sync!$M1654="",$Q1654="",$Q1654="نامعتبر"),"",Sync!$M1654)</f>
        <v/>
      </c>
      <c r="O1654">
        <f>IF($N1654="","",$Q1654)</f>
        <v/>
      </c>
      <c r="P1654">
        <f>IF($N1654="","",LEFT($Q1654,4)&amp;MID($Q1654,6,2)&amp;RIGHT($Q1654,2)&amp;IF(Sync!$K1654="","0000",IF(AND(ISNUMBER(Sync!$K1654),Sync!$K1654&gt;=0,Sync!$K1654&lt;1),RIGHT("00"&amp;HOUR(Sync!$K1654),2)&amp;RIGHT("00"&amp;MINUTE(Sync!$K1654),2),IFERROR(RIGHT("00"&amp;VALUE(LEFT(Sync!$K1654,FIND(":",Sync!$K1654)-1)),2)&amp;RIGHT("00"&amp;VALUE(MID(Sync!$K1654,FIND(":",Sync!$K1654)+1,2)),2),"0000")))&amp;"|"&amp;"2"&amp;RIGHT("00000"&amp;1649,5))</f>
        <v/>
      </c>
      <c r="Q1654">
        <f>IF(Sync!$J1654="","",IF(ISNUMBER(Sync!$J1654),IF(AND(Sync!$J1654&gt;=10000101,Sync!$J1654&lt;=99991231),INT(Sync!$J1654/10000)&amp;"/"&amp;RIGHT("00"&amp;INT(MOD(Sync!$J1654,10000)/100),2)&amp;"/"&amp;RIGHT("00"&amp;MOD(Sync!$J1654,100),2),"نامعتبر"),IF(LEN(Sync!$J1654)=10,Sync!$J1654,"نامعتبر")))</f>
        <v/>
      </c>
      <c r="R1654">
        <f>IF($P1654="","",COUNTIFS($N$6:$N$2005,$N1654,$P$6:$P$2005,"&lt;"&amp;$P1654)+COUNTIFS($A$6:$A$1005,$N1654,$B$6:$B$1005,"&lt;"&amp;$P1654)+1)</f>
        <v/>
      </c>
      <c r="S1654">
        <f>IF($N1654="","",$N1654&amp;"|"&amp;RIGHT("000000"&amp;$R1654,6))</f>
        <v/>
      </c>
      <c r="T1654">
        <f>IF($N1654="","",IF(Sync!$N1654="",0,Sync!$N1654))</f>
        <v/>
      </c>
      <c r="U1654">
        <f>IF($N1654="","",IF(Sync!$O1654="",0,Sync!$O1654))</f>
        <v/>
      </c>
      <c r="V1654">
        <f>IF($N1654="","",Sync!$L1654)</f>
        <v/>
      </c>
      <c r="W1654">
        <f>IF($N1654="","",Sync!$P1654)</f>
        <v/>
      </c>
    </row>
    <row r="1655">
      <c r="N1655">
        <f>IF(OR(Sync!$M1655="",$Q1655="",$Q1655="نامعتبر"),"",Sync!$M1655)</f>
        <v/>
      </c>
      <c r="O1655">
        <f>IF($N1655="","",$Q1655)</f>
        <v/>
      </c>
      <c r="P1655">
        <f>IF($N1655="","",LEFT($Q1655,4)&amp;MID($Q1655,6,2)&amp;RIGHT($Q1655,2)&amp;IF(Sync!$K1655="","0000",IF(AND(ISNUMBER(Sync!$K1655),Sync!$K1655&gt;=0,Sync!$K1655&lt;1),RIGHT("00"&amp;HOUR(Sync!$K1655),2)&amp;RIGHT("00"&amp;MINUTE(Sync!$K1655),2),IFERROR(RIGHT("00"&amp;VALUE(LEFT(Sync!$K1655,FIND(":",Sync!$K1655)-1)),2)&amp;RIGHT("00"&amp;VALUE(MID(Sync!$K1655,FIND(":",Sync!$K1655)+1,2)),2),"0000")))&amp;"|"&amp;"2"&amp;RIGHT("00000"&amp;1650,5))</f>
        <v/>
      </c>
      <c r="Q1655">
        <f>IF(Sync!$J1655="","",IF(ISNUMBER(Sync!$J1655),IF(AND(Sync!$J1655&gt;=10000101,Sync!$J1655&lt;=99991231),INT(Sync!$J1655/10000)&amp;"/"&amp;RIGHT("00"&amp;INT(MOD(Sync!$J1655,10000)/100),2)&amp;"/"&amp;RIGHT("00"&amp;MOD(Sync!$J1655,100),2),"نامعتبر"),IF(LEN(Sync!$J1655)=10,Sync!$J1655,"نامعتبر")))</f>
        <v/>
      </c>
      <c r="R1655">
        <f>IF($P1655="","",COUNTIFS($N$6:$N$2005,$N1655,$P$6:$P$2005,"&lt;"&amp;$P1655)+COUNTIFS($A$6:$A$1005,$N1655,$B$6:$B$1005,"&lt;"&amp;$P1655)+1)</f>
        <v/>
      </c>
      <c r="S1655">
        <f>IF($N1655="","",$N1655&amp;"|"&amp;RIGHT("000000"&amp;$R1655,6))</f>
        <v/>
      </c>
      <c r="T1655">
        <f>IF($N1655="","",IF(Sync!$N1655="",0,Sync!$N1655))</f>
        <v/>
      </c>
      <c r="U1655">
        <f>IF($N1655="","",IF(Sync!$O1655="",0,Sync!$O1655))</f>
        <v/>
      </c>
      <c r="V1655">
        <f>IF($N1655="","",Sync!$L1655)</f>
        <v/>
      </c>
      <c r="W1655">
        <f>IF($N1655="","",Sync!$P1655)</f>
        <v/>
      </c>
    </row>
    <row r="1656">
      <c r="N1656">
        <f>IF(OR(Sync!$M1656="",$Q1656="",$Q1656="نامعتبر"),"",Sync!$M1656)</f>
        <v/>
      </c>
      <c r="O1656">
        <f>IF($N1656="","",$Q1656)</f>
        <v/>
      </c>
      <c r="P1656">
        <f>IF($N1656="","",LEFT($Q1656,4)&amp;MID($Q1656,6,2)&amp;RIGHT($Q1656,2)&amp;IF(Sync!$K1656="","0000",IF(AND(ISNUMBER(Sync!$K1656),Sync!$K1656&gt;=0,Sync!$K1656&lt;1),RIGHT("00"&amp;HOUR(Sync!$K1656),2)&amp;RIGHT("00"&amp;MINUTE(Sync!$K1656),2),IFERROR(RIGHT("00"&amp;VALUE(LEFT(Sync!$K1656,FIND(":",Sync!$K1656)-1)),2)&amp;RIGHT("00"&amp;VALUE(MID(Sync!$K1656,FIND(":",Sync!$K1656)+1,2)),2),"0000")))&amp;"|"&amp;"2"&amp;RIGHT("00000"&amp;1651,5))</f>
        <v/>
      </c>
      <c r="Q1656">
        <f>IF(Sync!$J1656="","",IF(ISNUMBER(Sync!$J1656),IF(AND(Sync!$J1656&gt;=10000101,Sync!$J1656&lt;=99991231),INT(Sync!$J1656/10000)&amp;"/"&amp;RIGHT("00"&amp;INT(MOD(Sync!$J1656,10000)/100),2)&amp;"/"&amp;RIGHT("00"&amp;MOD(Sync!$J1656,100),2),"نامعتبر"),IF(LEN(Sync!$J1656)=10,Sync!$J1656,"نامعتبر")))</f>
        <v/>
      </c>
      <c r="R1656">
        <f>IF($P1656="","",COUNTIFS($N$6:$N$2005,$N1656,$P$6:$P$2005,"&lt;"&amp;$P1656)+COUNTIFS($A$6:$A$1005,$N1656,$B$6:$B$1005,"&lt;"&amp;$P1656)+1)</f>
        <v/>
      </c>
      <c r="S1656">
        <f>IF($N1656="","",$N1656&amp;"|"&amp;RIGHT("000000"&amp;$R1656,6))</f>
        <v/>
      </c>
      <c r="T1656">
        <f>IF($N1656="","",IF(Sync!$N1656="",0,Sync!$N1656))</f>
        <v/>
      </c>
      <c r="U1656">
        <f>IF($N1656="","",IF(Sync!$O1656="",0,Sync!$O1656))</f>
        <v/>
      </c>
      <c r="V1656">
        <f>IF($N1656="","",Sync!$L1656)</f>
        <v/>
      </c>
      <c r="W1656">
        <f>IF($N1656="","",Sync!$P1656)</f>
        <v/>
      </c>
    </row>
    <row r="1657">
      <c r="N1657">
        <f>IF(OR(Sync!$M1657="",$Q1657="",$Q1657="نامعتبر"),"",Sync!$M1657)</f>
        <v/>
      </c>
      <c r="O1657">
        <f>IF($N1657="","",$Q1657)</f>
        <v/>
      </c>
      <c r="P1657">
        <f>IF($N1657="","",LEFT($Q1657,4)&amp;MID($Q1657,6,2)&amp;RIGHT($Q1657,2)&amp;IF(Sync!$K1657="","0000",IF(AND(ISNUMBER(Sync!$K1657),Sync!$K1657&gt;=0,Sync!$K1657&lt;1),RIGHT("00"&amp;HOUR(Sync!$K1657),2)&amp;RIGHT("00"&amp;MINUTE(Sync!$K1657),2),IFERROR(RIGHT("00"&amp;VALUE(LEFT(Sync!$K1657,FIND(":",Sync!$K1657)-1)),2)&amp;RIGHT("00"&amp;VALUE(MID(Sync!$K1657,FIND(":",Sync!$K1657)+1,2)),2),"0000")))&amp;"|"&amp;"2"&amp;RIGHT("00000"&amp;1652,5))</f>
        <v/>
      </c>
      <c r="Q1657">
        <f>IF(Sync!$J1657="","",IF(ISNUMBER(Sync!$J1657),IF(AND(Sync!$J1657&gt;=10000101,Sync!$J1657&lt;=99991231),INT(Sync!$J1657/10000)&amp;"/"&amp;RIGHT("00"&amp;INT(MOD(Sync!$J1657,10000)/100),2)&amp;"/"&amp;RIGHT("00"&amp;MOD(Sync!$J1657,100),2),"نامعتبر"),IF(LEN(Sync!$J1657)=10,Sync!$J1657,"نامعتبر")))</f>
        <v/>
      </c>
      <c r="R1657">
        <f>IF($P1657="","",COUNTIFS($N$6:$N$2005,$N1657,$P$6:$P$2005,"&lt;"&amp;$P1657)+COUNTIFS($A$6:$A$1005,$N1657,$B$6:$B$1005,"&lt;"&amp;$P1657)+1)</f>
        <v/>
      </c>
      <c r="S1657">
        <f>IF($N1657="","",$N1657&amp;"|"&amp;RIGHT("000000"&amp;$R1657,6))</f>
        <v/>
      </c>
      <c r="T1657">
        <f>IF($N1657="","",IF(Sync!$N1657="",0,Sync!$N1657))</f>
        <v/>
      </c>
      <c r="U1657">
        <f>IF($N1657="","",IF(Sync!$O1657="",0,Sync!$O1657))</f>
        <v/>
      </c>
      <c r="V1657">
        <f>IF($N1657="","",Sync!$L1657)</f>
        <v/>
      </c>
      <c r="W1657">
        <f>IF($N1657="","",Sync!$P1657)</f>
        <v/>
      </c>
    </row>
    <row r="1658">
      <c r="N1658">
        <f>IF(OR(Sync!$M1658="",$Q1658="",$Q1658="نامعتبر"),"",Sync!$M1658)</f>
        <v/>
      </c>
      <c r="O1658">
        <f>IF($N1658="","",$Q1658)</f>
        <v/>
      </c>
      <c r="P1658">
        <f>IF($N1658="","",LEFT($Q1658,4)&amp;MID($Q1658,6,2)&amp;RIGHT($Q1658,2)&amp;IF(Sync!$K1658="","0000",IF(AND(ISNUMBER(Sync!$K1658),Sync!$K1658&gt;=0,Sync!$K1658&lt;1),RIGHT("00"&amp;HOUR(Sync!$K1658),2)&amp;RIGHT("00"&amp;MINUTE(Sync!$K1658),2),IFERROR(RIGHT("00"&amp;VALUE(LEFT(Sync!$K1658,FIND(":",Sync!$K1658)-1)),2)&amp;RIGHT("00"&amp;VALUE(MID(Sync!$K1658,FIND(":",Sync!$K1658)+1,2)),2),"0000")))&amp;"|"&amp;"2"&amp;RIGHT("00000"&amp;1653,5))</f>
        <v/>
      </c>
      <c r="Q1658">
        <f>IF(Sync!$J1658="","",IF(ISNUMBER(Sync!$J1658),IF(AND(Sync!$J1658&gt;=10000101,Sync!$J1658&lt;=99991231),INT(Sync!$J1658/10000)&amp;"/"&amp;RIGHT("00"&amp;INT(MOD(Sync!$J1658,10000)/100),2)&amp;"/"&amp;RIGHT("00"&amp;MOD(Sync!$J1658,100),2),"نامعتبر"),IF(LEN(Sync!$J1658)=10,Sync!$J1658,"نامعتبر")))</f>
        <v/>
      </c>
      <c r="R1658">
        <f>IF($P1658="","",COUNTIFS($N$6:$N$2005,$N1658,$P$6:$P$2005,"&lt;"&amp;$P1658)+COUNTIFS($A$6:$A$1005,$N1658,$B$6:$B$1005,"&lt;"&amp;$P1658)+1)</f>
        <v/>
      </c>
      <c r="S1658">
        <f>IF($N1658="","",$N1658&amp;"|"&amp;RIGHT("000000"&amp;$R1658,6))</f>
        <v/>
      </c>
      <c r="T1658">
        <f>IF($N1658="","",IF(Sync!$N1658="",0,Sync!$N1658))</f>
        <v/>
      </c>
      <c r="U1658">
        <f>IF($N1658="","",IF(Sync!$O1658="",0,Sync!$O1658))</f>
        <v/>
      </c>
      <c r="V1658">
        <f>IF($N1658="","",Sync!$L1658)</f>
        <v/>
      </c>
      <c r="W1658">
        <f>IF($N1658="","",Sync!$P1658)</f>
        <v/>
      </c>
    </row>
    <row r="1659">
      <c r="N1659">
        <f>IF(OR(Sync!$M1659="",$Q1659="",$Q1659="نامعتبر"),"",Sync!$M1659)</f>
        <v/>
      </c>
      <c r="O1659">
        <f>IF($N1659="","",$Q1659)</f>
        <v/>
      </c>
      <c r="P1659">
        <f>IF($N1659="","",LEFT($Q1659,4)&amp;MID($Q1659,6,2)&amp;RIGHT($Q1659,2)&amp;IF(Sync!$K1659="","0000",IF(AND(ISNUMBER(Sync!$K1659),Sync!$K1659&gt;=0,Sync!$K1659&lt;1),RIGHT("00"&amp;HOUR(Sync!$K1659),2)&amp;RIGHT("00"&amp;MINUTE(Sync!$K1659),2),IFERROR(RIGHT("00"&amp;VALUE(LEFT(Sync!$K1659,FIND(":",Sync!$K1659)-1)),2)&amp;RIGHT("00"&amp;VALUE(MID(Sync!$K1659,FIND(":",Sync!$K1659)+1,2)),2),"0000")))&amp;"|"&amp;"2"&amp;RIGHT("00000"&amp;1654,5))</f>
        <v/>
      </c>
      <c r="Q1659">
        <f>IF(Sync!$J1659="","",IF(ISNUMBER(Sync!$J1659),IF(AND(Sync!$J1659&gt;=10000101,Sync!$J1659&lt;=99991231),INT(Sync!$J1659/10000)&amp;"/"&amp;RIGHT("00"&amp;INT(MOD(Sync!$J1659,10000)/100),2)&amp;"/"&amp;RIGHT("00"&amp;MOD(Sync!$J1659,100),2),"نامعتبر"),IF(LEN(Sync!$J1659)=10,Sync!$J1659,"نامعتبر")))</f>
        <v/>
      </c>
      <c r="R1659">
        <f>IF($P1659="","",COUNTIFS($N$6:$N$2005,$N1659,$P$6:$P$2005,"&lt;"&amp;$P1659)+COUNTIFS($A$6:$A$1005,$N1659,$B$6:$B$1005,"&lt;"&amp;$P1659)+1)</f>
        <v/>
      </c>
      <c r="S1659">
        <f>IF($N1659="","",$N1659&amp;"|"&amp;RIGHT("000000"&amp;$R1659,6))</f>
        <v/>
      </c>
      <c r="T1659">
        <f>IF($N1659="","",IF(Sync!$N1659="",0,Sync!$N1659))</f>
        <v/>
      </c>
      <c r="U1659">
        <f>IF($N1659="","",IF(Sync!$O1659="",0,Sync!$O1659))</f>
        <v/>
      </c>
      <c r="V1659">
        <f>IF($N1659="","",Sync!$L1659)</f>
        <v/>
      </c>
      <c r="W1659">
        <f>IF($N1659="","",Sync!$P1659)</f>
        <v/>
      </c>
    </row>
    <row r="1660">
      <c r="N1660">
        <f>IF(OR(Sync!$M1660="",$Q1660="",$Q1660="نامعتبر"),"",Sync!$M1660)</f>
        <v/>
      </c>
      <c r="O1660">
        <f>IF($N1660="","",$Q1660)</f>
        <v/>
      </c>
      <c r="P1660">
        <f>IF($N1660="","",LEFT($Q1660,4)&amp;MID($Q1660,6,2)&amp;RIGHT($Q1660,2)&amp;IF(Sync!$K1660="","0000",IF(AND(ISNUMBER(Sync!$K1660),Sync!$K1660&gt;=0,Sync!$K1660&lt;1),RIGHT("00"&amp;HOUR(Sync!$K1660),2)&amp;RIGHT("00"&amp;MINUTE(Sync!$K1660),2),IFERROR(RIGHT("00"&amp;VALUE(LEFT(Sync!$K1660,FIND(":",Sync!$K1660)-1)),2)&amp;RIGHT("00"&amp;VALUE(MID(Sync!$K1660,FIND(":",Sync!$K1660)+1,2)),2),"0000")))&amp;"|"&amp;"2"&amp;RIGHT("00000"&amp;1655,5))</f>
        <v/>
      </c>
      <c r="Q1660">
        <f>IF(Sync!$J1660="","",IF(ISNUMBER(Sync!$J1660),IF(AND(Sync!$J1660&gt;=10000101,Sync!$J1660&lt;=99991231),INT(Sync!$J1660/10000)&amp;"/"&amp;RIGHT("00"&amp;INT(MOD(Sync!$J1660,10000)/100),2)&amp;"/"&amp;RIGHT("00"&amp;MOD(Sync!$J1660,100),2),"نامعتبر"),IF(LEN(Sync!$J1660)=10,Sync!$J1660,"نامعتبر")))</f>
        <v/>
      </c>
      <c r="R1660">
        <f>IF($P1660="","",COUNTIFS($N$6:$N$2005,$N1660,$P$6:$P$2005,"&lt;"&amp;$P1660)+COUNTIFS($A$6:$A$1005,$N1660,$B$6:$B$1005,"&lt;"&amp;$P1660)+1)</f>
        <v/>
      </c>
      <c r="S1660">
        <f>IF($N1660="","",$N1660&amp;"|"&amp;RIGHT("000000"&amp;$R1660,6))</f>
        <v/>
      </c>
      <c r="T1660">
        <f>IF($N1660="","",IF(Sync!$N1660="",0,Sync!$N1660))</f>
        <v/>
      </c>
      <c r="U1660">
        <f>IF($N1660="","",IF(Sync!$O1660="",0,Sync!$O1660))</f>
        <v/>
      </c>
      <c r="V1660">
        <f>IF($N1660="","",Sync!$L1660)</f>
        <v/>
      </c>
      <c r="W1660">
        <f>IF($N1660="","",Sync!$P1660)</f>
        <v/>
      </c>
    </row>
    <row r="1661">
      <c r="N1661">
        <f>IF(OR(Sync!$M1661="",$Q1661="",$Q1661="نامعتبر"),"",Sync!$M1661)</f>
        <v/>
      </c>
      <c r="O1661">
        <f>IF($N1661="","",$Q1661)</f>
        <v/>
      </c>
      <c r="P1661">
        <f>IF($N1661="","",LEFT($Q1661,4)&amp;MID($Q1661,6,2)&amp;RIGHT($Q1661,2)&amp;IF(Sync!$K1661="","0000",IF(AND(ISNUMBER(Sync!$K1661),Sync!$K1661&gt;=0,Sync!$K1661&lt;1),RIGHT("00"&amp;HOUR(Sync!$K1661),2)&amp;RIGHT("00"&amp;MINUTE(Sync!$K1661),2),IFERROR(RIGHT("00"&amp;VALUE(LEFT(Sync!$K1661,FIND(":",Sync!$K1661)-1)),2)&amp;RIGHT("00"&amp;VALUE(MID(Sync!$K1661,FIND(":",Sync!$K1661)+1,2)),2),"0000")))&amp;"|"&amp;"2"&amp;RIGHT("00000"&amp;1656,5))</f>
        <v/>
      </c>
      <c r="Q1661">
        <f>IF(Sync!$J1661="","",IF(ISNUMBER(Sync!$J1661),IF(AND(Sync!$J1661&gt;=10000101,Sync!$J1661&lt;=99991231),INT(Sync!$J1661/10000)&amp;"/"&amp;RIGHT("00"&amp;INT(MOD(Sync!$J1661,10000)/100),2)&amp;"/"&amp;RIGHT("00"&amp;MOD(Sync!$J1661,100),2),"نامعتبر"),IF(LEN(Sync!$J1661)=10,Sync!$J1661,"نامعتبر")))</f>
        <v/>
      </c>
      <c r="R1661">
        <f>IF($P1661="","",COUNTIFS($N$6:$N$2005,$N1661,$P$6:$P$2005,"&lt;"&amp;$P1661)+COUNTIFS($A$6:$A$1005,$N1661,$B$6:$B$1005,"&lt;"&amp;$P1661)+1)</f>
        <v/>
      </c>
      <c r="S1661">
        <f>IF($N1661="","",$N1661&amp;"|"&amp;RIGHT("000000"&amp;$R1661,6))</f>
        <v/>
      </c>
      <c r="T1661">
        <f>IF($N1661="","",IF(Sync!$N1661="",0,Sync!$N1661))</f>
        <v/>
      </c>
      <c r="U1661">
        <f>IF($N1661="","",IF(Sync!$O1661="",0,Sync!$O1661))</f>
        <v/>
      </c>
      <c r="V1661">
        <f>IF($N1661="","",Sync!$L1661)</f>
        <v/>
      </c>
      <c r="W1661">
        <f>IF($N1661="","",Sync!$P1661)</f>
        <v/>
      </c>
    </row>
    <row r="1662">
      <c r="N1662">
        <f>IF(OR(Sync!$M1662="",$Q1662="",$Q1662="نامعتبر"),"",Sync!$M1662)</f>
        <v/>
      </c>
      <c r="O1662">
        <f>IF($N1662="","",$Q1662)</f>
        <v/>
      </c>
      <c r="P1662">
        <f>IF($N1662="","",LEFT($Q1662,4)&amp;MID($Q1662,6,2)&amp;RIGHT($Q1662,2)&amp;IF(Sync!$K1662="","0000",IF(AND(ISNUMBER(Sync!$K1662),Sync!$K1662&gt;=0,Sync!$K1662&lt;1),RIGHT("00"&amp;HOUR(Sync!$K1662),2)&amp;RIGHT("00"&amp;MINUTE(Sync!$K1662),2),IFERROR(RIGHT("00"&amp;VALUE(LEFT(Sync!$K1662,FIND(":",Sync!$K1662)-1)),2)&amp;RIGHT("00"&amp;VALUE(MID(Sync!$K1662,FIND(":",Sync!$K1662)+1,2)),2),"0000")))&amp;"|"&amp;"2"&amp;RIGHT("00000"&amp;1657,5))</f>
        <v/>
      </c>
      <c r="Q1662">
        <f>IF(Sync!$J1662="","",IF(ISNUMBER(Sync!$J1662),IF(AND(Sync!$J1662&gt;=10000101,Sync!$J1662&lt;=99991231),INT(Sync!$J1662/10000)&amp;"/"&amp;RIGHT("00"&amp;INT(MOD(Sync!$J1662,10000)/100),2)&amp;"/"&amp;RIGHT("00"&amp;MOD(Sync!$J1662,100),2),"نامعتبر"),IF(LEN(Sync!$J1662)=10,Sync!$J1662,"نامعتبر")))</f>
        <v/>
      </c>
      <c r="R1662">
        <f>IF($P1662="","",COUNTIFS($N$6:$N$2005,$N1662,$P$6:$P$2005,"&lt;"&amp;$P1662)+COUNTIFS($A$6:$A$1005,$N1662,$B$6:$B$1005,"&lt;"&amp;$P1662)+1)</f>
        <v/>
      </c>
      <c r="S1662">
        <f>IF($N1662="","",$N1662&amp;"|"&amp;RIGHT("000000"&amp;$R1662,6))</f>
        <v/>
      </c>
      <c r="T1662">
        <f>IF($N1662="","",IF(Sync!$N1662="",0,Sync!$N1662))</f>
        <v/>
      </c>
      <c r="U1662">
        <f>IF($N1662="","",IF(Sync!$O1662="",0,Sync!$O1662))</f>
        <v/>
      </c>
      <c r="V1662">
        <f>IF($N1662="","",Sync!$L1662)</f>
        <v/>
      </c>
      <c r="W1662">
        <f>IF($N1662="","",Sync!$P1662)</f>
        <v/>
      </c>
    </row>
    <row r="1663">
      <c r="N1663">
        <f>IF(OR(Sync!$M1663="",$Q1663="",$Q1663="نامعتبر"),"",Sync!$M1663)</f>
        <v/>
      </c>
      <c r="O1663">
        <f>IF($N1663="","",$Q1663)</f>
        <v/>
      </c>
      <c r="P1663">
        <f>IF($N1663="","",LEFT($Q1663,4)&amp;MID($Q1663,6,2)&amp;RIGHT($Q1663,2)&amp;IF(Sync!$K1663="","0000",IF(AND(ISNUMBER(Sync!$K1663),Sync!$K1663&gt;=0,Sync!$K1663&lt;1),RIGHT("00"&amp;HOUR(Sync!$K1663),2)&amp;RIGHT("00"&amp;MINUTE(Sync!$K1663),2),IFERROR(RIGHT("00"&amp;VALUE(LEFT(Sync!$K1663,FIND(":",Sync!$K1663)-1)),2)&amp;RIGHT("00"&amp;VALUE(MID(Sync!$K1663,FIND(":",Sync!$K1663)+1,2)),2),"0000")))&amp;"|"&amp;"2"&amp;RIGHT("00000"&amp;1658,5))</f>
        <v/>
      </c>
      <c r="Q1663">
        <f>IF(Sync!$J1663="","",IF(ISNUMBER(Sync!$J1663),IF(AND(Sync!$J1663&gt;=10000101,Sync!$J1663&lt;=99991231),INT(Sync!$J1663/10000)&amp;"/"&amp;RIGHT("00"&amp;INT(MOD(Sync!$J1663,10000)/100),2)&amp;"/"&amp;RIGHT("00"&amp;MOD(Sync!$J1663,100),2),"نامعتبر"),IF(LEN(Sync!$J1663)=10,Sync!$J1663,"نامعتبر")))</f>
        <v/>
      </c>
      <c r="R1663">
        <f>IF($P1663="","",COUNTIFS($N$6:$N$2005,$N1663,$P$6:$P$2005,"&lt;"&amp;$P1663)+COUNTIFS($A$6:$A$1005,$N1663,$B$6:$B$1005,"&lt;"&amp;$P1663)+1)</f>
        <v/>
      </c>
      <c r="S1663">
        <f>IF($N1663="","",$N1663&amp;"|"&amp;RIGHT("000000"&amp;$R1663,6))</f>
        <v/>
      </c>
      <c r="T1663">
        <f>IF($N1663="","",IF(Sync!$N1663="",0,Sync!$N1663))</f>
        <v/>
      </c>
      <c r="U1663">
        <f>IF($N1663="","",IF(Sync!$O1663="",0,Sync!$O1663))</f>
        <v/>
      </c>
      <c r="V1663">
        <f>IF($N1663="","",Sync!$L1663)</f>
        <v/>
      </c>
      <c r="W1663">
        <f>IF($N1663="","",Sync!$P1663)</f>
        <v/>
      </c>
    </row>
    <row r="1664">
      <c r="N1664">
        <f>IF(OR(Sync!$M1664="",$Q1664="",$Q1664="نامعتبر"),"",Sync!$M1664)</f>
        <v/>
      </c>
      <c r="O1664">
        <f>IF($N1664="","",$Q1664)</f>
        <v/>
      </c>
      <c r="P1664">
        <f>IF($N1664="","",LEFT($Q1664,4)&amp;MID($Q1664,6,2)&amp;RIGHT($Q1664,2)&amp;IF(Sync!$K1664="","0000",IF(AND(ISNUMBER(Sync!$K1664),Sync!$K1664&gt;=0,Sync!$K1664&lt;1),RIGHT("00"&amp;HOUR(Sync!$K1664),2)&amp;RIGHT("00"&amp;MINUTE(Sync!$K1664),2),IFERROR(RIGHT("00"&amp;VALUE(LEFT(Sync!$K1664,FIND(":",Sync!$K1664)-1)),2)&amp;RIGHT("00"&amp;VALUE(MID(Sync!$K1664,FIND(":",Sync!$K1664)+1,2)),2),"0000")))&amp;"|"&amp;"2"&amp;RIGHT("00000"&amp;1659,5))</f>
        <v/>
      </c>
      <c r="Q1664">
        <f>IF(Sync!$J1664="","",IF(ISNUMBER(Sync!$J1664),IF(AND(Sync!$J1664&gt;=10000101,Sync!$J1664&lt;=99991231),INT(Sync!$J1664/10000)&amp;"/"&amp;RIGHT("00"&amp;INT(MOD(Sync!$J1664,10000)/100),2)&amp;"/"&amp;RIGHT("00"&amp;MOD(Sync!$J1664,100),2),"نامعتبر"),IF(LEN(Sync!$J1664)=10,Sync!$J1664,"نامعتبر")))</f>
        <v/>
      </c>
      <c r="R1664">
        <f>IF($P1664="","",COUNTIFS($N$6:$N$2005,$N1664,$P$6:$P$2005,"&lt;"&amp;$P1664)+COUNTIFS($A$6:$A$1005,$N1664,$B$6:$B$1005,"&lt;"&amp;$P1664)+1)</f>
        <v/>
      </c>
      <c r="S1664">
        <f>IF($N1664="","",$N1664&amp;"|"&amp;RIGHT("000000"&amp;$R1664,6))</f>
        <v/>
      </c>
      <c r="T1664">
        <f>IF($N1664="","",IF(Sync!$N1664="",0,Sync!$N1664))</f>
        <v/>
      </c>
      <c r="U1664">
        <f>IF($N1664="","",IF(Sync!$O1664="",0,Sync!$O1664))</f>
        <v/>
      </c>
      <c r="V1664">
        <f>IF($N1664="","",Sync!$L1664)</f>
        <v/>
      </c>
      <c r="W1664">
        <f>IF($N1664="","",Sync!$P1664)</f>
        <v/>
      </c>
    </row>
    <row r="1665">
      <c r="N1665">
        <f>IF(OR(Sync!$M1665="",$Q1665="",$Q1665="نامعتبر"),"",Sync!$M1665)</f>
        <v/>
      </c>
      <c r="O1665">
        <f>IF($N1665="","",$Q1665)</f>
        <v/>
      </c>
      <c r="P1665">
        <f>IF($N1665="","",LEFT($Q1665,4)&amp;MID($Q1665,6,2)&amp;RIGHT($Q1665,2)&amp;IF(Sync!$K1665="","0000",IF(AND(ISNUMBER(Sync!$K1665),Sync!$K1665&gt;=0,Sync!$K1665&lt;1),RIGHT("00"&amp;HOUR(Sync!$K1665),2)&amp;RIGHT("00"&amp;MINUTE(Sync!$K1665),2),IFERROR(RIGHT("00"&amp;VALUE(LEFT(Sync!$K1665,FIND(":",Sync!$K1665)-1)),2)&amp;RIGHT("00"&amp;VALUE(MID(Sync!$K1665,FIND(":",Sync!$K1665)+1,2)),2),"0000")))&amp;"|"&amp;"2"&amp;RIGHT("00000"&amp;1660,5))</f>
        <v/>
      </c>
      <c r="Q1665">
        <f>IF(Sync!$J1665="","",IF(ISNUMBER(Sync!$J1665),IF(AND(Sync!$J1665&gt;=10000101,Sync!$J1665&lt;=99991231),INT(Sync!$J1665/10000)&amp;"/"&amp;RIGHT("00"&amp;INT(MOD(Sync!$J1665,10000)/100),2)&amp;"/"&amp;RIGHT("00"&amp;MOD(Sync!$J1665,100),2),"نامعتبر"),IF(LEN(Sync!$J1665)=10,Sync!$J1665,"نامعتبر")))</f>
        <v/>
      </c>
      <c r="R1665">
        <f>IF($P1665="","",COUNTIFS($N$6:$N$2005,$N1665,$P$6:$P$2005,"&lt;"&amp;$P1665)+COUNTIFS($A$6:$A$1005,$N1665,$B$6:$B$1005,"&lt;"&amp;$P1665)+1)</f>
        <v/>
      </c>
      <c r="S1665">
        <f>IF($N1665="","",$N1665&amp;"|"&amp;RIGHT("000000"&amp;$R1665,6))</f>
        <v/>
      </c>
      <c r="T1665">
        <f>IF($N1665="","",IF(Sync!$N1665="",0,Sync!$N1665))</f>
        <v/>
      </c>
      <c r="U1665">
        <f>IF($N1665="","",IF(Sync!$O1665="",0,Sync!$O1665))</f>
        <v/>
      </c>
      <c r="V1665">
        <f>IF($N1665="","",Sync!$L1665)</f>
        <v/>
      </c>
      <c r="W1665">
        <f>IF($N1665="","",Sync!$P1665)</f>
        <v/>
      </c>
    </row>
    <row r="1666">
      <c r="N1666">
        <f>IF(OR(Sync!$M1666="",$Q1666="",$Q1666="نامعتبر"),"",Sync!$M1666)</f>
        <v/>
      </c>
      <c r="O1666">
        <f>IF($N1666="","",$Q1666)</f>
        <v/>
      </c>
      <c r="P1666">
        <f>IF($N1666="","",LEFT($Q1666,4)&amp;MID($Q1666,6,2)&amp;RIGHT($Q1666,2)&amp;IF(Sync!$K1666="","0000",IF(AND(ISNUMBER(Sync!$K1666),Sync!$K1666&gt;=0,Sync!$K1666&lt;1),RIGHT("00"&amp;HOUR(Sync!$K1666),2)&amp;RIGHT("00"&amp;MINUTE(Sync!$K1666),2),IFERROR(RIGHT("00"&amp;VALUE(LEFT(Sync!$K1666,FIND(":",Sync!$K1666)-1)),2)&amp;RIGHT("00"&amp;VALUE(MID(Sync!$K1666,FIND(":",Sync!$K1666)+1,2)),2),"0000")))&amp;"|"&amp;"2"&amp;RIGHT("00000"&amp;1661,5))</f>
        <v/>
      </c>
      <c r="Q1666">
        <f>IF(Sync!$J1666="","",IF(ISNUMBER(Sync!$J1666),IF(AND(Sync!$J1666&gt;=10000101,Sync!$J1666&lt;=99991231),INT(Sync!$J1666/10000)&amp;"/"&amp;RIGHT("00"&amp;INT(MOD(Sync!$J1666,10000)/100),2)&amp;"/"&amp;RIGHT("00"&amp;MOD(Sync!$J1666,100),2),"نامعتبر"),IF(LEN(Sync!$J1666)=10,Sync!$J1666,"نامعتبر")))</f>
        <v/>
      </c>
      <c r="R1666">
        <f>IF($P1666="","",COUNTIFS($N$6:$N$2005,$N1666,$P$6:$P$2005,"&lt;"&amp;$P1666)+COUNTIFS($A$6:$A$1005,$N1666,$B$6:$B$1005,"&lt;"&amp;$P1666)+1)</f>
        <v/>
      </c>
      <c r="S1666">
        <f>IF($N1666="","",$N1666&amp;"|"&amp;RIGHT("000000"&amp;$R1666,6))</f>
        <v/>
      </c>
      <c r="T1666">
        <f>IF($N1666="","",IF(Sync!$N1666="",0,Sync!$N1666))</f>
        <v/>
      </c>
      <c r="U1666">
        <f>IF($N1666="","",IF(Sync!$O1666="",0,Sync!$O1666))</f>
        <v/>
      </c>
      <c r="V1666">
        <f>IF($N1666="","",Sync!$L1666)</f>
        <v/>
      </c>
      <c r="W1666">
        <f>IF($N1666="","",Sync!$P1666)</f>
        <v/>
      </c>
    </row>
    <row r="1667">
      <c r="N1667">
        <f>IF(OR(Sync!$M1667="",$Q1667="",$Q1667="نامعتبر"),"",Sync!$M1667)</f>
        <v/>
      </c>
      <c r="O1667">
        <f>IF($N1667="","",$Q1667)</f>
        <v/>
      </c>
      <c r="P1667">
        <f>IF($N1667="","",LEFT($Q1667,4)&amp;MID($Q1667,6,2)&amp;RIGHT($Q1667,2)&amp;IF(Sync!$K1667="","0000",IF(AND(ISNUMBER(Sync!$K1667),Sync!$K1667&gt;=0,Sync!$K1667&lt;1),RIGHT("00"&amp;HOUR(Sync!$K1667),2)&amp;RIGHT("00"&amp;MINUTE(Sync!$K1667),2),IFERROR(RIGHT("00"&amp;VALUE(LEFT(Sync!$K1667,FIND(":",Sync!$K1667)-1)),2)&amp;RIGHT("00"&amp;VALUE(MID(Sync!$K1667,FIND(":",Sync!$K1667)+1,2)),2),"0000")))&amp;"|"&amp;"2"&amp;RIGHT("00000"&amp;1662,5))</f>
        <v/>
      </c>
      <c r="Q1667">
        <f>IF(Sync!$J1667="","",IF(ISNUMBER(Sync!$J1667),IF(AND(Sync!$J1667&gt;=10000101,Sync!$J1667&lt;=99991231),INT(Sync!$J1667/10000)&amp;"/"&amp;RIGHT("00"&amp;INT(MOD(Sync!$J1667,10000)/100),2)&amp;"/"&amp;RIGHT("00"&amp;MOD(Sync!$J1667,100),2),"نامعتبر"),IF(LEN(Sync!$J1667)=10,Sync!$J1667,"نامعتبر")))</f>
        <v/>
      </c>
      <c r="R1667">
        <f>IF($P1667="","",COUNTIFS($N$6:$N$2005,$N1667,$P$6:$P$2005,"&lt;"&amp;$P1667)+COUNTIFS($A$6:$A$1005,$N1667,$B$6:$B$1005,"&lt;"&amp;$P1667)+1)</f>
        <v/>
      </c>
      <c r="S1667">
        <f>IF($N1667="","",$N1667&amp;"|"&amp;RIGHT("000000"&amp;$R1667,6))</f>
        <v/>
      </c>
      <c r="T1667">
        <f>IF($N1667="","",IF(Sync!$N1667="",0,Sync!$N1667))</f>
        <v/>
      </c>
      <c r="U1667">
        <f>IF($N1667="","",IF(Sync!$O1667="",0,Sync!$O1667))</f>
        <v/>
      </c>
      <c r="V1667">
        <f>IF($N1667="","",Sync!$L1667)</f>
        <v/>
      </c>
      <c r="W1667">
        <f>IF($N1667="","",Sync!$P1667)</f>
        <v/>
      </c>
    </row>
    <row r="1668">
      <c r="N1668">
        <f>IF(OR(Sync!$M1668="",$Q1668="",$Q1668="نامعتبر"),"",Sync!$M1668)</f>
        <v/>
      </c>
      <c r="O1668">
        <f>IF($N1668="","",$Q1668)</f>
        <v/>
      </c>
      <c r="P1668">
        <f>IF($N1668="","",LEFT($Q1668,4)&amp;MID($Q1668,6,2)&amp;RIGHT($Q1668,2)&amp;IF(Sync!$K1668="","0000",IF(AND(ISNUMBER(Sync!$K1668),Sync!$K1668&gt;=0,Sync!$K1668&lt;1),RIGHT("00"&amp;HOUR(Sync!$K1668),2)&amp;RIGHT("00"&amp;MINUTE(Sync!$K1668),2),IFERROR(RIGHT("00"&amp;VALUE(LEFT(Sync!$K1668,FIND(":",Sync!$K1668)-1)),2)&amp;RIGHT("00"&amp;VALUE(MID(Sync!$K1668,FIND(":",Sync!$K1668)+1,2)),2),"0000")))&amp;"|"&amp;"2"&amp;RIGHT("00000"&amp;1663,5))</f>
        <v/>
      </c>
      <c r="Q1668">
        <f>IF(Sync!$J1668="","",IF(ISNUMBER(Sync!$J1668),IF(AND(Sync!$J1668&gt;=10000101,Sync!$J1668&lt;=99991231),INT(Sync!$J1668/10000)&amp;"/"&amp;RIGHT("00"&amp;INT(MOD(Sync!$J1668,10000)/100),2)&amp;"/"&amp;RIGHT("00"&amp;MOD(Sync!$J1668,100),2),"نامعتبر"),IF(LEN(Sync!$J1668)=10,Sync!$J1668,"نامعتبر")))</f>
        <v/>
      </c>
      <c r="R1668">
        <f>IF($P1668="","",COUNTIFS($N$6:$N$2005,$N1668,$P$6:$P$2005,"&lt;"&amp;$P1668)+COUNTIFS($A$6:$A$1005,$N1668,$B$6:$B$1005,"&lt;"&amp;$P1668)+1)</f>
        <v/>
      </c>
      <c r="S1668">
        <f>IF($N1668="","",$N1668&amp;"|"&amp;RIGHT("000000"&amp;$R1668,6))</f>
        <v/>
      </c>
      <c r="T1668">
        <f>IF($N1668="","",IF(Sync!$N1668="",0,Sync!$N1668))</f>
        <v/>
      </c>
      <c r="U1668">
        <f>IF($N1668="","",IF(Sync!$O1668="",0,Sync!$O1668))</f>
        <v/>
      </c>
      <c r="V1668">
        <f>IF($N1668="","",Sync!$L1668)</f>
        <v/>
      </c>
      <c r="W1668">
        <f>IF($N1668="","",Sync!$P1668)</f>
        <v/>
      </c>
    </row>
    <row r="1669">
      <c r="N1669">
        <f>IF(OR(Sync!$M1669="",$Q1669="",$Q1669="نامعتبر"),"",Sync!$M1669)</f>
        <v/>
      </c>
      <c r="O1669">
        <f>IF($N1669="","",$Q1669)</f>
        <v/>
      </c>
      <c r="P1669">
        <f>IF($N1669="","",LEFT($Q1669,4)&amp;MID($Q1669,6,2)&amp;RIGHT($Q1669,2)&amp;IF(Sync!$K1669="","0000",IF(AND(ISNUMBER(Sync!$K1669),Sync!$K1669&gt;=0,Sync!$K1669&lt;1),RIGHT("00"&amp;HOUR(Sync!$K1669),2)&amp;RIGHT("00"&amp;MINUTE(Sync!$K1669),2),IFERROR(RIGHT("00"&amp;VALUE(LEFT(Sync!$K1669,FIND(":",Sync!$K1669)-1)),2)&amp;RIGHT("00"&amp;VALUE(MID(Sync!$K1669,FIND(":",Sync!$K1669)+1,2)),2),"0000")))&amp;"|"&amp;"2"&amp;RIGHT("00000"&amp;1664,5))</f>
        <v/>
      </c>
      <c r="Q1669">
        <f>IF(Sync!$J1669="","",IF(ISNUMBER(Sync!$J1669),IF(AND(Sync!$J1669&gt;=10000101,Sync!$J1669&lt;=99991231),INT(Sync!$J1669/10000)&amp;"/"&amp;RIGHT("00"&amp;INT(MOD(Sync!$J1669,10000)/100),2)&amp;"/"&amp;RIGHT("00"&amp;MOD(Sync!$J1669,100),2),"نامعتبر"),IF(LEN(Sync!$J1669)=10,Sync!$J1669,"نامعتبر")))</f>
        <v/>
      </c>
      <c r="R1669">
        <f>IF($P1669="","",COUNTIFS($N$6:$N$2005,$N1669,$P$6:$P$2005,"&lt;"&amp;$P1669)+COUNTIFS($A$6:$A$1005,$N1669,$B$6:$B$1005,"&lt;"&amp;$P1669)+1)</f>
        <v/>
      </c>
      <c r="S1669">
        <f>IF($N1669="","",$N1669&amp;"|"&amp;RIGHT("000000"&amp;$R1669,6))</f>
        <v/>
      </c>
      <c r="T1669">
        <f>IF($N1669="","",IF(Sync!$N1669="",0,Sync!$N1669))</f>
        <v/>
      </c>
      <c r="U1669">
        <f>IF($N1669="","",IF(Sync!$O1669="",0,Sync!$O1669))</f>
        <v/>
      </c>
      <c r="V1669">
        <f>IF($N1669="","",Sync!$L1669)</f>
        <v/>
      </c>
      <c r="W1669">
        <f>IF($N1669="","",Sync!$P1669)</f>
        <v/>
      </c>
    </row>
    <row r="1670">
      <c r="N1670">
        <f>IF(OR(Sync!$M1670="",$Q1670="",$Q1670="نامعتبر"),"",Sync!$M1670)</f>
        <v/>
      </c>
      <c r="O1670">
        <f>IF($N1670="","",$Q1670)</f>
        <v/>
      </c>
      <c r="P1670">
        <f>IF($N1670="","",LEFT($Q1670,4)&amp;MID($Q1670,6,2)&amp;RIGHT($Q1670,2)&amp;IF(Sync!$K1670="","0000",IF(AND(ISNUMBER(Sync!$K1670),Sync!$K1670&gt;=0,Sync!$K1670&lt;1),RIGHT("00"&amp;HOUR(Sync!$K1670),2)&amp;RIGHT("00"&amp;MINUTE(Sync!$K1670),2),IFERROR(RIGHT("00"&amp;VALUE(LEFT(Sync!$K1670,FIND(":",Sync!$K1670)-1)),2)&amp;RIGHT("00"&amp;VALUE(MID(Sync!$K1670,FIND(":",Sync!$K1670)+1,2)),2),"0000")))&amp;"|"&amp;"2"&amp;RIGHT("00000"&amp;1665,5))</f>
        <v/>
      </c>
      <c r="Q1670">
        <f>IF(Sync!$J1670="","",IF(ISNUMBER(Sync!$J1670),IF(AND(Sync!$J1670&gt;=10000101,Sync!$J1670&lt;=99991231),INT(Sync!$J1670/10000)&amp;"/"&amp;RIGHT("00"&amp;INT(MOD(Sync!$J1670,10000)/100),2)&amp;"/"&amp;RIGHT("00"&amp;MOD(Sync!$J1670,100),2),"نامعتبر"),IF(LEN(Sync!$J1670)=10,Sync!$J1670,"نامعتبر")))</f>
        <v/>
      </c>
      <c r="R1670">
        <f>IF($P1670="","",COUNTIFS($N$6:$N$2005,$N1670,$P$6:$P$2005,"&lt;"&amp;$P1670)+COUNTIFS($A$6:$A$1005,$N1670,$B$6:$B$1005,"&lt;"&amp;$P1670)+1)</f>
        <v/>
      </c>
      <c r="S1670">
        <f>IF($N1670="","",$N1670&amp;"|"&amp;RIGHT("000000"&amp;$R1670,6))</f>
        <v/>
      </c>
      <c r="T1670">
        <f>IF($N1670="","",IF(Sync!$N1670="",0,Sync!$N1670))</f>
        <v/>
      </c>
      <c r="U1670">
        <f>IF($N1670="","",IF(Sync!$O1670="",0,Sync!$O1670))</f>
        <v/>
      </c>
      <c r="V1670">
        <f>IF($N1670="","",Sync!$L1670)</f>
        <v/>
      </c>
      <c r="W1670">
        <f>IF($N1670="","",Sync!$P1670)</f>
        <v/>
      </c>
    </row>
    <row r="1671">
      <c r="N1671">
        <f>IF(OR(Sync!$M1671="",$Q1671="",$Q1671="نامعتبر"),"",Sync!$M1671)</f>
        <v/>
      </c>
      <c r="O1671">
        <f>IF($N1671="","",$Q1671)</f>
        <v/>
      </c>
      <c r="P1671">
        <f>IF($N1671="","",LEFT($Q1671,4)&amp;MID($Q1671,6,2)&amp;RIGHT($Q1671,2)&amp;IF(Sync!$K1671="","0000",IF(AND(ISNUMBER(Sync!$K1671),Sync!$K1671&gt;=0,Sync!$K1671&lt;1),RIGHT("00"&amp;HOUR(Sync!$K1671),2)&amp;RIGHT("00"&amp;MINUTE(Sync!$K1671),2),IFERROR(RIGHT("00"&amp;VALUE(LEFT(Sync!$K1671,FIND(":",Sync!$K1671)-1)),2)&amp;RIGHT("00"&amp;VALUE(MID(Sync!$K1671,FIND(":",Sync!$K1671)+1,2)),2),"0000")))&amp;"|"&amp;"2"&amp;RIGHT("00000"&amp;1666,5))</f>
        <v/>
      </c>
      <c r="Q1671">
        <f>IF(Sync!$J1671="","",IF(ISNUMBER(Sync!$J1671),IF(AND(Sync!$J1671&gt;=10000101,Sync!$J1671&lt;=99991231),INT(Sync!$J1671/10000)&amp;"/"&amp;RIGHT("00"&amp;INT(MOD(Sync!$J1671,10000)/100),2)&amp;"/"&amp;RIGHT("00"&amp;MOD(Sync!$J1671,100),2),"نامعتبر"),IF(LEN(Sync!$J1671)=10,Sync!$J1671,"نامعتبر")))</f>
        <v/>
      </c>
      <c r="R1671">
        <f>IF($P1671="","",COUNTIFS($N$6:$N$2005,$N1671,$P$6:$P$2005,"&lt;"&amp;$P1671)+COUNTIFS($A$6:$A$1005,$N1671,$B$6:$B$1005,"&lt;"&amp;$P1671)+1)</f>
        <v/>
      </c>
      <c r="S1671">
        <f>IF($N1671="","",$N1671&amp;"|"&amp;RIGHT("000000"&amp;$R1671,6))</f>
        <v/>
      </c>
      <c r="T1671">
        <f>IF($N1671="","",IF(Sync!$N1671="",0,Sync!$N1671))</f>
        <v/>
      </c>
      <c r="U1671">
        <f>IF($N1671="","",IF(Sync!$O1671="",0,Sync!$O1671))</f>
        <v/>
      </c>
      <c r="V1671">
        <f>IF($N1671="","",Sync!$L1671)</f>
        <v/>
      </c>
      <c r="W1671">
        <f>IF($N1671="","",Sync!$P1671)</f>
        <v/>
      </c>
    </row>
    <row r="1672">
      <c r="N1672">
        <f>IF(OR(Sync!$M1672="",$Q1672="",$Q1672="نامعتبر"),"",Sync!$M1672)</f>
        <v/>
      </c>
      <c r="O1672">
        <f>IF($N1672="","",$Q1672)</f>
        <v/>
      </c>
      <c r="P1672">
        <f>IF($N1672="","",LEFT($Q1672,4)&amp;MID($Q1672,6,2)&amp;RIGHT($Q1672,2)&amp;IF(Sync!$K1672="","0000",IF(AND(ISNUMBER(Sync!$K1672),Sync!$K1672&gt;=0,Sync!$K1672&lt;1),RIGHT("00"&amp;HOUR(Sync!$K1672),2)&amp;RIGHT("00"&amp;MINUTE(Sync!$K1672),2),IFERROR(RIGHT("00"&amp;VALUE(LEFT(Sync!$K1672,FIND(":",Sync!$K1672)-1)),2)&amp;RIGHT("00"&amp;VALUE(MID(Sync!$K1672,FIND(":",Sync!$K1672)+1,2)),2),"0000")))&amp;"|"&amp;"2"&amp;RIGHT("00000"&amp;1667,5))</f>
        <v/>
      </c>
      <c r="Q1672">
        <f>IF(Sync!$J1672="","",IF(ISNUMBER(Sync!$J1672),IF(AND(Sync!$J1672&gt;=10000101,Sync!$J1672&lt;=99991231),INT(Sync!$J1672/10000)&amp;"/"&amp;RIGHT("00"&amp;INT(MOD(Sync!$J1672,10000)/100),2)&amp;"/"&amp;RIGHT("00"&amp;MOD(Sync!$J1672,100),2),"نامعتبر"),IF(LEN(Sync!$J1672)=10,Sync!$J1672,"نامعتبر")))</f>
        <v/>
      </c>
      <c r="R1672">
        <f>IF($P1672="","",COUNTIFS($N$6:$N$2005,$N1672,$P$6:$P$2005,"&lt;"&amp;$P1672)+COUNTIFS($A$6:$A$1005,$N1672,$B$6:$B$1005,"&lt;"&amp;$P1672)+1)</f>
        <v/>
      </c>
      <c r="S1672">
        <f>IF($N1672="","",$N1672&amp;"|"&amp;RIGHT("000000"&amp;$R1672,6))</f>
        <v/>
      </c>
      <c r="T1672">
        <f>IF($N1672="","",IF(Sync!$N1672="",0,Sync!$N1672))</f>
        <v/>
      </c>
      <c r="U1672">
        <f>IF($N1672="","",IF(Sync!$O1672="",0,Sync!$O1672))</f>
        <v/>
      </c>
      <c r="V1672">
        <f>IF($N1672="","",Sync!$L1672)</f>
        <v/>
      </c>
      <c r="W1672">
        <f>IF($N1672="","",Sync!$P1672)</f>
        <v/>
      </c>
    </row>
    <row r="1673">
      <c r="N1673">
        <f>IF(OR(Sync!$M1673="",$Q1673="",$Q1673="نامعتبر"),"",Sync!$M1673)</f>
        <v/>
      </c>
      <c r="O1673">
        <f>IF($N1673="","",$Q1673)</f>
        <v/>
      </c>
      <c r="P1673">
        <f>IF($N1673="","",LEFT($Q1673,4)&amp;MID($Q1673,6,2)&amp;RIGHT($Q1673,2)&amp;IF(Sync!$K1673="","0000",IF(AND(ISNUMBER(Sync!$K1673),Sync!$K1673&gt;=0,Sync!$K1673&lt;1),RIGHT("00"&amp;HOUR(Sync!$K1673),2)&amp;RIGHT("00"&amp;MINUTE(Sync!$K1673),2),IFERROR(RIGHT("00"&amp;VALUE(LEFT(Sync!$K1673,FIND(":",Sync!$K1673)-1)),2)&amp;RIGHT("00"&amp;VALUE(MID(Sync!$K1673,FIND(":",Sync!$K1673)+1,2)),2),"0000")))&amp;"|"&amp;"2"&amp;RIGHT("00000"&amp;1668,5))</f>
        <v/>
      </c>
      <c r="Q1673">
        <f>IF(Sync!$J1673="","",IF(ISNUMBER(Sync!$J1673),IF(AND(Sync!$J1673&gt;=10000101,Sync!$J1673&lt;=99991231),INT(Sync!$J1673/10000)&amp;"/"&amp;RIGHT("00"&amp;INT(MOD(Sync!$J1673,10000)/100),2)&amp;"/"&amp;RIGHT("00"&amp;MOD(Sync!$J1673,100),2),"نامعتبر"),IF(LEN(Sync!$J1673)=10,Sync!$J1673,"نامعتبر")))</f>
        <v/>
      </c>
      <c r="R1673">
        <f>IF($P1673="","",COUNTIFS($N$6:$N$2005,$N1673,$P$6:$P$2005,"&lt;"&amp;$P1673)+COUNTIFS($A$6:$A$1005,$N1673,$B$6:$B$1005,"&lt;"&amp;$P1673)+1)</f>
        <v/>
      </c>
      <c r="S1673">
        <f>IF($N1673="","",$N1673&amp;"|"&amp;RIGHT("000000"&amp;$R1673,6))</f>
        <v/>
      </c>
      <c r="T1673">
        <f>IF($N1673="","",IF(Sync!$N1673="",0,Sync!$N1673))</f>
        <v/>
      </c>
      <c r="U1673">
        <f>IF($N1673="","",IF(Sync!$O1673="",0,Sync!$O1673))</f>
        <v/>
      </c>
      <c r="V1673">
        <f>IF($N1673="","",Sync!$L1673)</f>
        <v/>
      </c>
      <c r="W1673">
        <f>IF($N1673="","",Sync!$P1673)</f>
        <v/>
      </c>
    </row>
    <row r="1674">
      <c r="N1674">
        <f>IF(OR(Sync!$M1674="",$Q1674="",$Q1674="نامعتبر"),"",Sync!$M1674)</f>
        <v/>
      </c>
      <c r="O1674">
        <f>IF($N1674="","",$Q1674)</f>
        <v/>
      </c>
      <c r="P1674">
        <f>IF($N1674="","",LEFT($Q1674,4)&amp;MID($Q1674,6,2)&amp;RIGHT($Q1674,2)&amp;IF(Sync!$K1674="","0000",IF(AND(ISNUMBER(Sync!$K1674),Sync!$K1674&gt;=0,Sync!$K1674&lt;1),RIGHT("00"&amp;HOUR(Sync!$K1674),2)&amp;RIGHT("00"&amp;MINUTE(Sync!$K1674),2),IFERROR(RIGHT("00"&amp;VALUE(LEFT(Sync!$K1674,FIND(":",Sync!$K1674)-1)),2)&amp;RIGHT("00"&amp;VALUE(MID(Sync!$K1674,FIND(":",Sync!$K1674)+1,2)),2),"0000")))&amp;"|"&amp;"2"&amp;RIGHT("00000"&amp;1669,5))</f>
        <v/>
      </c>
      <c r="Q1674">
        <f>IF(Sync!$J1674="","",IF(ISNUMBER(Sync!$J1674),IF(AND(Sync!$J1674&gt;=10000101,Sync!$J1674&lt;=99991231),INT(Sync!$J1674/10000)&amp;"/"&amp;RIGHT("00"&amp;INT(MOD(Sync!$J1674,10000)/100),2)&amp;"/"&amp;RIGHT("00"&amp;MOD(Sync!$J1674,100),2),"نامعتبر"),IF(LEN(Sync!$J1674)=10,Sync!$J1674,"نامعتبر")))</f>
        <v/>
      </c>
      <c r="R1674">
        <f>IF($P1674="","",COUNTIFS($N$6:$N$2005,$N1674,$P$6:$P$2005,"&lt;"&amp;$P1674)+COUNTIFS($A$6:$A$1005,$N1674,$B$6:$B$1005,"&lt;"&amp;$P1674)+1)</f>
        <v/>
      </c>
      <c r="S1674">
        <f>IF($N1674="","",$N1674&amp;"|"&amp;RIGHT("000000"&amp;$R1674,6))</f>
        <v/>
      </c>
      <c r="T1674">
        <f>IF($N1674="","",IF(Sync!$N1674="",0,Sync!$N1674))</f>
        <v/>
      </c>
      <c r="U1674">
        <f>IF($N1674="","",IF(Sync!$O1674="",0,Sync!$O1674))</f>
        <v/>
      </c>
      <c r="V1674">
        <f>IF($N1674="","",Sync!$L1674)</f>
        <v/>
      </c>
      <c r="W1674">
        <f>IF($N1674="","",Sync!$P1674)</f>
        <v/>
      </c>
    </row>
    <row r="1675">
      <c r="N1675">
        <f>IF(OR(Sync!$M1675="",$Q1675="",$Q1675="نامعتبر"),"",Sync!$M1675)</f>
        <v/>
      </c>
      <c r="O1675">
        <f>IF($N1675="","",$Q1675)</f>
        <v/>
      </c>
      <c r="P1675">
        <f>IF($N1675="","",LEFT($Q1675,4)&amp;MID($Q1675,6,2)&amp;RIGHT($Q1675,2)&amp;IF(Sync!$K1675="","0000",IF(AND(ISNUMBER(Sync!$K1675),Sync!$K1675&gt;=0,Sync!$K1675&lt;1),RIGHT("00"&amp;HOUR(Sync!$K1675),2)&amp;RIGHT("00"&amp;MINUTE(Sync!$K1675),2),IFERROR(RIGHT("00"&amp;VALUE(LEFT(Sync!$K1675,FIND(":",Sync!$K1675)-1)),2)&amp;RIGHT("00"&amp;VALUE(MID(Sync!$K1675,FIND(":",Sync!$K1675)+1,2)),2),"0000")))&amp;"|"&amp;"2"&amp;RIGHT("00000"&amp;1670,5))</f>
        <v/>
      </c>
      <c r="Q1675">
        <f>IF(Sync!$J1675="","",IF(ISNUMBER(Sync!$J1675),IF(AND(Sync!$J1675&gt;=10000101,Sync!$J1675&lt;=99991231),INT(Sync!$J1675/10000)&amp;"/"&amp;RIGHT("00"&amp;INT(MOD(Sync!$J1675,10000)/100),2)&amp;"/"&amp;RIGHT("00"&amp;MOD(Sync!$J1675,100),2),"نامعتبر"),IF(LEN(Sync!$J1675)=10,Sync!$J1675,"نامعتبر")))</f>
        <v/>
      </c>
      <c r="R1675">
        <f>IF($P1675="","",COUNTIFS($N$6:$N$2005,$N1675,$P$6:$P$2005,"&lt;"&amp;$P1675)+COUNTIFS($A$6:$A$1005,$N1675,$B$6:$B$1005,"&lt;"&amp;$P1675)+1)</f>
        <v/>
      </c>
      <c r="S1675">
        <f>IF($N1675="","",$N1675&amp;"|"&amp;RIGHT("000000"&amp;$R1675,6))</f>
        <v/>
      </c>
      <c r="T1675">
        <f>IF($N1675="","",IF(Sync!$N1675="",0,Sync!$N1675))</f>
        <v/>
      </c>
      <c r="U1675">
        <f>IF($N1675="","",IF(Sync!$O1675="",0,Sync!$O1675))</f>
        <v/>
      </c>
      <c r="V1675">
        <f>IF($N1675="","",Sync!$L1675)</f>
        <v/>
      </c>
      <c r="W1675">
        <f>IF($N1675="","",Sync!$P1675)</f>
        <v/>
      </c>
    </row>
    <row r="1676">
      <c r="N1676">
        <f>IF(OR(Sync!$M1676="",$Q1676="",$Q1676="نامعتبر"),"",Sync!$M1676)</f>
        <v/>
      </c>
      <c r="O1676">
        <f>IF($N1676="","",$Q1676)</f>
        <v/>
      </c>
      <c r="P1676">
        <f>IF($N1676="","",LEFT($Q1676,4)&amp;MID($Q1676,6,2)&amp;RIGHT($Q1676,2)&amp;IF(Sync!$K1676="","0000",IF(AND(ISNUMBER(Sync!$K1676),Sync!$K1676&gt;=0,Sync!$K1676&lt;1),RIGHT("00"&amp;HOUR(Sync!$K1676),2)&amp;RIGHT("00"&amp;MINUTE(Sync!$K1676),2),IFERROR(RIGHT("00"&amp;VALUE(LEFT(Sync!$K1676,FIND(":",Sync!$K1676)-1)),2)&amp;RIGHT("00"&amp;VALUE(MID(Sync!$K1676,FIND(":",Sync!$K1676)+1,2)),2),"0000")))&amp;"|"&amp;"2"&amp;RIGHT("00000"&amp;1671,5))</f>
        <v/>
      </c>
      <c r="Q1676">
        <f>IF(Sync!$J1676="","",IF(ISNUMBER(Sync!$J1676),IF(AND(Sync!$J1676&gt;=10000101,Sync!$J1676&lt;=99991231),INT(Sync!$J1676/10000)&amp;"/"&amp;RIGHT("00"&amp;INT(MOD(Sync!$J1676,10000)/100),2)&amp;"/"&amp;RIGHT("00"&amp;MOD(Sync!$J1676,100),2),"نامعتبر"),IF(LEN(Sync!$J1676)=10,Sync!$J1676,"نامعتبر")))</f>
        <v/>
      </c>
      <c r="R1676">
        <f>IF($P1676="","",COUNTIFS($N$6:$N$2005,$N1676,$P$6:$P$2005,"&lt;"&amp;$P1676)+COUNTIFS($A$6:$A$1005,$N1676,$B$6:$B$1005,"&lt;"&amp;$P1676)+1)</f>
        <v/>
      </c>
      <c r="S1676">
        <f>IF($N1676="","",$N1676&amp;"|"&amp;RIGHT("000000"&amp;$R1676,6))</f>
        <v/>
      </c>
      <c r="T1676">
        <f>IF($N1676="","",IF(Sync!$N1676="",0,Sync!$N1676))</f>
        <v/>
      </c>
      <c r="U1676">
        <f>IF($N1676="","",IF(Sync!$O1676="",0,Sync!$O1676))</f>
        <v/>
      </c>
      <c r="V1676">
        <f>IF($N1676="","",Sync!$L1676)</f>
        <v/>
      </c>
      <c r="W1676">
        <f>IF($N1676="","",Sync!$P1676)</f>
        <v/>
      </c>
    </row>
    <row r="1677">
      <c r="N1677">
        <f>IF(OR(Sync!$M1677="",$Q1677="",$Q1677="نامعتبر"),"",Sync!$M1677)</f>
        <v/>
      </c>
      <c r="O1677">
        <f>IF($N1677="","",$Q1677)</f>
        <v/>
      </c>
      <c r="P1677">
        <f>IF($N1677="","",LEFT($Q1677,4)&amp;MID($Q1677,6,2)&amp;RIGHT($Q1677,2)&amp;IF(Sync!$K1677="","0000",IF(AND(ISNUMBER(Sync!$K1677),Sync!$K1677&gt;=0,Sync!$K1677&lt;1),RIGHT("00"&amp;HOUR(Sync!$K1677),2)&amp;RIGHT("00"&amp;MINUTE(Sync!$K1677),2),IFERROR(RIGHT("00"&amp;VALUE(LEFT(Sync!$K1677,FIND(":",Sync!$K1677)-1)),2)&amp;RIGHT("00"&amp;VALUE(MID(Sync!$K1677,FIND(":",Sync!$K1677)+1,2)),2),"0000")))&amp;"|"&amp;"2"&amp;RIGHT("00000"&amp;1672,5))</f>
        <v/>
      </c>
      <c r="Q1677">
        <f>IF(Sync!$J1677="","",IF(ISNUMBER(Sync!$J1677),IF(AND(Sync!$J1677&gt;=10000101,Sync!$J1677&lt;=99991231),INT(Sync!$J1677/10000)&amp;"/"&amp;RIGHT("00"&amp;INT(MOD(Sync!$J1677,10000)/100),2)&amp;"/"&amp;RIGHT("00"&amp;MOD(Sync!$J1677,100),2),"نامعتبر"),IF(LEN(Sync!$J1677)=10,Sync!$J1677,"نامعتبر")))</f>
        <v/>
      </c>
      <c r="R1677">
        <f>IF($P1677="","",COUNTIFS($N$6:$N$2005,$N1677,$P$6:$P$2005,"&lt;"&amp;$P1677)+COUNTIFS($A$6:$A$1005,$N1677,$B$6:$B$1005,"&lt;"&amp;$P1677)+1)</f>
        <v/>
      </c>
      <c r="S1677">
        <f>IF($N1677="","",$N1677&amp;"|"&amp;RIGHT("000000"&amp;$R1677,6))</f>
        <v/>
      </c>
      <c r="T1677">
        <f>IF($N1677="","",IF(Sync!$N1677="",0,Sync!$N1677))</f>
        <v/>
      </c>
      <c r="U1677">
        <f>IF($N1677="","",IF(Sync!$O1677="",0,Sync!$O1677))</f>
        <v/>
      </c>
      <c r="V1677">
        <f>IF($N1677="","",Sync!$L1677)</f>
        <v/>
      </c>
      <c r="W1677">
        <f>IF($N1677="","",Sync!$P1677)</f>
        <v/>
      </c>
    </row>
    <row r="1678">
      <c r="N1678">
        <f>IF(OR(Sync!$M1678="",$Q1678="",$Q1678="نامعتبر"),"",Sync!$M1678)</f>
        <v/>
      </c>
      <c r="O1678">
        <f>IF($N1678="","",$Q1678)</f>
        <v/>
      </c>
      <c r="P1678">
        <f>IF($N1678="","",LEFT($Q1678,4)&amp;MID($Q1678,6,2)&amp;RIGHT($Q1678,2)&amp;IF(Sync!$K1678="","0000",IF(AND(ISNUMBER(Sync!$K1678),Sync!$K1678&gt;=0,Sync!$K1678&lt;1),RIGHT("00"&amp;HOUR(Sync!$K1678),2)&amp;RIGHT("00"&amp;MINUTE(Sync!$K1678),2),IFERROR(RIGHT("00"&amp;VALUE(LEFT(Sync!$K1678,FIND(":",Sync!$K1678)-1)),2)&amp;RIGHT("00"&amp;VALUE(MID(Sync!$K1678,FIND(":",Sync!$K1678)+1,2)),2),"0000")))&amp;"|"&amp;"2"&amp;RIGHT("00000"&amp;1673,5))</f>
        <v/>
      </c>
      <c r="Q1678">
        <f>IF(Sync!$J1678="","",IF(ISNUMBER(Sync!$J1678),IF(AND(Sync!$J1678&gt;=10000101,Sync!$J1678&lt;=99991231),INT(Sync!$J1678/10000)&amp;"/"&amp;RIGHT("00"&amp;INT(MOD(Sync!$J1678,10000)/100),2)&amp;"/"&amp;RIGHT("00"&amp;MOD(Sync!$J1678,100),2),"نامعتبر"),IF(LEN(Sync!$J1678)=10,Sync!$J1678,"نامعتبر")))</f>
        <v/>
      </c>
      <c r="R1678">
        <f>IF($P1678="","",COUNTIFS($N$6:$N$2005,$N1678,$P$6:$P$2005,"&lt;"&amp;$P1678)+COUNTIFS($A$6:$A$1005,$N1678,$B$6:$B$1005,"&lt;"&amp;$P1678)+1)</f>
        <v/>
      </c>
      <c r="S1678">
        <f>IF($N1678="","",$N1678&amp;"|"&amp;RIGHT("000000"&amp;$R1678,6))</f>
        <v/>
      </c>
      <c r="T1678">
        <f>IF($N1678="","",IF(Sync!$N1678="",0,Sync!$N1678))</f>
        <v/>
      </c>
      <c r="U1678">
        <f>IF($N1678="","",IF(Sync!$O1678="",0,Sync!$O1678))</f>
        <v/>
      </c>
      <c r="V1678">
        <f>IF($N1678="","",Sync!$L1678)</f>
        <v/>
      </c>
      <c r="W1678">
        <f>IF($N1678="","",Sync!$P1678)</f>
        <v/>
      </c>
    </row>
    <row r="1679">
      <c r="N1679">
        <f>IF(OR(Sync!$M1679="",$Q1679="",$Q1679="نامعتبر"),"",Sync!$M1679)</f>
        <v/>
      </c>
      <c r="O1679">
        <f>IF($N1679="","",$Q1679)</f>
        <v/>
      </c>
      <c r="P1679">
        <f>IF($N1679="","",LEFT($Q1679,4)&amp;MID($Q1679,6,2)&amp;RIGHT($Q1679,2)&amp;IF(Sync!$K1679="","0000",IF(AND(ISNUMBER(Sync!$K1679),Sync!$K1679&gt;=0,Sync!$K1679&lt;1),RIGHT("00"&amp;HOUR(Sync!$K1679),2)&amp;RIGHT("00"&amp;MINUTE(Sync!$K1679),2),IFERROR(RIGHT("00"&amp;VALUE(LEFT(Sync!$K1679,FIND(":",Sync!$K1679)-1)),2)&amp;RIGHT("00"&amp;VALUE(MID(Sync!$K1679,FIND(":",Sync!$K1679)+1,2)),2),"0000")))&amp;"|"&amp;"2"&amp;RIGHT("00000"&amp;1674,5))</f>
        <v/>
      </c>
      <c r="Q1679">
        <f>IF(Sync!$J1679="","",IF(ISNUMBER(Sync!$J1679),IF(AND(Sync!$J1679&gt;=10000101,Sync!$J1679&lt;=99991231),INT(Sync!$J1679/10000)&amp;"/"&amp;RIGHT("00"&amp;INT(MOD(Sync!$J1679,10000)/100),2)&amp;"/"&amp;RIGHT("00"&amp;MOD(Sync!$J1679,100),2),"نامعتبر"),IF(LEN(Sync!$J1679)=10,Sync!$J1679,"نامعتبر")))</f>
        <v/>
      </c>
      <c r="R1679">
        <f>IF($P1679="","",COUNTIFS($N$6:$N$2005,$N1679,$P$6:$P$2005,"&lt;"&amp;$P1679)+COUNTIFS($A$6:$A$1005,$N1679,$B$6:$B$1005,"&lt;"&amp;$P1679)+1)</f>
        <v/>
      </c>
      <c r="S1679">
        <f>IF($N1679="","",$N1679&amp;"|"&amp;RIGHT("000000"&amp;$R1679,6))</f>
        <v/>
      </c>
      <c r="T1679">
        <f>IF($N1679="","",IF(Sync!$N1679="",0,Sync!$N1679))</f>
        <v/>
      </c>
      <c r="U1679">
        <f>IF($N1679="","",IF(Sync!$O1679="",0,Sync!$O1679))</f>
        <v/>
      </c>
      <c r="V1679">
        <f>IF($N1679="","",Sync!$L1679)</f>
        <v/>
      </c>
      <c r="W1679">
        <f>IF($N1679="","",Sync!$P1679)</f>
        <v/>
      </c>
    </row>
    <row r="1680">
      <c r="N1680">
        <f>IF(OR(Sync!$M1680="",$Q1680="",$Q1680="نامعتبر"),"",Sync!$M1680)</f>
        <v/>
      </c>
      <c r="O1680">
        <f>IF($N1680="","",$Q1680)</f>
        <v/>
      </c>
      <c r="P1680">
        <f>IF($N1680="","",LEFT($Q1680,4)&amp;MID($Q1680,6,2)&amp;RIGHT($Q1680,2)&amp;IF(Sync!$K1680="","0000",IF(AND(ISNUMBER(Sync!$K1680),Sync!$K1680&gt;=0,Sync!$K1680&lt;1),RIGHT("00"&amp;HOUR(Sync!$K1680),2)&amp;RIGHT("00"&amp;MINUTE(Sync!$K1680),2),IFERROR(RIGHT("00"&amp;VALUE(LEFT(Sync!$K1680,FIND(":",Sync!$K1680)-1)),2)&amp;RIGHT("00"&amp;VALUE(MID(Sync!$K1680,FIND(":",Sync!$K1680)+1,2)),2),"0000")))&amp;"|"&amp;"2"&amp;RIGHT("00000"&amp;1675,5))</f>
        <v/>
      </c>
      <c r="Q1680">
        <f>IF(Sync!$J1680="","",IF(ISNUMBER(Sync!$J1680),IF(AND(Sync!$J1680&gt;=10000101,Sync!$J1680&lt;=99991231),INT(Sync!$J1680/10000)&amp;"/"&amp;RIGHT("00"&amp;INT(MOD(Sync!$J1680,10000)/100),2)&amp;"/"&amp;RIGHT("00"&amp;MOD(Sync!$J1680,100),2),"نامعتبر"),IF(LEN(Sync!$J1680)=10,Sync!$J1680,"نامعتبر")))</f>
        <v/>
      </c>
      <c r="R1680">
        <f>IF($P1680="","",COUNTIFS($N$6:$N$2005,$N1680,$P$6:$P$2005,"&lt;"&amp;$P1680)+COUNTIFS($A$6:$A$1005,$N1680,$B$6:$B$1005,"&lt;"&amp;$P1680)+1)</f>
        <v/>
      </c>
      <c r="S1680">
        <f>IF($N1680="","",$N1680&amp;"|"&amp;RIGHT("000000"&amp;$R1680,6))</f>
        <v/>
      </c>
      <c r="T1680">
        <f>IF($N1680="","",IF(Sync!$N1680="",0,Sync!$N1680))</f>
        <v/>
      </c>
      <c r="U1680">
        <f>IF($N1680="","",IF(Sync!$O1680="",0,Sync!$O1680))</f>
        <v/>
      </c>
      <c r="V1680">
        <f>IF($N1680="","",Sync!$L1680)</f>
        <v/>
      </c>
      <c r="W1680">
        <f>IF($N1680="","",Sync!$P1680)</f>
        <v/>
      </c>
    </row>
    <row r="1681">
      <c r="N1681">
        <f>IF(OR(Sync!$M1681="",$Q1681="",$Q1681="نامعتبر"),"",Sync!$M1681)</f>
        <v/>
      </c>
      <c r="O1681">
        <f>IF($N1681="","",$Q1681)</f>
        <v/>
      </c>
      <c r="P1681">
        <f>IF($N1681="","",LEFT($Q1681,4)&amp;MID($Q1681,6,2)&amp;RIGHT($Q1681,2)&amp;IF(Sync!$K1681="","0000",IF(AND(ISNUMBER(Sync!$K1681),Sync!$K1681&gt;=0,Sync!$K1681&lt;1),RIGHT("00"&amp;HOUR(Sync!$K1681),2)&amp;RIGHT("00"&amp;MINUTE(Sync!$K1681),2),IFERROR(RIGHT("00"&amp;VALUE(LEFT(Sync!$K1681,FIND(":",Sync!$K1681)-1)),2)&amp;RIGHT("00"&amp;VALUE(MID(Sync!$K1681,FIND(":",Sync!$K1681)+1,2)),2),"0000")))&amp;"|"&amp;"2"&amp;RIGHT("00000"&amp;1676,5))</f>
        <v/>
      </c>
      <c r="Q1681">
        <f>IF(Sync!$J1681="","",IF(ISNUMBER(Sync!$J1681),IF(AND(Sync!$J1681&gt;=10000101,Sync!$J1681&lt;=99991231),INT(Sync!$J1681/10000)&amp;"/"&amp;RIGHT("00"&amp;INT(MOD(Sync!$J1681,10000)/100),2)&amp;"/"&amp;RIGHT("00"&amp;MOD(Sync!$J1681,100),2),"نامعتبر"),IF(LEN(Sync!$J1681)=10,Sync!$J1681,"نامعتبر")))</f>
        <v/>
      </c>
      <c r="R1681">
        <f>IF($P1681="","",COUNTIFS($N$6:$N$2005,$N1681,$P$6:$P$2005,"&lt;"&amp;$P1681)+COUNTIFS($A$6:$A$1005,$N1681,$B$6:$B$1005,"&lt;"&amp;$P1681)+1)</f>
        <v/>
      </c>
      <c r="S1681">
        <f>IF($N1681="","",$N1681&amp;"|"&amp;RIGHT("000000"&amp;$R1681,6))</f>
        <v/>
      </c>
      <c r="T1681">
        <f>IF($N1681="","",IF(Sync!$N1681="",0,Sync!$N1681))</f>
        <v/>
      </c>
      <c r="U1681">
        <f>IF($N1681="","",IF(Sync!$O1681="",0,Sync!$O1681))</f>
        <v/>
      </c>
      <c r="V1681">
        <f>IF($N1681="","",Sync!$L1681)</f>
        <v/>
      </c>
      <c r="W1681">
        <f>IF($N1681="","",Sync!$P1681)</f>
        <v/>
      </c>
    </row>
    <row r="1682">
      <c r="N1682">
        <f>IF(OR(Sync!$M1682="",$Q1682="",$Q1682="نامعتبر"),"",Sync!$M1682)</f>
        <v/>
      </c>
      <c r="O1682">
        <f>IF($N1682="","",$Q1682)</f>
        <v/>
      </c>
      <c r="P1682">
        <f>IF($N1682="","",LEFT($Q1682,4)&amp;MID($Q1682,6,2)&amp;RIGHT($Q1682,2)&amp;IF(Sync!$K1682="","0000",IF(AND(ISNUMBER(Sync!$K1682),Sync!$K1682&gt;=0,Sync!$K1682&lt;1),RIGHT("00"&amp;HOUR(Sync!$K1682),2)&amp;RIGHT("00"&amp;MINUTE(Sync!$K1682),2),IFERROR(RIGHT("00"&amp;VALUE(LEFT(Sync!$K1682,FIND(":",Sync!$K1682)-1)),2)&amp;RIGHT("00"&amp;VALUE(MID(Sync!$K1682,FIND(":",Sync!$K1682)+1,2)),2),"0000")))&amp;"|"&amp;"2"&amp;RIGHT("00000"&amp;1677,5))</f>
        <v/>
      </c>
      <c r="Q1682">
        <f>IF(Sync!$J1682="","",IF(ISNUMBER(Sync!$J1682),IF(AND(Sync!$J1682&gt;=10000101,Sync!$J1682&lt;=99991231),INT(Sync!$J1682/10000)&amp;"/"&amp;RIGHT("00"&amp;INT(MOD(Sync!$J1682,10000)/100),2)&amp;"/"&amp;RIGHT("00"&amp;MOD(Sync!$J1682,100),2),"نامعتبر"),IF(LEN(Sync!$J1682)=10,Sync!$J1682,"نامعتبر")))</f>
        <v/>
      </c>
      <c r="R1682">
        <f>IF($P1682="","",COUNTIFS($N$6:$N$2005,$N1682,$P$6:$P$2005,"&lt;"&amp;$P1682)+COUNTIFS($A$6:$A$1005,$N1682,$B$6:$B$1005,"&lt;"&amp;$P1682)+1)</f>
        <v/>
      </c>
      <c r="S1682">
        <f>IF($N1682="","",$N1682&amp;"|"&amp;RIGHT("000000"&amp;$R1682,6))</f>
        <v/>
      </c>
      <c r="T1682">
        <f>IF($N1682="","",IF(Sync!$N1682="",0,Sync!$N1682))</f>
        <v/>
      </c>
      <c r="U1682">
        <f>IF($N1682="","",IF(Sync!$O1682="",0,Sync!$O1682))</f>
        <v/>
      </c>
      <c r="V1682">
        <f>IF($N1682="","",Sync!$L1682)</f>
        <v/>
      </c>
      <c r="W1682">
        <f>IF($N1682="","",Sync!$P1682)</f>
        <v/>
      </c>
    </row>
    <row r="1683">
      <c r="N1683">
        <f>IF(OR(Sync!$M1683="",$Q1683="",$Q1683="نامعتبر"),"",Sync!$M1683)</f>
        <v/>
      </c>
      <c r="O1683">
        <f>IF($N1683="","",$Q1683)</f>
        <v/>
      </c>
      <c r="P1683">
        <f>IF($N1683="","",LEFT($Q1683,4)&amp;MID($Q1683,6,2)&amp;RIGHT($Q1683,2)&amp;IF(Sync!$K1683="","0000",IF(AND(ISNUMBER(Sync!$K1683),Sync!$K1683&gt;=0,Sync!$K1683&lt;1),RIGHT("00"&amp;HOUR(Sync!$K1683),2)&amp;RIGHT("00"&amp;MINUTE(Sync!$K1683),2),IFERROR(RIGHT("00"&amp;VALUE(LEFT(Sync!$K1683,FIND(":",Sync!$K1683)-1)),2)&amp;RIGHT("00"&amp;VALUE(MID(Sync!$K1683,FIND(":",Sync!$K1683)+1,2)),2),"0000")))&amp;"|"&amp;"2"&amp;RIGHT("00000"&amp;1678,5))</f>
        <v/>
      </c>
      <c r="Q1683">
        <f>IF(Sync!$J1683="","",IF(ISNUMBER(Sync!$J1683),IF(AND(Sync!$J1683&gt;=10000101,Sync!$J1683&lt;=99991231),INT(Sync!$J1683/10000)&amp;"/"&amp;RIGHT("00"&amp;INT(MOD(Sync!$J1683,10000)/100),2)&amp;"/"&amp;RIGHT("00"&amp;MOD(Sync!$J1683,100),2),"نامعتبر"),IF(LEN(Sync!$J1683)=10,Sync!$J1683,"نامعتبر")))</f>
        <v/>
      </c>
      <c r="R1683">
        <f>IF($P1683="","",COUNTIFS($N$6:$N$2005,$N1683,$P$6:$P$2005,"&lt;"&amp;$P1683)+COUNTIFS($A$6:$A$1005,$N1683,$B$6:$B$1005,"&lt;"&amp;$P1683)+1)</f>
        <v/>
      </c>
      <c r="S1683">
        <f>IF($N1683="","",$N1683&amp;"|"&amp;RIGHT("000000"&amp;$R1683,6))</f>
        <v/>
      </c>
      <c r="T1683">
        <f>IF($N1683="","",IF(Sync!$N1683="",0,Sync!$N1683))</f>
        <v/>
      </c>
      <c r="U1683">
        <f>IF($N1683="","",IF(Sync!$O1683="",0,Sync!$O1683))</f>
        <v/>
      </c>
      <c r="V1683">
        <f>IF($N1683="","",Sync!$L1683)</f>
        <v/>
      </c>
      <c r="W1683">
        <f>IF($N1683="","",Sync!$P1683)</f>
        <v/>
      </c>
    </row>
    <row r="1684">
      <c r="N1684">
        <f>IF(OR(Sync!$M1684="",$Q1684="",$Q1684="نامعتبر"),"",Sync!$M1684)</f>
        <v/>
      </c>
      <c r="O1684">
        <f>IF($N1684="","",$Q1684)</f>
        <v/>
      </c>
      <c r="P1684">
        <f>IF($N1684="","",LEFT($Q1684,4)&amp;MID($Q1684,6,2)&amp;RIGHT($Q1684,2)&amp;IF(Sync!$K1684="","0000",IF(AND(ISNUMBER(Sync!$K1684),Sync!$K1684&gt;=0,Sync!$K1684&lt;1),RIGHT("00"&amp;HOUR(Sync!$K1684),2)&amp;RIGHT("00"&amp;MINUTE(Sync!$K1684),2),IFERROR(RIGHT("00"&amp;VALUE(LEFT(Sync!$K1684,FIND(":",Sync!$K1684)-1)),2)&amp;RIGHT("00"&amp;VALUE(MID(Sync!$K1684,FIND(":",Sync!$K1684)+1,2)),2),"0000")))&amp;"|"&amp;"2"&amp;RIGHT("00000"&amp;1679,5))</f>
        <v/>
      </c>
      <c r="Q1684">
        <f>IF(Sync!$J1684="","",IF(ISNUMBER(Sync!$J1684),IF(AND(Sync!$J1684&gt;=10000101,Sync!$J1684&lt;=99991231),INT(Sync!$J1684/10000)&amp;"/"&amp;RIGHT("00"&amp;INT(MOD(Sync!$J1684,10000)/100),2)&amp;"/"&amp;RIGHT("00"&amp;MOD(Sync!$J1684,100),2),"نامعتبر"),IF(LEN(Sync!$J1684)=10,Sync!$J1684,"نامعتبر")))</f>
        <v/>
      </c>
      <c r="R1684">
        <f>IF($P1684="","",COUNTIFS($N$6:$N$2005,$N1684,$P$6:$P$2005,"&lt;"&amp;$P1684)+COUNTIFS($A$6:$A$1005,$N1684,$B$6:$B$1005,"&lt;"&amp;$P1684)+1)</f>
        <v/>
      </c>
      <c r="S1684">
        <f>IF($N1684="","",$N1684&amp;"|"&amp;RIGHT("000000"&amp;$R1684,6))</f>
        <v/>
      </c>
      <c r="T1684">
        <f>IF($N1684="","",IF(Sync!$N1684="",0,Sync!$N1684))</f>
        <v/>
      </c>
      <c r="U1684">
        <f>IF($N1684="","",IF(Sync!$O1684="",0,Sync!$O1684))</f>
        <v/>
      </c>
      <c r="V1684">
        <f>IF($N1684="","",Sync!$L1684)</f>
        <v/>
      </c>
      <c r="W1684">
        <f>IF($N1684="","",Sync!$P1684)</f>
        <v/>
      </c>
    </row>
    <row r="1685">
      <c r="N1685">
        <f>IF(OR(Sync!$M1685="",$Q1685="",$Q1685="نامعتبر"),"",Sync!$M1685)</f>
        <v/>
      </c>
      <c r="O1685">
        <f>IF($N1685="","",$Q1685)</f>
        <v/>
      </c>
      <c r="P1685">
        <f>IF($N1685="","",LEFT($Q1685,4)&amp;MID($Q1685,6,2)&amp;RIGHT($Q1685,2)&amp;IF(Sync!$K1685="","0000",IF(AND(ISNUMBER(Sync!$K1685),Sync!$K1685&gt;=0,Sync!$K1685&lt;1),RIGHT("00"&amp;HOUR(Sync!$K1685),2)&amp;RIGHT("00"&amp;MINUTE(Sync!$K1685),2),IFERROR(RIGHT("00"&amp;VALUE(LEFT(Sync!$K1685,FIND(":",Sync!$K1685)-1)),2)&amp;RIGHT("00"&amp;VALUE(MID(Sync!$K1685,FIND(":",Sync!$K1685)+1,2)),2),"0000")))&amp;"|"&amp;"2"&amp;RIGHT("00000"&amp;1680,5))</f>
        <v/>
      </c>
      <c r="Q1685">
        <f>IF(Sync!$J1685="","",IF(ISNUMBER(Sync!$J1685),IF(AND(Sync!$J1685&gt;=10000101,Sync!$J1685&lt;=99991231),INT(Sync!$J1685/10000)&amp;"/"&amp;RIGHT("00"&amp;INT(MOD(Sync!$J1685,10000)/100),2)&amp;"/"&amp;RIGHT("00"&amp;MOD(Sync!$J1685,100),2),"نامعتبر"),IF(LEN(Sync!$J1685)=10,Sync!$J1685,"نامعتبر")))</f>
        <v/>
      </c>
      <c r="R1685">
        <f>IF($P1685="","",COUNTIFS($N$6:$N$2005,$N1685,$P$6:$P$2005,"&lt;"&amp;$P1685)+COUNTIFS($A$6:$A$1005,$N1685,$B$6:$B$1005,"&lt;"&amp;$P1685)+1)</f>
        <v/>
      </c>
      <c r="S1685">
        <f>IF($N1685="","",$N1685&amp;"|"&amp;RIGHT("000000"&amp;$R1685,6))</f>
        <v/>
      </c>
      <c r="T1685">
        <f>IF($N1685="","",IF(Sync!$N1685="",0,Sync!$N1685))</f>
        <v/>
      </c>
      <c r="U1685">
        <f>IF($N1685="","",IF(Sync!$O1685="",0,Sync!$O1685))</f>
        <v/>
      </c>
      <c r="V1685">
        <f>IF($N1685="","",Sync!$L1685)</f>
        <v/>
      </c>
      <c r="W1685">
        <f>IF($N1685="","",Sync!$P1685)</f>
        <v/>
      </c>
    </row>
    <row r="1686">
      <c r="N1686">
        <f>IF(OR(Sync!$M1686="",$Q1686="",$Q1686="نامعتبر"),"",Sync!$M1686)</f>
        <v/>
      </c>
      <c r="O1686">
        <f>IF($N1686="","",$Q1686)</f>
        <v/>
      </c>
      <c r="P1686">
        <f>IF($N1686="","",LEFT($Q1686,4)&amp;MID($Q1686,6,2)&amp;RIGHT($Q1686,2)&amp;IF(Sync!$K1686="","0000",IF(AND(ISNUMBER(Sync!$K1686),Sync!$K1686&gt;=0,Sync!$K1686&lt;1),RIGHT("00"&amp;HOUR(Sync!$K1686),2)&amp;RIGHT("00"&amp;MINUTE(Sync!$K1686),2),IFERROR(RIGHT("00"&amp;VALUE(LEFT(Sync!$K1686,FIND(":",Sync!$K1686)-1)),2)&amp;RIGHT("00"&amp;VALUE(MID(Sync!$K1686,FIND(":",Sync!$K1686)+1,2)),2),"0000")))&amp;"|"&amp;"2"&amp;RIGHT("00000"&amp;1681,5))</f>
        <v/>
      </c>
      <c r="Q1686">
        <f>IF(Sync!$J1686="","",IF(ISNUMBER(Sync!$J1686),IF(AND(Sync!$J1686&gt;=10000101,Sync!$J1686&lt;=99991231),INT(Sync!$J1686/10000)&amp;"/"&amp;RIGHT("00"&amp;INT(MOD(Sync!$J1686,10000)/100),2)&amp;"/"&amp;RIGHT("00"&amp;MOD(Sync!$J1686,100),2),"نامعتبر"),IF(LEN(Sync!$J1686)=10,Sync!$J1686,"نامعتبر")))</f>
        <v/>
      </c>
      <c r="R1686">
        <f>IF($P1686="","",COUNTIFS($N$6:$N$2005,$N1686,$P$6:$P$2005,"&lt;"&amp;$P1686)+COUNTIFS($A$6:$A$1005,$N1686,$B$6:$B$1005,"&lt;"&amp;$P1686)+1)</f>
        <v/>
      </c>
      <c r="S1686">
        <f>IF($N1686="","",$N1686&amp;"|"&amp;RIGHT("000000"&amp;$R1686,6))</f>
        <v/>
      </c>
      <c r="T1686">
        <f>IF($N1686="","",IF(Sync!$N1686="",0,Sync!$N1686))</f>
        <v/>
      </c>
      <c r="U1686">
        <f>IF($N1686="","",IF(Sync!$O1686="",0,Sync!$O1686))</f>
        <v/>
      </c>
      <c r="V1686">
        <f>IF($N1686="","",Sync!$L1686)</f>
        <v/>
      </c>
      <c r="W1686">
        <f>IF($N1686="","",Sync!$P1686)</f>
        <v/>
      </c>
    </row>
    <row r="1687">
      <c r="N1687">
        <f>IF(OR(Sync!$M1687="",$Q1687="",$Q1687="نامعتبر"),"",Sync!$M1687)</f>
        <v/>
      </c>
      <c r="O1687">
        <f>IF($N1687="","",$Q1687)</f>
        <v/>
      </c>
      <c r="P1687">
        <f>IF($N1687="","",LEFT($Q1687,4)&amp;MID($Q1687,6,2)&amp;RIGHT($Q1687,2)&amp;IF(Sync!$K1687="","0000",IF(AND(ISNUMBER(Sync!$K1687),Sync!$K1687&gt;=0,Sync!$K1687&lt;1),RIGHT("00"&amp;HOUR(Sync!$K1687),2)&amp;RIGHT("00"&amp;MINUTE(Sync!$K1687),2),IFERROR(RIGHT("00"&amp;VALUE(LEFT(Sync!$K1687,FIND(":",Sync!$K1687)-1)),2)&amp;RIGHT("00"&amp;VALUE(MID(Sync!$K1687,FIND(":",Sync!$K1687)+1,2)),2),"0000")))&amp;"|"&amp;"2"&amp;RIGHT("00000"&amp;1682,5))</f>
        <v/>
      </c>
      <c r="Q1687">
        <f>IF(Sync!$J1687="","",IF(ISNUMBER(Sync!$J1687),IF(AND(Sync!$J1687&gt;=10000101,Sync!$J1687&lt;=99991231),INT(Sync!$J1687/10000)&amp;"/"&amp;RIGHT("00"&amp;INT(MOD(Sync!$J1687,10000)/100),2)&amp;"/"&amp;RIGHT("00"&amp;MOD(Sync!$J1687,100),2),"نامعتبر"),IF(LEN(Sync!$J1687)=10,Sync!$J1687,"نامعتبر")))</f>
        <v/>
      </c>
      <c r="R1687">
        <f>IF($P1687="","",COUNTIFS($N$6:$N$2005,$N1687,$P$6:$P$2005,"&lt;"&amp;$P1687)+COUNTIFS($A$6:$A$1005,$N1687,$B$6:$B$1005,"&lt;"&amp;$P1687)+1)</f>
        <v/>
      </c>
      <c r="S1687">
        <f>IF($N1687="","",$N1687&amp;"|"&amp;RIGHT("000000"&amp;$R1687,6))</f>
        <v/>
      </c>
      <c r="T1687">
        <f>IF($N1687="","",IF(Sync!$N1687="",0,Sync!$N1687))</f>
        <v/>
      </c>
      <c r="U1687">
        <f>IF($N1687="","",IF(Sync!$O1687="",0,Sync!$O1687))</f>
        <v/>
      </c>
      <c r="V1687">
        <f>IF($N1687="","",Sync!$L1687)</f>
        <v/>
      </c>
      <c r="W1687">
        <f>IF($N1687="","",Sync!$P1687)</f>
        <v/>
      </c>
    </row>
    <row r="1688">
      <c r="N1688">
        <f>IF(OR(Sync!$M1688="",$Q1688="",$Q1688="نامعتبر"),"",Sync!$M1688)</f>
        <v/>
      </c>
      <c r="O1688">
        <f>IF($N1688="","",$Q1688)</f>
        <v/>
      </c>
      <c r="P1688">
        <f>IF($N1688="","",LEFT($Q1688,4)&amp;MID($Q1688,6,2)&amp;RIGHT($Q1688,2)&amp;IF(Sync!$K1688="","0000",IF(AND(ISNUMBER(Sync!$K1688),Sync!$K1688&gt;=0,Sync!$K1688&lt;1),RIGHT("00"&amp;HOUR(Sync!$K1688),2)&amp;RIGHT("00"&amp;MINUTE(Sync!$K1688),2),IFERROR(RIGHT("00"&amp;VALUE(LEFT(Sync!$K1688,FIND(":",Sync!$K1688)-1)),2)&amp;RIGHT("00"&amp;VALUE(MID(Sync!$K1688,FIND(":",Sync!$K1688)+1,2)),2),"0000")))&amp;"|"&amp;"2"&amp;RIGHT("00000"&amp;1683,5))</f>
        <v/>
      </c>
      <c r="Q1688">
        <f>IF(Sync!$J1688="","",IF(ISNUMBER(Sync!$J1688),IF(AND(Sync!$J1688&gt;=10000101,Sync!$J1688&lt;=99991231),INT(Sync!$J1688/10000)&amp;"/"&amp;RIGHT("00"&amp;INT(MOD(Sync!$J1688,10000)/100),2)&amp;"/"&amp;RIGHT("00"&amp;MOD(Sync!$J1688,100),2),"نامعتبر"),IF(LEN(Sync!$J1688)=10,Sync!$J1688,"نامعتبر")))</f>
        <v/>
      </c>
      <c r="R1688">
        <f>IF($P1688="","",COUNTIFS($N$6:$N$2005,$N1688,$P$6:$P$2005,"&lt;"&amp;$P1688)+COUNTIFS($A$6:$A$1005,$N1688,$B$6:$B$1005,"&lt;"&amp;$P1688)+1)</f>
        <v/>
      </c>
      <c r="S1688">
        <f>IF($N1688="","",$N1688&amp;"|"&amp;RIGHT("000000"&amp;$R1688,6))</f>
        <v/>
      </c>
      <c r="T1688">
        <f>IF($N1688="","",IF(Sync!$N1688="",0,Sync!$N1688))</f>
        <v/>
      </c>
      <c r="U1688">
        <f>IF($N1688="","",IF(Sync!$O1688="",0,Sync!$O1688))</f>
        <v/>
      </c>
      <c r="V1688">
        <f>IF($N1688="","",Sync!$L1688)</f>
        <v/>
      </c>
      <c r="W1688">
        <f>IF($N1688="","",Sync!$P1688)</f>
        <v/>
      </c>
    </row>
    <row r="1689">
      <c r="N1689">
        <f>IF(OR(Sync!$M1689="",$Q1689="",$Q1689="نامعتبر"),"",Sync!$M1689)</f>
        <v/>
      </c>
      <c r="O1689">
        <f>IF($N1689="","",$Q1689)</f>
        <v/>
      </c>
      <c r="P1689">
        <f>IF($N1689="","",LEFT($Q1689,4)&amp;MID($Q1689,6,2)&amp;RIGHT($Q1689,2)&amp;IF(Sync!$K1689="","0000",IF(AND(ISNUMBER(Sync!$K1689),Sync!$K1689&gt;=0,Sync!$K1689&lt;1),RIGHT("00"&amp;HOUR(Sync!$K1689),2)&amp;RIGHT("00"&amp;MINUTE(Sync!$K1689),2),IFERROR(RIGHT("00"&amp;VALUE(LEFT(Sync!$K1689,FIND(":",Sync!$K1689)-1)),2)&amp;RIGHT("00"&amp;VALUE(MID(Sync!$K1689,FIND(":",Sync!$K1689)+1,2)),2),"0000")))&amp;"|"&amp;"2"&amp;RIGHT("00000"&amp;1684,5))</f>
        <v/>
      </c>
      <c r="Q1689">
        <f>IF(Sync!$J1689="","",IF(ISNUMBER(Sync!$J1689),IF(AND(Sync!$J1689&gt;=10000101,Sync!$J1689&lt;=99991231),INT(Sync!$J1689/10000)&amp;"/"&amp;RIGHT("00"&amp;INT(MOD(Sync!$J1689,10000)/100),2)&amp;"/"&amp;RIGHT("00"&amp;MOD(Sync!$J1689,100),2),"نامعتبر"),IF(LEN(Sync!$J1689)=10,Sync!$J1689,"نامعتبر")))</f>
        <v/>
      </c>
      <c r="R1689">
        <f>IF($P1689="","",COUNTIFS($N$6:$N$2005,$N1689,$P$6:$P$2005,"&lt;"&amp;$P1689)+COUNTIFS($A$6:$A$1005,$N1689,$B$6:$B$1005,"&lt;"&amp;$P1689)+1)</f>
        <v/>
      </c>
      <c r="S1689">
        <f>IF($N1689="","",$N1689&amp;"|"&amp;RIGHT("000000"&amp;$R1689,6))</f>
        <v/>
      </c>
      <c r="T1689">
        <f>IF($N1689="","",IF(Sync!$N1689="",0,Sync!$N1689))</f>
        <v/>
      </c>
      <c r="U1689">
        <f>IF($N1689="","",IF(Sync!$O1689="",0,Sync!$O1689))</f>
        <v/>
      </c>
      <c r="V1689">
        <f>IF($N1689="","",Sync!$L1689)</f>
        <v/>
      </c>
      <c r="W1689">
        <f>IF($N1689="","",Sync!$P1689)</f>
        <v/>
      </c>
    </row>
    <row r="1690">
      <c r="N1690">
        <f>IF(OR(Sync!$M1690="",$Q1690="",$Q1690="نامعتبر"),"",Sync!$M1690)</f>
        <v/>
      </c>
      <c r="O1690">
        <f>IF($N1690="","",$Q1690)</f>
        <v/>
      </c>
      <c r="P1690">
        <f>IF($N1690="","",LEFT($Q1690,4)&amp;MID($Q1690,6,2)&amp;RIGHT($Q1690,2)&amp;IF(Sync!$K1690="","0000",IF(AND(ISNUMBER(Sync!$K1690),Sync!$K1690&gt;=0,Sync!$K1690&lt;1),RIGHT("00"&amp;HOUR(Sync!$K1690),2)&amp;RIGHT("00"&amp;MINUTE(Sync!$K1690),2),IFERROR(RIGHT("00"&amp;VALUE(LEFT(Sync!$K1690,FIND(":",Sync!$K1690)-1)),2)&amp;RIGHT("00"&amp;VALUE(MID(Sync!$K1690,FIND(":",Sync!$K1690)+1,2)),2),"0000")))&amp;"|"&amp;"2"&amp;RIGHT("00000"&amp;1685,5))</f>
        <v/>
      </c>
      <c r="Q1690">
        <f>IF(Sync!$J1690="","",IF(ISNUMBER(Sync!$J1690),IF(AND(Sync!$J1690&gt;=10000101,Sync!$J1690&lt;=99991231),INT(Sync!$J1690/10000)&amp;"/"&amp;RIGHT("00"&amp;INT(MOD(Sync!$J1690,10000)/100),2)&amp;"/"&amp;RIGHT("00"&amp;MOD(Sync!$J1690,100),2),"نامعتبر"),IF(LEN(Sync!$J1690)=10,Sync!$J1690,"نامعتبر")))</f>
        <v/>
      </c>
      <c r="R1690">
        <f>IF($P1690="","",COUNTIFS($N$6:$N$2005,$N1690,$P$6:$P$2005,"&lt;"&amp;$P1690)+COUNTIFS($A$6:$A$1005,$N1690,$B$6:$B$1005,"&lt;"&amp;$P1690)+1)</f>
        <v/>
      </c>
      <c r="S1690">
        <f>IF($N1690="","",$N1690&amp;"|"&amp;RIGHT("000000"&amp;$R1690,6))</f>
        <v/>
      </c>
      <c r="T1690">
        <f>IF($N1690="","",IF(Sync!$N1690="",0,Sync!$N1690))</f>
        <v/>
      </c>
      <c r="U1690">
        <f>IF($N1690="","",IF(Sync!$O1690="",0,Sync!$O1690))</f>
        <v/>
      </c>
      <c r="V1690">
        <f>IF($N1690="","",Sync!$L1690)</f>
        <v/>
      </c>
      <c r="W1690">
        <f>IF($N1690="","",Sync!$P1690)</f>
        <v/>
      </c>
    </row>
    <row r="1691">
      <c r="N1691">
        <f>IF(OR(Sync!$M1691="",$Q1691="",$Q1691="نامعتبر"),"",Sync!$M1691)</f>
        <v/>
      </c>
      <c r="O1691">
        <f>IF($N1691="","",$Q1691)</f>
        <v/>
      </c>
      <c r="P1691">
        <f>IF($N1691="","",LEFT($Q1691,4)&amp;MID($Q1691,6,2)&amp;RIGHT($Q1691,2)&amp;IF(Sync!$K1691="","0000",IF(AND(ISNUMBER(Sync!$K1691),Sync!$K1691&gt;=0,Sync!$K1691&lt;1),RIGHT("00"&amp;HOUR(Sync!$K1691),2)&amp;RIGHT("00"&amp;MINUTE(Sync!$K1691),2),IFERROR(RIGHT("00"&amp;VALUE(LEFT(Sync!$K1691,FIND(":",Sync!$K1691)-1)),2)&amp;RIGHT("00"&amp;VALUE(MID(Sync!$K1691,FIND(":",Sync!$K1691)+1,2)),2),"0000")))&amp;"|"&amp;"2"&amp;RIGHT("00000"&amp;1686,5))</f>
        <v/>
      </c>
      <c r="Q1691">
        <f>IF(Sync!$J1691="","",IF(ISNUMBER(Sync!$J1691),IF(AND(Sync!$J1691&gt;=10000101,Sync!$J1691&lt;=99991231),INT(Sync!$J1691/10000)&amp;"/"&amp;RIGHT("00"&amp;INT(MOD(Sync!$J1691,10000)/100),2)&amp;"/"&amp;RIGHT("00"&amp;MOD(Sync!$J1691,100),2),"نامعتبر"),IF(LEN(Sync!$J1691)=10,Sync!$J1691,"نامعتبر")))</f>
        <v/>
      </c>
      <c r="R1691">
        <f>IF($P1691="","",COUNTIFS($N$6:$N$2005,$N1691,$P$6:$P$2005,"&lt;"&amp;$P1691)+COUNTIFS($A$6:$A$1005,$N1691,$B$6:$B$1005,"&lt;"&amp;$P1691)+1)</f>
        <v/>
      </c>
      <c r="S1691">
        <f>IF($N1691="","",$N1691&amp;"|"&amp;RIGHT("000000"&amp;$R1691,6))</f>
        <v/>
      </c>
      <c r="T1691">
        <f>IF($N1691="","",IF(Sync!$N1691="",0,Sync!$N1691))</f>
        <v/>
      </c>
      <c r="U1691">
        <f>IF($N1691="","",IF(Sync!$O1691="",0,Sync!$O1691))</f>
        <v/>
      </c>
      <c r="V1691">
        <f>IF($N1691="","",Sync!$L1691)</f>
        <v/>
      </c>
      <c r="W1691">
        <f>IF($N1691="","",Sync!$P1691)</f>
        <v/>
      </c>
    </row>
    <row r="1692">
      <c r="N1692">
        <f>IF(OR(Sync!$M1692="",$Q1692="",$Q1692="نامعتبر"),"",Sync!$M1692)</f>
        <v/>
      </c>
      <c r="O1692">
        <f>IF($N1692="","",$Q1692)</f>
        <v/>
      </c>
      <c r="P1692">
        <f>IF($N1692="","",LEFT($Q1692,4)&amp;MID($Q1692,6,2)&amp;RIGHT($Q1692,2)&amp;IF(Sync!$K1692="","0000",IF(AND(ISNUMBER(Sync!$K1692),Sync!$K1692&gt;=0,Sync!$K1692&lt;1),RIGHT("00"&amp;HOUR(Sync!$K1692),2)&amp;RIGHT("00"&amp;MINUTE(Sync!$K1692),2),IFERROR(RIGHT("00"&amp;VALUE(LEFT(Sync!$K1692,FIND(":",Sync!$K1692)-1)),2)&amp;RIGHT("00"&amp;VALUE(MID(Sync!$K1692,FIND(":",Sync!$K1692)+1,2)),2),"0000")))&amp;"|"&amp;"2"&amp;RIGHT("00000"&amp;1687,5))</f>
        <v/>
      </c>
      <c r="Q1692">
        <f>IF(Sync!$J1692="","",IF(ISNUMBER(Sync!$J1692),IF(AND(Sync!$J1692&gt;=10000101,Sync!$J1692&lt;=99991231),INT(Sync!$J1692/10000)&amp;"/"&amp;RIGHT("00"&amp;INT(MOD(Sync!$J1692,10000)/100),2)&amp;"/"&amp;RIGHT("00"&amp;MOD(Sync!$J1692,100),2),"نامعتبر"),IF(LEN(Sync!$J1692)=10,Sync!$J1692,"نامعتبر")))</f>
        <v/>
      </c>
      <c r="R1692">
        <f>IF($P1692="","",COUNTIFS($N$6:$N$2005,$N1692,$P$6:$P$2005,"&lt;"&amp;$P1692)+COUNTIFS($A$6:$A$1005,$N1692,$B$6:$B$1005,"&lt;"&amp;$P1692)+1)</f>
        <v/>
      </c>
      <c r="S1692">
        <f>IF($N1692="","",$N1692&amp;"|"&amp;RIGHT("000000"&amp;$R1692,6))</f>
        <v/>
      </c>
      <c r="T1692">
        <f>IF($N1692="","",IF(Sync!$N1692="",0,Sync!$N1692))</f>
        <v/>
      </c>
      <c r="U1692">
        <f>IF($N1692="","",IF(Sync!$O1692="",0,Sync!$O1692))</f>
        <v/>
      </c>
      <c r="V1692">
        <f>IF($N1692="","",Sync!$L1692)</f>
        <v/>
      </c>
      <c r="W1692">
        <f>IF($N1692="","",Sync!$P1692)</f>
        <v/>
      </c>
    </row>
    <row r="1693">
      <c r="N1693">
        <f>IF(OR(Sync!$M1693="",$Q1693="",$Q1693="نامعتبر"),"",Sync!$M1693)</f>
        <v/>
      </c>
      <c r="O1693">
        <f>IF($N1693="","",$Q1693)</f>
        <v/>
      </c>
      <c r="P1693">
        <f>IF($N1693="","",LEFT($Q1693,4)&amp;MID($Q1693,6,2)&amp;RIGHT($Q1693,2)&amp;IF(Sync!$K1693="","0000",IF(AND(ISNUMBER(Sync!$K1693),Sync!$K1693&gt;=0,Sync!$K1693&lt;1),RIGHT("00"&amp;HOUR(Sync!$K1693),2)&amp;RIGHT("00"&amp;MINUTE(Sync!$K1693),2),IFERROR(RIGHT("00"&amp;VALUE(LEFT(Sync!$K1693,FIND(":",Sync!$K1693)-1)),2)&amp;RIGHT("00"&amp;VALUE(MID(Sync!$K1693,FIND(":",Sync!$K1693)+1,2)),2),"0000")))&amp;"|"&amp;"2"&amp;RIGHT("00000"&amp;1688,5))</f>
        <v/>
      </c>
      <c r="Q1693">
        <f>IF(Sync!$J1693="","",IF(ISNUMBER(Sync!$J1693),IF(AND(Sync!$J1693&gt;=10000101,Sync!$J1693&lt;=99991231),INT(Sync!$J1693/10000)&amp;"/"&amp;RIGHT("00"&amp;INT(MOD(Sync!$J1693,10000)/100),2)&amp;"/"&amp;RIGHT("00"&amp;MOD(Sync!$J1693,100),2),"نامعتبر"),IF(LEN(Sync!$J1693)=10,Sync!$J1693,"نامعتبر")))</f>
        <v/>
      </c>
      <c r="R1693">
        <f>IF($P1693="","",COUNTIFS($N$6:$N$2005,$N1693,$P$6:$P$2005,"&lt;"&amp;$P1693)+COUNTIFS($A$6:$A$1005,$N1693,$B$6:$B$1005,"&lt;"&amp;$P1693)+1)</f>
        <v/>
      </c>
      <c r="S1693">
        <f>IF($N1693="","",$N1693&amp;"|"&amp;RIGHT("000000"&amp;$R1693,6))</f>
        <v/>
      </c>
      <c r="T1693">
        <f>IF($N1693="","",IF(Sync!$N1693="",0,Sync!$N1693))</f>
        <v/>
      </c>
      <c r="U1693">
        <f>IF($N1693="","",IF(Sync!$O1693="",0,Sync!$O1693))</f>
        <v/>
      </c>
      <c r="V1693">
        <f>IF($N1693="","",Sync!$L1693)</f>
        <v/>
      </c>
      <c r="W1693">
        <f>IF($N1693="","",Sync!$P1693)</f>
        <v/>
      </c>
    </row>
    <row r="1694">
      <c r="N1694">
        <f>IF(OR(Sync!$M1694="",$Q1694="",$Q1694="نامعتبر"),"",Sync!$M1694)</f>
        <v/>
      </c>
      <c r="O1694">
        <f>IF($N1694="","",$Q1694)</f>
        <v/>
      </c>
      <c r="P1694">
        <f>IF($N1694="","",LEFT($Q1694,4)&amp;MID($Q1694,6,2)&amp;RIGHT($Q1694,2)&amp;IF(Sync!$K1694="","0000",IF(AND(ISNUMBER(Sync!$K1694),Sync!$K1694&gt;=0,Sync!$K1694&lt;1),RIGHT("00"&amp;HOUR(Sync!$K1694),2)&amp;RIGHT("00"&amp;MINUTE(Sync!$K1694),2),IFERROR(RIGHT("00"&amp;VALUE(LEFT(Sync!$K1694,FIND(":",Sync!$K1694)-1)),2)&amp;RIGHT("00"&amp;VALUE(MID(Sync!$K1694,FIND(":",Sync!$K1694)+1,2)),2),"0000")))&amp;"|"&amp;"2"&amp;RIGHT("00000"&amp;1689,5))</f>
        <v/>
      </c>
      <c r="Q1694">
        <f>IF(Sync!$J1694="","",IF(ISNUMBER(Sync!$J1694),IF(AND(Sync!$J1694&gt;=10000101,Sync!$J1694&lt;=99991231),INT(Sync!$J1694/10000)&amp;"/"&amp;RIGHT("00"&amp;INT(MOD(Sync!$J1694,10000)/100),2)&amp;"/"&amp;RIGHT("00"&amp;MOD(Sync!$J1694,100),2),"نامعتبر"),IF(LEN(Sync!$J1694)=10,Sync!$J1694,"نامعتبر")))</f>
        <v/>
      </c>
      <c r="R1694">
        <f>IF($P1694="","",COUNTIFS($N$6:$N$2005,$N1694,$P$6:$P$2005,"&lt;"&amp;$P1694)+COUNTIFS($A$6:$A$1005,$N1694,$B$6:$B$1005,"&lt;"&amp;$P1694)+1)</f>
        <v/>
      </c>
      <c r="S1694">
        <f>IF($N1694="","",$N1694&amp;"|"&amp;RIGHT("000000"&amp;$R1694,6))</f>
        <v/>
      </c>
      <c r="T1694">
        <f>IF($N1694="","",IF(Sync!$N1694="",0,Sync!$N1694))</f>
        <v/>
      </c>
      <c r="U1694">
        <f>IF($N1694="","",IF(Sync!$O1694="",0,Sync!$O1694))</f>
        <v/>
      </c>
      <c r="V1694">
        <f>IF($N1694="","",Sync!$L1694)</f>
        <v/>
      </c>
      <c r="W1694">
        <f>IF($N1694="","",Sync!$P1694)</f>
        <v/>
      </c>
    </row>
    <row r="1695">
      <c r="N1695">
        <f>IF(OR(Sync!$M1695="",$Q1695="",$Q1695="نامعتبر"),"",Sync!$M1695)</f>
        <v/>
      </c>
      <c r="O1695">
        <f>IF($N1695="","",$Q1695)</f>
        <v/>
      </c>
      <c r="P1695">
        <f>IF($N1695="","",LEFT($Q1695,4)&amp;MID($Q1695,6,2)&amp;RIGHT($Q1695,2)&amp;IF(Sync!$K1695="","0000",IF(AND(ISNUMBER(Sync!$K1695),Sync!$K1695&gt;=0,Sync!$K1695&lt;1),RIGHT("00"&amp;HOUR(Sync!$K1695),2)&amp;RIGHT("00"&amp;MINUTE(Sync!$K1695),2),IFERROR(RIGHT("00"&amp;VALUE(LEFT(Sync!$K1695,FIND(":",Sync!$K1695)-1)),2)&amp;RIGHT("00"&amp;VALUE(MID(Sync!$K1695,FIND(":",Sync!$K1695)+1,2)),2),"0000")))&amp;"|"&amp;"2"&amp;RIGHT("00000"&amp;1690,5))</f>
        <v/>
      </c>
      <c r="Q1695">
        <f>IF(Sync!$J1695="","",IF(ISNUMBER(Sync!$J1695),IF(AND(Sync!$J1695&gt;=10000101,Sync!$J1695&lt;=99991231),INT(Sync!$J1695/10000)&amp;"/"&amp;RIGHT("00"&amp;INT(MOD(Sync!$J1695,10000)/100),2)&amp;"/"&amp;RIGHT("00"&amp;MOD(Sync!$J1695,100),2),"نامعتبر"),IF(LEN(Sync!$J1695)=10,Sync!$J1695,"نامعتبر")))</f>
        <v/>
      </c>
      <c r="R1695">
        <f>IF($P1695="","",COUNTIFS($N$6:$N$2005,$N1695,$P$6:$P$2005,"&lt;"&amp;$P1695)+COUNTIFS($A$6:$A$1005,$N1695,$B$6:$B$1005,"&lt;"&amp;$P1695)+1)</f>
        <v/>
      </c>
      <c r="S1695">
        <f>IF($N1695="","",$N1695&amp;"|"&amp;RIGHT("000000"&amp;$R1695,6))</f>
        <v/>
      </c>
      <c r="T1695">
        <f>IF($N1695="","",IF(Sync!$N1695="",0,Sync!$N1695))</f>
        <v/>
      </c>
      <c r="U1695">
        <f>IF($N1695="","",IF(Sync!$O1695="",0,Sync!$O1695))</f>
        <v/>
      </c>
      <c r="V1695">
        <f>IF($N1695="","",Sync!$L1695)</f>
        <v/>
      </c>
      <c r="W1695">
        <f>IF($N1695="","",Sync!$P1695)</f>
        <v/>
      </c>
    </row>
    <row r="1696">
      <c r="N1696">
        <f>IF(OR(Sync!$M1696="",$Q1696="",$Q1696="نامعتبر"),"",Sync!$M1696)</f>
        <v/>
      </c>
      <c r="O1696">
        <f>IF($N1696="","",$Q1696)</f>
        <v/>
      </c>
      <c r="P1696">
        <f>IF($N1696="","",LEFT($Q1696,4)&amp;MID($Q1696,6,2)&amp;RIGHT($Q1696,2)&amp;IF(Sync!$K1696="","0000",IF(AND(ISNUMBER(Sync!$K1696),Sync!$K1696&gt;=0,Sync!$K1696&lt;1),RIGHT("00"&amp;HOUR(Sync!$K1696),2)&amp;RIGHT("00"&amp;MINUTE(Sync!$K1696),2),IFERROR(RIGHT("00"&amp;VALUE(LEFT(Sync!$K1696,FIND(":",Sync!$K1696)-1)),2)&amp;RIGHT("00"&amp;VALUE(MID(Sync!$K1696,FIND(":",Sync!$K1696)+1,2)),2),"0000")))&amp;"|"&amp;"2"&amp;RIGHT("00000"&amp;1691,5))</f>
        <v/>
      </c>
      <c r="Q1696">
        <f>IF(Sync!$J1696="","",IF(ISNUMBER(Sync!$J1696),IF(AND(Sync!$J1696&gt;=10000101,Sync!$J1696&lt;=99991231),INT(Sync!$J1696/10000)&amp;"/"&amp;RIGHT("00"&amp;INT(MOD(Sync!$J1696,10000)/100),2)&amp;"/"&amp;RIGHT("00"&amp;MOD(Sync!$J1696,100),2),"نامعتبر"),IF(LEN(Sync!$J1696)=10,Sync!$J1696,"نامعتبر")))</f>
        <v/>
      </c>
      <c r="R1696">
        <f>IF($P1696="","",COUNTIFS($N$6:$N$2005,$N1696,$P$6:$P$2005,"&lt;"&amp;$P1696)+COUNTIFS($A$6:$A$1005,$N1696,$B$6:$B$1005,"&lt;"&amp;$P1696)+1)</f>
        <v/>
      </c>
      <c r="S1696">
        <f>IF($N1696="","",$N1696&amp;"|"&amp;RIGHT("000000"&amp;$R1696,6))</f>
        <v/>
      </c>
      <c r="T1696">
        <f>IF($N1696="","",IF(Sync!$N1696="",0,Sync!$N1696))</f>
        <v/>
      </c>
      <c r="U1696">
        <f>IF($N1696="","",IF(Sync!$O1696="",0,Sync!$O1696))</f>
        <v/>
      </c>
      <c r="V1696">
        <f>IF($N1696="","",Sync!$L1696)</f>
        <v/>
      </c>
      <c r="W1696">
        <f>IF($N1696="","",Sync!$P1696)</f>
        <v/>
      </c>
    </row>
    <row r="1697">
      <c r="N1697">
        <f>IF(OR(Sync!$M1697="",$Q1697="",$Q1697="نامعتبر"),"",Sync!$M1697)</f>
        <v/>
      </c>
      <c r="O1697">
        <f>IF($N1697="","",$Q1697)</f>
        <v/>
      </c>
      <c r="P1697">
        <f>IF($N1697="","",LEFT($Q1697,4)&amp;MID($Q1697,6,2)&amp;RIGHT($Q1697,2)&amp;IF(Sync!$K1697="","0000",IF(AND(ISNUMBER(Sync!$K1697),Sync!$K1697&gt;=0,Sync!$K1697&lt;1),RIGHT("00"&amp;HOUR(Sync!$K1697),2)&amp;RIGHT("00"&amp;MINUTE(Sync!$K1697),2),IFERROR(RIGHT("00"&amp;VALUE(LEFT(Sync!$K1697,FIND(":",Sync!$K1697)-1)),2)&amp;RIGHT("00"&amp;VALUE(MID(Sync!$K1697,FIND(":",Sync!$K1697)+1,2)),2),"0000")))&amp;"|"&amp;"2"&amp;RIGHT("00000"&amp;1692,5))</f>
        <v/>
      </c>
      <c r="Q1697">
        <f>IF(Sync!$J1697="","",IF(ISNUMBER(Sync!$J1697),IF(AND(Sync!$J1697&gt;=10000101,Sync!$J1697&lt;=99991231),INT(Sync!$J1697/10000)&amp;"/"&amp;RIGHT("00"&amp;INT(MOD(Sync!$J1697,10000)/100),2)&amp;"/"&amp;RIGHT("00"&amp;MOD(Sync!$J1697,100),2),"نامعتبر"),IF(LEN(Sync!$J1697)=10,Sync!$J1697,"نامعتبر")))</f>
        <v/>
      </c>
      <c r="R1697">
        <f>IF($P1697="","",COUNTIFS($N$6:$N$2005,$N1697,$P$6:$P$2005,"&lt;"&amp;$P1697)+COUNTIFS($A$6:$A$1005,$N1697,$B$6:$B$1005,"&lt;"&amp;$P1697)+1)</f>
        <v/>
      </c>
      <c r="S1697">
        <f>IF($N1697="","",$N1697&amp;"|"&amp;RIGHT("000000"&amp;$R1697,6))</f>
        <v/>
      </c>
      <c r="T1697">
        <f>IF($N1697="","",IF(Sync!$N1697="",0,Sync!$N1697))</f>
        <v/>
      </c>
      <c r="U1697">
        <f>IF($N1697="","",IF(Sync!$O1697="",0,Sync!$O1697))</f>
        <v/>
      </c>
      <c r="V1697">
        <f>IF($N1697="","",Sync!$L1697)</f>
        <v/>
      </c>
      <c r="W1697">
        <f>IF($N1697="","",Sync!$P1697)</f>
        <v/>
      </c>
    </row>
    <row r="1698">
      <c r="N1698">
        <f>IF(OR(Sync!$M1698="",$Q1698="",$Q1698="نامعتبر"),"",Sync!$M1698)</f>
        <v/>
      </c>
      <c r="O1698">
        <f>IF($N1698="","",$Q1698)</f>
        <v/>
      </c>
      <c r="P1698">
        <f>IF($N1698="","",LEFT($Q1698,4)&amp;MID($Q1698,6,2)&amp;RIGHT($Q1698,2)&amp;IF(Sync!$K1698="","0000",IF(AND(ISNUMBER(Sync!$K1698),Sync!$K1698&gt;=0,Sync!$K1698&lt;1),RIGHT("00"&amp;HOUR(Sync!$K1698),2)&amp;RIGHT("00"&amp;MINUTE(Sync!$K1698),2),IFERROR(RIGHT("00"&amp;VALUE(LEFT(Sync!$K1698,FIND(":",Sync!$K1698)-1)),2)&amp;RIGHT("00"&amp;VALUE(MID(Sync!$K1698,FIND(":",Sync!$K1698)+1,2)),2),"0000")))&amp;"|"&amp;"2"&amp;RIGHT("00000"&amp;1693,5))</f>
        <v/>
      </c>
      <c r="Q1698">
        <f>IF(Sync!$J1698="","",IF(ISNUMBER(Sync!$J1698),IF(AND(Sync!$J1698&gt;=10000101,Sync!$J1698&lt;=99991231),INT(Sync!$J1698/10000)&amp;"/"&amp;RIGHT("00"&amp;INT(MOD(Sync!$J1698,10000)/100),2)&amp;"/"&amp;RIGHT("00"&amp;MOD(Sync!$J1698,100),2),"نامعتبر"),IF(LEN(Sync!$J1698)=10,Sync!$J1698,"نامعتبر")))</f>
        <v/>
      </c>
      <c r="R1698">
        <f>IF($P1698="","",COUNTIFS($N$6:$N$2005,$N1698,$P$6:$P$2005,"&lt;"&amp;$P1698)+COUNTIFS($A$6:$A$1005,$N1698,$B$6:$B$1005,"&lt;"&amp;$P1698)+1)</f>
        <v/>
      </c>
      <c r="S1698">
        <f>IF($N1698="","",$N1698&amp;"|"&amp;RIGHT("000000"&amp;$R1698,6))</f>
        <v/>
      </c>
      <c r="T1698">
        <f>IF($N1698="","",IF(Sync!$N1698="",0,Sync!$N1698))</f>
        <v/>
      </c>
      <c r="U1698">
        <f>IF($N1698="","",IF(Sync!$O1698="",0,Sync!$O1698))</f>
        <v/>
      </c>
      <c r="V1698">
        <f>IF($N1698="","",Sync!$L1698)</f>
        <v/>
      </c>
      <c r="W1698">
        <f>IF($N1698="","",Sync!$P1698)</f>
        <v/>
      </c>
    </row>
    <row r="1699">
      <c r="N1699">
        <f>IF(OR(Sync!$M1699="",$Q1699="",$Q1699="نامعتبر"),"",Sync!$M1699)</f>
        <v/>
      </c>
      <c r="O1699">
        <f>IF($N1699="","",$Q1699)</f>
        <v/>
      </c>
      <c r="P1699">
        <f>IF($N1699="","",LEFT($Q1699,4)&amp;MID($Q1699,6,2)&amp;RIGHT($Q1699,2)&amp;IF(Sync!$K1699="","0000",IF(AND(ISNUMBER(Sync!$K1699),Sync!$K1699&gt;=0,Sync!$K1699&lt;1),RIGHT("00"&amp;HOUR(Sync!$K1699),2)&amp;RIGHT("00"&amp;MINUTE(Sync!$K1699),2),IFERROR(RIGHT("00"&amp;VALUE(LEFT(Sync!$K1699,FIND(":",Sync!$K1699)-1)),2)&amp;RIGHT("00"&amp;VALUE(MID(Sync!$K1699,FIND(":",Sync!$K1699)+1,2)),2),"0000")))&amp;"|"&amp;"2"&amp;RIGHT("00000"&amp;1694,5))</f>
        <v/>
      </c>
      <c r="Q1699">
        <f>IF(Sync!$J1699="","",IF(ISNUMBER(Sync!$J1699),IF(AND(Sync!$J1699&gt;=10000101,Sync!$J1699&lt;=99991231),INT(Sync!$J1699/10000)&amp;"/"&amp;RIGHT("00"&amp;INT(MOD(Sync!$J1699,10000)/100),2)&amp;"/"&amp;RIGHT("00"&amp;MOD(Sync!$J1699,100),2),"نامعتبر"),IF(LEN(Sync!$J1699)=10,Sync!$J1699,"نامعتبر")))</f>
        <v/>
      </c>
      <c r="R1699">
        <f>IF($P1699="","",COUNTIFS($N$6:$N$2005,$N1699,$P$6:$P$2005,"&lt;"&amp;$P1699)+COUNTIFS($A$6:$A$1005,$N1699,$B$6:$B$1005,"&lt;"&amp;$P1699)+1)</f>
        <v/>
      </c>
      <c r="S1699">
        <f>IF($N1699="","",$N1699&amp;"|"&amp;RIGHT("000000"&amp;$R1699,6))</f>
        <v/>
      </c>
      <c r="T1699">
        <f>IF($N1699="","",IF(Sync!$N1699="",0,Sync!$N1699))</f>
        <v/>
      </c>
      <c r="U1699">
        <f>IF($N1699="","",IF(Sync!$O1699="",0,Sync!$O1699))</f>
        <v/>
      </c>
      <c r="V1699">
        <f>IF($N1699="","",Sync!$L1699)</f>
        <v/>
      </c>
      <c r="W1699">
        <f>IF($N1699="","",Sync!$P1699)</f>
        <v/>
      </c>
    </row>
    <row r="1700">
      <c r="N1700">
        <f>IF(OR(Sync!$M1700="",$Q1700="",$Q1700="نامعتبر"),"",Sync!$M1700)</f>
        <v/>
      </c>
      <c r="O1700">
        <f>IF($N1700="","",$Q1700)</f>
        <v/>
      </c>
      <c r="P1700">
        <f>IF($N1700="","",LEFT($Q1700,4)&amp;MID($Q1700,6,2)&amp;RIGHT($Q1700,2)&amp;IF(Sync!$K1700="","0000",IF(AND(ISNUMBER(Sync!$K1700),Sync!$K1700&gt;=0,Sync!$K1700&lt;1),RIGHT("00"&amp;HOUR(Sync!$K1700),2)&amp;RIGHT("00"&amp;MINUTE(Sync!$K1700),2),IFERROR(RIGHT("00"&amp;VALUE(LEFT(Sync!$K1700,FIND(":",Sync!$K1700)-1)),2)&amp;RIGHT("00"&amp;VALUE(MID(Sync!$K1700,FIND(":",Sync!$K1700)+1,2)),2),"0000")))&amp;"|"&amp;"2"&amp;RIGHT("00000"&amp;1695,5))</f>
        <v/>
      </c>
      <c r="Q1700">
        <f>IF(Sync!$J1700="","",IF(ISNUMBER(Sync!$J1700),IF(AND(Sync!$J1700&gt;=10000101,Sync!$J1700&lt;=99991231),INT(Sync!$J1700/10000)&amp;"/"&amp;RIGHT("00"&amp;INT(MOD(Sync!$J1700,10000)/100),2)&amp;"/"&amp;RIGHT("00"&amp;MOD(Sync!$J1700,100),2),"نامعتبر"),IF(LEN(Sync!$J1700)=10,Sync!$J1700,"نامعتبر")))</f>
        <v/>
      </c>
      <c r="R1700">
        <f>IF($P1700="","",COUNTIFS($N$6:$N$2005,$N1700,$P$6:$P$2005,"&lt;"&amp;$P1700)+COUNTIFS($A$6:$A$1005,$N1700,$B$6:$B$1005,"&lt;"&amp;$P1700)+1)</f>
        <v/>
      </c>
      <c r="S1700">
        <f>IF($N1700="","",$N1700&amp;"|"&amp;RIGHT("000000"&amp;$R1700,6))</f>
        <v/>
      </c>
      <c r="T1700">
        <f>IF($N1700="","",IF(Sync!$N1700="",0,Sync!$N1700))</f>
        <v/>
      </c>
      <c r="U1700">
        <f>IF($N1700="","",IF(Sync!$O1700="",0,Sync!$O1700))</f>
        <v/>
      </c>
      <c r="V1700">
        <f>IF($N1700="","",Sync!$L1700)</f>
        <v/>
      </c>
      <c r="W1700">
        <f>IF($N1700="","",Sync!$P1700)</f>
        <v/>
      </c>
    </row>
    <row r="1701">
      <c r="N1701">
        <f>IF(OR(Sync!$M1701="",$Q1701="",$Q1701="نامعتبر"),"",Sync!$M1701)</f>
        <v/>
      </c>
      <c r="O1701">
        <f>IF($N1701="","",$Q1701)</f>
        <v/>
      </c>
      <c r="P1701">
        <f>IF($N1701="","",LEFT($Q1701,4)&amp;MID($Q1701,6,2)&amp;RIGHT($Q1701,2)&amp;IF(Sync!$K1701="","0000",IF(AND(ISNUMBER(Sync!$K1701),Sync!$K1701&gt;=0,Sync!$K1701&lt;1),RIGHT("00"&amp;HOUR(Sync!$K1701),2)&amp;RIGHT("00"&amp;MINUTE(Sync!$K1701),2),IFERROR(RIGHT("00"&amp;VALUE(LEFT(Sync!$K1701,FIND(":",Sync!$K1701)-1)),2)&amp;RIGHT("00"&amp;VALUE(MID(Sync!$K1701,FIND(":",Sync!$K1701)+1,2)),2),"0000")))&amp;"|"&amp;"2"&amp;RIGHT("00000"&amp;1696,5))</f>
        <v/>
      </c>
      <c r="Q1701">
        <f>IF(Sync!$J1701="","",IF(ISNUMBER(Sync!$J1701),IF(AND(Sync!$J1701&gt;=10000101,Sync!$J1701&lt;=99991231),INT(Sync!$J1701/10000)&amp;"/"&amp;RIGHT("00"&amp;INT(MOD(Sync!$J1701,10000)/100),2)&amp;"/"&amp;RIGHT("00"&amp;MOD(Sync!$J1701,100),2),"نامعتبر"),IF(LEN(Sync!$J1701)=10,Sync!$J1701,"نامعتبر")))</f>
        <v/>
      </c>
      <c r="R1701">
        <f>IF($P1701="","",COUNTIFS($N$6:$N$2005,$N1701,$P$6:$P$2005,"&lt;"&amp;$P1701)+COUNTIFS($A$6:$A$1005,$N1701,$B$6:$B$1005,"&lt;"&amp;$P1701)+1)</f>
        <v/>
      </c>
      <c r="S1701">
        <f>IF($N1701="","",$N1701&amp;"|"&amp;RIGHT("000000"&amp;$R1701,6))</f>
        <v/>
      </c>
      <c r="T1701">
        <f>IF($N1701="","",IF(Sync!$N1701="",0,Sync!$N1701))</f>
        <v/>
      </c>
      <c r="U1701">
        <f>IF($N1701="","",IF(Sync!$O1701="",0,Sync!$O1701))</f>
        <v/>
      </c>
      <c r="V1701">
        <f>IF($N1701="","",Sync!$L1701)</f>
        <v/>
      </c>
      <c r="W1701">
        <f>IF($N1701="","",Sync!$P1701)</f>
        <v/>
      </c>
    </row>
    <row r="1702">
      <c r="N1702">
        <f>IF(OR(Sync!$M1702="",$Q1702="",$Q1702="نامعتبر"),"",Sync!$M1702)</f>
        <v/>
      </c>
      <c r="O1702">
        <f>IF($N1702="","",$Q1702)</f>
        <v/>
      </c>
      <c r="P1702">
        <f>IF($N1702="","",LEFT($Q1702,4)&amp;MID($Q1702,6,2)&amp;RIGHT($Q1702,2)&amp;IF(Sync!$K1702="","0000",IF(AND(ISNUMBER(Sync!$K1702),Sync!$K1702&gt;=0,Sync!$K1702&lt;1),RIGHT("00"&amp;HOUR(Sync!$K1702),2)&amp;RIGHT("00"&amp;MINUTE(Sync!$K1702),2),IFERROR(RIGHT("00"&amp;VALUE(LEFT(Sync!$K1702,FIND(":",Sync!$K1702)-1)),2)&amp;RIGHT("00"&amp;VALUE(MID(Sync!$K1702,FIND(":",Sync!$K1702)+1,2)),2),"0000")))&amp;"|"&amp;"2"&amp;RIGHT("00000"&amp;1697,5))</f>
        <v/>
      </c>
      <c r="Q1702">
        <f>IF(Sync!$J1702="","",IF(ISNUMBER(Sync!$J1702),IF(AND(Sync!$J1702&gt;=10000101,Sync!$J1702&lt;=99991231),INT(Sync!$J1702/10000)&amp;"/"&amp;RIGHT("00"&amp;INT(MOD(Sync!$J1702,10000)/100),2)&amp;"/"&amp;RIGHT("00"&amp;MOD(Sync!$J1702,100),2),"نامعتبر"),IF(LEN(Sync!$J1702)=10,Sync!$J1702,"نامعتبر")))</f>
        <v/>
      </c>
      <c r="R1702">
        <f>IF($P1702="","",COUNTIFS($N$6:$N$2005,$N1702,$P$6:$P$2005,"&lt;"&amp;$P1702)+COUNTIFS($A$6:$A$1005,$N1702,$B$6:$B$1005,"&lt;"&amp;$P1702)+1)</f>
        <v/>
      </c>
      <c r="S1702">
        <f>IF($N1702="","",$N1702&amp;"|"&amp;RIGHT("000000"&amp;$R1702,6))</f>
        <v/>
      </c>
      <c r="T1702">
        <f>IF($N1702="","",IF(Sync!$N1702="",0,Sync!$N1702))</f>
        <v/>
      </c>
      <c r="U1702">
        <f>IF($N1702="","",IF(Sync!$O1702="",0,Sync!$O1702))</f>
        <v/>
      </c>
      <c r="V1702">
        <f>IF($N1702="","",Sync!$L1702)</f>
        <v/>
      </c>
      <c r="W1702">
        <f>IF($N1702="","",Sync!$P1702)</f>
        <v/>
      </c>
    </row>
    <row r="1703">
      <c r="N1703">
        <f>IF(OR(Sync!$M1703="",$Q1703="",$Q1703="نامعتبر"),"",Sync!$M1703)</f>
        <v/>
      </c>
      <c r="O1703">
        <f>IF($N1703="","",$Q1703)</f>
        <v/>
      </c>
      <c r="P1703">
        <f>IF($N1703="","",LEFT($Q1703,4)&amp;MID($Q1703,6,2)&amp;RIGHT($Q1703,2)&amp;IF(Sync!$K1703="","0000",IF(AND(ISNUMBER(Sync!$K1703),Sync!$K1703&gt;=0,Sync!$K1703&lt;1),RIGHT("00"&amp;HOUR(Sync!$K1703),2)&amp;RIGHT("00"&amp;MINUTE(Sync!$K1703),2),IFERROR(RIGHT("00"&amp;VALUE(LEFT(Sync!$K1703,FIND(":",Sync!$K1703)-1)),2)&amp;RIGHT("00"&amp;VALUE(MID(Sync!$K1703,FIND(":",Sync!$K1703)+1,2)),2),"0000")))&amp;"|"&amp;"2"&amp;RIGHT("00000"&amp;1698,5))</f>
        <v/>
      </c>
      <c r="Q1703">
        <f>IF(Sync!$J1703="","",IF(ISNUMBER(Sync!$J1703),IF(AND(Sync!$J1703&gt;=10000101,Sync!$J1703&lt;=99991231),INT(Sync!$J1703/10000)&amp;"/"&amp;RIGHT("00"&amp;INT(MOD(Sync!$J1703,10000)/100),2)&amp;"/"&amp;RIGHT("00"&amp;MOD(Sync!$J1703,100),2),"نامعتبر"),IF(LEN(Sync!$J1703)=10,Sync!$J1703,"نامعتبر")))</f>
        <v/>
      </c>
      <c r="R1703">
        <f>IF($P1703="","",COUNTIFS($N$6:$N$2005,$N1703,$P$6:$P$2005,"&lt;"&amp;$P1703)+COUNTIFS($A$6:$A$1005,$N1703,$B$6:$B$1005,"&lt;"&amp;$P1703)+1)</f>
        <v/>
      </c>
      <c r="S1703">
        <f>IF($N1703="","",$N1703&amp;"|"&amp;RIGHT("000000"&amp;$R1703,6))</f>
        <v/>
      </c>
      <c r="T1703">
        <f>IF($N1703="","",IF(Sync!$N1703="",0,Sync!$N1703))</f>
        <v/>
      </c>
      <c r="U1703">
        <f>IF($N1703="","",IF(Sync!$O1703="",0,Sync!$O1703))</f>
        <v/>
      </c>
      <c r="V1703">
        <f>IF($N1703="","",Sync!$L1703)</f>
        <v/>
      </c>
      <c r="W1703">
        <f>IF($N1703="","",Sync!$P1703)</f>
        <v/>
      </c>
    </row>
    <row r="1704">
      <c r="N1704">
        <f>IF(OR(Sync!$M1704="",$Q1704="",$Q1704="نامعتبر"),"",Sync!$M1704)</f>
        <v/>
      </c>
      <c r="O1704">
        <f>IF($N1704="","",$Q1704)</f>
        <v/>
      </c>
      <c r="P1704">
        <f>IF($N1704="","",LEFT($Q1704,4)&amp;MID($Q1704,6,2)&amp;RIGHT($Q1704,2)&amp;IF(Sync!$K1704="","0000",IF(AND(ISNUMBER(Sync!$K1704),Sync!$K1704&gt;=0,Sync!$K1704&lt;1),RIGHT("00"&amp;HOUR(Sync!$K1704),2)&amp;RIGHT("00"&amp;MINUTE(Sync!$K1704),2),IFERROR(RIGHT("00"&amp;VALUE(LEFT(Sync!$K1704,FIND(":",Sync!$K1704)-1)),2)&amp;RIGHT("00"&amp;VALUE(MID(Sync!$K1704,FIND(":",Sync!$K1704)+1,2)),2),"0000")))&amp;"|"&amp;"2"&amp;RIGHT("00000"&amp;1699,5))</f>
        <v/>
      </c>
      <c r="Q1704">
        <f>IF(Sync!$J1704="","",IF(ISNUMBER(Sync!$J1704),IF(AND(Sync!$J1704&gt;=10000101,Sync!$J1704&lt;=99991231),INT(Sync!$J1704/10000)&amp;"/"&amp;RIGHT("00"&amp;INT(MOD(Sync!$J1704,10000)/100),2)&amp;"/"&amp;RIGHT("00"&amp;MOD(Sync!$J1704,100),2),"نامعتبر"),IF(LEN(Sync!$J1704)=10,Sync!$J1704,"نامعتبر")))</f>
        <v/>
      </c>
      <c r="R1704">
        <f>IF($P1704="","",COUNTIFS($N$6:$N$2005,$N1704,$P$6:$P$2005,"&lt;"&amp;$P1704)+COUNTIFS($A$6:$A$1005,$N1704,$B$6:$B$1005,"&lt;"&amp;$P1704)+1)</f>
        <v/>
      </c>
      <c r="S1704">
        <f>IF($N1704="","",$N1704&amp;"|"&amp;RIGHT("000000"&amp;$R1704,6))</f>
        <v/>
      </c>
      <c r="T1704">
        <f>IF($N1704="","",IF(Sync!$N1704="",0,Sync!$N1704))</f>
        <v/>
      </c>
      <c r="U1704">
        <f>IF($N1704="","",IF(Sync!$O1704="",0,Sync!$O1704))</f>
        <v/>
      </c>
      <c r="V1704">
        <f>IF($N1704="","",Sync!$L1704)</f>
        <v/>
      </c>
      <c r="W1704">
        <f>IF($N1704="","",Sync!$P1704)</f>
        <v/>
      </c>
    </row>
    <row r="1705">
      <c r="N1705">
        <f>IF(OR(Sync!$M1705="",$Q1705="",$Q1705="نامعتبر"),"",Sync!$M1705)</f>
        <v/>
      </c>
      <c r="O1705">
        <f>IF($N1705="","",$Q1705)</f>
        <v/>
      </c>
      <c r="P1705">
        <f>IF($N1705="","",LEFT($Q1705,4)&amp;MID($Q1705,6,2)&amp;RIGHT($Q1705,2)&amp;IF(Sync!$K1705="","0000",IF(AND(ISNUMBER(Sync!$K1705),Sync!$K1705&gt;=0,Sync!$K1705&lt;1),RIGHT("00"&amp;HOUR(Sync!$K1705),2)&amp;RIGHT("00"&amp;MINUTE(Sync!$K1705),2),IFERROR(RIGHT("00"&amp;VALUE(LEFT(Sync!$K1705,FIND(":",Sync!$K1705)-1)),2)&amp;RIGHT("00"&amp;VALUE(MID(Sync!$K1705,FIND(":",Sync!$K1705)+1,2)),2),"0000")))&amp;"|"&amp;"2"&amp;RIGHT("00000"&amp;1700,5))</f>
        <v/>
      </c>
      <c r="Q1705">
        <f>IF(Sync!$J1705="","",IF(ISNUMBER(Sync!$J1705),IF(AND(Sync!$J1705&gt;=10000101,Sync!$J1705&lt;=99991231),INT(Sync!$J1705/10000)&amp;"/"&amp;RIGHT("00"&amp;INT(MOD(Sync!$J1705,10000)/100),2)&amp;"/"&amp;RIGHT("00"&amp;MOD(Sync!$J1705,100),2),"نامعتبر"),IF(LEN(Sync!$J1705)=10,Sync!$J1705,"نامعتبر")))</f>
        <v/>
      </c>
      <c r="R1705">
        <f>IF($P1705="","",COUNTIFS($N$6:$N$2005,$N1705,$P$6:$P$2005,"&lt;"&amp;$P1705)+COUNTIFS($A$6:$A$1005,$N1705,$B$6:$B$1005,"&lt;"&amp;$P1705)+1)</f>
        <v/>
      </c>
      <c r="S1705">
        <f>IF($N1705="","",$N1705&amp;"|"&amp;RIGHT("000000"&amp;$R1705,6))</f>
        <v/>
      </c>
      <c r="T1705">
        <f>IF($N1705="","",IF(Sync!$N1705="",0,Sync!$N1705))</f>
        <v/>
      </c>
      <c r="U1705">
        <f>IF($N1705="","",IF(Sync!$O1705="",0,Sync!$O1705))</f>
        <v/>
      </c>
      <c r="V1705">
        <f>IF($N1705="","",Sync!$L1705)</f>
        <v/>
      </c>
      <c r="W1705">
        <f>IF($N1705="","",Sync!$P1705)</f>
        <v/>
      </c>
    </row>
    <row r="1706">
      <c r="N1706">
        <f>IF(OR(Sync!$M1706="",$Q1706="",$Q1706="نامعتبر"),"",Sync!$M1706)</f>
        <v/>
      </c>
      <c r="O1706">
        <f>IF($N1706="","",$Q1706)</f>
        <v/>
      </c>
      <c r="P1706">
        <f>IF($N1706="","",LEFT($Q1706,4)&amp;MID($Q1706,6,2)&amp;RIGHT($Q1706,2)&amp;IF(Sync!$K1706="","0000",IF(AND(ISNUMBER(Sync!$K1706),Sync!$K1706&gt;=0,Sync!$K1706&lt;1),RIGHT("00"&amp;HOUR(Sync!$K1706),2)&amp;RIGHT("00"&amp;MINUTE(Sync!$K1706),2),IFERROR(RIGHT("00"&amp;VALUE(LEFT(Sync!$K1706,FIND(":",Sync!$K1706)-1)),2)&amp;RIGHT("00"&amp;VALUE(MID(Sync!$K1706,FIND(":",Sync!$K1706)+1,2)),2),"0000")))&amp;"|"&amp;"2"&amp;RIGHT("00000"&amp;1701,5))</f>
        <v/>
      </c>
      <c r="Q1706">
        <f>IF(Sync!$J1706="","",IF(ISNUMBER(Sync!$J1706),IF(AND(Sync!$J1706&gt;=10000101,Sync!$J1706&lt;=99991231),INT(Sync!$J1706/10000)&amp;"/"&amp;RIGHT("00"&amp;INT(MOD(Sync!$J1706,10000)/100),2)&amp;"/"&amp;RIGHT("00"&amp;MOD(Sync!$J1706,100),2),"نامعتبر"),IF(LEN(Sync!$J1706)=10,Sync!$J1706,"نامعتبر")))</f>
        <v/>
      </c>
      <c r="R1706">
        <f>IF($P1706="","",COUNTIFS($N$6:$N$2005,$N1706,$P$6:$P$2005,"&lt;"&amp;$P1706)+COUNTIFS($A$6:$A$1005,$N1706,$B$6:$B$1005,"&lt;"&amp;$P1706)+1)</f>
        <v/>
      </c>
      <c r="S1706">
        <f>IF($N1706="","",$N1706&amp;"|"&amp;RIGHT("000000"&amp;$R1706,6))</f>
        <v/>
      </c>
      <c r="T1706">
        <f>IF($N1706="","",IF(Sync!$N1706="",0,Sync!$N1706))</f>
        <v/>
      </c>
      <c r="U1706">
        <f>IF($N1706="","",IF(Sync!$O1706="",0,Sync!$O1706))</f>
        <v/>
      </c>
      <c r="V1706">
        <f>IF($N1706="","",Sync!$L1706)</f>
        <v/>
      </c>
      <c r="W1706">
        <f>IF($N1706="","",Sync!$P1706)</f>
        <v/>
      </c>
    </row>
    <row r="1707">
      <c r="N1707">
        <f>IF(OR(Sync!$M1707="",$Q1707="",$Q1707="نامعتبر"),"",Sync!$M1707)</f>
        <v/>
      </c>
      <c r="O1707">
        <f>IF($N1707="","",$Q1707)</f>
        <v/>
      </c>
      <c r="P1707">
        <f>IF($N1707="","",LEFT($Q1707,4)&amp;MID($Q1707,6,2)&amp;RIGHT($Q1707,2)&amp;IF(Sync!$K1707="","0000",IF(AND(ISNUMBER(Sync!$K1707),Sync!$K1707&gt;=0,Sync!$K1707&lt;1),RIGHT("00"&amp;HOUR(Sync!$K1707),2)&amp;RIGHT("00"&amp;MINUTE(Sync!$K1707),2),IFERROR(RIGHT("00"&amp;VALUE(LEFT(Sync!$K1707,FIND(":",Sync!$K1707)-1)),2)&amp;RIGHT("00"&amp;VALUE(MID(Sync!$K1707,FIND(":",Sync!$K1707)+1,2)),2),"0000")))&amp;"|"&amp;"2"&amp;RIGHT("00000"&amp;1702,5))</f>
        <v/>
      </c>
      <c r="Q1707">
        <f>IF(Sync!$J1707="","",IF(ISNUMBER(Sync!$J1707),IF(AND(Sync!$J1707&gt;=10000101,Sync!$J1707&lt;=99991231),INT(Sync!$J1707/10000)&amp;"/"&amp;RIGHT("00"&amp;INT(MOD(Sync!$J1707,10000)/100),2)&amp;"/"&amp;RIGHT("00"&amp;MOD(Sync!$J1707,100),2),"نامعتبر"),IF(LEN(Sync!$J1707)=10,Sync!$J1707,"نامعتبر")))</f>
        <v/>
      </c>
      <c r="R1707">
        <f>IF($P1707="","",COUNTIFS($N$6:$N$2005,$N1707,$P$6:$P$2005,"&lt;"&amp;$P1707)+COUNTIFS($A$6:$A$1005,$N1707,$B$6:$B$1005,"&lt;"&amp;$P1707)+1)</f>
        <v/>
      </c>
      <c r="S1707">
        <f>IF($N1707="","",$N1707&amp;"|"&amp;RIGHT("000000"&amp;$R1707,6))</f>
        <v/>
      </c>
      <c r="T1707">
        <f>IF($N1707="","",IF(Sync!$N1707="",0,Sync!$N1707))</f>
        <v/>
      </c>
      <c r="U1707">
        <f>IF($N1707="","",IF(Sync!$O1707="",0,Sync!$O1707))</f>
        <v/>
      </c>
      <c r="V1707">
        <f>IF($N1707="","",Sync!$L1707)</f>
        <v/>
      </c>
      <c r="W1707">
        <f>IF($N1707="","",Sync!$P1707)</f>
        <v/>
      </c>
    </row>
    <row r="1708">
      <c r="N1708">
        <f>IF(OR(Sync!$M1708="",$Q1708="",$Q1708="نامعتبر"),"",Sync!$M1708)</f>
        <v/>
      </c>
      <c r="O1708">
        <f>IF($N1708="","",$Q1708)</f>
        <v/>
      </c>
      <c r="P1708">
        <f>IF($N1708="","",LEFT($Q1708,4)&amp;MID($Q1708,6,2)&amp;RIGHT($Q1708,2)&amp;IF(Sync!$K1708="","0000",IF(AND(ISNUMBER(Sync!$K1708),Sync!$K1708&gt;=0,Sync!$K1708&lt;1),RIGHT("00"&amp;HOUR(Sync!$K1708),2)&amp;RIGHT("00"&amp;MINUTE(Sync!$K1708),2),IFERROR(RIGHT("00"&amp;VALUE(LEFT(Sync!$K1708,FIND(":",Sync!$K1708)-1)),2)&amp;RIGHT("00"&amp;VALUE(MID(Sync!$K1708,FIND(":",Sync!$K1708)+1,2)),2),"0000")))&amp;"|"&amp;"2"&amp;RIGHT("00000"&amp;1703,5))</f>
        <v/>
      </c>
      <c r="Q1708">
        <f>IF(Sync!$J1708="","",IF(ISNUMBER(Sync!$J1708),IF(AND(Sync!$J1708&gt;=10000101,Sync!$J1708&lt;=99991231),INT(Sync!$J1708/10000)&amp;"/"&amp;RIGHT("00"&amp;INT(MOD(Sync!$J1708,10000)/100),2)&amp;"/"&amp;RIGHT("00"&amp;MOD(Sync!$J1708,100),2),"نامعتبر"),IF(LEN(Sync!$J1708)=10,Sync!$J1708,"نامعتبر")))</f>
        <v/>
      </c>
      <c r="R1708">
        <f>IF($P1708="","",COUNTIFS($N$6:$N$2005,$N1708,$P$6:$P$2005,"&lt;"&amp;$P1708)+COUNTIFS($A$6:$A$1005,$N1708,$B$6:$B$1005,"&lt;"&amp;$P1708)+1)</f>
        <v/>
      </c>
      <c r="S1708">
        <f>IF($N1708="","",$N1708&amp;"|"&amp;RIGHT("000000"&amp;$R1708,6))</f>
        <v/>
      </c>
      <c r="T1708">
        <f>IF($N1708="","",IF(Sync!$N1708="",0,Sync!$N1708))</f>
        <v/>
      </c>
      <c r="U1708">
        <f>IF($N1708="","",IF(Sync!$O1708="",0,Sync!$O1708))</f>
        <v/>
      </c>
      <c r="V1708">
        <f>IF($N1708="","",Sync!$L1708)</f>
        <v/>
      </c>
      <c r="W1708">
        <f>IF($N1708="","",Sync!$P1708)</f>
        <v/>
      </c>
    </row>
    <row r="1709">
      <c r="N1709">
        <f>IF(OR(Sync!$M1709="",$Q1709="",$Q1709="نامعتبر"),"",Sync!$M1709)</f>
        <v/>
      </c>
      <c r="O1709">
        <f>IF($N1709="","",$Q1709)</f>
        <v/>
      </c>
      <c r="P1709">
        <f>IF($N1709="","",LEFT($Q1709,4)&amp;MID($Q1709,6,2)&amp;RIGHT($Q1709,2)&amp;IF(Sync!$K1709="","0000",IF(AND(ISNUMBER(Sync!$K1709),Sync!$K1709&gt;=0,Sync!$K1709&lt;1),RIGHT("00"&amp;HOUR(Sync!$K1709),2)&amp;RIGHT("00"&amp;MINUTE(Sync!$K1709),2),IFERROR(RIGHT("00"&amp;VALUE(LEFT(Sync!$K1709,FIND(":",Sync!$K1709)-1)),2)&amp;RIGHT("00"&amp;VALUE(MID(Sync!$K1709,FIND(":",Sync!$K1709)+1,2)),2),"0000")))&amp;"|"&amp;"2"&amp;RIGHT("00000"&amp;1704,5))</f>
        <v/>
      </c>
      <c r="Q1709">
        <f>IF(Sync!$J1709="","",IF(ISNUMBER(Sync!$J1709),IF(AND(Sync!$J1709&gt;=10000101,Sync!$J1709&lt;=99991231),INT(Sync!$J1709/10000)&amp;"/"&amp;RIGHT("00"&amp;INT(MOD(Sync!$J1709,10000)/100),2)&amp;"/"&amp;RIGHT("00"&amp;MOD(Sync!$J1709,100),2),"نامعتبر"),IF(LEN(Sync!$J1709)=10,Sync!$J1709,"نامعتبر")))</f>
        <v/>
      </c>
      <c r="R1709">
        <f>IF($P1709="","",COUNTIFS($N$6:$N$2005,$N1709,$P$6:$P$2005,"&lt;"&amp;$P1709)+COUNTIFS($A$6:$A$1005,$N1709,$B$6:$B$1005,"&lt;"&amp;$P1709)+1)</f>
        <v/>
      </c>
      <c r="S1709">
        <f>IF($N1709="","",$N1709&amp;"|"&amp;RIGHT("000000"&amp;$R1709,6))</f>
        <v/>
      </c>
      <c r="T1709">
        <f>IF($N1709="","",IF(Sync!$N1709="",0,Sync!$N1709))</f>
        <v/>
      </c>
      <c r="U1709">
        <f>IF($N1709="","",IF(Sync!$O1709="",0,Sync!$O1709))</f>
        <v/>
      </c>
      <c r="V1709">
        <f>IF($N1709="","",Sync!$L1709)</f>
        <v/>
      </c>
      <c r="W1709">
        <f>IF($N1709="","",Sync!$P1709)</f>
        <v/>
      </c>
    </row>
    <row r="1710">
      <c r="N1710">
        <f>IF(OR(Sync!$M1710="",$Q1710="",$Q1710="نامعتبر"),"",Sync!$M1710)</f>
        <v/>
      </c>
      <c r="O1710">
        <f>IF($N1710="","",$Q1710)</f>
        <v/>
      </c>
      <c r="P1710">
        <f>IF($N1710="","",LEFT($Q1710,4)&amp;MID($Q1710,6,2)&amp;RIGHT($Q1710,2)&amp;IF(Sync!$K1710="","0000",IF(AND(ISNUMBER(Sync!$K1710),Sync!$K1710&gt;=0,Sync!$K1710&lt;1),RIGHT("00"&amp;HOUR(Sync!$K1710),2)&amp;RIGHT("00"&amp;MINUTE(Sync!$K1710),2),IFERROR(RIGHT("00"&amp;VALUE(LEFT(Sync!$K1710,FIND(":",Sync!$K1710)-1)),2)&amp;RIGHT("00"&amp;VALUE(MID(Sync!$K1710,FIND(":",Sync!$K1710)+1,2)),2),"0000")))&amp;"|"&amp;"2"&amp;RIGHT("00000"&amp;1705,5))</f>
        <v/>
      </c>
      <c r="Q1710">
        <f>IF(Sync!$J1710="","",IF(ISNUMBER(Sync!$J1710),IF(AND(Sync!$J1710&gt;=10000101,Sync!$J1710&lt;=99991231),INT(Sync!$J1710/10000)&amp;"/"&amp;RIGHT("00"&amp;INT(MOD(Sync!$J1710,10000)/100),2)&amp;"/"&amp;RIGHT("00"&amp;MOD(Sync!$J1710,100),2),"نامعتبر"),IF(LEN(Sync!$J1710)=10,Sync!$J1710,"نامعتبر")))</f>
        <v/>
      </c>
      <c r="R1710">
        <f>IF($P1710="","",COUNTIFS($N$6:$N$2005,$N1710,$P$6:$P$2005,"&lt;"&amp;$P1710)+COUNTIFS($A$6:$A$1005,$N1710,$B$6:$B$1005,"&lt;"&amp;$P1710)+1)</f>
        <v/>
      </c>
      <c r="S1710">
        <f>IF($N1710="","",$N1710&amp;"|"&amp;RIGHT("000000"&amp;$R1710,6))</f>
        <v/>
      </c>
      <c r="T1710">
        <f>IF($N1710="","",IF(Sync!$N1710="",0,Sync!$N1710))</f>
        <v/>
      </c>
      <c r="U1710">
        <f>IF($N1710="","",IF(Sync!$O1710="",0,Sync!$O1710))</f>
        <v/>
      </c>
      <c r="V1710">
        <f>IF($N1710="","",Sync!$L1710)</f>
        <v/>
      </c>
      <c r="W1710">
        <f>IF($N1710="","",Sync!$P1710)</f>
        <v/>
      </c>
    </row>
    <row r="1711">
      <c r="N1711">
        <f>IF(OR(Sync!$M1711="",$Q1711="",$Q1711="نامعتبر"),"",Sync!$M1711)</f>
        <v/>
      </c>
      <c r="O1711">
        <f>IF($N1711="","",$Q1711)</f>
        <v/>
      </c>
      <c r="P1711">
        <f>IF($N1711="","",LEFT($Q1711,4)&amp;MID($Q1711,6,2)&amp;RIGHT($Q1711,2)&amp;IF(Sync!$K1711="","0000",IF(AND(ISNUMBER(Sync!$K1711),Sync!$K1711&gt;=0,Sync!$K1711&lt;1),RIGHT("00"&amp;HOUR(Sync!$K1711),2)&amp;RIGHT("00"&amp;MINUTE(Sync!$K1711),2),IFERROR(RIGHT("00"&amp;VALUE(LEFT(Sync!$K1711,FIND(":",Sync!$K1711)-1)),2)&amp;RIGHT("00"&amp;VALUE(MID(Sync!$K1711,FIND(":",Sync!$K1711)+1,2)),2),"0000")))&amp;"|"&amp;"2"&amp;RIGHT("00000"&amp;1706,5))</f>
        <v/>
      </c>
      <c r="Q1711">
        <f>IF(Sync!$J1711="","",IF(ISNUMBER(Sync!$J1711),IF(AND(Sync!$J1711&gt;=10000101,Sync!$J1711&lt;=99991231),INT(Sync!$J1711/10000)&amp;"/"&amp;RIGHT("00"&amp;INT(MOD(Sync!$J1711,10000)/100),2)&amp;"/"&amp;RIGHT("00"&amp;MOD(Sync!$J1711,100),2),"نامعتبر"),IF(LEN(Sync!$J1711)=10,Sync!$J1711,"نامعتبر")))</f>
        <v/>
      </c>
      <c r="R1711">
        <f>IF($P1711="","",COUNTIFS($N$6:$N$2005,$N1711,$P$6:$P$2005,"&lt;"&amp;$P1711)+COUNTIFS($A$6:$A$1005,$N1711,$B$6:$B$1005,"&lt;"&amp;$P1711)+1)</f>
        <v/>
      </c>
      <c r="S1711">
        <f>IF($N1711="","",$N1711&amp;"|"&amp;RIGHT("000000"&amp;$R1711,6))</f>
        <v/>
      </c>
      <c r="T1711">
        <f>IF($N1711="","",IF(Sync!$N1711="",0,Sync!$N1711))</f>
        <v/>
      </c>
      <c r="U1711">
        <f>IF($N1711="","",IF(Sync!$O1711="",0,Sync!$O1711))</f>
        <v/>
      </c>
      <c r="V1711">
        <f>IF($N1711="","",Sync!$L1711)</f>
        <v/>
      </c>
      <c r="W1711">
        <f>IF($N1711="","",Sync!$P1711)</f>
        <v/>
      </c>
    </row>
    <row r="1712">
      <c r="N1712">
        <f>IF(OR(Sync!$M1712="",$Q1712="",$Q1712="نامعتبر"),"",Sync!$M1712)</f>
        <v/>
      </c>
      <c r="O1712">
        <f>IF($N1712="","",$Q1712)</f>
        <v/>
      </c>
      <c r="P1712">
        <f>IF($N1712="","",LEFT($Q1712,4)&amp;MID($Q1712,6,2)&amp;RIGHT($Q1712,2)&amp;IF(Sync!$K1712="","0000",IF(AND(ISNUMBER(Sync!$K1712),Sync!$K1712&gt;=0,Sync!$K1712&lt;1),RIGHT("00"&amp;HOUR(Sync!$K1712),2)&amp;RIGHT("00"&amp;MINUTE(Sync!$K1712),2),IFERROR(RIGHT("00"&amp;VALUE(LEFT(Sync!$K1712,FIND(":",Sync!$K1712)-1)),2)&amp;RIGHT("00"&amp;VALUE(MID(Sync!$K1712,FIND(":",Sync!$K1712)+1,2)),2),"0000")))&amp;"|"&amp;"2"&amp;RIGHT("00000"&amp;1707,5))</f>
        <v/>
      </c>
      <c r="Q1712">
        <f>IF(Sync!$J1712="","",IF(ISNUMBER(Sync!$J1712),IF(AND(Sync!$J1712&gt;=10000101,Sync!$J1712&lt;=99991231),INT(Sync!$J1712/10000)&amp;"/"&amp;RIGHT("00"&amp;INT(MOD(Sync!$J1712,10000)/100),2)&amp;"/"&amp;RIGHT("00"&amp;MOD(Sync!$J1712,100),2),"نامعتبر"),IF(LEN(Sync!$J1712)=10,Sync!$J1712,"نامعتبر")))</f>
        <v/>
      </c>
      <c r="R1712">
        <f>IF($P1712="","",COUNTIFS($N$6:$N$2005,$N1712,$P$6:$P$2005,"&lt;"&amp;$P1712)+COUNTIFS($A$6:$A$1005,$N1712,$B$6:$B$1005,"&lt;"&amp;$P1712)+1)</f>
        <v/>
      </c>
      <c r="S1712">
        <f>IF($N1712="","",$N1712&amp;"|"&amp;RIGHT("000000"&amp;$R1712,6))</f>
        <v/>
      </c>
      <c r="T1712">
        <f>IF($N1712="","",IF(Sync!$N1712="",0,Sync!$N1712))</f>
        <v/>
      </c>
      <c r="U1712">
        <f>IF($N1712="","",IF(Sync!$O1712="",0,Sync!$O1712))</f>
        <v/>
      </c>
      <c r="V1712">
        <f>IF($N1712="","",Sync!$L1712)</f>
        <v/>
      </c>
      <c r="W1712">
        <f>IF($N1712="","",Sync!$P1712)</f>
        <v/>
      </c>
    </row>
    <row r="1713">
      <c r="N1713">
        <f>IF(OR(Sync!$M1713="",$Q1713="",$Q1713="نامعتبر"),"",Sync!$M1713)</f>
        <v/>
      </c>
      <c r="O1713">
        <f>IF($N1713="","",$Q1713)</f>
        <v/>
      </c>
      <c r="P1713">
        <f>IF($N1713="","",LEFT($Q1713,4)&amp;MID($Q1713,6,2)&amp;RIGHT($Q1713,2)&amp;IF(Sync!$K1713="","0000",IF(AND(ISNUMBER(Sync!$K1713),Sync!$K1713&gt;=0,Sync!$K1713&lt;1),RIGHT("00"&amp;HOUR(Sync!$K1713),2)&amp;RIGHT("00"&amp;MINUTE(Sync!$K1713),2),IFERROR(RIGHT("00"&amp;VALUE(LEFT(Sync!$K1713,FIND(":",Sync!$K1713)-1)),2)&amp;RIGHT("00"&amp;VALUE(MID(Sync!$K1713,FIND(":",Sync!$K1713)+1,2)),2),"0000")))&amp;"|"&amp;"2"&amp;RIGHT("00000"&amp;1708,5))</f>
        <v/>
      </c>
      <c r="Q1713">
        <f>IF(Sync!$J1713="","",IF(ISNUMBER(Sync!$J1713),IF(AND(Sync!$J1713&gt;=10000101,Sync!$J1713&lt;=99991231),INT(Sync!$J1713/10000)&amp;"/"&amp;RIGHT("00"&amp;INT(MOD(Sync!$J1713,10000)/100),2)&amp;"/"&amp;RIGHT("00"&amp;MOD(Sync!$J1713,100),2),"نامعتبر"),IF(LEN(Sync!$J1713)=10,Sync!$J1713,"نامعتبر")))</f>
        <v/>
      </c>
      <c r="R1713">
        <f>IF($P1713="","",COUNTIFS($N$6:$N$2005,$N1713,$P$6:$P$2005,"&lt;"&amp;$P1713)+COUNTIFS($A$6:$A$1005,$N1713,$B$6:$B$1005,"&lt;"&amp;$P1713)+1)</f>
        <v/>
      </c>
      <c r="S1713">
        <f>IF($N1713="","",$N1713&amp;"|"&amp;RIGHT("000000"&amp;$R1713,6))</f>
        <v/>
      </c>
      <c r="T1713">
        <f>IF($N1713="","",IF(Sync!$N1713="",0,Sync!$N1713))</f>
        <v/>
      </c>
      <c r="U1713">
        <f>IF($N1713="","",IF(Sync!$O1713="",0,Sync!$O1713))</f>
        <v/>
      </c>
      <c r="V1713">
        <f>IF($N1713="","",Sync!$L1713)</f>
        <v/>
      </c>
      <c r="W1713">
        <f>IF($N1713="","",Sync!$P1713)</f>
        <v/>
      </c>
    </row>
    <row r="1714">
      <c r="N1714">
        <f>IF(OR(Sync!$M1714="",$Q1714="",$Q1714="نامعتبر"),"",Sync!$M1714)</f>
        <v/>
      </c>
      <c r="O1714">
        <f>IF($N1714="","",$Q1714)</f>
        <v/>
      </c>
      <c r="P1714">
        <f>IF($N1714="","",LEFT($Q1714,4)&amp;MID($Q1714,6,2)&amp;RIGHT($Q1714,2)&amp;IF(Sync!$K1714="","0000",IF(AND(ISNUMBER(Sync!$K1714),Sync!$K1714&gt;=0,Sync!$K1714&lt;1),RIGHT("00"&amp;HOUR(Sync!$K1714),2)&amp;RIGHT("00"&amp;MINUTE(Sync!$K1714),2),IFERROR(RIGHT("00"&amp;VALUE(LEFT(Sync!$K1714,FIND(":",Sync!$K1714)-1)),2)&amp;RIGHT("00"&amp;VALUE(MID(Sync!$K1714,FIND(":",Sync!$K1714)+1,2)),2),"0000")))&amp;"|"&amp;"2"&amp;RIGHT("00000"&amp;1709,5))</f>
        <v/>
      </c>
      <c r="Q1714">
        <f>IF(Sync!$J1714="","",IF(ISNUMBER(Sync!$J1714),IF(AND(Sync!$J1714&gt;=10000101,Sync!$J1714&lt;=99991231),INT(Sync!$J1714/10000)&amp;"/"&amp;RIGHT("00"&amp;INT(MOD(Sync!$J1714,10000)/100),2)&amp;"/"&amp;RIGHT("00"&amp;MOD(Sync!$J1714,100),2),"نامعتبر"),IF(LEN(Sync!$J1714)=10,Sync!$J1714,"نامعتبر")))</f>
        <v/>
      </c>
      <c r="R1714">
        <f>IF($P1714="","",COUNTIFS($N$6:$N$2005,$N1714,$P$6:$P$2005,"&lt;"&amp;$P1714)+COUNTIFS($A$6:$A$1005,$N1714,$B$6:$B$1005,"&lt;"&amp;$P1714)+1)</f>
        <v/>
      </c>
      <c r="S1714">
        <f>IF($N1714="","",$N1714&amp;"|"&amp;RIGHT("000000"&amp;$R1714,6))</f>
        <v/>
      </c>
      <c r="T1714">
        <f>IF($N1714="","",IF(Sync!$N1714="",0,Sync!$N1714))</f>
        <v/>
      </c>
      <c r="U1714">
        <f>IF($N1714="","",IF(Sync!$O1714="",0,Sync!$O1714))</f>
        <v/>
      </c>
      <c r="V1714">
        <f>IF($N1714="","",Sync!$L1714)</f>
        <v/>
      </c>
      <c r="W1714">
        <f>IF($N1714="","",Sync!$P1714)</f>
        <v/>
      </c>
    </row>
    <row r="1715">
      <c r="N1715">
        <f>IF(OR(Sync!$M1715="",$Q1715="",$Q1715="نامعتبر"),"",Sync!$M1715)</f>
        <v/>
      </c>
      <c r="O1715">
        <f>IF($N1715="","",$Q1715)</f>
        <v/>
      </c>
      <c r="P1715">
        <f>IF($N1715="","",LEFT($Q1715,4)&amp;MID($Q1715,6,2)&amp;RIGHT($Q1715,2)&amp;IF(Sync!$K1715="","0000",IF(AND(ISNUMBER(Sync!$K1715),Sync!$K1715&gt;=0,Sync!$K1715&lt;1),RIGHT("00"&amp;HOUR(Sync!$K1715),2)&amp;RIGHT("00"&amp;MINUTE(Sync!$K1715),2),IFERROR(RIGHT("00"&amp;VALUE(LEFT(Sync!$K1715,FIND(":",Sync!$K1715)-1)),2)&amp;RIGHT("00"&amp;VALUE(MID(Sync!$K1715,FIND(":",Sync!$K1715)+1,2)),2),"0000")))&amp;"|"&amp;"2"&amp;RIGHT("00000"&amp;1710,5))</f>
        <v/>
      </c>
      <c r="Q1715">
        <f>IF(Sync!$J1715="","",IF(ISNUMBER(Sync!$J1715),IF(AND(Sync!$J1715&gt;=10000101,Sync!$J1715&lt;=99991231),INT(Sync!$J1715/10000)&amp;"/"&amp;RIGHT("00"&amp;INT(MOD(Sync!$J1715,10000)/100),2)&amp;"/"&amp;RIGHT("00"&amp;MOD(Sync!$J1715,100),2),"نامعتبر"),IF(LEN(Sync!$J1715)=10,Sync!$J1715,"نامعتبر")))</f>
        <v/>
      </c>
      <c r="R1715">
        <f>IF($P1715="","",COUNTIFS($N$6:$N$2005,$N1715,$P$6:$P$2005,"&lt;"&amp;$P1715)+COUNTIFS($A$6:$A$1005,$N1715,$B$6:$B$1005,"&lt;"&amp;$P1715)+1)</f>
        <v/>
      </c>
      <c r="S1715">
        <f>IF($N1715="","",$N1715&amp;"|"&amp;RIGHT("000000"&amp;$R1715,6))</f>
        <v/>
      </c>
      <c r="T1715">
        <f>IF($N1715="","",IF(Sync!$N1715="",0,Sync!$N1715))</f>
        <v/>
      </c>
      <c r="U1715">
        <f>IF($N1715="","",IF(Sync!$O1715="",0,Sync!$O1715))</f>
        <v/>
      </c>
      <c r="V1715">
        <f>IF($N1715="","",Sync!$L1715)</f>
        <v/>
      </c>
      <c r="W1715">
        <f>IF($N1715="","",Sync!$P1715)</f>
        <v/>
      </c>
    </row>
    <row r="1716">
      <c r="N1716">
        <f>IF(OR(Sync!$M1716="",$Q1716="",$Q1716="نامعتبر"),"",Sync!$M1716)</f>
        <v/>
      </c>
      <c r="O1716">
        <f>IF($N1716="","",$Q1716)</f>
        <v/>
      </c>
      <c r="P1716">
        <f>IF($N1716="","",LEFT($Q1716,4)&amp;MID($Q1716,6,2)&amp;RIGHT($Q1716,2)&amp;IF(Sync!$K1716="","0000",IF(AND(ISNUMBER(Sync!$K1716),Sync!$K1716&gt;=0,Sync!$K1716&lt;1),RIGHT("00"&amp;HOUR(Sync!$K1716),2)&amp;RIGHT("00"&amp;MINUTE(Sync!$K1716),2),IFERROR(RIGHT("00"&amp;VALUE(LEFT(Sync!$K1716,FIND(":",Sync!$K1716)-1)),2)&amp;RIGHT("00"&amp;VALUE(MID(Sync!$K1716,FIND(":",Sync!$K1716)+1,2)),2),"0000")))&amp;"|"&amp;"2"&amp;RIGHT("00000"&amp;1711,5))</f>
        <v/>
      </c>
      <c r="Q1716">
        <f>IF(Sync!$J1716="","",IF(ISNUMBER(Sync!$J1716),IF(AND(Sync!$J1716&gt;=10000101,Sync!$J1716&lt;=99991231),INT(Sync!$J1716/10000)&amp;"/"&amp;RIGHT("00"&amp;INT(MOD(Sync!$J1716,10000)/100),2)&amp;"/"&amp;RIGHT("00"&amp;MOD(Sync!$J1716,100),2),"نامعتبر"),IF(LEN(Sync!$J1716)=10,Sync!$J1716,"نامعتبر")))</f>
        <v/>
      </c>
      <c r="R1716">
        <f>IF($P1716="","",COUNTIFS($N$6:$N$2005,$N1716,$P$6:$P$2005,"&lt;"&amp;$P1716)+COUNTIFS($A$6:$A$1005,$N1716,$B$6:$B$1005,"&lt;"&amp;$P1716)+1)</f>
        <v/>
      </c>
      <c r="S1716">
        <f>IF($N1716="","",$N1716&amp;"|"&amp;RIGHT("000000"&amp;$R1716,6))</f>
        <v/>
      </c>
      <c r="T1716">
        <f>IF($N1716="","",IF(Sync!$N1716="",0,Sync!$N1716))</f>
        <v/>
      </c>
      <c r="U1716">
        <f>IF($N1716="","",IF(Sync!$O1716="",0,Sync!$O1716))</f>
        <v/>
      </c>
      <c r="V1716">
        <f>IF($N1716="","",Sync!$L1716)</f>
        <v/>
      </c>
      <c r="W1716">
        <f>IF($N1716="","",Sync!$P1716)</f>
        <v/>
      </c>
    </row>
    <row r="1717">
      <c r="N1717">
        <f>IF(OR(Sync!$M1717="",$Q1717="",$Q1717="نامعتبر"),"",Sync!$M1717)</f>
        <v/>
      </c>
      <c r="O1717">
        <f>IF($N1717="","",$Q1717)</f>
        <v/>
      </c>
      <c r="P1717">
        <f>IF($N1717="","",LEFT($Q1717,4)&amp;MID($Q1717,6,2)&amp;RIGHT($Q1717,2)&amp;IF(Sync!$K1717="","0000",IF(AND(ISNUMBER(Sync!$K1717),Sync!$K1717&gt;=0,Sync!$K1717&lt;1),RIGHT("00"&amp;HOUR(Sync!$K1717),2)&amp;RIGHT("00"&amp;MINUTE(Sync!$K1717),2),IFERROR(RIGHT("00"&amp;VALUE(LEFT(Sync!$K1717,FIND(":",Sync!$K1717)-1)),2)&amp;RIGHT("00"&amp;VALUE(MID(Sync!$K1717,FIND(":",Sync!$K1717)+1,2)),2),"0000")))&amp;"|"&amp;"2"&amp;RIGHT("00000"&amp;1712,5))</f>
        <v/>
      </c>
      <c r="Q1717">
        <f>IF(Sync!$J1717="","",IF(ISNUMBER(Sync!$J1717),IF(AND(Sync!$J1717&gt;=10000101,Sync!$J1717&lt;=99991231),INT(Sync!$J1717/10000)&amp;"/"&amp;RIGHT("00"&amp;INT(MOD(Sync!$J1717,10000)/100),2)&amp;"/"&amp;RIGHT("00"&amp;MOD(Sync!$J1717,100),2),"نامعتبر"),IF(LEN(Sync!$J1717)=10,Sync!$J1717,"نامعتبر")))</f>
        <v/>
      </c>
      <c r="R1717">
        <f>IF($P1717="","",COUNTIFS($N$6:$N$2005,$N1717,$P$6:$P$2005,"&lt;"&amp;$P1717)+COUNTIFS($A$6:$A$1005,$N1717,$B$6:$B$1005,"&lt;"&amp;$P1717)+1)</f>
        <v/>
      </c>
      <c r="S1717">
        <f>IF($N1717="","",$N1717&amp;"|"&amp;RIGHT("000000"&amp;$R1717,6))</f>
        <v/>
      </c>
      <c r="T1717">
        <f>IF($N1717="","",IF(Sync!$N1717="",0,Sync!$N1717))</f>
        <v/>
      </c>
      <c r="U1717">
        <f>IF($N1717="","",IF(Sync!$O1717="",0,Sync!$O1717))</f>
        <v/>
      </c>
      <c r="V1717">
        <f>IF($N1717="","",Sync!$L1717)</f>
        <v/>
      </c>
      <c r="W1717">
        <f>IF($N1717="","",Sync!$P1717)</f>
        <v/>
      </c>
    </row>
    <row r="1718">
      <c r="N1718">
        <f>IF(OR(Sync!$M1718="",$Q1718="",$Q1718="نامعتبر"),"",Sync!$M1718)</f>
        <v/>
      </c>
      <c r="O1718">
        <f>IF($N1718="","",$Q1718)</f>
        <v/>
      </c>
      <c r="P1718">
        <f>IF($N1718="","",LEFT($Q1718,4)&amp;MID($Q1718,6,2)&amp;RIGHT($Q1718,2)&amp;IF(Sync!$K1718="","0000",IF(AND(ISNUMBER(Sync!$K1718),Sync!$K1718&gt;=0,Sync!$K1718&lt;1),RIGHT("00"&amp;HOUR(Sync!$K1718),2)&amp;RIGHT("00"&amp;MINUTE(Sync!$K1718),2),IFERROR(RIGHT("00"&amp;VALUE(LEFT(Sync!$K1718,FIND(":",Sync!$K1718)-1)),2)&amp;RIGHT("00"&amp;VALUE(MID(Sync!$K1718,FIND(":",Sync!$K1718)+1,2)),2),"0000")))&amp;"|"&amp;"2"&amp;RIGHT("00000"&amp;1713,5))</f>
        <v/>
      </c>
      <c r="Q1718">
        <f>IF(Sync!$J1718="","",IF(ISNUMBER(Sync!$J1718),IF(AND(Sync!$J1718&gt;=10000101,Sync!$J1718&lt;=99991231),INT(Sync!$J1718/10000)&amp;"/"&amp;RIGHT("00"&amp;INT(MOD(Sync!$J1718,10000)/100),2)&amp;"/"&amp;RIGHT("00"&amp;MOD(Sync!$J1718,100),2),"نامعتبر"),IF(LEN(Sync!$J1718)=10,Sync!$J1718,"نامعتبر")))</f>
        <v/>
      </c>
      <c r="R1718">
        <f>IF($P1718="","",COUNTIFS($N$6:$N$2005,$N1718,$P$6:$P$2005,"&lt;"&amp;$P1718)+COUNTIFS($A$6:$A$1005,$N1718,$B$6:$B$1005,"&lt;"&amp;$P1718)+1)</f>
        <v/>
      </c>
      <c r="S1718">
        <f>IF($N1718="","",$N1718&amp;"|"&amp;RIGHT("000000"&amp;$R1718,6))</f>
        <v/>
      </c>
      <c r="T1718">
        <f>IF($N1718="","",IF(Sync!$N1718="",0,Sync!$N1718))</f>
        <v/>
      </c>
      <c r="U1718">
        <f>IF($N1718="","",IF(Sync!$O1718="",0,Sync!$O1718))</f>
        <v/>
      </c>
      <c r="V1718">
        <f>IF($N1718="","",Sync!$L1718)</f>
        <v/>
      </c>
      <c r="W1718">
        <f>IF($N1718="","",Sync!$P1718)</f>
        <v/>
      </c>
    </row>
    <row r="1719">
      <c r="N1719">
        <f>IF(OR(Sync!$M1719="",$Q1719="",$Q1719="نامعتبر"),"",Sync!$M1719)</f>
        <v/>
      </c>
      <c r="O1719">
        <f>IF($N1719="","",$Q1719)</f>
        <v/>
      </c>
      <c r="P1719">
        <f>IF($N1719="","",LEFT($Q1719,4)&amp;MID($Q1719,6,2)&amp;RIGHT($Q1719,2)&amp;IF(Sync!$K1719="","0000",IF(AND(ISNUMBER(Sync!$K1719),Sync!$K1719&gt;=0,Sync!$K1719&lt;1),RIGHT("00"&amp;HOUR(Sync!$K1719),2)&amp;RIGHT("00"&amp;MINUTE(Sync!$K1719),2),IFERROR(RIGHT("00"&amp;VALUE(LEFT(Sync!$K1719,FIND(":",Sync!$K1719)-1)),2)&amp;RIGHT("00"&amp;VALUE(MID(Sync!$K1719,FIND(":",Sync!$K1719)+1,2)),2),"0000")))&amp;"|"&amp;"2"&amp;RIGHT("00000"&amp;1714,5))</f>
        <v/>
      </c>
      <c r="Q1719">
        <f>IF(Sync!$J1719="","",IF(ISNUMBER(Sync!$J1719),IF(AND(Sync!$J1719&gt;=10000101,Sync!$J1719&lt;=99991231),INT(Sync!$J1719/10000)&amp;"/"&amp;RIGHT("00"&amp;INT(MOD(Sync!$J1719,10000)/100),2)&amp;"/"&amp;RIGHT("00"&amp;MOD(Sync!$J1719,100),2),"نامعتبر"),IF(LEN(Sync!$J1719)=10,Sync!$J1719,"نامعتبر")))</f>
        <v/>
      </c>
      <c r="R1719">
        <f>IF($P1719="","",COUNTIFS($N$6:$N$2005,$N1719,$P$6:$P$2005,"&lt;"&amp;$P1719)+COUNTIFS($A$6:$A$1005,$N1719,$B$6:$B$1005,"&lt;"&amp;$P1719)+1)</f>
        <v/>
      </c>
      <c r="S1719">
        <f>IF($N1719="","",$N1719&amp;"|"&amp;RIGHT("000000"&amp;$R1719,6))</f>
        <v/>
      </c>
      <c r="T1719">
        <f>IF($N1719="","",IF(Sync!$N1719="",0,Sync!$N1719))</f>
        <v/>
      </c>
      <c r="U1719">
        <f>IF($N1719="","",IF(Sync!$O1719="",0,Sync!$O1719))</f>
        <v/>
      </c>
      <c r="V1719">
        <f>IF($N1719="","",Sync!$L1719)</f>
        <v/>
      </c>
      <c r="W1719">
        <f>IF($N1719="","",Sync!$P1719)</f>
        <v/>
      </c>
    </row>
    <row r="1720">
      <c r="N1720">
        <f>IF(OR(Sync!$M1720="",$Q1720="",$Q1720="نامعتبر"),"",Sync!$M1720)</f>
        <v/>
      </c>
      <c r="O1720">
        <f>IF($N1720="","",$Q1720)</f>
        <v/>
      </c>
      <c r="P1720">
        <f>IF($N1720="","",LEFT($Q1720,4)&amp;MID($Q1720,6,2)&amp;RIGHT($Q1720,2)&amp;IF(Sync!$K1720="","0000",IF(AND(ISNUMBER(Sync!$K1720),Sync!$K1720&gt;=0,Sync!$K1720&lt;1),RIGHT("00"&amp;HOUR(Sync!$K1720),2)&amp;RIGHT("00"&amp;MINUTE(Sync!$K1720),2),IFERROR(RIGHT("00"&amp;VALUE(LEFT(Sync!$K1720,FIND(":",Sync!$K1720)-1)),2)&amp;RIGHT("00"&amp;VALUE(MID(Sync!$K1720,FIND(":",Sync!$K1720)+1,2)),2),"0000")))&amp;"|"&amp;"2"&amp;RIGHT("00000"&amp;1715,5))</f>
        <v/>
      </c>
      <c r="Q1720">
        <f>IF(Sync!$J1720="","",IF(ISNUMBER(Sync!$J1720),IF(AND(Sync!$J1720&gt;=10000101,Sync!$J1720&lt;=99991231),INT(Sync!$J1720/10000)&amp;"/"&amp;RIGHT("00"&amp;INT(MOD(Sync!$J1720,10000)/100),2)&amp;"/"&amp;RIGHT("00"&amp;MOD(Sync!$J1720,100),2),"نامعتبر"),IF(LEN(Sync!$J1720)=10,Sync!$J1720,"نامعتبر")))</f>
        <v/>
      </c>
      <c r="R1720">
        <f>IF($P1720="","",COUNTIFS($N$6:$N$2005,$N1720,$P$6:$P$2005,"&lt;"&amp;$P1720)+COUNTIFS($A$6:$A$1005,$N1720,$B$6:$B$1005,"&lt;"&amp;$P1720)+1)</f>
        <v/>
      </c>
      <c r="S1720">
        <f>IF($N1720="","",$N1720&amp;"|"&amp;RIGHT("000000"&amp;$R1720,6))</f>
        <v/>
      </c>
      <c r="T1720">
        <f>IF($N1720="","",IF(Sync!$N1720="",0,Sync!$N1720))</f>
        <v/>
      </c>
      <c r="U1720">
        <f>IF($N1720="","",IF(Sync!$O1720="",0,Sync!$O1720))</f>
        <v/>
      </c>
      <c r="V1720">
        <f>IF($N1720="","",Sync!$L1720)</f>
        <v/>
      </c>
      <c r="W1720">
        <f>IF($N1720="","",Sync!$P1720)</f>
        <v/>
      </c>
    </row>
    <row r="1721">
      <c r="N1721">
        <f>IF(OR(Sync!$M1721="",$Q1721="",$Q1721="نامعتبر"),"",Sync!$M1721)</f>
        <v/>
      </c>
      <c r="O1721">
        <f>IF($N1721="","",$Q1721)</f>
        <v/>
      </c>
      <c r="P1721">
        <f>IF($N1721="","",LEFT($Q1721,4)&amp;MID($Q1721,6,2)&amp;RIGHT($Q1721,2)&amp;IF(Sync!$K1721="","0000",IF(AND(ISNUMBER(Sync!$K1721),Sync!$K1721&gt;=0,Sync!$K1721&lt;1),RIGHT("00"&amp;HOUR(Sync!$K1721),2)&amp;RIGHT("00"&amp;MINUTE(Sync!$K1721),2),IFERROR(RIGHT("00"&amp;VALUE(LEFT(Sync!$K1721,FIND(":",Sync!$K1721)-1)),2)&amp;RIGHT("00"&amp;VALUE(MID(Sync!$K1721,FIND(":",Sync!$K1721)+1,2)),2),"0000")))&amp;"|"&amp;"2"&amp;RIGHT("00000"&amp;1716,5))</f>
        <v/>
      </c>
      <c r="Q1721">
        <f>IF(Sync!$J1721="","",IF(ISNUMBER(Sync!$J1721),IF(AND(Sync!$J1721&gt;=10000101,Sync!$J1721&lt;=99991231),INT(Sync!$J1721/10000)&amp;"/"&amp;RIGHT("00"&amp;INT(MOD(Sync!$J1721,10000)/100),2)&amp;"/"&amp;RIGHT("00"&amp;MOD(Sync!$J1721,100),2),"نامعتبر"),IF(LEN(Sync!$J1721)=10,Sync!$J1721,"نامعتبر")))</f>
        <v/>
      </c>
      <c r="R1721">
        <f>IF($P1721="","",COUNTIFS($N$6:$N$2005,$N1721,$P$6:$P$2005,"&lt;"&amp;$P1721)+COUNTIFS($A$6:$A$1005,$N1721,$B$6:$B$1005,"&lt;"&amp;$P1721)+1)</f>
        <v/>
      </c>
      <c r="S1721">
        <f>IF($N1721="","",$N1721&amp;"|"&amp;RIGHT("000000"&amp;$R1721,6))</f>
        <v/>
      </c>
      <c r="T1721">
        <f>IF($N1721="","",IF(Sync!$N1721="",0,Sync!$N1721))</f>
        <v/>
      </c>
      <c r="U1721">
        <f>IF($N1721="","",IF(Sync!$O1721="",0,Sync!$O1721))</f>
        <v/>
      </c>
      <c r="V1721">
        <f>IF($N1721="","",Sync!$L1721)</f>
        <v/>
      </c>
      <c r="W1721">
        <f>IF($N1721="","",Sync!$P1721)</f>
        <v/>
      </c>
    </row>
    <row r="1722">
      <c r="N1722">
        <f>IF(OR(Sync!$M1722="",$Q1722="",$Q1722="نامعتبر"),"",Sync!$M1722)</f>
        <v/>
      </c>
      <c r="O1722">
        <f>IF($N1722="","",$Q1722)</f>
        <v/>
      </c>
      <c r="P1722">
        <f>IF($N1722="","",LEFT($Q1722,4)&amp;MID($Q1722,6,2)&amp;RIGHT($Q1722,2)&amp;IF(Sync!$K1722="","0000",IF(AND(ISNUMBER(Sync!$K1722),Sync!$K1722&gt;=0,Sync!$K1722&lt;1),RIGHT("00"&amp;HOUR(Sync!$K1722),2)&amp;RIGHT("00"&amp;MINUTE(Sync!$K1722),2),IFERROR(RIGHT("00"&amp;VALUE(LEFT(Sync!$K1722,FIND(":",Sync!$K1722)-1)),2)&amp;RIGHT("00"&amp;VALUE(MID(Sync!$K1722,FIND(":",Sync!$K1722)+1,2)),2),"0000")))&amp;"|"&amp;"2"&amp;RIGHT("00000"&amp;1717,5))</f>
        <v/>
      </c>
      <c r="Q1722">
        <f>IF(Sync!$J1722="","",IF(ISNUMBER(Sync!$J1722),IF(AND(Sync!$J1722&gt;=10000101,Sync!$J1722&lt;=99991231),INT(Sync!$J1722/10000)&amp;"/"&amp;RIGHT("00"&amp;INT(MOD(Sync!$J1722,10000)/100),2)&amp;"/"&amp;RIGHT("00"&amp;MOD(Sync!$J1722,100),2),"نامعتبر"),IF(LEN(Sync!$J1722)=10,Sync!$J1722,"نامعتبر")))</f>
        <v/>
      </c>
      <c r="R1722">
        <f>IF($P1722="","",COUNTIFS($N$6:$N$2005,$N1722,$P$6:$P$2005,"&lt;"&amp;$P1722)+COUNTIFS($A$6:$A$1005,$N1722,$B$6:$B$1005,"&lt;"&amp;$P1722)+1)</f>
        <v/>
      </c>
      <c r="S1722">
        <f>IF($N1722="","",$N1722&amp;"|"&amp;RIGHT("000000"&amp;$R1722,6))</f>
        <v/>
      </c>
      <c r="T1722">
        <f>IF($N1722="","",IF(Sync!$N1722="",0,Sync!$N1722))</f>
        <v/>
      </c>
      <c r="U1722">
        <f>IF($N1722="","",IF(Sync!$O1722="",0,Sync!$O1722))</f>
        <v/>
      </c>
      <c r="V1722">
        <f>IF($N1722="","",Sync!$L1722)</f>
        <v/>
      </c>
      <c r="W1722">
        <f>IF($N1722="","",Sync!$P1722)</f>
        <v/>
      </c>
    </row>
    <row r="1723">
      <c r="N1723">
        <f>IF(OR(Sync!$M1723="",$Q1723="",$Q1723="نامعتبر"),"",Sync!$M1723)</f>
        <v/>
      </c>
      <c r="O1723">
        <f>IF($N1723="","",$Q1723)</f>
        <v/>
      </c>
      <c r="P1723">
        <f>IF($N1723="","",LEFT($Q1723,4)&amp;MID($Q1723,6,2)&amp;RIGHT($Q1723,2)&amp;IF(Sync!$K1723="","0000",IF(AND(ISNUMBER(Sync!$K1723),Sync!$K1723&gt;=0,Sync!$K1723&lt;1),RIGHT("00"&amp;HOUR(Sync!$K1723),2)&amp;RIGHT("00"&amp;MINUTE(Sync!$K1723),2),IFERROR(RIGHT("00"&amp;VALUE(LEFT(Sync!$K1723,FIND(":",Sync!$K1723)-1)),2)&amp;RIGHT("00"&amp;VALUE(MID(Sync!$K1723,FIND(":",Sync!$K1723)+1,2)),2),"0000")))&amp;"|"&amp;"2"&amp;RIGHT("00000"&amp;1718,5))</f>
        <v/>
      </c>
      <c r="Q1723">
        <f>IF(Sync!$J1723="","",IF(ISNUMBER(Sync!$J1723),IF(AND(Sync!$J1723&gt;=10000101,Sync!$J1723&lt;=99991231),INT(Sync!$J1723/10000)&amp;"/"&amp;RIGHT("00"&amp;INT(MOD(Sync!$J1723,10000)/100),2)&amp;"/"&amp;RIGHT("00"&amp;MOD(Sync!$J1723,100),2),"نامعتبر"),IF(LEN(Sync!$J1723)=10,Sync!$J1723,"نامعتبر")))</f>
        <v/>
      </c>
      <c r="R1723">
        <f>IF($P1723="","",COUNTIFS($N$6:$N$2005,$N1723,$P$6:$P$2005,"&lt;"&amp;$P1723)+COUNTIFS($A$6:$A$1005,$N1723,$B$6:$B$1005,"&lt;"&amp;$P1723)+1)</f>
        <v/>
      </c>
      <c r="S1723">
        <f>IF($N1723="","",$N1723&amp;"|"&amp;RIGHT("000000"&amp;$R1723,6))</f>
        <v/>
      </c>
      <c r="T1723">
        <f>IF($N1723="","",IF(Sync!$N1723="",0,Sync!$N1723))</f>
        <v/>
      </c>
      <c r="U1723">
        <f>IF($N1723="","",IF(Sync!$O1723="",0,Sync!$O1723))</f>
        <v/>
      </c>
      <c r="V1723">
        <f>IF($N1723="","",Sync!$L1723)</f>
        <v/>
      </c>
      <c r="W1723">
        <f>IF($N1723="","",Sync!$P1723)</f>
        <v/>
      </c>
    </row>
    <row r="1724">
      <c r="N1724">
        <f>IF(OR(Sync!$M1724="",$Q1724="",$Q1724="نامعتبر"),"",Sync!$M1724)</f>
        <v/>
      </c>
      <c r="O1724">
        <f>IF($N1724="","",$Q1724)</f>
        <v/>
      </c>
      <c r="P1724">
        <f>IF($N1724="","",LEFT($Q1724,4)&amp;MID($Q1724,6,2)&amp;RIGHT($Q1724,2)&amp;IF(Sync!$K1724="","0000",IF(AND(ISNUMBER(Sync!$K1724),Sync!$K1724&gt;=0,Sync!$K1724&lt;1),RIGHT("00"&amp;HOUR(Sync!$K1724),2)&amp;RIGHT("00"&amp;MINUTE(Sync!$K1724),2),IFERROR(RIGHT("00"&amp;VALUE(LEFT(Sync!$K1724,FIND(":",Sync!$K1724)-1)),2)&amp;RIGHT("00"&amp;VALUE(MID(Sync!$K1724,FIND(":",Sync!$K1724)+1,2)),2),"0000")))&amp;"|"&amp;"2"&amp;RIGHT("00000"&amp;1719,5))</f>
        <v/>
      </c>
      <c r="Q1724">
        <f>IF(Sync!$J1724="","",IF(ISNUMBER(Sync!$J1724),IF(AND(Sync!$J1724&gt;=10000101,Sync!$J1724&lt;=99991231),INT(Sync!$J1724/10000)&amp;"/"&amp;RIGHT("00"&amp;INT(MOD(Sync!$J1724,10000)/100),2)&amp;"/"&amp;RIGHT("00"&amp;MOD(Sync!$J1724,100),2),"نامعتبر"),IF(LEN(Sync!$J1724)=10,Sync!$J1724,"نامعتبر")))</f>
        <v/>
      </c>
      <c r="R1724">
        <f>IF($P1724="","",COUNTIFS($N$6:$N$2005,$N1724,$P$6:$P$2005,"&lt;"&amp;$P1724)+COUNTIFS($A$6:$A$1005,$N1724,$B$6:$B$1005,"&lt;"&amp;$P1724)+1)</f>
        <v/>
      </c>
      <c r="S1724">
        <f>IF($N1724="","",$N1724&amp;"|"&amp;RIGHT("000000"&amp;$R1724,6))</f>
        <v/>
      </c>
      <c r="T1724">
        <f>IF($N1724="","",IF(Sync!$N1724="",0,Sync!$N1724))</f>
        <v/>
      </c>
      <c r="U1724">
        <f>IF($N1724="","",IF(Sync!$O1724="",0,Sync!$O1724))</f>
        <v/>
      </c>
      <c r="V1724">
        <f>IF($N1724="","",Sync!$L1724)</f>
        <v/>
      </c>
      <c r="W1724">
        <f>IF($N1724="","",Sync!$P1724)</f>
        <v/>
      </c>
    </row>
    <row r="1725">
      <c r="N1725">
        <f>IF(OR(Sync!$M1725="",$Q1725="",$Q1725="نامعتبر"),"",Sync!$M1725)</f>
        <v/>
      </c>
      <c r="O1725">
        <f>IF($N1725="","",$Q1725)</f>
        <v/>
      </c>
      <c r="P1725">
        <f>IF($N1725="","",LEFT($Q1725,4)&amp;MID($Q1725,6,2)&amp;RIGHT($Q1725,2)&amp;IF(Sync!$K1725="","0000",IF(AND(ISNUMBER(Sync!$K1725),Sync!$K1725&gt;=0,Sync!$K1725&lt;1),RIGHT("00"&amp;HOUR(Sync!$K1725),2)&amp;RIGHT("00"&amp;MINUTE(Sync!$K1725),2),IFERROR(RIGHT("00"&amp;VALUE(LEFT(Sync!$K1725,FIND(":",Sync!$K1725)-1)),2)&amp;RIGHT("00"&amp;VALUE(MID(Sync!$K1725,FIND(":",Sync!$K1725)+1,2)),2),"0000")))&amp;"|"&amp;"2"&amp;RIGHT("00000"&amp;1720,5))</f>
        <v/>
      </c>
      <c r="Q1725">
        <f>IF(Sync!$J1725="","",IF(ISNUMBER(Sync!$J1725),IF(AND(Sync!$J1725&gt;=10000101,Sync!$J1725&lt;=99991231),INT(Sync!$J1725/10000)&amp;"/"&amp;RIGHT("00"&amp;INT(MOD(Sync!$J1725,10000)/100),2)&amp;"/"&amp;RIGHT("00"&amp;MOD(Sync!$J1725,100),2),"نامعتبر"),IF(LEN(Sync!$J1725)=10,Sync!$J1725,"نامعتبر")))</f>
        <v/>
      </c>
      <c r="R1725">
        <f>IF($P1725="","",COUNTIFS($N$6:$N$2005,$N1725,$P$6:$P$2005,"&lt;"&amp;$P1725)+COUNTIFS($A$6:$A$1005,$N1725,$B$6:$B$1005,"&lt;"&amp;$P1725)+1)</f>
        <v/>
      </c>
      <c r="S1725">
        <f>IF($N1725="","",$N1725&amp;"|"&amp;RIGHT("000000"&amp;$R1725,6))</f>
        <v/>
      </c>
      <c r="T1725">
        <f>IF($N1725="","",IF(Sync!$N1725="",0,Sync!$N1725))</f>
        <v/>
      </c>
      <c r="U1725">
        <f>IF($N1725="","",IF(Sync!$O1725="",0,Sync!$O1725))</f>
        <v/>
      </c>
      <c r="V1725">
        <f>IF($N1725="","",Sync!$L1725)</f>
        <v/>
      </c>
      <c r="W1725">
        <f>IF($N1725="","",Sync!$P1725)</f>
        <v/>
      </c>
    </row>
    <row r="1726">
      <c r="N1726">
        <f>IF(OR(Sync!$M1726="",$Q1726="",$Q1726="نامعتبر"),"",Sync!$M1726)</f>
        <v/>
      </c>
      <c r="O1726">
        <f>IF($N1726="","",$Q1726)</f>
        <v/>
      </c>
      <c r="P1726">
        <f>IF($N1726="","",LEFT($Q1726,4)&amp;MID($Q1726,6,2)&amp;RIGHT($Q1726,2)&amp;IF(Sync!$K1726="","0000",IF(AND(ISNUMBER(Sync!$K1726),Sync!$K1726&gt;=0,Sync!$K1726&lt;1),RIGHT("00"&amp;HOUR(Sync!$K1726),2)&amp;RIGHT("00"&amp;MINUTE(Sync!$K1726),2),IFERROR(RIGHT("00"&amp;VALUE(LEFT(Sync!$K1726,FIND(":",Sync!$K1726)-1)),2)&amp;RIGHT("00"&amp;VALUE(MID(Sync!$K1726,FIND(":",Sync!$K1726)+1,2)),2),"0000")))&amp;"|"&amp;"2"&amp;RIGHT("00000"&amp;1721,5))</f>
        <v/>
      </c>
      <c r="Q1726">
        <f>IF(Sync!$J1726="","",IF(ISNUMBER(Sync!$J1726),IF(AND(Sync!$J1726&gt;=10000101,Sync!$J1726&lt;=99991231),INT(Sync!$J1726/10000)&amp;"/"&amp;RIGHT("00"&amp;INT(MOD(Sync!$J1726,10000)/100),2)&amp;"/"&amp;RIGHT("00"&amp;MOD(Sync!$J1726,100),2),"نامعتبر"),IF(LEN(Sync!$J1726)=10,Sync!$J1726,"نامعتبر")))</f>
        <v/>
      </c>
      <c r="R1726">
        <f>IF($P1726="","",COUNTIFS($N$6:$N$2005,$N1726,$P$6:$P$2005,"&lt;"&amp;$P1726)+COUNTIFS($A$6:$A$1005,$N1726,$B$6:$B$1005,"&lt;"&amp;$P1726)+1)</f>
        <v/>
      </c>
      <c r="S1726">
        <f>IF($N1726="","",$N1726&amp;"|"&amp;RIGHT("000000"&amp;$R1726,6))</f>
        <v/>
      </c>
      <c r="T1726">
        <f>IF($N1726="","",IF(Sync!$N1726="",0,Sync!$N1726))</f>
        <v/>
      </c>
      <c r="U1726">
        <f>IF($N1726="","",IF(Sync!$O1726="",0,Sync!$O1726))</f>
        <v/>
      </c>
      <c r="V1726">
        <f>IF($N1726="","",Sync!$L1726)</f>
        <v/>
      </c>
      <c r="W1726">
        <f>IF($N1726="","",Sync!$P1726)</f>
        <v/>
      </c>
    </row>
    <row r="1727">
      <c r="N1727">
        <f>IF(OR(Sync!$M1727="",$Q1727="",$Q1727="نامعتبر"),"",Sync!$M1727)</f>
        <v/>
      </c>
      <c r="O1727">
        <f>IF($N1727="","",$Q1727)</f>
        <v/>
      </c>
      <c r="P1727">
        <f>IF($N1727="","",LEFT($Q1727,4)&amp;MID($Q1727,6,2)&amp;RIGHT($Q1727,2)&amp;IF(Sync!$K1727="","0000",IF(AND(ISNUMBER(Sync!$K1727),Sync!$K1727&gt;=0,Sync!$K1727&lt;1),RIGHT("00"&amp;HOUR(Sync!$K1727),2)&amp;RIGHT("00"&amp;MINUTE(Sync!$K1727),2),IFERROR(RIGHT("00"&amp;VALUE(LEFT(Sync!$K1727,FIND(":",Sync!$K1727)-1)),2)&amp;RIGHT("00"&amp;VALUE(MID(Sync!$K1727,FIND(":",Sync!$K1727)+1,2)),2),"0000")))&amp;"|"&amp;"2"&amp;RIGHT("00000"&amp;1722,5))</f>
        <v/>
      </c>
      <c r="Q1727">
        <f>IF(Sync!$J1727="","",IF(ISNUMBER(Sync!$J1727),IF(AND(Sync!$J1727&gt;=10000101,Sync!$J1727&lt;=99991231),INT(Sync!$J1727/10000)&amp;"/"&amp;RIGHT("00"&amp;INT(MOD(Sync!$J1727,10000)/100),2)&amp;"/"&amp;RIGHT("00"&amp;MOD(Sync!$J1727,100),2),"نامعتبر"),IF(LEN(Sync!$J1727)=10,Sync!$J1727,"نامعتبر")))</f>
        <v/>
      </c>
      <c r="R1727">
        <f>IF($P1727="","",COUNTIFS($N$6:$N$2005,$N1727,$P$6:$P$2005,"&lt;"&amp;$P1727)+COUNTIFS($A$6:$A$1005,$N1727,$B$6:$B$1005,"&lt;"&amp;$P1727)+1)</f>
        <v/>
      </c>
      <c r="S1727">
        <f>IF($N1727="","",$N1727&amp;"|"&amp;RIGHT("000000"&amp;$R1727,6))</f>
        <v/>
      </c>
      <c r="T1727">
        <f>IF($N1727="","",IF(Sync!$N1727="",0,Sync!$N1727))</f>
        <v/>
      </c>
      <c r="U1727">
        <f>IF($N1727="","",IF(Sync!$O1727="",0,Sync!$O1727))</f>
        <v/>
      </c>
      <c r="V1727">
        <f>IF($N1727="","",Sync!$L1727)</f>
        <v/>
      </c>
      <c r="W1727">
        <f>IF($N1727="","",Sync!$P1727)</f>
        <v/>
      </c>
    </row>
    <row r="1728">
      <c r="N1728">
        <f>IF(OR(Sync!$M1728="",$Q1728="",$Q1728="نامعتبر"),"",Sync!$M1728)</f>
        <v/>
      </c>
      <c r="O1728">
        <f>IF($N1728="","",$Q1728)</f>
        <v/>
      </c>
      <c r="P1728">
        <f>IF($N1728="","",LEFT($Q1728,4)&amp;MID($Q1728,6,2)&amp;RIGHT($Q1728,2)&amp;IF(Sync!$K1728="","0000",IF(AND(ISNUMBER(Sync!$K1728),Sync!$K1728&gt;=0,Sync!$K1728&lt;1),RIGHT("00"&amp;HOUR(Sync!$K1728),2)&amp;RIGHT("00"&amp;MINUTE(Sync!$K1728),2),IFERROR(RIGHT("00"&amp;VALUE(LEFT(Sync!$K1728,FIND(":",Sync!$K1728)-1)),2)&amp;RIGHT("00"&amp;VALUE(MID(Sync!$K1728,FIND(":",Sync!$K1728)+1,2)),2),"0000")))&amp;"|"&amp;"2"&amp;RIGHT("00000"&amp;1723,5))</f>
        <v/>
      </c>
      <c r="Q1728">
        <f>IF(Sync!$J1728="","",IF(ISNUMBER(Sync!$J1728),IF(AND(Sync!$J1728&gt;=10000101,Sync!$J1728&lt;=99991231),INT(Sync!$J1728/10000)&amp;"/"&amp;RIGHT("00"&amp;INT(MOD(Sync!$J1728,10000)/100),2)&amp;"/"&amp;RIGHT("00"&amp;MOD(Sync!$J1728,100),2),"نامعتبر"),IF(LEN(Sync!$J1728)=10,Sync!$J1728,"نامعتبر")))</f>
        <v/>
      </c>
      <c r="R1728">
        <f>IF($P1728="","",COUNTIFS($N$6:$N$2005,$N1728,$P$6:$P$2005,"&lt;"&amp;$P1728)+COUNTIFS($A$6:$A$1005,$N1728,$B$6:$B$1005,"&lt;"&amp;$P1728)+1)</f>
        <v/>
      </c>
      <c r="S1728">
        <f>IF($N1728="","",$N1728&amp;"|"&amp;RIGHT("000000"&amp;$R1728,6))</f>
        <v/>
      </c>
      <c r="T1728">
        <f>IF($N1728="","",IF(Sync!$N1728="",0,Sync!$N1728))</f>
        <v/>
      </c>
      <c r="U1728">
        <f>IF($N1728="","",IF(Sync!$O1728="",0,Sync!$O1728))</f>
        <v/>
      </c>
      <c r="V1728">
        <f>IF($N1728="","",Sync!$L1728)</f>
        <v/>
      </c>
      <c r="W1728">
        <f>IF($N1728="","",Sync!$P1728)</f>
        <v/>
      </c>
    </row>
    <row r="1729">
      <c r="N1729">
        <f>IF(OR(Sync!$M1729="",$Q1729="",$Q1729="نامعتبر"),"",Sync!$M1729)</f>
        <v/>
      </c>
      <c r="O1729">
        <f>IF($N1729="","",$Q1729)</f>
        <v/>
      </c>
      <c r="P1729">
        <f>IF($N1729="","",LEFT($Q1729,4)&amp;MID($Q1729,6,2)&amp;RIGHT($Q1729,2)&amp;IF(Sync!$K1729="","0000",IF(AND(ISNUMBER(Sync!$K1729),Sync!$K1729&gt;=0,Sync!$K1729&lt;1),RIGHT("00"&amp;HOUR(Sync!$K1729),2)&amp;RIGHT("00"&amp;MINUTE(Sync!$K1729),2),IFERROR(RIGHT("00"&amp;VALUE(LEFT(Sync!$K1729,FIND(":",Sync!$K1729)-1)),2)&amp;RIGHT("00"&amp;VALUE(MID(Sync!$K1729,FIND(":",Sync!$K1729)+1,2)),2),"0000")))&amp;"|"&amp;"2"&amp;RIGHT("00000"&amp;1724,5))</f>
        <v/>
      </c>
      <c r="Q1729">
        <f>IF(Sync!$J1729="","",IF(ISNUMBER(Sync!$J1729),IF(AND(Sync!$J1729&gt;=10000101,Sync!$J1729&lt;=99991231),INT(Sync!$J1729/10000)&amp;"/"&amp;RIGHT("00"&amp;INT(MOD(Sync!$J1729,10000)/100),2)&amp;"/"&amp;RIGHT("00"&amp;MOD(Sync!$J1729,100),2),"نامعتبر"),IF(LEN(Sync!$J1729)=10,Sync!$J1729,"نامعتبر")))</f>
        <v/>
      </c>
      <c r="R1729">
        <f>IF($P1729="","",COUNTIFS($N$6:$N$2005,$N1729,$P$6:$P$2005,"&lt;"&amp;$P1729)+COUNTIFS($A$6:$A$1005,$N1729,$B$6:$B$1005,"&lt;"&amp;$P1729)+1)</f>
        <v/>
      </c>
      <c r="S1729">
        <f>IF($N1729="","",$N1729&amp;"|"&amp;RIGHT("000000"&amp;$R1729,6))</f>
        <v/>
      </c>
      <c r="T1729">
        <f>IF($N1729="","",IF(Sync!$N1729="",0,Sync!$N1729))</f>
        <v/>
      </c>
      <c r="U1729">
        <f>IF($N1729="","",IF(Sync!$O1729="",0,Sync!$O1729))</f>
        <v/>
      </c>
      <c r="V1729">
        <f>IF($N1729="","",Sync!$L1729)</f>
        <v/>
      </c>
      <c r="W1729">
        <f>IF($N1729="","",Sync!$P1729)</f>
        <v/>
      </c>
    </row>
    <row r="1730">
      <c r="N1730">
        <f>IF(OR(Sync!$M1730="",$Q1730="",$Q1730="نامعتبر"),"",Sync!$M1730)</f>
        <v/>
      </c>
      <c r="O1730">
        <f>IF($N1730="","",$Q1730)</f>
        <v/>
      </c>
      <c r="P1730">
        <f>IF($N1730="","",LEFT($Q1730,4)&amp;MID($Q1730,6,2)&amp;RIGHT($Q1730,2)&amp;IF(Sync!$K1730="","0000",IF(AND(ISNUMBER(Sync!$K1730),Sync!$K1730&gt;=0,Sync!$K1730&lt;1),RIGHT("00"&amp;HOUR(Sync!$K1730),2)&amp;RIGHT("00"&amp;MINUTE(Sync!$K1730),2),IFERROR(RIGHT("00"&amp;VALUE(LEFT(Sync!$K1730,FIND(":",Sync!$K1730)-1)),2)&amp;RIGHT("00"&amp;VALUE(MID(Sync!$K1730,FIND(":",Sync!$K1730)+1,2)),2),"0000")))&amp;"|"&amp;"2"&amp;RIGHT("00000"&amp;1725,5))</f>
        <v/>
      </c>
      <c r="Q1730">
        <f>IF(Sync!$J1730="","",IF(ISNUMBER(Sync!$J1730),IF(AND(Sync!$J1730&gt;=10000101,Sync!$J1730&lt;=99991231),INT(Sync!$J1730/10000)&amp;"/"&amp;RIGHT("00"&amp;INT(MOD(Sync!$J1730,10000)/100),2)&amp;"/"&amp;RIGHT("00"&amp;MOD(Sync!$J1730,100),2),"نامعتبر"),IF(LEN(Sync!$J1730)=10,Sync!$J1730,"نامعتبر")))</f>
        <v/>
      </c>
      <c r="R1730">
        <f>IF($P1730="","",COUNTIFS($N$6:$N$2005,$N1730,$P$6:$P$2005,"&lt;"&amp;$P1730)+COUNTIFS($A$6:$A$1005,$N1730,$B$6:$B$1005,"&lt;"&amp;$P1730)+1)</f>
        <v/>
      </c>
      <c r="S1730">
        <f>IF($N1730="","",$N1730&amp;"|"&amp;RIGHT("000000"&amp;$R1730,6))</f>
        <v/>
      </c>
      <c r="T1730">
        <f>IF($N1730="","",IF(Sync!$N1730="",0,Sync!$N1730))</f>
        <v/>
      </c>
      <c r="U1730">
        <f>IF($N1730="","",IF(Sync!$O1730="",0,Sync!$O1730))</f>
        <v/>
      </c>
      <c r="V1730">
        <f>IF($N1730="","",Sync!$L1730)</f>
        <v/>
      </c>
      <c r="W1730">
        <f>IF($N1730="","",Sync!$P1730)</f>
        <v/>
      </c>
    </row>
    <row r="1731">
      <c r="N1731">
        <f>IF(OR(Sync!$M1731="",$Q1731="",$Q1731="نامعتبر"),"",Sync!$M1731)</f>
        <v/>
      </c>
      <c r="O1731">
        <f>IF($N1731="","",$Q1731)</f>
        <v/>
      </c>
      <c r="P1731">
        <f>IF($N1731="","",LEFT($Q1731,4)&amp;MID($Q1731,6,2)&amp;RIGHT($Q1731,2)&amp;IF(Sync!$K1731="","0000",IF(AND(ISNUMBER(Sync!$K1731),Sync!$K1731&gt;=0,Sync!$K1731&lt;1),RIGHT("00"&amp;HOUR(Sync!$K1731),2)&amp;RIGHT("00"&amp;MINUTE(Sync!$K1731),2),IFERROR(RIGHT("00"&amp;VALUE(LEFT(Sync!$K1731,FIND(":",Sync!$K1731)-1)),2)&amp;RIGHT("00"&amp;VALUE(MID(Sync!$K1731,FIND(":",Sync!$K1731)+1,2)),2),"0000")))&amp;"|"&amp;"2"&amp;RIGHT("00000"&amp;1726,5))</f>
        <v/>
      </c>
      <c r="Q1731">
        <f>IF(Sync!$J1731="","",IF(ISNUMBER(Sync!$J1731),IF(AND(Sync!$J1731&gt;=10000101,Sync!$J1731&lt;=99991231),INT(Sync!$J1731/10000)&amp;"/"&amp;RIGHT("00"&amp;INT(MOD(Sync!$J1731,10000)/100),2)&amp;"/"&amp;RIGHT("00"&amp;MOD(Sync!$J1731,100),2),"نامعتبر"),IF(LEN(Sync!$J1731)=10,Sync!$J1731,"نامعتبر")))</f>
        <v/>
      </c>
      <c r="R1731">
        <f>IF($P1731="","",COUNTIFS($N$6:$N$2005,$N1731,$P$6:$P$2005,"&lt;"&amp;$P1731)+COUNTIFS($A$6:$A$1005,$N1731,$B$6:$B$1005,"&lt;"&amp;$P1731)+1)</f>
        <v/>
      </c>
      <c r="S1731">
        <f>IF($N1731="","",$N1731&amp;"|"&amp;RIGHT("000000"&amp;$R1731,6))</f>
        <v/>
      </c>
      <c r="T1731">
        <f>IF($N1731="","",IF(Sync!$N1731="",0,Sync!$N1731))</f>
        <v/>
      </c>
      <c r="U1731">
        <f>IF($N1731="","",IF(Sync!$O1731="",0,Sync!$O1731))</f>
        <v/>
      </c>
      <c r="V1731">
        <f>IF($N1731="","",Sync!$L1731)</f>
        <v/>
      </c>
      <c r="W1731">
        <f>IF($N1731="","",Sync!$P1731)</f>
        <v/>
      </c>
    </row>
    <row r="1732">
      <c r="N1732">
        <f>IF(OR(Sync!$M1732="",$Q1732="",$Q1732="نامعتبر"),"",Sync!$M1732)</f>
        <v/>
      </c>
      <c r="O1732">
        <f>IF($N1732="","",$Q1732)</f>
        <v/>
      </c>
      <c r="P1732">
        <f>IF($N1732="","",LEFT($Q1732,4)&amp;MID($Q1732,6,2)&amp;RIGHT($Q1732,2)&amp;IF(Sync!$K1732="","0000",IF(AND(ISNUMBER(Sync!$K1732),Sync!$K1732&gt;=0,Sync!$K1732&lt;1),RIGHT("00"&amp;HOUR(Sync!$K1732),2)&amp;RIGHT("00"&amp;MINUTE(Sync!$K1732),2),IFERROR(RIGHT("00"&amp;VALUE(LEFT(Sync!$K1732,FIND(":",Sync!$K1732)-1)),2)&amp;RIGHT("00"&amp;VALUE(MID(Sync!$K1732,FIND(":",Sync!$K1732)+1,2)),2),"0000")))&amp;"|"&amp;"2"&amp;RIGHT("00000"&amp;1727,5))</f>
        <v/>
      </c>
      <c r="Q1732">
        <f>IF(Sync!$J1732="","",IF(ISNUMBER(Sync!$J1732),IF(AND(Sync!$J1732&gt;=10000101,Sync!$J1732&lt;=99991231),INT(Sync!$J1732/10000)&amp;"/"&amp;RIGHT("00"&amp;INT(MOD(Sync!$J1732,10000)/100),2)&amp;"/"&amp;RIGHT("00"&amp;MOD(Sync!$J1732,100),2),"نامعتبر"),IF(LEN(Sync!$J1732)=10,Sync!$J1732,"نامعتبر")))</f>
        <v/>
      </c>
      <c r="R1732">
        <f>IF($P1732="","",COUNTIFS($N$6:$N$2005,$N1732,$P$6:$P$2005,"&lt;"&amp;$P1732)+COUNTIFS($A$6:$A$1005,$N1732,$B$6:$B$1005,"&lt;"&amp;$P1732)+1)</f>
        <v/>
      </c>
      <c r="S1732">
        <f>IF($N1732="","",$N1732&amp;"|"&amp;RIGHT("000000"&amp;$R1732,6))</f>
        <v/>
      </c>
      <c r="T1732">
        <f>IF($N1732="","",IF(Sync!$N1732="",0,Sync!$N1732))</f>
        <v/>
      </c>
      <c r="U1732">
        <f>IF($N1732="","",IF(Sync!$O1732="",0,Sync!$O1732))</f>
        <v/>
      </c>
      <c r="V1732">
        <f>IF($N1732="","",Sync!$L1732)</f>
        <v/>
      </c>
      <c r="W1732">
        <f>IF($N1732="","",Sync!$P1732)</f>
        <v/>
      </c>
    </row>
    <row r="1733">
      <c r="N1733">
        <f>IF(OR(Sync!$M1733="",$Q1733="",$Q1733="نامعتبر"),"",Sync!$M1733)</f>
        <v/>
      </c>
      <c r="O1733">
        <f>IF($N1733="","",$Q1733)</f>
        <v/>
      </c>
      <c r="P1733">
        <f>IF($N1733="","",LEFT($Q1733,4)&amp;MID($Q1733,6,2)&amp;RIGHT($Q1733,2)&amp;IF(Sync!$K1733="","0000",IF(AND(ISNUMBER(Sync!$K1733),Sync!$K1733&gt;=0,Sync!$K1733&lt;1),RIGHT("00"&amp;HOUR(Sync!$K1733),2)&amp;RIGHT("00"&amp;MINUTE(Sync!$K1733),2),IFERROR(RIGHT("00"&amp;VALUE(LEFT(Sync!$K1733,FIND(":",Sync!$K1733)-1)),2)&amp;RIGHT("00"&amp;VALUE(MID(Sync!$K1733,FIND(":",Sync!$K1733)+1,2)),2),"0000")))&amp;"|"&amp;"2"&amp;RIGHT("00000"&amp;1728,5))</f>
        <v/>
      </c>
      <c r="Q1733">
        <f>IF(Sync!$J1733="","",IF(ISNUMBER(Sync!$J1733),IF(AND(Sync!$J1733&gt;=10000101,Sync!$J1733&lt;=99991231),INT(Sync!$J1733/10000)&amp;"/"&amp;RIGHT("00"&amp;INT(MOD(Sync!$J1733,10000)/100),2)&amp;"/"&amp;RIGHT("00"&amp;MOD(Sync!$J1733,100),2),"نامعتبر"),IF(LEN(Sync!$J1733)=10,Sync!$J1733,"نامعتبر")))</f>
        <v/>
      </c>
      <c r="R1733">
        <f>IF($P1733="","",COUNTIFS($N$6:$N$2005,$N1733,$P$6:$P$2005,"&lt;"&amp;$P1733)+COUNTIFS($A$6:$A$1005,$N1733,$B$6:$B$1005,"&lt;"&amp;$P1733)+1)</f>
        <v/>
      </c>
      <c r="S1733">
        <f>IF($N1733="","",$N1733&amp;"|"&amp;RIGHT("000000"&amp;$R1733,6))</f>
        <v/>
      </c>
      <c r="T1733">
        <f>IF($N1733="","",IF(Sync!$N1733="",0,Sync!$N1733))</f>
        <v/>
      </c>
      <c r="U1733">
        <f>IF($N1733="","",IF(Sync!$O1733="",0,Sync!$O1733))</f>
        <v/>
      </c>
      <c r="V1733">
        <f>IF($N1733="","",Sync!$L1733)</f>
        <v/>
      </c>
      <c r="W1733">
        <f>IF($N1733="","",Sync!$P1733)</f>
        <v/>
      </c>
    </row>
    <row r="1734">
      <c r="N1734">
        <f>IF(OR(Sync!$M1734="",$Q1734="",$Q1734="نامعتبر"),"",Sync!$M1734)</f>
        <v/>
      </c>
      <c r="O1734">
        <f>IF($N1734="","",$Q1734)</f>
        <v/>
      </c>
      <c r="P1734">
        <f>IF($N1734="","",LEFT($Q1734,4)&amp;MID($Q1734,6,2)&amp;RIGHT($Q1734,2)&amp;IF(Sync!$K1734="","0000",IF(AND(ISNUMBER(Sync!$K1734),Sync!$K1734&gt;=0,Sync!$K1734&lt;1),RIGHT("00"&amp;HOUR(Sync!$K1734),2)&amp;RIGHT("00"&amp;MINUTE(Sync!$K1734),2),IFERROR(RIGHT("00"&amp;VALUE(LEFT(Sync!$K1734,FIND(":",Sync!$K1734)-1)),2)&amp;RIGHT("00"&amp;VALUE(MID(Sync!$K1734,FIND(":",Sync!$K1734)+1,2)),2),"0000")))&amp;"|"&amp;"2"&amp;RIGHT("00000"&amp;1729,5))</f>
        <v/>
      </c>
      <c r="Q1734">
        <f>IF(Sync!$J1734="","",IF(ISNUMBER(Sync!$J1734),IF(AND(Sync!$J1734&gt;=10000101,Sync!$J1734&lt;=99991231),INT(Sync!$J1734/10000)&amp;"/"&amp;RIGHT("00"&amp;INT(MOD(Sync!$J1734,10000)/100),2)&amp;"/"&amp;RIGHT("00"&amp;MOD(Sync!$J1734,100),2),"نامعتبر"),IF(LEN(Sync!$J1734)=10,Sync!$J1734,"نامعتبر")))</f>
        <v/>
      </c>
      <c r="R1734">
        <f>IF($P1734="","",COUNTIFS($N$6:$N$2005,$N1734,$P$6:$P$2005,"&lt;"&amp;$P1734)+COUNTIFS($A$6:$A$1005,$N1734,$B$6:$B$1005,"&lt;"&amp;$P1734)+1)</f>
        <v/>
      </c>
      <c r="S1734">
        <f>IF($N1734="","",$N1734&amp;"|"&amp;RIGHT("000000"&amp;$R1734,6))</f>
        <v/>
      </c>
      <c r="T1734">
        <f>IF($N1734="","",IF(Sync!$N1734="",0,Sync!$N1734))</f>
        <v/>
      </c>
      <c r="U1734">
        <f>IF($N1734="","",IF(Sync!$O1734="",0,Sync!$O1734))</f>
        <v/>
      </c>
      <c r="V1734">
        <f>IF($N1734="","",Sync!$L1734)</f>
        <v/>
      </c>
      <c r="W1734">
        <f>IF($N1734="","",Sync!$P1734)</f>
        <v/>
      </c>
    </row>
    <row r="1735">
      <c r="N1735">
        <f>IF(OR(Sync!$M1735="",$Q1735="",$Q1735="نامعتبر"),"",Sync!$M1735)</f>
        <v/>
      </c>
      <c r="O1735">
        <f>IF($N1735="","",$Q1735)</f>
        <v/>
      </c>
      <c r="P1735">
        <f>IF($N1735="","",LEFT($Q1735,4)&amp;MID($Q1735,6,2)&amp;RIGHT($Q1735,2)&amp;IF(Sync!$K1735="","0000",IF(AND(ISNUMBER(Sync!$K1735),Sync!$K1735&gt;=0,Sync!$K1735&lt;1),RIGHT("00"&amp;HOUR(Sync!$K1735),2)&amp;RIGHT("00"&amp;MINUTE(Sync!$K1735),2),IFERROR(RIGHT("00"&amp;VALUE(LEFT(Sync!$K1735,FIND(":",Sync!$K1735)-1)),2)&amp;RIGHT("00"&amp;VALUE(MID(Sync!$K1735,FIND(":",Sync!$K1735)+1,2)),2),"0000")))&amp;"|"&amp;"2"&amp;RIGHT("00000"&amp;1730,5))</f>
        <v/>
      </c>
      <c r="Q1735">
        <f>IF(Sync!$J1735="","",IF(ISNUMBER(Sync!$J1735),IF(AND(Sync!$J1735&gt;=10000101,Sync!$J1735&lt;=99991231),INT(Sync!$J1735/10000)&amp;"/"&amp;RIGHT("00"&amp;INT(MOD(Sync!$J1735,10000)/100),2)&amp;"/"&amp;RIGHT("00"&amp;MOD(Sync!$J1735,100),2),"نامعتبر"),IF(LEN(Sync!$J1735)=10,Sync!$J1735,"نامعتبر")))</f>
        <v/>
      </c>
      <c r="R1735">
        <f>IF($P1735="","",COUNTIFS($N$6:$N$2005,$N1735,$P$6:$P$2005,"&lt;"&amp;$P1735)+COUNTIFS($A$6:$A$1005,$N1735,$B$6:$B$1005,"&lt;"&amp;$P1735)+1)</f>
        <v/>
      </c>
      <c r="S1735">
        <f>IF($N1735="","",$N1735&amp;"|"&amp;RIGHT("000000"&amp;$R1735,6))</f>
        <v/>
      </c>
      <c r="T1735">
        <f>IF($N1735="","",IF(Sync!$N1735="",0,Sync!$N1735))</f>
        <v/>
      </c>
      <c r="U1735">
        <f>IF($N1735="","",IF(Sync!$O1735="",0,Sync!$O1735))</f>
        <v/>
      </c>
      <c r="V1735">
        <f>IF($N1735="","",Sync!$L1735)</f>
        <v/>
      </c>
      <c r="W1735">
        <f>IF($N1735="","",Sync!$P1735)</f>
        <v/>
      </c>
    </row>
    <row r="1736">
      <c r="N1736">
        <f>IF(OR(Sync!$M1736="",$Q1736="",$Q1736="نامعتبر"),"",Sync!$M1736)</f>
        <v/>
      </c>
      <c r="O1736">
        <f>IF($N1736="","",$Q1736)</f>
        <v/>
      </c>
      <c r="P1736">
        <f>IF($N1736="","",LEFT($Q1736,4)&amp;MID($Q1736,6,2)&amp;RIGHT($Q1736,2)&amp;IF(Sync!$K1736="","0000",IF(AND(ISNUMBER(Sync!$K1736),Sync!$K1736&gt;=0,Sync!$K1736&lt;1),RIGHT("00"&amp;HOUR(Sync!$K1736),2)&amp;RIGHT("00"&amp;MINUTE(Sync!$K1736),2),IFERROR(RIGHT("00"&amp;VALUE(LEFT(Sync!$K1736,FIND(":",Sync!$K1736)-1)),2)&amp;RIGHT("00"&amp;VALUE(MID(Sync!$K1736,FIND(":",Sync!$K1736)+1,2)),2),"0000")))&amp;"|"&amp;"2"&amp;RIGHT("00000"&amp;1731,5))</f>
        <v/>
      </c>
      <c r="Q1736">
        <f>IF(Sync!$J1736="","",IF(ISNUMBER(Sync!$J1736),IF(AND(Sync!$J1736&gt;=10000101,Sync!$J1736&lt;=99991231),INT(Sync!$J1736/10000)&amp;"/"&amp;RIGHT("00"&amp;INT(MOD(Sync!$J1736,10000)/100),2)&amp;"/"&amp;RIGHT("00"&amp;MOD(Sync!$J1736,100),2),"نامعتبر"),IF(LEN(Sync!$J1736)=10,Sync!$J1736,"نامعتبر")))</f>
        <v/>
      </c>
      <c r="R1736">
        <f>IF($P1736="","",COUNTIFS($N$6:$N$2005,$N1736,$P$6:$P$2005,"&lt;"&amp;$P1736)+COUNTIFS($A$6:$A$1005,$N1736,$B$6:$B$1005,"&lt;"&amp;$P1736)+1)</f>
        <v/>
      </c>
      <c r="S1736">
        <f>IF($N1736="","",$N1736&amp;"|"&amp;RIGHT("000000"&amp;$R1736,6))</f>
        <v/>
      </c>
      <c r="T1736">
        <f>IF($N1736="","",IF(Sync!$N1736="",0,Sync!$N1736))</f>
        <v/>
      </c>
      <c r="U1736">
        <f>IF($N1736="","",IF(Sync!$O1736="",0,Sync!$O1736))</f>
        <v/>
      </c>
      <c r="V1736">
        <f>IF($N1736="","",Sync!$L1736)</f>
        <v/>
      </c>
      <c r="W1736">
        <f>IF($N1736="","",Sync!$P1736)</f>
        <v/>
      </c>
    </row>
    <row r="1737">
      <c r="N1737">
        <f>IF(OR(Sync!$M1737="",$Q1737="",$Q1737="نامعتبر"),"",Sync!$M1737)</f>
        <v/>
      </c>
      <c r="O1737">
        <f>IF($N1737="","",$Q1737)</f>
        <v/>
      </c>
      <c r="P1737">
        <f>IF($N1737="","",LEFT($Q1737,4)&amp;MID($Q1737,6,2)&amp;RIGHT($Q1737,2)&amp;IF(Sync!$K1737="","0000",IF(AND(ISNUMBER(Sync!$K1737),Sync!$K1737&gt;=0,Sync!$K1737&lt;1),RIGHT("00"&amp;HOUR(Sync!$K1737),2)&amp;RIGHT("00"&amp;MINUTE(Sync!$K1737),2),IFERROR(RIGHT("00"&amp;VALUE(LEFT(Sync!$K1737,FIND(":",Sync!$K1737)-1)),2)&amp;RIGHT("00"&amp;VALUE(MID(Sync!$K1737,FIND(":",Sync!$K1737)+1,2)),2),"0000")))&amp;"|"&amp;"2"&amp;RIGHT("00000"&amp;1732,5))</f>
        <v/>
      </c>
      <c r="Q1737">
        <f>IF(Sync!$J1737="","",IF(ISNUMBER(Sync!$J1737),IF(AND(Sync!$J1737&gt;=10000101,Sync!$J1737&lt;=99991231),INT(Sync!$J1737/10000)&amp;"/"&amp;RIGHT("00"&amp;INT(MOD(Sync!$J1737,10000)/100),2)&amp;"/"&amp;RIGHT("00"&amp;MOD(Sync!$J1737,100),2),"نامعتبر"),IF(LEN(Sync!$J1737)=10,Sync!$J1737,"نامعتبر")))</f>
        <v/>
      </c>
      <c r="R1737">
        <f>IF($P1737="","",COUNTIFS($N$6:$N$2005,$N1737,$P$6:$P$2005,"&lt;"&amp;$P1737)+COUNTIFS($A$6:$A$1005,$N1737,$B$6:$B$1005,"&lt;"&amp;$P1737)+1)</f>
        <v/>
      </c>
      <c r="S1737">
        <f>IF($N1737="","",$N1737&amp;"|"&amp;RIGHT("000000"&amp;$R1737,6))</f>
        <v/>
      </c>
      <c r="T1737">
        <f>IF($N1737="","",IF(Sync!$N1737="",0,Sync!$N1737))</f>
        <v/>
      </c>
      <c r="U1737">
        <f>IF($N1737="","",IF(Sync!$O1737="",0,Sync!$O1737))</f>
        <v/>
      </c>
      <c r="V1737">
        <f>IF($N1737="","",Sync!$L1737)</f>
        <v/>
      </c>
      <c r="W1737">
        <f>IF($N1737="","",Sync!$P1737)</f>
        <v/>
      </c>
    </row>
    <row r="1738">
      <c r="N1738">
        <f>IF(OR(Sync!$M1738="",$Q1738="",$Q1738="نامعتبر"),"",Sync!$M1738)</f>
        <v/>
      </c>
      <c r="O1738">
        <f>IF($N1738="","",$Q1738)</f>
        <v/>
      </c>
      <c r="P1738">
        <f>IF($N1738="","",LEFT($Q1738,4)&amp;MID($Q1738,6,2)&amp;RIGHT($Q1738,2)&amp;IF(Sync!$K1738="","0000",IF(AND(ISNUMBER(Sync!$K1738),Sync!$K1738&gt;=0,Sync!$K1738&lt;1),RIGHT("00"&amp;HOUR(Sync!$K1738),2)&amp;RIGHT("00"&amp;MINUTE(Sync!$K1738),2),IFERROR(RIGHT("00"&amp;VALUE(LEFT(Sync!$K1738,FIND(":",Sync!$K1738)-1)),2)&amp;RIGHT("00"&amp;VALUE(MID(Sync!$K1738,FIND(":",Sync!$K1738)+1,2)),2),"0000")))&amp;"|"&amp;"2"&amp;RIGHT("00000"&amp;1733,5))</f>
        <v/>
      </c>
      <c r="Q1738">
        <f>IF(Sync!$J1738="","",IF(ISNUMBER(Sync!$J1738),IF(AND(Sync!$J1738&gt;=10000101,Sync!$J1738&lt;=99991231),INT(Sync!$J1738/10000)&amp;"/"&amp;RIGHT("00"&amp;INT(MOD(Sync!$J1738,10000)/100),2)&amp;"/"&amp;RIGHT("00"&amp;MOD(Sync!$J1738,100),2),"نامعتبر"),IF(LEN(Sync!$J1738)=10,Sync!$J1738,"نامعتبر")))</f>
        <v/>
      </c>
      <c r="R1738">
        <f>IF($P1738="","",COUNTIFS($N$6:$N$2005,$N1738,$P$6:$P$2005,"&lt;"&amp;$P1738)+COUNTIFS($A$6:$A$1005,$N1738,$B$6:$B$1005,"&lt;"&amp;$P1738)+1)</f>
        <v/>
      </c>
      <c r="S1738">
        <f>IF($N1738="","",$N1738&amp;"|"&amp;RIGHT("000000"&amp;$R1738,6))</f>
        <v/>
      </c>
      <c r="T1738">
        <f>IF($N1738="","",IF(Sync!$N1738="",0,Sync!$N1738))</f>
        <v/>
      </c>
      <c r="U1738">
        <f>IF($N1738="","",IF(Sync!$O1738="",0,Sync!$O1738))</f>
        <v/>
      </c>
      <c r="V1738">
        <f>IF($N1738="","",Sync!$L1738)</f>
        <v/>
      </c>
      <c r="W1738">
        <f>IF($N1738="","",Sync!$P1738)</f>
        <v/>
      </c>
    </row>
    <row r="1739">
      <c r="N1739">
        <f>IF(OR(Sync!$M1739="",$Q1739="",$Q1739="نامعتبر"),"",Sync!$M1739)</f>
        <v/>
      </c>
      <c r="O1739">
        <f>IF($N1739="","",$Q1739)</f>
        <v/>
      </c>
      <c r="P1739">
        <f>IF($N1739="","",LEFT($Q1739,4)&amp;MID($Q1739,6,2)&amp;RIGHT($Q1739,2)&amp;IF(Sync!$K1739="","0000",IF(AND(ISNUMBER(Sync!$K1739),Sync!$K1739&gt;=0,Sync!$K1739&lt;1),RIGHT("00"&amp;HOUR(Sync!$K1739),2)&amp;RIGHT("00"&amp;MINUTE(Sync!$K1739),2),IFERROR(RIGHT("00"&amp;VALUE(LEFT(Sync!$K1739,FIND(":",Sync!$K1739)-1)),2)&amp;RIGHT("00"&amp;VALUE(MID(Sync!$K1739,FIND(":",Sync!$K1739)+1,2)),2),"0000")))&amp;"|"&amp;"2"&amp;RIGHT("00000"&amp;1734,5))</f>
        <v/>
      </c>
      <c r="Q1739">
        <f>IF(Sync!$J1739="","",IF(ISNUMBER(Sync!$J1739),IF(AND(Sync!$J1739&gt;=10000101,Sync!$J1739&lt;=99991231),INT(Sync!$J1739/10000)&amp;"/"&amp;RIGHT("00"&amp;INT(MOD(Sync!$J1739,10000)/100),2)&amp;"/"&amp;RIGHT("00"&amp;MOD(Sync!$J1739,100),2),"نامعتبر"),IF(LEN(Sync!$J1739)=10,Sync!$J1739,"نامعتبر")))</f>
        <v/>
      </c>
      <c r="R1739">
        <f>IF($P1739="","",COUNTIFS($N$6:$N$2005,$N1739,$P$6:$P$2005,"&lt;"&amp;$P1739)+COUNTIFS($A$6:$A$1005,$N1739,$B$6:$B$1005,"&lt;"&amp;$P1739)+1)</f>
        <v/>
      </c>
      <c r="S1739">
        <f>IF($N1739="","",$N1739&amp;"|"&amp;RIGHT("000000"&amp;$R1739,6))</f>
        <v/>
      </c>
      <c r="T1739">
        <f>IF($N1739="","",IF(Sync!$N1739="",0,Sync!$N1739))</f>
        <v/>
      </c>
      <c r="U1739">
        <f>IF($N1739="","",IF(Sync!$O1739="",0,Sync!$O1739))</f>
        <v/>
      </c>
      <c r="V1739">
        <f>IF($N1739="","",Sync!$L1739)</f>
        <v/>
      </c>
      <c r="W1739">
        <f>IF($N1739="","",Sync!$P1739)</f>
        <v/>
      </c>
    </row>
    <row r="1740">
      <c r="N1740">
        <f>IF(OR(Sync!$M1740="",$Q1740="",$Q1740="نامعتبر"),"",Sync!$M1740)</f>
        <v/>
      </c>
      <c r="O1740">
        <f>IF($N1740="","",$Q1740)</f>
        <v/>
      </c>
      <c r="P1740">
        <f>IF($N1740="","",LEFT($Q1740,4)&amp;MID($Q1740,6,2)&amp;RIGHT($Q1740,2)&amp;IF(Sync!$K1740="","0000",IF(AND(ISNUMBER(Sync!$K1740),Sync!$K1740&gt;=0,Sync!$K1740&lt;1),RIGHT("00"&amp;HOUR(Sync!$K1740),2)&amp;RIGHT("00"&amp;MINUTE(Sync!$K1740),2),IFERROR(RIGHT("00"&amp;VALUE(LEFT(Sync!$K1740,FIND(":",Sync!$K1740)-1)),2)&amp;RIGHT("00"&amp;VALUE(MID(Sync!$K1740,FIND(":",Sync!$K1740)+1,2)),2),"0000")))&amp;"|"&amp;"2"&amp;RIGHT("00000"&amp;1735,5))</f>
        <v/>
      </c>
      <c r="Q1740">
        <f>IF(Sync!$J1740="","",IF(ISNUMBER(Sync!$J1740),IF(AND(Sync!$J1740&gt;=10000101,Sync!$J1740&lt;=99991231),INT(Sync!$J1740/10000)&amp;"/"&amp;RIGHT("00"&amp;INT(MOD(Sync!$J1740,10000)/100),2)&amp;"/"&amp;RIGHT("00"&amp;MOD(Sync!$J1740,100),2),"نامعتبر"),IF(LEN(Sync!$J1740)=10,Sync!$J1740,"نامعتبر")))</f>
        <v/>
      </c>
      <c r="R1740">
        <f>IF($P1740="","",COUNTIFS($N$6:$N$2005,$N1740,$P$6:$P$2005,"&lt;"&amp;$P1740)+COUNTIFS($A$6:$A$1005,$N1740,$B$6:$B$1005,"&lt;"&amp;$P1740)+1)</f>
        <v/>
      </c>
      <c r="S1740">
        <f>IF($N1740="","",$N1740&amp;"|"&amp;RIGHT("000000"&amp;$R1740,6))</f>
        <v/>
      </c>
      <c r="T1740">
        <f>IF($N1740="","",IF(Sync!$N1740="",0,Sync!$N1740))</f>
        <v/>
      </c>
      <c r="U1740">
        <f>IF($N1740="","",IF(Sync!$O1740="",0,Sync!$O1740))</f>
        <v/>
      </c>
      <c r="V1740">
        <f>IF($N1740="","",Sync!$L1740)</f>
        <v/>
      </c>
      <c r="W1740">
        <f>IF($N1740="","",Sync!$P1740)</f>
        <v/>
      </c>
    </row>
    <row r="1741">
      <c r="N1741">
        <f>IF(OR(Sync!$M1741="",$Q1741="",$Q1741="نامعتبر"),"",Sync!$M1741)</f>
        <v/>
      </c>
      <c r="O1741">
        <f>IF($N1741="","",$Q1741)</f>
        <v/>
      </c>
      <c r="P1741">
        <f>IF($N1741="","",LEFT($Q1741,4)&amp;MID($Q1741,6,2)&amp;RIGHT($Q1741,2)&amp;IF(Sync!$K1741="","0000",IF(AND(ISNUMBER(Sync!$K1741),Sync!$K1741&gt;=0,Sync!$K1741&lt;1),RIGHT("00"&amp;HOUR(Sync!$K1741),2)&amp;RIGHT("00"&amp;MINUTE(Sync!$K1741),2),IFERROR(RIGHT("00"&amp;VALUE(LEFT(Sync!$K1741,FIND(":",Sync!$K1741)-1)),2)&amp;RIGHT("00"&amp;VALUE(MID(Sync!$K1741,FIND(":",Sync!$K1741)+1,2)),2),"0000")))&amp;"|"&amp;"2"&amp;RIGHT("00000"&amp;1736,5))</f>
        <v/>
      </c>
      <c r="Q1741">
        <f>IF(Sync!$J1741="","",IF(ISNUMBER(Sync!$J1741),IF(AND(Sync!$J1741&gt;=10000101,Sync!$J1741&lt;=99991231),INT(Sync!$J1741/10000)&amp;"/"&amp;RIGHT("00"&amp;INT(MOD(Sync!$J1741,10000)/100),2)&amp;"/"&amp;RIGHT("00"&amp;MOD(Sync!$J1741,100),2),"نامعتبر"),IF(LEN(Sync!$J1741)=10,Sync!$J1741,"نامعتبر")))</f>
        <v/>
      </c>
      <c r="R1741">
        <f>IF($P1741="","",COUNTIFS($N$6:$N$2005,$N1741,$P$6:$P$2005,"&lt;"&amp;$P1741)+COUNTIFS($A$6:$A$1005,$N1741,$B$6:$B$1005,"&lt;"&amp;$P1741)+1)</f>
        <v/>
      </c>
      <c r="S1741">
        <f>IF($N1741="","",$N1741&amp;"|"&amp;RIGHT("000000"&amp;$R1741,6))</f>
        <v/>
      </c>
      <c r="T1741">
        <f>IF($N1741="","",IF(Sync!$N1741="",0,Sync!$N1741))</f>
        <v/>
      </c>
      <c r="U1741">
        <f>IF($N1741="","",IF(Sync!$O1741="",0,Sync!$O1741))</f>
        <v/>
      </c>
      <c r="V1741">
        <f>IF($N1741="","",Sync!$L1741)</f>
        <v/>
      </c>
      <c r="W1741">
        <f>IF($N1741="","",Sync!$P1741)</f>
        <v/>
      </c>
    </row>
    <row r="1742">
      <c r="N1742">
        <f>IF(OR(Sync!$M1742="",$Q1742="",$Q1742="نامعتبر"),"",Sync!$M1742)</f>
        <v/>
      </c>
      <c r="O1742">
        <f>IF($N1742="","",$Q1742)</f>
        <v/>
      </c>
      <c r="P1742">
        <f>IF($N1742="","",LEFT($Q1742,4)&amp;MID($Q1742,6,2)&amp;RIGHT($Q1742,2)&amp;IF(Sync!$K1742="","0000",IF(AND(ISNUMBER(Sync!$K1742),Sync!$K1742&gt;=0,Sync!$K1742&lt;1),RIGHT("00"&amp;HOUR(Sync!$K1742),2)&amp;RIGHT("00"&amp;MINUTE(Sync!$K1742),2),IFERROR(RIGHT("00"&amp;VALUE(LEFT(Sync!$K1742,FIND(":",Sync!$K1742)-1)),2)&amp;RIGHT("00"&amp;VALUE(MID(Sync!$K1742,FIND(":",Sync!$K1742)+1,2)),2),"0000")))&amp;"|"&amp;"2"&amp;RIGHT("00000"&amp;1737,5))</f>
        <v/>
      </c>
      <c r="Q1742">
        <f>IF(Sync!$J1742="","",IF(ISNUMBER(Sync!$J1742),IF(AND(Sync!$J1742&gt;=10000101,Sync!$J1742&lt;=99991231),INT(Sync!$J1742/10000)&amp;"/"&amp;RIGHT("00"&amp;INT(MOD(Sync!$J1742,10000)/100),2)&amp;"/"&amp;RIGHT("00"&amp;MOD(Sync!$J1742,100),2),"نامعتبر"),IF(LEN(Sync!$J1742)=10,Sync!$J1742,"نامعتبر")))</f>
        <v/>
      </c>
      <c r="R1742">
        <f>IF($P1742="","",COUNTIFS($N$6:$N$2005,$N1742,$P$6:$P$2005,"&lt;"&amp;$P1742)+COUNTIFS($A$6:$A$1005,$N1742,$B$6:$B$1005,"&lt;"&amp;$P1742)+1)</f>
        <v/>
      </c>
      <c r="S1742">
        <f>IF($N1742="","",$N1742&amp;"|"&amp;RIGHT("000000"&amp;$R1742,6))</f>
        <v/>
      </c>
      <c r="T1742">
        <f>IF($N1742="","",IF(Sync!$N1742="",0,Sync!$N1742))</f>
        <v/>
      </c>
      <c r="U1742">
        <f>IF($N1742="","",IF(Sync!$O1742="",0,Sync!$O1742))</f>
        <v/>
      </c>
      <c r="V1742">
        <f>IF($N1742="","",Sync!$L1742)</f>
        <v/>
      </c>
      <c r="W1742">
        <f>IF($N1742="","",Sync!$P1742)</f>
        <v/>
      </c>
    </row>
    <row r="1743">
      <c r="N1743">
        <f>IF(OR(Sync!$M1743="",$Q1743="",$Q1743="نامعتبر"),"",Sync!$M1743)</f>
        <v/>
      </c>
      <c r="O1743">
        <f>IF($N1743="","",$Q1743)</f>
        <v/>
      </c>
      <c r="P1743">
        <f>IF($N1743="","",LEFT($Q1743,4)&amp;MID($Q1743,6,2)&amp;RIGHT($Q1743,2)&amp;IF(Sync!$K1743="","0000",IF(AND(ISNUMBER(Sync!$K1743),Sync!$K1743&gt;=0,Sync!$K1743&lt;1),RIGHT("00"&amp;HOUR(Sync!$K1743),2)&amp;RIGHT("00"&amp;MINUTE(Sync!$K1743),2),IFERROR(RIGHT("00"&amp;VALUE(LEFT(Sync!$K1743,FIND(":",Sync!$K1743)-1)),2)&amp;RIGHT("00"&amp;VALUE(MID(Sync!$K1743,FIND(":",Sync!$K1743)+1,2)),2),"0000")))&amp;"|"&amp;"2"&amp;RIGHT("00000"&amp;1738,5))</f>
        <v/>
      </c>
      <c r="Q1743">
        <f>IF(Sync!$J1743="","",IF(ISNUMBER(Sync!$J1743),IF(AND(Sync!$J1743&gt;=10000101,Sync!$J1743&lt;=99991231),INT(Sync!$J1743/10000)&amp;"/"&amp;RIGHT("00"&amp;INT(MOD(Sync!$J1743,10000)/100),2)&amp;"/"&amp;RIGHT("00"&amp;MOD(Sync!$J1743,100),2),"نامعتبر"),IF(LEN(Sync!$J1743)=10,Sync!$J1743,"نامعتبر")))</f>
        <v/>
      </c>
      <c r="R1743">
        <f>IF($P1743="","",COUNTIFS($N$6:$N$2005,$N1743,$P$6:$P$2005,"&lt;"&amp;$P1743)+COUNTIFS($A$6:$A$1005,$N1743,$B$6:$B$1005,"&lt;"&amp;$P1743)+1)</f>
        <v/>
      </c>
      <c r="S1743">
        <f>IF($N1743="","",$N1743&amp;"|"&amp;RIGHT("000000"&amp;$R1743,6))</f>
        <v/>
      </c>
      <c r="T1743">
        <f>IF($N1743="","",IF(Sync!$N1743="",0,Sync!$N1743))</f>
        <v/>
      </c>
      <c r="U1743">
        <f>IF($N1743="","",IF(Sync!$O1743="",0,Sync!$O1743))</f>
        <v/>
      </c>
      <c r="V1743">
        <f>IF($N1743="","",Sync!$L1743)</f>
        <v/>
      </c>
      <c r="W1743">
        <f>IF($N1743="","",Sync!$P1743)</f>
        <v/>
      </c>
    </row>
    <row r="1744">
      <c r="N1744">
        <f>IF(OR(Sync!$M1744="",$Q1744="",$Q1744="نامعتبر"),"",Sync!$M1744)</f>
        <v/>
      </c>
      <c r="O1744">
        <f>IF($N1744="","",$Q1744)</f>
        <v/>
      </c>
      <c r="P1744">
        <f>IF($N1744="","",LEFT($Q1744,4)&amp;MID($Q1744,6,2)&amp;RIGHT($Q1744,2)&amp;IF(Sync!$K1744="","0000",IF(AND(ISNUMBER(Sync!$K1744),Sync!$K1744&gt;=0,Sync!$K1744&lt;1),RIGHT("00"&amp;HOUR(Sync!$K1744),2)&amp;RIGHT("00"&amp;MINUTE(Sync!$K1744),2),IFERROR(RIGHT("00"&amp;VALUE(LEFT(Sync!$K1744,FIND(":",Sync!$K1744)-1)),2)&amp;RIGHT("00"&amp;VALUE(MID(Sync!$K1744,FIND(":",Sync!$K1744)+1,2)),2),"0000")))&amp;"|"&amp;"2"&amp;RIGHT("00000"&amp;1739,5))</f>
        <v/>
      </c>
      <c r="Q1744">
        <f>IF(Sync!$J1744="","",IF(ISNUMBER(Sync!$J1744),IF(AND(Sync!$J1744&gt;=10000101,Sync!$J1744&lt;=99991231),INT(Sync!$J1744/10000)&amp;"/"&amp;RIGHT("00"&amp;INT(MOD(Sync!$J1744,10000)/100),2)&amp;"/"&amp;RIGHT("00"&amp;MOD(Sync!$J1744,100),2),"نامعتبر"),IF(LEN(Sync!$J1744)=10,Sync!$J1744,"نامعتبر")))</f>
        <v/>
      </c>
      <c r="R1744">
        <f>IF($P1744="","",COUNTIFS($N$6:$N$2005,$N1744,$P$6:$P$2005,"&lt;"&amp;$P1744)+COUNTIFS($A$6:$A$1005,$N1744,$B$6:$B$1005,"&lt;"&amp;$P1744)+1)</f>
        <v/>
      </c>
      <c r="S1744">
        <f>IF($N1744="","",$N1744&amp;"|"&amp;RIGHT("000000"&amp;$R1744,6))</f>
        <v/>
      </c>
      <c r="T1744">
        <f>IF($N1744="","",IF(Sync!$N1744="",0,Sync!$N1744))</f>
        <v/>
      </c>
      <c r="U1744">
        <f>IF($N1744="","",IF(Sync!$O1744="",0,Sync!$O1744))</f>
        <v/>
      </c>
      <c r="V1744">
        <f>IF($N1744="","",Sync!$L1744)</f>
        <v/>
      </c>
      <c r="W1744">
        <f>IF($N1744="","",Sync!$P1744)</f>
        <v/>
      </c>
    </row>
    <row r="1745">
      <c r="N1745">
        <f>IF(OR(Sync!$M1745="",$Q1745="",$Q1745="نامعتبر"),"",Sync!$M1745)</f>
        <v/>
      </c>
      <c r="O1745">
        <f>IF($N1745="","",$Q1745)</f>
        <v/>
      </c>
      <c r="P1745">
        <f>IF($N1745="","",LEFT($Q1745,4)&amp;MID($Q1745,6,2)&amp;RIGHT($Q1745,2)&amp;IF(Sync!$K1745="","0000",IF(AND(ISNUMBER(Sync!$K1745),Sync!$K1745&gt;=0,Sync!$K1745&lt;1),RIGHT("00"&amp;HOUR(Sync!$K1745),2)&amp;RIGHT("00"&amp;MINUTE(Sync!$K1745),2),IFERROR(RIGHT("00"&amp;VALUE(LEFT(Sync!$K1745,FIND(":",Sync!$K1745)-1)),2)&amp;RIGHT("00"&amp;VALUE(MID(Sync!$K1745,FIND(":",Sync!$K1745)+1,2)),2),"0000")))&amp;"|"&amp;"2"&amp;RIGHT("00000"&amp;1740,5))</f>
        <v/>
      </c>
      <c r="Q1745">
        <f>IF(Sync!$J1745="","",IF(ISNUMBER(Sync!$J1745),IF(AND(Sync!$J1745&gt;=10000101,Sync!$J1745&lt;=99991231),INT(Sync!$J1745/10000)&amp;"/"&amp;RIGHT("00"&amp;INT(MOD(Sync!$J1745,10000)/100),2)&amp;"/"&amp;RIGHT("00"&amp;MOD(Sync!$J1745,100),2),"نامعتبر"),IF(LEN(Sync!$J1745)=10,Sync!$J1745,"نامعتبر")))</f>
        <v/>
      </c>
      <c r="R1745">
        <f>IF($P1745="","",COUNTIFS($N$6:$N$2005,$N1745,$P$6:$P$2005,"&lt;"&amp;$P1745)+COUNTIFS($A$6:$A$1005,$N1745,$B$6:$B$1005,"&lt;"&amp;$P1745)+1)</f>
        <v/>
      </c>
      <c r="S1745">
        <f>IF($N1745="","",$N1745&amp;"|"&amp;RIGHT("000000"&amp;$R1745,6))</f>
        <v/>
      </c>
      <c r="T1745">
        <f>IF($N1745="","",IF(Sync!$N1745="",0,Sync!$N1745))</f>
        <v/>
      </c>
      <c r="U1745">
        <f>IF($N1745="","",IF(Sync!$O1745="",0,Sync!$O1745))</f>
        <v/>
      </c>
      <c r="V1745">
        <f>IF($N1745="","",Sync!$L1745)</f>
        <v/>
      </c>
      <c r="W1745">
        <f>IF($N1745="","",Sync!$P1745)</f>
        <v/>
      </c>
    </row>
    <row r="1746">
      <c r="N1746">
        <f>IF(OR(Sync!$M1746="",$Q1746="",$Q1746="نامعتبر"),"",Sync!$M1746)</f>
        <v/>
      </c>
      <c r="O1746">
        <f>IF($N1746="","",$Q1746)</f>
        <v/>
      </c>
      <c r="P1746">
        <f>IF($N1746="","",LEFT($Q1746,4)&amp;MID($Q1746,6,2)&amp;RIGHT($Q1746,2)&amp;IF(Sync!$K1746="","0000",IF(AND(ISNUMBER(Sync!$K1746),Sync!$K1746&gt;=0,Sync!$K1746&lt;1),RIGHT("00"&amp;HOUR(Sync!$K1746),2)&amp;RIGHT("00"&amp;MINUTE(Sync!$K1746),2),IFERROR(RIGHT("00"&amp;VALUE(LEFT(Sync!$K1746,FIND(":",Sync!$K1746)-1)),2)&amp;RIGHT("00"&amp;VALUE(MID(Sync!$K1746,FIND(":",Sync!$K1746)+1,2)),2),"0000")))&amp;"|"&amp;"2"&amp;RIGHT("00000"&amp;1741,5))</f>
        <v/>
      </c>
      <c r="Q1746">
        <f>IF(Sync!$J1746="","",IF(ISNUMBER(Sync!$J1746),IF(AND(Sync!$J1746&gt;=10000101,Sync!$J1746&lt;=99991231),INT(Sync!$J1746/10000)&amp;"/"&amp;RIGHT("00"&amp;INT(MOD(Sync!$J1746,10000)/100),2)&amp;"/"&amp;RIGHT("00"&amp;MOD(Sync!$J1746,100),2),"نامعتبر"),IF(LEN(Sync!$J1746)=10,Sync!$J1746,"نامعتبر")))</f>
        <v/>
      </c>
      <c r="R1746">
        <f>IF($P1746="","",COUNTIFS($N$6:$N$2005,$N1746,$P$6:$P$2005,"&lt;"&amp;$P1746)+COUNTIFS($A$6:$A$1005,$N1746,$B$6:$B$1005,"&lt;"&amp;$P1746)+1)</f>
        <v/>
      </c>
      <c r="S1746">
        <f>IF($N1746="","",$N1746&amp;"|"&amp;RIGHT("000000"&amp;$R1746,6))</f>
        <v/>
      </c>
      <c r="T1746">
        <f>IF($N1746="","",IF(Sync!$N1746="",0,Sync!$N1746))</f>
        <v/>
      </c>
      <c r="U1746">
        <f>IF($N1746="","",IF(Sync!$O1746="",0,Sync!$O1746))</f>
        <v/>
      </c>
      <c r="V1746">
        <f>IF($N1746="","",Sync!$L1746)</f>
        <v/>
      </c>
      <c r="W1746">
        <f>IF($N1746="","",Sync!$P1746)</f>
        <v/>
      </c>
    </row>
    <row r="1747">
      <c r="N1747">
        <f>IF(OR(Sync!$M1747="",$Q1747="",$Q1747="نامعتبر"),"",Sync!$M1747)</f>
        <v/>
      </c>
      <c r="O1747">
        <f>IF($N1747="","",$Q1747)</f>
        <v/>
      </c>
      <c r="P1747">
        <f>IF($N1747="","",LEFT($Q1747,4)&amp;MID($Q1747,6,2)&amp;RIGHT($Q1747,2)&amp;IF(Sync!$K1747="","0000",IF(AND(ISNUMBER(Sync!$K1747),Sync!$K1747&gt;=0,Sync!$K1747&lt;1),RIGHT("00"&amp;HOUR(Sync!$K1747),2)&amp;RIGHT("00"&amp;MINUTE(Sync!$K1747),2),IFERROR(RIGHT("00"&amp;VALUE(LEFT(Sync!$K1747,FIND(":",Sync!$K1747)-1)),2)&amp;RIGHT("00"&amp;VALUE(MID(Sync!$K1747,FIND(":",Sync!$K1747)+1,2)),2),"0000")))&amp;"|"&amp;"2"&amp;RIGHT("00000"&amp;1742,5))</f>
        <v/>
      </c>
      <c r="Q1747">
        <f>IF(Sync!$J1747="","",IF(ISNUMBER(Sync!$J1747),IF(AND(Sync!$J1747&gt;=10000101,Sync!$J1747&lt;=99991231),INT(Sync!$J1747/10000)&amp;"/"&amp;RIGHT("00"&amp;INT(MOD(Sync!$J1747,10000)/100),2)&amp;"/"&amp;RIGHT("00"&amp;MOD(Sync!$J1747,100),2),"نامعتبر"),IF(LEN(Sync!$J1747)=10,Sync!$J1747,"نامعتبر")))</f>
        <v/>
      </c>
      <c r="R1747">
        <f>IF($P1747="","",COUNTIFS($N$6:$N$2005,$N1747,$P$6:$P$2005,"&lt;"&amp;$P1747)+COUNTIFS($A$6:$A$1005,$N1747,$B$6:$B$1005,"&lt;"&amp;$P1747)+1)</f>
        <v/>
      </c>
      <c r="S1747">
        <f>IF($N1747="","",$N1747&amp;"|"&amp;RIGHT("000000"&amp;$R1747,6))</f>
        <v/>
      </c>
      <c r="T1747">
        <f>IF($N1747="","",IF(Sync!$N1747="",0,Sync!$N1747))</f>
        <v/>
      </c>
      <c r="U1747">
        <f>IF($N1747="","",IF(Sync!$O1747="",0,Sync!$O1747))</f>
        <v/>
      </c>
      <c r="V1747">
        <f>IF($N1747="","",Sync!$L1747)</f>
        <v/>
      </c>
      <c r="W1747">
        <f>IF($N1747="","",Sync!$P1747)</f>
        <v/>
      </c>
    </row>
    <row r="1748">
      <c r="N1748">
        <f>IF(OR(Sync!$M1748="",$Q1748="",$Q1748="نامعتبر"),"",Sync!$M1748)</f>
        <v/>
      </c>
      <c r="O1748">
        <f>IF($N1748="","",$Q1748)</f>
        <v/>
      </c>
      <c r="P1748">
        <f>IF($N1748="","",LEFT($Q1748,4)&amp;MID($Q1748,6,2)&amp;RIGHT($Q1748,2)&amp;IF(Sync!$K1748="","0000",IF(AND(ISNUMBER(Sync!$K1748),Sync!$K1748&gt;=0,Sync!$K1748&lt;1),RIGHT("00"&amp;HOUR(Sync!$K1748),2)&amp;RIGHT("00"&amp;MINUTE(Sync!$K1748),2),IFERROR(RIGHT("00"&amp;VALUE(LEFT(Sync!$K1748,FIND(":",Sync!$K1748)-1)),2)&amp;RIGHT("00"&amp;VALUE(MID(Sync!$K1748,FIND(":",Sync!$K1748)+1,2)),2),"0000")))&amp;"|"&amp;"2"&amp;RIGHT("00000"&amp;1743,5))</f>
        <v/>
      </c>
      <c r="Q1748">
        <f>IF(Sync!$J1748="","",IF(ISNUMBER(Sync!$J1748),IF(AND(Sync!$J1748&gt;=10000101,Sync!$J1748&lt;=99991231),INT(Sync!$J1748/10000)&amp;"/"&amp;RIGHT("00"&amp;INT(MOD(Sync!$J1748,10000)/100),2)&amp;"/"&amp;RIGHT("00"&amp;MOD(Sync!$J1748,100),2),"نامعتبر"),IF(LEN(Sync!$J1748)=10,Sync!$J1748,"نامعتبر")))</f>
        <v/>
      </c>
      <c r="R1748">
        <f>IF($P1748="","",COUNTIFS($N$6:$N$2005,$N1748,$P$6:$P$2005,"&lt;"&amp;$P1748)+COUNTIFS($A$6:$A$1005,$N1748,$B$6:$B$1005,"&lt;"&amp;$P1748)+1)</f>
        <v/>
      </c>
      <c r="S1748">
        <f>IF($N1748="","",$N1748&amp;"|"&amp;RIGHT("000000"&amp;$R1748,6))</f>
        <v/>
      </c>
      <c r="T1748">
        <f>IF($N1748="","",IF(Sync!$N1748="",0,Sync!$N1748))</f>
        <v/>
      </c>
      <c r="U1748">
        <f>IF($N1748="","",IF(Sync!$O1748="",0,Sync!$O1748))</f>
        <v/>
      </c>
      <c r="V1748">
        <f>IF($N1748="","",Sync!$L1748)</f>
        <v/>
      </c>
      <c r="W1748">
        <f>IF($N1748="","",Sync!$P1748)</f>
        <v/>
      </c>
    </row>
    <row r="1749">
      <c r="N1749">
        <f>IF(OR(Sync!$M1749="",$Q1749="",$Q1749="نامعتبر"),"",Sync!$M1749)</f>
        <v/>
      </c>
      <c r="O1749">
        <f>IF($N1749="","",$Q1749)</f>
        <v/>
      </c>
      <c r="P1749">
        <f>IF($N1749="","",LEFT($Q1749,4)&amp;MID($Q1749,6,2)&amp;RIGHT($Q1749,2)&amp;IF(Sync!$K1749="","0000",IF(AND(ISNUMBER(Sync!$K1749),Sync!$K1749&gt;=0,Sync!$K1749&lt;1),RIGHT("00"&amp;HOUR(Sync!$K1749),2)&amp;RIGHT("00"&amp;MINUTE(Sync!$K1749),2),IFERROR(RIGHT("00"&amp;VALUE(LEFT(Sync!$K1749,FIND(":",Sync!$K1749)-1)),2)&amp;RIGHT("00"&amp;VALUE(MID(Sync!$K1749,FIND(":",Sync!$K1749)+1,2)),2),"0000")))&amp;"|"&amp;"2"&amp;RIGHT("00000"&amp;1744,5))</f>
        <v/>
      </c>
      <c r="Q1749">
        <f>IF(Sync!$J1749="","",IF(ISNUMBER(Sync!$J1749),IF(AND(Sync!$J1749&gt;=10000101,Sync!$J1749&lt;=99991231),INT(Sync!$J1749/10000)&amp;"/"&amp;RIGHT("00"&amp;INT(MOD(Sync!$J1749,10000)/100),2)&amp;"/"&amp;RIGHT("00"&amp;MOD(Sync!$J1749,100),2),"نامعتبر"),IF(LEN(Sync!$J1749)=10,Sync!$J1749,"نامعتبر")))</f>
        <v/>
      </c>
      <c r="R1749">
        <f>IF($P1749="","",COUNTIFS($N$6:$N$2005,$N1749,$P$6:$P$2005,"&lt;"&amp;$P1749)+COUNTIFS($A$6:$A$1005,$N1749,$B$6:$B$1005,"&lt;"&amp;$P1749)+1)</f>
        <v/>
      </c>
      <c r="S1749">
        <f>IF($N1749="","",$N1749&amp;"|"&amp;RIGHT("000000"&amp;$R1749,6))</f>
        <v/>
      </c>
      <c r="T1749">
        <f>IF($N1749="","",IF(Sync!$N1749="",0,Sync!$N1749))</f>
        <v/>
      </c>
      <c r="U1749">
        <f>IF($N1749="","",IF(Sync!$O1749="",0,Sync!$O1749))</f>
        <v/>
      </c>
      <c r="V1749">
        <f>IF($N1749="","",Sync!$L1749)</f>
        <v/>
      </c>
      <c r="W1749">
        <f>IF($N1749="","",Sync!$P1749)</f>
        <v/>
      </c>
    </row>
    <row r="1750">
      <c r="N1750">
        <f>IF(OR(Sync!$M1750="",$Q1750="",$Q1750="نامعتبر"),"",Sync!$M1750)</f>
        <v/>
      </c>
      <c r="O1750">
        <f>IF($N1750="","",$Q1750)</f>
        <v/>
      </c>
      <c r="P1750">
        <f>IF($N1750="","",LEFT($Q1750,4)&amp;MID($Q1750,6,2)&amp;RIGHT($Q1750,2)&amp;IF(Sync!$K1750="","0000",IF(AND(ISNUMBER(Sync!$K1750),Sync!$K1750&gt;=0,Sync!$K1750&lt;1),RIGHT("00"&amp;HOUR(Sync!$K1750),2)&amp;RIGHT("00"&amp;MINUTE(Sync!$K1750),2),IFERROR(RIGHT("00"&amp;VALUE(LEFT(Sync!$K1750,FIND(":",Sync!$K1750)-1)),2)&amp;RIGHT("00"&amp;VALUE(MID(Sync!$K1750,FIND(":",Sync!$K1750)+1,2)),2),"0000")))&amp;"|"&amp;"2"&amp;RIGHT("00000"&amp;1745,5))</f>
        <v/>
      </c>
      <c r="Q1750">
        <f>IF(Sync!$J1750="","",IF(ISNUMBER(Sync!$J1750),IF(AND(Sync!$J1750&gt;=10000101,Sync!$J1750&lt;=99991231),INT(Sync!$J1750/10000)&amp;"/"&amp;RIGHT("00"&amp;INT(MOD(Sync!$J1750,10000)/100),2)&amp;"/"&amp;RIGHT("00"&amp;MOD(Sync!$J1750,100),2),"نامعتبر"),IF(LEN(Sync!$J1750)=10,Sync!$J1750,"نامعتبر")))</f>
        <v/>
      </c>
      <c r="R1750">
        <f>IF($P1750="","",COUNTIFS($N$6:$N$2005,$N1750,$P$6:$P$2005,"&lt;"&amp;$P1750)+COUNTIFS($A$6:$A$1005,$N1750,$B$6:$B$1005,"&lt;"&amp;$P1750)+1)</f>
        <v/>
      </c>
      <c r="S1750">
        <f>IF($N1750="","",$N1750&amp;"|"&amp;RIGHT("000000"&amp;$R1750,6))</f>
        <v/>
      </c>
      <c r="T1750">
        <f>IF($N1750="","",IF(Sync!$N1750="",0,Sync!$N1750))</f>
        <v/>
      </c>
      <c r="U1750">
        <f>IF($N1750="","",IF(Sync!$O1750="",0,Sync!$O1750))</f>
        <v/>
      </c>
      <c r="V1750">
        <f>IF($N1750="","",Sync!$L1750)</f>
        <v/>
      </c>
      <c r="W1750">
        <f>IF($N1750="","",Sync!$P1750)</f>
        <v/>
      </c>
    </row>
    <row r="1751">
      <c r="N1751">
        <f>IF(OR(Sync!$M1751="",$Q1751="",$Q1751="نامعتبر"),"",Sync!$M1751)</f>
        <v/>
      </c>
      <c r="O1751">
        <f>IF($N1751="","",$Q1751)</f>
        <v/>
      </c>
      <c r="P1751">
        <f>IF($N1751="","",LEFT($Q1751,4)&amp;MID($Q1751,6,2)&amp;RIGHT($Q1751,2)&amp;IF(Sync!$K1751="","0000",IF(AND(ISNUMBER(Sync!$K1751),Sync!$K1751&gt;=0,Sync!$K1751&lt;1),RIGHT("00"&amp;HOUR(Sync!$K1751),2)&amp;RIGHT("00"&amp;MINUTE(Sync!$K1751),2),IFERROR(RIGHT("00"&amp;VALUE(LEFT(Sync!$K1751,FIND(":",Sync!$K1751)-1)),2)&amp;RIGHT("00"&amp;VALUE(MID(Sync!$K1751,FIND(":",Sync!$K1751)+1,2)),2),"0000")))&amp;"|"&amp;"2"&amp;RIGHT("00000"&amp;1746,5))</f>
        <v/>
      </c>
      <c r="Q1751">
        <f>IF(Sync!$J1751="","",IF(ISNUMBER(Sync!$J1751),IF(AND(Sync!$J1751&gt;=10000101,Sync!$J1751&lt;=99991231),INT(Sync!$J1751/10000)&amp;"/"&amp;RIGHT("00"&amp;INT(MOD(Sync!$J1751,10000)/100),2)&amp;"/"&amp;RIGHT("00"&amp;MOD(Sync!$J1751,100),2),"نامعتبر"),IF(LEN(Sync!$J1751)=10,Sync!$J1751,"نامعتبر")))</f>
        <v/>
      </c>
      <c r="R1751">
        <f>IF($P1751="","",COUNTIFS($N$6:$N$2005,$N1751,$P$6:$P$2005,"&lt;"&amp;$P1751)+COUNTIFS($A$6:$A$1005,$N1751,$B$6:$B$1005,"&lt;"&amp;$P1751)+1)</f>
        <v/>
      </c>
      <c r="S1751">
        <f>IF($N1751="","",$N1751&amp;"|"&amp;RIGHT("000000"&amp;$R1751,6))</f>
        <v/>
      </c>
      <c r="T1751">
        <f>IF($N1751="","",IF(Sync!$N1751="",0,Sync!$N1751))</f>
        <v/>
      </c>
      <c r="U1751">
        <f>IF($N1751="","",IF(Sync!$O1751="",0,Sync!$O1751))</f>
        <v/>
      </c>
      <c r="V1751">
        <f>IF($N1751="","",Sync!$L1751)</f>
        <v/>
      </c>
      <c r="W1751">
        <f>IF($N1751="","",Sync!$P1751)</f>
        <v/>
      </c>
    </row>
    <row r="1752">
      <c r="N1752">
        <f>IF(OR(Sync!$M1752="",$Q1752="",$Q1752="نامعتبر"),"",Sync!$M1752)</f>
        <v/>
      </c>
      <c r="O1752">
        <f>IF($N1752="","",$Q1752)</f>
        <v/>
      </c>
      <c r="P1752">
        <f>IF($N1752="","",LEFT($Q1752,4)&amp;MID($Q1752,6,2)&amp;RIGHT($Q1752,2)&amp;IF(Sync!$K1752="","0000",IF(AND(ISNUMBER(Sync!$K1752),Sync!$K1752&gt;=0,Sync!$K1752&lt;1),RIGHT("00"&amp;HOUR(Sync!$K1752),2)&amp;RIGHT("00"&amp;MINUTE(Sync!$K1752),2),IFERROR(RIGHT("00"&amp;VALUE(LEFT(Sync!$K1752,FIND(":",Sync!$K1752)-1)),2)&amp;RIGHT("00"&amp;VALUE(MID(Sync!$K1752,FIND(":",Sync!$K1752)+1,2)),2),"0000")))&amp;"|"&amp;"2"&amp;RIGHT("00000"&amp;1747,5))</f>
        <v/>
      </c>
      <c r="Q1752">
        <f>IF(Sync!$J1752="","",IF(ISNUMBER(Sync!$J1752),IF(AND(Sync!$J1752&gt;=10000101,Sync!$J1752&lt;=99991231),INT(Sync!$J1752/10000)&amp;"/"&amp;RIGHT("00"&amp;INT(MOD(Sync!$J1752,10000)/100),2)&amp;"/"&amp;RIGHT("00"&amp;MOD(Sync!$J1752,100),2),"نامعتبر"),IF(LEN(Sync!$J1752)=10,Sync!$J1752,"نامعتبر")))</f>
        <v/>
      </c>
      <c r="R1752">
        <f>IF($P1752="","",COUNTIFS($N$6:$N$2005,$N1752,$P$6:$P$2005,"&lt;"&amp;$P1752)+COUNTIFS($A$6:$A$1005,$N1752,$B$6:$B$1005,"&lt;"&amp;$P1752)+1)</f>
        <v/>
      </c>
      <c r="S1752">
        <f>IF($N1752="","",$N1752&amp;"|"&amp;RIGHT("000000"&amp;$R1752,6))</f>
        <v/>
      </c>
      <c r="T1752">
        <f>IF($N1752="","",IF(Sync!$N1752="",0,Sync!$N1752))</f>
        <v/>
      </c>
      <c r="U1752">
        <f>IF($N1752="","",IF(Sync!$O1752="",0,Sync!$O1752))</f>
        <v/>
      </c>
      <c r="V1752">
        <f>IF($N1752="","",Sync!$L1752)</f>
        <v/>
      </c>
      <c r="W1752">
        <f>IF($N1752="","",Sync!$P1752)</f>
        <v/>
      </c>
    </row>
    <row r="1753">
      <c r="N1753">
        <f>IF(OR(Sync!$M1753="",$Q1753="",$Q1753="نامعتبر"),"",Sync!$M1753)</f>
        <v/>
      </c>
      <c r="O1753">
        <f>IF($N1753="","",$Q1753)</f>
        <v/>
      </c>
      <c r="P1753">
        <f>IF($N1753="","",LEFT($Q1753,4)&amp;MID($Q1753,6,2)&amp;RIGHT($Q1753,2)&amp;IF(Sync!$K1753="","0000",IF(AND(ISNUMBER(Sync!$K1753),Sync!$K1753&gt;=0,Sync!$K1753&lt;1),RIGHT("00"&amp;HOUR(Sync!$K1753),2)&amp;RIGHT("00"&amp;MINUTE(Sync!$K1753),2),IFERROR(RIGHT("00"&amp;VALUE(LEFT(Sync!$K1753,FIND(":",Sync!$K1753)-1)),2)&amp;RIGHT("00"&amp;VALUE(MID(Sync!$K1753,FIND(":",Sync!$K1753)+1,2)),2),"0000")))&amp;"|"&amp;"2"&amp;RIGHT("00000"&amp;1748,5))</f>
        <v/>
      </c>
      <c r="Q1753">
        <f>IF(Sync!$J1753="","",IF(ISNUMBER(Sync!$J1753),IF(AND(Sync!$J1753&gt;=10000101,Sync!$J1753&lt;=99991231),INT(Sync!$J1753/10000)&amp;"/"&amp;RIGHT("00"&amp;INT(MOD(Sync!$J1753,10000)/100),2)&amp;"/"&amp;RIGHT("00"&amp;MOD(Sync!$J1753,100),2),"نامعتبر"),IF(LEN(Sync!$J1753)=10,Sync!$J1753,"نامعتبر")))</f>
        <v/>
      </c>
      <c r="R1753">
        <f>IF($P1753="","",COUNTIFS($N$6:$N$2005,$N1753,$P$6:$P$2005,"&lt;"&amp;$P1753)+COUNTIFS($A$6:$A$1005,$N1753,$B$6:$B$1005,"&lt;"&amp;$P1753)+1)</f>
        <v/>
      </c>
      <c r="S1753">
        <f>IF($N1753="","",$N1753&amp;"|"&amp;RIGHT("000000"&amp;$R1753,6))</f>
        <v/>
      </c>
      <c r="T1753">
        <f>IF($N1753="","",IF(Sync!$N1753="",0,Sync!$N1753))</f>
        <v/>
      </c>
      <c r="U1753">
        <f>IF($N1753="","",IF(Sync!$O1753="",0,Sync!$O1753))</f>
        <v/>
      </c>
      <c r="V1753">
        <f>IF($N1753="","",Sync!$L1753)</f>
        <v/>
      </c>
      <c r="W1753">
        <f>IF($N1753="","",Sync!$P1753)</f>
        <v/>
      </c>
    </row>
    <row r="1754">
      <c r="N1754">
        <f>IF(OR(Sync!$M1754="",$Q1754="",$Q1754="نامعتبر"),"",Sync!$M1754)</f>
        <v/>
      </c>
      <c r="O1754">
        <f>IF($N1754="","",$Q1754)</f>
        <v/>
      </c>
      <c r="P1754">
        <f>IF($N1754="","",LEFT($Q1754,4)&amp;MID($Q1754,6,2)&amp;RIGHT($Q1754,2)&amp;IF(Sync!$K1754="","0000",IF(AND(ISNUMBER(Sync!$K1754),Sync!$K1754&gt;=0,Sync!$K1754&lt;1),RIGHT("00"&amp;HOUR(Sync!$K1754),2)&amp;RIGHT("00"&amp;MINUTE(Sync!$K1754),2),IFERROR(RIGHT("00"&amp;VALUE(LEFT(Sync!$K1754,FIND(":",Sync!$K1754)-1)),2)&amp;RIGHT("00"&amp;VALUE(MID(Sync!$K1754,FIND(":",Sync!$K1754)+1,2)),2),"0000")))&amp;"|"&amp;"2"&amp;RIGHT("00000"&amp;1749,5))</f>
        <v/>
      </c>
      <c r="Q1754">
        <f>IF(Sync!$J1754="","",IF(ISNUMBER(Sync!$J1754),IF(AND(Sync!$J1754&gt;=10000101,Sync!$J1754&lt;=99991231),INT(Sync!$J1754/10000)&amp;"/"&amp;RIGHT("00"&amp;INT(MOD(Sync!$J1754,10000)/100),2)&amp;"/"&amp;RIGHT("00"&amp;MOD(Sync!$J1754,100),2),"نامعتبر"),IF(LEN(Sync!$J1754)=10,Sync!$J1754,"نامعتبر")))</f>
        <v/>
      </c>
      <c r="R1754">
        <f>IF($P1754="","",COUNTIFS($N$6:$N$2005,$N1754,$P$6:$P$2005,"&lt;"&amp;$P1754)+COUNTIFS($A$6:$A$1005,$N1754,$B$6:$B$1005,"&lt;"&amp;$P1754)+1)</f>
        <v/>
      </c>
      <c r="S1754">
        <f>IF($N1754="","",$N1754&amp;"|"&amp;RIGHT("000000"&amp;$R1754,6))</f>
        <v/>
      </c>
      <c r="T1754">
        <f>IF($N1754="","",IF(Sync!$N1754="",0,Sync!$N1754))</f>
        <v/>
      </c>
      <c r="U1754">
        <f>IF($N1754="","",IF(Sync!$O1754="",0,Sync!$O1754))</f>
        <v/>
      </c>
      <c r="V1754">
        <f>IF($N1754="","",Sync!$L1754)</f>
        <v/>
      </c>
      <c r="W1754">
        <f>IF($N1754="","",Sync!$P1754)</f>
        <v/>
      </c>
    </row>
    <row r="1755">
      <c r="N1755">
        <f>IF(OR(Sync!$M1755="",$Q1755="",$Q1755="نامعتبر"),"",Sync!$M1755)</f>
        <v/>
      </c>
      <c r="O1755">
        <f>IF($N1755="","",$Q1755)</f>
        <v/>
      </c>
      <c r="P1755">
        <f>IF($N1755="","",LEFT($Q1755,4)&amp;MID($Q1755,6,2)&amp;RIGHT($Q1755,2)&amp;IF(Sync!$K1755="","0000",IF(AND(ISNUMBER(Sync!$K1755),Sync!$K1755&gt;=0,Sync!$K1755&lt;1),RIGHT("00"&amp;HOUR(Sync!$K1755),2)&amp;RIGHT("00"&amp;MINUTE(Sync!$K1755),2),IFERROR(RIGHT("00"&amp;VALUE(LEFT(Sync!$K1755,FIND(":",Sync!$K1755)-1)),2)&amp;RIGHT("00"&amp;VALUE(MID(Sync!$K1755,FIND(":",Sync!$K1755)+1,2)),2),"0000")))&amp;"|"&amp;"2"&amp;RIGHT("00000"&amp;1750,5))</f>
        <v/>
      </c>
      <c r="Q1755">
        <f>IF(Sync!$J1755="","",IF(ISNUMBER(Sync!$J1755),IF(AND(Sync!$J1755&gt;=10000101,Sync!$J1755&lt;=99991231),INT(Sync!$J1755/10000)&amp;"/"&amp;RIGHT("00"&amp;INT(MOD(Sync!$J1755,10000)/100),2)&amp;"/"&amp;RIGHT("00"&amp;MOD(Sync!$J1755,100),2),"نامعتبر"),IF(LEN(Sync!$J1755)=10,Sync!$J1755,"نامعتبر")))</f>
        <v/>
      </c>
      <c r="R1755">
        <f>IF($P1755="","",COUNTIFS($N$6:$N$2005,$N1755,$P$6:$P$2005,"&lt;"&amp;$P1755)+COUNTIFS($A$6:$A$1005,$N1755,$B$6:$B$1005,"&lt;"&amp;$P1755)+1)</f>
        <v/>
      </c>
      <c r="S1755">
        <f>IF($N1755="","",$N1755&amp;"|"&amp;RIGHT("000000"&amp;$R1755,6))</f>
        <v/>
      </c>
      <c r="T1755">
        <f>IF($N1755="","",IF(Sync!$N1755="",0,Sync!$N1755))</f>
        <v/>
      </c>
      <c r="U1755">
        <f>IF($N1755="","",IF(Sync!$O1755="",0,Sync!$O1755))</f>
        <v/>
      </c>
      <c r="V1755">
        <f>IF($N1755="","",Sync!$L1755)</f>
        <v/>
      </c>
      <c r="W1755">
        <f>IF($N1755="","",Sync!$P1755)</f>
        <v/>
      </c>
    </row>
    <row r="1756">
      <c r="N1756">
        <f>IF(OR(Sync!$M1756="",$Q1756="",$Q1756="نامعتبر"),"",Sync!$M1756)</f>
        <v/>
      </c>
      <c r="O1756">
        <f>IF($N1756="","",$Q1756)</f>
        <v/>
      </c>
      <c r="P1756">
        <f>IF($N1756="","",LEFT($Q1756,4)&amp;MID($Q1756,6,2)&amp;RIGHT($Q1756,2)&amp;IF(Sync!$K1756="","0000",IF(AND(ISNUMBER(Sync!$K1756),Sync!$K1756&gt;=0,Sync!$K1756&lt;1),RIGHT("00"&amp;HOUR(Sync!$K1756),2)&amp;RIGHT("00"&amp;MINUTE(Sync!$K1756),2),IFERROR(RIGHT("00"&amp;VALUE(LEFT(Sync!$K1756,FIND(":",Sync!$K1756)-1)),2)&amp;RIGHT("00"&amp;VALUE(MID(Sync!$K1756,FIND(":",Sync!$K1756)+1,2)),2),"0000")))&amp;"|"&amp;"2"&amp;RIGHT("00000"&amp;1751,5))</f>
        <v/>
      </c>
      <c r="Q1756">
        <f>IF(Sync!$J1756="","",IF(ISNUMBER(Sync!$J1756),IF(AND(Sync!$J1756&gt;=10000101,Sync!$J1756&lt;=99991231),INT(Sync!$J1756/10000)&amp;"/"&amp;RIGHT("00"&amp;INT(MOD(Sync!$J1756,10000)/100),2)&amp;"/"&amp;RIGHT("00"&amp;MOD(Sync!$J1756,100),2),"نامعتبر"),IF(LEN(Sync!$J1756)=10,Sync!$J1756,"نامعتبر")))</f>
        <v/>
      </c>
      <c r="R1756">
        <f>IF($P1756="","",COUNTIFS($N$6:$N$2005,$N1756,$P$6:$P$2005,"&lt;"&amp;$P1756)+COUNTIFS($A$6:$A$1005,$N1756,$B$6:$B$1005,"&lt;"&amp;$P1756)+1)</f>
        <v/>
      </c>
      <c r="S1756">
        <f>IF($N1756="","",$N1756&amp;"|"&amp;RIGHT("000000"&amp;$R1756,6))</f>
        <v/>
      </c>
      <c r="T1756">
        <f>IF($N1756="","",IF(Sync!$N1756="",0,Sync!$N1756))</f>
        <v/>
      </c>
      <c r="U1756">
        <f>IF($N1756="","",IF(Sync!$O1756="",0,Sync!$O1756))</f>
        <v/>
      </c>
      <c r="V1756">
        <f>IF($N1756="","",Sync!$L1756)</f>
        <v/>
      </c>
      <c r="W1756">
        <f>IF($N1756="","",Sync!$P1756)</f>
        <v/>
      </c>
    </row>
    <row r="1757">
      <c r="N1757">
        <f>IF(OR(Sync!$M1757="",$Q1757="",$Q1757="نامعتبر"),"",Sync!$M1757)</f>
        <v/>
      </c>
      <c r="O1757">
        <f>IF($N1757="","",$Q1757)</f>
        <v/>
      </c>
      <c r="P1757">
        <f>IF($N1757="","",LEFT($Q1757,4)&amp;MID($Q1757,6,2)&amp;RIGHT($Q1757,2)&amp;IF(Sync!$K1757="","0000",IF(AND(ISNUMBER(Sync!$K1757),Sync!$K1757&gt;=0,Sync!$K1757&lt;1),RIGHT("00"&amp;HOUR(Sync!$K1757),2)&amp;RIGHT("00"&amp;MINUTE(Sync!$K1757),2),IFERROR(RIGHT("00"&amp;VALUE(LEFT(Sync!$K1757,FIND(":",Sync!$K1757)-1)),2)&amp;RIGHT("00"&amp;VALUE(MID(Sync!$K1757,FIND(":",Sync!$K1757)+1,2)),2),"0000")))&amp;"|"&amp;"2"&amp;RIGHT("00000"&amp;1752,5))</f>
        <v/>
      </c>
      <c r="Q1757">
        <f>IF(Sync!$J1757="","",IF(ISNUMBER(Sync!$J1757),IF(AND(Sync!$J1757&gt;=10000101,Sync!$J1757&lt;=99991231),INT(Sync!$J1757/10000)&amp;"/"&amp;RIGHT("00"&amp;INT(MOD(Sync!$J1757,10000)/100),2)&amp;"/"&amp;RIGHT("00"&amp;MOD(Sync!$J1757,100),2),"نامعتبر"),IF(LEN(Sync!$J1757)=10,Sync!$J1757,"نامعتبر")))</f>
        <v/>
      </c>
      <c r="R1757">
        <f>IF($P1757="","",COUNTIFS($N$6:$N$2005,$N1757,$P$6:$P$2005,"&lt;"&amp;$P1757)+COUNTIFS($A$6:$A$1005,$N1757,$B$6:$B$1005,"&lt;"&amp;$P1757)+1)</f>
        <v/>
      </c>
      <c r="S1757">
        <f>IF($N1757="","",$N1757&amp;"|"&amp;RIGHT("000000"&amp;$R1757,6))</f>
        <v/>
      </c>
      <c r="T1757">
        <f>IF($N1757="","",IF(Sync!$N1757="",0,Sync!$N1757))</f>
        <v/>
      </c>
      <c r="U1757">
        <f>IF($N1757="","",IF(Sync!$O1757="",0,Sync!$O1757))</f>
        <v/>
      </c>
      <c r="V1757">
        <f>IF($N1757="","",Sync!$L1757)</f>
        <v/>
      </c>
      <c r="W1757">
        <f>IF($N1757="","",Sync!$P1757)</f>
        <v/>
      </c>
    </row>
    <row r="1758">
      <c r="N1758">
        <f>IF(OR(Sync!$M1758="",$Q1758="",$Q1758="نامعتبر"),"",Sync!$M1758)</f>
        <v/>
      </c>
      <c r="O1758">
        <f>IF($N1758="","",$Q1758)</f>
        <v/>
      </c>
      <c r="P1758">
        <f>IF($N1758="","",LEFT($Q1758,4)&amp;MID($Q1758,6,2)&amp;RIGHT($Q1758,2)&amp;IF(Sync!$K1758="","0000",IF(AND(ISNUMBER(Sync!$K1758),Sync!$K1758&gt;=0,Sync!$K1758&lt;1),RIGHT("00"&amp;HOUR(Sync!$K1758),2)&amp;RIGHT("00"&amp;MINUTE(Sync!$K1758),2),IFERROR(RIGHT("00"&amp;VALUE(LEFT(Sync!$K1758,FIND(":",Sync!$K1758)-1)),2)&amp;RIGHT("00"&amp;VALUE(MID(Sync!$K1758,FIND(":",Sync!$K1758)+1,2)),2),"0000")))&amp;"|"&amp;"2"&amp;RIGHT("00000"&amp;1753,5))</f>
        <v/>
      </c>
      <c r="Q1758">
        <f>IF(Sync!$J1758="","",IF(ISNUMBER(Sync!$J1758),IF(AND(Sync!$J1758&gt;=10000101,Sync!$J1758&lt;=99991231),INT(Sync!$J1758/10000)&amp;"/"&amp;RIGHT("00"&amp;INT(MOD(Sync!$J1758,10000)/100),2)&amp;"/"&amp;RIGHT("00"&amp;MOD(Sync!$J1758,100),2),"نامعتبر"),IF(LEN(Sync!$J1758)=10,Sync!$J1758,"نامعتبر")))</f>
        <v/>
      </c>
      <c r="R1758">
        <f>IF($P1758="","",COUNTIFS($N$6:$N$2005,$N1758,$P$6:$P$2005,"&lt;"&amp;$P1758)+COUNTIFS($A$6:$A$1005,$N1758,$B$6:$B$1005,"&lt;"&amp;$P1758)+1)</f>
        <v/>
      </c>
      <c r="S1758">
        <f>IF($N1758="","",$N1758&amp;"|"&amp;RIGHT("000000"&amp;$R1758,6))</f>
        <v/>
      </c>
      <c r="T1758">
        <f>IF($N1758="","",IF(Sync!$N1758="",0,Sync!$N1758))</f>
        <v/>
      </c>
      <c r="U1758">
        <f>IF($N1758="","",IF(Sync!$O1758="",0,Sync!$O1758))</f>
        <v/>
      </c>
      <c r="V1758">
        <f>IF($N1758="","",Sync!$L1758)</f>
        <v/>
      </c>
      <c r="W1758">
        <f>IF($N1758="","",Sync!$P1758)</f>
        <v/>
      </c>
    </row>
    <row r="1759">
      <c r="N1759">
        <f>IF(OR(Sync!$M1759="",$Q1759="",$Q1759="نامعتبر"),"",Sync!$M1759)</f>
        <v/>
      </c>
      <c r="O1759">
        <f>IF($N1759="","",$Q1759)</f>
        <v/>
      </c>
      <c r="P1759">
        <f>IF($N1759="","",LEFT($Q1759,4)&amp;MID($Q1759,6,2)&amp;RIGHT($Q1759,2)&amp;IF(Sync!$K1759="","0000",IF(AND(ISNUMBER(Sync!$K1759),Sync!$K1759&gt;=0,Sync!$K1759&lt;1),RIGHT("00"&amp;HOUR(Sync!$K1759),2)&amp;RIGHT("00"&amp;MINUTE(Sync!$K1759),2),IFERROR(RIGHT("00"&amp;VALUE(LEFT(Sync!$K1759,FIND(":",Sync!$K1759)-1)),2)&amp;RIGHT("00"&amp;VALUE(MID(Sync!$K1759,FIND(":",Sync!$K1759)+1,2)),2),"0000")))&amp;"|"&amp;"2"&amp;RIGHT("00000"&amp;1754,5))</f>
        <v/>
      </c>
      <c r="Q1759">
        <f>IF(Sync!$J1759="","",IF(ISNUMBER(Sync!$J1759),IF(AND(Sync!$J1759&gt;=10000101,Sync!$J1759&lt;=99991231),INT(Sync!$J1759/10000)&amp;"/"&amp;RIGHT("00"&amp;INT(MOD(Sync!$J1759,10000)/100),2)&amp;"/"&amp;RIGHT("00"&amp;MOD(Sync!$J1759,100),2),"نامعتبر"),IF(LEN(Sync!$J1759)=10,Sync!$J1759,"نامعتبر")))</f>
        <v/>
      </c>
      <c r="R1759">
        <f>IF($P1759="","",COUNTIFS($N$6:$N$2005,$N1759,$P$6:$P$2005,"&lt;"&amp;$P1759)+COUNTIFS($A$6:$A$1005,$N1759,$B$6:$B$1005,"&lt;"&amp;$P1759)+1)</f>
        <v/>
      </c>
      <c r="S1759">
        <f>IF($N1759="","",$N1759&amp;"|"&amp;RIGHT("000000"&amp;$R1759,6))</f>
        <v/>
      </c>
      <c r="T1759">
        <f>IF($N1759="","",IF(Sync!$N1759="",0,Sync!$N1759))</f>
        <v/>
      </c>
      <c r="U1759">
        <f>IF($N1759="","",IF(Sync!$O1759="",0,Sync!$O1759))</f>
        <v/>
      </c>
      <c r="V1759">
        <f>IF($N1759="","",Sync!$L1759)</f>
        <v/>
      </c>
      <c r="W1759">
        <f>IF($N1759="","",Sync!$P1759)</f>
        <v/>
      </c>
    </row>
    <row r="1760">
      <c r="N1760">
        <f>IF(OR(Sync!$M1760="",$Q1760="",$Q1760="نامعتبر"),"",Sync!$M1760)</f>
        <v/>
      </c>
      <c r="O1760">
        <f>IF($N1760="","",$Q1760)</f>
        <v/>
      </c>
      <c r="P1760">
        <f>IF($N1760="","",LEFT($Q1760,4)&amp;MID($Q1760,6,2)&amp;RIGHT($Q1760,2)&amp;IF(Sync!$K1760="","0000",IF(AND(ISNUMBER(Sync!$K1760),Sync!$K1760&gt;=0,Sync!$K1760&lt;1),RIGHT("00"&amp;HOUR(Sync!$K1760),2)&amp;RIGHT("00"&amp;MINUTE(Sync!$K1760),2),IFERROR(RIGHT("00"&amp;VALUE(LEFT(Sync!$K1760,FIND(":",Sync!$K1760)-1)),2)&amp;RIGHT("00"&amp;VALUE(MID(Sync!$K1760,FIND(":",Sync!$K1760)+1,2)),2),"0000")))&amp;"|"&amp;"2"&amp;RIGHT("00000"&amp;1755,5))</f>
        <v/>
      </c>
      <c r="Q1760">
        <f>IF(Sync!$J1760="","",IF(ISNUMBER(Sync!$J1760),IF(AND(Sync!$J1760&gt;=10000101,Sync!$J1760&lt;=99991231),INT(Sync!$J1760/10000)&amp;"/"&amp;RIGHT("00"&amp;INT(MOD(Sync!$J1760,10000)/100),2)&amp;"/"&amp;RIGHT("00"&amp;MOD(Sync!$J1760,100),2),"نامعتبر"),IF(LEN(Sync!$J1760)=10,Sync!$J1760,"نامعتبر")))</f>
        <v/>
      </c>
      <c r="R1760">
        <f>IF($P1760="","",COUNTIFS($N$6:$N$2005,$N1760,$P$6:$P$2005,"&lt;"&amp;$P1760)+COUNTIFS($A$6:$A$1005,$N1760,$B$6:$B$1005,"&lt;"&amp;$P1760)+1)</f>
        <v/>
      </c>
      <c r="S1760">
        <f>IF($N1760="","",$N1760&amp;"|"&amp;RIGHT("000000"&amp;$R1760,6))</f>
        <v/>
      </c>
      <c r="T1760">
        <f>IF($N1760="","",IF(Sync!$N1760="",0,Sync!$N1760))</f>
        <v/>
      </c>
      <c r="U1760">
        <f>IF($N1760="","",IF(Sync!$O1760="",0,Sync!$O1760))</f>
        <v/>
      </c>
      <c r="V1760">
        <f>IF($N1760="","",Sync!$L1760)</f>
        <v/>
      </c>
      <c r="W1760">
        <f>IF($N1760="","",Sync!$P1760)</f>
        <v/>
      </c>
    </row>
    <row r="1761">
      <c r="N1761">
        <f>IF(OR(Sync!$M1761="",$Q1761="",$Q1761="نامعتبر"),"",Sync!$M1761)</f>
        <v/>
      </c>
      <c r="O1761">
        <f>IF($N1761="","",$Q1761)</f>
        <v/>
      </c>
      <c r="P1761">
        <f>IF($N1761="","",LEFT($Q1761,4)&amp;MID($Q1761,6,2)&amp;RIGHT($Q1761,2)&amp;IF(Sync!$K1761="","0000",IF(AND(ISNUMBER(Sync!$K1761),Sync!$K1761&gt;=0,Sync!$K1761&lt;1),RIGHT("00"&amp;HOUR(Sync!$K1761),2)&amp;RIGHT("00"&amp;MINUTE(Sync!$K1761),2),IFERROR(RIGHT("00"&amp;VALUE(LEFT(Sync!$K1761,FIND(":",Sync!$K1761)-1)),2)&amp;RIGHT("00"&amp;VALUE(MID(Sync!$K1761,FIND(":",Sync!$K1761)+1,2)),2),"0000")))&amp;"|"&amp;"2"&amp;RIGHT("00000"&amp;1756,5))</f>
        <v/>
      </c>
      <c r="Q1761">
        <f>IF(Sync!$J1761="","",IF(ISNUMBER(Sync!$J1761),IF(AND(Sync!$J1761&gt;=10000101,Sync!$J1761&lt;=99991231),INT(Sync!$J1761/10000)&amp;"/"&amp;RIGHT("00"&amp;INT(MOD(Sync!$J1761,10000)/100),2)&amp;"/"&amp;RIGHT("00"&amp;MOD(Sync!$J1761,100),2),"نامعتبر"),IF(LEN(Sync!$J1761)=10,Sync!$J1761,"نامعتبر")))</f>
        <v/>
      </c>
      <c r="R1761">
        <f>IF($P1761="","",COUNTIFS($N$6:$N$2005,$N1761,$P$6:$P$2005,"&lt;"&amp;$P1761)+COUNTIFS($A$6:$A$1005,$N1761,$B$6:$B$1005,"&lt;"&amp;$P1761)+1)</f>
        <v/>
      </c>
      <c r="S1761">
        <f>IF($N1761="","",$N1761&amp;"|"&amp;RIGHT("000000"&amp;$R1761,6))</f>
        <v/>
      </c>
      <c r="T1761">
        <f>IF($N1761="","",IF(Sync!$N1761="",0,Sync!$N1761))</f>
        <v/>
      </c>
      <c r="U1761">
        <f>IF($N1761="","",IF(Sync!$O1761="",0,Sync!$O1761))</f>
        <v/>
      </c>
      <c r="V1761">
        <f>IF($N1761="","",Sync!$L1761)</f>
        <v/>
      </c>
      <c r="W1761">
        <f>IF($N1761="","",Sync!$P1761)</f>
        <v/>
      </c>
    </row>
    <row r="1762">
      <c r="N1762">
        <f>IF(OR(Sync!$M1762="",$Q1762="",$Q1762="نامعتبر"),"",Sync!$M1762)</f>
        <v/>
      </c>
      <c r="O1762">
        <f>IF($N1762="","",$Q1762)</f>
        <v/>
      </c>
      <c r="P1762">
        <f>IF($N1762="","",LEFT($Q1762,4)&amp;MID($Q1762,6,2)&amp;RIGHT($Q1762,2)&amp;IF(Sync!$K1762="","0000",IF(AND(ISNUMBER(Sync!$K1762),Sync!$K1762&gt;=0,Sync!$K1762&lt;1),RIGHT("00"&amp;HOUR(Sync!$K1762),2)&amp;RIGHT("00"&amp;MINUTE(Sync!$K1762),2),IFERROR(RIGHT("00"&amp;VALUE(LEFT(Sync!$K1762,FIND(":",Sync!$K1762)-1)),2)&amp;RIGHT("00"&amp;VALUE(MID(Sync!$K1762,FIND(":",Sync!$K1762)+1,2)),2),"0000")))&amp;"|"&amp;"2"&amp;RIGHT("00000"&amp;1757,5))</f>
        <v/>
      </c>
      <c r="Q1762">
        <f>IF(Sync!$J1762="","",IF(ISNUMBER(Sync!$J1762),IF(AND(Sync!$J1762&gt;=10000101,Sync!$J1762&lt;=99991231),INT(Sync!$J1762/10000)&amp;"/"&amp;RIGHT("00"&amp;INT(MOD(Sync!$J1762,10000)/100),2)&amp;"/"&amp;RIGHT("00"&amp;MOD(Sync!$J1762,100),2),"نامعتبر"),IF(LEN(Sync!$J1762)=10,Sync!$J1762,"نامعتبر")))</f>
        <v/>
      </c>
      <c r="R1762">
        <f>IF($P1762="","",COUNTIFS($N$6:$N$2005,$N1762,$P$6:$P$2005,"&lt;"&amp;$P1762)+COUNTIFS($A$6:$A$1005,$N1762,$B$6:$B$1005,"&lt;"&amp;$P1762)+1)</f>
        <v/>
      </c>
      <c r="S1762">
        <f>IF($N1762="","",$N1762&amp;"|"&amp;RIGHT("000000"&amp;$R1762,6))</f>
        <v/>
      </c>
      <c r="T1762">
        <f>IF($N1762="","",IF(Sync!$N1762="",0,Sync!$N1762))</f>
        <v/>
      </c>
      <c r="U1762">
        <f>IF($N1762="","",IF(Sync!$O1762="",0,Sync!$O1762))</f>
        <v/>
      </c>
      <c r="V1762">
        <f>IF($N1762="","",Sync!$L1762)</f>
        <v/>
      </c>
      <c r="W1762">
        <f>IF($N1762="","",Sync!$P1762)</f>
        <v/>
      </c>
    </row>
    <row r="1763">
      <c r="N1763">
        <f>IF(OR(Sync!$M1763="",$Q1763="",$Q1763="نامعتبر"),"",Sync!$M1763)</f>
        <v/>
      </c>
      <c r="O1763">
        <f>IF($N1763="","",$Q1763)</f>
        <v/>
      </c>
      <c r="P1763">
        <f>IF($N1763="","",LEFT($Q1763,4)&amp;MID($Q1763,6,2)&amp;RIGHT($Q1763,2)&amp;IF(Sync!$K1763="","0000",IF(AND(ISNUMBER(Sync!$K1763),Sync!$K1763&gt;=0,Sync!$K1763&lt;1),RIGHT("00"&amp;HOUR(Sync!$K1763),2)&amp;RIGHT("00"&amp;MINUTE(Sync!$K1763),2),IFERROR(RIGHT("00"&amp;VALUE(LEFT(Sync!$K1763,FIND(":",Sync!$K1763)-1)),2)&amp;RIGHT("00"&amp;VALUE(MID(Sync!$K1763,FIND(":",Sync!$K1763)+1,2)),2),"0000")))&amp;"|"&amp;"2"&amp;RIGHT("00000"&amp;1758,5))</f>
        <v/>
      </c>
      <c r="Q1763">
        <f>IF(Sync!$J1763="","",IF(ISNUMBER(Sync!$J1763),IF(AND(Sync!$J1763&gt;=10000101,Sync!$J1763&lt;=99991231),INT(Sync!$J1763/10000)&amp;"/"&amp;RIGHT("00"&amp;INT(MOD(Sync!$J1763,10000)/100),2)&amp;"/"&amp;RIGHT("00"&amp;MOD(Sync!$J1763,100),2),"نامعتبر"),IF(LEN(Sync!$J1763)=10,Sync!$J1763,"نامعتبر")))</f>
        <v/>
      </c>
      <c r="R1763">
        <f>IF($P1763="","",COUNTIFS($N$6:$N$2005,$N1763,$P$6:$P$2005,"&lt;"&amp;$P1763)+COUNTIFS($A$6:$A$1005,$N1763,$B$6:$B$1005,"&lt;"&amp;$P1763)+1)</f>
        <v/>
      </c>
      <c r="S1763">
        <f>IF($N1763="","",$N1763&amp;"|"&amp;RIGHT("000000"&amp;$R1763,6))</f>
        <v/>
      </c>
      <c r="T1763">
        <f>IF($N1763="","",IF(Sync!$N1763="",0,Sync!$N1763))</f>
        <v/>
      </c>
      <c r="U1763">
        <f>IF($N1763="","",IF(Sync!$O1763="",0,Sync!$O1763))</f>
        <v/>
      </c>
      <c r="V1763">
        <f>IF($N1763="","",Sync!$L1763)</f>
        <v/>
      </c>
      <c r="W1763">
        <f>IF($N1763="","",Sync!$P1763)</f>
        <v/>
      </c>
    </row>
    <row r="1764">
      <c r="N1764">
        <f>IF(OR(Sync!$M1764="",$Q1764="",$Q1764="نامعتبر"),"",Sync!$M1764)</f>
        <v/>
      </c>
      <c r="O1764">
        <f>IF($N1764="","",$Q1764)</f>
        <v/>
      </c>
      <c r="P1764">
        <f>IF($N1764="","",LEFT($Q1764,4)&amp;MID($Q1764,6,2)&amp;RIGHT($Q1764,2)&amp;IF(Sync!$K1764="","0000",IF(AND(ISNUMBER(Sync!$K1764),Sync!$K1764&gt;=0,Sync!$K1764&lt;1),RIGHT("00"&amp;HOUR(Sync!$K1764),2)&amp;RIGHT("00"&amp;MINUTE(Sync!$K1764),2),IFERROR(RIGHT("00"&amp;VALUE(LEFT(Sync!$K1764,FIND(":",Sync!$K1764)-1)),2)&amp;RIGHT("00"&amp;VALUE(MID(Sync!$K1764,FIND(":",Sync!$K1764)+1,2)),2),"0000")))&amp;"|"&amp;"2"&amp;RIGHT("00000"&amp;1759,5))</f>
        <v/>
      </c>
      <c r="Q1764">
        <f>IF(Sync!$J1764="","",IF(ISNUMBER(Sync!$J1764),IF(AND(Sync!$J1764&gt;=10000101,Sync!$J1764&lt;=99991231),INT(Sync!$J1764/10000)&amp;"/"&amp;RIGHT("00"&amp;INT(MOD(Sync!$J1764,10000)/100),2)&amp;"/"&amp;RIGHT("00"&amp;MOD(Sync!$J1764,100),2),"نامعتبر"),IF(LEN(Sync!$J1764)=10,Sync!$J1764,"نامعتبر")))</f>
        <v/>
      </c>
      <c r="R1764">
        <f>IF($P1764="","",COUNTIFS($N$6:$N$2005,$N1764,$P$6:$P$2005,"&lt;"&amp;$P1764)+COUNTIFS($A$6:$A$1005,$N1764,$B$6:$B$1005,"&lt;"&amp;$P1764)+1)</f>
        <v/>
      </c>
      <c r="S1764">
        <f>IF($N1764="","",$N1764&amp;"|"&amp;RIGHT("000000"&amp;$R1764,6))</f>
        <v/>
      </c>
      <c r="T1764">
        <f>IF($N1764="","",IF(Sync!$N1764="",0,Sync!$N1764))</f>
        <v/>
      </c>
      <c r="U1764">
        <f>IF($N1764="","",IF(Sync!$O1764="",0,Sync!$O1764))</f>
        <v/>
      </c>
      <c r="V1764">
        <f>IF($N1764="","",Sync!$L1764)</f>
        <v/>
      </c>
      <c r="W1764">
        <f>IF($N1764="","",Sync!$P1764)</f>
        <v/>
      </c>
    </row>
    <row r="1765">
      <c r="N1765">
        <f>IF(OR(Sync!$M1765="",$Q1765="",$Q1765="نامعتبر"),"",Sync!$M1765)</f>
        <v/>
      </c>
      <c r="O1765">
        <f>IF($N1765="","",$Q1765)</f>
        <v/>
      </c>
      <c r="P1765">
        <f>IF($N1765="","",LEFT($Q1765,4)&amp;MID($Q1765,6,2)&amp;RIGHT($Q1765,2)&amp;IF(Sync!$K1765="","0000",IF(AND(ISNUMBER(Sync!$K1765),Sync!$K1765&gt;=0,Sync!$K1765&lt;1),RIGHT("00"&amp;HOUR(Sync!$K1765),2)&amp;RIGHT("00"&amp;MINUTE(Sync!$K1765),2),IFERROR(RIGHT("00"&amp;VALUE(LEFT(Sync!$K1765,FIND(":",Sync!$K1765)-1)),2)&amp;RIGHT("00"&amp;VALUE(MID(Sync!$K1765,FIND(":",Sync!$K1765)+1,2)),2),"0000")))&amp;"|"&amp;"2"&amp;RIGHT("00000"&amp;1760,5))</f>
        <v/>
      </c>
      <c r="Q1765">
        <f>IF(Sync!$J1765="","",IF(ISNUMBER(Sync!$J1765),IF(AND(Sync!$J1765&gt;=10000101,Sync!$J1765&lt;=99991231),INT(Sync!$J1765/10000)&amp;"/"&amp;RIGHT("00"&amp;INT(MOD(Sync!$J1765,10000)/100),2)&amp;"/"&amp;RIGHT("00"&amp;MOD(Sync!$J1765,100),2),"نامعتبر"),IF(LEN(Sync!$J1765)=10,Sync!$J1765,"نامعتبر")))</f>
        <v/>
      </c>
      <c r="R1765">
        <f>IF($P1765="","",COUNTIFS($N$6:$N$2005,$N1765,$P$6:$P$2005,"&lt;"&amp;$P1765)+COUNTIFS($A$6:$A$1005,$N1765,$B$6:$B$1005,"&lt;"&amp;$P1765)+1)</f>
        <v/>
      </c>
      <c r="S1765">
        <f>IF($N1765="","",$N1765&amp;"|"&amp;RIGHT("000000"&amp;$R1765,6))</f>
        <v/>
      </c>
      <c r="T1765">
        <f>IF($N1765="","",IF(Sync!$N1765="",0,Sync!$N1765))</f>
        <v/>
      </c>
      <c r="U1765">
        <f>IF($N1765="","",IF(Sync!$O1765="",0,Sync!$O1765))</f>
        <v/>
      </c>
      <c r="V1765">
        <f>IF($N1765="","",Sync!$L1765)</f>
        <v/>
      </c>
      <c r="W1765">
        <f>IF($N1765="","",Sync!$P1765)</f>
        <v/>
      </c>
    </row>
    <row r="1766">
      <c r="N1766">
        <f>IF(OR(Sync!$M1766="",$Q1766="",$Q1766="نامعتبر"),"",Sync!$M1766)</f>
        <v/>
      </c>
      <c r="O1766">
        <f>IF($N1766="","",$Q1766)</f>
        <v/>
      </c>
      <c r="P1766">
        <f>IF($N1766="","",LEFT($Q1766,4)&amp;MID($Q1766,6,2)&amp;RIGHT($Q1766,2)&amp;IF(Sync!$K1766="","0000",IF(AND(ISNUMBER(Sync!$K1766),Sync!$K1766&gt;=0,Sync!$K1766&lt;1),RIGHT("00"&amp;HOUR(Sync!$K1766),2)&amp;RIGHT("00"&amp;MINUTE(Sync!$K1766),2),IFERROR(RIGHT("00"&amp;VALUE(LEFT(Sync!$K1766,FIND(":",Sync!$K1766)-1)),2)&amp;RIGHT("00"&amp;VALUE(MID(Sync!$K1766,FIND(":",Sync!$K1766)+1,2)),2),"0000")))&amp;"|"&amp;"2"&amp;RIGHT("00000"&amp;1761,5))</f>
        <v/>
      </c>
      <c r="Q1766">
        <f>IF(Sync!$J1766="","",IF(ISNUMBER(Sync!$J1766),IF(AND(Sync!$J1766&gt;=10000101,Sync!$J1766&lt;=99991231),INT(Sync!$J1766/10000)&amp;"/"&amp;RIGHT("00"&amp;INT(MOD(Sync!$J1766,10000)/100),2)&amp;"/"&amp;RIGHT("00"&amp;MOD(Sync!$J1766,100),2),"نامعتبر"),IF(LEN(Sync!$J1766)=10,Sync!$J1766,"نامعتبر")))</f>
        <v/>
      </c>
      <c r="R1766">
        <f>IF($P1766="","",COUNTIFS($N$6:$N$2005,$N1766,$P$6:$P$2005,"&lt;"&amp;$P1766)+COUNTIFS($A$6:$A$1005,$N1766,$B$6:$B$1005,"&lt;"&amp;$P1766)+1)</f>
        <v/>
      </c>
      <c r="S1766">
        <f>IF($N1766="","",$N1766&amp;"|"&amp;RIGHT("000000"&amp;$R1766,6))</f>
        <v/>
      </c>
      <c r="T1766">
        <f>IF($N1766="","",IF(Sync!$N1766="",0,Sync!$N1766))</f>
        <v/>
      </c>
      <c r="U1766">
        <f>IF($N1766="","",IF(Sync!$O1766="",0,Sync!$O1766))</f>
        <v/>
      </c>
      <c r="V1766">
        <f>IF($N1766="","",Sync!$L1766)</f>
        <v/>
      </c>
      <c r="W1766">
        <f>IF($N1766="","",Sync!$P1766)</f>
        <v/>
      </c>
    </row>
    <row r="1767">
      <c r="N1767">
        <f>IF(OR(Sync!$M1767="",$Q1767="",$Q1767="نامعتبر"),"",Sync!$M1767)</f>
        <v/>
      </c>
      <c r="O1767">
        <f>IF($N1767="","",$Q1767)</f>
        <v/>
      </c>
      <c r="P1767">
        <f>IF($N1767="","",LEFT($Q1767,4)&amp;MID($Q1767,6,2)&amp;RIGHT($Q1767,2)&amp;IF(Sync!$K1767="","0000",IF(AND(ISNUMBER(Sync!$K1767),Sync!$K1767&gt;=0,Sync!$K1767&lt;1),RIGHT("00"&amp;HOUR(Sync!$K1767),2)&amp;RIGHT("00"&amp;MINUTE(Sync!$K1767),2),IFERROR(RIGHT("00"&amp;VALUE(LEFT(Sync!$K1767,FIND(":",Sync!$K1767)-1)),2)&amp;RIGHT("00"&amp;VALUE(MID(Sync!$K1767,FIND(":",Sync!$K1767)+1,2)),2),"0000")))&amp;"|"&amp;"2"&amp;RIGHT("00000"&amp;1762,5))</f>
        <v/>
      </c>
      <c r="Q1767">
        <f>IF(Sync!$J1767="","",IF(ISNUMBER(Sync!$J1767),IF(AND(Sync!$J1767&gt;=10000101,Sync!$J1767&lt;=99991231),INT(Sync!$J1767/10000)&amp;"/"&amp;RIGHT("00"&amp;INT(MOD(Sync!$J1767,10000)/100),2)&amp;"/"&amp;RIGHT("00"&amp;MOD(Sync!$J1767,100),2),"نامعتبر"),IF(LEN(Sync!$J1767)=10,Sync!$J1767,"نامعتبر")))</f>
        <v/>
      </c>
      <c r="R1767">
        <f>IF($P1767="","",COUNTIFS($N$6:$N$2005,$N1767,$P$6:$P$2005,"&lt;"&amp;$P1767)+COUNTIFS($A$6:$A$1005,$N1767,$B$6:$B$1005,"&lt;"&amp;$P1767)+1)</f>
        <v/>
      </c>
      <c r="S1767">
        <f>IF($N1767="","",$N1767&amp;"|"&amp;RIGHT("000000"&amp;$R1767,6))</f>
        <v/>
      </c>
      <c r="T1767">
        <f>IF($N1767="","",IF(Sync!$N1767="",0,Sync!$N1767))</f>
        <v/>
      </c>
      <c r="U1767">
        <f>IF($N1767="","",IF(Sync!$O1767="",0,Sync!$O1767))</f>
        <v/>
      </c>
      <c r="V1767">
        <f>IF($N1767="","",Sync!$L1767)</f>
        <v/>
      </c>
      <c r="W1767">
        <f>IF($N1767="","",Sync!$P1767)</f>
        <v/>
      </c>
    </row>
    <row r="1768">
      <c r="N1768">
        <f>IF(OR(Sync!$M1768="",$Q1768="",$Q1768="نامعتبر"),"",Sync!$M1768)</f>
        <v/>
      </c>
      <c r="O1768">
        <f>IF($N1768="","",$Q1768)</f>
        <v/>
      </c>
      <c r="P1768">
        <f>IF($N1768="","",LEFT($Q1768,4)&amp;MID($Q1768,6,2)&amp;RIGHT($Q1768,2)&amp;IF(Sync!$K1768="","0000",IF(AND(ISNUMBER(Sync!$K1768),Sync!$K1768&gt;=0,Sync!$K1768&lt;1),RIGHT("00"&amp;HOUR(Sync!$K1768),2)&amp;RIGHT("00"&amp;MINUTE(Sync!$K1768),2),IFERROR(RIGHT("00"&amp;VALUE(LEFT(Sync!$K1768,FIND(":",Sync!$K1768)-1)),2)&amp;RIGHT("00"&amp;VALUE(MID(Sync!$K1768,FIND(":",Sync!$K1768)+1,2)),2),"0000")))&amp;"|"&amp;"2"&amp;RIGHT("00000"&amp;1763,5))</f>
        <v/>
      </c>
      <c r="Q1768">
        <f>IF(Sync!$J1768="","",IF(ISNUMBER(Sync!$J1768),IF(AND(Sync!$J1768&gt;=10000101,Sync!$J1768&lt;=99991231),INT(Sync!$J1768/10000)&amp;"/"&amp;RIGHT("00"&amp;INT(MOD(Sync!$J1768,10000)/100),2)&amp;"/"&amp;RIGHT("00"&amp;MOD(Sync!$J1768,100),2),"نامعتبر"),IF(LEN(Sync!$J1768)=10,Sync!$J1768,"نامعتبر")))</f>
        <v/>
      </c>
      <c r="R1768">
        <f>IF($P1768="","",COUNTIFS($N$6:$N$2005,$N1768,$P$6:$P$2005,"&lt;"&amp;$P1768)+COUNTIFS($A$6:$A$1005,$N1768,$B$6:$B$1005,"&lt;"&amp;$P1768)+1)</f>
        <v/>
      </c>
      <c r="S1768">
        <f>IF($N1768="","",$N1768&amp;"|"&amp;RIGHT("000000"&amp;$R1768,6))</f>
        <v/>
      </c>
      <c r="T1768">
        <f>IF($N1768="","",IF(Sync!$N1768="",0,Sync!$N1768))</f>
        <v/>
      </c>
      <c r="U1768">
        <f>IF($N1768="","",IF(Sync!$O1768="",0,Sync!$O1768))</f>
        <v/>
      </c>
      <c r="V1768">
        <f>IF($N1768="","",Sync!$L1768)</f>
        <v/>
      </c>
      <c r="W1768">
        <f>IF($N1768="","",Sync!$P1768)</f>
        <v/>
      </c>
    </row>
    <row r="1769">
      <c r="N1769">
        <f>IF(OR(Sync!$M1769="",$Q1769="",$Q1769="نامعتبر"),"",Sync!$M1769)</f>
        <v/>
      </c>
      <c r="O1769">
        <f>IF($N1769="","",$Q1769)</f>
        <v/>
      </c>
      <c r="P1769">
        <f>IF($N1769="","",LEFT($Q1769,4)&amp;MID($Q1769,6,2)&amp;RIGHT($Q1769,2)&amp;IF(Sync!$K1769="","0000",IF(AND(ISNUMBER(Sync!$K1769),Sync!$K1769&gt;=0,Sync!$K1769&lt;1),RIGHT("00"&amp;HOUR(Sync!$K1769),2)&amp;RIGHT("00"&amp;MINUTE(Sync!$K1769),2),IFERROR(RIGHT("00"&amp;VALUE(LEFT(Sync!$K1769,FIND(":",Sync!$K1769)-1)),2)&amp;RIGHT("00"&amp;VALUE(MID(Sync!$K1769,FIND(":",Sync!$K1769)+1,2)),2),"0000")))&amp;"|"&amp;"2"&amp;RIGHT("00000"&amp;1764,5))</f>
        <v/>
      </c>
      <c r="Q1769">
        <f>IF(Sync!$J1769="","",IF(ISNUMBER(Sync!$J1769),IF(AND(Sync!$J1769&gt;=10000101,Sync!$J1769&lt;=99991231),INT(Sync!$J1769/10000)&amp;"/"&amp;RIGHT("00"&amp;INT(MOD(Sync!$J1769,10000)/100),2)&amp;"/"&amp;RIGHT("00"&amp;MOD(Sync!$J1769,100),2),"نامعتبر"),IF(LEN(Sync!$J1769)=10,Sync!$J1769,"نامعتبر")))</f>
        <v/>
      </c>
      <c r="R1769">
        <f>IF($P1769="","",COUNTIFS($N$6:$N$2005,$N1769,$P$6:$P$2005,"&lt;"&amp;$P1769)+COUNTIFS($A$6:$A$1005,$N1769,$B$6:$B$1005,"&lt;"&amp;$P1769)+1)</f>
        <v/>
      </c>
      <c r="S1769">
        <f>IF($N1769="","",$N1769&amp;"|"&amp;RIGHT("000000"&amp;$R1769,6))</f>
        <v/>
      </c>
      <c r="T1769">
        <f>IF($N1769="","",IF(Sync!$N1769="",0,Sync!$N1769))</f>
        <v/>
      </c>
      <c r="U1769">
        <f>IF($N1769="","",IF(Sync!$O1769="",0,Sync!$O1769))</f>
        <v/>
      </c>
      <c r="V1769">
        <f>IF($N1769="","",Sync!$L1769)</f>
        <v/>
      </c>
      <c r="W1769">
        <f>IF($N1769="","",Sync!$P1769)</f>
        <v/>
      </c>
    </row>
    <row r="1770">
      <c r="N1770">
        <f>IF(OR(Sync!$M1770="",$Q1770="",$Q1770="نامعتبر"),"",Sync!$M1770)</f>
        <v/>
      </c>
      <c r="O1770">
        <f>IF($N1770="","",$Q1770)</f>
        <v/>
      </c>
      <c r="P1770">
        <f>IF($N1770="","",LEFT($Q1770,4)&amp;MID($Q1770,6,2)&amp;RIGHT($Q1770,2)&amp;IF(Sync!$K1770="","0000",IF(AND(ISNUMBER(Sync!$K1770),Sync!$K1770&gt;=0,Sync!$K1770&lt;1),RIGHT("00"&amp;HOUR(Sync!$K1770),2)&amp;RIGHT("00"&amp;MINUTE(Sync!$K1770),2),IFERROR(RIGHT("00"&amp;VALUE(LEFT(Sync!$K1770,FIND(":",Sync!$K1770)-1)),2)&amp;RIGHT("00"&amp;VALUE(MID(Sync!$K1770,FIND(":",Sync!$K1770)+1,2)),2),"0000")))&amp;"|"&amp;"2"&amp;RIGHT("00000"&amp;1765,5))</f>
        <v/>
      </c>
      <c r="Q1770">
        <f>IF(Sync!$J1770="","",IF(ISNUMBER(Sync!$J1770),IF(AND(Sync!$J1770&gt;=10000101,Sync!$J1770&lt;=99991231),INT(Sync!$J1770/10000)&amp;"/"&amp;RIGHT("00"&amp;INT(MOD(Sync!$J1770,10000)/100),2)&amp;"/"&amp;RIGHT("00"&amp;MOD(Sync!$J1770,100),2),"نامعتبر"),IF(LEN(Sync!$J1770)=10,Sync!$J1770,"نامعتبر")))</f>
        <v/>
      </c>
      <c r="R1770">
        <f>IF($P1770="","",COUNTIFS($N$6:$N$2005,$N1770,$P$6:$P$2005,"&lt;"&amp;$P1770)+COUNTIFS($A$6:$A$1005,$N1770,$B$6:$B$1005,"&lt;"&amp;$P1770)+1)</f>
        <v/>
      </c>
      <c r="S1770">
        <f>IF($N1770="","",$N1770&amp;"|"&amp;RIGHT("000000"&amp;$R1770,6))</f>
        <v/>
      </c>
      <c r="T1770">
        <f>IF($N1770="","",IF(Sync!$N1770="",0,Sync!$N1770))</f>
        <v/>
      </c>
      <c r="U1770">
        <f>IF($N1770="","",IF(Sync!$O1770="",0,Sync!$O1770))</f>
        <v/>
      </c>
      <c r="V1770">
        <f>IF($N1770="","",Sync!$L1770)</f>
        <v/>
      </c>
      <c r="W1770">
        <f>IF($N1770="","",Sync!$P1770)</f>
        <v/>
      </c>
    </row>
    <row r="1771">
      <c r="N1771">
        <f>IF(OR(Sync!$M1771="",$Q1771="",$Q1771="نامعتبر"),"",Sync!$M1771)</f>
        <v/>
      </c>
      <c r="O1771">
        <f>IF($N1771="","",$Q1771)</f>
        <v/>
      </c>
      <c r="P1771">
        <f>IF($N1771="","",LEFT($Q1771,4)&amp;MID($Q1771,6,2)&amp;RIGHT($Q1771,2)&amp;IF(Sync!$K1771="","0000",IF(AND(ISNUMBER(Sync!$K1771),Sync!$K1771&gt;=0,Sync!$K1771&lt;1),RIGHT("00"&amp;HOUR(Sync!$K1771),2)&amp;RIGHT("00"&amp;MINUTE(Sync!$K1771),2),IFERROR(RIGHT("00"&amp;VALUE(LEFT(Sync!$K1771,FIND(":",Sync!$K1771)-1)),2)&amp;RIGHT("00"&amp;VALUE(MID(Sync!$K1771,FIND(":",Sync!$K1771)+1,2)),2),"0000")))&amp;"|"&amp;"2"&amp;RIGHT("00000"&amp;1766,5))</f>
        <v/>
      </c>
      <c r="Q1771">
        <f>IF(Sync!$J1771="","",IF(ISNUMBER(Sync!$J1771),IF(AND(Sync!$J1771&gt;=10000101,Sync!$J1771&lt;=99991231),INT(Sync!$J1771/10000)&amp;"/"&amp;RIGHT("00"&amp;INT(MOD(Sync!$J1771,10000)/100),2)&amp;"/"&amp;RIGHT("00"&amp;MOD(Sync!$J1771,100),2),"نامعتبر"),IF(LEN(Sync!$J1771)=10,Sync!$J1771,"نامعتبر")))</f>
        <v/>
      </c>
      <c r="R1771">
        <f>IF($P1771="","",COUNTIFS($N$6:$N$2005,$N1771,$P$6:$P$2005,"&lt;"&amp;$P1771)+COUNTIFS($A$6:$A$1005,$N1771,$B$6:$B$1005,"&lt;"&amp;$P1771)+1)</f>
        <v/>
      </c>
      <c r="S1771">
        <f>IF($N1771="","",$N1771&amp;"|"&amp;RIGHT("000000"&amp;$R1771,6))</f>
        <v/>
      </c>
      <c r="T1771">
        <f>IF($N1771="","",IF(Sync!$N1771="",0,Sync!$N1771))</f>
        <v/>
      </c>
      <c r="U1771">
        <f>IF($N1771="","",IF(Sync!$O1771="",0,Sync!$O1771))</f>
        <v/>
      </c>
      <c r="V1771">
        <f>IF($N1771="","",Sync!$L1771)</f>
        <v/>
      </c>
      <c r="W1771">
        <f>IF($N1771="","",Sync!$P1771)</f>
        <v/>
      </c>
    </row>
    <row r="1772">
      <c r="N1772">
        <f>IF(OR(Sync!$M1772="",$Q1772="",$Q1772="نامعتبر"),"",Sync!$M1772)</f>
        <v/>
      </c>
      <c r="O1772">
        <f>IF($N1772="","",$Q1772)</f>
        <v/>
      </c>
      <c r="P1772">
        <f>IF($N1772="","",LEFT($Q1772,4)&amp;MID($Q1772,6,2)&amp;RIGHT($Q1772,2)&amp;IF(Sync!$K1772="","0000",IF(AND(ISNUMBER(Sync!$K1772),Sync!$K1772&gt;=0,Sync!$K1772&lt;1),RIGHT("00"&amp;HOUR(Sync!$K1772),2)&amp;RIGHT("00"&amp;MINUTE(Sync!$K1772),2),IFERROR(RIGHT("00"&amp;VALUE(LEFT(Sync!$K1772,FIND(":",Sync!$K1772)-1)),2)&amp;RIGHT("00"&amp;VALUE(MID(Sync!$K1772,FIND(":",Sync!$K1772)+1,2)),2),"0000")))&amp;"|"&amp;"2"&amp;RIGHT("00000"&amp;1767,5))</f>
        <v/>
      </c>
      <c r="Q1772">
        <f>IF(Sync!$J1772="","",IF(ISNUMBER(Sync!$J1772),IF(AND(Sync!$J1772&gt;=10000101,Sync!$J1772&lt;=99991231),INT(Sync!$J1772/10000)&amp;"/"&amp;RIGHT("00"&amp;INT(MOD(Sync!$J1772,10000)/100),2)&amp;"/"&amp;RIGHT("00"&amp;MOD(Sync!$J1772,100),2),"نامعتبر"),IF(LEN(Sync!$J1772)=10,Sync!$J1772,"نامعتبر")))</f>
        <v/>
      </c>
      <c r="R1772">
        <f>IF($P1772="","",COUNTIFS($N$6:$N$2005,$N1772,$P$6:$P$2005,"&lt;"&amp;$P1772)+COUNTIFS($A$6:$A$1005,$N1772,$B$6:$B$1005,"&lt;"&amp;$P1772)+1)</f>
        <v/>
      </c>
      <c r="S1772">
        <f>IF($N1772="","",$N1772&amp;"|"&amp;RIGHT("000000"&amp;$R1772,6))</f>
        <v/>
      </c>
      <c r="T1772">
        <f>IF($N1772="","",IF(Sync!$N1772="",0,Sync!$N1772))</f>
        <v/>
      </c>
      <c r="U1772">
        <f>IF($N1772="","",IF(Sync!$O1772="",0,Sync!$O1772))</f>
        <v/>
      </c>
      <c r="V1772">
        <f>IF($N1772="","",Sync!$L1772)</f>
        <v/>
      </c>
      <c r="W1772">
        <f>IF($N1772="","",Sync!$P1772)</f>
        <v/>
      </c>
    </row>
    <row r="1773">
      <c r="N1773">
        <f>IF(OR(Sync!$M1773="",$Q1773="",$Q1773="نامعتبر"),"",Sync!$M1773)</f>
        <v/>
      </c>
      <c r="O1773">
        <f>IF($N1773="","",$Q1773)</f>
        <v/>
      </c>
      <c r="P1773">
        <f>IF($N1773="","",LEFT($Q1773,4)&amp;MID($Q1773,6,2)&amp;RIGHT($Q1773,2)&amp;IF(Sync!$K1773="","0000",IF(AND(ISNUMBER(Sync!$K1773),Sync!$K1773&gt;=0,Sync!$K1773&lt;1),RIGHT("00"&amp;HOUR(Sync!$K1773),2)&amp;RIGHT("00"&amp;MINUTE(Sync!$K1773),2),IFERROR(RIGHT("00"&amp;VALUE(LEFT(Sync!$K1773,FIND(":",Sync!$K1773)-1)),2)&amp;RIGHT("00"&amp;VALUE(MID(Sync!$K1773,FIND(":",Sync!$K1773)+1,2)),2),"0000")))&amp;"|"&amp;"2"&amp;RIGHT("00000"&amp;1768,5))</f>
        <v/>
      </c>
      <c r="Q1773">
        <f>IF(Sync!$J1773="","",IF(ISNUMBER(Sync!$J1773),IF(AND(Sync!$J1773&gt;=10000101,Sync!$J1773&lt;=99991231),INT(Sync!$J1773/10000)&amp;"/"&amp;RIGHT("00"&amp;INT(MOD(Sync!$J1773,10000)/100),2)&amp;"/"&amp;RIGHT("00"&amp;MOD(Sync!$J1773,100),2),"نامعتبر"),IF(LEN(Sync!$J1773)=10,Sync!$J1773,"نامعتبر")))</f>
        <v/>
      </c>
      <c r="R1773">
        <f>IF($P1773="","",COUNTIFS($N$6:$N$2005,$N1773,$P$6:$P$2005,"&lt;"&amp;$P1773)+COUNTIFS($A$6:$A$1005,$N1773,$B$6:$B$1005,"&lt;"&amp;$P1773)+1)</f>
        <v/>
      </c>
      <c r="S1773">
        <f>IF($N1773="","",$N1773&amp;"|"&amp;RIGHT("000000"&amp;$R1773,6))</f>
        <v/>
      </c>
      <c r="T1773">
        <f>IF($N1773="","",IF(Sync!$N1773="",0,Sync!$N1773))</f>
        <v/>
      </c>
      <c r="U1773">
        <f>IF($N1773="","",IF(Sync!$O1773="",0,Sync!$O1773))</f>
        <v/>
      </c>
      <c r="V1773">
        <f>IF($N1773="","",Sync!$L1773)</f>
        <v/>
      </c>
      <c r="W1773">
        <f>IF($N1773="","",Sync!$P1773)</f>
        <v/>
      </c>
    </row>
    <row r="1774">
      <c r="N1774">
        <f>IF(OR(Sync!$M1774="",$Q1774="",$Q1774="نامعتبر"),"",Sync!$M1774)</f>
        <v/>
      </c>
      <c r="O1774">
        <f>IF($N1774="","",$Q1774)</f>
        <v/>
      </c>
      <c r="P1774">
        <f>IF($N1774="","",LEFT($Q1774,4)&amp;MID($Q1774,6,2)&amp;RIGHT($Q1774,2)&amp;IF(Sync!$K1774="","0000",IF(AND(ISNUMBER(Sync!$K1774),Sync!$K1774&gt;=0,Sync!$K1774&lt;1),RIGHT("00"&amp;HOUR(Sync!$K1774),2)&amp;RIGHT("00"&amp;MINUTE(Sync!$K1774),2),IFERROR(RIGHT("00"&amp;VALUE(LEFT(Sync!$K1774,FIND(":",Sync!$K1774)-1)),2)&amp;RIGHT("00"&amp;VALUE(MID(Sync!$K1774,FIND(":",Sync!$K1774)+1,2)),2),"0000")))&amp;"|"&amp;"2"&amp;RIGHT("00000"&amp;1769,5))</f>
        <v/>
      </c>
      <c r="Q1774">
        <f>IF(Sync!$J1774="","",IF(ISNUMBER(Sync!$J1774),IF(AND(Sync!$J1774&gt;=10000101,Sync!$J1774&lt;=99991231),INT(Sync!$J1774/10000)&amp;"/"&amp;RIGHT("00"&amp;INT(MOD(Sync!$J1774,10000)/100),2)&amp;"/"&amp;RIGHT("00"&amp;MOD(Sync!$J1774,100),2),"نامعتبر"),IF(LEN(Sync!$J1774)=10,Sync!$J1774,"نامعتبر")))</f>
        <v/>
      </c>
      <c r="R1774">
        <f>IF($P1774="","",COUNTIFS($N$6:$N$2005,$N1774,$P$6:$P$2005,"&lt;"&amp;$P1774)+COUNTIFS($A$6:$A$1005,$N1774,$B$6:$B$1005,"&lt;"&amp;$P1774)+1)</f>
        <v/>
      </c>
      <c r="S1774">
        <f>IF($N1774="","",$N1774&amp;"|"&amp;RIGHT("000000"&amp;$R1774,6))</f>
        <v/>
      </c>
      <c r="T1774">
        <f>IF($N1774="","",IF(Sync!$N1774="",0,Sync!$N1774))</f>
        <v/>
      </c>
      <c r="U1774">
        <f>IF($N1774="","",IF(Sync!$O1774="",0,Sync!$O1774))</f>
        <v/>
      </c>
      <c r="V1774">
        <f>IF($N1774="","",Sync!$L1774)</f>
        <v/>
      </c>
      <c r="W1774">
        <f>IF($N1774="","",Sync!$P1774)</f>
        <v/>
      </c>
    </row>
    <row r="1775">
      <c r="N1775">
        <f>IF(OR(Sync!$M1775="",$Q1775="",$Q1775="نامعتبر"),"",Sync!$M1775)</f>
        <v/>
      </c>
      <c r="O1775">
        <f>IF($N1775="","",$Q1775)</f>
        <v/>
      </c>
      <c r="P1775">
        <f>IF($N1775="","",LEFT($Q1775,4)&amp;MID($Q1775,6,2)&amp;RIGHT($Q1775,2)&amp;IF(Sync!$K1775="","0000",IF(AND(ISNUMBER(Sync!$K1775),Sync!$K1775&gt;=0,Sync!$K1775&lt;1),RIGHT("00"&amp;HOUR(Sync!$K1775),2)&amp;RIGHT("00"&amp;MINUTE(Sync!$K1775),2),IFERROR(RIGHT("00"&amp;VALUE(LEFT(Sync!$K1775,FIND(":",Sync!$K1775)-1)),2)&amp;RIGHT("00"&amp;VALUE(MID(Sync!$K1775,FIND(":",Sync!$K1775)+1,2)),2),"0000")))&amp;"|"&amp;"2"&amp;RIGHT("00000"&amp;1770,5))</f>
        <v/>
      </c>
      <c r="Q1775">
        <f>IF(Sync!$J1775="","",IF(ISNUMBER(Sync!$J1775),IF(AND(Sync!$J1775&gt;=10000101,Sync!$J1775&lt;=99991231),INT(Sync!$J1775/10000)&amp;"/"&amp;RIGHT("00"&amp;INT(MOD(Sync!$J1775,10000)/100),2)&amp;"/"&amp;RIGHT("00"&amp;MOD(Sync!$J1775,100),2),"نامعتبر"),IF(LEN(Sync!$J1775)=10,Sync!$J1775,"نامعتبر")))</f>
        <v/>
      </c>
      <c r="R1775">
        <f>IF($P1775="","",COUNTIFS($N$6:$N$2005,$N1775,$P$6:$P$2005,"&lt;"&amp;$P1775)+COUNTIFS($A$6:$A$1005,$N1775,$B$6:$B$1005,"&lt;"&amp;$P1775)+1)</f>
        <v/>
      </c>
      <c r="S1775">
        <f>IF($N1775="","",$N1775&amp;"|"&amp;RIGHT("000000"&amp;$R1775,6))</f>
        <v/>
      </c>
      <c r="T1775">
        <f>IF($N1775="","",IF(Sync!$N1775="",0,Sync!$N1775))</f>
        <v/>
      </c>
      <c r="U1775">
        <f>IF($N1775="","",IF(Sync!$O1775="",0,Sync!$O1775))</f>
        <v/>
      </c>
      <c r="V1775">
        <f>IF($N1775="","",Sync!$L1775)</f>
        <v/>
      </c>
      <c r="W1775">
        <f>IF($N1775="","",Sync!$P1775)</f>
        <v/>
      </c>
    </row>
    <row r="1776">
      <c r="N1776">
        <f>IF(OR(Sync!$M1776="",$Q1776="",$Q1776="نامعتبر"),"",Sync!$M1776)</f>
        <v/>
      </c>
      <c r="O1776">
        <f>IF($N1776="","",$Q1776)</f>
        <v/>
      </c>
      <c r="P1776">
        <f>IF($N1776="","",LEFT($Q1776,4)&amp;MID($Q1776,6,2)&amp;RIGHT($Q1776,2)&amp;IF(Sync!$K1776="","0000",IF(AND(ISNUMBER(Sync!$K1776),Sync!$K1776&gt;=0,Sync!$K1776&lt;1),RIGHT("00"&amp;HOUR(Sync!$K1776),2)&amp;RIGHT("00"&amp;MINUTE(Sync!$K1776),2),IFERROR(RIGHT("00"&amp;VALUE(LEFT(Sync!$K1776,FIND(":",Sync!$K1776)-1)),2)&amp;RIGHT("00"&amp;VALUE(MID(Sync!$K1776,FIND(":",Sync!$K1776)+1,2)),2),"0000")))&amp;"|"&amp;"2"&amp;RIGHT("00000"&amp;1771,5))</f>
        <v/>
      </c>
      <c r="Q1776">
        <f>IF(Sync!$J1776="","",IF(ISNUMBER(Sync!$J1776),IF(AND(Sync!$J1776&gt;=10000101,Sync!$J1776&lt;=99991231),INT(Sync!$J1776/10000)&amp;"/"&amp;RIGHT("00"&amp;INT(MOD(Sync!$J1776,10000)/100),2)&amp;"/"&amp;RIGHT("00"&amp;MOD(Sync!$J1776,100),2),"نامعتبر"),IF(LEN(Sync!$J1776)=10,Sync!$J1776,"نامعتبر")))</f>
        <v/>
      </c>
      <c r="R1776">
        <f>IF($P1776="","",COUNTIFS($N$6:$N$2005,$N1776,$P$6:$P$2005,"&lt;"&amp;$P1776)+COUNTIFS($A$6:$A$1005,$N1776,$B$6:$B$1005,"&lt;"&amp;$P1776)+1)</f>
        <v/>
      </c>
      <c r="S1776">
        <f>IF($N1776="","",$N1776&amp;"|"&amp;RIGHT("000000"&amp;$R1776,6))</f>
        <v/>
      </c>
      <c r="T1776">
        <f>IF($N1776="","",IF(Sync!$N1776="",0,Sync!$N1776))</f>
        <v/>
      </c>
      <c r="U1776">
        <f>IF($N1776="","",IF(Sync!$O1776="",0,Sync!$O1776))</f>
        <v/>
      </c>
      <c r="V1776">
        <f>IF($N1776="","",Sync!$L1776)</f>
        <v/>
      </c>
      <c r="W1776">
        <f>IF($N1776="","",Sync!$P1776)</f>
        <v/>
      </c>
    </row>
    <row r="1777">
      <c r="N1777">
        <f>IF(OR(Sync!$M1777="",$Q1777="",$Q1777="نامعتبر"),"",Sync!$M1777)</f>
        <v/>
      </c>
      <c r="O1777">
        <f>IF($N1777="","",$Q1777)</f>
        <v/>
      </c>
      <c r="P1777">
        <f>IF($N1777="","",LEFT($Q1777,4)&amp;MID($Q1777,6,2)&amp;RIGHT($Q1777,2)&amp;IF(Sync!$K1777="","0000",IF(AND(ISNUMBER(Sync!$K1777),Sync!$K1777&gt;=0,Sync!$K1777&lt;1),RIGHT("00"&amp;HOUR(Sync!$K1777),2)&amp;RIGHT("00"&amp;MINUTE(Sync!$K1777),2),IFERROR(RIGHT("00"&amp;VALUE(LEFT(Sync!$K1777,FIND(":",Sync!$K1777)-1)),2)&amp;RIGHT("00"&amp;VALUE(MID(Sync!$K1777,FIND(":",Sync!$K1777)+1,2)),2),"0000")))&amp;"|"&amp;"2"&amp;RIGHT("00000"&amp;1772,5))</f>
        <v/>
      </c>
      <c r="Q1777">
        <f>IF(Sync!$J1777="","",IF(ISNUMBER(Sync!$J1777),IF(AND(Sync!$J1777&gt;=10000101,Sync!$J1777&lt;=99991231),INT(Sync!$J1777/10000)&amp;"/"&amp;RIGHT("00"&amp;INT(MOD(Sync!$J1777,10000)/100),2)&amp;"/"&amp;RIGHT("00"&amp;MOD(Sync!$J1777,100),2),"نامعتبر"),IF(LEN(Sync!$J1777)=10,Sync!$J1777,"نامعتبر")))</f>
        <v/>
      </c>
      <c r="R1777">
        <f>IF($P1777="","",COUNTIFS($N$6:$N$2005,$N1777,$P$6:$P$2005,"&lt;"&amp;$P1777)+COUNTIFS($A$6:$A$1005,$N1777,$B$6:$B$1005,"&lt;"&amp;$P1777)+1)</f>
        <v/>
      </c>
      <c r="S1777">
        <f>IF($N1777="","",$N1777&amp;"|"&amp;RIGHT("000000"&amp;$R1777,6))</f>
        <v/>
      </c>
      <c r="T1777">
        <f>IF($N1777="","",IF(Sync!$N1777="",0,Sync!$N1777))</f>
        <v/>
      </c>
      <c r="U1777">
        <f>IF($N1777="","",IF(Sync!$O1777="",0,Sync!$O1777))</f>
        <v/>
      </c>
      <c r="V1777">
        <f>IF($N1777="","",Sync!$L1777)</f>
        <v/>
      </c>
      <c r="W1777">
        <f>IF($N1777="","",Sync!$P1777)</f>
        <v/>
      </c>
    </row>
    <row r="1778">
      <c r="N1778">
        <f>IF(OR(Sync!$M1778="",$Q1778="",$Q1778="نامعتبر"),"",Sync!$M1778)</f>
        <v/>
      </c>
      <c r="O1778">
        <f>IF($N1778="","",$Q1778)</f>
        <v/>
      </c>
      <c r="P1778">
        <f>IF($N1778="","",LEFT($Q1778,4)&amp;MID($Q1778,6,2)&amp;RIGHT($Q1778,2)&amp;IF(Sync!$K1778="","0000",IF(AND(ISNUMBER(Sync!$K1778),Sync!$K1778&gt;=0,Sync!$K1778&lt;1),RIGHT("00"&amp;HOUR(Sync!$K1778),2)&amp;RIGHT("00"&amp;MINUTE(Sync!$K1778),2),IFERROR(RIGHT("00"&amp;VALUE(LEFT(Sync!$K1778,FIND(":",Sync!$K1778)-1)),2)&amp;RIGHT("00"&amp;VALUE(MID(Sync!$K1778,FIND(":",Sync!$K1778)+1,2)),2),"0000")))&amp;"|"&amp;"2"&amp;RIGHT("00000"&amp;1773,5))</f>
        <v/>
      </c>
      <c r="Q1778">
        <f>IF(Sync!$J1778="","",IF(ISNUMBER(Sync!$J1778),IF(AND(Sync!$J1778&gt;=10000101,Sync!$J1778&lt;=99991231),INT(Sync!$J1778/10000)&amp;"/"&amp;RIGHT("00"&amp;INT(MOD(Sync!$J1778,10000)/100),2)&amp;"/"&amp;RIGHT("00"&amp;MOD(Sync!$J1778,100),2),"نامعتبر"),IF(LEN(Sync!$J1778)=10,Sync!$J1778,"نامعتبر")))</f>
        <v/>
      </c>
      <c r="R1778">
        <f>IF($P1778="","",COUNTIFS($N$6:$N$2005,$N1778,$P$6:$P$2005,"&lt;"&amp;$P1778)+COUNTIFS($A$6:$A$1005,$N1778,$B$6:$B$1005,"&lt;"&amp;$P1778)+1)</f>
        <v/>
      </c>
      <c r="S1778">
        <f>IF($N1778="","",$N1778&amp;"|"&amp;RIGHT("000000"&amp;$R1778,6))</f>
        <v/>
      </c>
      <c r="T1778">
        <f>IF($N1778="","",IF(Sync!$N1778="",0,Sync!$N1778))</f>
        <v/>
      </c>
      <c r="U1778">
        <f>IF($N1778="","",IF(Sync!$O1778="",0,Sync!$O1778))</f>
        <v/>
      </c>
      <c r="V1778">
        <f>IF($N1778="","",Sync!$L1778)</f>
        <v/>
      </c>
      <c r="W1778">
        <f>IF($N1778="","",Sync!$P1778)</f>
        <v/>
      </c>
    </row>
    <row r="1779">
      <c r="N1779">
        <f>IF(OR(Sync!$M1779="",$Q1779="",$Q1779="نامعتبر"),"",Sync!$M1779)</f>
        <v/>
      </c>
      <c r="O1779">
        <f>IF($N1779="","",$Q1779)</f>
        <v/>
      </c>
      <c r="P1779">
        <f>IF($N1779="","",LEFT($Q1779,4)&amp;MID($Q1779,6,2)&amp;RIGHT($Q1779,2)&amp;IF(Sync!$K1779="","0000",IF(AND(ISNUMBER(Sync!$K1779),Sync!$K1779&gt;=0,Sync!$K1779&lt;1),RIGHT("00"&amp;HOUR(Sync!$K1779),2)&amp;RIGHT("00"&amp;MINUTE(Sync!$K1779),2),IFERROR(RIGHT("00"&amp;VALUE(LEFT(Sync!$K1779,FIND(":",Sync!$K1779)-1)),2)&amp;RIGHT("00"&amp;VALUE(MID(Sync!$K1779,FIND(":",Sync!$K1779)+1,2)),2),"0000")))&amp;"|"&amp;"2"&amp;RIGHT("00000"&amp;1774,5))</f>
        <v/>
      </c>
      <c r="Q1779">
        <f>IF(Sync!$J1779="","",IF(ISNUMBER(Sync!$J1779),IF(AND(Sync!$J1779&gt;=10000101,Sync!$J1779&lt;=99991231),INT(Sync!$J1779/10000)&amp;"/"&amp;RIGHT("00"&amp;INT(MOD(Sync!$J1779,10000)/100),2)&amp;"/"&amp;RIGHT("00"&amp;MOD(Sync!$J1779,100),2),"نامعتبر"),IF(LEN(Sync!$J1779)=10,Sync!$J1779,"نامعتبر")))</f>
        <v/>
      </c>
      <c r="R1779">
        <f>IF($P1779="","",COUNTIFS($N$6:$N$2005,$N1779,$P$6:$P$2005,"&lt;"&amp;$P1779)+COUNTIFS($A$6:$A$1005,$N1779,$B$6:$B$1005,"&lt;"&amp;$P1779)+1)</f>
        <v/>
      </c>
      <c r="S1779">
        <f>IF($N1779="","",$N1779&amp;"|"&amp;RIGHT("000000"&amp;$R1779,6))</f>
        <v/>
      </c>
      <c r="T1779">
        <f>IF($N1779="","",IF(Sync!$N1779="",0,Sync!$N1779))</f>
        <v/>
      </c>
      <c r="U1779">
        <f>IF($N1779="","",IF(Sync!$O1779="",0,Sync!$O1779))</f>
        <v/>
      </c>
      <c r="V1779">
        <f>IF($N1779="","",Sync!$L1779)</f>
        <v/>
      </c>
      <c r="W1779">
        <f>IF($N1779="","",Sync!$P1779)</f>
        <v/>
      </c>
    </row>
    <row r="1780">
      <c r="N1780">
        <f>IF(OR(Sync!$M1780="",$Q1780="",$Q1780="نامعتبر"),"",Sync!$M1780)</f>
        <v/>
      </c>
      <c r="O1780">
        <f>IF($N1780="","",$Q1780)</f>
        <v/>
      </c>
      <c r="P1780">
        <f>IF($N1780="","",LEFT($Q1780,4)&amp;MID($Q1780,6,2)&amp;RIGHT($Q1780,2)&amp;IF(Sync!$K1780="","0000",IF(AND(ISNUMBER(Sync!$K1780),Sync!$K1780&gt;=0,Sync!$K1780&lt;1),RIGHT("00"&amp;HOUR(Sync!$K1780),2)&amp;RIGHT("00"&amp;MINUTE(Sync!$K1780),2),IFERROR(RIGHT("00"&amp;VALUE(LEFT(Sync!$K1780,FIND(":",Sync!$K1780)-1)),2)&amp;RIGHT("00"&amp;VALUE(MID(Sync!$K1780,FIND(":",Sync!$K1780)+1,2)),2),"0000")))&amp;"|"&amp;"2"&amp;RIGHT("00000"&amp;1775,5))</f>
        <v/>
      </c>
      <c r="Q1780">
        <f>IF(Sync!$J1780="","",IF(ISNUMBER(Sync!$J1780),IF(AND(Sync!$J1780&gt;=10000101,Sync!$J1780&lt;=99991231),INT(Sync!$J1780/10000)&amp;"/"&amp;RIGHT("00"&amp;INT(MOD(Sync!$J1780,10000)/100),2)&amp;"/"&amp;RIGHT("00"&amp;MOD(Sync!$J1780,100),2),"نامعتبر"),IF(LEN(Sync!$J1780)=10,Sync!$J1780,"نامعتبر")))</f>
        <v/>
      </c>
      <c r="R1780">
        <f>IF($P1780="","",COUNTIFS($N$6:$N$2005,$N1780,$P$6:$P$2005,"&lt;"&amp;$P1780)+COUNTIFS($A$6:$A$1005,$N1780,$B$6:$B$1005,"&lt;"&amp;$P1780)+1)</f>
        <v/>
      </c>
      <c r="S1780">
        <f>IF($N1780="","",$N1780&amp;"|"&amp;RIGHT("000000"&amp;$R1780,6))</f>
        <v/>
      </c>
      <c r="T1780">
        <f>IF($N1780="","",IF(Sync!$N1780="",0,Sync!$N1780))</f>
        <v/>
      </c>
      <c r="U1780">
        <f>IF($N1780="","",IF(Sync!$O1780="",0,Sync!$O1780))</f>
        <v/>
      </c>
      <c r="V1780">
        <f>IF($N1780="","",Sync!$L1780)</f>
        <v/>
      </c>
      <c r="W1780">
        <f>IF($N1780="","",Sync!$P1780)</f>
        <v/>
      </c>
    </row>
    <row r="1781">
      <c r="N1781">
        <f>IF(OR(Sync!$M1781="",$Q1781="",$Q1781="نامعتبر"),"",Sync!$M1781)</f>
        <v/>
      </c>
      <c r="O1781">
        <f>IF($N1781="","",$Q1781)</f>
        <v/>
      </c>
      <c r="P1781">
        <f>IF($N1781="","",LEFT($Q1781,4)&amp;MID($Q1781,6,2)&amp;RIGHT($Q1781,2)&amp;IF(Sync!$K1781="","0000",IF(AND(ISNUMBER(Sync!$K1781),Sync!$K1781&gt;=0,Sync!$K1781&lt;1),RIGHT("00"&amp;HOUR(Sync!$K1781),2)&amp;RIGHT("00"&amp;MINUTE(Sync!$K1781),2),IFERROR(RIGHT("00"&amp;VALUE(LEFT(Sync!$K1781,FIND(":",Sync!$K1781)-1)),2)&amp;RIGHT("00"&amp;VALUE(MID(Sync!$K1781,FIND(":",Sync!$K1781)+1,2)),2),"0000")))&amp;"|"&amp;"2"&amp;RIGHT("00000"&amp;1776,5))</f>
        <v/>
      </c>
      <c r="Q1781">
        <f>IF(Sync!$J1781="","",IF(ISNUMBER(Sync!$J1781),IF(AND(Sync!$J1781&gt;=10000101,Sync!$J1781&lt;=99991231),INT(Sync!$J1781/10000)&amp;"/"&amp;RIGHT("00"&amp;INT(MOD(Sync!$J1781,10000)/100),2)&amp;"/"&amp;RIGHT("00"&amp;MOD(Sync!$J1781,100),2),"نامعتبر"),IF(LEN(Sync!$J1781)=10,Sync!$J1781,"نامعتبر")))</f>
        <v/>
      </c>
      <c r="R1781">
        <f>IF($P1781="","",COUNTIFS($N$6:$N$2005,$N1781,$P$6:$P$2005,"&lt;"&amp;$P1781)+COUNTIFS($A$6:$A$1005,$N1781,$B$6:$B$1005,"&lt;"&amp;$P1781)+1)</f>
        <v/>
      </c>
      <c r="S1781">
        <f>IF($N1781="","",$N1781&amp;"|"&amp;RIGHT("000000"&amp;$R1781,6))</f>
        <v/>
      </c>
      <c r="T1781">
        <f>IF($N1781="","",IF(Sync!$N1781="",0,Sync!$N1781))</f>
        <v/>
      </c>
      <c r="U1781">
        <f>IF($N1781="","",IF(Sync!$O1781="",0,Sync!$O1781))</f>
        <v/>
      </c>
      <c r="V1781">
        <f>IF($N1781="","",Sync!$L1781)</f>
        <v/>
      </c>
      <c r="W1781">
        <f>IF($N1781="","",Sync!$P1781)</f>
        <v/>
      </c>
    </row>
    <row r="1782">
      <c r="N1782">
        <f>IF(OR(Sync!$M1782="",$Q1782="",$Q1782="نامعتبر"),"",Sync!$M1782)</f>
        <v/>
      </c>
      <c r="O1782">
        <f>IF($N1782="","",$Q1782)</f>
        <v/>
      </c>
      <c r="P1782">
        <f>IF($N1782="","",LEFT($Q1782,4)&amp;MID($Q1782,6,2)&amp;RIGHT($Q1782,2)&amp;IF(Sync!$K1782="","0000",IF(AND(ISNUMBER(Sync!$K1782),Sync!$K1782&gt;=0,Sync!$K1782&lt;1),RIGHT("00"&amp;HOUR(Sync!$K1782),2)&amp;RIGHT("00"&amp;MINUTE(Sync!$K1782),2),IFERROR(RIGHT("00"&amp;VALUE(LEFT(Sync!$K1782,FIND(":",Sync!$K1782)-1)),2)&amp;RIGHT("00"&amp;VALUE(MID(Sync!$K1782,FIND(":",Sync!$K1782)+1,2)),2),"0000")))&amp;"|"&amp;"2"&amp;RIGHT("00000"&amp;1777,5))</f>
        <v/>
      </c>
      <c r="Q1782">
        <f>IF(Sync!$J1782="","",IF(ISNUMBER(Sync!$J1782),IF(AND(Sync!$J1782&gt;=10000101,Sync!$J1782&lt;=99991231),INT(Sync!$J1782/10000)&amp;"/"&amp;RIGHT("00"&amp;INT(MOD(Sync!$J1782,10000)/100),2)&amp;"/"&amp;RIGHT("00"&amp;MOD(Sync!$J1782,100),2),"نامعتبر"),IF(LEN(Sync!$J1782)=10,Sync!$J1782,"نامعتبر")))</f>
        <v/>
      </c>
      <c r="R1782">
        <f>IF($P1782="","",COUNTIFS($N$6:$N$2005,$N1782,$P$6:$P$2005,"&lt;"&amp;$P1782)+COUNTIFS($A$6:$A$1005,$N1782,$B$6:$B$1005,"&lt;"&amp;$P1782)+1)</f>
        <v/>
      </c>
      <c r="S1782">
        <f>IF($N1782="","",$N1782&amp;"|"&amp;RIGHT("000000"&amp;$R1782,6))</f>
        <v/>
      </c>
      <c r="T1782">
        <f>IF($N1782="","",IF(Sync!$N1782="",0,Sync!$N1782))</f>
        <v/>
      </c>
      <c r="U1782">
        <f>IF($N1782="","",IF(Sync!$O1782="",0,Sync!$O1782))</f>
        <v/>
      </c>
      <c r="V1782">
        <f>IF($N1782="","",Sync!$L1782)</f>
        <v/>
      </c>
      <c r="W1782">
        <f>IF($N1782="","",Sync!$P1782)</f>
        <v/>
      </c>
    </row>
    <row r="1783">
      <c r="N1783">
        <f>IF(OR(Sync!$M1783="",$Q1783="",$Q1783="نامعتبر"),"",Sync!$M1783)</f>
        <v/>
      </c>
      <c r="O1783">
        <f>IF($N1783="","",$Q1783)</f>
        <v/>
      </c>
      <c r="P1783">
        <f>IF($N1783="","",LEFT($Q1783,4)&amp;MID($Q1783,6,2)&amp;RIGHT($Q1783,2)&amp;IF(Sync!$K1783="","0000",IF(AND(ISNUMBER(Sync!$K1783),Sync!$K1783&gt;=0,Sync!$K1783&lt;1),RIGHT("00"&amp;HOUR(Sync!$K1783),2)&amp;RIGHT("00"&amp;MINUTE(Sync!$K1783),2),IFERROR(RIGHT("00"&amp;VALUE(LEFT(Sync!$K1783,FIND(":",Sync!$K1783)-1)),2)&amp;RIGHT("00"&amp;VALUE(MID(Sync!$K1783,FIND(":",Sync!$K1783)+1,2)),2),"0000")))&amp;"|"&amp;"2"&amp;RIGHT("00000"&amp;1778,5))</f>
        <v/>
      </c>
      <c r="Q1783">
        <f>IF(Sync!$J1783="","",IF(ISNUMBER(Sync!$J1783),IF(AND(Sync!$J1783&gt;=10000101,Sync!$J1783&lt;=99991231),INT(Sync!$J1783/10000)&amp;"/"&amp;RIGHT("00"&amp;INT(MOD(Sync!$J1783,10000)/100),2)&amp;"/"&amp;RIGHT("00"&amp;MOD(Sync!$J1783,100),2),"نامعتبر"),IF(LEN(Sync!$J1783)=10,Sync!$J1783,"نامعتبر")))</f>
        <v/>
      </c>
      <c r="R1783">
        <f>IF($P1783="","",COUNTIFS($N$6:$N$2005,$N1783,$P$6:$P$2005,"&lt;"&amp;$P1783)+COUNTIFS($A$6:$A$1005,$N1783,$B$6:$B$1005,"&lt;"&amp;$P1783)+1)</f>
        <v/>
      </c>
      <c r="S1783">
        <f>IF($N1783="","",$N1783&amp;"|"&amp;RIGHT("000000"&amp;$R1783,6))</f>
        <v/>
      </c>
      <c r="T1783">
        <f>IF($N1783="","",IF(Sync!$N1783="",0,Sync!$N1783))</f>
        <v/>
      </c>
      <c r="U1783">
        <f>IF($N1783="","",IF(Sync!$O1783="",0,Sync!$O1783))</f>
        <v/>
      </c>
      <c r="V1783">
        <f>IF($N1783="","",Sync!$L1783)</f>
        <v/>
      </c>
      <c r="W1783">
        <f>IF($N1783="","",Sync!$P1783)</f>
        <v/>
      </c>
    </row>
    <row r="1784">
      <c r="N1784">
        <f>IF(OR(Sync!$M1784="",$Q1784="",$Q1784="نامعتبر"),"",Sync!$M1784)</f>
        <v/>
      </c>
      <c r="O1784">
        <f>IF($N1784="","",$Q1784)</f>
        <v/>
      </c>
      <c r="P1784">
        <f>IF($N1784="","",LEFT($Q1784,4)&amp;MID($Q1784,6,2)&amp;RIGHT($Q1784,2)&amp;IF(Sync!$K1784="","0000",IF(AND(ISNUMBER(Sync!$K1784),Sync!$K1784&gt;=0,Sync!$K1784&lt;1),RIGHT("00"&amp;HOUR(Sync!$K1784),2)&amp;RIGHT("00"&amp;MINUTE(Sync!$K1784),2),IFERROR(RIGHT("00"&amp;VALUE(LEFT(Sync!$K1784,FIND(":",Sync!$K1784)-1)),2)&amp;RIGHT("00"&amp;VALUE(MID(Sync!$K1784,FIND(":",Sync!$K1784)+1,2)),2),"0000")))&amp;"|"&amp;"2"&amp;RIGHT("00000"&amp;1779,5))</f>
        <v/>
      </c>
      <c r="Q1784">
        <f>IF(Sync!$J1784="","",IF(ISNUMBER(Sync!$J1784),IF(AND(Sync!$J1784&gt;=10000101,Sync!$J1784&lt;=99991231),INT(Sync!$J1784/10000)&amp;"/"&amp;RIGHT("00"&amp;INT(MOD(Sync!$J1784,10000)/100),2)&amp;"/"&amp;RIGHT("00"&amp;MOD(Sync!$J1784,100),2),"نامعتبر"),IF(LEN(Sync!$J1784)=10,Sync!$J1784,"نامعتبر")))</f>
        <v/>
      </c>
      <c r="R1784">
        <f>IF($P1784="","",COUNTIFS($N$6:$N$2005,$N1784,$P$6:$P$2005,"&lt;"&amp;$P1784)+COUNTIFS($A$6:$A$1005,$N1784,$B$6:$B$1005,"&lt;"&amp;$P1784)+1)</f>
        <v/>
      </c>
      <c r="S1784">
        <f>IF($N1784="","",$N1784&amp;"|"&amp;RIGHT("000000"&amp;$R1784,6))</f>
        <v/>
      </c>
      <c r="T1784">
        <f>IF($N1784="","",IF(Sync!$N1784="",0,Sync!$N1784))</f>
        <v/>
      </c>
      <c r="U1784">
        <f>IF($N1784="","",IF(Sync!$O1784="",0,Sync!$O1784))</f>
        <v/>
      </c>
      <c r="V1784">
        <f>IF($N1784="","",Sync!$L1784)</f>
        <v/>
      </c>
      <c r="W1784">
        <f>IF($N1784="","",Sync!$P1784)</f>
        <v/>
      </c>
    </row>
    <row r="1785">
      <c r="N1785">
        <f>IF(OR(Sync!$M1785="",$Q1785="",$Q1785="نامعتبر"),"",Sync!$M1785)</f>
        <v/>
      </c>
      <c r="O1785">
        <f>IF($N1785="","",$Q1785)</f>
        <v/>
      </c>
      <c r="P1785">
        <f>IF($N1785="","",LEFT($Q1785,4)&amp;MID($Q1785,6,2)&amp;RIGHT($Q1785,2)&amp;IF(Sync!$K1785="","0000",IF(AND(ISNUMBER(Sync!$K1785),Sync!$K1785&gt;=0,Sync!$K1785&lt;1),RIGHT("00"&amp;HOUR(Sync!$K1785),2)&amp;RIGHT("00"&amp;MINUTE(Sync!$K1785),2),IFERROR(RIGHT("00"&amp;VALUE(LEFT(Sync!$K1785,FIND(":",Sync!$K1785)-1)),2)&amp;RIGHT("00"&amp;VALUE(MID(Sync!$K1785,FIND(":",Sync!$K1785)+1,2)),2),"0000")))&amp;"|"&amp;"2"&amp;RIGHT("00000"&amp;1780,5))</f>
        <v/>
      </c>
      <c r="Q1785">
        <f>IF(Sync!$J1785="","",IF(ISNUMBER(Sync!$J1785),IF(AND(Sync!$J1785&gt;=10000101,Sync!$J1785&lt;=99991231),INT(Sync!$J1785/10000)&amp;"/"&amp;RIGHT("00"&amp;INT(MOD(Sync!$J1785,10000)/100),2)&amp;"/"&amp;RIGHT("00"&amp;MOD(Sync!$J1785,100),2),"نامعتبر"),IF(LEN(Sync!$J1785)=10,Sync!$J1785,"نامعتبر")))</f>
        <v/>
      </c>
      <c r="R1785">
        <f>IF($P1785="","",COUNTIFS($N$6:$N$2005,$N1785,$P$6:$P$2005,"&lt;"&amp;$P1785)+COUNTIFS($A$6:$A$1005,$N1785,$B$6:$B$1005,"&lt;"&amp;$P1785)+1)</f>
        <v/>
      </c>
      <c r="S1785">
        <f>IF($N1785="","",$N1785&amp;"|"&amp;RIGHT("000000"&amp;$R1785,6))</f>
        <v/>
      </c>
      <c r="T1785">
        <f>IF($N1785="","",IF(Sync!$N1785="",0,Sync!$N1785))</f>
        <v/>
      </c>
      <c r="U1785">
        <f>IF($N1785="","",IF(Sync!$O1785="",0,Sync!$O1785))</f>
        <v/>
      </c>
      <c r="V1785">
        <f>IF($N1785="","",Sync!$L1785)</f>
        <v/>
      </c>
      <c r="W1785">
        <f>IF($N1785="","",Sync!$P1785)</f>
        <v/>
      </c>
    </row>
    <row r="1786">
      <c r="N1786">
        <f>IF(OR(Sync!$M1786="",$Q1786="",$Q1786="نامعتبر"),"",Sync!$M1786)</f>
        <v/>
      </c>
      <c r="O1786">
        <f>IF($N1786="","",$Q1786)</f>
        <v/>
      </c>
      <c r="P1786">
        <f>IF($N1786="","",LEFT($Q1786,4)&amp;MID($Q1786,6,2)&amp;RIGHT($Q1786,2)&amp;IF(Sync!$K1786="","0000",IF(AND(ISNUMBER(Sync!$K1786),Sync!$K1786&gt;=0,Sync!$K1786&lt;1),RIGHT("00"&amp;HOUR(Sync!$K1786),2)&amp;RIGHT("00"&amp;MINUTE(Sync!$K1786),2),IFERROR(RIGHT("00"&amp;VALUE(LEFT(Sync!$K1786,FIND(":",Sync!$K1786)-1)),2)&amp;RIGHT("00"&amp;VALUE(MID(Sync!$K1786,FIND(":",Sync!$K1786)+1,2)),2),"0000")))&amp;"|"&amp;"2"&amp;RIGHT("00000"&amp;1781,5))</f>
        <v/>
      </c>
      <c r="Q1786">
        <f>IF(Sync!$J1786="","",IF(ISNUMBER(Sync!$J1786),IF(AND(Sync!$J1786&gt;=10000101,Sync!$J1786&lt;=99991231),INT(Sync!$J1786/10000)&amp;"/"&amp;RIGHT("00"&amp;INT(MOD(Sync!$J1786,10000)/100),2)&amp;"/"&amp;RIGHT("00"&amp;MOD(Sync!$J1786,100),2),"نامعتبر"),IF(LEN(Sync!$J1786)=10,Sync!$J1786,"نامعتبر")))</f>
        <v/>
      </c>
      <c r="R1786">
        <f>IF($P1786="","",COUNTIFS($N$6:$N$2005,$N1786,$P$6:$P$2005,"&lt;"&amp;$P1786)+COUNTIFS($A$6:$A$1005,$N1786,$B$6:$B$1005,"&lt;"&amp;$P1786)+1)</f>
        <v/>
      </c>
      <c r="S1786">
        <f>IF($N1786="","",$N1786&amp;"|"&amp;RIGHT("000000"&amp;$R1786,6))</f>
        <v/>
      </c>
      <c r="T1786">
        <f>IF($N1786="","",IF(Sync!$N1786="",0,Sync!$N1786))</f>
        <v/>
      </c>
      <c r="U1786">
        <f>IF($N1786="","",IF(Sync!$O1786="",0,Sync!$O1786))</f>
        <v/>
      </c>
      <c r="V1786">
        <f>IF($N1786="","",Sync!$L1786)</f>
        <v/>
      </c>
      <c r="W1786">
        <f>IF($N1786="","",Sync!$P1786)</f>
        <v/>
      </c>
    </row>
    <row r="1787">
      <c r="N1787">
        <f>IF(OR(Sync!$M1787="",$Q1787="",$Q1787="نامعتبر"),"",Sync!$M1787)</f>
        <v/>
      </c>
      <c r="O1787">
        <f>IF($N1787="","",$Q1787)</f>
        <v/>
      </c>
      <c r="P1787">
        <f>IF($N1787="","",LEFT($Q1787,4)&amp;MID($Q1787,6,2)&amp;RIGHT($Q1787,2)&amp;IF(Sync!$K1787="","0000",IF(AND(ISNUMBER(Sync!$K1787),Sync!$K1787&gt;=0,Sync!$K1787&lt;1),RIGHT("00"&amp;HOUR(Sync!$K1787),2)&amp;RIGHT("00"&amp;MINUTE(Sync!$K1787),2),IFERROR(RIGHT("00"&amp;VALUE(LEFT(Sync!$K1787,FIND(":",Sync!$K1787)-1)),2)&amp;RIGHT("00"&amp;VALUE(MID(Sync!$K1787,FIND(":",Sync!$K1787)+1,2)),2),"0000")))&amp;"|"&amp;"2"&amp;RIGHT("00000"&amp;1782,5))</f>
        <v/>
      </c>
      <c r="Q1787">
        <f>IF(Sync!$J1787="","",IF(ISNUMBER(Sync!$J1787),IF(AND(Sync!$J1787&gt;=10000101,Sync!$J1787&lt;=99991231),INT(Sync!$J1787/10000)&amp;"/"&amp;RIGHT("00"&amp;INT(MOD(Sync!$J1787,10000)/100),2)&amp;"/"&amp;RIGHT("00"&amp;MOD(Sync!$J1787,100),2),"نامعتبر"),IF(LEN(Sync!$J1787)=10,Sync!$J1787,"نامعتبر")))</f>
        <v/>
      </c>
      <c r="R1787">
        <f>IF($P1787="","",COUNTIFS($N$6:$N$2005,$N1787,$P$6:$P$2005,"&lt;"&amp;$P1787)+COUNTIFS($A$6:$A$1005,$N1787,$B$6:$B$1005,"&lt;"&amp;$P1787)+1)</f>
        <v/>
      </c>
      <c r="S1787">
        <f>IF($N1787="","",$N1787&amp;"|"&amp;RIGHT("000000"&amp;$R1787,6))</f>
        <v/>
      </c>
      <c r="T1787">
        <f>IF($N1787="","",IF(Sync!$N1787="",0,Sync!$N1787))</f>
        <v/>
      </c>
      <c r="U1787">
        <f>IF($N1787="","",IF(Sync!$O1787="",0,Sync!$O1787))</f>
        <v/>
      </c>
      <c r="V1787">
        <f>IF($N1787="","",Sync!$L1787)</f>
        <v/>
      </c>
      <c r="W1787">
        <f>IF($N1787="","",Sync!$P1787)</f>
        <v/>
      </c>
    </row>
    <row r="1788">
      <c r="N1788">
        <f>IF(OR(Sync!$M1788="",$Q1788="",$Q1788="نامعتبر"),"",Sync!$M1788)</f>
        <v/>
      </c>
      <c r="O1788">
        <f>IF($N1788="","",$Q1788)</f>
        <v/>
      </c>
      <c r="P1788">
        <f>IF($N1788="","",LEFT($Q1788,4)&amp;MID($Q1788,6,2)&amp;RIGHT($Q1788,2)&amp;IF(Sync!$K1788="","0000",IF(AND(ISNUMBER(Sync!$K1788),Sync!$K1788&gt;=0,Sync!$K1788&lt;1),RIGHT("00"&amp;HOUR(Sync!$K1788),2)&amp;RIGHT("00"&amp;MINUTE(Sync!$K1788),2),IFERROR(RIGHT("00"&amp;VALUE(LEFT(Sync!$K1788,FIND(":",Sync!$K1788)-1)),2)&amp;RIGHT("00"&amp;VALUE(MID(Sync!$K1788,FIND(":",Sync!$K1788)+1,2)),2),"0000")))&amp;"|"&amp;"2"&amp;RIGHT("00000"&amp;1783,5))</f>
        <v/>
      </c>
      <c r="Q1788">
        <f>IF(Sync!$J1788="","",IF(ISNUMBER(Sync!$J1788),IF(AND(Sync!$J1788&gt;=10000101,Sync!$J1788&lt;=99991231),INT(Sync!$J1788/10000)&amp;"/"&amp;RIGHT("00"&amp;INT(MOD(Sync!$J1788,10000)/100),2)&amp;"/"&amp;RIGHT("00"&amp;MOD(Sync!$J1788,100),2),"نامعتبر"),IF(LEN(Sync!$J1788)=10,Sync!$J1788,"نامعتبر")))</f>
        <v/>
      </c>
      <c r="R1788">
        <f>IF($P1788="","",COUNTIFS($N$6:$N$2005,$N1788,$P$6:$P$2005,"&lt;"&amp;$P1788)+COUNTIFS($A$6:$A$1005,$N1788,$B$6:$B$1005,"&lt;"&amp;$P1788)+1)</f>
        <v/>
      </c>
      <c r="S1788">
        <f>IF($N1788="","",$N1788&amp;"|"&amp;RIGHT("000000"&amp;$R1788,6))</f>
        <v/>
      </c>
      <c r="T1788">
        <f>IF($N1788="","",IF(Sync!$N1788="",0,Sync!$N1788))</f>
        <v/>
      </c>
      <c r="U1788">
        <f>IF($N1788="","",IF(Sync!$O1788="",0,Sync!$O1788))</f>
        <v/>
      </c>
      <c r="V1788">
        <f>IF($N1788="","",Sync!$L1788)</f>
        <v/>
      </c>
      <c r="W1788">
        <f>IF($N1788="","",Sync!$P1788)</f>
        <v/>
      </c>
    </row>
    <row r="1789">
      <c r="N1789">
        <f>IF(OR(Sync!$M1789="",$Q1789="",$Q1789="نامعتبر"),"",Sync!$M1789)</f>
        <v/>
      </c>
      <c r="O1789">
        <f>IF($N1789="","",$Q1789)</f>
        <v/>
      </c>
      <c r="P1789">
        <f>IF($N1789="","",LEFT($Q1789,4)&amp;MID($Q1789,6,2)&amp;RIGHT($Q1789,2)&amp;IF(Sync!$K1789="","0000",IF(AND(ISNUMBER(Sync!$K1789),Sync!$K1789&gt;=0,Sync!$K1789&lt;1),RIGHT("00"&amp;HOUR(Sync!$K1789),2)&amp;RIGHT("00"&amp;MINUTE(Sync!$K1789),2),IFERROR(RIGHT("00"&amp;VALUE(LEFT(Sync!$K1789,FIND(":",Sync!$K1789)-1)),2)&amp;RIGHT("00"&amp;VALUE(MID(Sync!$K1789,FIND(":",Sync!$K1789)+1,2)),2),"0000")))&amp;"|"&amp;"2"&amp;RIGHT("00000"&amp;1784,5))</f>
        <v/>
      </c>
      <c r="Q1789">
        <f>IF(Sync!$J1789="","",IF(ISNUMBER(Sync!$J1789),IF(AND(Sync!$J1789&gt;=10000101,Sync!$J1789&lt;=99991231),INT(Sync!$J1789/10000)&amp;"/"&amp;RIGHT("00"&amp;INT(MOD(Sync!$J1789,10000)/100),2)&amp;"/"&amp;RIGHT("00"&amp;MOD(Sync!$J1789,100),2),"نامعتبر"),IF(LEN(Sync!$J1789)=10,Sync!$J1789,"نامعتبر")))</f>
        <v/>
      </c>
      <c r="R1789">
        <f>IF($P1789="","",COUNTIFS($N$6:$N$2005,$N1789,$P$6:$P$2005,"&lt;"&amp;$P1789)+COUNTIFS($A$6:$A$1005,$N1789,$B$6:$B$1005,"&lt;"&amp;$P1789)+1)</f>
        <v/>
      </c>
      <c r="S1789">
        <f>IF($N1789="","",$N1789&amp;"|"&amp;RIGHT("000000"&amp;$R1789,6))</f>
        <v/>
      </c>
      <c r="T1789">
        <f>IF($N1789="","",IF(Sync!$N1789="",0,Sync!$N1789))</f>
        <v/>
      </c>
      <c r="U1789">
        <f>IF($N1789="","",IF(Sync!$O1789="",0,Sync!$O1789))</f>
        <v/>
      </c>
      <c r="V1789">
        <f>IF($N1789="","",Sync!$L1789)</f>
        <v/>
      </c>
      <c r="W1789">
        <f>IF($N1789="","",Sync!$P1789)</f>
        <v/>
      </c>
    </row>
    <row r="1790">
      <c r="N1790">
        <f>IF(OR(Sync!$M1790="",$Q1790="",$Q1790="نامعتبر"),"",Sync!$M1790)</f>
        <v/>
      </c>
      <c r="O1790">
        <f>IF($N1790="","",$Q1790)</f>
        <v/>
      </c>
      <c r="P1790">
        <f>IF($N1790="","",LEFT($Q1790,4)&amp;MID($Q1790,6,2)&amp;RIGHT($Q1790,2)&amp;IF(Sync!$K1790="","0000",IF(AND(ISNUMBER(Sync!$K1790),Sync!$K1790&gt;=0,Sync!$K1790&lt;1),RIGHT("00"&amp;HOUR(Sync!$K1790),2)&amp;RIGHT("00"&amp;MINUTE(Sync!$K1790),2),IFERROR(RIGHT("00"&amp;VALUE(LEFT(Sync!$K1790,FIND(":",Sync!$K1790)-1)),2)&amp;RIGHT("00"&amp;VALUE(MID(Sync!$K1790,FIND(":",Sync!$K1790)+1,2)),2),"0000")))&amp;"|"&amp;"2"&amp;RIGHT("00000"&amp;1785,5))</f>
        <v/>
      </c>
      <c r="Q1790">
        <f>IF(Sync!$J1790="","",IF(ISNUMBER(Sync!$J1790),IF(AND(Sync!$J1790&gt;=10000101,Sync!$J1790&lt;=99991231),INT(Sync!$J1790/10000)&amp;"/"&amp;RIGHT("00"&amp;INT(MOD(Sync!$J1790,10000)/100),2)&amp;"/"&amp;RIGHT("00"&amp;MOD(Sync!$J1790,100),2),"نامعتبر"),IF(LEN(Sync!$J1790)=10,Sync!$J1790,"نامعتبر")))</f>
        <v/>
      </c>
      <c r="R1790">
        <f>IF($P1790="","",COUNTIFS($N$6:$N$2005,$N1790,$P$6:$P$2005,"&lt;"&amp;$P1790)+COUNTIFS($A$6:$A$1005,$N1790,$B$6:$B$1005,"&lt;"&amp;$P1790)+1)</f>
        <v/>
      </c>
      <c r="S1790">
        <f>IF($N1790="","",$N1790&amp;"|"&amp;RIGHT("000000"&amp;$R1790,6))</f>
        <v/>
      </c>
      <c r="T1790">
        <f>IF($N1790="","",IF(Sync!$N1790="",0,Sync!$N1790))</f>
        <v/>
      </c>
      <c r="U1790">
        <f>IF($N1790="","",IF(Sync!$O1790="",0,Sync!$O1790))</f>
        <v/>
      </c>
      <c r="V1790">
        <f>IF($N1790="","",Sync!$L1790)</f>
        <v/>
      </c>
      <c r="W1790">
        <f>IF($N1790="","",Sync!$P1790)</f>
        <v/>
      </c>
    </row>
    <row r="1791">
      <c r="N1791">
        <f>IF(OR(Sync!$M1791="",$Q1791="",$Q1791="نامعتبر"),"",Sync!$M1791)</f>
        <v/>
      </c>
      <c r="O1791">
        <f>IF($N1791="","",$Q1791)</f>
        <v/>
      </c>
      <c r="P1791">
        <f>IF($N1791="","",LEFT($Q1791,4)&amp;MID($Q1791,6,2)&amp;RIGHT($Q1791,2)&amp;IF(Sync!$K1791="","0000",IF(AND(ISNUMBER(Sync!$K1791),Sync!$K1791&gt;=0,Sync!$K1791&lt;1),RIGHT("00"&amp;HOUR(Sync!$K1791),2)&amp;RIGHT("00"&amp;MINUTE(Sync!$K1791),2),IFERROR(RIGHT("00"&amp;VALUE(LEFT(Sync!$K1791,FIND(":",Sync!$K1791)-1)),2)&amp;RIGHT("00"&amp;VALUE(MID(Sync!$K1791,FIND(":",Sync!$K1791)+1,2)),2),"0000")))&amp;"|"&amp;"2"&amp;RIGHT("00000"&amp;1786,5))</f>
        <v/>
      </c>
      <c r="Q1791">
        <f>IF(Sync!$J1791="","",IF(ISNUMBER(Sync!$J1791),IF(AND(Sync!$J1791&gt;=10000101,Sync!$J1791&lt;=99991231),INT(Sync!$J1791/10000)&amp;"/"&amp;RIGHT("00"&amp;INT(MOD(Sync!$J1791,10000)/100),2)&amp;"/"&amp;RIGHT("00"&amp;MOD(Sync!$J1791,100),2),"نامعتبر"),IF(LEN(Sync!$J1791)=10,Sync!$J1791,"نامعتبر")))</f>
        <v/>
      </c>
      <c r="R1791">
        <f>IF($P1791="","",COUNTIFS($N$6:$N$2005,$N1791,$P$6:$P$2005,"&lt;"&amp;$P1791)+COUNTIFS($A$6:$A$1005,$N1791,$B$6:$B$1005,"&lt;"&amp;$P1791)+1)</f>
        <v/>
      </c>
      <c r="S1791">
        <f>IF($N1791="","",$N1791&amp;"|"&amp;RIGHT("000000"&amp;$R1791,6))</f>
        <v/>
      </c>
      <c r="T1791">
        <f>IF($N1791="","",IF(Sync!$N1791="",0,Sync!$N1791))</f>
        <v/>
      </c>
      <c r="U1791">
        <f>IF($N1791="","",IF(Sync!$O1791="",0,Sync!$O1791))</f>
        <v/>
      </c>
      <c r="V1791">
        <f>IF($N1791="","",Sync!$L1791)</f>
        <v/>
      </c>
      <c r="W1791">
        <f>IF($N1791="","",Sync!$P1791)</f>
        <v/>
      </c>
    </row>
    <row r="1792">
      <c r="N1792">
        <f>IF(OR(Sync!$M1792="",$Q1792="",$Q1792="نامعتبر"),"",Sync!$M1792)</f>
        <v/>
      </c>
      <c r="O1792">
        <f>IF($N1792="","",$Q1792)</f>
        <v/>
      </c>
      <c r="P1792">
        <f>IF($N1792="","",LEFT($Q1792,4)&amp;MID($Q1792,6,2)&amp;RIGHT($Q1792,2)&amp;IF(Sync!$K1792="","0000",IF(AND(ISNUMBER(Sync!$K1792),Sync!$K1792&gt;=0,Sync!$K1792&lt;1),RIGHT("00"&amp;HOUR(Sync!$K1792),2)&amp;RIGHT("00"&amp;MINUTE(Sync!$K1792),2),IFERROR(RIGHT("00"&amp;VALUE(LEFT(Sync!$K1792,FIND(":",Sync!$K1792)-1)),2)&amp;RIGHT("00"&amp;VALUE(MID(Sync!$K1792,FIND(":",Sync!$K1792)+1,2)),2),"0000")))&amp;"|"&amp;"2"&amp;RIGHT("00000"&amp;1787,5))</f>
        <v/>
      </c>
      <c r="Q1792">
        <f>IF(Sync!$J1792="","",IF(ISNUMBER(Sync!$J1792),IF(AND(Sync!$J1792&gt;=10000101,Sync!$J1792&lt;=99991231),INT(Sync!$J1792/10000)&amp;"/"&amp;RIGHT("00"&amp;INT(MOD(Sync!$J1792,10000)/100),2)&amp;"/"&amp;RIGHT("00"&amp;MOD(Sync!$J1792,100),2),"نامعتبر"),IF(LEN(Sync!$J1792)=10,Sync!$J1792,"نامعتبر")))</f>
        <v/>
      </c>
      <c r="R1792">
        <f>IF($P1792="","",COUNTIFS($N$6:$N$2005,$N1792,$P$6:$P$2005,"&lt;"&amp;$P1792)+COUNTIFS($A$6:$A$1005,$N1792,$B$6:$B$1005,"&lt;"&amp;$P1792)+1)</f>
        <v/>
      </c>
      <c r="S1792">
        <f>IF($N1792="","",$N1792&amp;"|"&amp;RIGHT("000000"&amp;$R1792,6))</f>
        <v/>
      </c>
      <c r="T1792">
        <f>IF($N1792="","",IF(Sync!$N1792="",0,Sync!$N1792))</f>
        <v/>
      </c>
      <c r="U1792">
        <f>IF($N1792="","",IF(Sync!$O1792="",0,Sync!$O1792))</f>
        <v/>
      </c>
      <c r="V1792">
        <f>IF($N1792="","",Sync!$L1792)</f>
        <v/>
      </c>
      <c r="W1792">
        <f>IF($N1792="","",Sync!$P1792)</f>
        <v/>
      </c>
    </row>
    <row r="1793">
      <c r="N1793">
        <f>IF(OR(Sync!$M1793="",$Q1793="",$Q1793="نامعتبر"),"",Sync!$M1793)</f>
        <v/>
      </c>
      <c r="O1793">
        <f>IF($N1793="","",$Q1793)</f>
        <v/>
      </c>
      <c r="P1793">
        <f>IF($N1793="","",LEFT($Q1793,4)&amp;MID($Q1793,6,2)&amp;RIGHT($Q1793,2)&amp;IF(Sync!$K1793="","0000",IF(AND(ISNUMBER(Sync!$K1793),Sync!$K1793&gt;=0,Sync!$K1793&lt;1),RIGHT("00"&amp;HOUR(Sync!$K1793),2)&amp;RIGHT("00"&amp;MINUTE(Sync!$K1793),2),IFERROR(RIGHT("00"&amp;VALUE(LEFT(Sync!$K1793,FIND(":",Sync!$K1793)-1)),2)&amp;RIGHT("00"&amp;VALUE(MID(Sync!$K1793,FIND(":",Sync!$K1793)+1,2)),2),"0000")))&amp;"|"&amp;"2"&amp;RIGHT("00000"&amp;1788,5))</f>
        <v/>
      </c>
      <c r="Q1793">
        <f>IF(Sync!$J1793="","",IF(ISNUMBER(Sync!$J1793),IF(AND(Sync!$J1793&gt;=10000101,Sync!$J1793&lt;=99991231),INT(Sync!$J1793/10000)&amp;"/"&amp;RIGHT("00"&amp;INT(MOD(Sync!$J1793,10000)/100),2)&amp;"/"&amp;RIGHT("00"&amp;MOD(Sync!$J1793,100),2),"نامعتبر"),IF(LEN(Sync!$J1793)=10,Sync!$J1793,"نامعتبر")))</f>
        <v/>
      </c>
      <c r="R1793">
        <f>IF($P1793="","",COUNTIFS($N$6:$N$2005,$N1793,$P$6:$P$2005,"&lt;"&amp;$P1793)+COUNTIFS($A$6:$A$1005,$N1793,$B$6:$B$1005,"&lt;"&amp;$P1793)+1)</f>
        <v/>
      </c>
      <c r="S1793">
        <f>IF($N1793="","",$N1793&amp;"|"&amp;RIGHT("000000"&amp;$R1793,6))</f>
        <v/>
      </c>
      <c r="T1793">
        <f>IF($N1793="","",IF(Sync!$N1793="",0,Sync!$N1793))</f>
        <v/>
      </c>
      <c r="U1793">
        <f>IF($N1793="","",IF(Sync!$O1793="",0,Sync!$O1793))</f>
        <v/>
      </c>
      <c r="V1793">
        <f>IF($N1793="","",Sync!$L1793)</f>
        <v/>
      </c>
      <c r="W1793">
        <f>IF($N1793="","",Sync!$P1793)</f>
        <v/>
      </c>
    </row>
    <row r="1794">
      <c r="N1794">
        <f>IF(OR(Sync!$M1794="",$Q1794="",$Q1794="نامعتبر"),"",Sync!$M1794)</f>
        <v/>
      </c>
      <c r="O1794">
        <f>IF($N1794="","",$Q1794)</f>
        <v/>
      </c>
      <c r="P1794">
        <f>IF($N1794="","",LEFT($Q1794,4)&amp;MID($Q1794,6,2)&amp;RIGHT($Q1794,2)&amp;IF(Sync!$K1794="","0000",IF(AND(ISNUMBER(Sync!$K1794),Sync!$K1794&gt;=0,Sync!$K1794&lt;1),RIGHT("00"&amp;HOUR(Sync!$K1794),2)&amp;RIGHT("00"&amp;MINUTE(Sync!$K1794),2),IFERROR(RIGHT("00"&amp;VALUE(LEFT(Sync!$K1794,FIND(":",Sync!$K1794)-1)),2)&amp;RIGHT("00"&amp;VALUE(MID(Sync!$K1794,FIND(":",Sync!$K1794)+1,2)),2),"0000")))&amp;"|"&amp;"2"&amp;RIGHT("00000"&amp;1789,5))</f>
        <v/>
      </c>
      <c r="Q1794">
        <f>IF(Sync!$J1794="","",IF(ISNUMBER(Sync!$J1794),IF(AND(Sync!$J1794&gt;=10000101,Sync!$J1794&lt;=99991231),INT(Sync!$J1794/10000)&amp;"/"&amp;RIGHT("00"&amp;INT(MOD(Sync!$J1794,10000)/100),2)&amp;"/"&amp;RIGHT("00"&amp;MOD(Sync!$J1794,100),2),"نامعتبر"),IF(LEN(Sync!$J1794)=10,Sync!$J1794,"نامعتبر")))</f>
        <v/>
      </c>
      <c r="R1794">
        <f>IF($P1794="","",COUNTIFS($N$6:$N$2005,$N1794,$P$6:$P$2005,"&lt;"&amp;$P1794)+COUNTIFS($A$6:$A$1005,$N1794,$B$6:$B$1005,"&lt;"&amp;$P1794)+1)</f>
        <v/>
      </c>
      <c r="S1794">
        <f>IF($N1794="","",$N1794&amp;"|"&amp;RIGHT("000000"&amp;$R1794,6))</f>
        <v/>
      </c>
      <c r="T1794">
        <f>IF($N1794="","",IF(Sync!$N1794="",0,Sync!$N1794))</f>
        <v/>
      </c>
      <c r="U1794">
        <f>IF($N1794="","",IF(Sync!$O1794="",0,Sync!$O1794))</f>
        <v/>
      </c>
      <c r="V1794">
        <f>IF($N1794="","",Sync!$L1794)</f>
        <v/>
      </c>
      <c r="W1794">
        <f>IF($N1794="","",Sync!$P1794)</f>
        <v/>
      </c>
    </row>
    <row r="1795">
      <c r="N1795">
        <f>IF(OR(Sync!$M1795="",$Q1795="",$Q1795="نامعتبر"),"",Sync!$M1795)</f>
        <v/>
      </c>
      <c r="O1795">
        <f>IF($N1795="","",$Q1795)</f>
        <v/>
      </c>
      <c r="P1795">
        <f>IF($N1795="","",LEFT($Q1795,4)&amp;MID($Q1795,6,2)&amp;RIGHT($Q1795,2)&amp;IF(Sync!$K1795="","0000",IF(AND(ISNUMBER(Sync!$K1795),Sync!$K1795&gt;=0,Sync!$K1795&lt;1),RIGHT("00"&amp;HOUR(Sync!$K1795),2)&amp;RIGHT("00"&amp;MINUTE(Sync!$K1795),2),IFERROR(RIGHT("00"&amp;VALUE(LEFT(Sync!$K1795,FIND(":",Sync!$K1795)-1)),2)&amp;RIGHT("00"&amp;VALUE(MID(Sync!$K1795,FIND(":",Sync!$K1795)+1,2)),2),"0000")))&amp;"|"&amp;"2"&amp;RIGHT("00000"&amp;1790,5))</f>
        <v/>
      </c>
      <c r="Q1795">
        <f>IF(Sync!$J1795="","",IF(ISNUMBER(Sync!$J1795),IF(AND(Sync!$J1795&gt;=10000101,Sync!$J1795&lt;=99991231),INT(Sync!$J1795/10000)&amp;"/"&amp;RIGHT("00"&amp;INT(MOD(Sync!$J1795,10000)/100),2)&amp;"/"&amp;RIGHT("00"&amp;MOD(Sync!$J1795,100),2),"نامعتبر"),IF(LEN(Sync!$J1795)=10,Sync!$J1795,"نامعتبر")))</f>
        <v/>
      </c>
      <c r="R1795">
        <f>IF($P1795="","",COUNTIFS($N$6:$N$2005,$N1795,$P$6:$P$2005,"&lt;"&amp;$P1795)+COUNTIFS($A$6:$A$1005,$N1795,$B$6:$B$1005,"&lt;"&amp;$P1795)+1)</f>
        <v/>
      </c>
      <c r="S1795">
        <f>IF($N1795="","",$N1795&amp;"|"&amp;RIGHT("000000"&amp;$R1795,6))</f>
        <v/>
      </c>
      <c r="T1795">
        <f>IF($N1795="","",IF(Sync!$N1795="",0,Sync!$N1795))</f>
        <v/>
      </c>
      <c r="U1795">
        <f>IF($N1795="","",IF(Sync!$O1795="",0,Sync!$O1795))</f>
        <v/>
      </c>
      <c r="V1795">
        <f>IF($N1795="","",Sync!$L1795)</f>
        <v/>
      </c>
      <c r="W1795">
        <f>IF($N1795="","",Sync!$P1795)</f>
        <v/>
      </c>
    </row>
    <row r="1796">
      <c r="N1796">
        <f>IF(OR(Sync!$M1796="",$Q1796="",$Q1796="نامعتبر"),"",Sync!$M1796)</f>
        <v/>
      </c>
      <c r="O1796">
        <f>IF($N1796="","",$Q1796)</f>
        <v/>
      </c>
      <c r="P1796">
        <f>IF($N1796="","",LEFT($Q1796,4)&amp;MID($Q1796,6,2)&amp;RIGHT($Q1796,2)&amp;IF(Sync!$K1796="","0000",IF(AND(ISNUMBER(Sync!$K1796),Sync!$K1796&gt;=0,Sync!$K1796&lt;1),RIGHT("00"&amp;HOUR(Sync!$K1796),2)&amp;RIGHT("00"&amp;MINUTE(Sync!$K1796),2),IFERROR(RIGHT("00"&amp;VALUE(LEFT(Sync!$K1796,FIND(":",Sync!$K1796)-1)),2)&amp;RIGHT("00"&amp;VALUE(MID(Sync!$K1796,FIND(":",Sync!$K1796)+1,2)),2),"0000")))&amp;"|"&amp;"2"&amp;RIGHT("00000"&amp;1791,5))</f>
        <v/>
      </c>
      <c r="Q1796">
        <f>IF(Sync!$J1796="","",IF(ISNUMBER(Sync!$J1796),IF(AND(Sync!$J1796&gt;=10000101,Sync!$J1796&lt;=99991231),INT(Sync!$J1796/10000)&amp;"/"&amp;RIGHT("00"&amp;INT(MOD(Sync!$J1796,10000)/100),2)&amp;"/"&amp;RIGHT("00"&amp;MOD(Sync!$J1796,100),2),"نامعتبر"),IF(LEN(Sync!$J1796)=10,Sync!$J1796,"نامعتبر")))</f>
        <v/>
      </c>
      <c r="R1796">
        <f>IF($P1796="","",COUNTIFS($N$6:$N$2005,$N1796,$P$6:$P$2005,"&lt;"&amp;$P1796)+COUNTIFS($A$6:$A$1005,$N1796,$B$6:$B$1005,"&lt;"&amp;$P1796)+1)</f>
        <v/>
      </c>
      <c r="S1796">
        <f>IF($N1796="","",$N1796&amp;"|"&amp;RIGHT("000000"&amp;$R1796,6))</f>
        <v/>
      </c>
      <c r="T1796">
        <f>IF($N1796="","",IF(Sync!$N1796="",0,Sync!$N1796))</f>
        <v/>
      </c>
      <c r="U1796">
        <f>IF($N1796="","",IF(Sync!$O1796="",0,Sync!$O1796))</f>
        <v/>
      </c>
      <c r="V1796">
        <f>IF($N1796="","",Sync!$L1796)</f>
        <v/>
      </c>
      <c r="W1796">
        <f>IF($N1796="","",Sync!$P1796)</f>
        <v/>
      </c>
    </row>
    <row r="1797">
      <c r="N1797">
        <f>IF(OR(Sync!$M1797="",$Q1797="",$Q1797="نامعتبر"),"",Sync!$M1797)</f>
        <v/>
      </c>
      <c r="O1797">
        <f>IF($N1797="","",$Q1797)</f>
        <v/>
      </c>
      <c r="P1797">
        <f>IF($N1797="","",LEFT($Q1797,4)&amp;MID($Q1797,6,2)&amp;RIGHT($Q1797,2)&amp;IF(Sync!$K1797="","0000",IF(AND(ISNUMBER(Sync!$K1797),Sync!$K1797&gt;=0,Sync!$K1797&lt;1),RIGHT("00"&amp;HOUR(Sync!$K1797),2)&amp;RIGHT("00"&amp;MINUTE(Sync!$K1797),2),IFERROR(RIGHT("00"&amp;VALUE(LEFT(Sync!$K1797,FIND(":",Sync!$K1797)-1)),2)&amp;RIGHT("00"&amp;VALUE(MID(Sync!$K1797,FIND(":",Sync!$K1797)+1,2)),2),"0000")))&amp;"|"&amp;"2"&amp;RIGHT("00000"&amp;1792,5))</f>
        <v/>
      </c>
      <c r="Q1797">
        <f>IF(Sync!$J1797="","",IF(ISNUMBER(Sync!$J1797),IF(AND(Sync!$J1797&gt;=10000101,Sync!$J1797&lt;=99991231),INT(Sync!$J1797/10000)&amp;"/"&amp;RIGHT("00"&amp;INT(MOD(Sync!$J1797,10000)/100),2)&amp;"/"&amp;RIGHT("00"&amp;MOD(Sync!$J1797,100),2),"نامعتبر"),IF(LEN(Sync!$J1797)=10,Sync!$J1797,"نامعتبر")))</f>
        <v/>
      </c>
      <c r="R1797">
        <f>IF($P1797="","",COUNTIFS($N$6:$N$2005,$N1797,$P$6:$P$2005,"&lt;"&amp;$P1797)+COUNTIFS($A$6:$A$1005,$N1797,$B$6:$B$1005,"&lt;"&amp;$P1797)+1)</f>
        <v/>
      </c>
      <c r="S1797">
        <f>IF($N1797="","",$N1797&amp;"|"&amp;RIGHT("000000"&amp;$R1797,6))</f>
        <v/>
      </c>
      <c r="T1797">
        <f>IF($N1797="","",IF(Sync!$N1797="",0,Sync!$N1797))</f>
        <v/>
      </c>
      <c r="U1797">
        <f>IF($N1797="","",IF(Sync!$O1797="",0,Sync!$O1797))</f>
        <v/>
      </c>
      <c r="V1797">
        <f>IF($N1797="","",Sync!$L1797)</f>
        <v/>
      </c>
      <c r="W1797">
        <f>IF($N1797="","",Sync!$P1797)</f>
        <v/>
      </c>
    </row>
    <row r="1798">
      <c r="N1798">
        <f>IF(OR(Sync!$M1798="",$Q1798="",$Q1798="نامعتبر"),"",Sync!$M1798)</f>
        <v/>
      </c>
      <c r="O1798">
        <f>IF($N1798="","",$Q1798)</f>
        <v/>
      </c>
      <c r="P1798">
        <f>IF($N1798="","",LEFT($Q1798,4)&amp;MID($Q1798,6,2)&amp;RIGHT($Q1798,2)&amp;IF(Sync!$K1798="","0000",IF(AND(ISNUMBER(Sync!$K1798),Sync!$K1798&gt;=0,Sync!$K1798&lt;1),RIGHT("00"&amp;HOUR(Sync!$K1798),2)&amp;RIGHT("00"&amp;MINUTE(Sync!$K1798),2),IFERROR(RIGHT("00"&amp;VALUE(LEFT(Sync!$K1798,FIND(":",Sync!$K1798)-1)),2)&amp;RIGHT("00"&amp;VALUE(MID(Sync!$K1798,FIND(":",Sync!$K1798)+1,2)),2),"0000")))&amp;"|"&amp;"2"&amp;RIGHT("00000"&amp;1793,5))</f>
        <v/>
      </c>
      <c r="Q1798">
        <f>IF(Sync!$J1798="","",IF(ISNUMBER(Sync!$J1798),IF(AND(Sync!$J1798&gt;=10000101,Sync!$J1798&lt;=99991231),INT(Sync!$J1798/10000)&amp;"/"&amp;RIGHT("00"&amp;INT(MOD(Sync!$J1798,10000)/100),2)&amp;"/"&amp;RIGHT("00"&amp;MOD(Sync!$J1798,100),2),"نامعتبر"),IF(LEN(Sync!$J1798)=10,Sync!$J1798,"نامعتبر")))</f>
        <v/>
      </c>
      <c r="R1798">
        <f>IF($P1798="","",COUNTIFS($N$6:$N$2005,$N1798,$P$6:$P$2005,"&lt;"&amp;$P1798)+COUNTIFS($A$6:$A$1005,$N1798,$B$6:$B$1005,"&lt;"&amp;$P1798)+1)</f>
        <v/>
      </c>
      <c r="S1798">
        <f>IF($N1798="","",$N1798&amp;"|"&amp;RIGHT("000000"&amp;$R1798,6))</f>
        <v/>
      </c>
      <c r="T1798">
        <f>IF($N1798="","",IF(Sync!$N1798="",0,Sync!$N1798))</f>
        <v/>
      </c>
      <c r="U1798">
        <f>IF($N1798="","",IF(Sync!$O1798="",0,Sync!$O1798))</f>
        <v/>
      </c>
      <c r="V1798">
        <f>IF($N1798="","",Sync!$L1798)</f>
        <v/>
      </c>
      <c r="W1798">
        <f>IF($N1798="","",Sync!$P1798)</f>
        <v/>
      </c>
    </row>
    <row r="1799">
      <c r="N1799">
        <f>IF(OR(Sync!$M1799="",$Q1799="",$Q1799="نامعتبر"),"",Sync!$M1799)</f>
        <v/>
      </c>
      <c r="O1799">
        <f>IF($N1799="","",$Q1799)</f>
        <v/>
      </c>
      <c r="P1799">
        <f>IF($N1799="","",LEFT($Q1799,4)&amp;MID($Q1799,6,2)&amp;RIGHT($Q1799,2)&amp;IF(Sync!$K1799="","0000",IF(AND(ISNUMBER(Sync!$K1799),Sync!$K1799&gt;=0,Sync!$K1799&lt;1),RIGHT("00"&amp;HOUR(Sync!$K1799),2)&amp;RIGHT("00"&amp;MINUTE(Sync!$K1799),2),IFERROR(RIGHT("00"&amp;VALUE(LEFT(Sync!$K1799,FIND(":",Sync!$K1799)-1)),2)&amp;RIGHT("00"&amp;VALUE(MID(Sync!$K1799,FIND(":",Sync!$K1799)+1,2)),2),"0000")))&amp;"|"&amp;"2"&amp;RIGHT("00000"&amp;1794,5))</f>
        <v/>
      </c>
      <c r="Q1799">
        <f>IF(Sync!$J1799="","",IF(ISNUMBER(Sync!$J1799),IF(AND(Sync!$J1799&gt;=10000101,Sync!$J1799&lt;=99991231),INT(Sync!$J1799/10000)&amp;"/"&amp;RIGHT("00"&amp;INT(MOD(Sync!$J1799,10000)/100),2)&amp;"/"&amp;RIGHT("00"&amp;MOD(Sync!$J1799,100),2),"نامعتبر"),IF(LEN(Sync!$J1799)=10,Sync!$J1799,"نامعتبر")))</f>
        <v/>
      </c>
      <c r="R1799">
        <f>IF($P1799="","",COUNTIFS($N$6:$N$2005,$N1799,$P$6:$P$2005,"&lt;"&amp;$P1799)+COUNTIFS($A$6:$A$1005,$N1799,$B$6:$B$1005,"&lt;"&amp;$P1799)+1)</f>
        <v/>
      </c>
      <c r="S1799">
        <f>IF($N1799="","",$N1799&amp;"|"&amp;RIGHT("000000"&amp;$R1799,6))</f>
        <v/>
      </c>
      <c r="T1799">
        <f>IF($N1799="","",IF(Sync!$N1799="",0,Sync!$N1799))</f>
        <v/>
      </c>
      <c r="U1799">
        <f>IF($N1799="","",IF(Sync!$O1799="",0,Sync!$O1799))</f>
        <v/>
      </c>
      <c r="V1799">
        <f>IF($N1799="","",Sync!$L1799)</f>
        <v/>
      </c>
      <c r="W1799">
        <f>IF($N1799="","",Sync!$P1799)</f>
        <v/>
      </c>
    </row>
    <row r="1800">
      <c r="N1800">
        <f>IF(OR(Sync!$M1800="",$Q1800="",$Q1800="نامعتبر"),"",Sync!$M1800)</f>
        <v/>
      </c>
      <c r="O1800">
        <f>IF($N1800="","",$Q1800)</f>
        <v/>
      </c>
      <c r="P1800">
        <f>IF($N1800="","",LEFT($Q1800,4)&amp;MID($Q1800,6,2)&amp;RIGHT($Q1800,2)&amp;IF(Sync!$K1800="","0000",IF(AND(ISNUMBER(Sync!$K1800),Sync!$K1800&gt;=0,Sync!$K1800&lt;1),RIGHT("00"&amp;HOUR(Sync!$K1800),2)&amp;RIGHT("00"&amp;MINUTE(Sync!$K1800),2),IFERROR(RIGHT("00"&amp;VALUE(LEFT(Sync!$K1800,FIND(":",Sync!$K1800)-1)),2)&amp;RIGHT("00"&amp;VALUE(MID(Sync!$K1800,FIND(":",Sync!$K1800)+1,2)),2),"0000")))&amp;"|"&amp;"2"&amp;RIGHT("00000"&amp;1795,5))</f>
        <v/>
      </c>
      <c r="Q1800">
        <f>IF(Sync!$J1800="","",IF(ISNUMBER(Sync!$J1800),IF(AND(Sync!$J1800&gt;=10000101,Sync!$J1800&lt;=99991231),INT(Sync!$J1800/10000)&amp;"/"&amp;RIGHT("00"&amp;INT(MOD(Sync!$J1800,10000)/100),2)&amp;"/"&amp;RIGHT("00"&amp;MOD(Sync!$J1800,100),2),"نامعتبر"),IF(LEN(Sync!$J1800)=10,Sync!$J1800,"نامعتبر")))</f>
        <v/>
      </c>
      <c r="R1800">
        <f>IF($P1800="","",COUNTIFS($N$6:$N$2005,$N1800,$P$6:$P$2005,"&lt;"&amp;$P1800)+COUNTIFS($A$6:$A$1005,$N1800,$B$6:$B$1005,"&lt;"&amp;$P1800)+1)</f>
        <v/>
      </c>
      <c r="S1800">
        <f>IF($N1800="","",$N1800&amp;"|"&amp;RIGHT("000000"&amp;$R1800,6))</f>
        <v/>
      </c>
      <c r="T1800">
        <f>IF($N1800="","",IF(Sync!$N1800="",0,Sync!$N1800))</f>
        <v/>
      </c>
      <c r="U1800">
        <f>IF($N1800="","",IF(Sync!$O1800="",0,Sync!$O1800))</f>
        <v/>
      </c>
      <c r="V1800">
        <f>IF($N1800="","",Sync!$L1800)</f>
        <v/>
      </c>
      <c r="W1800">
        <f>IF($N1800="","",Sync!$P1800)</f>
        <v/>
      </c>
    </row>
    <row r="1801">
      <c r="N1801">
        <f>IF(OR(Sync!$M1801="",$Q1801="",$Q1801="نامعتبر"),"",Sync!$M1801)</f>
        <v/>
      </c>
      <c r="O1801">
        <f>IF($N1801="","",$Q1801)</f>
        <v/>
      </c>
      <c r="P1801">
        <f>IF($N1801="","",LEFT($Q1801,4)&amp;MID($Q1801,6,2)&amp;RIGHT($Q1801,2)&amp;IF(Sync!$K1801="","0000",IF(AND(ISNUMBER(Sync!$K1801),Sync!$K1801&gt;=0,Sync!$K1801&lt;1),RIGHT("00"&amp;HOUR(Sync!$K1801),2)&amp;RIGHT("00"&amp;MINUTE(Sync!$K1801),2),IFERROR(RIGHT("00"&amp;VALUE(LEFT(Sync!$K1801,FIND(":",Sync!$K1801)-1)),2)&amp;RIGHT("00"&amp;VALUE(MID(Sync!$K1801,FIND(":",Sync!$K1801)+1,2)),2),"0000")))&amp;"|"&amp;"2"&amp;RIGHT("00000"&amp;1796,5))</f>
        <v/>
      </c>
      <c r="Q1801">
        <f>IF(Sync!$J1801="","",IF(ISNUMBER(Sync!$J1801),IF(AND(Sync!$J1801&gt;=10000101,Sync!$J1801&lt;=99991231),INT(Sync!$J1801/10000)&amp;"/"&amp;RIGHT("00"&amp;INT(MOD(Sync!$J1801,10000)/100),2)&amp;"/"&amp;RIGHT("00"&amp;MOD(Sync!$J1801,100),2),"نامعتبر"),IF(LEN(Sync!$J1801)=10,Sync!$J1801,"نامعتبر")))</f>
        <v/>
      </c>
      <c r="R1801">
        <f>IF($P1801="","",COUNTIFS($N$6:$N$2005,$N1801,$P$6:$P$2005,"&lt;"&amp;$P1801)+COUNTIFS($A$6:$A$1005,$N1801,$B$6:$B$1005,"&lt;"&amp;$P1801)+1)</f>
        <v/>
      </c>
      <c r="S1801">
        <f>IF($N1801="","",$N1801&amp;"|"&amp;RIGHT("000000"&amp;$R1801,6))</f>
        <v/>
      </c>
      <c r="T1801">
        <f>IF($N1801="","",IF(Sync!$N1801="",0,Sync!$N1801))</f>
        <v/>
      </c>
      <c r="U1801">
        <f>IF($N1801="","",IF(Sync!$O1801="",0,Sync!$O1801))</f>
        <v/>
      </c>
      <c r="V1801">
        <f>IF($N1801="","",Sync!$L1801)</f>
        <v/>
      </c>
      <c r="W1801">
        <f>IF($N1801="","",Sync!$P1801)</f>
        <v/>
      </c>
    </row>
    <row r="1802">
      <c r="N1802">
        <f>IF(OR(Sync!$M1802="",$Q1802="",$Q1802="نامعتبر"),"",Sync!$M1802)</f>
        <v/>
      </c>
      <c r="O1802">
        <f>IF($N1802="","",$Q1802)</f>
        <v/>
      </c>
      <c r="P1802">
        <f>IF($N1802="","",LEFT($Q1802,4)&amp;MID($Q1802,6,2)&amp;RIGHT($Q1802,2)&amp;IF(Sync!$K1802="","0000",IF(AND(ISNUMBER(Sync!$K1802),Sync!$K1802&gt;=0,Sync!$K1802&lt;1),RIGHT("00"&amp;HOUR(Sync!$K1802),2)&amp;RIGHT("00"&amp;MINUTE(Sync!$K1802),2),IFERROR(RIGHT("00"&amp;VALUE(LEFT(Sync!$K1802,FIND(":",Sync!$K1802)-1)),2)&amp;RIGHT("00"&amp;VALUE(MID(Sync!$K1802,FIND(":",Sync!$K1802)+1,2)),2),"0000")))&amp;"|"&amp;"2"&amp;RIGHT("00000"&amp;1797,5))</f>
        <v/>
      </c>
      <c r="Q1802">
        <f>IF(Sync!$J1802="","",IF(ISNUMBER(Sync!$J1802),IF(AND(Sync!$J1802&gt;=10000101,Sync!$J1802&lt;=99991231),INT(Sync!$J1802/10000)&amp;"/"&amp;RIGHT("00"&amp;INT(MOD(Sync!$J1802,10000)/100),2)&amp;"/"&amp;RIGHT("00"&amp;MOD(Sync!$J1802,100),2),"نامعتبر"),IF(LEN(Sync!$J1802)=10,Sync!$J1802,"نامعتبر")))</f>
        <v/>
      </c>
      <c r="R1802">
        <f>IF($P1802="","",COUNTIFS($N$6:$N$2005,$N1802,$P$6:$P$2005,"&lt;"&amp;$P1802)+COUNTIFS($A$6:$A$1005,$N1802,$B$6:$B$1005,"&lt;"&amp;$P1802)+1)</f>
        <v/>
      </c>
      <c r="S1802">
        <f>IF($N1802="","",$N1802&amp;"|"&amp;RIGHT("000000"&amp;$R1802,6))</f>
        <v/>
      </c>
      <c r="T1802">
        <f>IF($N1802="","",IF(Sync!$N1802="",0,Sync!$N1802))</f>
        <v/>
      </c>
      <c r="U1802">
        <f>IF($N1802="","",IF(Sync!$O1802="",0,Sync!$O1802))</f>
        <v/>
      </c>
      <c r="V1802">
        <f>IF($N1802="","",Sync!$L1802)</f>
        <v/>
      </c>
      <c r="W1802">
        <f>IF($N1802="","",Sync!$P1802)</f>
        <v/>
      </c>
    </row>
    <row r="1803">
      <c r="N1803">
        <f>IF(OR(Sync!$M1803="",$Q1803="",$Q1803="نامعتبر"),"",Sync!$M1803)</f>
        <v/>
      </c>
      <c r="O1803">
        <f>IF($N1803="","",$Q1803)</f>
        <v/>
      </c>
      <c r="P1803">
        <f>IF($N1803="","",LEFT($Q1803,4)&amp;MID($Q1803,6,2)&amp;RIGHT($Q1803,2)&amp;IF(Sync!$K1803="","0000",IF(AND(ISNUMBER(Sync!$K1803),Sync!$K1803&gt;=0,Sync!$K1803&lt;1),RIGHT("00"&amp;HOUR(Sync!$K1803),2)&amp;RIGHT("00"&amp;MINUTE(Sync!$K1803),2),IFERROR(RIGHT("00"&amp;VALUE(LEFT(Sync!$K1803,FIND(":",Sync!$K1803)-1)),2)&amp;RIGHT("00"&amp;VALUE(MID(Sync!$K1803,FIND(":",Sync!$K1803)+1,2)),2),"0000")))&amp;"|"&amp;"2"&amp;RIGHT("00000"&amp;1798,5))</f>
        <v/>
      </c>
      <c r="Q1803">
        <f>IF(Sync!$J1803="","",IF(ISNUMBER(Sync!$J1803),IF(AND(Sync!$J1803&gt;=10000101,Sync!$J1803&lt;=99991231),INT(Sync!$J1803/10000)&amp;"/"&amp;RIGHT("00"&amp;INT(MOD(Sync!$J1803,10000)/100),2)&amp;"/"&amp;RIGHT("00"&amp;MOD(Sync!$J1803,100),2),"نامعتبر"),IF(LEN(Sync!$J1803)=10,Sync!$J1803,"نامعتبر")))</f>
        <v/>
      </c>
      <c r="R1803">
        <f>IF($P1803="","",COUNTIFS($N$6:$N$2005,$N1803,$P$6:$P$2005,"&lt;"&amp;$P1803)+COUNTIFS($A$6:$A$1005,$N1803,$B$6:$B$1005,"&lt;"&amp;$P1803)+1)</f>
        <v/>
      </c>
      <c r="S1803">
        <f>IF($N1803="","",$N1803&amp;"|"&amp;RIGHT("000000"&amp;$R1803,6))</f>
        <v/>
      </c>
      <c r="T1803">
        <f>IF($N1803="","",IF(Sync!$N1803="",0,Sync!$N1803))</f>
        <v/>
      </c>
      <c r="U1803">
        <f>IF($N1803="","",IF(Sync!$O1803="",0,Sync!$O1803))</f>
        <v/>
      </c>
      <c r="V1803">
        <f>IF($N1803="","",Sync!$L1803)</f>
        <v/>
      </c>
      <c r="W1803">
        <f>IF($N1803="","",Sync!$P1803)</f>
        <v/>
      </c>
    </row>
    <row r="1804">
      <c r="N1804">
        <f>IF(OR(Sync!$M1804="",$Q1804="",$Q1804="نامعتبر"),"",Sync!$M1804)</f>
        <v/>
      </c>
      <c r="O1804">
        <f>IF($N1804="","",$Q1804)</f>
        <v/>
      </c>
      <c r="P1804">
        <f>IF($N1804="","",LEFT($Q1804,4)&amp;MID($Q1804,6,2)&amp;RIGHT($Q1804,2)&amp;IF(Sync!$K1804="","0000",IF(AND(ISNUMBER(Sync!$K1804),Sync!$K1804&gt;=0,Sync!$K1804&lt;1),RIGHT("00"&amp;HOUR(Sync!$K1804),2)&amp;RIGHT("00"&amp;MINUTE(Sync!$K1804),2),IFERROR(RIGHT("00"&amp;VALUE(LEFT(Sync!$K1804,FIND(":",Sync!$K1804)-1)),2)&amp;RIGHT("00"&amp;VALUE(MID(Sync!$K1804,FIND(":",Sync!$K1804)+1,2)),2),"0000")))&amp;"|"&amp;"2"&amp;RIGHT("00000"&amp;1799,5))</f>
        <v/>
      </c>
      <c r="Q1804">
        <f>IF(Sync!$J1804="","",IF(ISNUMBER(Sync!$J1804),IF(AND(Sync!$J1804&gt;=10000101,Sync!$J1804&lt;=99991231),INT(Sync!$J1804/10000)&amp;"/"&amp;RIGHT("00"&amp;INT(MOD(Sync!$J1804,10000)/100),2)&amp;"/"&amp;RIGHT("00"&amp;MOD(Sync!$J1804,100),2),"نامعتبر"),IF(LEN(Sync!$J1804)=10,Sync!$J1804,"نامعتبر")))</f>
        <v/>
      </c>
      <c r="R1804">
        <f>IF($P1804="","",COUNTIFS($N$6:$N$2005,$N1804,$P$6:$P$2005,"&lt;"&amp;$P1804)+COUNTIFS($A$6:$A$1005,$N1804,$B$6:$B$1005,"&lt;"&amp;$P1804)+1)</f>
        <v/>
      </c>
      <c r="S1804">
        <f>IF($N1804="","",$N1804&amp;"|"&amp;RIGHT("000000"&amp;$R1804,6))</f>
        <v/>
      </c>
      <c r="T1804">
        <f>IF($N1804="","",IF(Sync!$N1804="",0,Sync!$N1804))</f>
        <v/>
      </c>
      <c r="U1804">
        <f>IF($N1804="","",IF(Sync!$O1804="",0,Sync!$O1804))</f>
        <v/>
      </c>
      <c r="V1804">
        <f>IF($N1804="","",Sync!$L1804)</f>
        <v/>
      </c>
      <c r="W1804">
        <f>IF($N1804="","",Sync!$P1804)</f>
        <v/>
      </c>
    </row>
    <row r="1805">
      <c r="N1805">
        <f>IF(OR(Sync!$M1805="",$Q1805="",$Q1805="نامعتبر"),"",Sync!$M1805)</f>
        <v/>
      </c>
      <c r="O1805">
        <f>IF($N1805="","",$Q1805)</f>
        <v/>
      </c>
      <c r="P1805">
        <f>IF($N1805="","",LEFT($Q1805,4)&amp;MID($Q1805,6,2)&amp;RIGHT($Q1805,2)&amp;IF(Sync!$K1805="","0000",IF(AND(ISNUMBER(Sync!$K1805),Sync!$K1805&gt;=0,Sync!$K1805&lt;1),RIGHT("00"&amp;HOUR(Sync!$K1805),2)&amp;RIGHT("00"&amp;MINUTE(Sync!$K1805),2),IFERROR(RIGHT("00"&amp;VALUE(LEFT(Sync!$K1805,FIND(":",Sync!$K1805)-1)),2)&amp;RIGHT("00"&amp;VALUE(MID(Sync!$K1805,FIND(":",Sync!$K1805)+1,2)),2),"0000")))&amp;"|"&amp;"2"&amp;RIGHT("00000"&amp;1800,5))</f>
        <v/>
      </c>
      <c r="Q1805">
        <f>IF(Sync!$J1805="","",IF(ISNUMBER(Sync!$J1805),IF(AND(Sync!$J1805&gt;=10000101,Sync!$J1805&lt;=99991231),INT(Sync!$J1805/10000)&amp;"/"&amp;RIGHT("00"&amp;INT(MOD(Sync!$J1805,10000)/100),2)&amp;"/"&amp;RIGHT("00"&amp;MOD(Sync!$J1805,100),2),"نامعتبر"),IF(LEN(Sync!$J1805)=10,Sync!$J1805,"نامعتبر")))</f>
        <v/>
      </c>
      <c r="R1805">
        <f>IF($P1805="","",COUNTIFS($N$6:$N$2005,$N1805,$P$6:$P$2005,"&lt;"&amp;$P1805)+COUNTIFS($A$6:$A$1005,$N1805,$B$6:$B$1005,"&lt;"&amp;$P1805)+1)</f>
        <v/>
      </c>
      <c r="S1805">
        <f>IF($N1805="","",$N1805&amp;"|"&amp;RIGHT("000000"&amp;$R1805,6))</f>
        <v/>
      </c>
      <c r="T1805">
        <f>IF($N1805="","",IF(Sync!$N1805="",0,Sync!$N1805))</f>
        <v/>
      </c>
      <c r="U1805">
        <f>IF($N1805="","",IF(Sync!$O1805="",0,Sync!$O1805))</f>
        <v/>
      </c>
      <c r="V1805">
        <f>IF($N1805="","",Sync!$L1805)</f>
        <v/>
      </c>
      <c r="W1805">
        <f>IF($N1805="","",Sync!$P1805)</f>
        <v/>
      </c>
    </row>
    <row r="1806">
      <c r="N1806">
        <f>IF(OR(Sync!$M1806="",$Q1806="",$Q1806="نامعتبر"),"",Sync!$M1806)</f>
        <v/>
      </c>
      <c r="O1806">
        <f>IF($N1806="","",$Q1806)</f>
        <v/>
      </c>
      <c r="P1806">
        <f>IF($N1806="","",LEFT($Q1806,4)&amp;MID($Q1806,6,2)&amp;RIGHT($Q1806,2)&amp;IF(Sync!$K1806="","0000",IF(AND(ISNUMBER(Sync!$K1806),Sync!$K1806&gt;=0,Sync!$K1806&lt;1),RIGHT("00"&amp;HOUR(Sync!$K1806),2)&amp;RIGHT("00"&amp;MINUTE(Sync!$K1806),2),IFERROR(RIGHT("00"&amp;VALUE(LEFT(Sync!$K1806,FIND(":",Sync!$K1806)-1)),2)&amp;RIGHT("00"&amp;VALUE(MID(Sync!$K1806,FIND(":",Sync!$K1806)+1,2)),2),"0000")))&amp;"|"&amp;"2"&amp;RIGHT("00000"&amp;1801,5))</f>
        <v/>
      </c>
      <c r="Q1806">
        <f>IF(Sync!$J1806="","",IF(ISNUMBER(Sync!$J1806),IF(AND(Sync!$J1806&gt;=10000101,Sync!$J1806&lt;=99991231),INT(Sync!$J1806/10000)&amp;"/"&amp;RIGHT("00"&amp;INT(MOD(Sync!$J1806,10000)/100),2)&amp;"/"&amp;RIGHT("00"&amp;MOD(Sync!$J1806,100),2),"نامعتبر"),IF(LEN(Sync!$J1806)=10,Sync!$J1806,"نامعتبر")))</f>
        <v/>
      </c>
      <c r="R1806">
        <f>IF($P1806="","",COUNTIFS($N$6:$N$2005,$N1806,$P$6:$P$2005,"&lt;"&amp;$P1806)+COUNTIFS($A$6:$A$1005,$N1806,$B$6:$B$1005,"&lt;"&amp;$P1806)+1)</f>
        <v/>
      </c>
      <c r="S1806">
        <f>IF($N1806="","",$N1806&amp;"|"&amp;RIGHT("000000"&amp;$R1806,6))</f>
        <v/>
      </c>
      <c r="T1806">
        <f>IF($N1806="","",IF(Sync!$N1806="",0,Sync!$N1806))</f>
        <v/>
      </c>
      <c r="U1806">
        <f>IF($N1806="","",IF(Sync!$O1806="",0,Sync!$O1806))</f>
        <v/>
      </c>
      <c r="V1806">
        <f>IF($N1806="","",Sync!$L1806)</f>
        <v/>
      </c>
      <c r="W1806">
        <f>IF($N1806="","",Sync!$P1806)</f>
        <v/>
      </c>
    </row>
    <row r="1807">
      <c r="N1807">
        <f>IF(OR(Sync!$M1807="",$Q1807="",$Q1807="نامعتبر"),"",Sync!$M1807)</f>
        <v/>
      </c>
      <c r="O1807">
        <f>IF($N1807="","",$Q1807)</f>
        <v/>
      </c>
      <c r="P1807">
        <f>IF($N1807="","",LEFT($Q1807,4)&amp;MID($Q1807,6,2)&amp;RIGHT($Q1807,2)&amp;IF(Sync!$K1807="","0000",IF(AND(ISNUMBER(Sync!$K1807),Sync!$K1807&gt;=0,Sync!$K1807&lt;1),RIGHT("00"&amp;HOUR(Sync!$K1807),2)&amp;RIGHT("00"&amp;MINUTE(Sync!$K1807),2),IFERROR(RIGHT("00"&amp;VALUE(LEFT(Sync!$K1807,FIND(":",Sync!$K1807)-1)),2)&amp;RIGHT("00"&amp;VALUE(MID(Sync!$K1807,FIND(":",Sync!$K1807)+1,2)),2),"0000")))&amp;"|"&amp;"2"&amp;RIGHT("00000"&amp;1802,5))</f>
        <v/>
      </c>
      <c r="Q1807">
        <f>IF(Sync!$J1807="","",IF(ISNUMBER(Sync!$J1807),IF(AND(Sync!$J1807&gt;=10000101,Sync!$J1807&lt;=99991231),INT(Sync!$J1807/10000)&amp;"/"&amp;RIGHT("00"&amp;INT(MOD(Sync!$J1807,10000)/100),2)&amp;"/"&amp;RIGHT("00"&amp;MOD(Sync!$J1807,100),2),"نامعتبر"),IF(LEN(Sync!$J1807)=10,Sync!$J1807,"نامعتبر")))</f>
        <v/>
      </c>
      <c r="R1807">
        <f>IF($P1807="","",COUNTIFS($N$6:$N$2005,$N1807,$P$6:$P$2005,"&lt;"&amp;$P1807)+COUNTIFS($A$6:$A$1005,$N1807,$B$6:$B$1005,"&lt;"&amp;$P1807)+1)</f>
        <v/>
      </c>
      <c r="S1807">
        <f>IF($N1807="","",$N1807&amp;"|"&amp;RIGHT("000000"&amp;$R1807,6))</f>
        <v/>
      </c>
      <c r="T1807">
        <f>IF($N1807="","",IF(Sync!$N1807="",0,Sync!$N1807))</f>
        <v/>
      </c>
      <c r="U1807">
        <f>IF($N1807="","",IF(Sync!$O1807="",0,Sync!$O1807))</f>
        <v/>
      </c>
      <c r="V1807">
        <f>IF($N1807="","",Sync!$L1807)</f>
        <v/>
      </c>
      <c r="W1807">
        <f>IF($N1807="","",Sync!$P1807)</f>
        <v/>
      </c>
    </row>
    <row r="1808">
      <c r="N1808">
        <f>IF(OR(Sync!$M1808="",$Q1808="",$Q1808="نامعتبر"),"",Sync!$M1808)</f>
        <v/>
      </c>
      <c r="O1808">
        <f>IF($N1808="","",$Q1808)</f>
        <v/>
      </c>
      <c r="P1808">
        <f>IF($N1808="","",LEFT($Q1808,4)&amp;MID($Q1808,6,2)&amp;RIGHT($Q1808,2)&amp;IF(Sync!$K1808="","0000",IF(AND(ISNUMBER(Sync!$K1808),Sync!$K1808&gt;=0,Sync!$K1808&lt;1),RIGHT("00"&amp;HOUR(Sync!$K1808),2)&amp;RIGHT("00"&amp;MINUTE(Sync!$K1808),2),IFERROR(RIGHT("00"&amp;VALUE(LEFT(Sync!$K1808,FIND(":",Sync!$K1808)-1)),2)&amp;RIGHT("00"&amp;VALUE(MID(Sync!$K1808,FIND(":",Sync!$K1808)+1,2)),2),"0000")))&amp;"|"&amp;"2"&amp;RIGHT("00000"&amp;1803,5))</f>
        <v/>
      </c>
      <c r="Q1808">
        <f>IF(Sync!$J1808="","",IF(ISNUMBER(Sync!$J1808),IF(AND(Sync!$J1808&gt;=10000101,Sync!$J1808&lt;=99991231),INT(Sync!$J1808/10000)&amp;"/"&amp;RIGHT("00"&amp;INT(MOD(Sync!$J1808,10000)/100),2)&amp;"/"&amp;RIGHT("00"&amp;MOD(Sync!$J1808,100),2),"نامعتبر"),IF(LEN(Sync!$J1808)=10,Sync!$J1808,"نامعتبر")))</f>
        <v/>
      </c>
      <c r="R1808">
        <f>IF($P1808="","",COUNTIFS($N$6:$N$2005,$N1808,$P$6:$P$2005,"&lt;"&amp;$P1808)+COUNTIFS($A$6:$A$1005,$N1808,$B$6:$B$1005,"&lt;"&amp;$P1808)+1)</f>
        <v/>
      </c>
      <c r="S1808">
        <f>IF($N1808="","",$N1808&amp;"|"&amp;RIGHT("000000"&amp;$R1808,6))</f>
        <v/>
      </c>
      <c r="T1808">
        <f>IF($N1808="","",IF(Sync!$N1808="",0,Sync!$N1808))</f>
        <v/>
      </c>
      <c r="U1808">
        <f>IF($N1808="","",IF(Sync!$O1808="",0,Sync!$O1808))</f>
        <v/>
      </c>
      <c r="V1808">
        <f>IF($N1808="","",Sync!$L1808)</f>
        <v/>
      </c>
      <c r="W1808">
        <f>IF($N1808="","",Sync!$P1808)</f>
        <v/>
      </c>
    </row>
    <row r="1809">
      <c r="N1809">
        <f>IF(OR(Sync!$M1809="",$Q1809="",$Q1809="نامعتبر"),"",Sync!$M1809)</f>
        <v/>
      </c>
      <c r="O1809">
        <f>IF($N1809="","",$Q1809)</f>
        <v/>
      </c>
      <c r="P1809">
        <f>IF($N1809="","",LEFT($Q1809,4)&amp;MID($Q1809,6,2)&amp;RIGHT($Q1809,2)&amp;IF(Sync!$K1809="","0000",IF(AND(ISNUMBER(Sync!$K1809),Sync!$K1809&gt;=0,Sync!$K1809&lt;1),RIGHT("00"&amp;HOUR(Sync!$K1809),2)&amp;RIGHT("00"&amp;MINUTE(Sync!$K1809),2),IFERROR(RIGHT("00"&amp;VALUE(LEFT(Sync!$K1809,FIND(":",Sync!$K1809)-1)),2)&amp;RIGHT("00"&amp;VALUE(MID(Sync!$K1809,FIND(":",Sync!$K1809)+1,2)),2),"0000")))&amp;"|"&amp;"2"&amp;RIGHT("00000"&amp;1804,5))</f>
        <v/>
      </c>
      <c r="Q1809">
        <f>IF(Sync!$J1809="","",IF(ISNUMBER(Sync!$J1809),IF(AND(Sync!$J1809&gt;=10000101,Sync!$J1809&lt;=99991231),INT(Sync!$J1809/10000)&amp;"/"&amp;RIGHT("00"&amp;INT(MOD(Sync!$J1809,10000)/100),2)&amp;"/"&amp;RIGHT("00"&amp;MOD(Sync!$J1809,100),2),"نامعتبر"),IF(LEN(Sync!$J1809)=10,Sync!$J1809,"نامعتبر")))</f>
        <v/>
      </c>
      <c r="R1809">
        <f>IF($P1809="","",COUNTIFS($N$6:$N$2005,$N1809,$P$6:$P$2005,"&lt;"&amp;$P1809)+COUNTIFS($A$6:$A$1005,$N1809,$B$6:$B$1005,"&lt;"&amp;$P1809)+1)</f>
        <v/>
      </c>
      <c r="S1809">
        <f>IF($N1809="","",$N1809&amp;"|"&amp;RIGHT("000000"&amp;$R1809,6))</f>
        <v/>
      </c>
      <c r="T1809">
        <f>IF($N1809="","",IF(Sync!$N1809="",0,Sync!$N1809))</f>
        <v/>
      </c>
      <c r="U1809">
        <f>IF($N1809="","",IF(Sync!$O1809="",0,Sync!$O1809))</f>
        <v/>
      </c>
      <c r="V1809">
        <f>IF($N1809="","",Sync!$L1809)</f>
        <v/>
      </c>
      <c r="W1809">
        <f>IF($N1809="","",Sync!$P1809)</f>
        <v/>
      </c>
    </row>
    <row r="1810">
      <c r="N1810">
        <f>IF(OR(Sync!$M1810="",$Q1810="",$Q1810="نامعتبر"),"",Sync!$M1810)</f>
        <v/>
      </c>
      <c r="O1810">
        <f>IF($N1810="","",$Q1810)</f>
        <v/>
      </c>
      <c r="P1810">
        <f>IF($N1810="","",LEFT($Q1810,4)&amp;MID($Q1810,6,2)&amp;RIGHT($Q1810,2)&amp;IF(Sync!$K1810="","0000",IF(AND(ISNUMBER(Sync!$K1810),Sync!$K1810&gt;=0,Sync!$K1810&lt;1),RIGHT("00"&amp;HOUR(Sync!$K1810),2)&amp;RIGHT("00"&amp;MINUTE(Sync!$K1810),2),IFERROR(RIGHT("00"&amp;VALUE(LEFT(Sync!$K1810,FIND(":",Sync!$K1810)-1)),2)&amp;RIGHT("00"&amp;VALUE(MID(Sync!$K1810,FIND(":",Sync!$K1810)+1,2)),2),"0000")))&amp;"|"&amp;"2"&amp;RIGHT("00000"&amp;1805,5))</f>
        <v/>
      </c>
      <c r="Q1810">
        <f>IF(Sync!$J1810="","",IF(ISNUMBER(Sync!$J1810),IF(AND(Sync!$J1810&gt;=10000101,Sync!$J1810&lt;=99991231),INT(Sync!$J1810/10000)&amp;"/"&amp;RIGHT("00"&amp;INT(MOD(Sync!$J1810,10000)/100),2)&amp;"/"&amp;RIGHT("00"&amp;MOD(Sync!$J1810,100),2),"نامعتبر"),IF(LEN(Sync!$J1810)=10,Sync!$J1810,"نامعتبر")))</f>
        <v/>
      </c>
      <c r="R1810">
        <f>IF($P1810="","",COUNTIFS($N$6:$N$2005,$N1810,$P$6:$P$2005,"&lt;"&amp;$P1810)+COUNTIFS($A$6:$A$1005,$N1810,$B$6:$B$1005,"&lt;"&amp;$P1810)+1)</f>
        <v/>
      </c>
      <c r="S1810">
        <f>IF($N1810="","",$N1810&amp;"|"&amp;RIGHT("000000"&amp;$R1810,6))</f>
        <v/>
      </c>
      <c r="T1810">
        <f>IF($N1810="","",IF(Sync!$N1810="",0,Sync!$N1810))</f>
        <v/>
      </c>
      <c r="U1810">
        <f>IF($N1810="","",IF(Sync!$O1810="",0,Sync!$O1810))</f>
        <v/>
      </c>
      <c r="V1810">
        <f>IF($N1810="","",Sync!$L1810)</f>
        <v/>
      </c>
      <c r="W1810">
        <f>IF($N1810="","",Sync!$P1810)</f>
        <v/>
      </c>
    </row>
    <row r="1811">
      <c r="N1811">
        <f>IF(OR(Sync!$M1811="",$Q1811="",$Q1811="نامعتبر"),"",Sync!$M1811)</f>
        <v/>
      </c>
      <c r="O1811">
        <f>IF($N1811="","",$Q1811)</f>
        <v/>
      </c>
      <c r="P1811">
        <f>IF($N1811="","",LEFT($Q1811,4)&amp;MID($Q1811,6,2)&amp;RIGHT($Q1811,2)&amp;IF(Sync!$K1811="","0000",IF(AND(ISNUMBER(Sync!$K1811),Sync!$K1811&gt;=0,Sync!$K1811&lt;1),RIGHT("00"&amp;HOUR(Sync!$K1811),2)&amp;RIGHT("00"&amp;MINUTE(Sync!$K1811),2),IFERROR(RIGHT("00"&amp;VALUE(LEFT(Sync!$K1811,FIND(":",Sync!$K1811)-1)),2)&amp;RIGHT("00"&amp;VALUE(MID(Sync!$K1811,FIND(":",Sync!$K1811)+1,2)),2),"0000")))&amp;"|"&amp;"2"&amp;RIGHT("00000"&amp;1806,5))</f>
        <v/>
      </c>
      <c r="Q1811">
        <f>IF(Sync!$J1811="","",IF(ISNUMBER(Sync!$J1811),IF(AND(Sync!$J1811&gt;=10000101,Sync!$J1811&lt;=99991231),INT(Sync!$J1811/10000)&amp;"/"&amp;RIGHT("00"&amp;INT(MOD(Sync!$J1811,10000)/100),2)&amp;"/"&amp;RIGHT("00"&amp;MOD(Sync!$J1811,100),2),"نامعتبر"),IF(LEN(Sync!$J1811)=10,Sync!$J1811,"نامعتبر")))</f>
        <v/>
      </c>
      <c r="R1811">
        <f>IF($P1811="","",COUNTIFS($N$6:$N$2005,$N1811,$P$6:$P$2005,"&lt;"&amp;$P1811)+COUNTIFS($A$6:$A$1005,$N1811,$B$6:$B$1005,"&lt;"&amp;$P1811)+1)</f>
        <v/>
      </c>
      <c r="S1811">
        <f>IF($N1811="","",$N1811&amp;"|"&amp;RIGHT("000000"&amp;$R1811,6))</f>
        <v/>
      </c>
      <c r="T1811">
        <f>IF($N1811="","",IF(Sync!$N1811="",0,Sync!$N1811))</f>
        <v/>
      </c>
      <c r="U1811">
        <f>IF($N1811="","",IF(Sync!$O1811="",0,Sync!$O1811))</f>
        <v/>
      </c>
      <c r="V1811">
        <f>IF($N1811="","",Sync!$L1811)</f>
        <v/>
      </c>
      <c r="W1811">
        <f>IF($N1811="","",Sync!$P1811)</f>
        <v/>
      </c>
    </row>
    <row r="1812">
      <c r="N1812">
        <f>IF(OR(Sync!$M1812="",$Q1812="",$Q1812="نامعتبر"),"",Sync!$M1812)</f>
        <v/>
      </c>
      <c r="O1812">
        <f>IF($N1812="","",$Q1812)</f>
        <v/>
      </c>
      <c r="P1812">
        <f>IF($N1812="","",LEFT($Q1812,4)&amp;MID($Q1812,6,2)&amp;RIGHT($Q1812,2)&amp;IF(Sync!$K1812="","0000",IF(AND(ISNUMBER(Sync!$K1812),Sync!$K1812&gt;=0,Sync!$K1812&lt;1),RIGHT("00"&amp;HOUR(Sync!$K1812),2)&amp;RIGHT("00"&amp;MINUTE(Sync!$K1812),2),IFERROR(RIGHT("00"&amp;VALUE(LEFT(Sync!$K1812,FIND(":",Sync!$K1812)-1)),2)&amp;RIGHT("00"&amp;VALUE(MID(Sync!$K1812,FIND(":",Sync!$K1812)+1,2)),2),"0000")))&amp;"|"&amp;"2"&amp;RIGHT("00000"&amp;1807,5))</f>
        <v/>
      </c>
      <c r="Q1812">
        <f>IF(Sync!$J1812="","",IF(ISNUMBER(Sync!$J1812),IF(AND(Sync!$J1812&gt;=10000101,Sync!$J1812&lt;=99991231),INT(Sync!$J1812/10000)&amp;"/"&amp;RIGHT("00"&amp;INT(MOD(Sync!$J1812,10000)/100),2)&amp;"/"&amp;RIGHT("00"&amp;MOD(Sync!$J1812,100),2),"نامعتبر"),IF(LEN(Sync!$J1812)=10,Sync!$J1812,"نامعتبر")))</f>
        <v/>
      </c>
      <c r="R1812">
        <f>IF($P1812="","",COUNTIFS($N$6:$N$2005,$N1812,$P$6:$P$2005,"&lt;"&amp;$P1812)+COUNTIFS($A$6:$A$1005,$N1812,$B$6:$B$1005,"&lt;"&amp;$P1812)+1)</f>
        <v/>
      </c>
      <c r="S1812">
        <f>IF($N1812="","",$N1812&amp;"|"&amp;RIGHT("000000"&amp;$R1812,6))</f>
        <v/>
      </c>
      <c r="T1812">
        <f>IF($N1812="","",IF(Sync!$N1812="",0,Sync!$N1812))</f>
        <v/>
      </c>
      <c r="U1812">
        <f>IF($N1812="","",IF(Sync!$O1812="",0,Sync!$O1812))</f>
        <v/>
      </c>
      <c r="V1812">
        <f>IF($N1812="","",Sync!$L1812)</f>
        <v/>
      </c>
      <c r="W1812">
        <f>IF($N1812="","",Sync!$P1812)</f>
        <v/>
      </c>
    </row>
    <row r="1813">
      <c r="N1813">
        <f>IF(OR(Sync!$M1813="",$Q1813="",$Q1813="نامعتبر"),"",Sync!$M1813)</f>
        <v/>
      </c>
      <c r="O1813">
        <f>IF($N1813="","",$Q1813)</f>
        <v/>
      </c>
      <c r="P1813">
        <f>IF($N1813="","",LEFT($Q1813,4)&amp;MID($Q1813,6,2)&amp;RIGHT($Q1813,2)&amp;IF(Sync!$K1813="","0000",IF(AND(ISNUMBER(Sync!$K1813),Sync!$K1813&gt;=0,Sync!$K1813&lt;1),RIGHT("00"&amp;HOUR(Sync!$K1813),2)&amp;RIGHT("00"&amp;MINUTE(Sync!$K1813),2),IFERROR(RIGHT("00"&amp;VALUE(LEFT(Sync!$K1813,FIND(":",Sync!$K1813)-1)),2)&amp;RIGHT("00"&amp;VALUE(MID(Sync!$K1813,FIND(":",Sync!$K1813)+1,2)),2),"0000")))&amp;"|"&amp;"2"&amp;RIGHT("00000"&amp;1808,5))</f>
        <v/>
      </c>
      <c r="Q1813">
        <f>IF(Sync!$J1813="","",IF(ISNUMBER(Sync!$J1813),IF(AND(Sync!$J1813&gt;=10000101,Sync!$J1813&lt;=99991231),INT(Sync!$J1813/10000)&amp;"/"&amp;RIGHT("00"&amp;INT(MOD(Sync!$J1813,10000)/100),2)&amp;"/"&amp;RIGHT("00"&amp;MOD(Sync!$J1813,100),2),"نامعتبر"),IF(LEN(Sync!$J1813)=10,Sync!$J1813,"نامعتبر")))</f>
        <v/>
      </c>
      <c r="R1813">
        <f>IF($P1813="","",COUNTIFS($N$6:$N$2005,$N1813,$P$6:$P$2005,"&lt;"&amp;$P1813)+COUNTIFS($A$6:$A$1005,$N1813,$B$6:$B$1005,"&lt;"&amp;$P1813)+1)</f>
        <v/>
      </c>
      <c r="S1813">
        <f>IF($N1813="","",$N1813&amp;"|"&amp;RIGHT("000000"&amp;$R1813,6))</f>
        <v/>
      </c>
      <c r="T1813">
        <f>IF($N1813="","",IF(Sync!$N1813="",0,Sync!$N1813))</f>
        <v/>
      </c>
      <c r="U1813">
        <f>IF($N1813="","",IF(Sync!$O1813="",0,Sync!$O1813))</f>
        <v/>
      </c>
      <c r="V1813">
        <f>IF($N1813="","",Sync!$L1813)</f>
        <v/>
      </c>
      <c r="W1813">
        <f>IF($N1813="","",Sync!$P1813)</f>
        <v/>
      </c>
    </row>
    <row r="1814">
      <c r="N1814">
        <f>IF(OR(Sync!$M1814="",$Q1814="",$Q1814="نامعتبر"),"",Sync!$M1814)</f>
        <v/>
      </c>
      <c r="O1814">
        <f>IF($N1814="","",$Q1814)</f>
        <v/>
      </c>
      <c r="P1814">
        <f>IF($N1814="","",LEFT($Q1814,4)&amp;MID($Q1814,6,2)&amp;RIGHT($Q1814,2)&amp;IF(Sync!$K1814="","0000",IF(AND(ISNUMBER(Sync!$K1814),Sync!$K1814&gt;=0,Sync!$K1814&lt;1),RIGHT("00"&amp;HOUR(Sync!$K1814),2)&amp;RIGHT("00"&amp;MINUTE(Sync!$K1814),2),IFERROR(RIGHT("00"&amp;VALUE(LEFT(Sync!$K1814,FIND(":",Sync!$K1814)-1)),2)&amp;RIGHT("00"&amp;VALUE(MID(Sync!$K1814,FIND(":",Sync!$K1814)+1,2)),2),"0000")))&amp;"|"&amp;"2"&amp;RIGHT("00000"&amp;1809,5))</f>
        <v/>
      </c>
      <c r="Q1814">
        <f>IF(Sync!$J1814="","",IF(ISNUMBER(Sync!$J1814),IF(AND(Sync!$J1814&gt;=10000101,Sync!$J1814&lt;=99991231),INT(Sync!$J1814/10000)&amp;"/"&amp;RIGHT("00"&amp;INT(MOD(Sync!$J1814,10000)/100),2)&amp;"/"&amp;RIGHT("00"&amp;MOD(Sync!$J1814,100),2),"نامعتبر"),IF(LEN(Sync!$J1814)=10,Sync!$J1814,"نامعتبر")))</f>
        <v/>
      </c>
      <c r="R1814">
        <f>IF($P1814="","",COUNTIFS($N$6:$N$2005,$N1814,$P$6:$P$2005,"&lt;"&amp;$P1814)+COUNTIFS($A$6:$A$1005,$N1814,$B$6:$B$1005,"&lt;"&amp;$P1814)+1)</f>
        <v/>
      </c>
      <c r="S1814">
        <f>IF($N1814="","",$N1814&amp;"|"&amp;RIGHT("000000"&amp;$R1814,6))</f>
        <v/>
      </c>
      <c r="T1814">
        <f>IF($N1814="","",IF(Sync!$N1814="",0,Sync!$N1814))</f>
        <v/>
      </c>
      <c r="U1814">
        <f>IF($N1814="","",IF(Sync!$O1814="",0,Sync!$O1814))</f>
        <v/>
      </c>
      <c r="V1814">
        <f>IF($N1814="","",Sync!$L1814)</f>
        <v/>
      </c>
      <c r="W1814">
        <f>IF($N1814="","",Sync!$P1814)</f>
        <v/>
      </c>
    </row>
    <row r="1815">
      <c r="N1815">
        <f>IF(OR(Sync!$M1815="",$Q1815="",$Q1815="نامعتبر"),"",Sync!$M1815)</f>
        <v/>
      </c>
      <c r="O1815">
        <f>IF($N1815="","",$Q1815)</f>
        <v/>
      </c>
      <c r="P1815">
        <f>IF($N1815="","",LEFT($Q1815,4)&amp;MID($Q1815,6,2)&amp;RIGHT($Q1815,2)&amp;IF(Sync!$K1815="","0000",IF(AND(ISNUMBER(Sync!$K1815),Sync!$K1815&gt;=0,Sync!$K1815&lt;1),RIGHT("00"&amp;HOUR(Sync!$K1815),2)&amp;RIGHT("00"&amp;MINUTE(Sync!$K1815),2),IFERROR(RIGHT("00"&amp;VALUE(LEFT(Sync!$K1815,FIND(":",Sync!$K1815)-1)),2)&amp;RIGHT("00"&amp;VALUE(MID(Sync!$K1815,FIND(":",Sync!$K1815)+1,2)),2),"0000")))&amp;"|"&amp;"2"&amp;RIGHT("00000"&amp;1810,5))</f>
        <v/>
      </c>
      <c r="Q1815">
        <f>IF(Sync!$J1815="","",IF(ISNUMBER(Sync!$J1815),IF(AND(Sync!$J1815&gt;=10000101,Sync!$J1815&lt;=99991231),INT(Sync!$J1815/10000)&amp;"/"&amp;RIGHT("00"&amp;INT(MOD(Sync!$J1815,10000)/100),2)&amp;"/"&amp;RIGHT("00"&amp;MOD(Sync!$J1815,100),2),"نامعتبر"),IF(LEN(Sync!$J1815)=10,Sync!$J1815,"نامعتبر")))</f>
        <v/>
      </c>
      <c r="R1815">
        <f>IF($P1815="","",COUNTIFS($N$6:$N$2005,$N1815,$P$6:$P$2005,"&lt;"&amp;$P1815)+COUNTIFS($A$6:$A$1005,$N1815,$B$6:$B$1005,"&lt;"&amp;$P1815)+1)</f>
        <v/>
      </c>
      <c r="S1815">
        <f>IF($N1815="","",$N1815&amp;"|"&amp;RIGHT("000000"&amp;$R1815,6))</f>
        <v/>
      </c>
      <c r="T1815">
        <f>IF($N1815="","",IF(Sync!$N1815="",0,Sync!$N1815))</f>
        <v/>
      </c>
      <c r="U1815">
        <f>IF($N1815="","",IF(Sync!$O1815="",0,Sync!$O1815))</f>
        <v/>
      </c>
      <c r="V1815">
        <f>IF($N1815="","",Sync!$L1815)</f>
        <v/>
      </c>
      <c r="W1815">
        <f>IF($N1815="","",Sync!$P1815)</f>
        <v/>
      </c>
    </row>
    <row r="1816">
      <c r="N1816">
        <f>IF(OR(Sync!$M1816="",$Q1816="",$Q1816="نامعتبر"),"",Sync!$M1816)</f>
        <v/>
      </c>
      <c r="O1816">
        <f>IF($N1816="","",$Q1816)</f>
        <v/>
      </c>
      <c r="P1816">
        <f>IF($N1816="","",LEFT($Q1816,4)&amp;MID($Q1816,6,2)&amp;RIGHT($Q1816,2)&amp;IF(Sync!$K1816="","0000",IF(AND(ISNUMBER(Sync!$K1816),Sync!$K1816&gt;=0,Sync!$K1816&lt;1),RIGHT("00"&amp;HOUR(Sync!$K1816),2)&amp;RIGHT("00"&amp;MINUTE(Sync!$K1816),2),IFERROR(RIGHT("00"&amp;VALUE(LEFT(Sync!$K1816,FIND(":",Sync!$K1816)-1)),2)&amp;RIGHT("00"&amp;VALUE(MID(Sync!$K1816,FIND(":",Sync!$K1816)+1,2)),2),"0000")))&amp;"|"&amp;"2"&amp;RIGHT("00000"&amp;1811,5))</f>
        <v/>
      </c>
      <c r="Q1816">
        <f>IF(Sync!$J1816="","",IF(ISNUMBER(Sync!$J1816),IF(AND(Sync!$J1816&gt;=10000101,Sync!$J1816&lt;=99991231),INT(Sync!$J1816/10000)&amp;"/"&amp;RIGHT("00"&amp;INT(MOD(Sync!$J1816,10000)/100),2)&amp;"/"&amp;RIGHT("00"&amp;MOD(Sync!$J1816,100),2),"نامعتبر"),IF(LEN(Sync!$J1816)=10,Sync!$J1816,"نامعتبر")))</f>
        <v/>
      </c>
      <c r="R1816">
        <f>IF($P1816="","",COUNTIFS($N$6:$N$2005,$N1816,$P$6:$P$2005,"&lt;"&amp;$P1816)+COUNTIFS($A$6:$A$1005,$N1816,$B$6:$B$1005,"&lt;"&amp;$P1816)+1)</f>
        <v/>
      </c>
      <c r="S1816">
        <f>IF($N1816="","",$N1816&amp;"|"&amp;RIGHT("000000"&amp;$R1816,6))</f>
        <v/>
      </c>
      <c r="T1816">
        <f>IF($N1816="","",IF(Sync!$N1816="",0,Sync!$N1816))</f>
        <v/>
      </c>
      <c r="U1816">
        <f>IF($N1816="","",IF(Sync!$O1816="",0,Sync!$O1816))</f>
        <v/>
      </c>
      <c r="V1816">
        <f>IF($N1816="","",Sync!$L1816)</f>
        <v/>
      </c>
      <c r="W1816">
        <f>IF($N1816="","",Sync!$P1816)</f>
        <v/>
      </c>
    </row>
    <row r="1817">
      <c r="N1817">
        <f>IF(OR(Sync!$M1817="",$Q1817="",$Q1817="نامعتبر"),"",Sync!$M1817)</f>
        <v/>
      </c>
      <c r="O1817">
        <f>IF($N1817="","",$Q1817)</f>
        <v/>
      </c>
      <c r="P1817">
        <f>IF($N1817="","",LEFT($Q1817,4)&amp;MID($Q1817,6,2)&amp;RIGHT($Q1817,2)&amp;IF(Sync!$K1817="","0000",IF(AND(ISNUMBER(Sync!$K1817),Sync!$K1817&gt;=0,Sync!$K1817&lt;1),RIGHT("00"&amp;HOUR(Sync!$K1817),2)&amp;RIGHT("00"&amp;MINUTE(Sync!$K1817),2),IFERROR(RIGHT("00"&amp;VALUE(LEFT(Sync!$K1817,FIND(":",Sync!$K1817)-1)),2)&amp;RIGHT("00"&amp;VALUE(MID(Sync!$K1817,FIND(":",Sync!$K1817)+1,2)),2),"0000")))&amp;"|"&amp;"2"&amp;RIGHT("00000"&amp;1812,5))</f>
        <v/>
      </c>
      <c r="Q1817">
        <f>IF(Sync!$J1817="","",IF(ISNUMBER(Sync!$J1817),IF(AND(Sync!$J1817&gt;=10000101,Sync!$J1817&lt;=99991231),INT(Sync!$J1817/10000)&amp;"/"&amp;RIGHT("00"&amp;INT(MOD(Sync!$J1817,10000)/100),2)&amp;"/"&amp;RIGHT("00"&amp;MOD(Sync!$J1817,100),2),"نامعتبر"),IF(LEN(Sync!$J1817)=10,Sync!$J1817,"نامعتبر")))</f>
        <v/>
      </c>
      <c r="R1817">
        <f>IF($P1817="","",COUNTIFS($N$6:$N$2005,$N1817,$P$6:$P$2005,"&lt;"&amp;$P1817)+COUNTIFS($A$6:$A$1005,$N1817,$B$6:$B$1005,"&lt;"&amp;$P1817)+1)</f>
        <v/>
      </c>
      <c r="S1817">
        <f>IF($N1817="","",$N1817&amp;"|"&amp;RIGHT("000000"&amp;$R1817,6))</f>
        <v/>
      </c>
      <c r="T1817">
        <f>IF($N1817="","",IF(Sync!$N1817="",0,Sync!$N1817))</f>
        <v/>
      </c>
      <c r="U1817">
        <f>IF($N1817="","",IF(Sync!$O1817="",0,Sync!$O1817))</f>
        <v/>
      </c>
      <c r="V1817">
        <f>IF($N1817="","",Sync!$L1817)</f>
        <v/>
      </c>
      <c r="W1817">
        <f>IF($N1817="","",Sync!$P1817)</f>
        <v/>
      </c>
    </row>
    <row r="1818">
      <c r="N1818">
        <f>IF(OR(Sync!$M1818="",$Q1818="",$Q1818="نامعتبر"),"",Sync!$M1818)</f>
        <v/>
      </c>
      <c r="O1818">
        <f>IF($N1818="","",$Q1818)</f>
        <v/>
      </c>
      <c r="P1818">
        <f>IF($N1818="","",LEFT($Q1818,4)&amp;MID($Q1818,6,2)&amp;RIGHT($Q1818,2)&amp;IF(Sync!$K1818="","0000",IF(AND(ISNUMBER(Sync!$K1818),Sync!$K1818&gt;=0,Sync!$K1818&lt;1),RIGHT("00"&amp;HOUR(Sync!$K1818),2)&amp;RIGHT("00"&amp;MINUTE(Sync!$K1818),2),IFERROR(RIGHT("00"&amp;VALUE(LEFT(Sync!$K1818,FIND(":",Sync!$K1818)-1)),2)&amp;RIGHT("00"&amp;VALUE(MID(Sync!$K1818,FIND(":",Sync!$K1818)+1,2)),2),"0000")))&amp;"|"&amp;"2"&amp;RIGHT("00000"&amp;1813,5))</f>
        <v/>
      </c>
      <c r="Q1818">
        <f>IF(Sync!$J1818="","",IF(ISNUMBER(Sync!$J1818),IF(AND(Sync!$J1818&gt;=10000101,Sync!$J1818&lt;=99991231),INT(Sync!$J1818/10000)&amp;"/"&amp;RIGHT("00"&amp;INT(MOD(Sync!$J1818,10000)/100),2)&amp;"/"&amp;RIGHT("00"&amp;MOD(Sync!$J1818,100),2),"نامعتبر"),IF(LEN(Sync!$J1818)=10,Sync!$J1818,"نامعتبر")))</f>
        <v/>
      </c>
      <c r="R1818">
        <f>IF($P1818="","",COUNTIFS($N$6:$N$2005,$N1818,$P$6:$P$2005,"&lt;"&amp;$P1818)+COUNTIFS($A$6:$A$1005,$N1818,$B$6:$B$1005,"&lt;"&amp;$P1818)+1)</f>
        <v/>
      </c>
      <c r="S1818">
        <f>IF($N1818="","",$N1818&amp;"|"&amp;RIGHT("000000"&amp;$R1818,6))</f>
        <v/>
      </c>
      <c r="T1818">
        <f>IF($N1818="","",IF(Sync!$N1818="",0,Sync!$N1818))</f>
        <v/>
      </c>
      <c r="U1818">
        <f>IF($N1818="","",IF(Sync!$O1818="",0,Sync!$O1818))</f>
        <v/>
      </c>
      <c r="V1818">
        <f>IF($N1818="","",Sync!$L1818)</f>
        <v/>
      </c>
      <c r="W1818">
        <f>IF($N1818="","",Sync!$P1818)</f>
        <v/>
      </c>
    </row>
    <row r="1819">
      <c r="N1819">
        <f>IF(OR(Sync!$M1819="",$Q1819="",$Q1819="نامعتبر"),"",Sync!$M1819)</f>
        <v/>
      </c>
      <c r="O1819">
        <f>IF($N1819="","",$Q1819)</f>
        <v/>
      </c>
      <c r="P1819">
        <f>IF($N1819="","",LEFT($Q1819,4)&amp;MID($Q1819,6,2)&amp;RIGHT($Q1819,2)&amp;IF(Sync!$K1819="","0000",IF(AND(ISNUMBER(Sync!$K1819),Sync!$K1819&gt;=0,Sync!$K1819&lt;1),RIGHT("00"&amp;HOUR(Sync!$K1819),2)&amp;RIGHT("00"&amp;MINUTE(Sync!$K1819),2),IFERROR(RIGHT("00"&amp;VALUE(LEFT(Sync!$K1819,FIND(":",Sync!$K1819)-1)),2)&amp;RIGHT("00"&amp;VALUE(MID(Sync!$K1819,FIND(":",Sync!$K1819)+1,2)),2),"0000")))&amp;"|"&amp;"2"&amp;RIGHT("00000"&amp;1814,5))</f>
        <v/>
      </c>
      <c r="Q1819">
        <f>IF(Sync!$J1819="","",IF(ISNUMBER(Sync!$J1819),IF(AND(Sync!$J1819&gt;=10000101,Sync!$J1819&lt;=99991231),INT(Sync!$J1819/10000)&amp;"/"&amp;RIGHT("00"&amp;INT(MOD(Sync!$J1819,10000)/100),2)&amp;"/"&amp;RIGHT("00"&amp;MOD(Sync!$J1819,100),2),"نامعتبر"),IF(LEN(Sync!$J1819)=10,Sync!$J1819,"نامعتبر")))</f>
        <v/>
      </c>
      <c r="R1819">
        <f>IF($P1819="","",COUNTIFS($N$6:$N$2005,$N1819,$P$6:$P$2005,"&lt;"&amp;$P1819)+COUNTIFS($A$6:$A$1005,$N1819,$B$6:$B$1005,"&lt;"&amp;$P1819)+1)</f>
        <v/>
      </c>
      <c r="S1819">
        <f>IF($N1819="","",$N1819&amp;"|"&amp;RIGHT("000000"&amp;$R1819,6))</f>
        <v/>
      </c>
      <c r="T1819">
        <f>IF($N1819="","",IF(Sync!$N1819="",0,Sync!$N1819))</f>
        <v/>
      </c>
      <c r="U1819">
        <f>IF($N1819="","",IF(Sync!$O1819="",0,Sync!$O1819))</f>
        <v/>
      </c>
      <c r="V1819">
        <f>IF($N1819="","",Sync!$L1819)</f>
        <v/>
      </c>
      <c r="W1819">
        <f>IF($N1819="","",Sync!$P1819)</f>
        <v/>
      </c>
    </row>
    <row r="1820">
      <c r="N1820">
        <f>IF(OR(Sync!$M1820="",$Q1820="",$Q1820="نامعتبر"),"",Sync!$M1820)</f>
        <v/>
      </c>
      <c r="O1820">
        <f>IF($N1820="","",$Q1820)</f>
        <v/>
      </c>
      <c r="P1820">
        <f>IF($N1820="","",LEFT($Q1820,4)&amp;MID($Q1820,6,2)&amp;RIGHT($Q1820,2)&amp;IF(Sync!$K1820="","0000",IF(AND(ISNUMBER(Sync!$K1820),Sync!$K1820&gt;=0,Sync!$K1820&lt;1),RIGHT("00"&amp;HOUR(Sync!$K1820),2)&amp;RIGHT("00"&amp;MINUTE(Sync!$K1820),2),IFERROR(RIGHT("00"&amp;VALUE(LEFT(Sync!$K1820,FIND(":",Sync!$K1820)-1)),2)&amp;RIGHT("00"&amp;VALUE(MID(Sync!$K1820,FIND(":",Sync!$K1820)+1,2)),2),"0000")))&amp;"|"&amp;"2"&amp;RIGHT("00000"&amp;1815,5))</f>
        <v/>
      </c>
      <c r="Q1820">
        <f>IF(Sync!$J1820="","",IF(ISNUMBER(Sync!$J1820),IF(AND(Sync!$J1820&gt;=10000101,Sync!$J1820&lt;=99991231),INT(Sync!$J1820/10000)&amp;"/"&amp;RIGHT("00"&amp;INT(MOD(Sync!$J1820,10000)/100),2)&amp;"/"&amp;RIGHT("00"&amp;MOD(Sync!$J1820,100),2),"نامعتبر"),IF(LEN(Sync!$J1820)=10,Sync!$J1820,"نامعتبر")))</f>
        <v/>
      </c>
      <c r="R1820">
        <f>IF($P1820="","",COUNTIFS($N$6:$N$2005,$N1820,$P$6:$P$2005,"&lt;"&amp;$P1820)+COUNTIFS($A$6:$A$1005,$N1820,$B$6:$B$1005,"&lt;"&amp;$P1820)+1)</f>
        <v/>
      </c>
      <c r="S1820">
        <f>IF($N1820="","",$N1820&amp;"|"&amp;RIGHT("000000"&amp;$R1820,6))</f>
        <v/>
      </c>
      <c r="T1820">
        <f>IF($N1820="","",IF(Sync!$N1820="",0,Sync!$N1820))</f>
        <v/>
      </c>
      <c r="U1820">
        <f>IF($N1820="","",IF(Sync!$O1820="",0,Sync!$O1820))</f>
        <v/>
      </c>
      <c r="V1820">
        <f>IF($N1820="","",Sync!$L1820)</f>
        <v/>
      </c>
      <c r="W1820">
        <f>IF($N1820="","",Sync!$P1820)</f>
        <v/>
      </c>
    </row>
    <row r="1821">
      <c r="N1821">
        <f>IF(OR(Sync!$M1821="",$Q1821="",$Q1821="نامعتبر"),"",Sync!$M1821)</f>
        <v/>
      </c>
      <c r="O1821">
        <f>IF($N1821="","",$Q1821)</f>
        <v/>
      </c>
      <c r="P1821">
        <f>IF($N1821="","",LEFT($Q1821,4)&amp;MID($Q1821,6,2)&amp;RIGHT($Q1821,2)&amp;IF(Sync!$K1821="","0000",IF(AND(ISNUMBER(Sync!$K1821),Sync!$K1821&gt;=0,Sync!$K1821&lt;1),RIGHT("00"&amp;HOUR(Sync!$K1821),2)&amp;RIGHT("00"&amp;MINUTE(Sync!$K1821),2),IFERROR(RIGHT("00"&amp;VALUE(LEFT(Sync!$K1821,FIND(":",Sync!$K1821)-1)),2)&amp;RIGHT("00"&amp;VALUE(MID(Sync!$K1821,FIND(":",Sync!$K1821)+1,2)),2),"0000")))&amp;"|"&amp;"2"&amp;RIGHT("00000"&amp;1816,5))</f>
        <v/>
      </c>
      <c r="Q1821">
        <f>IF(Sync!$J1821="","",IF(ISNUMBER(Sync!$J1821),IF(AND(Sync!$J1821&gt;=10000101,Sync!$J1821&lt;=99991231),INT(Sync!$J1821/10000)&amp;"/"&amp;RIGHT("00"&amp;INT(MOD(Sync!$J1821,10000)/100),2)&amp;"/"&amp;RIGHT("00"&amp;MOD(Sync!$J1821,100),2),"نامعتبر"),IF(LEN(Sync!$J1821)=10,Sync!$J1821,"نامعتبر")))</f>
        <v/>
      </c>
      <c r="R1821">
        <f>IF($P1821="","",COUNTIFS($N$6:$N$2005,$N1821,$P$6:$P$2005,"&lt;"&amp;$P1821)+COUNTIFS($A$6:$A$1005,$N1821,$B$6:$B$1005,"&lt;"&amp;$P1821)+1)</f>
        <v/>
      </c>
      <c r="S1821">
        <f>IF($N1821="","",$N1821&amp;"|"&amp;RIGHT("000000"&amp;$R1821,6))</f>
        <v/>
      </c>
      <c r="T1821">
        <f>IF($N1821="","",IF(Sync!$N1821="",0,Sync!$N1821))</f>
        <v/>
      </c>
      <c r="U1821">
        <f>IF($N1821="","",IF(Sync!$O1821="",0,Sync!$O1821))</f>
        <v/>
      </c>
      <c r="V1821">
        <f>IF($N1821="","",Sync!$L1821)</f>
        <v/>
      </c>
      <c r="W1821">
        <f>IF($N1821="","",Sync!$P1821)</f>
        <v/>
      </c>
    </row>
    <row r="1822">
      <c r="N1822">
        <f>IF(OR(Sync!$M1822="",$Q1822="",$Q1822="نامعتبر"),"",Sync!$M1822)</f>
        <v/>
      </c>
      <c r="O1822">
        <f>IF($N1822="","",$Q1822)</f>
        <v/>
      </c>
      <c r="P1822">
        <f>IF($N1822="","",LEFT($Q1822,4)&amp;MID($Q1822,6,2)&amp;RIGHT($Q1822,2)&amp;IF(Sync!$K1822="","0000",IF(AND(ISNUMBER(Sync!$K1822),Sync!$K1822&gt;=0,Sync!$K1822&lt;1),RIGHT("00"&amp;HOUR(Sync!$K1822),2)&amp;RIGHT("00"&amp;MINUTE(Sync!$K1822),2),IFERROR(RIGHT("00"&amp;VALUE(LEFT(Sync!$K1822,FIND(":",Sync!$K1822)-1)),2)&amp;RIGHT("00"&amp;VALUE(MID(Sync!$K1822,FIND(":",Sync!$K1822)+1,2)),2),"0000")))&amp;"|"&amp;"2"&amp;RIGHT("00000"&amp;1817,5))</f>
        <v/>
      </c>
      <c r="Q1822">
        <f>IF(Sync!$J1822="","",IF(ISNUMBER(Sync!$J1822),IF(AND(Sync!$J1822&gt;=10000101,Sync!$J1822&lt;=99991231),INT(Sync!$J1822/10000)&amp;"/"&amp;RIGHT("00"&amp;INT(MOD(Sync!$J1822,10000)/100),2)&amp;"/"&amp;RIGHT("00"&amp;MOD(Sync!$J1822,100),2),"نامعتبر"),IF(LEN(Sync!$J1822)=10,Sync!$J1822,"نامعتبر")))</f>
        <v/>
      </c>
      <c r="R1822">
        <f>IF($P1822="","",COUNTIFS($N$6:$N$2005,$N1822,$P$6:$P$2005,"&lt;"&amp;$P1822)+COUNTIFS($A$6:$A$1005,$N1822,$B$6:$B$1005,"&lt;"&amp;$P1822)+1)</f>
        <v/>
      </c>
      <c r="S1822">
        <f>IF($N1822="","",$N1822&amp;"|"&amp;RIGHT("000000"&amp;$R1822,6))</f>
        <v/>
      </c>
      <c r="T1822">
        <f>IF($N1822="","",IF(Sync!$N1822="",0,Sync!$N1822))</f>
        <v/>
      </c>
      <c r="U1822">
        <f>IF($N1822="","",IF(Sync!$O1822="",0,Sync!$O1822))</f>
        <v/>
      </c>
      <c r="V1822">
        <f>IF($N1822="","",Sync!$L1822)</f>
        <v/>
      </c>
      <c r="W1822">
        <f>IF($N1822="","",Sync!$P1822)</f>
        <v/>
      </c>
    </row>
    <row r="1823">
      <c r="N1823">
        <f>IF(OR(Sync!$M1823="",$Q1823="",$Q1823="نامعتبر"),"",Sync!$M1823)</f>
        <v/>
      </c>
      <c r="O1823">
        <f>IF($N1823="","",$Q1823)</f>
        <v/>
      </c>
      <c r="P1823">
        <f>IF($N1823="","",LEFT($Q1823,4)&amp;MID($Q1823,6,2)&amp;RIGHT($Q1823,2)&amp;IF(Sync!$K1823="","0000",IF(AND(ISNUMBER(Sync!$K1823),Sync!$K1823&gt;=0,Sync!$K1823&lt;1),RIGHT("00"&amp;HOUR(Sync!$K1823),2)&amp;RIGHT("00"&amp;MINUTE(Sync!$K1823),2),IFERROR(RIGHT("00"&amp;VALUE(LEFT(Sync!$K1823,FIND(":",Sync!$K1823)-1)),2)&amp;RIGHT("00"&amp;VALUE(MID(Sync!$K1823,FIND(":",Sync!$K1823)+1,2)),2),"0000")))&amp;"|"&amp;"2"&amp;RIGHT("00000"&amp;1818,5))</f>
        <v/>
      </c>
      <c r="Q1823">
        <f>IF(Sync!$J1823="","",IF(ISNUMBER(Sync!$J1823),IF(AND(Sync!$J1823&gt;=10000101,Sync!$J1823&lt;=99991231),INT(Sync!$J1823/10000)&amp;"/"&amp;RIGHT("00"&amp;INT(MOD(Sync!$J1823,10000)/100),2)&amp;"/"&amp;RIGHT("00"&amp;MOD(Sync!$J1823,100),2),"نامعتبر"),IF(LEN(Sync!$J1823)=10,Sync!$J1823,"نامعتبر")))</f>
        <v/>
      </c>
      <c r="R1823">
        <f>IF($P1823="","",COUNTIFS($N$6:$N$2005,$N1823,$P$6:$P$2005,"&lt;"&amp;$P1823)+COUNTIFS($A$6:$A$1005,$N1823,$B$6:$B$1005,"&lt;"&amp;$P1823)+1)</f>
        <v/>
      </c>
      <c r="S1823">
        <f>IF($N1823="","",$N1823&amp;"|"&amp;RIGHT("000000"&amp;$R1823,6))</f>
        <v/>
      </c>
      <c r="T1823">
        <f>IF($N1823="","",IF(Sync!$N1823="",0,Sync!$N1823))</f>
        <v/>
      </c>
      <c r="U1823">
        <f>IF($N1823="","",IF(Sync!$O1823="",0,Sync!$O1823))</f>
        <v/>
      </c>
      <c r="V1823">
        <f>IF($N1823="","",Sync!$L1823)</f>
        <v/>
      </c>
      <c r="W1823">
        <f>IF($N1823="","",Sync!$P1823)</f>
        <v/>
      </c>
    </row>
    <row r="1824">
      <c r="N1824">
        <f>IF(OR(Sync!$M1824="",$Q1824="",$Q1824="نامعتبر"),"",Sync!$M1824)</f>
        <v/>
      </c>
      <c r="O1824">
        <f>IF($N1824="","",$Q1824)</f>
        <v/>
      </c>
      <c r="P1824">
        <f>IF($N1824="","",LEFT($Q1824,4)&amp;MID($Q1824,6,2)&amp;RIGHT($Q1824,2)&amp;IF(Sync!$K1824="","0000",IF(AND(ISNUMBER(Sync!$K1824),Sync!$K1824&gt;=0,Sync!$K1824&lt;1),RIGHT("00"&amp;HOUR(Sync!$K1824),2)&amp;RIGHT("00"&amp;MINUTE(Sync!$K1824),2),IFERROR(RIGHT("00"&amp;VALUE(LEFT(Sync!$K1824,FIND(":",Sync!$K1824)-1)),2)&amp;RIGHT("00"&amp;VALUE(MID(Sync!$K1824,FIND(":",Sync!$K1824)+1,2)),2),"0000")))&amp;"|"&amp;"2"&amp;RIGHT("00000"&amp;1819,5))</f>
        <v/>
      </c>
      <c r="Q1824">
        <f>IF(Sync!$J1824="","",IF(ISNUMBER(Sync!$J1824),IF(AND(Sync!$J1824&gt;=10000101,Sync!$J1824&lt;=99991231),INT(Sync!$J1824/10000)&amp;"/"&amp;RIGHT("00"&amp;INT(MOD(Sync!$J1824,10000)/100),2)&amp;"/"&amp;RIGHT("00"&amp;MOD(Sync!$J1824,100),2),"نامعتبر"),IF(LEN(Sync!$J1824)=10,Sync!$J1824,"نامعتبر")))</f>
        <v/>
      </c>
      <c r="R1824">
        <f>IF($P1824="","",COUNTIFS($N$6:$N$2005,$N1824,$P$6:$P$2005,"&lt;"&amp;$P1824)+COUNTIFS($A$6:$A$1005,$N1824,$B$6:$B$1005,"&lt;"&amp;$P1824)+1)</f>
        <v/>
      </c>
      <c r="S1824">
        <f>IF($N1824="","",$N1824&amp;"|"&amp;RIGHT("000000"&amp;$R1824,6))</f>
        <v/>
      </c>
      <c r="T1824">
        <f>IF($N1824="","",IF(Sync!$N1824="",0,Sync!$N1824))</f>
        <v/>
      </c>
      <c r="U1824">
        <f>IF($N1824="","",IF(Sync!$O1824="",0,Sync!$O1824))</f>
        <v/>
      </c>
      <c r="V1824">
        <f>IF($N1824="","",Sync!$L1824)</f>
        <v/>
      </c>
      <c r="W1824">
        <f>IF($N1824="","",Sync!$P1824)</f>
        <v/>
      </c>
    </row>
    <row r="1825">
      <c r="N1825">
        <f>IF(OR(Sync!$M1825="",$Q1825="",$Q1825="نامعتبر"),"",Sync!$M1825)</f>
        <v/>
      </c>
      <c r="O1825">
        <f>IF($N1825="","",$Q1825)</f>
        <v/>
      </c>
      <c r="P1825">
        <f>IF($N1825="","",LEFT($Q1825,4)&amp;MID($Q1825,6,2)&amp;RIGHT($Q1825,2)&amp;IF(Sync!$K1825="","0000",IF(AND(ISNUMBER(Sync!$K1825),Sync!$K1825&gt;=0,Sync!$K1825&lt;1),RIGHT("00"&amp;HOUR(Sync!$K1825),2)&amp;RIGHT("00"&amp;MINUTE(Sync!$K1825),2),IFERROR(RIGHT("00"&amp;VALUE(LEFT(Sync!$K1825,FIND(":",Sync!$K1825)-1)),2)&amp;RIGHT("00"&amp;VALUE(MID(Sync!$K1825,FIND(":",Sync!$K1825)+1,2)),2),"0000")))&amp;"|"&amp;"2"&amp;RIGHT("00000"&amp;1820,5))</f>
        <v/>
      </c>
      <c r="Q1825">
        <f>IF(Sync!$J1825="","",IF(ISNUMBER(Sync!$J1825),IF(AND(Sync!$J1825&gt;=10000101,Sync!$J1825&lt;=99991231),INT(Sync!$J1825/10000)&amp;"/"&amp;RIGHT("00"&amp;INT(MOD(Sync!$J1825,10000)/100),2)&amp;"/"&amp;RIGHT("00"&amp;MOD(Sync!$J1825,100),2),"نامعتبر"),IF(LEN(Sync!$J1825)=10,Sync!$J1825,"نامعتبر")))</f>
        <v/>
      </c>
      <c r="R1825">
        <f>IF($P1825="","",COUNTIFS($N$6:$N$2005,$N1825,$P$6:$P$2005,"&lt;"&amp;$P1825)+COUNTIFS($A$6:$A$1005,$N1825,$B$6:$B$1005,"&lt;"&amp;$P1825)+1)</f>
        <v/>
      </c>
      <c r="S1825">
        <f>IF($N1825="","",$N1825&amp;"|"&amp;RIGHT("000000"&amp;$R1825,6))</f>
        <v/>
      </c>
      <c r="T1825">
        <f>IF($N1825="","",IF(Sync!$N1825="",0,Sync!$N1825))</f>
        <v/>
      </c>
      <c r="U1825">
        <f>IF($N1825="","",IF(Sync!$O1825="",0,Sync!$O1825))</f>
        <v/>
      </c>
      <c r="V1825">
        <f>IF($N1825="","",Sync!$L1825)</f>
        <v/>
      </c>
      <c r="W1825">
        <f>IF($N1825="","",Sync!$P1825)</f>
        <v/>
      </c>
    </row>
    <row r="1826">
      <c r="N1826">
        <f>IF(OR(Sync!$M1826="",$Q1826="",$Q1826="نامعتبر"),"",Sync!$M1826)</f>
        <v/>
      </c>
      <c r="O1826">
        <f>IF($N1826="","",$Q1826)</f>
        <v/>
      </c>
      <c r="P1826">
        <f>IF($N1826="","",LEFT($Q1826,4)&amp;MID($Q1826,6,2)&amp;RIGHT($Q1826,2)&amp;IF(Sync!$K1826="","0000",IF(AND(ISNUMBER(Sync!$K1826),Sync!$K1826&gt;=0,Sync!$K1826&lt;1),RIGHT("00"&amp;HOUR(Sync!$K1826),2)&amp;RIGHT("00"&amp;MINUTE(Sync!$K1826),2),IFERROR(RIGHT("00"&amp;VALUE(LEFT(Sync!$K1826,FIND(":",Sync!$K1826)-1)),2)&amp;RIGHT("00"&amp;VALUE(MID(Sync!$K1826,FIND(":",Sync!$K1826)+1,2)),2),"0000")))&amp;"|"&amp;"2"&amp;RIGHT("00000"&amp;1821,5))</f>
        <v/>
      </c>
      <c r="Q1826">
        <f>IF(Sync!$J1826="","",IF(ISNUMBER(Sync!$J1826),IF(AND(Sync!$J1826&gt;=10000101,Sync!$J1826&lt;=99991231),INT(Sync!$J1826/10000)&amp;"/"&amp;RIGHT("00"&amp;INT(MOD(Sync!$J1826,10000)/100),2)&amp;"/"&amp;RIGHT("00"&amp;MOD(Sync!$J1826,100),2),"نامعتبر"),IF(LEN(Sync!$J1826)=10,Sync!$J1826,"نامعتبر")))</f>
        <v/>
      </c>
      <c r="R1826">
        <f>IF($P1826="","",COUNTIFS($N$6:$N$2005,$N1826,$P$6:$P$2005,"&lt;"&amp;$P1826)+COUNTIFS($A$6:$A$1005,$N1826,$B$6:$B$1005,"&lt;"&amp;$P1826)+1)</f>
        <v/>
      </c>
      <c r="S1826">
        <f>IF($N1826="","",$N1826&amp;"|"&amp;RIGHT("000000"&amp;$R1826,6))</f>
        <v/>
      </c>
      <c r="T1826">
        <f>IF($N1826="","",IF(Sync!$N1826="",0,Sync!$N1826))</f>
        <v/>
      </c>
      <c r="U1826">
        <f>IF($N1826="","",IF(Sync!$O1826="",0,Sync!$O1826))</f>
        <v/>
      </c>
      <c r="V1826">
        <f>IF($N1826="","",Sync!$L1826)</f>
        <v/>
      </c>
      <c r="W1826">
        <f>IF($N1826="","",Sync!$P1826)</f>
        <v/>
      </c>
    </row>
    <row r="1827">
      <c r="N1827">
        <f>IF(OR(Sync!$M1827="",$Q1827="",$Q1827="نامعتبر"),"",Sync!$M1827)</f>
        <v/>
      </c>
      <c r="O1827">
        <f>IF($N1827="","",$Q1827)</f>
        <v/>
      </c>
      <c r="P1827">
        <f>IF($N1827="","",LEFT($Q1827,4)&amp;MID($Q1827,6,2)&amp;RIGHT($Q1827,2)&amp;IF(Sync!$K1827="","0000",IF(AND(ISNUMBER(Sync!$K1827),Sync!$K1827&gt;=0,Sync!$K1827&lt;1),RIGHT("00"&amp;HOUR(Sync!$K1827),2)&amp;RIGHT("00"&amp;MINUTE(Sync!$K1827),2),IFERROR(RIGHT("00"&amp;VALUE(LEFT(Sync!$K1827,FIND(":",Sync!$K1827)-1)),2)&amp;RIGHT("00"&amp;VALUE(MID(Sync!$K1827,FIND(":",Sync!$K1827)+1,2)),2),"0000")))&amp;"|"&amp;"2"&amp;RIGHT("00000"&amp;1822,5))</f>
        <v/>
      </c>
      <c r="Q1827">
        <f>IF(Sync!$J1827="","",IF(ISNUMBER(Sync!$J1827),IF(AND(Sync!$J1827&gt;=10000101,Sync!$J1827&lt;=99991231),INT(Sync!$J1827/10000)&amp;"/"&amp;RIGHT("00"&amp;INT(MOD(Sync!$J1827,10000)/100),2)&amp;"/"&amp;RIGHT("00"&amp;MOD(Sync!$J1827,100),2),"نامعتبر"),IF(LEN(Sync!$J1827)=10,Sync!$J1827,"نامعتبر")))</f>
        <v/>
      </c>
      <c r="R1827">
        <f>IF($P1827="","",COUNTIFS($N$6:$N$2005,$N1827,$P$6:$P$2005,"&lt;"&amp;$P1827)+COUNTIFS($A$6:$A$1005,$N1827,$B$6:$B$1005,"&lt;"&amp;$P1827)+1)</f>
        <v/>
      </c>
      <c r="S1827">
        <f>IF($N1827="","",$N1827&amp;"|"&amp;RIGHT("000000"&amp;$R1827,6))</f>
        <v/>
      </c>
      <c r="T1827">
        <f>IF($N1827="","",IF(Sync!$N1827="",0,Sync!$N1827))</f>
        <v/>
      </c>
      <c r="U1827">
        <f>IF($N1827="","",IF(Sync!$O1827="",0,Sync!$O1827))</f>
        <v/>
      </c>
      <c r="V1827">
        <f>IF($N1827="","",Sync!$L1827)</f>
        <v/>
      </c>
      <c r="W1827">
        <f>IF($N1827="","",Sync!$P1827)</f>
        <v/>
      </c>
    </row>
    <row r="1828">
      <c r="N1828">
        <f>IF(OR(Sync!$M1828="",$Q1828="",$Q1828="نامعتبر"),"",Sync!$M1828)</f>
        <v/>
      </c>
      <c r="O1828">
        <f>IF($N1828="","",$Q1828)</f>
        <v/>
      </c>
      <c r="P1828">
        <f>IF($N1828="","",LEFT($Q1828,4)&amp;MID($Q1828,6,2)&amp;RIGHT($Q1828,2)&amp;IF(Sync!$K1828="","0000",IF(AND(ISNUMBER(Sync!$K1828),Sync!$K1828&gt;=0,Sync!$K1828&lt;1),RIGHT("00"&amp;HOUR(Sync!$K1828),2)&amp;RIGHT("00"&amp;MINUTE(Sync!$K1828),2),IFERROR(RIGHT("00"&amp;VALUE(LEFT(Sync!$K1828,FIND(":",Sync!$K1828)-1)),2)&amp;RIGHT("00"&amp;VALUE(MID(Sync!$K1828,FIND(":",Sync!$K1828)+1,2)),2),"0000")))&amp;"|"&amp;"2"&amp;RIGHT("00000"&amp;1823,5))</f>
        <v/>
      </c>
      <c r="Q1828">
        <f>IF(Sync!$J1828="","",IF(ISNUMBER(Sync!$J1828),IF(AND(Sync!$J1828&gt;=10000101,Sync!$J1828&lt;=99991231),INT(Sync!$J1828/10000)&amp;"/"&amp;RIGHT("00"&amp;INT(MOD(Sync!$J1828,10000)/100),2)&amp;"/"&amp;RIGHT("00"&amp;MOD(Sync!$J1828,100),2),"نامعتبر"),IF(LEN(Sync!$J1828)=10,Sync!$J1828,"نامعتبر")))</f>
        <v/>
      </c>
      <c r="R1828">
        <f>IF($P1828="","",COUNTIFS($N$6:$N$2005,$N1828,$P$6:$P$2005,"&lt;"&amp;$P1828)+COUNTIFS($A$6:$A$1005,$N1828,$B$6:$B$1005,"&lt;"&amp;$P1828)+1)</f>
        <v/>
      </c>
      <c r="S1828">
        <f>IF($N1828="","",$N1828&amp;"|"&amp;RIGHT("000000"&amp;$R1828,6))</f>
        <v/>
      </c>
      <c r="T1828">
        <f>IF($N1828="","",IF(Sync!$N1828="",0,Sync!$N1828))</f>
        <v/>
      </c>
      <c r="U1828">
        <f>IF($N1828="","",IF(Sync!$O1828="",0,Sync!$O1828))</f>
        <v/>
      </c>
      <c r="V1828">
        <f>IF($N1828="","",Sync!$L1828)</f>
        <v/>
      </c>
      <c r="W1828">
        <f>IF($N1828="","",Sync!$P1828)</f>
        <v/>
      </c>
    </row>
    <row r="1829">
      <c r="N1829">
        <f>IF(OR(Sync!$M1829="",$Q1829="",$Q1829="نامعتبر"),"",Sync!$M1829)</f>
        <v/>
      </c>
      <c r="O1829">
        <f>IF($N1829="","",$Q1829)</f>
        <v/>
      </c>
      <c r="P1829">
        <f>IF($N1829="","",LEFT($Q1829,4)&amp;MID($Q1829,6,2)&amp;RIGHT($Q1829,2)&amp;IF(Sync!$K1829="","0000",IF(AND(ISNUMBER(Sync!$K1829),Sync!$K1829&gt;=0,Sync!$K1829&lt;1),RIGHT("00"&amp;HOUR(Sync!$K1829),2)&amp;RIGHT("00"&amp;MINUTE(Sync!$K1829),2),IFERROR(RIGHT("00"&amp;VALUE(LEFT(Sync!$K1829,FIND(":",Sync!$K1829)-1)),2)&amp;RIGHT("00"&amp;VALUE(MID(Sync!$K1829,FIND(":",Sync!$K1829)+1,2)),2),"0000")))&amp;"|"&amp;"2"&amp;RIGHT("00000"&amp;1824,5))</f>
        <v/>
      </c>
      <c r="Q1829">
        <f>IF(Sync!$J1829="","",IF(ISNUMBER(Sync!$J1829),IF(AND(Sync!$J1829&gt;=10000101,Sync!$J1829&lt;=99991231),INT(Sync!$J1829/10000)&amp;"/"&amp;RIGHT("00"&amp;INT(MOD(Sync!$J1829,10000)/100),2)&amp;"/"&amp;RIGHT("00"&amp;MOD(Sync!$J1829,100),2),"نامعتبر"),IF(LEN(Sync!$J1829)=10,Sync!$J1829,"نامعتبر")))</f>
        <v/>
      </c>
      <c r="R1829">
        <f>IF($P1829="","",COUNTIFS($N$6:$N$2005,$N1829,$P$6:$P$2005,"&lt;"&amp;$P1829)+COUNTIFS($A$6:$A$1005,$N1829,$B$6:$B$1005,"&lt;"&amp;$P1829)+1)</f>
        <v/>
      </c>
      <c r="S1829">
        <f>IF($N1829="","",$N1829&amp;"|"&amp;RIGHT("000000"&amp;$R1829,6))</f>
        <v/>
      </c>
      <c r="T1829">
        <f>IF($N1829="","",IF(Sync!$N1829="",0,Sync!$N1829))</f>
        <v/>
      </c>
      <c r="U1829">
        <f>IF($N1829="","",IF(Sync!$O1829="",0,Sync!$O1829))</f>
        <v/>
      </c>
      <c r="V1829">
        <f>IF($N1829="","",Sync!$L1829)</f>
        <v/>
      </c>
      <c r="W1829">
        <f>IF($N1829="","",Sync!$P1829)</f>
        <v/>
      </c>
    </row>
    <row r="1830">
      <c r="N1830">
        <f>IF(OR(Sync!$M1830="",$Q1830="",$Q1830="نامعتبر"),"",Sync!$M1830)</f>
        <v/>
      </c>
      <c r="O1830">
        <f>IF($N1830="","",$Q1830)</f>
        <v/>
      </c>
      <c r="P1830">
        <f>IF($N1830="","",LEFT($Q1830,4)&amp;MID($Q1830,6,2)&amp;RIGHT($Q1830,2)&amp;IF(Sync!$K1830="","0000",IF(AND(ISNUMBER(Sync!$K1830),Sync!$K1830&gt;=0,Sync!$K1830&lt;1),RIGHT("00"&amp;HOUR(Sync!$K1830),2)&amp;RIGHT("00"&amp;MINUTE(Sync!$K1830),2),IFERROR(RIGHT("00"&amp;VALUE(LEFT(Sync!$K1830,FIND(":",Sync!$K1830)-1)),2)&amp;RIGHT("00"&amp;VALUE(MID(Sync!$K1830,FIND(":",Sync!$K1830)+1,2)),2),"0000")))&amp;"|"&amp;"2"&amp;RIGHT("00000"&amp;1825,5))</f>
        <v/>
      </c>
      <c r="Q1830">
        <f>IF(Sync!$J1830="","",IF(ISNUMBER(Sync!$J1830),IF(AND(Sync!$J1830&gt;=10000101,Sync!$J1830&lt;=99991231),INT(Sync!$J1830/10000)&amp;"/"&amp;RIGHT("00"&amp;INT(MOD(Sync!$J1830,10000)/100),2)&amp;"/"&amp;RIGHT("00"&amp;MOD(Sync!$J1830,100),2),"نامعتبر"),IF(LEN(Sync!$J1830)=10,Sync!$J1830,"نامعتبر")))</f>
        <v/>
      </c>
      <c r="R1830">
        <f>IF($P1830="","",COUNTIFS($N$6:$N$2005,$N1830,$P$6:$P$2005,"&lt;"&amp;$P1830)+COUNTIFS($A$6:$A$1005,$N1830,$B$6:$B$1005,"&lt;"&amp;$P1830)+1)</f>
        <v/>
      </c>
      <c r="S1830">
        <f>IF($N1830="","",$N1830&amp;"|"&amp;RIGHT("000000"&amp;$R1830,6))</f>
        <v/>
      </c>
      <c r="T1830">
        <f>IF($N1830="","",IF(Sync!$N1830="",0,Sync!$N1830))</f>
        <v/>
      </c>
      <c r="U1830">
        <f>IF($N1830="","",IF(Sync!$O1830="",0,Sync!$O1830))</f>
        <v/>
      </c>
      <c r="V1830">
        <f>IF($N1830="","",Sync!$L1830)</f>
        <v/>
      </c>
      <c r="W1830">
        <f>IF($N1830="","",Sync!$P1830)</f>
        <v/>
      </c>
    </row>
    <row r="1831">
      <c r="N1831">
        <f>IF(OR(Sync!$M1831="",$Q1831="",$Q1831="نامعتبر"),"",Sync!$M1831)</f>
        <v/>
      </c>
      <c r="O1831">
        <f>IF($N1831="","",$Q1831)</f>
        <v/>
      </c>
      <c r="P1831">
        <f>IF($N1831="","",LEFT($Q1831,4)&amp;MID($Q1831,6,2)&amp;RIGHT($Q1831,2)&amp;IF(Sync!$K1831="","0000",IF(AND(ISNUMBER(Sync!$K1831),Sync!$K1831&gt;=0,Sync!$K1831&lt;1),RIGHT("00"&amp;HOUR(Sync!$K1831),2)&amp;RIGHT("00"&amp;MINUTE(Sync!$K1831),2),IFERROR(RIGHT("00"&amp;VALUE(LEFT(Sync!$K1831,FIND(":",Sync!$K1831)-1)),2)&amp;RIGHT("00"&amp;VALUE(MID(Sync!$K1831,FIND(":",Sync!$K1831)+1,2)),2),"0000")))&amp;"|"&amp;"2"&amp;RIGHT("00000"&amp;1826,5))</f>
        <v/>
      </c>
      <c r="Q1831">
        <f>IF(Sync!$J1831="","",IF(ISNUMBER(Sync!$J1831),IF(AND(Sync!$J1831&gt;=10000101,Sync!$J1831&lt;=99991231),INT(Sync!$J1831/10000)&amp;"/"&amp;RIGHT("00"&amp;INT(MOD(Sync!$J1831,10000)/100),2)&amp;"/"&amp;RIGHT("00"&amp;MOD(Sync!$J1831,100),2),"نامعتبر"),IF(LEN(Sync!$J1831)=10,Sync!$J1831,"نامعتبر")))</f>
        <v/>
      </c>
      <c r="R1831">
        <f>IF($P1831="","",COUNTIFS($N$6:$N$2005,$N1831,$P$6:$P$2005,"&lt;"&amp;$P1831)+COUNTIFS($A$6:$A$1005,$N1831,$B$6:$B$1005,"&lt;"&amp;$P1831)+1)</f>
        <v/>
      </c>
      <c r="S1831">
        <f>IF($N1831="","",$N1831&amp;"|"&amp;RIGHT("000000"&amp;$R1831,6))</f>
        <v/>
      </c>
      <c r="T1831">
        <f>IF($N1831="","",IF(Sync!$N1831="",0,Sync!$N1831))</f>
        <v/>
      </c>
      <c r="U1831">
        <f>IF($N1831="","",IF(Sync!$O1831="",0,Sync!$O1831))</f>
        <v/>
      </c>
      <c r="V1831">
        <f>IF($N1831="","",Sync!$L1831)</f>
        <v/>
      </c>
      <c r="W1831">
        <f>IF($N1831="","",Sync!$P1831)</f>
        <v/>
      </c>
    </row>
    <row r="1832">
      <c r="N1832">
        <f>IF(OR(Sync!$M1832="",$Q1832="",$Q1832="نامعتبر"),"",Sync!$M1832)</f>
        <v/>
      </c>
      <c r="O1832">
        <f>IF($N1832="","",$Q1832)</f>
        <v/>
      </c>
      <c r="P1832">
        <f>IF($N1832="","",LEFT($Q1832,4)&amp;MID($Q1832,6,2)&amp;RIGHT($Q1832,2)&amp;IF(Sync!$K1832="","0000",IF(AND(ISNUMBER(Sync!$K1832),Sync!$K1832&gt;=0,Sync!$K1832&lt;1),RIGHT("00"&amp;HOUR(Sync!$K1832),2)&amp;RIGHT("00"&amp;MINUTE(Sync!$K1832),2),IFERROR(RIGHT("00"&amp;VALUE(LEFT(Sync!$K1832,FIND(":",Sync!$K1832)-1)),2)&amp;RIGHT("00"&amp;VALUE(MID(Sync!$K1832,FIND(":",Sync!$K1832)+1,2)),2),"0000")))&amp;"|"&amp;"2"&amp;RIGHT("00000"&amp;1827,5))</f>
        <v/>
      </c>
      <c r="Q1832">
        <f>IF(Sync!$J1832="","",IF(ISNUMBER(Sync!$J1832),IF(AND(Sync!$J1832&gt;=10000101,Sync!$J1832&lt;=99991231),INT(Sync!$J1832/10000)&amp;"/"&amp;RIGHT("00"&amp;INT(MOD(Sync!$J1832,10000)/100),2)&amp;"/"&amp;RIGHT("00"&amp;MOD(Sync!$J1832,100),2),"نامعتبر"),IF(LEN(Sync!$J1832)=10,Sync!$J1832,"نامعتبر")))</f>
        <v/>
      </c>
      <c r="R1832">
        <f>IF($P1832="","",COUNTIFS($N$6:$N$2005,$N1832,$P$6:$P$2005,"&lt;"&amp;$P1832)+COUNTIFS($A$6:$A$1005,$N1832,$B$6:$B$1005,"&lt;"&amp;$P1832)+1)</f>
        <v/>
      </c>
      <c r="S1832">
        <f>IF($N1832="","",$N1832&amp;"|"&amp;RIGHT("000000"&amp;$R1832,6))</f>
        <v/>
      </c>
      <c r="T1832">
        <f>IF($N1832="","",IF(Sync!$N1832="",0,Sync!$N1832))</f>
        <v/>
      </c>
      <c r="U1832">
        <f>IF($N1832="","",IF(Sync!$O1832="",0,Sync!$O1832))</f>
        <v/>
      </c>
      <c r="V1832">
        <f>IF($N1832="","",Sync!$L1832)</f>
        <v/>
      </c>
      <c r="W1832">
        <f>IF($N1832="","",Sync!$P1832)</f>
        <v/>
      </c>
    </row>
    <row r="1833">
      <c r="N1833">
        <f>IF(OR(Sync!$M1833="",$Q1833="",$Q1833="نامعتبر"),"",Sync!$M1833)</f>
        <v/>
      </c>
      <c r="O1833">
        <f>IF($N1833="","",$Q1833)</f>
        <v/>
      </c>
      <c r="P1833">
        <f>IF($N1833="","",LEFT($Q1833,4)&amp;MID($Q1833,6,2)&amp;RIGHT($Q1833,2)&amp;IF(Sync!$K1833="","0000",IF(AND(ISNUMBER(Sync!$K1833),Sync!$K1833&gt;=0,Sync!$K1833&lt;1),RIGHT("00"&amp;HOUR(Sync!$K1833),2)&amp;RIGHT("00"&amp;MINUTE(Sync!$K1833),2),IFERROR(RIGHT("00"&amp;VALUE(LEFT(Sync!$K1833,FIND(":",Sync!$K1833)-1)),2)&amp;RIGHT("00"&amp;VALUE(MID(Sync!$K1833,FIND(":",Sync!$K1833)+1,2)),2),"0000")))&amp;"|"&amp;"2"&amp;RIGHT("00000"&amp;1828,5))</f>
        <v/>
      </c>
      <c r="Q1833">
        <f>IF(Sync!$J1833="","",IF(ISNUMBER(Sync!$J1833),IF(AND(Sync!$J1833&gt;=10000101,Sync!$J1833&lt;=99991231),INT(Sync!$J1833/10000)&amp;"/"&amp;RIGHT("00"&amp;INT(MOD(Sync!$J1833,10000)/100),2)&amp;"/"&amp;RIGHT("00"&amp;MOD(Sync!$J1833,100),2),"نامعتبر"),IF(LEN(Sync!$J1833)=10,Sync!$J1833,"نامعتبر")))</f>
        <v/>
      </c>
      <c r="R1833">
        <f>IF($P1833="","",COUNTIFS($N$6:$N$2005,$N1833,$P$6:$P$2005,"&lt;"&amp;$P1833)+COUNTIFS($A$6:$A$1005,$N1833,$B$6:$B$1005,"&lt;"&amp;$P1833)+1)</f>
        <v/>
      </c>
      <c r="S1833">
        <f>IF($N1833="","",$N1833&amp;"|"&amp;RIGHT("000000"&amp;$R1833,6))</f>
        <v/>
      </c>
      <c r="T1833">
        <f>IF($N1833="","",IF(Sync!$N1833="",0,Sync!$N1833))</f>
        <v/>
      </c>
      <c r="U1833">
        <f>IF($N1833="","",IF(Sync!$O1833="",0,Sync!$O1833))</f>
        <v/>
      </c>
      <c r="V1833">
        <f>IF($N1833="","",Sync!$L1833)</f>
        <v/>
      </c>
      <c r="W1833">
        <f>IF($N1833="","",Sync!$P1833)</f>
        <v/>
      </c>
    </row>
    <row r="1834">
      <c r="N1834">
        <f>IF(OR(Sync!$M1834="",$Q1834="",$Q1834="نامعتبر"),"",Sync!$M1834)</f>
        <v/>
      </c>
      <c r="O1834">
        <f>IF($N1834="","",$Q1834)</f>
        <v/>
      </c>
      <c r="P1834">
        <f>IF($N1834="","",LEFT($Q1834,4)&amp;MID($Q1834,6,2)&amp;RIGHT($Q1834,2)&amp;IF(Sync!$K1834="","0000",IF(AND(ISNUMBER(Sync!$K1834),Sync!$K1834&gt;=0,Sync!$K1834&lt;1),RIGHT("00"&amp;HOUR(Sync!$K1834),2)&amp;RIGHT("00"&amp;MINUTE(Sync!$K1834),2),IFERROR(RIGHT("00"&amp;VALUE(LEFT(Sync!$K1834,FIND(":",Sync!$K1834)-1)),2)&amp;RIGHT("00"&amp;VALUE(MID(Sync!$K1834,FIND(":",Sync!$K1834)+1,2)),2),"0000")))&amp;"|"&amp;"2"&amp;RIGHT("00000"&amp;1829,5))</f>
        <v/>
      </c>
      <c r="Q1834">
        <f>IF(Sync!$J1834="","",IF(ISNUMBER(Sync!$J1834),IF(AND(Sync!$J1834&gt;=10000101,Sync!$J1834&lt;=99991231),INT(Sync!$J1834/10000)&amp;"/"&amp;RIGHT("00"&amp;INT(MOD(Sync!$J1834,10000)/100),2)&amp;"/"&amp;RIGHT("00"&amp;MOD(Sync!$J1834,100),2),"نامعتبر"),IF(LEN(Sync!$J1834)=10,Sync!$J1834,"نامعتبر")))</f>
        <v/>
      </c>
      <c r="R1834">
        <f>IF($P1834="","",COUNTIFS($N$6:$N$2005,$N1834,$P$6:$P$2005,"&lt;"&amp;$P1834)+COUNTIFS($A$6:$A$1005,$N1834,$B$6:$B$1005,"&lt;"&amp;$P1834)+1)</f>
        <v/>
      </c>
      <c r="S1834">
        <f>IF($N1834="","",$N1834&amp;"|"&amp;RIGHT("000000"&amp;$R1834,6))</f>
        <v/>
      </c>
      <c r="T1834">
        <f>IF($N1834="","",IF(Sync!$N1834="",0,Sync!$N1834))</f>
        <v/>
      </c>
      <c r="U1834">
        <f>IF($N1834="","",IF(Sync!$O1834="",0,Sync!$O1834))</f>
        <v/>
      </c>
      <c r="V1834">
        <f>IF($N1834="","",Sync!$L1834)</f>
        <v/>
      </c>
      <c r="W1834">
        <f>IF($N1834="","",Sync!$P1834)</f>
        <v/>
      </c>
    </row>
    <row r="1835">
      <c r="N1835">
        <f>IF(OR(Sync!$M1835="",$Q1835="",$Q1835="نامعتبر"),"",Sync!$M1835)</f>
        <v/>
      </c>
      <c r="O1835">
        <f>IF($N1835="","",$Q1835)</f>
        <v/>
      </c>
      <c r="P1835">
        <f>IF($N1835="","",LEFT($Q1835,4)&amp;MID($Q1835,6,2)&amp;RIGHT($Q1835,2)&amp;IF(Sync!$K1835="","0000",IF(AND(ISNUMBER(Sync!$K1835),Sync!$K1835&gt;=0,Sync!$K1835&lt;1),RIGHT("00"&amp;HOUR(Sync!$K1835),2)&amp;RIGHT("00"&amp;MINUTE(Sync!$K1835),2),IFERROR(RIGHT("00"&amp;VALUE(LEFT(Sync!$K1835,FIND(":",Sync!$K1835)-1)),2)&amp;RIGHT("00"&amp;VALUE(MID(Sync!$K1835,FIND(":",Sync!$K1835)+1,2)),2),"0000")))&amp;"|"&amp;"2"&amp;RIGHT("00000"&amp;1830,5))</f>
        <v/>
      </c>
      <c r="Q1835">
        <f>IF(Sync!$J1835="","",IF(ISNUMBER(Sync!$J1835),IF(AND(Sync!$J1835&gt;=10000101,Sync!$J1835&lt;=99991231),INT(Sync!$J1835/10000)&amp;"/"&amp;RIGHT("00"&amp;INT(MOD(Sync!$J1835,10000)/100),2)&amp;"/"&amp;RIGHT("00"&amp;MOD(Sync!$J1835,100),2),"نامعتبر"),IF(LEN(Sync!$J1835)=10,Sync!$J1835,"نامعتبر")))</f>
        <v/>
      </c>
      <c r="R1835">
        <f>IF($P1835="","",COUNTIFS($N$6:$N$2005,$N1835,$P$6:$P$2005,"&lt;"&amp;$P1835)+COUNTIFS($A$6:$A$1005,$N1835,$B$6:$B$1005,"&lt;"&amp;$P1835)+1)</f>
        <v/>
      </c>
      <c r="S1835">
        <f>IF($N1835="","",$N1835&amp;"|"&amp;RIGHT("000000"&amp;$R1835,6))</f>
        <v/>
      </c>
      <c r="T1835">
        <f>IF($N1835="","",IF(Sync!$N1835="",0,Sync!$N1835))</f>
        <v/>
      </c>
      <c r="U1835">
        <f>IF($N1835="","",IF(Sync!$O1835="",0,Sync!$O1835))</f>
        <v/>
      </c>
      <c r="V1835">
        <f>IF($N1835="","",Sync!$L1835)</f>
        <v/>
      </c>
      <c r="W1835">
        <f>IF($N1835="","",Sync!$P1835)</f>
        <v/>
      </c>
    </row>
    <row r="1836">
      <c r="N1836">
        <f>IF(OR(Sync!$M1836="",$Q1836="",$Q1836="نامعتبر"),"",Sync!$M1836)</f>
        <v/>
      </c>
      <c r="O1836">
        <f>IF($N1836="","",$Q1836)</f>
        <v/>
      </c>
      <c r="P1836">
        <f>IF($N1836="","",LEFT($Q1836,4)&amp;MID($Q1836,6,2)&amp;RIGHT($Q1836,2)&amp;IF(Sync!$K1836="","0000",IF(AND(ISNUMBER(Sync!$K1836),Sync!$K1836&gt;=0,Sync!$K1836&lt;1),RIGHT("00"&amp;HOUR(Sync!$K1836),2)&amp;RIGHT("00"&amp;MINUTE(Sync!$K1836),2),IFERROR(RIGHT("00"&amp;VALUE(LEFT(Sync!$K1836,FIND(":",Sync!$K1836)-1)),2)&amp;RIGHT("00"&amp;VALUE(MID(Sync!$K1836,FIND(":",Sync!$K1836)+1,2)),2),"0000")))&amp;"|"&amp;"2"&amp;RIGHT("00000"&amp;1831,5))</f>
        <v/>
      </c>
      <c r="Q1836">
        <f>IF(Sync!$J1836="","",IF(ISNUMBER(Sync!$J1836),IF(AND(Sync!$J1836&gt;=10000101,Sync!$J1836&lt;=99991231),INT(Sync!$J1836/10000)&amp;"/"&amp;RIGHT("00"&amp;INT(MOD(Sync!$J1836,10000)/100),2)&amp;"/"&amp;RIGHT("00"&amp;MOD(Sync!$J1836,100),2),"نامعتبر"),IF(LEN(Sync!$J1836)=10,Sync!$J1836,"نامعتبر")))</f>
        <v/>
      </c>
      <c r="R1836">
        <f>IF($P1836="","",COUNTIFS($N$6:$N$2005,$N1836,$P$6:$P$2005,"&lt;"&amp;$P1836)+COUNTIFS($A$6:$A$1005,$N1836,$B$6:$B$1005,"&lt;"&amp;$P1836)+1)</f>
        <v/>
      </c>
      <c r="S1836">
        <f>IF($N1836="","",$N1836&amp;"|"&amp;RIGHT("000000"&amp;$R1836,6))</f>
        <v/>
      </c>
      <c r="T1836">
        <f>IF($N1836="","",IF(Sync!$N1836="",0,Sync!$N1836))</f>
        <v/>
      </c>
      <c r="U1836">
        <f>IF($N1836="","",IF(Sync!$O1836="",0,Sync!$O1836))</f>
        <v/>
      </c>
      <c r="V1836">
        <f>IF($N1836="","",Sync!$L1836)</f>
        <v/>
      </c>
      <c r="W1836">
        <f>IF($N1836="","",Sync!$P1836)</f>
        <v/>
      </c>
    </row>
    <row r="1837">
      <c r="N1837">
        <f>IF(OR(Sync!$M1837="",$Q1837="",$Q1837="نامعتبر"),"",Sync!$M1837)</f>
        <v/>
      </c>
      <c r="O1837">
        <f>IF($N1837="","",$Q1837)</f>
        <v/>
      </c>
      <c r="P1837">
        <f>IF($N1837="","",LEFT($Q1837,4)&amp;MID($Q1837,6,2)&amp;RIGHT($Q1837,2)&amp;IF(Sync!$K1837="","0000",IF(AND(ISNUMBER(Sync!$K1837),Sync!$K1837&gt;=0,Sync!$K1837&lt;1),RIGHT("00"&amp;HOUR(Sync!$K1837),2)&amp;RIGHT("00"&amp;MINUTE(Sync!$K1837),2),IFERROR(RIGHT("00"&amp;VALUE(LEFT(Sync!$K1837,FIND(":",Sync!$K1837)-1)),2)&amp;RIGHT("00"&amp;VALUE(MID(Sync!$K1837,FIND(":",Sync!$K1837)+1,2)),2),"0000")))&amp;"|"&amp;"2"&amp;RIGHT("00000"&amp;1832,5))</f>
        <v/>
      </c>
      <c r="Q1837">
        <f>IF(Sync!$J1837="","",IF(ISNUMBER(Sync!$J1837),IF(AND(Sync!$J1837&gt;=10000101,Sync!$J1837&lt;=99991231),INT(Sync!$J1837/10000)&amp;"/"&amp;RIGHT("00"&amp;INT(MOD(Sync!$J1837,10000)/100),2)&amp;"/"&amp;RIGHT("00"&amp;MOD(Sync!$J1837,100),2),"نامعتبر"),IF(LEN(Sync!$J1837)=10,Sync!$J1837,"نامعتبر")))</f>
        <v/>
      </c>
      <c r="R1837">
        <f>IF($P1837="","",COUNTIFS($N$6:$N$2005,$N1837,$P$6:$P$2005,"&lt;"&amp;$P1837)+COUNTIFS($A$6:$A$1005,$N1837,$B$6:$B$1005,"&lt;"&amp;$P1837)+1)</f>
        <v/>
      </c>
      <c r="S1837">
        <f>IF($N1837="","",$N1837&amp;"|"&amp;RIGHT("000000"&amp;$R1837,6))</f>
        <v/>
      </c>
      <c r="T1837">
        <f>IF($N1837="","",IF(Sync!$N1837="",0,Sync!$N1837))</f>
        <v/>
      </c>
      <c r="U1837">
        <f>IF($N1837="","",IF(Sync!$O1837="",0,Sync!$O1837))</f>
        <v/>
      </c>
      <c r="V1837">
        <f>IF($N1837="","",Sync!$L1837)</f>
        <v/>
      </c>
      <c r="W1837">
        <f>IF($N1837="","",Sync!$P1837)</f>
        <v/>
      </c>
    </row>
    <row r="1838">
      <c r="N1838">
        <f>IF(OR(Sync!$M1838="",$Q1838="",$Q1838="نامعتبر"),"",Sync!$M1838)</f>
        <v/>
      </c>
      <c r="O1838">
        <f>IF($N1838="","",$Q1838)</f>
        <v/>
      </c>
      <c r="P1838">
        <f>IF($N1838="","",LEFT($Q1838,4)&amp;MID($Q1838,6,2)&amp;RIGHT($Q1838,2)&amp;IF(Sync!$K1838="","0000",IF(AND(ISNUMBER(Sync!$K1838),Sync!$K1838&gt;=0,Sync!$K1838&lt;1),RIGHT("00"&amp;HOUR(Sync!$K1838),2)&amp;RIGHT("00"&amp;MINUTE(Sync!$K1838),2),IFERROR(RIGHT("00"&amp;VALUE(LEFT(Sync!$K1838,FIND(":",Sync!$K1838)-1)),2)&amp;RIGHT("00"&amp;VALUE(MID(Sync!$K1838,FIND(":",Sync!$K1838)+1,2)),2),"0000")))&amp;"|"&amp;"2"&amp;RIGHT("00000"&amp;1833,5))</f>
        <v/>
      </c>
      <c r="Q1838">
        <f>IF(Sync!$J1838="","",IF(ISNUMBER(Sync!$J1838),IF(AND(Sync!$J1838&gt;=10000101,Sync!$J1838&lt;=99991231),INT(Sync!$J1838/10000)&amp;"/"&amp;RIGHT("00"&amp;INT(MOD(Sync!$J1838,10000)/100),2)&amp;"/"&amp;RIGHT("00"&amp;MOD(Sync!$J1838,100),2),"نامعتبر"),IF(LEN(Sync!$J1838)=10,Sync!$J1838,"نامعتبر")))</f>
        <v/>
      </c>
      <c r="R1838">
        <f>IF($P1838="","",COUNTIFS($N$6:$N$2005,$N1838,$P$6:$P$2005,"&lt;"&amp;$P1838)+COUNTIFS($A$6:$A$1005,$N1838,$B$6:$B$1005,"&lt;"&amp;$P1838)+1)</f>
        <v/>
      </c>
      <c r="S1838">
        <f>IF($N1838="","",$N1838&amp;"|"&amp;RIGHT("000000"&amp;$R1838,6))</f>
        <v/>
      </c>
      <c r="T1838">
        <f>IF($N1838="","",IF(Sync!$N1838="",0,Sync!$N1838))</f>
        <v/>
      </c>
      <c r="U1838">
        <f>IF($N1838="","",IF(Sync!$O1838="",0,Sync!$O1838))</f>
        <v/>
      </c>
      <c r="V1838">
        <f>IF($N1838="","",Sync!$L1838)</f>
        <v/>
      </c>
      <c r="W1838">
        <f>IF($N1838="","",Sync!$P1838)</f>
        <v/>
      </c>
    </row>
    <row r="1839">
      <c r="N1839">
        <f>IF(OR(Sync!$M1839="",$Q1839="",$Q1839="نامعتبر"),"",Sync!$M1839)</f>
        <v/>
      </c>
      <c r="O1839">
        <f>IF($N1839="","",$Q1839)</f>
        <v/>
      </c>
      <c r="P1839">
        <f>IF($N1839="","",LEFT($Q1839,4)&amp;MID($Q1839,6,2)&amp;RIGHT($Q1839,2)&amp;IF(Sync!$K1839="","0000",IF(AND(ISNUMBER(Sync!$K1839),Sync!$K1839&gt;=0,Sync!$K1839&lt;1),RIGHT("00"&amp;HOUR(Sync!$K1839),2)&amp;RIGHT("00"&amp;MINUTE(Sync!$K1839),2),IFERROR(RIGHT("00"&amp;VALUE(LEFT(Sync!$K1839,FIND(":",Sync!$K1839)-1)),2)&amp;RIGHT("00"&amp;VALUE(MID(Sync!$K1839,FIND(":",Sync!$K1839)+1,2)),2),"0000")))&amp;"|"&amp;"2"&amp;RIGHT("00000"&amp;1834,5))</f>
        <v/>
      </c>
      <c r="Q1839">
        <f>IF(Sync!$J1839="","",IF(ISNUMBER(Sync!$J1839),IF(AND(Sync!$J1839&gt;=10000101,Sync!$J1839&lt;=99991231),INT(Sync!$J1839/10000)&amp;"/"&amp;RIGHT("00"&amp;INT(MOD(Sync!$J1839,10000)/100),2)&amp;"/"&amp;RIGHT("00"&amp;MOD(Sync!$J1839,100),2),"نامعتبر"),IF(LEN(Sync!$J1839)=10,Sync!$J1839,"نامعتبر")))</f>
        <v/>
      </c>
      <c r="R1839">
        <f>IF($P1839="","",COUNTIFS($N$6:$N$2005,$N1839,$P$6:$P$2005,"&lt;"&amp;$P1839)+COUNTIFS($A$6:$A$1005,$N1839,$B$6:$B$1005,"&lt;"&amp;$P1839)+1)</f>
        <v/>
      </c>
      <c r="S1839">
        <f>IF($N1839="","",$N1839&amp;"|"&amp;RIGHT("000000"&amp;$R1839,6))</f>
        <v/>
      </c>
      <c r="T1839">
        <f>IF($N1839="","",IF(Sync!$N1839="",0,Sync!$N1839))</f>
        <v/>
      </c>
      <c r="U1839">
        <f>IF($N1839="","",IF(Sync!$O1839="",0,Sync!$O1839))</f>
        <v/>
      </c>
      <c r="V1839">
        <f>IF($N1839="","",Sync!$L1839)</f>
        <v/>
      </c>
      <c r="W1839">
        <f>IF($N1839="","",Sync!$P1839)</f>
        <v/>
      </c>
    </row>
    <row r="1840">
      <c r="N1840">
        <f>IF(OR(Sync!$M1840="",$Q1840="",$Q1840="نامعتبر"),"",Sync!$M1840)</f>
        <v/>
      </c>
      <c r="O1840">
        <f>IF($N1840="","",$Q1840)</f>
        <v/>
      </c>
      <c r="P1840">
        <f>IF($N1840="","",LEFT($Q1840,4)&amp;MID($Q1840,6,2)&amp;RIGHT($Q1840,2)&amp;IF(Sync!$K1840="","0000",IF(AND(ISNUMBER(Sync!$K1840),Sync!$K1840&gt;=0,Sync!$K1840&lt;1),RIGHT("00"&amp;HOUR(Sync!$K1840),2)&amp;RIGHT("00"&amp;MINUTE(Sync!$K1840),2),IFERROR(RIGHT("00"&amp;VALUE(LEFT(Sync!$K1840,FIND(":",Sync!$K1840)-1)),2)&amp;RIGHT("00"&amp;VALUE(MID(Sync!$K1840,FIND(":",Sync!$K1840)+1,2)),2),"0000")))&amp;"|"&amp;"2"&amp;RIGHT("00000"&amp;1835,5))</f>
        <v/>
      </c>
      <c r="Q1840">
        <f>IF(Sync!$J1840="","",IF(ISNUMBER(Sync!$J1840),IF(AND(Sync!$J1840&gt;=10000101,Sync!$J1840&lt;=99991231),INT(Sync!$J1840/10000)&amp;"/"&amp;RIGHT("00"&amp;INT(MOD(Sync!$J1840,10000)/100),2)&amp;"/"&amp;RIGHT("00"&amp;MOD(Sync!$J1840,100),2),"نامعتبر"),IF(LEN(Sync!$J1840)=10,Sync!$J1840,"نامعتبر")))</f>
        <v/>
      </c>
      <c r="R1840">
        <f>IF($P1840="","",COUNTIFS($N$6:$N$2005,$N1840,$P$6:$P$2005,"&lt;"&amp;$P1840)+COUNTIFS($A$6:$A$1005,$N1840,$B$6:$B$1005,"&lt;"&amp;$P1840)+1)</f>
        <v/>
      </c>
      <c r="S1840">
        <f>IF($N1840="","",$N1840&amp;"|"&amp;RIGHT("000000"&amp;$R1840,6))</f>
        <v/>
      </c>
      <c r="T1840">
        <f>IF($N1840="","",IF(Sync!$N1840="",0,Sync!$N1840))</f>
        <v/>
      </c>
      <c r="U1840">
        <f>IF($N1840="","",IF(Sync!$O1840="",0,Sync!$O1840))</f>
        <v/>
      </c>
      <c r="V1840">
        <f>IF($N1840="","",Sync!$L1840)</f>
        <v/>
      </c>
      <c r="W1840">
        <f>IF($N1840="","",Sync!$P1840)</f>
        <v/>
      </c>
    </row>
    <row r="1841">
      <c r="N1841">
        <f>IF(OR(Sync!$M1841="",$Q1841="",$Q1841="نامعتبر"),"",Sync!$M1841)</f>
        <v/>
      </c>
      <c r="O1841">
        <f>IF($N1841="","",$Q1841)</f>
        <v/>
      </c>
      <c r="P1841">
        <f>IF($N1841="","",LEFT($Q1841,4)&amp;MID($Q1841,6,2)&amp;RIGHT($Q1841,2)&amp;IF(Sync!$K1841="","0000",IF(AND(ISNUMBER(Sync!$K1841),Sync!$K1841&gt;=0,Sync!$K1841&lt;1),RIGHT("00"&amp;HOUR(Sync!$K1841),2)&amp;RIGHT("00"&amp;MINUTE(Sync!$K1841),2),IFERROR(RIGHT("00"&amp;VALUE(LEFT(Sync!$K1841,FIND(":",Sync!$K1841)-1)),2)&amp;RIGHT("00"&amp;VALUE(MID(Sync!$K1841,FIND(":",Sync!$K1841)+1,2)),2),"0000")))&amp;"|"&amp;"2"&amp;RIGHT("00000"&amp;1836,5))</f>
        <v/>
      </c>
      <c r="Q1841">
        <f>IF(Sync!$J1841="","",IF(ISNUMBER(Sync!$J1841),IF(AND(Sync!$J1841&gt;=10000101,Sync!$J1841&lt;=99991231),INT(Sync!$J1841/10000)&amp;"/"&amp;RIGHT("00"&amp;INT(MOD(Sync!$J1841,10000)/100),2)&amp;"/"&amp;RIGHT("00"&amp;MOD(Sync!$J1841,100),2),"نامعتبر"),IF(LEN(Sync!$J1841)=10,Sync!$J1841,"نامعتبر")))</f>
        <v/>
      </c>
      <c r="R1841">
        <f>IF($P1841="","",COUNTIFS($N$6:$N$2005,$N1841,$P$6:$P$2005,"&lt;"&amp;$P1841)+COUNTIFS($A$6:$A$1005,$N1841,$B$6:$B$1005,"&lt;"&amp;$P1841)+1)</f>
        <v/>
      </c>
      <c r="S1841">
        <f>IF($N1841="","",$N1841&amp;"|"&amp;RIGHT("000000"&amp;$R1841,6))</f>
        <v/>
      </c>
      <c r="T1841">
        <f>IF($N1841="","",IF(Sync!$N1841="",0,Sync!$N1841))</f>
        <v/>
      </c>
      <c r="U1841">
        <f>IF($N1841="","",IF(Sync!$O1841="",0,Sync!$O1841))</f>
        <v/>
      </c>
      <c r="V1841">
        <f>IF($N1841="","",Sync!$L1841)</f>
        <v/>
      </c>
      <c r="W1841">
        <f>IF($N1841="","",Sync!$P1841)</f>
        <v/>
      </c>
    </row>
    <row r="1842">
      <c r="N1842">
        <f>IF(OR(Sync!$M1842="",$Q1842="",$Q1842="نامعتبر"),"",Sync!$M1842)</f>
        <v/>
      </c>
      <c r="O1842">
        <f>IF($N1842="","",$Q1842)</f>
        <v/>
      </c>
      <c r="P1842">
        <f>IF($N1842="","",LEFT($Q1842,4)&amp;MID($Q1842,6,2)&amp;RIGHT($Q1842,2)&amp;IF(Sync!$K1842="","0000",IF(AND(ISNUMBER(Sync!$K1842),Sync!$K1842&gt;=0,Sync!$K1842&lt;1),RIGHT("00"&amp;HOUR(Sync!$K1842),2)&amp;RIGHT("00"&amp;MINUTE(Sync!$K1842),2),IFERROR(RIGHT("00"&amp;VALUE(LEFT(Sync!$K1842,FIND(":",Sync!$K1842)-1)),2)&amp;RIGHT("00"&amp;VALUE(MID(Sync!$K1842,FIND(":",Sync!$K1842)+1,2)),2),"0000")))&amp;"|"&amp;"2"&amp;RIGHT("00000"&amp;1837,5))</f>
        <v/>
      </c>
      <c r="Q1842">
        <f>IF(Sync!$J1842="","",IF(ISNUMBER(Sync!$J1842),IF(AND(Sync!$J1842&gt;=10000101,Sync!$J1842&lt;=99991231),INT(Sync!$J1842/10000)&amp;"/"&amp;RIGHT("00"&amp;INT(MOD(Sync!$J1842,10000)/100),2)&amp;"/"&amp;RIGHT("00"&amp;MOD(Sync!$J1842,100),2),"نامعتبر"),IF(LEN(Sync!$J1842)=10,Sync!$J1842,"نامعتبر")))</f>
        <v/>
      </c>
      <c r="R1842">
        <f>IF($P1842="","",COUNTIFS($N$6:$N$2005,$N1842,$P$6:$P$2005,"&lt;"&amp;$P1842)+COUNTIFS($A$6:$A$1005,$N1842,$B$6:$B$1005,"&lt;"&amp;$P1842)+1)</f>
        <v/>
      </c>
      <c r="S1842">
        <f>IF($N1842="","",$N1842&amp;"|"&amp;RIGHT("000000"&amp;$R1842,6))</f>
        <v/>
      </c>
      <c r="T1842">
        <f>IF($N1842="","",IF(Sync!$N1842="",0,Sync!$N1842))</f>
        <v/>
      </c>
      <c r="U1842">
        <f>IF($N1842="","",IF(Sync!$O1842="",0,Sync!$O1842))</f>
        <v/>
      </c>
      <c r="V1842">
        <f>IF($N1842="","",Sync!$L1842)</f>
        <v/>
      </c>
      <c r="W1842">
        <f>IF($N1842="","",Sync!$P1842)</f>
        <v/>
      </c>
    </row>
    <row r="1843">
      <c r="N1843">
        <f>IF(OR(Sync!$M1843="",$Q1843="",$Q1843="نامعتبر"),"",Sync!$M1843)</f>
        <v/>
      </c>
      <c r="O1843">
        <f>IF($N1843="","",$Q1843)</f>
        <v/>
      </c>
      <c r="P1843">
        <f>IF($N1843="","",LEFT($Q1843,4)&amp;MID($Q1843,6,2)&amp;RIGHT($Q1843,2)&amp;IF(Sync!$K1843="","0000",IF(AND(ISNUMBER(Sync!$K1843),Sync!$K1843&gt;=0,Sync!$K1843&lt;1),RIGHT("00"&amp;HOUR(Sync!$K1843),2)&amp;RIGHT("00"&amp;MINUTE(Sync!$K1843),2),IFERROR(RIGHT("00"&amp;VALUE(LEFT(Sync!$K1843,FIND(":",Sync!$K1843)-1)),2)&amp;RIGHT("00"&amp;VALUE(MID(Sync!$K1843,FIND(":",Sync!$K1843)+1,2)),2),"0000")))&amp;"|"&amp;"2"&amp;RIGHT("00000"&amp;1838,5))</f>
        <v/>
      </c>
      <c r="Q1843">
        <f>IF(Sync!$J1843="","",IF(ISNUMBER(Sync!$J1843),IF(AND(Sync!$J1843&gt;=10000101,Sync!$J1843&lt;=99991231),INT(Sync!$J1843/10000)&amp;"/"&amp;RIGHT("00"&amp;INT(MOD(Sync!$J1843,10000)/100),2)&amp;"/"&amp;RIGHT("00"&amp;MOD(Sync!$J1843,100),2),"نامعتبر"),IF(LEN(Sync!$J1843)=10,Sync!$J1843,"نامعتبر")))</f>
        <v/>
      </c>
      <c r="R1843">
        <f>IF($P1843="","",COUNTIFS($N$6:$N$2005,$N1843,$P$6:$P$2005,"&lt;"&amp;$P1843)+COUNTIFS($A$6:$A$1005,$N1843,$B$6:$B$1005,"&lt;"&amp;$P1843)+1)</f>
        <v/>
      </c>
      <c r="S1843">
        <f>IF($N1843="","",$N1843&amp;"|"&amp;RIGHT("000000"&amp;$R1843,6))</f>
        <v/>
      </c>
      <c r="T1843">
        <f>IF($N1843="","",IF(Sync!$N1843="",0,Sync!$N1843))</f>
        <v/>
      </c>
      <c r="U1843">
        <f>IF($N1843="","",IF(Sync!$O1843="",0,Sync!$O1843))</f>
        <v/>
      </c>
      <c r="V1843">
        <f>IF($N1843="","",Sync!$L1843)</f>
        <v/>
      </c>
      <c r="W1843">
        <f>IF($N1843="","",Sync!$P1843)</f>
        <v/>
      </c>
    </row>
    <row r="1844">
      <c r="N1844">
        <f>IF(OR(Sync!$M1844="",$Q1844="",$Q1844="نامعتبر"),"",Sync!$M1844)</f>
        <v/>
      </c>
      <c r="O1844">
        <f>IF($N1844="","",$Q1844)</f>
        <v/>
      </c>
      <c r="P1844">
        <f>IF($N1844="","",LEFT($Q1844,4)&amp;MID($Q1844,6,2)&amp;RIGHT($Q1844,2)&amp;IF(Sync!$K1844="","0000",IF(AND(ISNUMBER(Sync!$K1844),Sync!$K1844&gt;=0,Sync!$K1844&lt;1),RIGHT("00"&amp;HOUR(Sync!$K1844),2)&amp;RIGHT("00"&amp;MINUTE(Sync!$K1844),2),IFERROR(RIGHT("00"&amp;VALUE(LEFT(Sync!$K1844,FIND(":",Sync!$K1844)-1)),2)&amp;RIGHT("00"&amp;VALUE(MID(Sync!$K1844,FIND(":",Sync!$K1844)+1,2)),2),"0000")))&amp;"|"&amp;"2"&amp;RIGHT("00000"&amp;1839,5))</f>
        <v/>
      </c>
      <c r="Q1844">
        <f>IF(Sync!$J1844="","",IF(ISNUMBER(Sync!$J1844),IF(AND(Sync!$J1844&gt;=10000101,Sync!$J1844&lt;=99991231),INT(Sync!$J1844/10000)&amp;"/"&amp;RIGHT("00"&amp;INT(MOD(Sync!$J1844,10000)/100),2)&amp;"/"&amp;RIGHT("00"&amp;MOD(Sync!$J1844,100),2),"نامعتبر"),IF(LEN(Sync!$J1844)=10,Sync!$J1844,"نامعتبر")))</f>
        <v/>
      </c>
      <c r="R1844">
        <f>IF($P1844="","",COUNTIFS($N$6:$N$2005,$N1844,$P$6:$P$2005,"&lt;"&amp;$P1844)+COUNTIFS($A$6:$A$1005,$N1844,$B$6:$B$1005,"&lt;"&amp;$P1844)+1)</f>
        <v/>
      </c>
      <c r="S1844">
        <f>IF($N1844="","",$N1844&amp;"|"&amp;RIGHT("000000"&amp;$R1844,6))</f>
        <v/>
      </c>
      <c r="T1844">
        <f>IF($N1844="","",IF(Sync!$N1844="",0,Sync!$N1844))</f>
        <v/>
      </c>
      <c r="U1844">
        <f>IF($N1844="","",IF(Sync!$O1844="",0,Sync!$O1844))</f>
        <v/>
      </c>
      <c r="V1844">
        <f>IF($N1844="","",Sync!$L1844)</f>
        <v/>
      </c>
      <c r="W1844">
        <f>IF($N1844="","",Sync!$P1844)</f>
        <v/>
      </c>
    </row>
    <row r="1845">
      <c r="N1845">
        <f>IF(OR(Sync!$M1845="",$Q1845="",$Q1845="نامعتبر"),"",Sync!$M1845)</f>
        <v/>
      </c>
      <c r="O1845">
        <f>IF($N1845="","",$Q1845)</f>
        <v/>
      </c>
      <c r="P1845">
        <f>IF($N1845="","",LEFT($Q1845,4)&amp;MID($Q1845,6,2)&amp;RIGHT($Q1845,2)&amp;IF(Sync!$K1845="","0000",IF(AND(ISNUMBER(Sync!$K1845),Sync!$K1845&gt;=0,Sync!$K1845&lt;1),RIGHT("00"&amp;HOUR(Sync!$K1845),2)&amp;RIGHT("00"&amp;MINUTE(Sync!$K1845),2),IFERROR(RIGHT("00"&amp;VALUE(LEFT(Sync!$K1845,FIND(":",Sync!$K1845)-1)),2)&amp;RIGHT("00"&amp;VALUE(MID(Sync!$K1845,FIND(":",Sync!$K1845)+1,2)),2),"0000")))&amp;"|"&amp;"2"&amp;RIGHT("00000"&amp;1840,5))</f>
        <v/>
      </c>
      <c r="Q1845">
        <f>IF(Sync!$J1845="","",IF(ISNUMBER(Sync!$J1845),IF(AND(Sync!$J1845&gt;=10000101,Sync!$J1845&lt;=99991231),INT(Sync!$J1845/10000)&amp;"/"&amp;RIGHT("00"&amp;INT(MOD(Sync!$J1845,10000)/100),2)&amp;"/"&amp;RIGHT("00"&amp;MOD(Sync!$J1845,100),2),"نامعتبر"),IF(LEN(Sync!$J1845)=10,Sync!$J1845,"نامعتبر")))</f>
        <v/>
      </c>
      <c r="R1845">
        <f>IF($P1845="","",COUNTIFS($N$6:$N$2005,$N1845,$P$6:$P$2005,"&lt;"&amp;$P1845)+COUNTIFS($A$6:$A$1005,$N1845,$B$6:$B$1005,"&lt;"&amp;$P1845)+1)</f>
        <v/>
      </c>
      <c r="S1845">
        <f>IF($N1845="","",$N1845&amp;"|"&amp;RIGHT("000000"&amp;$R1845,6))</f>
        <v/>
      </c>
      <c r="T1845">
        <f>IF($N1845="","",IF(Sync!$N1845="",0,Sync!$N1845))</f>
        <v/>
      </c>
      <c r="U1845">
        <f>IF($N1845="","",IF(Sync!$O1845="",0,Sync!$O1845))</f>
        <v/>
      </c>
      <c r="V1845">
        <f>IF($N1845="","",Sync!$L1845)</f>
        <v/>
      </c>
      <c r="W1845">
        <f>IF($N1845="","",Sync!$P1845)</f>
        <v/>
      </c>
    </row>
    <row r="1846">
      <c r="N1846">
        <f>IF(OR(Sync!$M1846="",$Q1846="",$Q1846="نامعتبر"),"",Sync!$M1846)</f>
        <v/>
      </c>
      <c r="O1846">
        <f>IF($N1846="","",$Q1846)</f>
        <v/>
      </c>
      <c r="P1846">
        <f>IF($N1846="","",LEFT($Q1846,4)&amp;MID($Q1846,6,2)&amp;RIGHT($Q1846,2)&amp;IF(Sync!$K1846="","0000",IF(AND(ISNUMBER(Sync!$K1846),Sync!$K1846&gt;=0,Sync!$K1846&lt;1),RIGHT("00"&amp;HOUR(Sync!$K1846),2)&amp;RIGHT("00"&amp;MINUTE(Sync!$K1846),2),IFERROR(RIGHT("00"&amp;VALUE(LEFT(Sync!$K1846,FIND(":",Sync!$K1846)-1)),2)&amp;RIGHT("00"&amp;VALUE(MID(Sync!$K1846,FIND(":",Sync!$K1846)+1,2)),2),"0000")))&amp;"|"&amp;"2"&amp;RIGHT("00000"&amp;1841,5))</f>
        <v/>
      </c>
      <c r="Q1846">
        <f>IF(Sync!$J1846="","",IF(ISNUMBER(Sync!$J1846),IF(AND(Sync!$J1846&gt;=10000101,Sync!$J1846&lt;=99991231),INT(Sync!$J1846/10000)&amp;"/"&amp;RIGHT("00"&amp;INT(MOD(Sync!$J1846,10000)/100),2)&amp;"/"&amp;RIGHT("00"&amp;MOD(Sync!$J1846,100),2),"نامعتبر"),IF(LEN(Sync!$J1846)=10,Sync!$J1846,"نامعتبر")))</f>
        <v/>
      </c>
      <c r="R1846">
        <f>IF($P1846="","",COUNTIFS($N$6:$N$2005,$N1846,$P$6:$P$2005,"&lt;"&amp;$P1846)+COUNTIFS($A$6:$A$1005,$N1846,$B$6:$B$1005,"&lt;"&amp;$P1846)+1)</f>
        <v/>
      </c>
      <c r="S1846">
        <f>IF($N1846="","",$N1846&amp;"|"&amp;RIGHT("000000"&amp;$R1846,6))</f>
        <v/>
      </c>
      <c r="T1846">
        <f>IF($N1846="","",IF(Sync!$N1846="",0,Sync!$N1846))</f>
        <v/>
      </c>
      <c r="U1846">
        <f>IF($N1846="","",IF(Sync!$O1846="",0,Sync!$O1846))</f>
        <v/>
      </c>
      <c r="V1846">
        <f>IF($N1846="","",Sync!$L1846)</f>
        <v/>
      </c>
      <c r="W1846">
        <f>IF($N1846="","",Sync!$P1846)</f>
        <v/>
      </c>
    </row>
    <row r="1847">
      <c r="N1847">
        <f>IF(OR(Sync!$M1847="",$Q1847="",$Q1847="نامعتبر"),"",Sync!$M1847)</f>
        <v/>
      </c>
      <c r="O1847">
        <f>IF($N1847="","",$Q1847)</f>
        <v/>
      </c>
      <c r="P1847">
        <f>IF($N1847="","",LEFT($Q1847,4)&amp;MID($Q1847,6,2)&amp;RIGHT($Q1847,2)&amp;IF(Sync!$K1847="","0000",IF(AND(ISNUMBER(Sync!$K1847),Sync!$K1847&gt;=0,Sync!$K1847&lt;1),RIGHT("00"&amp;HOUR(Sync!$K1847),2)&amp;RIGHT("00"&amp;MINUTE(Sync!$K1847),2),IFERROR(RIGHT("00"&amp;VALUE(LEFT(Sync!$K1847,FIND(":",Sync!$K1847)-1)),2)&amp;RIGHT("00"&amp;VALUE(MID(Sync!$K1847,FIND(":",Sync!$K1847)+1,2)),2),"0000")))&amp;"|"&amp;"2"&amp;RIGHT("00000"&amp;1842,5))</f>
        <v/>
      </c>
      <c r="Q1847">
        <f>IF(Sync!$J1847="","",IF(ISNUMBER(Sync!$J1847),IF(AND(Sync!$J1847&gt;=10000101,Sync!$J1847&lt;=99991231),INT(Sync!$J1847/10000)&amp;"/"&amp;RIGHT("00"&amp;INT(MOD(Sync!$J1847,10000)/100),2)&amp;"/"&amp;RIGHT("00"&amp;MOD(Sync!$J1847,100),2),"نامعتبر"),IF(LEN(Sync!$J1847)=10,Sync!$J1847,"نامعتبر")))</f>
        <v/>
      </c>
      <c r="R1847">
        <f>IF($P1847="","",COUNTIFS($N$6:$N$2005,$N1847,$P$6:$P$2005,"&lt;"&amp;$P1847)+COUNTIFS($A$6:$A$1005,$N1847,$B$6:$B$1005,"&lt;"&amp;$P1847)+1)</f>
        <v/>
      </c>
      <c r="S1847">
        <f>IF($N1847="","",$N1847&amp;"|"&amp;RIGHT("000000"&amp;$R1847,6))</f>
        <v/>
      </c>
      <c r="T1847">
        <f>IF($N1847="","",IF(Sync!$N1847="",0,Sync!$N1847))</f>
        <v/>
      </c>
      <c r="U1847">
        <f>IF($N1847="","",IF(Sync!$O1847="",0,Sync!$O1847))</f>
        <v/>
      </c>
      <c r="V1847">
        <f>IF($N1847="","",Sync!$L1847)</f>
        <v/>
      </c>
      <c r="W1847">
        <f>IF($N1847="","",Sync!$P1847)</f>
        <v/>
      </c>
    </row>
    <row r="1848">
      <c r="N1848">
        <f>IF(OR(Sync!$M1848="",$Q1848="",$Q1848="نامعتبر"),"",Sync!$M1848)</f>
        <v/>
      </c>
      <c r="O1848">
        <f>IF($N1848="","",$Q1848)</f>
        <v/>
      </c>
      <c r="P1848">
        <f>IF($N1848="","",LEFT($Q1848,4)&amp;MID($Q1848,6,2)&amp;RIGHT($Q1848,2)&amp;IF(Sync!$K1848="","0000",IF(AND(ISNUMBER(Sync!$K1848),Sync!$K1848&gt;=0,Sync!$K1848&lt;1),RIGHT("00"&amp;HOUR(Sync!$K1848),2)&amp;RIGHT("00"&amp;MINUTE(Sync!$K1848),2),IFERROR(RIGHT("00"&amp;VALUE(LEFT(Sync!$K1848,FIND(":",Sync!$K1848)-1)),2)&amp;RIGHT("00"&amp;VALUE(MID(Sync!$K1848,FIND(":",Sync!$K1848)+1,2)),2),"0000")))&amp;"|"&amp;"2"&amp;RIGHT("00000"&amp;1843,5))</f>
        <v/>
      </c>
      <c r="Q1848">
        <f>IF(Sync!$J1848="","",IF(ISNUMBER(Sync!$J1848),IF(AND(Sync!$J1848&gt;=10000101,Sync!$J1848&lt;=99991231),INT(Sync!$J1848/10000)&amp;"/"&amp;RIGHT("00"&amp;INT(MOD(Sync!$J1848,10000)/100),2)&amp;"/"&amp;RIGHT("00"&amp;MOD(Sync!$J1848,100),2),"نامعتبر"),IF(LEN(Sync!$J1848)=10,Sync!$J1848,"نامعتبر")))</f>
        <v/>
      </c>
      <c r="R1848">
        <f>IF($P1848="","",COUNTIFS($N$6:$N$2005,$N1848,$P$6:$P$2005,"&lt;"&amp;$P1848)+COUNTIFS($A$6:$A$1005,$N1848,$B$6:$B$1005,"&lt;"&amp;$P1848)+1)</f>
        <v/>
      </c>
      <c r="S1848">
        <f>IF($N1848="","",$N1848&amp;"|"&amp;RIGHT("000000"&amp;$R1848,6))</f>
        <v/>
      </c>
      <c r="T1848">
        <f>IF($N1848="","",IF(Sync!$N1848="",0,Sync!$N1848))</f>
        <v/>
      </c>
      <c r="U1848">
        <f>IF($N1848="","",IF(Sync!$O1848="",0,Sync!$O1848))</f>
        <v/>
      </c>
      <c r="V1848">
        <f>IF($N1848="","",Sync!$L1848)</f>
        <v/>
      </c>
      <c r="W1848">
        <f>IF($N1848="","",Sync!$P1848)</f>
        <v/>
      </c>
    </row>
    <row r="1849">
      <c r="N1849">
        <f>IF(OR(Sync!$M1849="",$Q1849="",$Q1849="نامعتبر"),"",Sync!$M1849)</f>
        <v/>
      </c>
      <c r="O1849">
        <f>IF($N1849="","",$Q1849)</f>
        <v/>
      </c>
      <c r="P1849">
        <f>IF($N1849="","",LEFT($Q1849,4)&amp;MID($Q1849,6,2)&amp;RIGHT($Q1849,2)&amp;IF(Sync!$K1849="","0000",IF(AND(ISNUMBER(Sync!$K1849),Sync!$K1849&gt;=0,Sync!$K1849&lt;1),RIGHT("00"&amp;HOUR(Sync!$K1849),2)&amp;RIGHT("00"&amp;MINUTE(Sync!$K1849),2),IFERROR(RIGHT("00"&amp;VALUE(LEFT(Sync!$K1849,FIND(":",Sync!$K1849)-1)),2)&amp;RIGHT("00"&amp;VALUE(MID(Sync!$K1849,FIND(":",Sync!$K1849)+1,2)),2),"0000")))&amp;"|"&amp;"2"&amp;RIGHT("00000"&amp;1844,5))</f>
        <v/>
      </c>
      <c r="Q1849">
        <f>IF(Sync!$J1849="","",IF(ISNUMBER(Sync!$J1849),IF(AND(Sync!$J1849&gt;=10000101,Sync!$J1849&lt;=99991231),INT(Sync!$J1849/10000)&amp;"/"&amp;RIGHT("00"&amp;INT(MOD(Sync!$J1849,10000)/100),2)&amp;"/"&amp;RIGHT("00"&amp;MOD(Sync!$J1849,100),2),"نامعتبر"),IF(LEN(Sync!$J1849)=10,Sync!$J1849,"نامعتبر")))</f>
        <v/>
      </c>
      <c r="R1849">
        <f>IF($P1849="","",COUNTIFS($N$6:$N$2005,$N1849,$P$6:$P$2005,"&lt;"&amp;$P1849)+COUNTIFS($A$6:$A$1005,$N1849,$B$6:$B$1005,"&lt;"&amp;$P1849)+1)</f>
        <v/>
      </c>
      <c r="S1849">
        <f>IF($N1849="","",$N1849&amp;"|"&amp;RIGHT("000000"&amp;$R1849,6))</f>
        <v/>
      </c>
      <c r="T1849">
        <f>IF($N1849="","",IF(Sync!$N1849="",0,Sync!$N1849))</f>
        <v/>
      </c>
      <c r="U1849">
        <f>IF($N1849="","",IF(Sync!$O1849="",0,Sync!$O1849))</f>
        <v/>
      </c>
      <c r="V1849">
        <f>IF($N1849="","",Sync!$L1849)</f>
        <v/>
      </c>
      <c r="W1849">
        <f>IF($N1849="","",Sync!$P1849)</f>
        <v/>
      </c>
    </row>
    <row r="1850">
      <c r="N1850">
        <f>IF(OR(Sync!$M1850="",$Q1850="",$Q1850="نامعتبر"),"",Sync!$M1850)</f>
        <v/>
      </c>
      <c r="O1850">
        <f>IF($N1850="","",$Q1850)</f>
        <v/>
      </c>
      <c r="P1850">
        <f>IF($N1850="","",LEFT($Q1850,4)&amp;MID($Q1850,6,2)&amp;RIGHT($Q1850,2)&amp;IF(Sync!$K1850="","0000",IF(AND(ISNUMBER(Sync!$K1850),Sync!$K1850&gt;=0,Sync!$K1850&lt;1),RIGHT("00"&amp;HOUR(Sync!$K1850),2)&amp;RIGHT("00"&amp;MINUTE(Sync!$K1850),2),IFERROR(RIGHT("00"&amp;VALUE(LEFT(Sync!$K1850,FIND(":",Sync!$K1850)-1)),2)&amp;RIGHT("00"&amp;VALUE(MID(Sync!$K1850,FIND(":",Sync!$K1850)+1,2)),2),"0000")))&amp;"|"&amp;"2"&amp;RIGHT("00000"&amp;1845,5))</f>
        <v/>
      </c>
      <c r="Q1850">
        <f>IF(Sync!$J1850="","",IF(ISNUMBER(Sync!$J1850),IF(AND(Sync!$J1850&gt;=10000101,Sync!$J1850&lt;=99991231),INT(Sync!$J1850/10000)&amp;"/"&amp;RIGHT("00"&amp;INT(MOD(Sync!$J1850,10000)/100),2)&amp;"/"&amp;RIGHT("00"&amp;MOD(Sync!$J1850,100),2),"نامعتبر"),IF(LEN(Sync!$J1850)=10,Sync!$J1850,"نامعتبر")))</f>
        <v/>
      </c>
      <c r="R1850">
        <f>IF($P1850="","",COUNTIFS($N$6:$N$2005,$N1850,$P$6:$P$2005,"&lt;"&amp;$P1850)+COUNTIFS($A$6:$A$1005,$N1850,$B$6:$B$1005,"&lt;"&amp;$P1850)+1)</f>
        <v/>
      </c>
      <c r="S1850">
        <f>IF($N1850="","",$N1850&amp;"|"&amp;RIGHT("000000"&amp;$R1850,6))</f>
        <v/>
      </c>
      <c r="T1850">
        <f>IF($N1850="","",IF(Sync!$N1850="",0,Sync!$N1850))</f>
        <v/>
      </c>
      <c r="U1850">
        <f>IF($N1850="","",IF(Sync!$O1850="",0,Sync!$O1850))</f>
        <v/>
      </c>
      <c r="V1850">
        <f>IF($N1850="","",Sync!$L1850)</f>
        <v/>
      </c>
      <c r="W1850">
        <f>IF($N1850="","",Sync!$P1850)</f>
        <v/>
      </c>
    </row>
    <row r="1851">
      <c r="N1851">
        <f>IF(OR(Sync!$M1851="",$Q1851="",$Q1851="نامعتبر"),"",Sync!$M1851)</f>
        <v/>
      </c>
      <c r="O1851">
        <f>IF($N1851="","",$Q1851)</f>
        <v/>
      </c>
      <c r="P1851">
        <f>IF($N1851="","",LEFT($Q1851,4)&amp;MID($Q1851,6,2)&amp;RIGHT($Q1851,2)&amp;IF(Sync!$K1851="","0000",IF(AND(ISNUMBER(Sync!$K1851),Sync!$K1851&gt;=0,Sync!$K1851&lt;1),RIGHT("00"&amp;HOUR(Sync!$K1851),2)&amp;RIGHT("00"&amp;MINUTE(Sync!$K1851),2),IFERROR(RIGHT("00"&amp;VALUE(LEFT(Sync!$K1851,FIND(":",Sync!$K1851)-1)),2)&amp;RIGHT("00"&amp;VALUE(MID(Sync!$K1851,FIND(":",Sync!$K1851)+1,2)),2),"0000")))&amp;"|"&amp;"2"&amp;RIGHT("00000"&amp;1846,5))</f>
        <v/>
      </c>
      <c r="Q1851">
        <f>IF(Sync!$J1851="","",IF(ISNUMBER(Sync!$J1851),IF(AND(Sync!$J1851&gt;=10000101,Sync!$J1851&lt;=99991231),INT(Sync!$J1851/10000)&amp;"/"&amp;RIGHT("00"&amp;INT(MOD(Sync!$J1851,10000)/100),2)&amp;"/"&amp;RIGHT("00"&amp;MOD(Sync!$J1851,100),2),"نامعتبر"),IF(LEN(Sync!$J1851)=10,Sync!$J1851,"نامعتبر")))</f>
        <v/>
      </c>
      <c r="R1851">
        <f>IF($P1851="","",COUNTIFS($N$6:$N$2005,$N1851,$P$6:$P$2005,"&lt;"&amp;$P1851)+COUNTIFS($A$6:$A$1005,$N1851,$B$6:$B$1005,"&lt;"&amp;$P1851)+1)</f>
        <v/>
      </c>
      <c r="S1851">
        <f>IF($N1851="","",$N1851&amp;"|"&amp;RIGHT("000000"&amp;$R1851,6))</f>
        <v/>
      </c>
      <c r="T1851">
        <f>IF($N1851="","",IF(Sync!$N1851="",0,Sync!$N1851))</f>
        <v/>
      </c>
      <c r="U1851">
        <f>IF($N1851="","",IF(Sync!$O1851="",0,Sync!$O1851))</f>
        <v/>
      </c>
      <c r="V1851">
        <f>IF($N1851="","",Sync!$L1851)</f>
        <v/>
      </c>
      <c r="W1851">
        <f>IF($N1851="","",Sync!$P1851)</f>
        <v/>
      </c>
    </row>
    <row r="1852">
      <c r="N1852">
        <f>IF(OR(Sync!$M1852="",$Q1852="",$Q1852="نامعتبر"),"",Sync!$M1852)</f>
        <v/>
      </c>
      <c r="O1852">
        <f>IF($N1852="","",$Q1852)</f>
        <v/>
      </c>
      <c r="P1852">
        <f>IF($N1852="","",LEFT($Q1852,4)&amp;MID($Q1852,6,2)&amp;RIGHT($Q1852,2)&amp;IF(Sync!$K1852="","0000",IF(AND(ISNUMBER(Sync!$K1852),Sync!$K1852&gt;=0,Sync!$K1852&lt;1),RIGHT("00"&amp;HOUR(Sync!$K1852),2)&amp;RIGHT("00"&amp;MINUTE(Sync!$K1852),2),IFERROR(RIGHT("00"&amp;VALUE(LEFT(Sync!$K1852,FIND(":",Sync!$K1852)-1)),2)&amp;RIGHT("00"&amp;VALUE(MID(Sync!$K1852,FIND(":",Sync!$K1852)+1,2)),2),"0000")))&amp;"|"&amp;"2"&amp;RIGHT("00000"&amp;1847,5))</f>
        <v/>
      </c>
      <c r="Q1852">
        <f>IF(Sync!$J1852="","",IF(ISNUMBER(Sync!$J1852),IF(AND(Sync!$J1852&gt;=10000101,Sync!$J1852&lt;=99991231),INT(Sync!$J1852/10000)&amp;"/"&amp;RIGHT("00"&amp;INT(MOD(Sync!$J1852,10000)/100),2)&amp;"/"&amp;RIGHT("00"&amp;MOD(Sync!$J1852,100),2),"نامعتبر"),IF(LEN(Sync!$J1852)=10,Sync!$J1852,"نامعتبر")))</f>
        <v/>
      </c>
      <c r="R1852">
        <f>IF($P1852="","",COUNTIFS($N$6:$N$2005,$N1852,$P$6:$P$2005,"&lt;"&amp;$P1852)+COUNTIFS($A$6:$A$1005,$N1852,$B$6:$B$1005,"&lt;"&amp;$P1852)+1)</f>
        <v/>
      </c>
      <c r="S1852">
        <f>IF($N1852="","",$N1852&amp;"|"&amp;RIGHT("000000"&amp;$R1852,6))</f>
        <v/>
      </c>
      <c r="T1852">
        <f>IF($N1852="","",IF(Sync!$N1852="",0,Sync!$N1852))</f>
        <v/>
      </c>
      <c r="U1852">
        <f>IF($N1852="","",IF(Sync!$O1852="",0,Sync!$O1852))</f>
        <v/>
      </c>
      <c r="V1852">
        <f>IF($N1852="","",Sync!$L1852)</f>
        <v/>
      </c>
      <c r="W1852">
        <f>IF($N1852="","",Sync!$P1852)</f>
        <v/>
      </c>
    </row>
    <row r="1853">
      <c r="N1853">
        <f>IF(OR(Sync!$M1853="",$Q1853="",$Q1853="نامعتبر"),"",Sync!$M1853)</f>
        <v/>
      </c>
      <c r="O1853">
        <f>IF($N1853="","",$Q1853)</f>
        <v/>
      </c>
      <c r="P1853">
        <f>IF($N1853="","",LEFT($Q1853,4)&amp;MID($Q1853,6,2)&amp;RIGHT($Q1853,2)&amp;IF(Sync!$K1853="","0000",IF(AND(ISNUMBER(Sync!$K1853),Sync!$K1853&gt;=0,Sync!$K1853&lt;1),RIGHT("00"&amp;HOUR(Sync!$K1853),2)&amp;RIGHT("00"&amp;MINUTE(Sync!$K1853),2),IFERROR(RIGHT("00"&amp;VALUE(LEFT(Sync!$K1853,FIND(":",Sync!$K1853)-1)),2)&amp;RIGHT("00"&amp;VALUE(MID(Sync!$K1853,FIND(":",Sync!$K1853)+1,2)),2),"0000")))&amp;"|"&amp;"2"&amp;RIGHT("00000"&amp;1848,5))</f>
        <v/>
      </c>
      <c r="Q1853">
        <f>IF(Sync!$J1853="","",IF(ISNUMBER(Sync!$J1853),IF(AND(Sync!$J1853&gt;=10000101,Sync!$J1853&lt;=99991231),INT(Sync!$J1853/10000)&amp;"/"&amp;RIGHT("00"&amp;INT(MOD(Sync!$J1853,10000)/100),2)&amp;"/"&amp;RIGHT("00"&amp;MOD(Sync!$J1853,100),2),"نامعتبر"),IF(LEN(Sync!$J1853)=10,Sync!$J1853,"نامعتبر")))</f>
        <v/>
      </c>
      <c r="R1853">
        <f>IF($P1853="","",COUNTIFS($N$6:$N$2005,$N1853,$P$6:$P$2005,"&lt;"&amp;$P1853)+COUNTIFS($A$6:$A$1005,$N1853,$B$6:$B$1005,"&lt;"&amp;$P1853)+1)</f>
        <v/>
      </c>
      <c r="S1853">
        <f>IF($N1853="","",$N1853&amp;"|"&amp;RIGHT("000000"&amp;$R1853,6))</f>
        <v/>
      </c>
      <c r="T1853">
        <f>IF($N1853="","",IF(Sync!$N1853="",0,Sync!$N1853))</f>
        <v/>
      </c>
      <c r="U1853">
        <f>IF($N1853="","",IF(Sync!$O1853="",0,Sync!$O1853))</f>
        <v/>
      </c>
      <c r="V1853">
        <f>IF($N1853="","",Sync!$L1853)</f>
        <v/>
      </c>
      <c r="W1853">
        <f>IF($N1853="","",Sync!$P1853)</f>
        <v/>
      </c>
    </row>
    <row r="1854">
      <c r="N1854">
        <f>IF(OR(Sync!$M1854="",$Q1854="",$Q1854="نامعتبر"),"",Sync!$M1854)</f>
        <v/>
      </c>
      <c r="O1854">
        <f>IF($N1854="","",$Q1854)</f>
        <v/>
      </c>
      <c r="P1854">
        <f>IF($N1854="","",LEFT($Q1854,4)&amp;MID($Q1854,6,2)&amp;RIGHT($Q1854,2)&amp;IF(Sync!$K1854="","0000",IF(AND(ISNUMBER(Sync!$K1854),Sync!$K1854&gt;=0,Sync!$K1854&lt;1),RIGHT("00"&amp;HOUR(Sync!$K1854),2)&amp;RIGHT("00"&amp;MINUTE(Sync!$K1854),2),IFERROR(RIGHT("00"&amp;VALUE(LEFT(Sync!$K1854,FIND(":",Sync!$K1854)-1)),2)&amp;RIGHT("00"&amp;VALUE(MID(Sync!$K1854,FIND(":",Sync!$K1854)+1,2)),2),"0000")))&amp;"|"&amp;"2"&amp;RIGHT("00000"&amp;1849,5))</f>
        <v/>
      </c>
      <c r="Q1854">
        <f>IF(Sync!$J1854="","",IF(ISNUMBER(Sync!$J1854),IF(AND(Sync!$J1854&gt;=10000101,Sync!$J1854&lt;=99991231),INT(Sync!$J1854/10000)&amp;"/"&amp;RIGHT("00"&amp;INT(MOD(Sync!$J1854,10000)/100),2)&amp;"/"&amp;RIGHT("00"&amp;MOD(Sync!$J1854,100),2),"نامعتبر"),IF(LEN(Sync!$J1854)=10,Sync!$J1854,"نامعتبر")))</f>
        <v/>
      </c>
      <c r="R1854">
        <f>IF($P1854="","",COUNTIFS($N$6:$N$2005,$N1854,$P$6:$P$2005,"&lt;"&amp;$P1854)+COUNTIFS($A$6:$A$1005,$N1854,$B$6:$B$1005,"&lt;"&amp;$P1854)+1)</f>
        <v/>
      </c>
      <c r="S1854">
        <f>IF($N1854="","",$N1854&amp;"|"&amp;RIGHT("000000"&amp;$R1854,6))</f>
        <v/>
      </c>
      <c r="T1854">
        <f>IF($N1854="","",IF(Sync!$N1854="",0,Sync!$N1854))</f>
        <v/>
      </c>
      <c r="U1854">
        <f>IF($N1854="","",IF(Sync!$O1854="",0,Sync!$O1854))</f>
        <v/>
      </c>
      <c r="V1854">
        <f>IF($N1854="","",Sync!$L1854)</f>
        <v/>
      </c>
      <c r="W1854">
        <f>IF($N1854="","",Sync!$P1854)</f>
        <v/>
      </c>
    </row>
    <row r="1855">
      <c r="N1855">
        <f>IF(OR(Sync!$M1855="",$Q1855="",$Q1855="نامعتبر"),"",Sync!$M1855)</f>
        <v/>
      </c>
      <c r="O1855">
        <f>IF($N1855="","",$Q1855)</f>
        <v/>
      </c>
      <c r="P1855">
        <f>IF($N1855="","",LEFT($Q1855,4)&amp;MID($Q1855,6,2)&amp;RIGHT($Q1855,2)&amp;IF(Sync!$K1855="","0000",IF(AND(ISNUMBER(Sync!$K1855),Sync!$K1855&gt;=0,Sync!$K1855&lt;1),RIGHT("00"&amp;HOUR(Sync!$K1855),2)&amp;RIGHT("00"&amp;MINUTE(Sync!$K1855),2),IFERROR(RIGHT("00"&amp;VALUE(LEFT(Sync!$K1855,FIND(":",Sync!$K1855)-1)),2)&amp;RIGHT("00"&amp;VALUE(MID(Sync!$K1855,FIND(":",Sync!$K1855)+1,2)),2),"0000")))&amp;"|"&amp;"2"&amp;RIGHT("00000"&amp;1850,5))</f>
        <v/>
      </c>
      <c r="Q1855">
        <f>IF(Sync!$J1855="","",IF(ISNUMBER(Sync!$J1855),IF(AND(Sync!$J1855&gt;=10000101,Sync!$J1855&lt;=99991231),INT(Sync!$J1855/10000)&amp;"/"&amp;RIGHT("00"&amp;INT(MOD(Sync!$J1855,10000)/100),2)&amp;"/"&amp;RIGHT("00"&amp;MOD(Sync!$J1855,100),2),"نامعتبر"),IF(LEN(Sync!$J1855)=10,Sync!$J1855,"نامعتبر")))</f>
        <v/>
      </c>
      <c r="R1855">
        <f>IF($P1855="","",COUNTIFS($N$6:$N$2005,$N1855,$P$6:$P$2005,"&lt;"&amp;$P1855)+COUNTIFS($A$6:$A$1005,$N1855,$B$6:$B$1005,"&lt;"&amp;$P1855)+1)</f>
        <v/>
      </c>
      <c r="S1855">
        <f>IF($N1855="","",$N1855&amp;"|"&amp;RIGHT("000000"&amp;$R1855,6))</f>
        <v/>
      </c>
      <c r="T1855">
        <f>IF($N1855="","",IF(Sync!$N1855="",0,Sync!$N1855))</f>
        <v/>
      </c>
      <c r="U1855">
        <f>IF($N1855="","",IF(Sync!$O1855="",0,Sync!$O1855))</f>
        <v/>
      </c>
      <c r="V1855">
        <f>IF($N1855="","",Sync!$L1855)</f>
        <v/>
      </c>
      <c r="W1855">
        <f>IF($N1855="","",Sync!$P1855)</f>
        <v/>
      </c>
    </row>
    <row r="1856">
      <c r="N1856">
        <f>IF(OR(Sync!$M1856="",$Q1856="",$Q1856="نامعتبر"),"",Sync!$M1856)</f>
        <v/>
      </c>
      <c r="O1856">
        <f>IF($N1856="","",$Q1856)</f>
        <v/>
      </c>
      <c r="P1856">
        <f>IF($N1856="","",LEFT($Q1856,4)&amp;MID($Q1856,6,2)&amp;RIGHT($Q1856,2)&amp;IF(Sync!$K1856="","0000",IF(AND(ISNUMBER(Sync!$K1856),Sync!$K1856&gt;=0,Sync!$K1856&lt;1),RIGHT("00"&amp;HOUR(Sync!$K1856),2)&amp;RIGHT("00"&amp;MINUTE(Sync!$K1856),2),IFERROR(RIGHT("00"&amp;VALUE(LEFT(Sync!$K1856,FIND(":",Sync!$K1856)-1)),2)&amp;RIGHT("00"&amp;VALUE(MID(Sync!$K1856,FIND(":",Sync!$K1856)+1,2)),2),"0000")))&amp;"|"&amp;"2"&amp;RIGHT("00000"&amp;1851,5))</f>
        <v/>
      </c>
      <c r="Q1856">
        <f>IF(Sync!$J1856="","",IF(ISNUMBER(Sync!$J1856),IF(AND(Sync!$J1856&gt;=10000101,Sync!$J1856&lt;=99991231),INT(Sync!$J1856/10000)&amp;"/"&amp;RIGHT("00"&amp;INT(MOD(Sync!$J1856,10000)/100),2)&amp;"/"&amp;RIGHT("00"&amp;MOD(Sync!$J1856,100),2),"نامعتبر"),IF(LEN(Sync!$J1856)=10,Sync!$J1856,"نامعتبر")))</f>
        <v/>
      </c>
      <c r="R1856">
        <f>IF($P1856="","",COUNTIFS($N$6:$N$2005,$N1856,$P$6:$P$2005,"&lt;"&amp;$P1856)+COUNTIFS($A$6:$A$1005,$N1856,$B$6:$B$1005,"&lt;"&amp;$P1856)+1)</f>
        <v/>
      </c>
      <c r="S1856">
        <f>IF($N1856="","",$N1856&amp;"|"&amp;RIGHT("000000"&amp;$R1856,6))</f>
        <v/>
      </c>
      <c r="T1856">
        <f>IF($N1856="","",IF(Sync!$N1856="",0,Sync!$N1856))</f>
        <v/>
      </c>
      <c r="U1856">
        <f>IF($N1856="","",IF(Sync!$O1856="",0,Sync!$O1856))</f>
        <v/>
      </c>
      <c r="V1856">
        <f>IF($N1856="","",Sync!$L1856)</f>
        <v/>
      </c>
      <c r="W1856">
        <f>IF($N1856="","",Sync!$P1856)</f>
        <v/>
      </c>
    </row>
    <row r="1857">
      <c r="N1857">
        <f>IF(OR(Sync!$M1857="",$Q1857="",$Q1857="نامعتبر"),"",Sync!$M1857)</f>
        <v/>
      </c>
      <c r="O1857">
        <f>IF($N1857="","",$Q1857)</f>
        <v/>
      </c>
      <c r="P1857">
        <f>IF($N1857="","",LEFT($Q1857,4)&amp;MID($Q1857,6,2)&amp;RIGHT($Q1857,2)&amp;IF(Sync!$K1857="","0000",IF(AND(ISNUMBER(Sync!$K1857),Sync!$K1857&gt;=0,Sync!$K1857&lt;1),RIGHT("00"&amp;HOUR(Sync!$K1857),2)&amp;RIGHT("00"&amp;MINUTE(Sync!$K1857),2),IFERROR(RIGHT("00"&amp;VALUE(LEFT(Sync!$K1857,FIND(":",Sync!$K1857)-1)),2)&amp;RIGHT("00"&amp;VALUE(MID(Sync!$K1857,FIND(":",Sync!$K1857)+1,2)),2),"0000")))&amp;"|"&amp;"2"&amp;RIGHT("00000"&amp;1852,5))</f>
        <v/>
      </c>
      <c r="Q1857">
        <f>IF(Sync!$J1857="","",IF(ISNUMBER(Sync!$J1857),IF(AND(Sync!$J1857&gt;=10000101,Sync!$J1857&lt;=99991231),INT(Sync!$J1857/10000)&amp;"/"&amp;RIGHT("00"&amp;INT(MOD(Sync!$J1857,10000)/100),2)&amp;"/"&amp;RIGHT("00"&amp;MOD(Sync!$J1857,100),2),"نامعتبر"),IF(LEN(Sync!$J1857)=10,Sync!$J1857,"نامعتبر")))</f>
        <v/>
      </c>
      <c r="R1857">
        <f>IF($P1857="","",COUNTIFS($N$6:$N$2005,$N1857,$P$6:$P$2005,"&lt;"&amp;$P1857)+COUNTIFS($A$6:$A$1005,$N1857,$B$6:$B$1005,"&lt;"&amp;$P1857)+1)</f>
        <v/>
      </c>
      <c r="S1857">
        <f>IF($N1857="","",$N1857&amp;"|"&amp;RIGHT("000000"&amp;$R1857,6))</f>
        <v/>
      </c>
      <c r="T1857">
        <f>IF($N1857="","",IF(Sync!$N1857="",0,Sync!$N1857))</f>
        <v/>
      </c>
      <c r="U1857">
        <f>IF($N1857="","",IF(Sync!$O1857="",0,Sync!$O1857))</f>
        <v/>
      </c>
      <c r="V1857">
        <f>IF($N1857="","",Sync!$L1857)</f>
        <v/>
      </c>
      <c r="W1857">
        <f>IF($N1857="","",Sync!$P1857)</f>
        <v/>
      </c>
    </row>
    <row r="1858">
      <c r="N1858">
        <f>IF(OR(Sync!$M1858="",$Q1858="",$Q1858="نامعتبر"),"",Sync!$M1858)</f>
        <v/>
      </c>
      <c r="O1858">
        <f>IF($N1858="","",$Q1858)</f>
        <v/>
      </c>
      <c r="P1858">
        <f>IF($N1858="","",LEFT($Q1858,4)&amp;MID($Q1858,6,2)&amp;RIGHT($Q1858,2)&amp;IF(Sync!$K1858="","0000",IF(AND(ISNUMBER(Sync!$K1858),Sync!$K1858&gt;=0,Sync!$K1858&lt;1),RIGHT("00"&amp;HOUR(Sync!$K1858),2)&amp;RIGHT("00"&amp;MINUTE(Sync!$K1858),2),IFERROR(RIGHT("00"&amp;VALUE(LEFT(Sync!$K1858,FIND(":",Sync!$K1858)-1)),2)&amp;RIGHT("00"&amp;VALUE(MID(Sync!$K1858,FIND(":",Sync!$K1858)+1,2)),2),"0000")))&amp;"|"&amp;"2"&amp;RIGHT("00000"&amp;1853,5))</f>
        <v/>
      </c>
      <c r="Q1858">
        <f>IF(Sync!$J1858="","",IF(ISNUMBER(Sync!$J1858),IF(AND(Sync!$J1858&gt;=10000101,Sync!$J1858&lt;=99991231),INT(Sync!$J1858/10000)&amp;"/"&amp;RIGHT("00"&amp;INT(MOD(Sync!$J1858,10000)/100),2)&amp;"/"&amp;RIGHT("00"&amp;MOD(Sync!$J1858,100),2),"نامعتبر"),IF(LEN(Sync!$J1858)=10,Sync!$J1858,"نامعتبر")))</f>
        <v/>
      </c>
      <c r="R1858">
        <f>IF($P1858="","",COUNTIFS($N$6:$N$2005,$N1858,$P$6:$P$2005,"&lt;"&amp;$P1858)+COUNTIFS($A$6:$A$1005,$N1858,$B$6:$B$1005,"&lt;"&amp;$P1858)+1)</f>
        <v/>
      </c>
      <c r="S1858">
        <f>IF($N1858="","",$N1858&amp;"|"&amp;RIGHT("000000"&amp;$R1858,6))</f>
        <v/>
      </c>
      <c r="T1858">
        <f>IF($N1858="","",IF(Sync!$N1858="",0,Sync!$N1858))</f>
        <v/>
      </c>
      <c r="U1858">
        <f>IF($N1858="","",IF(Sync!$O1858="",0,Sync!$O1858))</f>
        <v/>
      </c>
      <c r="V1858">
        <f>IF($N1858="","",Sync!$L1858)</f>
        <v/>
      </c>
      <c r="W1858">
        <f>IF($N1858="","",Sync!$P1858)</f>
        <v/>
      </c>
    </row>
    <row r="1859">
      <c r="N1859">
        <f>IF(OR(Sync!$M1859="",$Q1859="",$Q1859="نامعتبر"),"",Sync!$M1859)</f>
        <v/>
      </c>
      <c r="O1859">
        <f>IF($N1859="","",$Q1859)</f>
        <v/>
      </c>
      <c r="P1859">
        <f>IF($N1859="","",LEFT($Q1859,4)&amp;MID($Q1859,6,2)&amp;RIGHT($Q1859,2)&amp;IF(Sync!$K1859="","0000",IF(AND(ISNUMBER(Sync!$K1859),Sync!$K1859&gt;=0,Sync!$K1859&lt;1),RIGHT("00"&amp;HOUR(Sync!$K1859),2)&amp;RIGHT("00"&amp;MINUTE(Sync!$K1859),2),IFERROR(RIGHT("00"&amp;VALUE(LEFT(Sync!$K1859,FIND(":",Sync!$K1859)-1)),2)&amp;RIGHT("00"&amp;VALUE(MID(Sync!$K1859,FIND(":",Sync!$K1859)+1,2)),2),"0000")))&amp;"|"&amp;"2"&amp;RIGHT("00000"&amp;1854,5))</f>
        <v/>
      </c>
      <c r="Q1859">
        <f>IF(Sync!$J1859="","",IF(ISNUMBER(Sync!$J1859),IF(AND(Sync!$J1859&gt;=10000101,Sync!$J1859&lt;=99991231),INT(Sync!$J1859/10000)&amp;"/"&amp;RIGHT("00"&amp;INT(MOD(Sync!$J1859,10000)/100),2)&amp;"/"&amp;RIGHT("00"&amp;MOD(Sync!$J1859,100),2),"نامعتبر"),IF(LEN(Sync!$J1859)=10,Sync!$J1859,"نامعتبر")))</f>
        <v/>
      </c>
      <c r="R1859">
        <f>IF($P1859="","",COUNTIFS($N$6:$N$2005,$N1859,$P$6:$P$2005,"&lt;"&amp;$P1859)+COUNTIFS($A$6:$A$1005,$N1859,$B$6:$B$1005,"&lt;"&amp;$P1859)+1)</f>
        <v/>
      </c>
      <c r="S1859">
        <f>IF($N1859="","",$N1859&amp;"|"&amp;RIGHT("000000"&amp;$R1859,6))</f>
        <v/>
      </c>
      <c r="T1859">
        <f>IF($N1859="","",IF(Sync!$N1859="",0,Sync!$N1859))</f>
        <v/>
      </c>
      <c r="U1859">
        <f>IF($N1859="","",IF(Sync!$O1859="",0,Sync!$O1859))</f>
        <v/>
      </c>
      <c r="V1859">
        <f>IF($N1859="","",Sync!$L1859)</f>
        <v/>
      </c>
      <c r="W1859">
        <f>IF($N1859="","",Sync!$P1859)</f>
        <v/>
      </c>
    </row>
    <row r="1860">
      <c r="N1860">
        <f>IF(OR(Sync!$M1860="",$Q1860="",$Q1860="نامعتبر"),"",Sync!$M1860)</f>
        <v/>
      </c>
      <c r="O1860">
        <f>IF($N1860="","",$Q1860)</f>
        <v/>
      </c>
      <c r="P1860">
        <f>IF($N1860="","",LEFT($Q1860,4)&amp;MID($Q1860,6,2)&amp;RIGHT($Q1860,2)&amp;IF(Sync!$K1860="","0000",IF(AND(ISNUMBER(Sync!$K1860),Sync!$K1860&gt;=0,Sync!$K1860&lt;1),RIGHT("00"&amp;HOUR(Sync!$K1860),2)&amp;RIGHT("00"&amp;MINUTE(Sync!$K1860),2),IFERROR(RIGHT("00"&amp;VALUE(LEFT(Sync!$K1860,FIND(":",Sync!$K1860)-1)),2)&amp;RIGHT("00"&amp;VALUE(MID(Sync!$K1860,FIND(":",Sync!$K1860)+1,2)),2),"0000")))&amp;"|"&amp;"2"&amp;RIGHT("00000"&amp;1855,5))</f>
        <v/>
      </c>
      <c r="Q1860">
        <f>IF(Sync!$J1860="","",IF(ISNUMBER(Sync!$J1860),IF(AND(Sync!$J1860&gt;=10000101,Sync!$J1860&lt;=99991231),INT(Sync!$J1860/10000)&amp;"/"&amp;RIGHT("00"&amp;INT(MOD(Sync!$J1860,10000)/100),2)&amp;"/"&amp;RIGHT("00"&amp;MOD(Sync!$J1860,100),2),"نامعتبر"),IF(LEN(Sync!$J1860)=10,Sync!$J1860,"نامعتبر")))</f>
        <v/>
      </c>
      <c r="R1860">
        <f>IF($P1860="","",COUNTIFS($N$6:$N$2005,$N1860,$P$6:$P$2005,"&lt;"&amp;$P1860)+COUNTIFS($A$6:$A$1005,$N1860,$B$6:$B$1005,"&lt;"&amp;$P1860)+1)</f>
        <v/>
      </c>
      <c r="S1860">
        <f>IF($N1860="","",$N1860&amp;"|"&amp;RIGHT("000000"&amp;$R1860,6))</f>
        <v/>
      </c>
      <c r="T1860">
        <f>IF($N1860="","",IF(Sync!$N1860="",0,Sync!$N1860))</f>
        <v/>
      </c>
      <c r="U1860">
        <f>IF($N1860="","",IF(Sync!$O1860="",0,Sync!$O1860))</f>
        <v/>
      </c>
      <c r="V1860">
        <f>IF($N1860="","",Sync!$L1860)</f>
        <v/>
      </c>
      <c r="W1860">
        <f>IF($N1860="","",Sync!$P1860)</f>
        <v/>
      </c>
    </row>
    <row r="1861">
      <c r="N1861">
        <f>IF(OR(Sync!$M1861="",$Q1861="",$Q1861="نامعتبر"),"",Sync!$M1861)</f>
        <v/>
      </c>
      <c r="O1861">
        <f>IF($N1861="","",$Q1861)</f>
        <v/>
      </c>
      <c r="P1861">
        <f>IF($N1861="","",LEFT($Q1861,4)&amp;MID($Q1861,6,2)&amp;RIGHT($Q1861,2)&amp;IF(Sync!$K1861="","0000",IF(AND(ISNUMBER(Sync!$K1861),Sync!$K1861&gt;=0,Sync!$K1861&lt;1),RIGHT("00"&amp;HOUR(Sync!$K1861),2)&amp;RIGHT("00"&amp;MINUTE(Sync!$K1861),2),IFERROR(RIGHT("00"&amp;VALUE(LEFT(Sync!$K1861,FIND(":",Sync!$K1861)-1)),2)&amp;RIGHT("00"&amp;VALUE(MID(Sync!$K1861,FIND(":",Sync!$K1861)+1,2)),2),"0000")))&amp;"|"&amp;"2"&amp;RIGHT("00000"&amp;1856,5))</f>
        <v/>
      </c>
      <c r="Q1861">
        <f>IF(Sync!$J1861="","",IF(ISNUMBER(Sync!$J1861),IF(AND(Sync!$J1861&gt;=10000101,Sync!$J1861&lt;=99991231),INT(Sync!$J1861/10000)&amp;"/"&amp;RIGHT("00"&amp;INT(MOD(Sync!$J1861,10000)/100),2)&amp;"/"&amp;RIGHT("00"&amp;MOD(Sync!$J1861,100),2),"نامعتبر"),IF(LEN(Sync!$J1861)=10,Sync!$J1861,"نامعتبر")))</f>
        <v/>
      </c>
      <c r="R1861">
        <f>IF($P1861="","",COUNTIFS($N$6:$N$2005,$N1861,$P$6:$P$2005,"&lt;"&amp;$P1861)+COUNTIFS($A$6:$A$1005,$N1861,$B$6:$B$1005,"&lt;"&amp;$P1861)+1)</f>
        <v/>
      </c>
      <c r="S1861">
        <f>IF($N1861="","",$N1861&amp;"|"&amp;RIGHT("000000"&amp;$R1861,6))</f>
        <v/>
      </c>
      <c r="T1861">
        <f>IF($N1861="","",IF(Sync!$N1861="",0,Sync!$N1861))</f>
        <v/>
      </c>
      <c r="U1861">
        <f>IF($N1861="","",IF(Sync!$O1861="",0,Sync!$O1861))</f>
        <v/>
      </c>
      <c r="V1861">
        <f>IF($N1861="","",Sync!$L1861)</f>
        <v/>
      </c>
      <c r="W1861">
        <f>IF($N1861="","",Sync!$P1861)</f>
        <v/>
      </c>
    </row>
    <row r="1862">
      <c r="N1862">
        <f>IF(OR(Sync!$M1862="",$Q1862="",$Q1862="نامعتبر"),"",Sync!$M1862)</f>
        <v/>
      </c>
      <c r="O1862">
        <f>IF($N1862="","",$Q1862)</f>
        <v/>
      </c>
      <c r="P1862">
        <f>IF($N1862="","",LEFT($Q1862,4)&amp;MID($Q1862,6,2)&amp;RIGHT($Q1862,2)&amp;IF(Sync!$K1862="","0000",IF(AND(ISNUMBER(Sync!$K1862),Sync!$K1862&gt;=0,Sync!$K1862&lt;1),RIGHT("00"&amp;HOUR(Sync!$K1862),2)&amp;RIGHT("00"&amp;MINUTE(Sync!$K1862),2),IFERROR(RIGHT("00"&amp;VALUE(LEFT(Sync!$K1862,FIND(":",Sync!$K1862)-1)),2)&amp;RIGHT("00"&amp;VALUE(MID(Sync!$K1862,FIND(":",Sync!$K1862)+1,2)),2),"0000")))&amp;"|"&amp;"2"&amp;RIGHT("00000"&amp;1857,5))</f>
        <v/>
      </c>
      <c r="Q1862">
        <f>IF(Sync!$J1862="","",IF(ISNUMBER(Sync!$J1862),IF(AND(Sync!$J1862&gt;=10000101,Sync!$J1862&lt;=99991231),INT(Sync!$J1862/10000)&amp;"/"&amp;RIGHT("00"&amp;INT(MOD(Sync!$J1862,10000)/100),2)&amp;"/"&amp;RIGHT("00"&amp;MOD(Sync!$J1862,100),2),"نامعتبر"),IF(LEN(Sync!$J1862)=10,Sync!$J1862,"نامعتبر")))</f>
        <v/>
      </c>
      <c r="R1862">
        <f>IF($P1862="","",COUNTIFS($N$6:$N$2005,$N1862,$P$6:$P$2005,"&lt;"&amp;$P1862)+COUNTIFS($A$6:$A$1005,$N1862,$B$6:$B$1005,"&lt;"&amp;$P1862)+1)</f>
        <v/>
      </c>
      <c r="S1862">
        <f>IF($N1862="","",$N1862&amp;"|"&amp;RIGHT("000000"&amp;$R1862,6))</f>
        <v/>
      </c>
      <c r="T1862">
        <f>IF($N1862="","",IF(Sync!$N1862="",0,Sync!$N1862))</f>
        <v/>
      </c>
      <c r="U1862">
        <f>IF($N1862="","",IF(Sync!$O1862="",0,Sync!$O1862))</f>
        <v/>
      </c>
      <c r="V1862">
        <f>IF($N1862="","",Sync!$L1862)</f>
        <v/>
      </c>
      <c r="W1862">
        <f>IF($N1862="","",Sync!$P1862)</f>
        <v/>
      </c>
    </row>
    <row r="1863">
      <c r="N1863">
        <f>IF(OR(Sync!$M1863="",$Q1863="",$Q1863="نامعتبر"),"",Sync!$M1863)</f>
        <v/>
      </c>
      <c r="O1863">
        <f>IF($N1863="","",$Q1863)</f>
        <v/>
      </c>
      <c r="P1863">
        <f>IF($N1863="","",LEFT($Q1863,4)&amp;MID($Q1863,6,2)&amp;RIGHT($Q1863,2)&amp;IF(Sync!$K1863="","0000",IF(AND(ISNUMBER(Sync!$K1863),Sync!$K1863&gt;=0,Sync!$K1863&lt;1),RIGHT("00"&amp;HOUR(Sync!$K1863),2)&amp;RIGHT("00"&amp;MINUTE(Sync!$K1863),2),IFERROR(RIGHT("00"&amp;VALUE(LEFT(Sync!$K1863,FIND(":",Sync!$K1863)-1)),2)&amp;RIGHT("00"&amp;VALUE(MID(Sync!$K1863,FIND(":",Sync!$K1863)+1,2)),2),"0000")))&amp;"|"&amp;"2"&amp;RIGHT("00000"&amp;1858,5))</f>
        <v/>
      </c>
      <c r="Q1863">
        <f>IF(Sync!$J1863="","",IF(ISNUMBER(Sync!$J1863),IF(AND(Sync!$J1863&gt;=10000101,Sync!$J1863&lt;=99991231),INT(Sync!$J1863/10000)&amp;"/"&amp;RIGHT("00"&amp;INT(MOD(Sync!$J1863,10000)/100),2)&amp;"/"&amp;RIGHT("00"&amp;MOD(Sync!$J1863,100),2),"نامعتبر"),IF(LEN(Sync!$J1863)=10,Sync!$J1863,"نامعتبر")))</f>
        <v/>
      </c>
      <c r="R1863">
        <f>IF($P1863="","",COUNTIFS($N$6:$N$2005,$N1863,$P$6:$P$2005,"&lt;"&amp;$P1863)+COUNTIFS($A$6:$A$1005,$N1863,$B$6:$B$1005,"&lt;"&amp;$P1863)+1)</f>
        <v/>
      </c>
      <c r="S1863">
        <f>IF($N1863="","",$N1863&amp;"|"&amp;RIGHT("000000"&amp;$R1863,6))</f>
        <v/>
      </c>
      <c r="T1863">
        <f>IF($N1863="","",IF(Sync!$N1863="",0,Sync!$N1863))</f>
        <v/>
      </c>
      <c r="U1863">
        <f>IF($N1863="","",IF(Sync!$O1863="",0,Sync!$O1863))</f>
        <v/>
      </c>
      <c r="V1863">
        <f>IF($N1863="","",Sync!$L1863)</f>
        <v/>
      </c>
      <c r="W1863">
        <f>IF($N1863="","",Sync!$P1863)</f>
        <v/>
      </c>
    </row>
    <row r="1864">
      <c r="N1864">
        <f>IF(OR(Sync!$M1864="",$Q1864="",$Q1864="نامعتبر"),"",Sync!$M1864)</f>
        <v/>
      </c>
      <c r="O1864">
        <f>IF($N1864="","",$Q1864)</f>
        <v/>
      </c>
      <c r="P1864">
        <f>IF($N1864="","",LEFT($Q1864,4)&amp;MID($Q1864,6,2)&amp;RIGHT($Q1864,2)&amp;IF(Sync!$K1864="","0000",IF(AND(ISNUMBER(Sync!$K1864),Sync!$K1864&gt;=0,Sync!$K1864&lt;1),RIGHT("00"&amp;HOUR(Sync!$K1864),2)&amp;RIGHT("00"&amp;MINUTE(Sync!$K1864),2),IFERROR(RIGHT("00"&amp;VALUE(LEFT(Sync!$K1864,FIND(":",Sync!$K1864)-1)),2)&amp;RIGHT("00"&amp;VALUE(MID(Sync!$K1864,FIND(":",Sync!$K1864)+1,2)),2),"0000")))&amp;"|"&amp;"2"&amp;RIGHT("00000"&amp;1859,5))</f>
        <v/>
      </c>
      <c r="Q1864">
        <f>IF(Sync!$J1864="","",IF(ISNUMBER(Sync!$J1864),IF(AND(Sync!$J1864&gt;=10000101,Sync!$J1864&lt;=99991231),INT(Sync!$J1864/10000)&amp;"/"&amp;RIGHT("00"&amp;INT(MOD(Sync!$J1864,10000)/100),2)&amp;"/"&amp;RIGHT("00"&amp;MOD(Sync!$J1864,100),2),"نامعتبر"),IF(LEN(Sync!$J1864)=10,Sync!$J1864,"نامعتبر")))</f>
        <v/>
      </c>
      <c r="R1864">
        <f>IF($P1864="","",COUNTIFS($N$6:$N$2005,$N1864,$P$6:$P$2005,"&lt;"&amp;$P1864)+COUNTIFS($A$6:$A$1005,$N1864,$B$6:$B$1005,"&lt;"&amp;$P1864)+1)</f>
        <v/>
      </c>
      <c r="S1864">
        <f>IF($N1864="","",$N1864&amp;"|"&amp;RIGHT("000000"&amp;$R1864,6))</f>
        <v/>
      </c>
      <c r="T1864">
        <f>IF($N1864="","",IF(Sync!$N1864="",0,Sync!$N1864))</f>
        <v/>
      </c>
      <c r="U1864">
        <f>IF($N1864="","",IF(Sync!$O1864="",0,Sync!$O1864))</f>
        <v/>
      </c>
      <c r="V1864">
        <f>IF($N1864="","",Sync!$L1864)</f>
        <v/>
      </c>
      <c r="W1864">
        <f>IF($N1864="","",Sync!$P1864)</f>
        <v/>
      </c>
    </row>
    <row r="1865">
      <c r="N1865">
        <f>IF(OR(Sync!$M1865="",$Q1865="",$Q1865="نامعتبر"),"",Sync!$M1865)</f>
        <v/>
      </c>
      <c r="O1865">
        <f>IF($N1865="","",$Q1865)</f>
        <v/>
      </c>
      <c r="P1865">
        <f>IF($N1865="","",LEFT($Q1865,4)&amp;MID($Q1865,6,2)&amp;RIGHT($Q1865,2)&amp;IF(Sync!$K1865="","0000",IF(AND(ISNUMBER(Sync!$K1865),Sync!$K1865&gt;=0,Sync!$K1865&lt;1),RIGHT("00"&amp;HOUR(Sync!$K1865),2)&amp;RIGHT("00"&amp;MINUTE(Sync!$K1865),2),IFERROR(RIGHT("00"&amp;VALUE(LEFT(Sync!$K1865,FIND(":",Sync!$K1865)-1)),2)&amp;RIGHT("00"&amp;VALUE(MID(Sync!$K1865,FIND(":",Sync!$K1865)+1,2)),2),"0000")))&amp;"|"&amp;"2"&amp;RIGHT("00000"&amp;1860,5))</f>
        <v/>
      </c>
      <c r="Q1865">
        <f>IF(Sync!$J1865="","",IF(ISNUMBER(Sync!$J1865),IF(AND(Sync!$J1865&gt;=10000101,Sync!$J1865&lt;=99991231),INT(Sync!$J1865/10000)&amp;"/"&amp;RIGHT("00"&amp;INT(MOD(Sync!$J1865,10000)/100),2)&amp;"/"&amp;RIGHT("00"&amp;MOD(Sync!$J1865,100),2),"نامعتبر"),IF(LEN(Sync!$J1865)=10,Sync!$J1865,"نامعتبر")))</f>
        <v/>
      </c>
      <c r="R1865">
        <f>IF($P1865="","",COUNTIFS($N$6:$N$2005,$N1865,$P$6:$P$2005,"&lt;"&amp;$P1865)+COUNTIFS($A$6:$A$1005,$N1865,$B$6:$B$1005,"&lt;"&amp;$P1865)+1)</f>
        <v/>
      </c>
      <c r="S1865">
        <f>IF($N1865="","",$N1865&amp;"|"&amp;RIGHT("000000"&amp;$R1865,6))</f>
        <v/>
      </c>
      <c r="T1865">
        <f>IF($N1865="","",IF(Sync!$N1865="",0,Sync!$N1865))</f>
        <v/>
      </c>
      <c r="U1865">
        <f>IF($N1865="","",IF(Sync!$O1865="",0,Sync!$O1865))</f>
        <v/>
      </c>
      <c r="V1865">
        <f>IF($N1865="","",Sync!$L1865)</f>
        <v/>
      </c>
      <c r="W1865">
        <f>IF($N1865="","",Sync!$P1865)</f>
        <v/>
      </c>
    </row>
    <row r="1866">
      <c r="N1866">
        <f>IF(OR(Sync!$M1866="",$Q1866="",$Q1866="نامعتبر"),"",Sync!$M1866)</f>
        <v/>
      </c>
      <c r="O1866">
        <f>IF($N1866="","",$Q1866)</f>
        <v/>
      </c>
      <c r="P1866">
        <f>IF($N1866="","",LEFT($Q1866,4)&amp;MID($Q1866,6,2)&amp;RIGHT($Q1866,2)&amp;IF(Sync!$K1866="","0000",IF(AND(ISNUMBER(Sync!$K1866),Sync!$K1866&gt;=0,Sync!$K1866&lt;1),RIGHT("00"&amp;HOUR(Sync!$K1866),2)&amp;RIGHT("00"&amp;MINUTE(Sync!$K1866),2),IFERROR(RIGHT("00"&amp;VALUE(LEFT(Sync!$K1866,FIND(":",Sync!$K1866)-1)),2)&amp;RIGHT("00"&amp;VALUE(MID(Sync!$K1866,FIND(":",Sync!$K1866)+1,2)),2),"0000")))&amp;"|"&amp;"2"&amp;RIGHT("00000"&amp;1861,5))</f>
        <v/>
      </c>
      <c r="Q1866">
        <f>IF(Sync!$J1866="","",IF(ISNUMBER(Sync!$J1866),IF(AND(Sync!$J1866&gt;=10000101,Sync!$J1866&lt;=99991231),INT(Sync!$J1866/10000)&amp;"/"&amp;RIGHT("00"&amp;INT(MOD(Sync!$J1866,10000)/100),2)&amp;"/"&amp;RIGHT("00"&amp;MOD(Sync!$J1866,100),2),"نامعتبر"),IF(LEN(Sync!$J1866)=10,Sync!$J1866,"نامعتبر")))</f>
        <v/>
      </c>
      <c r="R1866">
        <f>IF($P1866="","",COUNTIFS($N$6:$N$2005,$N1866,$P$6:$P$2005,"&lt;"&amp;$P1866)+COUNTIFS($A$6:$A$1005,$N1866,$B$6:$B$1005,"&lt;"&amp;$P1866)+1)</f>
        <v/>
      </c>
      <c r="S1866">
        <f>IF($N1866="","",$N1866&amp;"|"&amp;RIGHT("000000"&amp;$R1866,6))</f>
        <v/>
      </c>
      <c r="T1866">
        <f>IF($N1866="","",IF(Sync!$N1866="",0,Sync!$N1866))</f>
        <v/>
      </c>
      <c r="U1866">
        <f>IF($N1866="","",IF(Sync!$O1866="",0,Sync!$O1866))</f>
        <v/>
      </c>
      <c r="V1866">
        <f>IF($N1866="","",Sync!$L1866)</f>
        <v/>
      </c>
      <c r="W1866">
        <f>IF($N1866="","",Sync!$P1866)</f>
        <v/>
      </c>
    </row>
    <row r="1867">
      <c r="N1867">
        <f>IF(OR(Sync!$M1867="",$Q1867="",$Q1867="نامعتبر"),"",Sync!$M1867)</f>
        <v/>
      </c>
      <c r="O1867">
        <f>IF($N1867="","",$Q1867)</f>
        <v/>
      </c>
      <c r="P1867">
        <f>IF($N1867="","",LEFT($Q1867,4)&amp;MID($Q1867,6,2)&amp;RIGHT($Q1867,2)&amp;IF(Sync!$K1867="","0000",IF(AND(ISNUMBER(Sync!$K1867),Sync!$K1867&gt;=0,Sync!$K1867&lt;1),RIGHT("00"&amp;HOUR(Sync!$K1867),2)&amp;RIGHT("00"&amp;MINUTE(Sync!$K1867),2),IFERROR(RIGHT("00"&amp;VALUE(LEFT(Sync!$K1867,FIND(":",Sync!$K1867)-1)),2)&amp;RIGHT("00"&amp;VALUE(MID(Sync!$K1867,FIND(":",Sync!$K1867)+1,2)),2),"0000")))&amp;"|"&amp;"2"&amp;RIGHT("00000"&amp;1862,5))</f>
        <v/>
      </c>
      <c r="Q1867">
        <f>IF(Sync!$J1867="","",IF(ISNUMBER(Sync!$J1867),IF(AND(Sync!$J1867&gt;=10000101,Sync!$J1867&lt;=99991231),INT(Sync!$J1867/10000)&amp;"/"&amp;RIGHT("00"&amp;INT(MOD(Sync!$J1867,10000)/100),2)&amp;"/"&amp;RIGHT("00"&amp;MOD(Sync!$J1867,100),2),"نامعتبر"),IF(LEN(Sync!$J1867)=10,Sync!$J1867,"نامعتبر")))</f>
        <v/>
      </c>
      <c r="R1867">
        <f>IF($P1867="","",COUNTIFS($N$6:$N$2005,$N1867,$P$6:$P$2005,"&lt;"&amp;$P1867)+COUNTIFS($A$6:$A$1005,$N1867,$B$6:$B$1005,"&lt;"&amp;$P1867)+1)</f>
        <v/>
      </c>
      <c r="S1867">
        <f>IF($N1867="","",$N1867&amp;"|"&amp;RIGHT("000000"&amp;$R1867,6))</f>
        <v/>
      </c>
      <c r="T1867">
        <f>IF($N1867="","",IF(Sync!$N1867="",0,Sync!$N1867))</f>
        <v/>
      </c>
      <c r="U1867">
        <f>IF($N1867="","",IF(Sync!$O1867="",0,Sync!$O1867))</f>
        <v/>
      </c>
      <c r="V1867">
        <f>IF($N1867="","",Sync!$L1867)</f>
        <v/>
      </c>
      <c r="W1867">
        <f>IF($N1867="","",Sync!$P1867)</f>
        <v/>
      </c>
    </row>
    <row r="1868">
      <c r="N1868">
        <f>IF(OR(Sync!$M1868="",$Q1868="",$Q1868="نامعتبر"),"",Sync!$M1868)</f>
        <v/>
      </c>
      <c r="O1868">
        <f>IF($N1868="","",$Q1868)</f>
        <v/>
      </c>
      <c r="P1868">
        <f>IF($N1868="","",LEFT($Q1868,4)&amp;MID($Q1868,6,2)&amp;RIGHT($Q1868,2)&amp;IF(Sync!$K1868="","0000",IF(AND(ISNUMBER(Sync!$K1868),Sync!$K1868&gt;=0,Sync!$K1868&lt;1),RIGHT("00"&amp;HOUR(Sync!$K1868),2)&amp;RIGHT("00"&amp;MINUTE(Sync!$K1868),2),IFERROR(RIGHT("00"&amp;VALUE(LEFT(Sync!$K1868,FIND(":",Sync!$K1868)-1)),2)&amp;RIGHT("00"&amp;VALUE(MID(Sync!$K1868,FIND(":",Sync!$K1868)+1,2)),2),"0000")))&amp;"|"&amp;"2"&amp;RIGHT("00000"&amp;1863,5))</f>
        <v/>
      </c>
      <c r="Q1868">
        <f>IF(Sync!$J1868="","",IF(ISNUMBER(Sync!$J1868),IF(AND(Sync!$J1868&gt;=10000101,Sync!$J1868&lt;=99991231),INT(Sync!$J1868/10000)&amp;"/"&amp;RIGHT("00"&amp;INT(MOD(Sync!$J1868,10000)/100),2)&amp;"/"&amp;RIGHT("00"&amp;MOD(Sync!$J1868,100),2),"نامعتبر"),IF(LEN(Sync!$J1868)=10,Sync!$J1868,"نامعتبر")))</f>
        <v/>
      </c>
      <c r="R1868">
        <f>IF($P1868="","",COUNTIFS($N$6:$N$2005,$N1868,$P$6:$P$2005,"&lt;"&amp;$P1868)+COUNTIFS($A$6:$A$1005,$N1868,$B$6:$B$1005,"&lt;"&amp;$P1868)+1)</f>
        <v/>
      </c>
      <c r="S1868">
        <f>IF($N1868="","",$N1868&amp;"|"&amp;RIGHT("000000"&amp;$R1868,6))</f>
        <v/>
      </c>
      <c r="T1868">
        <f>IF($N1868="","",IF(Sync!$N1868="",0,Sync!$N1868))</f>
        <v/>
      </c>
      <c r="U1868">
        <f>IF($N1868="","",IF(Sync!$O1868="",0,Sync!$O1868))</f>
        <v/>
      </c>
      <c r="V1868">
        <f>IF($N1868="","",Sync!$L1868)</f>
        <v/>
      </c>
      <c r="W1868">
        <f>IF($N1868="","",Sync!$P1868)</f>
        <v/>
      </c>
    </row>
    <row r="1869">
      <c r="N1869">
        <f>IF(OR(Sync!$M1869="",$Q1869="",$Q1869="نامعتبر"),"",Sync!$M1869)</f>
        <v/>
      </c>
      <c r="O1869">
        <f>IF($N1869="","",$Q1869)</f>
        <v/>
      </c>
      <c r="P1869">
        <f>IF($N1869="","",LEFT($Q1869,4)&amp;MID($Q1869,6,2)&amp;RIGHT($Q1869,2)&amp;IF(Sync!$K1869="","0000",IF(AND(ISNUMBER(Sync!$K1869),Sync!$K1869&gt;=0,Sync!$K1869&lt;1),RIGHT("00"&amp;HOUR(Sync!$K1869),2)&amp;RIGHT("00"&amp;MINUTE(Sync!$K1869),2),IFERROR(RIGHT("00"&amp;VALUE(LEFT(Sync!$K1869,FIND(":",Sync!$K1869)-1)),2)&amp;RIGHT("00"&amp;VALUE(MID(Sync!$K1869,FIND(":",Sync!$K1869)+1,2)),2),"0000")))&amp;"|"&amp;"2"&amp;RIGHT("00000"&amp;1864,5))</f>
        <v/>
      </c>
      <c r="Q1869">
        <f>IF(Sync!$J1869="","",IF(ISNUMBER(Sync!$J1869),IF(AND(Sync!$J1869&gt;=10000101,Sync!$J1869&lt;=99991231),INT(Sync!$J1869/10000)&amp;"/"&amp;RIGHT("00"&amp;INT(MOD(Sync!$J1869,10000)/100),2)&amp;"/"&amp;RIGHT("00"&amp;MOD(Sync!$J1869,100),2),"نامعتبر"),IF(LEN(Sync!$J1869)=10,Sync!$J1869,"نامعتبر")))</f>
        <v/>
      </c>
      <c r="R1869">
        <f>IF($P1869="","",COUNTIFS($N$6:$N$2005,$N1869,$P$6:$P$2005,"&lt;"&amp;$P1869)+COUNTIFS($A$6:$A$1005,$N1869,$B$6:$B$1005,"&lt;"&amp;$P1869)+1)</f>
        <v/>
      </c>
      <c r="S1869">
        <f>IF($N1869="","",$N1869&amp;"|"&amp;RIGHT("000000"&amp;$R1869,6))</f>
        <v/>
      </c>
      <c r="T1869">
        <f>IF($N1869="","",IF(Sync!$N1869="",0,Sync!$N1869))</f>
        <v/>
      </c>
      <c r="U1869">
        <f>IF($N1869="","",IF(Sync!$O1869="",0,Sync!$O1869))</f>
        <v/>
      </c>
      <c r="V1869">
        <f>IF($N1869="","",Sync!$L1869)</f>
        <v/>
      </c>
      <c r="W1869">
        <f>IF($N1869="","",Sync!$P1869)</f>
        <v/>
      </c>
    </row>
    <row r="1870">
      <c r="N1870">
        <f>IF(OR(Sync!$M1870="",$Q1870="",$Q1870="نامعتبر"),"",Sync!$M1870)</f>
        <v/>
      </c>
      <c r="O1870">
        <f>IF($N1870="","",$Q1870)</f>
        <v/>
      </c>
      <c r="P1870">
        <f>IF($N1870="","",LEFT($Q1870,4)&amp;MID($Q1870,6,2)&amp;RIGHT($Q1870,2)&amp;IF(Sync!$K1870="","0000",IF(AND(ISNUMBER(Sync!$K1870),Sync!$K1870&gt;=0,Sync!$K1870&lt;1),RIGHT("00"&amp;HOUR(Sync!$K1870),2)&amp;RIGHT("00"&amp;MINUTE(Sync!$K1870),2),IFERROR(RIGHT("00"&amp;VALUE(LEFT(Sync!$K1870,FIND(":",Sync!$K1870)-1)),2)&amp;RIGHT("00"&amp;VALUE(MID(Sync!$K1870,FIND(":",Sync!$K1870)+1,2)),2),"0000")))&amp;"|"&amp;"2"&amp;RIGHT("00000"&amp;1865,5))</f>
        <v/>
      </c>
      <c r="Q1870">
        <f>IF(Sync!$J1870="","",IF(ISNUMBER(Sync!$J1870),IF(AND(Sync!$J1870&gt;=10000101,Sync!$J1870&lt;=99991231),INT(Sync!$J1870/10000)&amp;"/"&amp;RIGHT("00"&amp;INT(MOD(Sync!$J1870,10000)/100),2)&amp;"/"&amp;RIGHT("00"&amp;MOD(Sync!$J1870,100),2),"نامعتبر"),IF(LEN(Sync!$J1870)=10,Sync!$J1870,"نامعتبر")))</f>
        <v/>
      </c>
      <c r="R1870">
        <f>IF($P1870="","",COUNTIFS($N$6:$N$2005,$N1870,$P$6:$P$2005,"&lt;"&amp;$P1870)+COUNTIFS($A$6:$A$1005,$N1870,$B$6:$B$1005,"&lt;"&amp;$P1870)+1)</f>
        <v/>
      </c>
      <c r="S1870">
        <f>IF($N1870="","",$N1870&amp;"|"&amp;RIGHT("000000"&amp;$R1870,6))</f>
        <v/>
      </c>
      <c r="T1870">
        <f>IF($N1870="","",IF(Sync!$N1870="",0,Sync!$N1870))</f>
        <v/>
      </c>
      <c r="U1870">
        <f>IF($N1870="","",IF(Sync!$O1870="",0,Sync!$O1870))</f>
        <v/>
      </c>
      <c r="V1870">
        <f>IF($N1870="","",Sync!$L1870)</f>
        <v/>
      </c>
      <c r="W1870">
        <f>IF($N1870="","",Sync!$P1870)</f>
        <v/>
      </c>
    </row>
    <row r="1871">
      <c r="N1871">
        <f>IF(OR(Sync!$M1871="",$Q1871="",$Q1871="نامعتبر"),"",Sync!$M1871)</f>
        <v/>
      </c>
      <c r="O1871">
        <f>IF($N1871="","",$Q1871)</f>
        <v/>
      </c>
      <c r="P1871">
        <f>IF($N1871="","",LEFT($Q1871,4)&amp;MID($Q1871,6,2)&amp;RIGHT($Q1871,2)&amp;IF(Sync!$K1871="","0000",IF(AND(ISNUMBER(Sync!$K1871),Sync!$K1871&gt;=0,Sync!$K1871&lt;1),RIGHT("00"&amp;HOUR(Sync!$K1871),2)&amp;RIGHT("00"&amp;MINUTE(Sync!$K1871),2),IFERROR(RIGHT("00"&amp;VALUE(LEFT(Sync!$K1871,FIND(":",Sync!$K1871)-1)),2)&amp;RIGHT("00"&amp;VALUE(MID(Sync!$K1871,FIND(":",Sync!$K1871)+1,2)),2),"0000")))&amp;"|"&amp;"2"&amp;RIGHT("00000"&amp;1866,5))</f>
        <v/>
      </c>
      <c r="Q1871">
        <f>IF(Sync!$J1871="","",IF(ISNUMBER(Sync!$J1871),IF(AND(Sync!$J1871&gt;=10000101,Sync!$J1871&lt;=99991231),INT(Sync!$J1871/10000)&amp;"/"&amp;RIGHT("00"&amp;INT(MOD(Sync!$J1871,10000)/100),2)&amp;"/"&amp;RIGHT("00"&amp;MOD(Sync!$J1871,100),2),"نامعتبر"),IF(LEN(Sync!$J1871)=10,Sync!$J1871,"نامعتبر")))</f>
        <v/>
      </c>
      <c r="R1871">
        <f>IF($P1871="","",COUNTIFS($N$6:$N$2005,$N1871,$P$6:$P$2005,"&lt;"&amp;$P1871)+COUNTIFS($A$6:$A$1005,$N1871,$B$6:$B$1005,"&lt;"&amp;$P1871)+1)</f>
        <v/>
      </c>
      <c r="S1871">
        <f>IF($N1871="","",$N1871&amp;"|"&amp;RIGHT("000000"&amp;$R1871,6))</f>
        <v/>
      </c>
      <c r="T1871">
        <f>IF($N1871="","",IF(Sync!$N1871="",0,Sync!$N1871))</f>
        <v/>
      </c>
      <c r="U1871">
        <f>IF($N1871="","",IF(Sync!$O1871="",0,Sync!$O1871))</f>
        <v/>
      </c>
      <c r="V1871">
        <f>IF($N1871="","",Sync!$L1871)</f>
        <v/>
      </c>
      <c r="W1871">
        <f>IF($N1871="","",Sync!$P1871)</f>
        <v/>
      </c>
    </row>
    <row r="1872">
      <c r="N1872">
        <f>IF(OR(Sync!$M1872="",$Q1872="",$Q1872="نامعتبر"),"",Sync!$M1872)</f>
        <v/>
      </c>
      <c r="O1872">
        <f>IF($N1872="","",$Q1872)</f>
        <v/>
      </c>
      <c r="P1872">
        <f>IF($N1872="","",LEFT($Q1872,4)&amp;MID($Q1872,6,2)&amp;RIGHT($Q1872,2)&amp;IF(Sync!$K1872="","0000",IF(AND(ISNUMBER(Sync!$K1872),Sync!$K1872&gt;=0,Sync!$K1872&lt;1),RIGHT("00"&amp;HOUR(Sync!$K1872),2)&amp;RIGHT("00"&amp;MINUTE(Sync!$K1872),2),IFERROR(RIGHT("00"&amp;VALUE(LEFT(Sync!$K1872,FIND(":",Sync!$K1872)-1)),2)&amp;RIGHT("00"&amp;VALUE(MID(Sync!$K1872,FIND(":",Sync!$K1872)+1,2)),2),"0000")))&amp;"|"&amp;"2"&amp;RIGHT("00000"&amp;1867,5))</f>
        <v/>
      </c>
      <c r="Q1872">
        <f>IF(Sync!$J1872="","",IF(ISNUMBER(Sync!$J1872),IF(AND(Sync!$J1872&gt;=10000101,Sync!$J1872&lt;=99991231),INT(Sync!$J1872/10000)&amp;"/"&amp;RIGHT("00"&amp;INT(MOD(Sync!$J1872,10000)/100),2)&amp;"/"&amp;RIGHT("00"&amp;MOD(Sync!$J1872,100),2),"نامعتبر"),IF(LEN(Sync!$J1872)=10,Sync!$J1872,"نامعتبر")))</f>
        <v/>
      </c>
      <c r="R1872">
        <f>IF($P1872="","",COUNTIFS($N$6:$N$2005,$N1872,$P$6:$P$2005,"&lt;"&amp;$P1872)+COUNTIFS($A$6:$A$1005,$N1872,$B$6:$B$1005,"&lt;"&amp;$P1872)+1)</f>
        <v/>
      </c>
      <c r="S1872">
        <f>IF($N1872="","",$N1872&amp;"|"&amp;RIGHT("000000"&amp;$R1872,6))</f>
        <v/>
      </c>
      <c r="T1872">
        <f>IF($N1872="","",IF(Sync!$N1872="",0,Sync!$N1872))</f>
        <v/>
      </c>
      <c r="U1872">
        <f>IF($N1872="","",IF(Sync!$O1872="",0,Sync!$O1872))</f>
        <v/>
      </c>
      <c r="V1872">
        <f>IF($N1872="","",Sync!$L1872)</f>
        <v/>
      </c>
      <c r="W1872">
        <f>IF($N1872="","",Sync!$P1872)</f>
        <v/>
      </c>
    </row>
    <row r="1873">
      <c r="N1873">
        <f>IF(OR(Sync!$M1873="",$Q1873="",$Q1873="نامعتبر"),"",Sync!$M1873)</f>
        <v/>
      </c>
      <c r="O1873">
        <f>IF($N1873="","",$Q1873)</f>
        <v/>
      </c>
      <c r="P1873">
        <f>IF($N1873="","",LEFT($Q1873,4)&amp;MID($Q1873,6,2)&amp;RIGHT($Q1873,2)&amp;IF(Sync!$K1873="","0000",IF(AND(ISNUMBER(Sync!$K1873),Sync!$K1873&gt;=0,Sync!$K1873&lt;1),RIGHT("00"&amp;HOUR(Sync!$K1873),2)&amp;RIGHT("00"&amp;MINUTE(Sync!$K1873),2),IFERROR(RIGHT("00"&amp;VALUE(LEFT(Sync!$K1873,FIND(":",Sync!$K1873)-1)),2)&amp;RIGHT("00"&amp;VALUE(MID(Sync!$K1873,FIND(":",Sync!$K1873)+1,2)),2),"0000")))&amp;"|"&amp;"2"&amp;RIGHT("00000"&amp;1868,5))</f>
        <v/>
      </c>
      <c r="Q1873">
        <f>IF(Sync!$J1873="","",IF(ISNUMBER(Sync!$J1873),IF(AND(Sync!$J1873&gt;=10000101,Sync!$J1873&lt;=99991231),INT(Sync!$J1873/10000)&amp;"/"&amp;RIGHT("00"&amp;INT(MOD(Sync!$J1873,10000)/100),2)&amp;"/"&amp;RIGHT("00"&amp;MOD(Sync!$J1873,100),2),"نامعتبر"),IF(LEN(Sync!$J1873)=10,Sync!$J1873,"نامعتبر")))</f>
        <v/>
      </c>
      <c r="R1873">
        <f>IF($P1873="","",COUNTIFS($N$6:$N$2005,$N1873,$P$6:$P$2005,"&lt;"&amp;$P1873)+COUNTIFS($A$6:$A$1005,$N1873,$B$6:$B$1005,"&lt;"&amp;$P1873)+1)</f>
        <v/>
      </c>
      <c r="S1873">
        <f>IF($N1873="","",$N1873&amp;"|"&amp;RIGHT("000000"&amp;$R1873,6))</f>
        <v/>
      </c>
      <c r="T1873">
        <f>IF($N1873="","",IF(Sync!$N1873="",0,Sync!$N1873))</f>
        <v/>
      </c>
      <c r="U1873">
        <f>IF($N1873="","",IF(Sync!$O1873="",0,Sync!$O1873))</f>
        <v/>
      </c>
      <c r="V1873">
        <f>IF($N1873="","",Sync!$L1873)</f>
        <v/>
      </c>
      <c r="W1873">
        <f>IF($N1873="","",Sync!$P1873)</f>
        <v/>
      </c>
    </row>
    <row r="1874">
      <c r="N1874">
        <f>IF(OR(Sync!$M1874="",$Q1874="",$Q1874="نامعتبر"),"",Sync!$M1874)</f>
        <v/>
      </c>
      <c r="O1874">
        <f>IF($N1874="","",$Q1874)</f>
        <v/>
      </c>
      <c r="P1874">
        <f>IF($N1874="","",LEFT($Q1874,4)&amp;MID($Q1874,6,2)&amp;RIGHT($Q1874,2)&amp;IF(Sync!$K1874="","0000",IF(AND(ISNUMBER(Sync!$K1874),Sync!$K1874&gt;=0,Sync!$K1874&lt;1),RIGHT("00"&amp;HOUR(Sync!$K1874),2)&amp;RIGHT("00"&amp;MINUTE(Sync!$K1874),2),IFERROR(RIGHT("00"&amp;VALUE(LEFT(Sync!$K1874,FIND(":",Sync!$K1874)-1)),2)&amp;RIGHT("00"&amp;VALUE(MID(Sync!$K1874,FIND(":",Sync!$K1874)+1,2)),2),"0000")))&amp;"|"&amp;"2"&amp;RIGHT("00000"&amp;1869,5))</f>
        <v/>
      </c>
      <c r="Q1874">
        <f>IF(Sync!$J1874="","",IF(ISNUMBER(Sync!$J1874),IF(AND(Sync!$J1874&gt;=10000101,Sync!$J1874&lt;=99991231),INT(Sync!$J1874/10000)&amp;"/"&amp;RIGHT("00"&amp;INT(MOD(Sync!$J1874,10000)/100),2)&amp;"/"&amp;RIGHT("00"&amp;MOD(Sync!$J1874,100),2),"نامعتبر"),IF(LEN(Sync!$J1874)=10,Sync!$J1874,"نامعتبر")))</f>
        <v/>
      </c>
      <c r="R1874">
        <f>IF($P1874="","",COUNTIFS($N$6:$N$2005,$N1874,$P$6:$P$2005,"&lt;"&amp;$P1874)+COUNTIFS($A$6:$A$1005,$N1874,$B$6:$B$1005,"&lt;"&amp;$P1874)+1)</f>
        <v/>
      </c>
      <c r="S1874">
        <f>IF($N1874="","",$N1874&amp;"|"&amp;RIGHT("000000"&amp;$R1874,6))</f>
        <v/>
      </c>
      <c r="T1874">
        <f>IF($N1874="","",IF(Sync!$N1874="",0,Sync!$N1874))</f>
        <v/>
      </c>
      <c r="U1874">
        <f>IF($N1874="","",IF(Sync!$O1874="",0,Sync!$O1874))</f>
        <v/>
      </c>
      <c r="V1874">
        <f>IF($N1874="","",Sync!$L1874)</f>
        <v/>
      </c>
      <c r="W1874">
        <f>IF($N1874="","",Sync!$P1874)</f>
        <v/>
      </c>
    </row>
    <row r="1875">
      <c r="N1875">
        <f>IF(OR(Sync!$M1875="",$Q1875="",$Q1875="نامعتبر"),"",Sync!$M1875)</f>
        <v/>
      </c>
      <c r="O1875">
        <f>IF($N1875="","",$Q1875)</f>
        <v/>
      </c>
      <c r="P1875">
        <f>IF($N1875="","",LEFT($Q1875,4)&amp;MID($Q1875,6,2)&amp;RIGHT($Q1875,2)&amp;IF(Sync!$K1875="","0000",IF(AND(ISNUMBER(Sync!$K1875),Sync!$K1875&gt;=0,Sync!$K1875&lt;1),RIGHT("00"&amp;HOUR(Sync!$K1875),2)&amp;RIGHT("00"&amp;MINUTE(Sync!$K1875),2),IFERROR(RIGHT("00"&amp;VALUE(LEFT(Sync!$K1875,FIND(":",Sync!$K1875)-1)),2)&amp;RIGHT("00"&amp;VALUE(MID(Sync!$K1875,FIND(":",Sync!$K1875)+1,2)),2),"0000")))&amp;"|"&amp;"2"&amp;RIGHT("00000"&amp;1870,5))</f>
        <v/>
      </c>
      <c r="Q1875">
        <f>IF(Sync!$J1875="","",IF(ISNUMBER(Sync!$J1875),IF(AND(Sync!$J1875&gt;=10000101,Sync!$J1875&lt;=99991231),INT(Sync!$J1875/10000)&amp;"/"&amp;RIGHT("00"&amp;INT(MOD(Sync!$J1875,10000)/100),2)&amp;"/"&amp;RIGHT("00"&amp;MOD(Sync!$J1875,100),2),"نامعتبر"),IF(LEN(Sync!$J1875)=10,Sync!$J1875,"نامعتبر")))</f>
        <v/>
      </c>
      <c r="R1875">
        <f>IF($P1875="","",COUNTIFS($N$6:$N$2005,$N1875,$P$6:$P$2005,"&lt;"&amp;$P1875)+COUNTIFS($A$6:$A$1005,$N1875,$B$6:$B$1005,"&lt;"&amp;$P1875)+1)</f>
        <v/>
      </c>
      <c r="S1875">
        <f>IF($N1875="","",$N1875&amp;"|"&amp;RIGHT("000000"&amp;$R1875,6))</f>
        <v/>
      </c>
      <c r="T1875">
        <f>IF($N1875="","",IF(Sync!$N1875="",0,Sync!$N1875))</f>
        <v/>
      </c>
      <c r="U1875">
        <f>IF($N1875="","",IF(Sync!$O1875="",0,Sync!$O1875))</f>
        <v/>
      </c>
      <c r="V1875">
        <f>IF($N1875="","",Sync!$L1875)</f>
        <v/>
      </c>
      <c r="W1875">
        <f>IF($N1875="","",Sync!$P1875)</f>
        <v/>
      </c>
    </row>
    <row r="1876">
      <c r="N1876">
        <f>IF(OR(Sync!$M1876="",$Q1876="",$Q1876="نامعتبر"),"",Sync!$M1876)</f>
        <v/>
      </c>
      <c r="O1876">
        <f>IF($N1876="","",$Q1876)</f>
        <v/>
      </c>
      <c r="P1876">
        <f>IF($N1876="","",LEFT($Q1876,4)&amp;MID($Q1876,6,2)&amp;RIGHT($Q1876,2)&amp;IF(Sync!$K1876="","0000",IF(AND(ISNUMBER(Sync!$K1876),Sync!$K1876&gt;=0,Sync!$K1876&lt;1),RIGHT("00"&amp;HOUR(Sync!$K1876),2)&amp;RIGHT("00"&amp;MINUTE(Sync!$K1876),2),IFERROR(RIGHT("00"&amp;VALUE(LEFT(Sync!$K1876,FIND(":",Sync!$K1876)-1)),2)&amp;RIGHT("00"&amp;VALUE(MID(Sync!$K1876,FIND(":",Sync!$K1876)+1,2)),2),"0000")))&amp;"|"&amp;"2"&amp;RIGHT("00000"&amp;1871,5))</f>
        <v/>
      </c>
      <c r="Q1876">
        <f>IF(Sync!$J1876="","",IF(ISNUMBER(Sync!$J1876),IF(AND(Sync!$J1876&gt;=10000101,Sync!$J1876&lt;=99991231),INT(Sync!$J1876/10000)&amp;"/"&amp;RIGHT("00"&amp;INT(MOD(Sync!$J1876,10000)/100),2)&amp;"/"&amp;RIGHT("00"&amp;MOD(Sync!$J1876,100),2),"نامعتبر"),IF(LEN(Sync!$J1876)=10,Sync!$J1876,"نامعتبر")))</f>
        <v/>
      </c>
      <c r="R1876">
        <f>IF($P1876="","",COUNTIFS($N$6:$N$2005,$N1876,$P$6:$P$2005,"&lt;"&amp;$P1876)+COUNTIFS($A$6:$A$1005,$N1876,$B$6:$B$1005,"&lt;"&amp;$P1876)+1)</f>
        <v/>
      </c>
      <c r="S1876">
        <f>IF($N1876="","",$N1876&amp;"|"&amp;RIGHT("000000"&amp;$R1876,6))</f>
        <v/>
      </c>
      <c r="T1876">
        <f>IF($N1876="","",IF(Sync!$N1876="",0,Sync!$N1876))</f>
        <v/>
      </c>
      <c r="U1876">
        <f>IF($N1876="","",IF(Sync!$O1876="",0,Sync!$O1876))</f>
        <v/>
      </c>
      <c r="V1876">
        <f>IF($N1876="","",Sync!$L1876)</f>
        <v/>
      </c>
      <c r="W1876">
        <f>IF($N1876="","",Sync!$P1876)</f>
        <v/>
      </c>
    </row>
    <row r="1877">
      <c r="N1877">
        <f>IF(OR(Sync!$M1877="",$Q1877="",$Q1877="نامعتبر"),"",Sync!$M1877)</f>
        <v/>
      </c>
      <c r="O1877">
        <f>IF($N1877="","",$Q1877)</f>
        <v/>
      </c>
      <c r="P1877">
        <f>IF($N1877="","",LEFT($Q1877,4)&amp;MID($Q1877,6,2)&amp;RIGHT($Q1877,2)&amp;IF(Sync!$K1877="","0000",IF(AND(ISNUMBER(Sync!$K1877),Sync!$K1877&gt;=0,Sync!$K1877&lt;1),RIGHT("00"&amp;HOUR(Sync!$K1877),2)&amp;RIGHT("00"&amp;MINUTE(Sync!$K1877),2),IFERROR(RIGHT("00"&amp;VALUE(LEFT(Sync!$K1877,FIND(":",Sync!$K1877)-1)),2)&amp;RIGHT("00"&amp;VALUE(MID(Sync!$K1877,FIND(":",Sync!$K1877)+1,2)),2),"0000")))&amp;"|"&amp;"2"&amp;RIGHT("00000"&amp;1872,5))</f>
        <v/>
      </c>
      <c r="Q1877">
        <f>IF(Sync!$J1877="","",IF(ISNUMBER(Sync!$J1877),IF(AND(Sync!$J1877&gt;=10000101,Sync!$J1877&lt;=99991231),INT(Sync!$J1877/10000)&amp;"/"&amp;RIGHT("00"&amp;INT(MOD(Sync!$J1877,10000)/100),2)&amp;"/"&amp;RIGHT("00"&amp;MOD(Sync!$J1877,100),2),"نامعتبر"),IF(LEN(Sync!$J1877)=10,Sync!$J1877,"نامعتبر")))</f>
        <v/>
      </c>
      <c r="R1877">
        <f>IF($P1877="","",COUNTIFS($N$6:$N$2005,$N1877,$P$6:$P$2005,"&lt;"&amp;$P1877)+COUNTIFS($A$6:$A$1005,$N1877,$B$6:$B$1005,"&lt;"&amp;$P1877)+1)</f>
        <v/>
      </c>
      <c r="S1877">
        <f>IF($N1877="","",$N1877&amp;"|"&amp;RIGHT("000000"&amp;$R1877,6))</f>
        <v/>
      </c>
      <c r="T1877">
        <f>IF($N1877="","",IF(Sync!$N1877="",0,Sync!$N1877))</f>
        <v/>
      </c>
      <c r="U1877">
        <f>IF($N1877="","",IF(Sync!$O1877="",0,Sync!$O1877))</f>
        <v/>
      </c>
      <c r="V1877">
        <f>IF($N1877="","",Sync!$L1877)</f>
        <v/>
      </c>
      <c r="W1877">
        <f>IF($N1877="","",Sync!$P1877)</f>
        <v/>
      </c>
    </row>
    <row r="1878">
      <c r="N1878">
        <f>IF(OR(Sync!$M1878="",$Q1878="",$Q1878="نامعتبر"),"",Sync!$M1878)</f>
        <v/>
      </c>
      <c r="O1878">
        <f>IF($N1878="","",$Q1878)</f>
        <v/>
      </c>
      <c r="P1878">
        <f>IF($N1878="","",LEFT($Q1878,4)&amp;MID($Q1878,6,2)&amp;RIGHT($Q1878,2)&amp;IF(Sync!$K1878="","0000",IF(AND(ISNUMBER(Sync!$K1878),Sync!$K1878&gt;=0,Sync!$K1878&lt;1),RIGHT("00"&amp;HOUR(Sync!$K1878),2)&amp;RIGHT("00"&amp;MINUTE(Sync!$K1878),2),IFERROR(RIGHT("00"&amp;VALUE(LEFT(Sync!$K1878,FIND(":",Sync!$K1878)-1)),2)&amp;RIGHT("00"&amp;VALUE(MID(Sync!$K1878,FIND(":",Sync!$K1878)+1,2)),2),"0000")))&amp;"|"&amp;"2"&amp;RIGHT("00000"&amp;1873,5))</f>
        <v/>
      </c>
      <c r="Q1878">
        <f>IF(Sync!$J1878="","",IF(ISNUMBER(Sync!$J1878),IF(AND(Sync!$J1878&gt;=10000101,Sync!$J1878&lt;=99991231),INT(Sync!$J1878/10000)&amp;"/"&amp;RIGHT("00"&amp;INT(MOD(Sync!$J1878,10000)/100),2)&amp;"/"&amp;RIGHT("00"&amp;MOD(Sync!$J1878,100),2),"نامعتبر"),IF(LEN(Sync!$J1878)=10,Sync!$J1878,"نامعتبر")))</f>
        <v/>
      </c>
      <c r="R1878">
        <f>IF($P1878="","",COUNTIFS($N$6:$N$2005,$N1878,$P$6:$P$2005,"&lt;"&amp;$P1878)+COUNTIFS($A$6:$A$1005,$N1878,$B$6:$B$1005,"&lt;"&amp;$P1878)+1)</f>
        <v/>
      </c>
      <c r="S1878">
        <f>IF($N1878="","",$N1878&amp;"|"&amp;RIGHT("000000"&amp;$R1878,6))</f>
        <v/>
      </c>
      <c r="T1878">
        <f>IF($N1878="","",IF(Sync!$N1878="",0,Sync!$N1878))</f>
        <v/>
      </c>
      <c r="U1878">
        <f>IF($N1878="","",IF(Sync!$O1878="",0,Sync!$O1878))</f>
        <v/>
      </c>
      <c r="V1878">
        <f>IF($N1878="","",Sync!$L1878)</f>
        <v/>
      </c>
      <c r="W1878">
        <f>IF($N1878="","",Sync!$P1878)</f>
        <v/>
      </c>
    </row>
    <row r="1879">
      <c r="N1879">
        <f>IF(OR(Sync!$M1879="",$Q1879="",$Q1879="نامعتبر"),"",Sync!$M1879)</f>
        <v/>
      </c>
      <c r="O1879">
        <f>IF($N1879="","",$Q1879)</f>
        <v/>
      </c>
      <c r="P1879">
        <f>IF($N1879="","",LEFT($Q1879,4)&amp;MID($Q1879,6,2)&amp;RIGHT($Q1879,2)&amp;IF(Sync!$K1879="","0000",IF(AND(ISNUMBER(Sync!$K1879),Sync!$K1879&gt;=0,Sync!$K1879&lt;1),RIGHT("00"&amp;HOUR(Sync!$K1879),2)&amp;RIGHT("00"&amp;MINUTE(Sync!$K1879),2),IFERROR(RIGHT("00"&amp;VALUE(LEFT(Sync!$K1879,FIND(":",Sync!$K1879)-1)),2)&amp;RIGHT("00"&amp;VALUE(MID(Sync!$K1879,FIND(":",Sync!$K1879)+1,2)),2),"0000")))&amp;"|"&amp;"2"&amp;RIGHT("00000"&amp;1874,5))</f>
        <v/>
      </c>
      <c r="Q1879">
        <f>IF(Sync!$J1879="","",IF(ISNUMBER(Sync!$J1879),IF(AND(Sync!$J1879&gt;=10000101,Sync!$J1879&lt;=99991231),INT(Sync!$J1879/10000)&amp;"/"&amp;RIGHT("00"&amp;INT(MOD(Sync!$J1879,10000)/100),2)&amp;"/"&amp;RIGHT("00"&amp;MOD(Sync!$J1879,100),2),"نامعتبر"),IF(LEN(Sync!$J1879)=10,Sync!$J1879,"نامعتبر")))</f>
        <v/>
      </c>
      <c r="R1879">
        <f>IF($P1879="","",COUNTIFS($N$6:$N$2005,$N1879,$P$6:$P$2005,"&lt;"&amp;$P1879)+COUNTIFS($A$6:$A$1005,$N1879,$B$6:$B$1005,"&lt;"&amp;$P1879)+1)</f>
        <v/>
      </c>
      <c r="S1879">
        <f>IF($N1879="","",$N1879&amp;"|"&amp;RIGHT("000000"&amp;$R1879,6))</f>
        <v/>
      </c>
      <c r="T1879">
        <f>IF($N1879="","",IF(Sync!$N1879="",0,Sync!$N1879))</f>
        <v/>
      </c>
      <c r="U1879">
        <f>IF($N1879="","",IF(Sync!$O1879="",0,Sync!$O1879))</f>
        <v/>
      </c>
      <c r="V1879">
        <f>IF($N1879="","",Sync!$L1879)</f>
        <v/>
      </c>
      <c r="W1879">
        <f>IF($N1879="","",Sync!$P1879)</f>
        <v/>
      </c>
    </row>
    <row r="1880">
      <c r="N1880">
        <f>IF(OR(Sync!$M1880="",$Q1880="",$Q1880="نامعتبر"),"",Sync!$M1880)</f>
        <v/>
      </c>
      <c r="O1880">
        <f>IF($N1880="","",$Q1880)</f>
        <v/>
      </c>
      <c r="P1880">
        <f>IF($N1880="","",LEFT($Q1880,4)&amp;MID($Q1880,6,2)&amp;RIGHT($Q1880,2)&amp;IF(Sync!$K1880="","0000",IF(AND(ISNUMBER(Sync!$K1880),Sync!$K1880&gt;=0,Sync!$K1880&lt;1),RIGHT("00"&amp;HOUR(Sync!$K1880),2)&amp;RIGHT("00"&amp;MINUTE(Sync!$K1880),2),IFERROR(RIGHT("00"&amp;VALUE(LEFT(Sync!$K1880,FIND(":",Sync!$K1880)-1)),2)&amp;RIGHT("00"&amp;VALUE(MID(Sync!$K1880,FIND(":",Sync!$K1880)+1,2)),2),"0000")))&amp;"|"&amp;"2"&amp;RIGHT("00000"&amp;1875,5))</f>
        <v/>
      </c>
      <c r="Q1880">
        <f>IF(Sync!$J1880="","",IF(ISNUMBER(Sync!$J1880),IF(AND(Sync!$J1880&gt;=10000101,Sync!$J1880&lt;=99991231),INT(Sync!$J1880/10000)&amp;"/"&amp;RIGHT("00"&amp;INT(MOD(Sync!$J1880,10000)/100),2)&amp;"/"&amp;RIGHT("00"&amp;MOD(Sync!$J1880,100),2),"نامعتبر"),IF(LEN(Sync!$J1880)=10,Sync!$J1880,"نامعتبر")))</f>
        <v/>
      </c>
      <c r="R1880">
        <f>IF($P1880="","",COUNTIFS($N$6:$N$2005,$N1880,$P$6:$P$2005,"&lt;"&amp;$P1880)+COUNTIFS($A$6:$A$1005,$N1880,$B$6:$B$1005,"&lt;"&amp;$P1880)+1)</f>
        <v/>
      </c>
      <c r="S1880">
        <f>IF($N1880="","",$N1880&amp;"|"&amp;RIGHT("000000"&amp;$R1880,6))</f>
        <v/>
      </c>
      <c r="T1880">
        <f>IF($N1880="","",IF(Sync!$N1880="",0,Sync!$N1880))</f>
        <v/>
      </c>
      <c r="U1880">
        <f>IF($N1880="","",IF(Sync!$O1880="",0,Sync!$O1880))</f>
        <v/>
      </c>
      <c r="V1880">
        <f>IF($N1880="","",Sync!$L1880)</f>
        <v/>
      </c>
      <c r="W1880">
        <f>IF($N1880="","",Sync!$P1880)</f>
        <v/>
      </c>
    </row>
    <row r="1881">
      <c r="N1881">
        <f>IF(OR(Sync!$M1881="",$Q1881="",$Q1881="نامعتبر"),"",Sync!$M1881)</f>
        <v/>
      </c>
      <c r="O1881">
        <f>IF($N1881="","",$Q1881)</f>
        <v/>
      </c>
      <c r="P1881">
        <f>IF($N1881="","",LEFT($Q1881,4)&amp;MID($Q1881,6,2)&amp;RIGHT($Q1881,2)&amp;IF(Sync!$K1881="","0000",IF(AND(ISNUMBER(Sync!$K1881),Sync!$K1881&gt;=0,Sync!$K1881&lt;1),RIGHT("00"&amp;HOUR(Sync!$K1881),2)&amp;RIGHT("00"&amp;MINUTE(Sync!$K1881),2),IFERROR(RIGHT("00"&amp;VALUE(LEFT(Sync!$K1881,FIND(":",Sync!$K1881)-1)),2)&amp;RIGHT("00"&amp;VALUE(MID(Sync!$K1881,FIND(":",Sync!$K1881)+1,2)),2),"0000")))&amp;"|"&amp;"2"&amp;RIGHT("00000"&amp;1876,5))</f>
        <v/>
      </c>
      <c r="Q1881">
        <f>IF(Sync!$J1881="","",IF(ISNUMBER(Sync!$J1881),IF(AND(Sync!$J1881&gt;=10000101,Sync!$J1881&lt;=99991231),INT(Sync!$J1881/10000)&amp;"/"&amp;RIGHT("00"&amp;INT(MOD(Sync!$J1881,10000)/100),2)&amp;"/"&amp;RIGHT("00"&amp;MOD(Sync!$J1881,100),2),"نامعتبر"),IF(LEN(Sync!$J1881)=10,Sync!$J1881,"نامعتبر")))</f>
        <v/>
      </c>
      <c r="R1881">
        <f>IF($P1881="","",COUNTIFS($N$6:$N$2005,$N1881,$P$6:$P$2005,"&lt;"&amp;$P1881)+COUNTIFS($A$6:$A$1005,$N1881,$B$6:$B$1005,"&lt;"&amp;$P1881)+1)</f>
        <v/>
      </c>
      <c r="S1881">
        <f>IF($N1881="","",$N1881&amp;"|"&amp;RIGHT("000000"&amp;$R1881,6))</f>
        <v/>
      </c>
      <c r="T1881">
        <f>IF($N1881="","",IF(Sync!$N1881="",0,Sync!$N1881))</f>
        <v/>
      </c>
      <c r="U1881">
        <f>IF($N1881="","",IF(Sync!$O1881="",0,Sync!$O1881))</f>
        <v/>
      </c>
      <c r="V1881">
        <f>IF($N1881="","",Sync!$L1881)</f>
        <v/>
      </c>
      <c r="W1881">
        <f>IF($N1881="","",Sync!$P1881)</f>
        <v/>
      </c>
    </row>
    <row r="1882">
      <c r="N1882">
        <f>IF(OR(Sync!$M1882="",$Q1882="",$Q1882="نامعتبر"),"",Sync!$M1882)</f>
        <v/>
      </c>
      <c r="O1882">
        <f>IF($N1882="","",$Q1882)</f>
        <v/>
      </c>
      <c r="P1882">
        <f>IF($N1882="","",LEFT($Q1882,4)&amp;MID($Q1882,6,2)&amp;RIGHT($Q1882,2)&amp;IF(Sync!$K1882="","0000",IF(AND(ISNUMBER(Sync!$K1882),Sync!$K1882&gt;=0,Sync!$K1882&lt;1),RIGHT("00"&amp;HOUR(Sync!$K1882),2)&amp;RIGHT("00"&amp;MINUTE(Sync!$K1882),2),IFERROR(RIGHT("00"&amp;VALUE(LEFT(Sync!$K1882,FIND(":",Sync!$K1882)-1)),2)&amp;RIGHT("00"&amp;VALUE(MID(Sync!$K1882,FIND(":",Sync!$K1882)+1,2)),2),"0000")))&amp;"|"&amp;"2"&amp;RIGHT("00000"&amp;1877,5))</f>
        <v/>
      </c>
      <c r="Q1882">
        <f>IF(Sync!$J1882="","",IF(ISNUMBER(Sync!$J1882),IF(AND(Sync!$J1882&gt;=10000101,Sync!$J1882&lt;=99991231),INT(Sync!$J1882/10000)&amp;"/"&amp;RIGHT("00"&amp;INT(MOD(Sync!$J1882,10000)/100),2)&amp;"/"&amp;RIGHT("00"&amp;MOD(Sync!$J1882,100),2),"نامعتبر"),IF(LEN(Sync!$J1882)=10,Sync!$J1882,"نامعتبر")))</f>
        <v/>
      </c>
      <c r="R1882">
        <f>IF($P1882="","",COUNTIFS($N$6:$N$2005,$N1882,$P$6:$P$2005,"&lt;"&amp;$P1882)+COUNTIFS($A$6:$A$1005,$N1882,$B$6:$B$1005,"&lt;"&amp;$P1882)+1)</f>
        <v/>
      </c>
      <c r="S1882">
        <f>IF($N1882="","",$N1882&amp;"|"&amp;RIGHT("000000"&amp;$R1882,6))</f>
        <v/>
      </c>
      <c r="T1882">
        <f>IF($N1882="","",IF(Sync!$N1882="",0,Sync!$N1882))</f>
        <v/>
      </c>
      <c r="U1882">
        <f>IF($N1882="","",IF(Sync!$O1882="",0,Sync!$O1882))</f>
        <v/>
      </c>
      <c r="V1882">
        <f>IF($N1882="","",Sync!$L1882)</f>
        <v/>
      </c>
      <c r="W1882">
        <f>IF($N1882="","",Sync!$P1882)</f>
        <v/>
      </c>
    </row>
    <row r="1883">
      <c r="N1883">
        <f>IF(OR(Sync!$M1883="",$Q1883="",$Q1883="نامعتبر"),"",Sync!$M1883)</f>
        <v/>
      </c>
      <c r="O1883">
        <f>IF($N1883="","",$Q1883)</f>
        <v/>
      </c>
      <c r="P1883">
        <f>IF($N1883="","",LEFT($Q1883,4)&amp;MID($Q1883,6,2)&amp;RIGHT($Q1883,2)&amp;IF(Sync!$K1883="","0000",IF(AND(ISNUMBER(Sync!$K1883),Sync!$K1883&gt;=0,Sync!$K1883&lt;1),RIGHT("00"&amp;HOUR(Sync!$K1883),2)&amp;RIGHT("00"&amp;MINUTE(Sync!$K1883),2),IFERROR(RIGHT("00"&amp;VALUE(LEFT(Sync!$K1883,FIND(":",Sync!$K1883)-1)),2)&amp;RIGHT("00"&amp;VALUE(MID(Sync!$K1883,FIND(":",Sync!$K1883)+1,2)),2),"0000")))&amp;"|"&amp;"2"&amp;RIGHT("00000"&amp;1878,5))</f>
        <v/>
      </c>
      <c r="Q1883">
        <f>IF(Sync!$J1883="","",IF(ISNUMBER(Sync!$J1883),IF(AND(Sync!$J1883&gt;=10000101,Sync!$J1883&lt;=99991231),INT(Sync!$J1883/10000)&amp;"/"&amp;RIGHT("00"&amp;INT(MOD(Sync!$J1883,10000)/100),2)&amp;"/"&amp;RIGHT("00"&amp;MOD(Sync!$J1883,100),2),"نامعتبر"),IF(LEN(Sync!$J1883)=10,Sync!$J1883,"نامعتبر")))</f>
        <v/>
      </c>
      <c r="R1883">
        <f>IF($P1883="","",COUNTIFS($N$6:$N$2005,$N1883,$P$6:$P$2005,"&lt;"&amp;$P1883)+COUNTIFS($A$6:$A$1005,$N1883,$B$6:$B$1005,"&lt;"&amp;$P1883)+1)</f>
        <v/>
      </c>
      <c r="S1883">
        <f>IF($N1883="","",$N1883&amp;"|"&amp;RIGHT("000000"&amp;$R1883,6))</f>
        <v/>
      </c>
      <c r="T1883">
        <f>IF($N1883="","",IF(Sync!$N1883="",0,Sync!$N1883))</f>
        <v/>
      </c>
      <c r="U1883">
        <f>IF($N1883="","",IF(Sync!$O1883="",0,Sync!$O1883))</f>
        <v/>
      </c>
      <c r="V1883">
        <f>IF($N1883="","",Sync!$L1883)</f>
        <v/>
      </c>
      <c r="W1883">
        <f>IF($N1883="","",Sync!$P1883)</f>
        <v/>
      </c>
    </row>
    <row r="1884">
      <c r="N1884">
        <f>IF(OR(Sync!$M1884="",$Q1884="",$Q1884="نامعتبر"),"",Sync!$M1884)</f>
        <v/>
      </c>
      <c r="O1884">
        <f>IF($N1884="","",$Q1884)</f>
        <v/>
      </c>
      <c r="P1884">
        <f>IF($N1884="","",LEFT($Q1884,4)&amp;MID($Q1884,6,2)&amp;RIGHT($Q1884,2)&amp;IF(Sync!$K1884="","0000",IF(AND(ISNUMBER(Sync!$K1884),Sync!$K1884&gt;=0,Sync!$K1884&lt;1),RIGHT("00"&amp;HOUR(Sync!$K1884),2)&amp;RIGHT("00"&amp;MINUTE(Sync!$K1884),2),IFERROR(RIGHT("00"&amp;VALUE(LEFT(Sync!$K1884,FIND(":",Sync!$K1884)-1)),2)&amp;RIGHT("00"&amp;VALUE(MID(Sync!$K1884,FIND(":",Sync!$K1884)+1,2)),2),"0000")))&amp;"|"&amp;"2"&amp;RIGHT("00000"&amp;1879,5))</f>
        <v/>
      </c>
      <c r="Q1884">
        <f>IF(Sync!$J1884="","",IF(ISNUMBER(Sync!$J1884),IF(AND(Sync!$J1884&gt;=10000101,Sync!$J1884&lt;=99991231),INT(Sync!$J1884/10000)&amp;"/"&amp;RIGHT("00"&amp;INT(MOD(Sync!$J1884,10000)/100),2)&amp;"/"&amp;RIGHT("00"&amp;MOD(Sync!$J1884,100),2),"نامعتبر"),IF(LEN(Sync!$J1884)=10,Sync!$J1884,"نامعتبر")))</f>
        <v/>
      </c>
      <c r="R1884">
        <f>IF($P1884="","",COUNTIFS($N$6:$N$2005,$N1884,$P$6:$P$2005,"&lt;"&amp;$P1884)+COUNTIFS($A$6:$A$1005,$N1884,$B$6:$B$1005,"&lt;"&amp;$P1884)+1)</f>
        <v/>
      </c>
      <c r="S1884">
        <f>IF($N1884="","",$N1884&amp;"|"&amp;RIGHT("000000"&amp;$R1884,6))</f>
        <v/>
      </c>
      <c r="T1884">
        <f>IF($N1884="","",IF(Sync!$N1884="",0,Sync!$N1884))</f>
        <v/>
      </c>
      <c r="U1884">
        <f>IF($N1884="","",IF(Sync!$O1884="",0,Sync!$O1884))</f>
        <v/>
      </c>
      <c r="V1884">
        <f>IF($N1884="","",Sync!$L1884)</f>
        <v/>
      </c>
      <c r="W1884">
        <f>IF($N1884="","",Sync!$P1884)</f>
        <v/>
      </c>
    </row>
    <row r="1885">
      <c r="N1885">
        <f>IF(OR(Sync!$M1885="",$Q1885="",$Q1885="نامعتبر"),"",Sync!$M1885)</f>
        <v/>
      </c>
      <c r="O1885">
        <f>IF($N1885="","",$Q1885)</f>
        <v/>
      </c>
      <c r="P1885">
        <f>IF($N1885="","",LEFT($Q1885,4)&amp;MID($Q1885,6,2)&amp;RIGHT($Q1885,2)&amp;IF(Sync!$K1885="","0000",IF(AND(ISNUMBER(Sync!$K1885),Sync!$K1885&gt;=0,Sync!$K1885&lt;1),RIGHT("00"&amp;HOUR(Sync!$K1885),2)&amp;RIGHT("00"&amp;MINUTE(Sync!$K1885),2),IFERROR(RIGHT("00"&amp;VALUE(LEFT(Sync!$K1885,FIND(":",Sync!$K1885)-1)),2)&amp;RIGHT("00"&amp;VALUE(MID(Sync!$K1885,FIND(":",Sync!$K1885)+1,2)),2),"0000")))&amp;"|"&amp;"2"&amp;RIGHT("00000"&amp;1880,5))</f>
        <v/>
      </c>
      <c r="Q1885">
        <f>IF(Sync!$J1885="","",IF(ISNUMBER(Sync!$J1885),IF(AND(Sync!$J1885&gt;=10000101,Sync!$J1885&lt;=99991231),INT(Sync!$J1885/10000)&amp;"/"&amp;RIGHT("00"&amp;INT(MOD(Sync!$J1885,10000)/100),2)&amp;"/"&amp;RIGHT("00"&amp;MOD(Sync!$J1885,100),2),"نامعتبر"),IF(LEN(Sync!$J1885)=10,Sync!$J1885,"نامعتبر")))</f>
        <v/>
      </c>
      <c r="R1885">
        <f>IF($P1885="","",COUNTIFS($N$6:$N$2005,$N1885,$P$6:$P$2005,"&lt;"&amp;$P1885)+COUNTIFS($A$6:$A$1005,$N1885,$B$6:$B$1005,"&lt;"&amp;$P1885)+1)</f>
        <v/>
      </c>
      <c r="S1885">
        <f>IF($N1885="","",$N1885&amp;"|"&amp;RIGHT("000000"&amp;$R1885,6))</f>
        <v/>
      </c>
      <c r="T1885">
        <f>IF($N1885="","",IF(Sync!$N1885="",0,Sync!$N1885))</f>
        <v/>
      </c>
      <c r="U1885">
        <f>IF($N1885="","",IF(Sync!$O1885="",0,Sync!$O1885))</f>
        <v/>
      </c>
      <c r="V1885">
        <f>IF($N1885="","",Sync!$L1885)</f>
        <v/>
      </c>
      <c r="W1885">
        <f>IF($N1885="","",Sync!$P1885)</f>
        <v/>
      </c>
    </row>
    <row r="1886">
      <c r="N1886">
        <f>IF(OR(Sync!$M1886="",$Q1886="",$Q1886="نامعتبر"),"",Sync!$M1886)</f>
        <v/>
      </c>
      <c r="O1886">
        <f>IF($N1886="","",$Q1886)</f>
        <v/>
      </c>
      <c r="P1886">
        <f>IF($N1886="","",LEFT($Q1886,4)&amp;MID($Q1886,6,2)&amp;RIGHT($Q1886,2)&amp;IF(Sync!$K1886="","0000",IF(AND(ISNUMBER(Sync!$K1886),Sync!$K1886&gt;=0,Sync!$K1886&lt;1),RIGHT("00"&amp;HOUR(Sync!$K1886),2)&amp;RIGHT("00"&amp;MINUTE(Sync!$K1886),2),IFERROR(RIGHT("00"&amp;VALUE(LEFT(Sync!$K1886,FIND(":",Sync!$K1886)-1)),2)&amp;RIGHT("00"&amp;VALUE(MID(Sync!$K1886,FIND(":",Sync!$K1886)+1,2)),2),"0000")))&amp;"|"&amp;"2"&amp;RIGHT("00000"&amp;1881,5))</f>
        <v/>
      </c>
      <c r="Q1886">
        <f>IF(Sync!$J1886="","",IF(ISNUMBER(Sync!$J1886),IF(AND(Sync!$J1886&gt;=10000101,Sync!$J1886&lt;=99991231),INT(Sync!$J1886/10000)&amp;"/"&amp;RIGHT("00"&amp;INT(MOD(Sync!$J1886,10000)/100),2)&amp;"/"&amp;RIGHT("00"&amp;MOD(Sync!$J1886,100),2),"نامعتبر"),IF(LEN(Sync!$J1886)=10,Sync!$J1886,"نامعتبر")))</f>
        <v/>
      </c>
      <c r="R1886">
        <f>IF($P1886="","",COUNTIFS($N$6:$N$2005,$N1886,$P$6:$P$2005,"&lt;"&amp;$P1886)+COUNTIFS($A$6:$A$1005,$N1886,$B$6:$B$1005,"&lt;"&amp;$P1886)+1)</f>
        <v/>
      </c>
      <c r="S1886">
        <f>IF($N1886="","",$N1886&amp;"|"&amp;RIGHT("000000"&amp;$R1886,6))</f>
        <v/>
      </c>
      <c r="T1886">
        <f>IF($N1886="","",IF(Sync!$N1886="",0,Sync!$N1886))</f>
        <v/>
      </c>
      <c r="U1886">
        <f>IF($N1886="","",IF(Sync!$O1886="",0,Sync!$O1886))</f>
        <v/>
      </c>
      <c r="V1886">
        <f>IF($N1886="","",Sync!$L1886)</f>
        <v/>
      </c>
      <c r="W1886">
        <f>IF($N1886="","",Sync!$P1886)</f>
        <v/>
      </c>
    </row>
    <row r="1887">
      <c r="N1887">
        <f>IF(OR(Sync!$M1887="",$Q1887="",$Q1887="نامعتبر"),"",Sync!$M1887)</f>
        <v/>
      </c>
      <c r="O1887">
        <f>IF($N1887="","",$Q1887)</f>
        <v/>
      </c>
      <c r="P1887">
        <f>IF($N1887="","",LEFT($Q1887,4)&amp;MID($Q1887,6,2)&amp;RIGHT($Q1887,2)&amp;IF(Sync!$K1887="","0000",IF(AND(ISNUMBER(Sync!$K1887),Sync!$K1887&gt;=0,Sync!$K1887&lt;1),RIGHT("00"&amp;HOUR(Sync!$K1887),2)&amp;RIGHT("00"&amp;MINUTE(Sync!$K1887),2),IFERROR(RIGHT("00"&amp;VALUE(LEFT(Sync!$K1887,FIND(":",Sync!$K1887)-1)),2)&amp;RIGHT("00"&amp;VALUE(MID(Sync!$K1887,FIND(":",Sync!$K1887)+1,2)),2),"0000")))&amp;"|"&amp;"2"&amp;RIGHT("00000"&amp;1882,5))</f>
        <v/>
      </c>
      <c r="Q1887">
        <f>IF(Sync!$J1887="","",IF(ISNUMBER(Sync!$J1887),IF(AND(Sync!$J1887&gt;=10000101,Sync!$J1887&lt;=99991231),INT(Sync!$J1887/10000)&amp;"/"&amp;RIGHT("00"&amp;INT(MOD(Sync!$J1887,10000)/100),2)&amp;"/"&amp;RIGHT("00"&amp;MOD(Sync!$J1887,100),2),"نامعتبر"),IF(LEN(Sync!$J1887)=10,Sync!$J1887,"نامعتبر")))</f>
        <v/>
      </c>
      <c r="R1887">
        <f>IF($P1887="","",COUNTIFS($N$6:$N$2005,$N1887,$P$6:$P$2005,"&lt;"&amp;$P1887)+COUNTIFS($A$6:$A$1005,$N1887,$B$6:$B$1005,"&lt;"&amp;$P1887)+1)</f>
        <v/>
      </c>
      <c r="S1887">
        <f>IF($N1887="","",$N1887&amp;"|"&amp;RIGHT("000000"&amp;$R1887,6))</f>
        <v/>
      </c>
      <c r="T1887">
        <f>IF($N1887="","",IF(Sync!$N1887="",0,Sync!$N1887))</f>
        <v/>
      </c>
      <c r="U1887">
        <f>IF($N1887="","",IF(Sync!$O1887="",0,Sync!$O1887))</f>
        <v/>
      </c>
      <c r="V1887">
        <f>IF($N1887="","",Sync!$L1887)</f>
        <v/>
      </c>
      <c r="W1887">
        <f>IF($N1887="","",Sync!$P1887)</f>
        <v/>
      </c>
    </row>
    <row r="1888">
      <c r="N1888">
        <f>IF(OR(Sync!$M1888="",$Q1888="",$Q1888="نامعتبر"),"",Sync!$M1888)</f>
        <v/>
      </c>
      <c r="O1888">
        <f>IF($N1888="","",$Q1888)</f>
        <v/>
      </c>
      <c r="P1888">
        <f>IF($N1888="","",LEFT($Q1888,4)&amp;MID($Q1888,6,2)&amp;RIGHT($Q1888,2)&amp;IF(Sync!$K1888="","0000",IF(AND(ISNUMBER(Sync!$K1888),Sync!$K1888&gt;=0,Sync!$K1888&lt;1),RIGHT("00"&amp;HOUR(Sync!$K1888),2)&amp;RIGHT("00"&amp;MINUTE(Sync!$K1888),2),IFERROR(RIGHT("00"&amp;VALUE(LEFT(Sync!$K1888,FIND(":",Sync!$K1888)-1)),2)&amp;RIGHT("00"&amp;VALUE(MID(Sync!$K1888,FIND(":",Sync!$K1888)+1,2)),2),"0000")))&amp;"|"&amp;"2"&amp;RIGHT("00000"&amp;1883,5))</f>
        <v/>
      </c>
      <c r="Q1888">
        <f>IF(Sync!$J1888="","",IF(ISNUMBER(Sync!$J1888),IF(AND(Sync!$J1888&gt;=10000101,Sync!$J1888&lt;=99991231),INT(Sync!$J1888/10000)&amp;"/"&amp;RIGHT("00"&amp;INT(MOD(Sync!$J1888,10000)/100),2)&amp;"/"&amp;RIGHT("00"&amp;MOD(Sync!$J1888,100),2),"نامعتبر"),IF(LEN(Sync!$J1888)=10,Sync!$J1888,"نامعتبر")))</f>
        <v/>
      </c>
      <c r="R1888">
        <f>IF($P1888="","",COUNTIFS($N$6:$N$2005,$N1888,$P$6:$P$2005,"&lt;"&amp;$P1888)+COUNTIFS($A$6:$A$1005,$N1888,$B$6:$B$1005,"&lt;"&amp;$P1888)+1)</f>
        <v/>
      </c>
      <c r="S1888">
        <f>IF($N1888="","",$N1888&amp;"|"&amp;RIGHT("000000"&amp;$R1888,6))</f>
        <v/>
      </c>
      <c r="T1888">
        <f>IF($N1888="","",IF(Sync!$N1888="",0,Sync!$N1888))</f>
        <v/>
      </c>
      <c r="U1888">
        <f>IF($N1888="","",IF(Sync!$O1888="",0,Sync!$O1888))</f>
        <v/>
      </c>
      <c r="V1888">
        <f>IF($N1888="","",Sync!$L1888)</f>
        <v/>
      </c>
      <c r="W1888">
        <f>IF($N1888="","",Sync!$P1888)</f>
        <v/>
      </c>
    </row>
    <row r="1889">
      <c r="N1889">
        <f>IF(OR(Sync!$M1889="",$Q1889="",$Q1889="نامعتبر"),"",Sync!$M1889)</f>
        <v/>
      </c>
      <c r="O1889">
        <f>IF($N1889="","",$Q1889)</f>
        <v/>
      </c>
      <c r="P1889">
        <f>IF($N1889="","",LEFT($Q1889,4)&amp;MID($Q1889,6,2)&amp;RIGHT($Q1889,2)&amp;IF(Sync!$K1889="","0000",IF(AND(ISNUMBER(Sync!$K1889),Sync!$K1889&gt;=0,Sync!$K1889&lt;1),RIGHT("00"&amp;HOUR(Sync!$K1889),2)&amp;RIGHT("00"&amp;MINUTE(Sync!$K1889),2),IFERROR(RIGHT("00"&amp;VALUE(LEFT(Sync!$K1889,FIND(":",Sync!$K1889)-1)),2)&amp;RIGHT("00"&amp;VALUE(MID(Sync!$K1889,FIND(":",Sync!$K1889)+1,2)),2),"0000")))&amp;"|"&amp;"2"&amp;RIGHT("00000"&amp;1884,5))</f>
        <v/>
      </c>
      <c r="Q1889">
        <f>IF(Sync!$J1889="","",IF(ISNUMBER(Sync!$J1889),IF(AND(Sync!$J1889&gt;=10000101,Sync!$J1889&lt;=99991231),INT(Sync!$J1889/10000)&amp;"/"&amp;RIGHT("00"&amp;INT(MOD(Sync!$J1889,10000)/100),2)&amp;"/"&amp;RIGHT("00"&amp;MOD(Sync!$J1889,100),2),"نامعتبر"),IF(LEN(Sync!$J1889)=10,Sync!$J1889,"نامعتبر")))</f>
        <v/>
      </c>
      <c r="R1889">
        <f>IF($P1889="","",COUNTIFS($N$6:$N$2005,$N1889,$P$6:$P$2005,"&lt;"&amp;$P1889)+COUNTIFS($A$6:$A$1005,$N1889,$B$6:$B$1005,"&lt;"&amp;$P1889)+1)</f>
        <v/>
      </c>
      <c r="S1889">
        <f>IF($N1889="","",$N1889&amp;"|"&amp;RIGHT("000000"&amp;$R1889,6))</f>
        <v/>
      </c>
      <c r="T1889">
        <f>IF($N1889="","",IF(Sync!$N1889="",0,Sync!$N1889))</f>
        <v/>
      </c>
      <c r="U1889">
        <f>IF($N1889="","",IF(Sync!$O1889="",0,Sync!$O1889))</f>
        <v/>
      </c>
      <c r="V1889">
        <f>IF($N1889="","",Sync!$L1889)</f>
        <v/>
      </c>
      <c r="W1889">
        <f>IF($N1889="","",Sync!$P1889)</f>
        <v/>
      </c>
    </row>
    <row r="1890">
      <c r="N1890">
        <f>IF(OR(Sync!$M1890="",$Q1890="",$Q1890="نامعتبر"),"",Sync!$M1890)</f>
        <v/>
      </c>
      <c r="O1890">
        <f>IF($N1890="","",$Q1890)</f>
        <v/>
      </c>
      <c r="P1890">
        <f>IF($N1890="","",LEFT($Q1890,4)&amp;MID($Q1890,6,2)&amp;RIGHT($Q1890,2)&amp;IF(Sync!$K1890="","0000",IF(AND(ISNUMBER(Sync!$K1890),Sync!$K1890&gt;=0,Sync!$K1890&lt;1),RIGHT("00"&amp;HOUR(Sync!$K1890),2)&amp;RIGHT("00"&amp;MINUTE(Sync!$K1890),2),IFERROR(RIGHT("00"&amp;VALUE(LEFT(Sync!$K1890,FIND(":",Sync!$K1890)-1)),2)&amp;RIGHT("00"&amp;VALUE(MID(Sync!$K1890,FIND(":",Sync!$K1890)+1,2)),2),"0000")))&amp;"|"&amp;"2"&amp;RIGHT("00000"&amp;1885,5))</f>
        <v/>
      </c>
      <c r="Q1890">
        <f>IF(Sync!$J1890="","",IF(ISNUMBER(Sync!$J1890),IF(AND(Sync!$J1890&gt;=10000101,Sync!$J1890&lt;=99991231),INT(Sync!$J1890/10000)&amp;"/"&amp;RIGHT("00"&amp;INT(MOD(Sync!$J1890,10000)/100),2)&amp;"/"&amp;RIGHT("00"&amp;MOD(Sync!$J1890,100),2),"نامعتبر"),IF(LEN(Sync!$J1890)=10,Sync!$J1890,"نامعتبر")))</f>
        <v/>
      </c>
      <c r="R1890">
        <f>IF($P1890="","",COUNTIFS($N$6:$N$2005,$N1890,$P$6:$P$2005,"&lt;"&amp;$P1890)+COUNTIFS($A$6:$A$1005,$N1890,$B$6:$B$1005,"&lt;"&amp;$P1890)+1)</f>
        <v/>
      </c>
      <c r="S1890">
        <f>IF($N1890="","",$N1890&amp;"|"&amp;RIGHT("000000"&amp;$R1890,6))</f>
        <v/>
      </c>
      <c r="T1890">
        <f>IF($N1890="","",IF(Sync!$N1890="",0,Sync!$N1890))</f>
        <v/>
      </c>
      <c r="U1890">
        <f>IF($N1890="","",IF(Sync!$O1890="",0,Sync!$O1890))</f>
        <v/>
      </c>
      <c r="V1890">
        <f>IF($N1890="","",Sync!$L1890)</f>
        <v/>
      </c>
      <c r="W1890">
        <f>IF($N1890="","",Sync!$P1890)</f>
        <v/>
      </c>
    </row>
    <row r="1891">
      <c r="N1891">
        <f>IF(OR(Sync!$M1891="",$Q1891="",$Q1891="نامعتبر"),"",Sync!$M1891)</f>
        <v/>
      </c>
      <c r="O1891">
        <f>IF($N1891="","",$Q1891)</f>
        <v/>
      </c>
      <c r="P1891">
        <f>IF($N1891="","",LEFT($Q1891,4)&amp;MID($Q1891,6,2)&amp;RIGHT($Q1891,2)&amp;IF(Sync!$K1891="","0000",IF(AND(ISNUMBER(Sync!$K1891),Sync!$K1891&gt;=0,Sync!$K1891&lt;1),RIGHT("00"&amp;HOUR(Sync!$K1891),2)&amp;RIGHT("00"&amp;MINUTE(Sync!$K1891),2),IFERROR(RIGHT("00"&amp;VALUE(LEFT(Sync!$K1891,FIND(":",Sync!$K1891)-1)),2)&amp;RIGHT("00"&amp;VALUE(MID(Sync!$K1891,FIND(":",Sync!$K1891)+1,2)),2),"0000")))&amp;"|"&amp;"2"&amp;RIGHT("00000"&amp;1886,5))</f>
        <v/>
      </c>
      <c r="Q1891">
        <f>IF(Sync!$J1891="","",IF(ISNUMBER(Sync!$J1891),IF(AND(Sync!$J1891&gt;=10000101,Sync!$J1891&lt;=99991231),INT(Sync!$J1891/10000)&amp;"/"&amp;RIGHT("00"&amp;INT(MOD(Sync!$J1891,10000)/100),2)&amp;"/"&amp;RIGHT("00"&amp;MOD(Sync!$J1891,100),2),"نامعتبر"),IF(LEN(Sync!$J1891)=10,Sync!$J1891,"نامعتبر")))</f>
        <v/>
      </c>
      <c r="R1891">
        <f>IF($P1891="","",COUNTIFS($N$6:$N$2005,$N1891,$P$6:$P$2005,"&lt;"&amp;$P1891)+COUNTIFS($A$6:$A$1005,$N1891,$B$6:$B$1005,"&lt;"&amp;$P1891)+1)</f>
        <v/>
      </c>
      <c r="S1891">
        <f>IF($N1891="","",$N1891&amp;"|"&amp;RIGHT("000000"&amp;$R1891,6))</f>
        <v/>
      </c>
      <c r="T1891">
        <f>IF($N1891="","",IF(Sync!$N1891="",0,Sync!$N1891))</f>
        <v/>
      </c>
      <c r="U1891">
        <f>IF($N1891="","",IF(Sync!$O1891="",0,Sync!$O1891))</f>
        <v/>
      </c>
      <c r="V1891">
        <f>IF($N1891="","",Sync!$L1891)</f>
        <v/>
      </c>
      <c r="W1891">
        <f>IF($N1891="","",Sync!$P1891)</f>
        <v/>
      </c>
    </row>
    <row r="1892">
      <c r="N1892">
        <f>IF(OR(Sync!$M1892="",$Q1892="",$Q1892="نامعتبر"),"",Sync!$M1892)</f>
        <v/>
      </c>
      <c r="O1892">
        <f>IF($N1892="","",$Q1892)</f>
        <v/>
      </c>
      <c r="P1892">
        <f>IF($N1892="","",LEFT($Q1892,4)&amp;MID($Q1892,6,2)&amp;RIGHT($Q1892,2)&amp;IF(Sync!$K1892="","0000",IF(AND(ISNUMBER(Sync!$K1892),Sync!$K1892&gt;=0,Sync!$K1892&lt;1),RIGHT("00"&amp;HOUR(Sync!$K1892),2)&amp;RIGHT("00"&amp;MINUTE(Sync!$K1892),2),IFERROR(RIGHT("00"&amp;VALUE(LEFT(Sync!$K1892,FIND(":",Sync!$K1892)-1)),2)&amp;RIGHT("00"&amp;VALUE(MID(Sync!$K1892,FIND(":",Sync!$K1892)+1,2)),2),"0000")))&amp;"|"&amp;"2"&amp;RIGHT("00000"&amp;1887,5))</f>
        <v/>
      </c>
      <c r="Q1892">
        <f>IF(Sync!$J1892="","",IF(ISNUMBER(Sync!$J1892),IF(AND(Sync!$J1892&gt;=10000101,Sync!$J1892&lt;=99991231),INT(Sync!$J1892/10000)&amp;"/"&amp;RIGHT("00"&amp;INT(MOD(Sync!$J1892,10000)/100),2)&amp;"/"&amp;RIGHT("00"&amp;MOD(Sync!$J1892,100),2),"نامعتبر"),IF(LEN(Sync!$J1892)=10,Sync!$J1892,"نامعتبر")))</f>
        <v/>
      </c>
      <c r="R1892">
        <f>IF($P1892="","",COUNTIFS($N$6:$N$2005,$N1892,$P$6:$P$2005,"&lt;"&amp;$P1892)+COUNTIFS($A$6:$A$1005,$N1892,$B$6:$B$1005,"&lt;"&amp;$P1892)+1)</f>
        <v/>
      </c>
      <c r="S1892">
        <f>IF($N1892="","",$N1892&amp;"|"&amp;RIGHT("000000"&amp;$R1892,6))</f>
        <v/>
      </c>
      <c r="T1892">
        <f>IF($N1892="","",IF(Sync!$N1892="",0,Sync!$N1892))</f>
        <v/>
      </c>
      <c r="U1892">
        <f>IF($N1892="","",IF(Sync!$O1892="",0,Sync!$O1892))</f>
        <v/>
      </c>
      <c r="V1892">
        <f>IF($N1892="","",Sync!$L1892)</f>
        <v/>
      </c>
      <c r="W1892">
        <f>IF($N1892="","",Sync!$P1892)</f>
        <v/>
      </c>
    </row>
    <row r="1893">
      <c r="N1893">
        <f>IF(OR(Sync!$M1893="",$Q1893="",$Q1893="نامعتبر"),"",Sync!$M1893)</f>
        <v/>
      </c>
      <c r="O1893">
        <f>IF($N1893="","",$Q1893)</f>
        <v/>
      </c>
      <c r="P1893">
        <f>IF($N1893="","",LEFT($Q1893,4)&amp;MID($Q1893,6,2)&amp;RIGHT($Q1893,2)&amp;IF(Sync!$K1893="","0000",IF(AND(ISNUMBER(Sync!$K1893),Sync!$K1893&gt;=0,Sync!$K1893&lt;1),RIGHT("00"&amp;HOUR(Sync!$K1893),2)&amp;RIGHT("00"&amp;MINUTE(Sync!$K1893),2),IFERROR(RIGHT("00"&amp;VALUE(LEFT(Sync!$K1893,FIND(":",Sync!$K1893)-1)),2)&amp;RIGHT("00"&amp;VALUE(MID(Sync!$K1893,FIND(":",Sync!$K1893)+1,2)),2),"0000")))&amp;"|"&amp;"2"&amp;RIGHT("00000"&amp;1888,5))</f>
        <v/>
      </c>
      <c r="Q1893">
        <f>IF(Sync!$J1893="","",IF(ISNUMBER(Sync!$J1893),IF(AND(Sync!$J1893&gt;=10000101,Sync!$J1893&lt;=99991231),INT(Sync!$J1893/10000)&amp;"/"&amp;RIGHT("00"&amp;INT(MOD(Sync!$J1893,10000)/100),2)&amp;"/"&amp;RIGHT("00"&amp;MOD(Sync!$J1893,100),2),"نامعتبر"),IF(LEN(Sync!$J1893)=10,Sync!$J1893,"نامعتبر")))</f>
        <v/>
      </c>
      <c r="R1893">
        <f>IF($P1893="","",COUNTIFS($N$6:$N$2005,$N1893,$P$6:$P$2005,"&lt;"&amp;$P1893)+COUNTIFS($A$6:$A$1005,$N1893,$B$6:$B$1005,"&lt;"&amp;$P1893)+1)</f>
        <v/>
      </c>
      <c r="S1893">
        <f>IF($N1893="","",$N1893&amp;"|"&amp;RIGHT("000000"&amp;$R1893,6))</f>
        <v/>
      </c>
      <c r="T1893">
        <f>IF($N1893="","",IF(Sync!$N1893="",0,Sync!$N1893))</f>
        <v/>
      </c>
      <c r="U1893">
        <f>IF($N1893="","",IF(Sync!$O1893="",0,Sync!$O1893))</f>
        <v/>
      </c>
      <c r="V1893">
        <f>IF($N1893="","",Sync!$L1893)</f>
        <v/>
      </c>
      <c r="W1893">
        <f>IF($N1893="","",Sync!$P1893)</f>
        <v/>
      </c>
    </row>
    <row r="1894">
      <c r="N1894">
        <f>IF(OR(Sync!$M1894="",$Q1894="",$Q1894="نامعتبر"),"",Sync!$M1894)</f>
        <v/>
      </c>
      <c r="O1894">
        <f>IF($N1894="","",$Q1894)</f>
        <v/>
      </c>
      <c r="P1894">
        <f>IF($N1894="","",LEFT($Q1894,4)&amp;MID($Q1894,6,2)&amp;RIGHT($Q1894,2)&amp;IF(Sync!$K1894="","0000",IF(AND(ISNUMBER(Sync!$K1894),Sync!$K1894&gt;=0,Sync!$K1894&lt;1),RIGHT("00"&amp;HOUR(Sync!$K1894),2)&amp;RIGHT("00"&amp;MINUTE(Sync!$K1894),2),IFERROR(RIGHT("00"&amp;VALUE(LEFT(Sync!$K1894,FIND(":",Sync!$K1894)-1)),2)&amp;RIGHT("00"&amp;VALUE(MID(Sync!$K1894,FIND(":",Sync!$K1894)+1,2)),2),"0000")))&amp;"|"&amp;"2"&amp;RIGHT("00000"&amp;1889,5))</f>
        <v/>
      </c>
      <c r="Q1894">
        <f>IF(Sync!$J1894="","",IF(ISNUMBER(Sync!$J1894),IF(AND(Sync!$J1894&gt;=10000101,Sync!$J1894&lt;=99991231),INT(Sync!$J1894/10000)&amp;"/"&amp;RIGHT("00"&amp;INT(MOD(Sync!$J1894,10000)/100),2)&amp;"/"&amp;RIGHT("00"&amp;MOD(Sync!$J1894,100),2),"نامعتبر"),IF(LEN(Sync!$J1894)=10,Sync!$J1894,"نامعتبر")))</f>
        <v/>
      </c>
      <c r="R1894">
        <f>IF($P1894="","",COUNTIFS($N$6:$N$2005,$N1894,$P$6:$P$2005,"&lt;"&amp;$P1894)+COUNTIFS($A$6:$A$1005,$N1894,$B$6:$B$1005,"&lt;"&amp;$P1894)+1)</f>
        <v/>
      </c>
      <c r="S1894">
        <f>IF($N1894="","",$N1894&amp;"|"&amp;RIGHT("000000"&amp;$R1894,6))</f>
        <v/>
      </c>
      <c r="T1894">
        <f>IF($N1894="","",IF(Sync!$N1894="",0,Sync!$N1894))</f>
        <v/>
      </c>
      <c r="U1894">
        <f>IF($N1894="","",IF(Sync!$O1894="",0,Sync!$O1894))</f>
        <v/>
      </c>
      <c r="V1894">
        <f>IF($N1894="","",Sync!$L1894)</f>
        <v/>
      </c>
      <c r="W1894">
        <f>IF($N1894="","",Sync!$P1894)</f>
        <v/>
      </c>
    </row>
    <row r="1895">
      <c r="N1895">
        <f>IF(OR(Sync!$M1895="",$Q1895="",$Q1895="نامعتبر"),"",Sync!$M1895)</f>
        <v/>
      </c>
      <c r="O1895">
        <f>IF($N1895="","",$Q1895)</f>
        <v/>
      </c>
      <c r="P1895">
        <f>IF($N1895="","",LEFT($Q1895,4)&amp;MID($Q1895,6,2)&amp;RIGHT($Q1895,2)&amp;IF(Sync!$K1895="","0000",IF(AND(ISNUMBER(Sync!$K1895),Sync!$K1895&gt;=0,Sync!$K1895&lt;1),RIGHT("00"&amp;HOUR(Sync!$K1895),2)&amp;RIGHT("00"&amp;MINUTE(Sync!$K1895),2),IFERROR(RIGHT("00"&amp;VALUE(LEFT(Sync!$K1895,FIND(":",Sync!$K1895)-1)),2)&amp;RIGHT("00"&amp;VALUE(MID(Sync!$K1895,FIND(":",Sync!$K1895)+1,2)),2),"0000")))&amp;"|"&amp;"2"&amp;RIGHT("00000"&amp;1890,5))</f>
        <v/>
      </c>
      <c r="Q1895">
        <f>IF(Sync!$J1895="","",IF(ISNUMBER(Sync!$J1895),IF(AND(Sync!$J1895&gt;=10000101,Sync!$J1895&lt;=99991231),INT(Sync!$J1895/10000)&amp;"/"&amp;RIGHT("00"&amp;INT(MOD(Sync!$J1895,10000)/100),2)&amp;"/"&amp;RIGHT("00"&amp;MOD(Sync!$J1895,100),2),"نامعتبر"),IF(LEN(Sync!$J1895)=10,Sync!$J1895,"نامعتبر")))</f>
        <v/>
      </c>
      <c r="R1895">
        <f>IF($P1895="","",COUNTIFS($N$6:$N$2005,$N1895,$P$6:$P$2005,"&lt;"&amp;$P1895)+COUNTIFS($A$6:$A$1005,$N1895,$B$6:$B$1005,"&lt;"&amp;$P1895)+1)</f>
        <v/>
      </c>
      <c r="S1895">
        <f>IF($N1895="","",$N1895&amp;"|"&amp;RIGHT("000000"&amp;$R1895,6))</f>
        <v/>
      </c>
      <c r="T1895">
        <f>IF($N1895="","",IF(Sync!$N1895="",0,Sync!$N1895))</f>
        <v/>
      </c>
      <c r="U1895">
        <f>IF($N1895="","",IF(Sync!$O1895="",0,Sync!$O1895))</f>
        <v/>
      </c>
      <c r="V1895">
        <f>IF($N1895="","",Sync!$L1895)</f>
        <v/>
      </c>
      <c r="W1895">
        <f>IF($N1895="","",Sync!$P1895)</f>
        <v/>
      </c>
    </row>
    <row r="1896">
      <c r="N1896">
        <f>IF(OR(Sync!$M1896="",$Q1896="",$Q1896="نامعتبر"),"",Sync!$M1896)</f>
        <v/>
      </c>
      <c r="O1896">
        <f>IF($N1896="","",$Q1896)</f>
        <v/>
      </c>
      <c r="P1896">
        <f>IF($N1896="","",LEFT($Q1896,4)&amp;MID($Q1896,6,2)&amp;RIGHT($Q1896,2)&amp;IF(Sync!$K1896="","0000",IF(AND(ISNUMBER(Sync!$K1896),Sync!$K1896&gt;=0,Sync!$K1896&lt;1),RIGHT("00"&amp;HOUR(Sync!$K1896),2)&amp;RIGHT("00"&amp;MINUTE(Sync!$K1896),2),IFERROR(RIGHT("00"&amp;VALUE(LEFT(Sync!$K1896,FIND(":",Sync!$K1896)-1)),2)&amp;RIGHT("00"&amp;VALUE(MID(Sync!$K1896,FIND(":",Sync!$K1896)+1,2)),2),"0000")))&amp;"|"&amp;"2"&amp;RIGHT("00000"&amp;1891,5))</f>
        <v/>
      </c>
      <c r="Q1896">
        <f>IF(Sync!$J1896="","",IF(ISNUMBER(Sync!$J1896),IF(AND(Sync!$J1896&gt;=10000101,Sync!$J1896&lt;=99991231),INT(Sync!$J1896/10000)&amp;"/"&amp;RIGHT("00"&amp;INT(MOD(Sync!$J1896,10000)/100),2)&amp;"/"&amp;RIGHT("00"&amp;MOD(Sync!$J1896,100),2),"نامعتبر"),IF(LEN(Sync!$J1896)=10,Sync!$J1896,"نامعتبر")))</f>
        <v/>
      </c>
      <c r="R1896">
        <f>IF($P1896="","",COUNTIFS($N$6:$N$2005,$N1896,$P$6:$P$2005,"&lt;"&amp;$P1896)+COUNTIFS($A$6:$A$1005,$N1896,$B$6:$B$1005,"&lt;"&amp;$P1896)+1)</f>
        <v/>
      </c>
      <c r="S1896">
        <f>IF($N1896="","",$N1896&amp;"|"&amp;RIGHT("000000"&amp;$R1896,6))</f>
        <v/>
      </c>
      <c r="T1896">
        <f>IF($N1896="","",IF(Sync!$N1896="",0,Sync!$N1896))</f>
        <v/>
      </c>
      <c r="U1896">
        <f>IF($N1896="","",IF(Sync!$O1896="",0,Sync!$O1896))</f>
        <v/>
      </c>
      <c r="V1896">
        <f>IF($N1896="","",Sync!$L1896)</f>
        <v/>
      </c>
      <c r="W1896">
        <f>IF($N1896="","",Sync!$P1896)</f>
        <v/>
      </c>
    </row>
    <row r="1897">
      <c r="N1897">
        <f>IF(OR(Sync!$M1897="",$Q1897="",$Q1897="نامعتبر"),"",Sync!$M1897)</f>
        <v/>
      </c>
      <c r="O1897">
        <f>IF($N1897="","",$Q1897)</f>
        <v/>
      </c>
      <c r="P1897">
        <f>IF($N1897="","",LEFT($Q1897,4)&amp;MID($Q1897,6,2)&amp;RIGHT($Q1897,2)&amp;IF(Sync!$K1897="","0000",IF(AND(ISNUMBER(Sync!$K1897),Sync!$K1897&gt;=0,Sync!$K1897&lt;1),RIGHT("00"&amp;HOUR(Sync!$K1897),2)&amp;RIGHT("00"&amp;MINUTE(Sync!$K1897),2),IFERROR(RIGHT("00"&amp;VALUE(LEFT(Sync!$K1897,FIND(":",Sync!$K1897)-1)),2)&amp;RIGHT("00"&amp;VALUE(MID(Sync!$K1897,FIND(":",Sync!$K1897)+1,2)),2),"0000")))&amp;"|"&amp;"2"&amp;RIGHT("00000"&amp;1892,5))</f>
        <v/>
      </c>
      <c r="Q1897">
        <f>IF(Sync!$J1897="","",IF(ISNUMBER(Sync!$J1897),IF(AND(Sync!$J1897&gt;=10000101,Sync!$J1897&lt;=99991231),INT(Sync!$J1897/10000)&amp;"/"&amp;RIGHT("00"&amp;INT(MOD(Sync!$J1897,10000)/100),2)&amp;"/"&amp;RIGHT("00"&amp;MOD(Sync!$J1897,100),2),"نامعتبر"),IF(LEN(Sync!$J1897)=10,Sync!$J1897,"نامعتبر")))</f>
        <v/>
      </c>
      <c r="R1897">
        <f>IF($P1897="","",COUNTIFS($N$6:$N$2005,$N1897,$P$6:$P$2005,"&lt;"&amp;$P1897)+COUNTIFS($A$6:$A$1005,$N1897,$B$6:$B$1005,"&lt;"&amp;$P1897)+1)</f>
        <v/>
      </c>
      <c r="S1897">
        <f>IF($N1897="","",$N1897&amp;"|"&amp;RIGHT("000000"&amp;$R1897,6))</f>
        <v/>
      </c>
      <c r="T1897">
        <f>IF($N1897="","",IF(Sync!$N1897="",0,Sync!$N1897))</f>
        <v/>
      </c>
      <c r="U1897">
        <f>IF($N1897="","",IF(Sync!$O1897="",0,Sync!$O1897))</f>
        <v/>
      </c>
      <c r="V1897">
        <f>IF($N1897="","",Sync!$L1897)</f>
        <v/>
      </c>
      <c r="W1897">
        <f>IF($N1897="","",Sync!$P1897)</f>
        <v/>
      </c>
    </row>
    <row r="1898">
      <c r="N1898">
        <f>IF(OR(Sync!$M1898="",$Q1898="",$Q1898="نامعتبر"),"",Sync!$M1898)</f>
        <v/>
      </c>
      <c r="O1898">
        <f>IF($N1898="","",$Q1898)</f>
        <v/>
      </c>
      <c r="P1898">
        <f>IF($N1898="","",LEFT($Q1898,4)&amp;MID($Q1898,6,2)&amp;RIGHT($Q1898,2)&amp;IF(Sync!$K1898="","0000",IF(AND(ISNUMBER(Sync!$K1898),Sync!$K1898&gt;=0,Sync!$K1898&lt;1),RIGHT("00"&amp;HOUR(Sync!$K1898),2)&amp;RIGHT("00"&amp;MINUTE(Sync!$K1898),2),IFERROR(RIGHT("00"&amp;VALUE(LEFT(Sync!$K1898,FIND(":",Sync!$K1898)-1)),2)&amp;RIGHT("00"&amp;VALUE(MID(Sync!$K1898,FIND(":",Sync!$K1898)+1,2)),2),"0000")))&amp;"|"&amp;"2"&amp;RIGHT("00000"&amp;1893,5))</f>
        <v/>
      </c>
      <c r="Q1898">
        <f>IF(Sync!$J1898="","",IF(ISNUMBER(Sync!$J1898),IF(AND(Sync!$J1898&gt;=10000101,Sync!$J1898&lt;=99991231),INT(Sync!$J1898/10000)&amp;"/"&amp;RIGHT("00"&amp;INT(MOD(Sync!$J1898,10000)/100),2)&amp;"/"&amp;RIGHT("00"&amp;MOD(Sync!$J1898,100),2),"نامعتبر"),IF(LEN(Sync!$J1898)=10,Sync!$J1898,"نامعتبر")))</f>
        <v/>
      </c>
      <c r="R1898">
        <f>IF($P1898="","",COUNTIFS($N$6:$N$2005,$N1898,$P$6:$P$2005,"&lt;"&amp;$P1898)+COUNTIFS($A$6:$A$1005,$N1898,$B$6:$B$1005,"&lt;"&amp;$P1898)+1)</f>
        <v/>
      </c>
      <c r="S1898">
        <f>IF($N1898="","",$N1898&amp;"|"&amp;RIGHT("000000"&amp;$R1898,6))</f>
        <v/>
      </c>
      <c r="T1898">
        <f>IF($N1898="","",IF(Sync!$N1898="",0,Sync!$N1898))</f>
        <v/>
      </c>
      <c r="U1898">
        <f>IF($N1898="","",IF(Sync!$O1898="",0,Sync!$O1898))</f>
        <v/>
      </c>
      <c r="V1898">
        <f>IF($N1898="","",Sync!$L1898)</f>
        <v/>
      </c>
      <c r="W1898">
        <f>IF($N1898="","",Sync!$P1898)</f>
        <v/>
      </c>
    </row>
    <row r="1899">
      <c r="N1899">
        <f>IF(OR(Sync!$M1899="",$Q1899="",$Q1899="نامعتبر"),"",Sync!$M1899)</f>
        <v/>
      </c>
      <c r="O1899">
        <f>IF($N1899="","",$Q1899)</f>
        <v/>
      </c>
      <c r="P1899">
        <f>IF($N1899="","",LEFT($Q1899,4)&amp;MID($Q1899,6,2)&amp;RIGHT($Q1899,2)&amp;IF(Sync!$K1899="","0000",IF(AND(ISNUMBER(Sync!$K1899),Sync!$K1899&gt;=0,Sync!$K1899&lt;1),RIGHT("00"&amp;HOUR(Sync!$K1899),2)&amp;RIGHT("00"&amp;MINUTE(Sync!$K1899),2),IFERROR(RIGHT("00"&amp;VALUE(LEFT(Sync!$K1899,FIND(":",Sync!$K1899)-1)),2)&amp;RIGHT("00"&amp;VALUE(MID(Sync!$K1899,FIND(":",Sync!$K1899)+1,2)),2),"0000")))&amp;"|"&amp;"2"&amp;RIGHT("00000"&amp;1894,5))</f>
        <v/>
      </c>
      <c r="Q1899">
        <f>IF(Sync!$J1899="","",IF(ISNUMBER(Sync!$J1899),IF(AND(Sync!$J1899&gt;=10000101,Sync!$J1899&lt;=99991231),INT(Sync!$J1899/10000)&amp;"/"&amp;RIGHT("00"&amp;INT(MOD(Sync!$J1899,10000)/100),2)&amp;"/"&amp;RIGHT("00"&amp;MOD(Sync!$J1899,100),2),"نامعتبر"),IF(LEN(Sync!$J1899)=10,Sync!$J1899,"نامعتبر")))</f>
        <v/>
      </c>
      <c r="R1899">
        <f>IF($P1899="","",COUNTIFS($N$6:$N$2005,$N1899,$P$6:$P$2005,"&lt;"&amp;$P1899)+COUNTIFS($A$6:$A$1005,$N1899,$B$6:$B$1005,"&lt;"&amp;$P1899)+1)</f>
        <v/>
      </c>
      <c r="S1899">
        <f>IF($N1899="","",$N1899&amp;"|"&amp;RIGHT("000000"&amp;$R1899,6))</f>
        <v/>
      </c>
      <c r="T1899">
        <f>IF($N1899="","",IF(Sync!$N1899="",0,Sync!$N1899))</f>
        <v/>
      </c>
      <c r="U1899">
        <f>IF($N1899="","",IF(Sync!$O1899="",0,Sync!$O1899))</f>
        <v/>
      </c>
      <c r="V1899">
        <f>IF($N1899="","",Sync!$L1899)</f>
        <v/>
      </c>
      <c r="W1899">
        <f>IF($N1899="","",Sync!$P1899)</f>
        <v/>
      </c>
    </row>
    <row r="1900">
      <c r="N1900">
        <f>IF(OR(Sync!$M1900="",$Q1900="",$Q1900="نامعتبر"),"",Sync!$M1900)</f>
        <v/>
      </c>
      <c r="O1900">
        <f>IF($N1900="","",$Q1900)</f>
        <v/>
      </c>
      <c r="P1900">
        <f>IF($N1900="","",LEFT($Q1900,4)&amp;MID($Q1900,6,2)&amp;RIGHT($Q1900,2)&amp;IF(Sync!$K1900="","0000",IF(AND(ISNUMBER(Sync!$K1900),Sync!$K1900&gt;=0,Sync!$K1900&lt;1),RIGHT("00"&amp;HOUR(Sync!$K1900),2)&amp;RIGHT("00"&amp;MINUTE(Sync!$K1900),2),IFERROR(RIGHT("00"&amp;VALUE(LEFT(Sync!$K1900,FIND(":",Sync!$K1900)-1)),2)&amp;RIGHT("00"&amp;VALUE(MID(Sync!$K1900,FIND(":",Sync!$K1900)+1,2)),2),"0000")))&amp;"|"&amp;"2"&amp;RIGHT("00000"&amp;1895,5))</f>
        <v/>
      </c>
      <c r="Q1900">
        <f>IF(Sync!$J1900="","",IF(ISNUMBER(Sync!$J1900),IF(AND(Sync!$J1900&gt;=10000101,Sync!$J1900&lt;=99991231),INT(Sync!$J1900/10000)&amp;"/"&amp;RIGHT("00"&amp;INT(MOD(Sync!$J1900,10000)/100),2)&amp;"/"&amp;RIGHT("00"&amp;MOD(Sync!$J1900,100),2),"نامعتبر"),IF(LEN(Sync!$J1900)=10,Sync!$J1900,"نامعتبر")))</f>
        <v/>
      </c>
      <c r="R1900">
        <f>IF($P1900="","",COUNTIFS($N$6:$N$2005,$N1900,$P$6:$P$2005,"&lt;"&amp;$P1900)+COUNTIFS($A$6:$A$1005,$N1900,$B$6:$B$1005,"&lt;"&amp;$P1900)+1)</f>
        <v/>
      </c>
      <c r="S1900">
        <f>IF($N1900="","",$N1900&amp;"|"&amp;RIGHT("000000"&amp;$R1900,6))</f>
        <v/>
      </c>
      <c r="T1900">
        <f>IF($N1900="","",IF(Sync!$N1900="",0,Sync!$N1900))</f>
        <v/>
      </c>
      <c r="U1900">
        <f>IF($N1900="","",IF(Sync!$O1900="",0,Sync!$O1900))</f>
        <v/>
      </c>
      <c r="V1900">
        <f>IF($N1900="","",Sync!$L1900)</f>
        <v/>
      </c>
      <c r="W1900">
        <f>IF($N1900="","",Sync!$P1900)</f>
        <v/>
      </c>
    </row>
    <row r="1901">
      <c r="N1901">
        <f>IF(OR(Sync!$M1901="",$Q1901="",$Q1901="نامعتبر"),"",Sync!$M1901)</f>
        <v/>
      </c>
      <c r="O1901">
        <f>IF($N1901="","",$Q1901)</f>
        <v/>
      </c>
      <c r="P1901">
        <f>IF($N1901="","",LEFT($Q1901,4)&amp;MID($Q1901,6,2)&amp;RIGHT($Q1901,2)&amp;IF(Sync!$K1901="","0000",IF(AND(ISNUMBER(Sync!$K1901),Sync!$K1901&gt;=0,Sync!$K1901&lt;1),RIGHT("00"&amp;HOUR(Sync!$K1901),2)&amp;RIGHT("00"&amp;MINUTE(Sync!$K1901),2),IFERROR(RIGHT("00"&amp;VALUE(LEFT(Sync!$K1901,FIND(":",Sync!$K1901)-1)),2)&amp;RIGHT("00"&amp;VALUE(MID(Sync!$K1901,FIND(":",Sync!$K1901)+1,2)),2),"0000")))&amp;"|"&amp;"2"&amp;RIGHT("00000"&amp;1896,5))</f>
        <v/>
      </c>
      <c r="Q1901">
        <f>IF(Sync!$J1901="","",IF(ISNUMBER(Sync!$J1901),IF(AND(Sync!$J1901&gt;=10000101,Sync!$J1901&lt;=99991231),INT(Sync!$J1901/10000)&amp;"/"&amp;RIGHT("00"&amp;INT(MOD(Sync!$J1901,10000)/100),2)&amp;"/"&amp;RIGHT("00"&amp;MOD(Sync!$J1901,100),2),"نامعتبر"),IF(LEN(Sync!$J1901)=10,Sync!$J1901,"نامعتبر")))</f>
        <v/>
      </c>
      <c r="R1901">
        <f>IF($P1901="","",COUNTIFS($N$6:$N$2005,$N1901,$P$6:$P$2005,"&lt;"&amp;$P1901)+COUNTIFS($A$6:$A$1005,$N1901,$B$6:$B$1005,"&lt;"&amp;$P1901)+1)</f>
        <v/>
      </c>
      <c r="S1901">
        <f>IF($N1901="","",$N1901&amp;"|"&amp;RIGHT("000000"&amp;$R1901,6))</f>
        <v/>
      </c>
      <c r="T1901">
        <f>IF($N1901="","",IF(Sync!$N1901="",0,Sync!$N1901))</f>
        <v/>
      </c>
      <c r="U1901">
        <f>IF($N1901="","",IF(Sync!$O1901="",0,Sync!$O1901))</f>
        <v/>
      </c>
      <c r="V1901">
        <f>IF($N1901="","",Sync!$L1901)</f>
        <v/>
      </c>
      <c r="W1901">
        <f>IF($N1901="","",Sync!$P1901)</f>
        <v/>
      </c>
    </row>
    <row r="1902">
      <c r="N1902">
        <f>IF(OR(Sync!$M1902="",$Q1902="",$Q1902="نامعتبر"),"",Sync!$M1902)</f>
        <v/>
      </c>
      <c r="O1902">
        <f>IF($N1902="","",$Q1902)</f>
        <v/>
      </c>
      <c r="P1902">
        <f>IF($N1902="","",LEFT($Q1902,4)&amp;MID($Q1902,6,2)&amp;RIGHT($Q1902,2)&amp;IF(Sync!$K1902="","0000",IF(AND(ISNUMBER(Sync!$K1902),Sync!$K1902&gt;=0,Sync!$K1902&lt;1),RIGHT("00"&amp;HOUR(Sync!$K1902),2)&amp;RIGHT("00"&amp;MINUTE(Sync!$K1902),2),IFERROR(RIGHT("00"&amp;VALUE(LEFT(Sync!$K1902,FIND(":",Sync!$K1902)-1)),2)&amp;RIGHT("00"&amp;VALUE(MID(Sync!$K1902,FIND(":",Sync!$K1902)+1,2)),2),"0000")))&amp;"|"&amp;"2"&amp;RIGHT("00000"&amp;1897,5))</f>
        <v/>
      </c>
      <c r="Q1902">
        <f>IF(Sync!$J1902="","",IF(ISNUMBER(Sync!$J1902),IF(AND(Sync!$J1902&gt;=10000101,Sync!$J1902&lt;=99991231),INT(Sync!$J1902/10000)&amp;"/"&amp;RIGHT("00"&amp;INT(MOD(Sync!$J1902,10000)/100),2)&amp;"/"&amp;RIGHT("00"&amp;MOD(Sync!$J1902,100),2),"نامعتبر"),IF(LEN(Sync!$J1902)=10,Sync!$J1902,"نامعتبر")))</f>
        <v/>
      </c>
      <c r="R1902">
        <f>IF($P1902="","",COUNTIFS($N$6:$N$2005,$N1902,$P$6:$P$2005,"&lt;"&amp;$P1902)+COUNTIFS($A$6:$A$1005,$N1902,$B$6:$B$1005,"&lt;"&amp;$P1902)+1)</f>
        <v/>
      </c>
      <c r="S1902">
        <f>IF($N1902="","",$N1902&amp;"|"&amp;RIGHT("000000"&amp;$R1902,6))</f>
        <v/>
      </c>
      <c r="T1902">
        <f>IF($N1902="","",IF(Sync!$N1902="",0,Sync!$N1902))</f>
        <v/>
      </c>
      <c r="U1902">
        <f>IF($N1902="","",IF(Sync!$O1902="",0,Sync!$O1902))</f>
        <v/>
      </c>
      <c r="V1902">
        <f>IF($N1902="","",Sync!$L1902)</f>
        <v/>
      </c>
      <c r="W1902">
        <f>IF($N1902="","",Sync!$P1902)</f>
        <v/>
      </c>
    </row>
    <row r="1903">
      <c r="N1903">
        <f>IF(OR(Sync!$M1903="",$Q1903="",$Q1903="نامعتبر"),"",Sync!$M1903)</f>
        <v/>
      </c>
      <c r="O1903">
        <f>IF($N1903="","",$Q1903)</f>
        <v/>
      </c>
      <c r="P1903">
        <f>IF($N1903="","",LEFT($Q1903,4)&amp;MID($Q1903,6,2)&amp;RIGHT($Q1903,2)&amp;IF(Sync!$K1903="","0000",IF(AND(ISNUMBER(Sync!$K1903),Sync!$K1903&gt;=0,Sync!$K1903&lt;1),RIGHT("00"&amp;HOUR(Sync!$K1903),2)&amp;RIGHT("00"&amp;MINUTE(Sync!$K1903),2),IFERROR(RIGHT("00"&amp;VALUE(LEFT(Sync!$K1903,FIND(":",Sync!$K1903)-1)),2)&amp;RIGHT("00"&amp;VALUE(MID(Sync!$K1903,FIND(":",Sync!$K1903)+1,2)),2),"0000")))&amp;"|"&amp;"2"&amp;RIGHT("00000"&amp;1898,5))</f>
        <v/>
      </c>
      <c r="Q1903">
        <f>IF(Sync!$J1903="","",IF(ISNUMBER(Sync!$J1903),IF(AND(Sync!$J1903&gt;=10000101,Sync!$J1903&lt;=99991231),INT(Sync!$J1903/10000)&amp;"/"&amp;RIGHT("00"&amp;INT(MOD(Sync!$J1903,10000)/100),2)&amp;"/"&amp;RIGHT("00"&amp;MOD(Sync!$J1903,100),2),"نامعتبر"),IF(LEN(Sync!$J1903)=10,Sync!$J1903,"نامعتبر")))</f>
        <v/>
      </c>
      <c r="R1903">
        <f>IF($P1903="","",COUNTIFS($N$6:$N$2005,$N1903,$P$6:$P$2005,"&lt;"&amp;$P1903)+COUNTIFS($A$6:$A$1005,$N1903,$B$6:$B$1005,"&lt;"&amp;$P1903)+1)</f>
        <v/>
      </c>
      <c r="S1903">
        <f>IF($N1903="","",$N1903&amp;"|"&amp;RIGHT("000000"&amp;$R1903,6))</f>
        <v/>
      </c>
      <c r="T1903">
        <f>IF($N1903="","",IF(Sync!$N1903="",0,Sync!$N1903))</f>
        <v/>
      </c>
      <c r="U1903">
        <f>IF($N1903="","",IF(Sync!$O1903="",0,Sync!$O1903))</f>
        <v/>
      </c>
      <c r="V1903">
        <f>IF($N1903="","",Sync!$L1903)</f>
        <v/>
      </c>
      <c r="W1903">
        <f>IF($N1903="","",Sync!$P1903)</f>
        <v/>
      </c>
    </row>
    <row r="1904">
      <c r="N1904">
        <f>IF(OR(Sync!$M1904="",$Q1904="",$Q1904="نامعتبر"),"",Sync!$M1904)</f>
        <v/>
      </c>
      <c r="O1904">
        <f>IF($N1904="","",$Q1904)</f>
        <v/>
      </c>
      <c r="P1904">
        <f>IF($N1904="","",LEFT($Q1904,4)&amp;MID($Q1904,6,2)&amp;RIGHT($Q1904,2)&amp;IF(Sync!$K1904="","0000",IF(AND(ISNUMBER(Sync!$K1904),Sync!$K1904&gt;=0,Sync!$K1904&lt;1),RIGHT("00"&amp;HOUR(Sync!$K1904),2)&amp;RIGHT("00"&amp;MINUTE(Sync!$K1904),2),IFERROR(RIGHT("00"&amp;VALUE(LEFT(Sync!$K1904,FIND(":",Sync!$K1904)-1)),2)&amp;RIGHT("00"&amp;VALUE(MID(Sync!$K1904,FIND(":",Sync!$K1904)+1,2)),2),"0000")))&amp;"|"&amp;"2"&amp;RIGHT("00000"&amp;1899,5))</f>
        <v/>
      </c>
      <c r="Q1904">
        <f>IF(Sync!$J1904="","",IF(ISNUMBER(Sync!$J1904),IF(AND(Sync!$J1904&gt;=10000101,Sync!$J1904&lt;=99991231),INT(Sync!$J1904/10000)&amp;"/"&amp;RIGHT("00"&amp;INT(MOD(Sync!$J1904,10000)/100),2)&amp;"/"&amp;RIGHT("00"&amp;MOD(Sync!$J1904,100),2),"نامعتبر"),IF(LEN(Sync!$J1904)=10,Sync!$J1904,"نامعتبر")))</f>
        <v/>
      </c>
      <c r="R1904">
        <f>IF($P1904="","",COUNTIFS($N$6:$N$2005,$N1904,$P$6:$P$2005,"&lt;"&amp;$P1904)+COUNTIFS($A$6:$A$1005,$N1904,$B$6:$B$1005,"&lt;"&amp;$P1904)+1)</f>
        <v/>
      </c>
      <c r="S1904">
        <f>IF($N1904="","",$N1904&amp;"|"&amp;RIGHT("000000"&amp;$R1904,6))</f>
        <v/>
      </c>
      <c r="T1904">
        <f>IF($N1904="","",IF(Sync!$N1904="",0,Sync!$N1904))</f>
        <v/>
      </c>
      <c r="U1904">
        <f>IF($N1904="","",IF(Sync!$O1904="",0,Sync!$O1904))</f>
        <v/>
      </c>
      <c r="V1904">
        <f>IF($N1904="","",Sync!$L1904)</f>
        <v/>
      </c>
      <c r="W1904">
        <f>IF($N1904="","",Sync!$P1904)</f>
        <v/>
      </c>
    </row>
    <row r="1905">
      <c r="N1905">
        <f>IF(OR(Sync!$M1905="",$Q1905="",$Q1905="نامعتبر"),"",Sync!$M1905)</f>
        <v/>
      </c>
      <c r="O1905">
        <f>IF($N1905="","",$Q1905)</f>
        <v/>
      </c>
      <c r="P1905">
        <f>IF($N1905="","",LEFT($Q1905,4)&amp;MID($Q1905,6,2)&amp;RIGHT($Q1905,2)&amp;IF(Sync!$K1905="","0000",IF(AND(ISNUMBER(Sync!$K1905),Sync!$K1905&gt;=0,Sync!$K1905&lt;1),RIGHT("00"&amp;HOUR(Sync!$K1905),2)&amp;RIGHT("00"&amp;MINUTE(Sync!$K1905),2),IFERROR(RIGHT("00"&amp;VALUE(LEFT(Sync!$K1905,FIND(":",Sync!$K1905)-1)),2)&amp;RIGHT("00"&amp;VALUE(MID(Sync!$K1905,FIND(":",Sync!$K1905)+1,2)),2),"0000")))&amp;"|"&amp;"2"&amp;RIGHT("00000"&amp;1900,5))</f>
        <v/>
      </c>
      <c r="Q1905">
        <f>IF(Sync!$J1905="","",IF(ISNUMBER(Sync!$J1905),IF(AND(Sync!$J1905&gt;=10000101,Sync!$J1905&lt;=99991231),INT(Sync!$J1905/10000)&amp;"/"&amp;RIGHT("00"&amp;INT(MOD(Sync!$J1905,10000)/100),2)&amp;"/"&amp;RIGHT("00"&amp;MOD(Sync!$J1905,100),2),"نامعتبر"),IF(LEN(Sync!$J1905)=10,Sync!$J1905,"نامعتبر")))</f>
        <v/>
      </c>
      <c r="R1905">
        <f>IF($P1905="","",COUNTIFS($N$6:$N$2005,$N1905,$P$6:$P$2005,"&lt;"&amp;$P1905)+COUNTIFS($A$6:$A$1005,$N1905,$B$6:$B$1005,"&lt;"&amp;$P1905)+1)</f>
        <v/>
      </c>
      <c r="S1905">
        <f>IF($N1905="","",$N1905&amp;"|"&amp;RIGHT("000000"&amp;$R1905,6))</f>
        <v/>
      </c>
      <c r="T1905">
        <f>IF($N1905="","",IF(Sync!$N1905="",0,Sync!$N1905))</f>
        <v/>
      </c>
      <c r="U1905">
        <f>IF($N1905="","",IF(Sync!$O1905="",0,Sync!$O1905))</f>
        <v/>
      </c>
      <c r="V1905">
        <f>IF($N1905="","",Sync!$L1905)</f>
        <v/>
      </c>
      <c r="W1905">
        <f>IF($N1905="","",Sync!$P1905)</f>
        <v/>
      </c>
    </row>
    <row r="1906">
      <c r="N1906">
        <f>IF(OR(Sync!$M1906="",$Q1906="",$Q1906="نامعتبر"),"",Sync!$M1906)</f>
        <v/>
      </c>
      <c r="O1906">
        <f>IF($N1906="","",$Q1906)</f>
        <v/>
      </c>
      <c r="P1906">
        <f>IF($N1906="","",LEFT($Q1906,4)&amp;MID($Q1906,6,2)&amp;RIGHT($Q1906,2)&amp;IF(Sync!$K1906="","0000",IF(AND(ISNUMBER(Sync!$K1906),Sync!$K1906&gt;=0,Sync!$K1906&lt;1),RIGHT("00"&amp;HOUR(Sync!$K1906),2)&amp;RIGHT("00"&amp;MINUTE(Sync!$K1906),2),IFERROR(RIGHT("00"&amp;VALUE(LEFT(Sync!$K1906,FIND(":",Sync!$K1906)-1)),2)&amp;RIGHT("00"&amp;VALUE(MID(Sync!$K1906,FIND(":",Sync!$K1906)+1,2)),2),"0000")))&amp;"|"&amp;"2"&amp;RIGHT("00000"&amp;1901,5))</f>
        <v/>
      </c>
      <c r="Q1906">
        <f>IF(Sync!$J1906="","",IF(ISNUMBER(Sync!$J1906),IF(AND(Sync!$J1906&gt;=10000101,Sync!$J1906&lt;=99991231),INT(Sync!$J1906/10000)&amp;"/"&amp;RIGHT("00"&amp;INT(MOD(Sync!$J1906,10000)/100),2)&amp;"/"&amp;RIGHT("00"&amp;MOD(Sync!$J1906,100),2),"نامعتبر"),IF(LEN(Sync!$J1906)=10,Sync!$J1906,"نامعتبر")))</f>
        <v/>
      </c>
      <c r="R1906">
        <f>IF($P1906="","",COUNTIFS($N$6:$N$2005,$N1906,$P$6:$P$2005,"&lt;"&amp;$P1906)+COUNTIFS($A$6:$A$1005,$N1906,$B$6:$B$1005,"&lt;"&amp;$P1906)+1)</f>
        <v/>
      </c>
      <c r="S1906">
        <f>IF($N1906="","",$N1906&amp;"|"&amp;RIGHT("000000"&amp;$R1906,6))</f>
        <v/>
      </c>
      <c r="T1906">
        <f>IF($N1906="","",IF(Sync!$N1906="",0,Sync!$N1906))</f>
        <v/>
      </c>
      <c r="U1906">
        <f>IF($N1906="","",IF(Sync!$O1906="",0,Sync!$O1906))</f>
        <v/>
      </c>
      <c r="V1906">
        <f>IF($N1906="","",Sync!$L1906)</f>
        <v/>
      </c>
      <c r="W1906">
        <f>IF($N1906="","",Sync!$P1906)</f>
        <v/>
      </c>
    </row>
    <row r="1907">
      <c r="N1907">
        <f>IF(OR(Sync!$M1907="",$Q1907="",$Q1907="نامعتبر"),"",Sync!$M1907)</f>
        <v/>
      </c>
      <c r="O1907">
        <f>IF($N1907="","",$Q1907)</f>
        <v/>
      </c>
      <c r="P1907">
        <f>IF($N1907="","",LEFT($Q1907,4)&amp;MID($Q1907,6,2)&amp;RIGHT($Q1907,2)&amp;IF(Sync!$K1907="","0000",IF(AND(ISNUMBER(Sync!$K1907),Sync!$K1907&gt;=0,Sync!$K1907&lt;1),RIGHT("00"&amp;HOUR(Sync!$K1907),2)&amp;RIGHT("00"&amp;MINUTE(Sync!$K1907),2),IFERROR(RIGHT("00"&amp;VALUE(LEFT(Sync!$K1907,FIND(":",Sync!$K1907)-1)),2)&amp;RIGHT("00"&amp;VALUE(MID(Sync!$K1907,FIND(":",Sync!$K1907)+1,2)),2),"0000")))&amp;"|"&amp;"2"&amp;RIGHT("00000"&amp;1902,5))</f>
        <v/>
      </c>
      <c r="Q1907">
        <f>IF(Sync!$J1907="","",IF(ISNUMBER(Sync!$J1907),IF(AND(Sync!$J1907&gt;=10000101,Sync!$J1907&lt;=99991231),INT(Sync!$J1907/10000)&amp;"/"&amp;RIGHT("00"&amp;INT(MOD(Sync!$J1907,10000)/100),2)&amp;"/"&amp;RIGHT("00"&amp;MOD(Sync!$J1907,100),2),"نامعتبر"),IF(LEN(Sync!$J1907)=10,Sync!$J1907,"نامعتبر")))</f>
        <v/>
      </c>
      <c r="R1907">
        <f>IF($P1907="","",COUNTIFS($N$6:$N$2005,$N1907,$P$6:$P$2005,"&lt;"&amp;$P1907)+COUNTIFS($A$6:$A$1005,$N1907,$B$6:$B$1005,"&lt;"&amp;$P1907)+1)</f>
        <v/>
      </c>
      <c r="S1907">
        <f>IF($N1907="","",$N1907&amp;"|"&amp;RIGHT("000000"&amp;$R1907,6))</f>
        <v/>
      </c>
      <c r="T1907">
        <f>IF($N1907="","",IF(Sync!$N1907="",0,Sync!$N1907))</f>
        <v/>
      </c>
      <c r="U1907">
        <f>IF($N1907="","",IF(Sync!$O1907="",0,Sync!$O1907))</f>
        <v/>
      </c>
      <c r="V1907">
        <f>IF($N1907="","",Sync!$L1907)</f>
        <v/>
      </c>
      <c r="W1907">
        <f>IF($N1907="","",Sync!$P1907)</f>
        <v/>
      </c>
    </row>
    <row r="1908">
      <c r="N1908">
        <f>IF(OR(Sync!$M1908="",$Q1908="",$Q1908="نامعتبر"),"",Sync!$M1908)</f>
        <v/>
      </c>
      <c r="O1908">
        <f>IF($N1908="","",$Q1908)</f>
        <v/>
      </c>
      <c r="P1908">
        <f>IF($N1908="","",LEFT($Q1908,4)&amp;MID($Q1908,6,2)&amp;RIGHT($Q1908,2)&amp;IF(Sync!$K1908="","0000",IF(AND(ISNUMBER(Sync!$K1908),Sync!$K1908&gt;=0,Sync!$K1908&lt;1),RIGHT("00"&amp;HOUR(Sync!$K1908),2)&amp;RIGHT("00"&amp;MINUTE(Sync!$K1908),2),IFERROR(RIGHT("00"&amp;VALUE(LEFT(Sync!$K1908,FIND(":",Sync!$K1908)-1)),2)&amp;RIGHT("00"&amp;VALUE(MID(Sync!$K1908,FIND(":",Sync!$K1908)+1,2)),2),"0000")))&amp;"|"&amp;"2"&amp;RIGHT("00000"&amp;1903,5))</f>
        <v/>
      </c>
      <c r="Q1908">
        <f>IF(Sync!$J1908="","",IF(ISNUMBER(Sync!$J1908),IF(AND(Sync!$J1908&gt;=10000101,Sync!$J1908&lt;=99991231),INT(Sync!$J1908/10000)&amp;"/"&amp;RIGHT("00"&amp;INT(MOD(Sync!$J1908,10000)/100),2)&amp;"/"&amp;RIGHT("00"&amp;MOD(Sync!$J1908,100),2),"نامعتبر"),IF(LEN(Sync!$J1908)=10,Sync!$J1908,"نامعتبر")))</f>
        <v/>
      </c>
      <c r="R1908">
        <f>IF($P1908="","",COUNTIFS($N$6:$N$2005,$N1908,$P$6:$P$2005,"&lt;"&amp;$P1908)+COUNTIFS($A$6:$A$1005,$N1908,$B$6:$B$1005,"&lt;"&amp;$P1908)+1)</f>
        <v/>
      </c>
      <c r="S1908">
        <f>IF($N1908="","",$N1908&amp;"|"&amp;RIGHT("000000"&amp;$R1908,6))</f>
        <v/>
      </c>
      <c r="T1908">
        <f>IF($N1908="","",IF(Sync!$N1908="",0,Sync!$N1908))</f>
        <v/>
      </c>
      <c r="U1908">
        <f>IF($N1908="","",IF(Sync!$O1908="",0,Sync!$O1908))</f>
        <v/>
      </c>
      <c r="V1908">
        <f>IF($N1908="","",Sync!$L1908)</f>
        <v/>
      </c>
      <c r="W1908">
        <f>IF($N1908="","",Sync!$P1908)</f>
        <v/>
      </c>
    </row>
    <row r="1909">
      <c r="N1909">
        <f>IF(OR(Sync!$M1909="",$Q1909="",$Q1909="نامعتبر"),"",Sync!$M1909)</f>
        <v/>
      </c>
      <c r="O1909">
        <f>IF($N1909="","",$Q1909)</f>
        <v/>
      </c>
      <c r="P1909">
        <f>IF($N1909="","",LEFT($Q1909,4)&amp;MID($Q1909,6,2)&amp;RIGHT($Q1909,2)&amp;IF(Sync!$K1909="","0000",IF(AND(ISNUMBER(Sync!$K1909),Sync!$K1909&gt;=0,Sync!$K1909&lt;1),RIGHT("00"&amp;HOUR(Sync!$K1909),2)&amp;RIGHT("00"&amp;MINUTE(Sync!$K1909),2),IFERROR(RIGHT("00"&amp;VALUE(LEFT(Sync!$K1909,FIND(":",Sync!$K1909)-1)),2)&amp;RIGHT("00"&amp;VALUE(MID(Sync!$K1909,FIND(":",Sync!$K1909)+1,2)),2),"0000")))&amp;"|"&amp;"2"&amp;RIGHT("00000"&amp;1904,5))</f>
        <v/>
      </c>
      <c r="Q1909">
        <f>IF(Sync!$J1909="","",IF(ISNUMBER(Sync!$J1909),IF(AND(Sync!$J1909&gt;=10000101,Sync!$J1909&lt;=99991231),INT(Sync!$J1909/10000)&amp;"/"&amp;RIGHT("00"&amp;INT(MOD(Sync!$J1909,10000)/100),2)&amp;"/"&amp;RIGHT("00"&amp;MOD(Sync!$J1909,100),2),"نامعتبر"),IF(LEN(Sync!$J1909)=10,Sync!$J1909,"نامعتبر")))</f>
        <v/>
      </c>
      <c r="R1909">
        <f>IF($P1909="","",COUNTIFS($N$6:$N$2005,$N1909,$P$6:$P$2005,"&lt;"&amp;$P1909)+COUNTIFS($A$6:$A$1005,$N1909,$B$6:$B$1005,"&lt;"&amp;$P1909)+1)</f>
        <v/>
      </c>
      <c r="S1909">
        <f>IF($N1909="","",$N1909&amp;"|"&amp;RIGHT("000000"&amp;$R1909,6))</f>
        <v/>
      </c>
      <c r="T1909">
        <f>IF($N1909="","",IF(Sync!$N1909="",0,Sync!$N1909))</f>
        <v/>
      </c>
      <c r="U1909">
        <f>IF($N1909="","",IF(Sync!$O1909="",0,Sync!$O1909))</f>
        <v/>
      </c>
      <c r="V1909">
        <f>IF($N1909="","",Sync!$L1909)</f>
        <v/>
      </c>
      <c r="W1909">
        <f>IF($N1909="","",Sync!$P1909)</f>
        <v/>
      </c>
    </row>
    <row r="1910">
      <c r="N1910">
        <f>IF(OR(Sync!$M1910="",$Q1910="",$Q1910="نامعتبر"),"",Sync!$M1910)</f>
        <v/>
      </c>
      <c r="O1910">
        <f>IF($N1910="","",$Q1910)</f>
        <v/>
      </c>
      <c r="P1910">
        <f>IF($N1910="","",LEFT($Q1910,4)&amp;MID($Q1910,6,2)&amp;RIGHT($Q1910,2)&amp;IF(Sync!$K1910="","0000",IF(AND(ISNUMBER(Sync!$K1910),Sync!$K1910&gt;=0,Sync!$K1910&lt;1),RIGHT("00"&amp;HOUR(Sync!$K1910),2)&amp;RIGHT("00"&amp;MINUTE(Sync!$K1910),2),IFERROR(RIGHT("00"&amp;VALUE(LEFT(Sync!$K1910,FIND(":",Sync!$K1910)-1)),2)&amp;RIGHT("00"&amp;VALUE(MID(Sync!$K1910,FIND(":",Sync!$K1910)+1,2)),2),"0000")))&amp;"|"&amp;"2"&amp;RIGHT("00000"&amp;1905,5))</f>
        <v/>
      </c>
      <c r="Q1910">
        <f>IF(Sync!$J1910="","",IF(ISNUMBER(Sync!$J1910),IF(AND(Sync!$J1910&gt;=10000101,Sync!$J1910&lt;=99991231),INT(Sync!$J1910/10000)&amp;"/"&amp;RIGHT("00"&amp;INT(MOD(Sync!$J1910,10000)/100),2)&amp;"/"&amp;RIGHT("00"&amp;MOD(Sync!$J1910,100),2),"نامعتبر"),IF(LEN(Sync!$J1910)=10,Sync!$J1910,"نامعتبر")))</f>
        <v/>
      </c>
      <c r="R1910">
        <f>IF($P1910="","",COUNTIFS($N$6:$N$2005,$N1910,$P$6:$P$2005,"&lt;"&amp;$P1910)+COUNTIFS($A$6:$A$1005,$N1910,$B$6:$B$1005,"&lt;"&amp;$P1910)+1)</f>
        <v/>
      </c>
      <c r="S1910">
        <f>IF($N1910="","",$N1910&amp;"|"&amp;RIGHT("000000"&amp;$R1910,6))</f>
        <v/>
      </c>
      <c r="T1910">
        <f>IF($N1910="","",IF(Sync!$N1910="",0,Sync!$N1910))</f>
        <v/>
      </c>
      <c r="U1910">
        <f>IF($N1910="","",IF(Sync!$O1910="",0,Sync!$O1910))</f>
        <v/>
      </c>
      <c r="V1910">
        <f>IF($N1910="","",Sync!$L1910)</f>
        <v/>
      </c>
      <c r="W1910">
        <f>IF($N1910="","",Sync!$P1910)</f>
        <v/>
      </c>
    </row>
    <row r="1911">
      <c r="N1911">
        <f>IF(OR(Sync!$M1911="",$Q1911="",$Q1911="نامعتبر"),"",Sync!$M1911)</f>
        <v/>
      </c>
      <c r="O1911">
        <f>IF($N1911="","",$Q1911)</f>
        <v/>
      </c>
      <c r="P1911">
        <f>IF($N1911="","",LEFT($Q1911,4)&amp;MID($Q1911,6,2)&amp;RIGHT($Q1911,2)&amp;IF(Sync!$K1911="","0000",IF(AND(ISNUMBER(Sync!$K1911),Sync!$K1911&gt;=0,Sync!$K1911&lt;1),RIGHT("00"&amp;HOUR(Sync!$K1911),2)&amp;RIGHT("00"&amp;MINUTE(Sync!$K1911),2),IFERROR(RIGHT("00"&amp;VALUE(LEFT(Sync!$K1911,FIND(":",Sync!$K1911)-1)),2)&amp;RIGHT("00"&amp;VALUE(MID(Sync!$K1911,FIND(":",Sync!$K1911)+1,2)),2),"0000")))&amp;"|"&amp;"2"&amp;RIGHT("00000"&amp;1906,5))</f>
        <v/>
      </c>
      <c r="Q1911">
        <f>IF(Sync!$J1911="","",IF(ISNUMBER(Sync!$J1911),IF(AND(Sync!$J1911&gt;=10000101,Sync!$J1911&lt;=99991231),INT(Sync!$J1911/10000)&amp;"/"&amp;RIGHT("00"&amp;INT(MOD(Sync!$J1911,10000)/100),2)&amp;"/"&amp;RIGHT("00"&amp;MOD(Sync!$J1911,100),2),"نامعتبر"),IF(LEN(Sync!$J1911)=10,Sync!$J1911,"نامعتبر")))</f>
        <v/>
      </c>
      <c r="R1911">
        <f>IF($P1911="","",COUNTIFS($N$6:$N$2005,$N1911,$P$6:$P$2005,"&lt;"&amp;$P1911)+COUNTIFS($A$6:$A$1005,$N1911,$B$6:$B$1005,"&lt;"&amp;$P1911)+1)</f>
        <v/>
      </c>
      <c r="S1911">
        <f>IF($N1911="","",$N1911&amp;"|"&amp;RIGHT("000000"&amp;$R1911,6))</f>
        <v/>
      </c>
      <c r="T1911">
        <f>IF($N1911="","",IF(Sync!$N1911="",0,Sync!$N1911))</f>
        <v/>
      </c>
      <c r="U1911">
        <f>IF($N1911="","",IF(Sync!$O1911="",0,Sync!$O1911))</f>
        <v/>
      </c>
      <c r="V1911">
        <f>IF($N1911="","",Sync!$L1911)</f>
        <v/>
      </c>
      <c r="W1911">
        <f>IF($N1911="","",Sync!$P1911)</f>
        <v/>
      </c>
    </row>
    <row r="1912">
      <c r="N1912">
        <f>IF(OR(Sync!$M1912="",$Q1912="",$Q1912="نامعتبر"),"",Sync!$M1912)</f>
        <v/>
      </c>
      <c r="O1912">
        <f>IF($N1912="","",$Q1912)</f>
        <v/>
      </c>
      <c r="P1912">
        <f>IF($N1912="","",LEFT($Q1912,4)&amp;MID($Q1912,6,2)&amp;RIGHT($Q1912,2)&amp;IF(Sync!$K1912="","0000",IF(AND(ISNUMBER(Sync!$K1912),Sync!$K1912&gt;=0,Sync!$K1912&lt;1),RIGHT("00"&amp;HOUR(Sync!$K1912),2)&amp;RIGHT("00"&amp;MINUTE(Sync!$K1912),2),IFERROR(RIGHT("00"&amp;VALUE(LEFT(Sync!$K1912,FIND(":",Sync!$K1912)-1)),2)&amp;RIGHT("00"&amp;VALUE(MID(Sync!$K1912,FIND(":",Sync!$K1912)+1,2)),2),"0000")))&amp;"|"&amp;"2"&amp;RIGHT("00000"&amp;1907,5))</f>
        <v/>
      </c>
      <c r="Q1912">
        <f>IF(Sync!$J1912="","",IF(ISNUMBER(Sync!$J1912),IF(AND(Sync!$J1912&gt;=10000101,Sync!$J1912&lt;=99991231),INT(Sync!$J1912/10000)&amp;"/"&amp;RIGHT("00"&amp;INT(MOD(Sync!$J1912,10000)/100),2)&amp;"/"&amp;RIGHT("00"&amp;MOD(Sync!$J1912,100),2),"نامعتبر"),IF(LEN(Sync!$J1912)=10,Sync!$J1912,"نامعتبر")))</f>
        <v/>
      </c>
      <c r="R1912">
        <f>IF($P1912="","",COUNTIFS($N$6:$N$2005,$N1912,$P$6:$P$2005,"&lt;"&amp;$P1912)+COUNTIFS($A$6:$A$1005,$N1912,$B$6:$B$1005,"&lt;"&amp;$P1912)+1)</f>
        <v/>
      </c>
      <c r="S1912">
        <f>IF($N1912="","",$N1912&amp;"|"&amp;RIGHT("000000"&amp;$R1912,6))</f>
        <v/>
      </c>
      <c r="T1912">
        <f>IF($N1912="","",IF(Sync!$N1912="",0,Sync!$N1912))</f>
        <v/>
      </c>
      <c r="U1912">
        <f>IF($N1912="","",IF(Sync!$O1912="",0,Sync!$O1912))</f>
        <v/>
      </c>
      <c r="V1912">
        <f>IF($N1912="","",Sync!$L1912)</f>
        <v/>
      </c>
      <c r="W1912">
        <f>IF($N1912="","",Sync!$P1912)</f>
        <v/>
      </c>
    </row>
    <row r="1913">
      <c r="N1913">
        <f>IF(OR(Sync!$M1913="",$Q1913="",$Q1913="نامعتبر"),"",Sync!$M1913)</f>
        <v/>
      </c>
      <c r="O1913">
        <f>IF($N1913="","",$Q1913)</f>
        <v/>
      </c>
      <c r="P1913">
        <f>IF($N1913="","",LEFT($Q1913,4)&amp;MID($Q1913,6,2)&amp;RIGHT($Q1913,2)&amp;IF(Sync!$K1913="","0000",IF(AND(ISNUMBER(Sync!$K1913),Sync!$K1913&gt;=0,Sync!$K1913&lt;1),RIGHT("00"&amp;HOUR(Sync!$K1913),2)&amp;RIGHT("00"&amp;MINUTE(Sync!$K1913),2),IFERROR(RIGHT("00"&amp;VALUE(LEFT(Sync!$K1913,FIND(":",Sync!$K1913)-1)),2)&amp;RIGHT("00"&amp;VALUE(MID(Sync!$K1913,FIND(":",Sync!$K1913)+1,2)),2),"0000")))&amp;"|"&amp;"2"&amp;RIGHT("00000"&amp;1908,5))</f>
        <v/>
      </c>
      <c r="Q1913">
        <f>IF(Sync!$J1913="","",IF(ISNUMBER(Sync!$J1913),IF(AND(Sync!$J1913&gt;=10000101,Sync!$J1913&lt;=99991231),INT(Sync!$J1913/10000)&amp;"/"&amp;RIGHT("00"&amp;INT(MOD(Sync!$J1913,10000)/100),2)&amp;"/"&amp;RIGHT("00"&amp;MOD(Sync!$J1913,100),2),"نامعتبر"),IF(LEN(Sync!$J1913)=10,Sync!$J1913,"نامعتبر")))</f>
        <v/>
      </c>
      <c r="R1913">
        <f>IF($P1913="","",COUNTIFS($N$6:$N$2005,$N1913,$P$6:$P$2005,"&lt;"&amp;$P1913)+COUNTIFS($A$6:$A$1005,$N1913,$B$6:$B$1005,"&lt;"&amp;$P1913)+1)</f>
        <v/>
      </c>
      <c r="S1913">
        <f>IF($N1913="","",$N1913&amp;"|"&amp;RIGHT("000000"&amp;$R1913,6))</f>
        <v/>
      </c>
      <c r="T1913">
        <f>IF($N1913="","",IF(Sync!$N1913="",0,Sync!$N1913))</f>
        <v/>
      </c>
      <c r="U1913">
        <f>IF($N1913="","",IF(Sync!$O1913="",0,Sync!$O1913))</f>
        <v/>
      </c>
      <c r="V1913">
        <f>IF($N1913="","",Sync!$L1913)</f>
        <v/>
      </c>
      <c r="W1913">
        <f>IF($N1913="","",Sync!$P1913)</f>
        <v/>
      </c>
    </row>
    <row r="1914">
      <c r="N1914">
        <f>IF(OR(Sync!$M1914="",$Q1914="",$Q1914="نامعتبر"),"",Sync!$M1914)</f>
        <v/>
      </c>
      <c r="O1914">
        <f>IF($N1914="","",$Q1914)</f>
        <v/>
      </c>
      <c r="P1914">
        <f>IF($N1914="","",LEFT($Q1914,4)&amp;MID($Q1914,6,2)&amp;RIGHT($Q1914,2)&amp;IF(Sync!$K1914="","0000",IF(AND(ISNUMBER(Sync!$K1914),Sync!$K1914&gt;=0,Sync!$K1914&lt;1),RIGHT("00"&amp;HOUR(Sync!$K1914),2)&amp;RIGHT("00"&amp;MINUTE(Sync!$K1914),2),IFERROR(RIGHT("00"&amp;VALUE(LEFT(Sync!$K1914,FIND(":",Sync!$K1914)-1)),2)&amp;RIGHT("00"&amp;VALUE(MID(Sync!$K1914,FIND(":",Sync!$K1914)+1,2)),2),"0000")))&amp;"|"&amp;"2"&amp;RIGHT("00000"&amp;1909,5))</f>
        <v/>
      </c>
      <c r="Q1914">
        <f>IF(Sync!$J1914="","",IF(ISNUMBER(Sync!$J1914),IF(AND(Sync!$J1914&gt;=10000101,Sync!$J1914&lt;=99991231),INT(Sync!$J1914/10000)&amp;"/"&amp;RIGHT("00"&amp;INT(MOD(Sync!$J1914,10000)/100),2)&amp;"/"&amp;RIGHT("00"&amp;MOD(Sync!$J1914,100),2),"نامعتبر"),IF(LEN(Sync!$J1914)=10,Sync!$J1914,"نامعتبر")))</f>
        <v/>
      </c>
      <c r="R1914">
        <f>IF($P1914="","",COUNTIFS($N$6:$N$2005,$N1914,$P$6:$P$2005,"&lt;"&amp;$P1914)+COUNTIFS($A$6:$A$1005,$N1914,$B$6:$B$1005,"&lt;"&amp;$P1914)+1)</f>
        <v/>
      </c>
      <c r="S1914">
        <f>IF($N1914="","",$N1914&amp;"|"&amp;RIGHT("000000"&amp;$R1914,6))</f>
        <v/>
      </c>
      <c r="T1914">
        <f>IF($N1914="","",IF(Sync!$N1914="",0,Sync!$N1914))</f>
        <v/>
      </c>
      <c r="U1914">
        <f>IF($N1914="","",IF(Sync!$O1914="",0,Sync!$O1914))</f>
        <v/>
      </c>
      <c r="V1914">
        <f>IF($N1914="","",Sync!$L1914)</f>
        <v/>
      </c>
      <c r="W1914">
        <f>IF($N1914="","",Sync!$P1914)</f>
        <v/>
      </c>
    </row>
    <row r="1915">
      <c r="N1915">
        <f>IF(OR(Sync!$M1915="",$Q1915="",$Q1915="نامعتبر"),"",Sync!$M1915)</f>
        <v/>
      </c>
      <c r="O1915">
        <f>IF($N1915="","",$Q1915)</f>
        <v/>
      </c>
      <c r="P1915">
        <f>IF($N1915="","",LEFT($Q1915,4)&amp;MID($Q1915,6,2)&amp;RIGHT($Q1915,2)&amp;IF(Sync!$K1915="","0000",IF(AND(ISNUMBER(Sync!$K1915),Sync!$K1915&gt;=0,Sync!$K1915&lt;1),RIGHT("00"&amp;HOUR(Sync!$K1915),2)&amp;RIGHT("00"&amp;MINUTE(Sync!$K1915),2),IFERROR(RIGHT("00"&amp;VALUE(LEFT(Sync!$K1915,FIND(":",Sync!$K1915)-1)),2)&amp;RIGHT("00"&amp;VALUE(MID(Sync!$K1915,FIND(":",Sync!$K1915)+1,2)),2),"0000")))&amp;"|"&amp;"2"&amp;RIGHT("00000"&amp;1910,5))</f>
        <v/>
      </c>
      <c r="Q1915">
        <f>IF(Sync!$J1915="","",IF(ISNUMBER(Sync!$J1915),IF(AND(Sync!$J1915&gt;=10000101,Sync!$J1915&lt;=99991231),INT(Sync!$J1915/10000)&amp;"/"&amp;RIGHT("00"&amp;INT(MOD(Sync!$J1915,10000)/100),2)&amp;"/"&amp;RIGHT("00"&amp;MOD(Sync!$J1915,100),2),"نامعتبر"),IF(LEN(Sync!$J1915)=10,Sync!$J1915,"نامعتبر")))</f>
        <v/>
      </c>
      <c r="R1915">
        <f>IF($P1915="","",COUNTIFS($N$6:$N$2005,$N1915,$P$6:$P$2005,"&lt;"&amp;$P1915)+COUNTIFS($A$6:$A$1005,$N1915,$B$6:$B$1005,"&lt;"&amp;$P1915)+1)</f>
        <v/>
      </c>
      <c r="S1915">
        <f>IF($N1915="","",$N1915&amp;"|"&amp;RIGHT("000000"&amp;$R1915,6))</f>
        <v/>
      </c>
      <c r="T1915">
        <f>IF($N1915="","",IF(Sync!$N1915="",0,Sync!$N1915))</f>
        <v/>
      </c>
      <c r="U1915">
        <f>IF($N1915="","",IF(Sync!$O1915="",0,Sync!$O1915))</f>
        <v/>
      </c>
      <c r="V1915">
        <f>IF($N1915="","",Sync!$L1915)</f>
        <v/>
      </c>
      <c r="W1915">
        <f>IF($N1915="","",Sync!$P1915)</f>
        <v/>
      </c>
    </row>
    <row r="1916">
      <c r="N1916">
        <f>IF(OR(Sync!$M1916="",$Q1916="",$Q1916="نامعتبر"),"",Sync!$M1916)</f>
        <v/>
      </c>
      <c r="O1916">
        <f>IF($N1916="","",$Q1916)</f>
        <v/>
      </c>
      <c r="P1916">
        <f>IF($N1916="","",LEFT($Q1916,4)&amp;MID($Q1916,6,2)&amp;RIGHT($Q1916,2)&amp;IF(Sync!$K1916="","0000",IF(AND(ISNUMBER(Sync!$K1916),Sync!$K1916&gt;=0,Sync!$K1916&lt;1),RIGHT("00"&amp;HOUR(Sync!$K1916),2)&amp;RIGHT("00"&amp;MINUTE(Sync!$K1916),2),IFERROR(RIGHT("00"&amp;VALUE(LEFT(Sync!$K1916,FIND(":",Sync!$K1916)-1)),2)&amp;RIGHT("00"&amp;VALUE(MID(Sync!$K1916,FIND(":",Sync!$K1916)+1,2)),2),"0000")))&amp;"|"&amp;"2"&amp;RIGHT("00000"&amp;1911,5))</f>
        <v/>
      </c>
      <c r="Q1916">
        <f>IF(Sync!$J1916="","",IF(ISNUMBER(Sync!$J1916),IF(AND(Sync!$J1916&gt;=10000101,Sync!$J1916&lt;=99991231),INT(Sync!$J1916/10000)&amp;"/"&amp;RIGHT("00"&amp;INT(MOD(Sync!$J1916,10000)/100),2)&amp;"/"&amp;RIGHT("00"&amp;MOD(Sync!$J1916,100),2),"نامعتبر"),IF(LEN(Sync!$J1916)=10,Sync!$J1916,"نامعتبر")))</f>
        <v/>
      </c>
      <c r="R1916">
        <f>IF($P1916="","",COUNTIFS($N$6:$N$2005,$N1916,$P$6:$P$2005,"&lt;"&amp;$P1916)+COUNTIFS($A$6:$A$1005,$N1916,$B$6:$B$1005,"&lt;"&amp;$P1916)+1)</f>
        <v/>
      </c>
      <c r="S1916">
        <f>IF($N1916="","",$N1916&amp;"|"&amp;RIGHT("000000"&amp;$R1916,6))</f>
        <v/>
      </c>
      <c r="T1916">
        <f>IF($N1916="","",IF(Sync!$N1916="",0,Sync!$N1916))</f>
        <v/>
      </c>
      <c r="U1916">
        <f>IF($N1916="","",IF(Sync!$O1916="",0,Sync!$O1916))</f>
        <v/>
      </c>
      <c r="V1916">
        <f>IF($N1916="","",Sync!$L1916)</f>
        <v/>
      </c>
      <c r="W1916">
        <f>IF($N1916="","",Sync!$P1916)</f>
        <v/>
      </c>
    </row>
    <row r="1917">
      <c r="N1917">
        <f>IF(OR(Sync!$M1917="",$Q1917="",$Q1917="نامعتبر"),"",Sync!$M1917)</f>
        <v/>
      </c>
      <c r="O1917">
        <f>IF($N1917="","",$Q1917)</f>
        <v/>
      </c>
      <c r="P1917">
        <f>IF($N1917="","",LEFT($Q1917,4)&amp;MID($Q1917,6,2)&amp;RIGHT($Q1917,2)&amp;IF(Sync!$K1917="","0000",IF(AND(ISNUMBER(Sync!$K1917),Sync!$K1917&gt;=0,Sync!$K1917&lt;1),RIGHT("00"&amp;HOUR(Sync!$K1917),2)&amp;RIGHT("00"&amp;MINUTE(Sync!$K1917),2),IFERROR(RIGHT("00"&amp;VALUE(LEFT(Sync!$K1917,FIND(":",Sync!$K1917)-1)),2)&amp;RIGHT("00"&amp;VALUE(MID(Sync!$K1917,FIND(":",Sync!$K1917)+1,2)),2),"0000")))&amp;"|"&amp;"2"&amp;RIGHT("00000"&amp;1912,5))</f>
        <v/>
      </c>
      <c r="Q1917">
        <f>IF(Sync!$J1917="","",IF(ISNUMBER(Sync!$J1917),IF(AND(Sync!$J1917&gt;=10000101,Sync!$J1917&lt;=99991231),INT(Sync!$J1917/10000)&amp;"/"&amp;RIGHT("00"&amp;INT(MOD(Sync!$J1917,10000)/100),2)&amp;"/"&amp;RIGHT("00"&amp;MOD(Sync!$J1917,100),2),"نامعتبر"),IF(LEN(Sync!$J1917)=10,Sync!$J1917,"نامعتبر")))</f>
        <v/>
      </c>
      <c r="R1917">
        <f>IF($P1917="","",COUNTIFS($N$6:$N$2005,$N1917,$P$6:$P$2005,"&lt;"&amp;$P1917)+COUNTIFS($A$6:$A$1005,$N1917,$B$6:$B$1005,"&lt;"&amp;$P1917)+1)</f>
        <v/>
      </c>
      <c r="S1917">
        <f>IF($N1917="","",$N1917&amp;"|"&amp;RIGHT("000000"&amp;$R1917,6))</f>
        <v/>
      </c>
      <c r="T1917">
        <f>IF($N1917="","",IF(Sync!$N1917="",0,Sync!$N1917))</f>
        <v/>
      </c>
      <c r="U1917">
        <f>IF($N1917="","",IF(Sync!$O1917="",0,Sync!$O1917))</f>
        <v/>
      </c>
      <c r="V1917">
        <f>IF($N1917="","",Sync!$L1917)</f>
        <v/>
      </c>
      <c r="W1917">
        <f>IF($N1917="","",Sync!$P1917)</f>
        <v/>
      </c>
    </row>
    <row r="1918">
      <c r="N1918">
        <f>IF(OR(Sync!$M1918="",$Q1918="",$Q1918="نامعتبر"),"",Sync!$M1918)</f>
        <v/>
      </c>
      <c r="O1918">
        <f>IF($N1918="","",$Q1918)</f>
        <v/>
      </c>
      <c r="P1918">
        <f>IF($N1918="","",LEFT($Q1918,4)&amp;MID($Q1918,6,2)&amp;RIGHT($Q1918,2)&amp;IF(Sync!$K1918="","0000",IF(AND(ISNUMBER(Sync!$K1918),Sync!$K1918&gt;=0,Sync!$K1918&lt;1),RIGHT("00"&amp;HOUR(Sync!$K1918),2)&amp;RIGHT("00"&amp;MINUTE(Sync!$K1918),2),IFERROR(RIGHT("00"&amp;VALUE(LEFT(Sync!$K1918,FIND(":",Sync!$K1918)-1)),2)&amp;RIGHT("00"&amp;VALUE(MID(Sync!$K1918,FIND(":",Sync!$K1918)+1,2)),2),"0000")))&amp;"|"&amp;"2"&amp;RIGHT("00000"&amp;1913,5))</f>
        <v/>
      </c>
      <c r="Q1918">
        <f>IF(Sync!$J1918="","",IF(ISNUMBER(Sync!$J1918),IF(AND(Sync!$J1918&gt;=10000101,Sync!$J1918&lt;=99991231),INT(Sync!$J1918/10000)&amp;"/"&amp;RIGHT("00"&amp;INT(MOD(Sync!$J1918,10000)/100),2)&amp;"/"&amp;RIGHT("00"&amp;MOD(Sync!$J1918,100),2),"نامعتبر"),IF(LEN(Sync!$J1918)=10,Sync!$J1918,"نامعتبر")))</f>
        <v/>
      </c>
      <c r="R1918">
        <f>IF($P1918="","",COUNTIFS($N$6:$N$2005,$N1918,$P$6:$P$2005,"&lt;"&amp;$P1918)+COUNTIFS($A$6:$A$1005,$N1918,$B$6:$B$1005,"&lt;"&amp;$P1918)+1)</f>
        <v/>
      </c>
      <c r="S1918">
        <f>IF($N1918="","",$N1918&amp;"|"&amp;RIGHT("000000"&amp;$R1918,6))</f>
        <v/>
      </c>
      <c r="T1918">
        <f>IF($N1918="","",IF(Sync!$N1918="",0,Sync!$N1918))</f>
        <v/>
      </c>
      <c r="U1918">
        <f>IF($N1918="","",IF(Sync!$O1918="",0,Sync!$O1918))</f>
        <v/>
      </c>
      <c r="V1918">
        <f>IF($N1918="","",Sync!$L1918)</f>
        <v/>
      </c>
      <c r="W1918">
        <f>IF($N1918="","",Sync!$P1918)</f>
        <v/>
      </c>
    </row>
    <row r="1919">
      <c r="N1919">
        <f>IF(OR(Sync!$M1919="",$Q1919="",$Q1919="نامعتبر"),"",Sync!$M1919)</f>
        <v/>
      </c>
      <c r="O1919">
        <f>IF($N1919="","",$Q1919)</f>
        <v/>
      </c>
      <c r="P1919">
        <f>IF($N1919="","",LEFT($Q1919,4)&amp;MID($Q1919,6,2)&amp;RIGHT($Q1919,2)&amp;IF(Sync!$K1919="","0000",IF(AND(ISNUMBER(Sync!$K1919),Sync!$K1919&gt;=0,Sync!$K1919&lt;1),RIGHT("00"&amp;HOUR(Sync!$K1919),2)&amp;RIGHT("00"&amp;MINUTE(Sync!$K1919),2),IFERROR(RIGHT("00"&amp;VALUE(LEFT(Sync!$K1919,FIND(":",Sync!$K1919)-1)),2)&amp;RIGHT("00"&amp;VALUE(MID(Sync!$K1919,FIND(":",Sync!$K1919)+1,2)),2),"0000")))&amp;"|"&amp;"2"&amp;RIGHT("00000"&amp;1914,5))</f>
        <v/>
      </c>
      <c r="Q1919">
        <f>IF(Sync!$J1919="","",IF(ISNUMBER(Sync!$J1919),IF(AND(Sync!$J1919&gt;=10000101,Sync!$J1919&lt;=99991231),INT(Sync!$J1919/10000)&amp;"/"&amp;RIGHT("00"&amp;INT(MOD(Sync!$J1919,10000)/100),2)&amp;"/"&amp;RIGHT("00"&amp;MOD(Sync!$J1919,100),2),"نامعتبر"),IF(LEN(Sync!$J1919)=10,Sync!$J1919,"نامعتبر")))</f>
        <v/>
      </c>
      <c r="R1919">
        <f>IF($P1919="","",COUNTIFS($N$6:$N$2005,$N1919,$P$6:$P$2005,"&lt;"&amp;$P1919)+COUNTIFS($A$6:$A$1005,$N1919,$B$6:$B$1005,"&lt;"&amp;$P1919)+1)</f>
        <v/>
      </c>
      <c r="S1919">
        <f>IF($N1919="","",$N1919&amp;"|"&amp;RIGHT("000000"&amp;$R1919,6))</f>
        <v/>
      </c>
      <c r="T1919">
        <f>IF($N1919="","",IF(Sync!$N1919="",0,Sync!$N1919))</f>
        <v/>
      </c>
      <c r="U1919">
        <f>IF($N1919="","",IF(Sync!$O1919="",0,Sync!$O1919))</f>
        <v/>
      </c>
      <c r="V1919">
        <f>IF($N1919="","",Sync!$L1919)</f>
        <v/>
      </c>
      <c r="W1919">
        <f>IF($N1919="","",Sync!$P1919)</f>
        <v/>
      </c>
    </row>
    <row r="1920">
      <c r="N1920">
        <f>IF(OR(Sync!$M1920="",$Q1920="",$Q1920="نامعتبر"),"",Sync!$M1920)</f>
        <v/>
      </c>
      <c r="O1920">
        <f>IF($N1920="","",$Q1920)</f>
        <v/>
      </c>
      <c r="P1920">
        <f>IF($N1920="","",LEFT($Q1920,4)&amp;MID($Q1920,6,2)&amp;RIGHT($Q1920,2)&amp;IF(Sync!$K1920="","0000",IF(AND(ISNUMBER(Sync!$K1920),Sync!$K1920&gt;=0,Sync!$K1920&lt;1),RIGHT("00"&amp;HOUR(Sync!$K1920),2)&amp;RIGHT("00"&amp;MINUTE(Sync!$K1920),2),IFERROR(RIGHT("00"&amp;VALUE(LEFT(Sync!$K1920,FIND(":",Sync!$K1920)-1)),2)&amp;RIGHT("00"&amp;VALUE(MID(Sync!$K1920,FIND(":",Sync!$K1920)+1,2)),2),"0000")))&amp;"|"&amp;"2"&amp;RIGHT("00000"&amp;1915,5))</f>
        <v/>
      </c>
      <c r="Q1920">
        <f>IF(Sync!$J1920="","",IF(ISNUMBER(Sync!$J1920),IF(AND(Sync!$J1920&gt;=10000101,Sync!$J1920&lt;=99991231),INT(Sync!$J1920/10000)&amp;"/"&amp;RIGHT("00"&amp;INT(MOD(Sync!$J1920,10000)/100),2)&amp;"/"&amp;RIGHT("00"&amp;MOD(Sync!$J1920,100),2),"نامعتبر"),IF(LEN(Sync!$J1920)=10,Sync!$J1920,"نامعتبر")))</f>
        <v/>
      </c>
      <c r="R1920">
        <f>IF($P1920="","",COUNTIFS($N$6:$N$2005,$N1920,$P$6:$P$2005,"&lt;"&amp;$P1920)+COUNTIFS($A$6:$A$1005,$N1920,$B$6:$B$1005,"&lt;"&amp;$P1920)+1)</f>
        <v/>
      </c>
      <c r="S1920">
        <f>IF($N1920="","",$N1920&amp;"|"&amp;RIGHT("000000"&amp;$R1920,6))</f>
        <v/>
      </c>
      <c r="T1920">
        <f>IF($N1920="","",IF(Sync!$N1920="",0,Sync!$N1920))</f>
        <v/>
      </c>
      <c r="U1920">
        <f>IF($N1920="","",IF(Sync!$O1920="",0,Sync!$O1920))</f>
        <v/>
      </c>
      <c r="V1920">
        <f>IF($N1920="","",Sync!$L1920)</f>
        <v/>
      </c>
      <c r="W1920">
        <f>IF($N1920="","",Sync!$P1920)</f>
        <v/>
      </c>
    </row>
    <row r="1921">
      <c r="N1921">
        <f>IF(OR(Sync!$M1921="",$Q1921="",$Q1921="نامعتبر"),"",Sync!$M1921)</f>
        <v/>
      </c>
      <c r="O1921">
        <f>IF($N1921="","",$Q1921)</f>
        <v/>
      </c>
      <c r="P1921">
        <f>IF($N1921="","",LEFT($Q1921,4)&amp;MID($Q1921,6,2)&amp;RIGHT($Q1921,2)&amp;IF(Sync!$K1921="","0000",IF(AND(ISNUMBER(Sync!$K1921),Sync!$K1921&gt;=0,Sync!$K1921&lt;1),RIGHT("00"&amp;HOUR(Sync!$K1921),2)&amp;RIGHT("00"&amp;MINUTE(Sync!$K1921),2),IFERROR(RIGHT("00"&amp;VALUE(LEFT(Sync!$K1921,FIND(":",Sync!$K1921)-1)),2)&amp;RIGHT("00"&amp;VALUE(MID(Sync!$K1921,FIND(":",Sync!$K1921)+1,2)),2),"0000")))&amp;"|"&amp;"2"&amp;RIGHT("00000"&amp;1916,5))</f>
        <v/>
      </c>
      <c r="Q1921">
        <f>IF(Sync!$J1921="","",IF(ISNUMBER(Sync!$J1921),IF(AND(Sync!$J1921&gt;=10000101,Sync!$J1921&lt;=99991231),INT(Sync!$J1921/10000)&amp;"/"&amp;RIGHT("00"&amp;INT(MOD(Sync!$J1921,10000)/100),2)&amp;"/"&amp;RIGHT("00"&amp;MOD(Sync!$J1921,100),2),"نامعتبر"),IF(LEN(Sync!$J1921)=10,Sync!$J1921,"نامعتبر")))</f>
        <v/>
      </c>
      <c r="R1921">
        <f>IF($P1921="","",COUNTIFS($N$6:$N$2005,$N1921,$P$6:$P$2005,"&lt;"&amp;$P1921)+COUNTIFS($A$6:$A$1005,$N1921,$B$6:$B$1005,"&lt;"&amp;$P1921)+1)</f>
        <v/>
      </c>
      <c r="S1921">
        <f>IF($N1921="","",$N1921&amp;"|"&amp;RIGHT("000000"&amp;$R1921,6))</f>
        <v/>
      </c>
      <c r="T1921">
        <f>IF($N1921="","",IF(Sync!$N1921="",0,Sync!$N1921))</f>
        <v/>
      </c>
      <c r="U1921">
        <f>IF($N1921="","",IF(Sync!$O1921="",0,Sync!$O1921))</f>
        <v/>
      </c>
      <c r="V1921">
        <f>IF($N1921="","",Sync!$L1921)</f>
        <v/>
      </c>
      <c r="W1921">
        <f>IF($N1921="","",Sync!$P1921)</f>
        <v/>
      </c>
    </row>
    <row r="1922">
      <c r="N1922">
        <f>IF(OR(Sync!$M1922="",$Q1922="",$Q1922="نامعتبر"),"",Sync!$M1922)</f>
        <v/>
      </c>
      <c r="O1922">
        <f>IF($N1922="","",$Q1922)</f>
        <v/>
      </c>
      <c r="P1922">
        <f>IF($N1922="","",LEFT($Q1922,4)&amp;MID($Q1922,6,2)&amp;RIGHT($Q1922,2)&amp;IF(Sync!$K1922="","0000",IF(AND(ISNUMBER(Sync!$K1922),Sync!$K1922&gt;=0,Sync!$K1922&lt;1),RIGHT("00"&amp;HOUR(Sync!$K1922),2)&amp;RIGHT("00"&amp;MINUTE(Sync!$K1922),2),IFERROR(RIGHT("00"&amp;VALUE(LEFT(Sync!$K1922,FIND(":",Sync!$K1922)-1)),2)&amp;RIGHT("00"&amp;VALUE(MID(Sync!$K1922,FIND(":",Sync!$K1922)+1,2)),2),"0000")))&amp;"|"&amp;"2"&amp;RIGHT("00000"&amp;1917,5))</f>
        <v/>
      </c>
      <c r="Q1922">
        <f>IF(Sync!$J1922="","",IF(ISNUMBER(Sync!$J1922),IF(AND(Sync!$J1922&gt;=10000101,Sync!$J1922&lt;=99991231),INT(Sync!$J1922/10000)&amp;"/"&amp;RIGHT("00"&amp;INT(MOD(Sync!$J1922,10000)/100),2)&amp;"/"&amp;RIGHT("00"&amp;MOD(Sync!$J1922,100),2),"نامعتبر"),IF(LEN(Sync!$J1922)=10,Sync!$J1922,"نامعتبر")))</f>
        <v/>
      </c>
      <c r="R1922">
        <f>IF($P1922="","",COUNTIFS($N$6:$N$2005,$N1922,$P$6:$P$2005,"&lt;"&amp;$P1922)+COUNTIFS($A$6:$A$1005,$N1922,$B$6:$B$1005,"&lt;"&amp;$P1922)+1)</f>
        <v/>
      </c>
      <c r="S1922">
        <f>IF($N1922="","",$N1922&amp;"|"&amp;RIGHT("000000"&amp;$R1922,6))</f>
        <v/>
      </c>
      <c r="T1922">
        <f>IF($N1922="","",IF(Sync!$N1922="",0,Sync!$N1922))</f>
        <v/>
      </c>
      <c r="U1922">
        <f>IF($N1922="","",IF(Sync!$O1922="",0,Sync!$O1922))</f>
        <v/>
      </c>
      <c r="V1922">
        <f>IF($N1922="","",Sync!$L1922)</f>
        <v/>
      </c>
      <c r="W1922">
        <f>IF($N1922="","",Sync!$P1922)</f>
        <v/>
      </c>
    </row>
    <row r="1923">
      <c r="N1923">
        <f>IF(OR(Sync!$M1923="",$Q1923="",$Q1923="نامعتبر"),"",Sync!$M1923)</f>
        <v/>
      </c>
      <c r="O1923">
        <f>IF($N1923="","",$Q1923)</f>
        <v/>
      </c>
      <c r="P1923">
        <f>IF($N1923="","",LEFT($Q1923,4)&amp;MID($Q1923,6,2)&amp;RIGHT($Q1923,2)&amp;IF(Sync!$K1923="","0000",IF(AND(ISNUMBER(Sync!$K1923),Sync!$K1923&gt;=0,Sync!$K1923&lt;1),RIGHT("00"&amp;HOUR(Sync!$K1923),2)&amp;RIGHT("00"&amp;MINUTE(Sync!$K1923),2),IFERROR(RIGHT("00"&amp;VALUE(LEFT(Sync!$K1923,FIND(":",Sync!$K1923)-1)),2)&amp;RIGHT("00"&amp;VALUE(MID(Sync!$K1923,FIND(":",Sync!$K1923)+1,2)),2),"0000")))&amp;"|"&amp;"2"&amp;RIGHT("00000"&amp;1918,5))</f>
        <v/>
      </c>
      <c r="Q1923">
        <f>IF(Sync!$J1923="","",IF(ISNUMBER(Sync!$J1923),IF(AND(Sync!$J1923&gt;=10000101,Sync!$J1923&lt;=99991231),INT(Sync!$J1923/10000)&amp;"/"&amp;RIGHT("00"&amp;INT(MOD(Sync!$J1923,10000)/100),2)&amp;"/"&amp;RIGHT("00"&amp;MOD(Sync!$J1923,100),2),"نامعتبر"),IF(LEN(Sync!$J1923)=10,Sync!$J1923,"نامعتبر")))</f>
        <v/>
      </c>
      <c r="R1923">
        <f>IF($P1923="","",COUNTIFS($N$6:$N$2005,$N1923,$P$6:$P$2005,"&lt;"&amp;$P1923)+COUNTIFS($A$6:$A$1005,$N1923,$B$6:$B$1005,"&lt;"&amp;$P1923)+1)</f>
        <v/>
      </c>
      <c r="S1923">
        <f>IF($N1923="","",$N1923&amp;"|"&amp;RIGHT("000000"&amp;$R1923,6))</f>
        <v/>
      </c>
      <c r="T1923">
        <f>IF($N1923="","",IF(Sync!$N1923="",0,Sync!$N1923))</f>
        <v/>
      </c>
      <c r="U1923">
        <f>IF($N1923="","",IF(Sync!$O1923="",0,Sync!$O1923))</f>
        <v/>
      </c>
      <c r="V1923">
        <f>IF($N1923="","",Sync!$L1923)</f>
        <v/>
      </c>
      <c r="W1923">
        <f>IF($N1923="","",Sync!$P1923)</f>
        <v/>
      </c>
    </row>
    <row r="1924">
      <c r="N1924">
        <f>IF(OR(Sync!$M1924="",$Q1924="",$Q1924="نامعتبر"),"",Sync!$M1924)</f>
        <v/>
      </c>
      <c r="O1924">
        <f>IF($N1924="","",$Q1924)</f>
        <v/>
      </c>
      <c r="P1924">
        <f>IF($N1924="","",LEFT($Q1924,4)&amp;MID($Q1924,6,2)&amp;RIGHT($Q1924,2)&amp;IF(Sync!$K1924="","0000",IF(AND(ISNUMBER(Sync!$K1924),Sync!$K1924&gt;=0,Sync!$K1924&lt;1),RIGHT("00"&amp;HOUR(Sync!$K1924),2)&amp;RIGHT("00"&amp;MINUTE(Sync!$K1924),2),IFERROR(RIGHT("00"&amp;VALUE(LEFT(Sync!$K1924,FIND(":",Sync!$K1924)-1)),2)&amp;RIGHT("00"&amp;VALUE(MID(Sync!$K1924,FIND(":",Sync!$K1924)+1,2)),2),"0000")))&amp;"|"&amp;"2"&amp;RIGHT("00000"&amp;1919,5))</f>
        <v/>
      </c>
      <c r="Q1924">
        <f>IF(Sync!$J1924="","",IF(ISNUMBER(Sync!$J1924),IF(AND(Sync!$J1924&gt;=10000101,Sync!$J1924&lt;=99991231),INT(Sync!$J1924/10000)&amp;"/"&amp;RIGHT("00"&amp;INT(MOD(Sync!$J1924,10000)/100),2)&amp;"/"&amp;RIGHT("00"&amp;MOD(Sync!$J1924,100),2),"نامعتبر"),IF(LEN(Sync!$J1924)=10,Sync!$J1924,"نامعتبر")))</f>
        <v/>
      </c>
      <c r="R1924">
        <f>IF($P1924="","",COUNTIFS($N$6:$N$2005,$N1924,$P$6:$P$2005,"&lt;"&amp;$P1924)+COUNTIFS($A$6:$A$1005,$N1924,$B$6:$B$1005,"&lt;"&amp;$P1924)+1)</f>
        <v/>
      </c>
      <c r="S1924">
        <f>IF($N1924="","",$N1924&amp;"|"&amp;RIGHT("000000"&amp;$R1924,6))</f>
        <v/>
      </c>
      <c r="T1924">
        <f>IF($N1924="","",IF(Sync!$N1924="",0,Sync!$N1924))</f>
        <v/>
      </c>
      <c r="U1924">
        <f>IF($N1924="","",IF(Sync!$O1924="",0,Sync!$O1924))</f>
        <v/>
      </c>
      <c r="V1924">
        <f>IF($N1924="","",Sync!$L1924)</f>
        <v/>
      </c>
      <c r="W1924">
        <f>IF($N1924="","",Sync!$P1924)</f>
        <v/>
      </c>
    </row>
    <row r="1925">
      <c r="N1925">
        <f>IF(OR(Sync!$M1925="",$Q1925="",$Q1925="نامعتبر"),"",Sync!$M1925)</f>
        <v/>
      </c>
      <c r="O1925">
        <f>IF($N1925="","",$Q1925)</f>
        <v/>
      </c>
      <c r="P1925">
        <f>IF($N1925="","",LEFT($Q1925,4)&amp;MID($Q1925,6,2)&amp;RIGHT($Q1925,2)&amp;IF(Sync!$K1925="","0000",IF(AND(ISNUMBER(Sync!$K1925),Sync!$K1925&gt;=0,Sync!$K1925&lt;1),RIGHT("00"&amp;HOUR(Sync!$K1925),2)&amp;RIGHT("00"&amp;MINUTE(Sync!$K1925),2),IFERROR(RIGHT("00"&amp;VALUE(LEFT(Sync!$K1925,FIND(":",Sync!$K1925)-1)),2)&amp;RIGHT("00"&amp;VALUE(MID(Sync!$K1925,FIND(":",Sync!$K1925)+1,2)),2),"0000")))&amp;"|"&amp;"2"&amp;RIGHT("00000"&amp;1920,5))</f>
        <v/>
      </c>
      <c r="Q1925">
        <f>IF(Sync!$J1925="","",IF(ISNUMBER(Sync!$J1925),IF(AND(Sync!$J1925&gt;=10000101,Sync!$J1925&lt;=99991231),INT(Sync!$J1925/10000)&amp;"/"&amp;RIGHT("00"&amp;INT(MOD(Sync!$J1925,10000)/100),2)&amp;"/"&amp;RIGHT("00"&amp;MOD(Sync!$J1925,100),2),"نامعتبر"),IF(LEN(Sync!$J1925)=10,Sync!$J1925,"نامعتبر")))</f>
        <v/>
      </c>
      <c r="R1925">
        <f>IF($P1925="","",COUNTIFS($N$6:$N$2005,$N1925,$P$6:$P$2005,"&lt;"&amp;$P1925)+COUNTIFS($A$6:$A$1005,$N1925,$B$6:$B$1005,"&lt;"&amp;$P1925)+1)</f>
        <v/>
      </c>
      <c r="S1925">
        <f>IF($N1925="","",$N1925&amp;"|"&amp;RIGHT("000000"&amp;$R1925,6))</f>
        <v/>
      </c>
      <c r="T1925">
        <f>IF($N1925="","",IF(Sync!$N1925="",0,Sync!$N1925))</f>
        <v/>
      </c>
      <c r="U1925">
        <f>IF($N1925="","",IF(Sync!$O1925="",0,Sync!$O1925))</f>
        <v/>
      </c>
      <c r="V1925">
        <f>IF($N1925="","",Sync!$L1925)</f>
        <v/>
      </c>
      <c r="W1925">
        <f>IF($N1925="","",Sync!$P1925)</f>
        <v/>
      </c>
    </row>
    <row r="1926">
      <c r="N1926">
        <f>IF(OR(Sync!$M1926="",$Q1926="",$Q1926="نامعتبر"),"",Sync!$M1926)</f>
        <v/>
      </c>
      <c r="O1926">
        <f>IF($N1926="","",$Q1926)</f>
        <v/>
      </c>
      <c r="P1926">
        <f>IF($N1926="","",LEFT($Q1926,4)&amp;MID($Q1926,6,2)&amp;RIGHT($Q1926,2)&amp;IF(Sync!$K1926="","0000",IF(AND(ISNUMBER(Sync!$K1926),Sync!$K1926&gt;=0,Sync!$K1926&lt;1),RIGHT("00"&amp;HOUR(Sync!$K1926),2)&amp;RIGHT("00"&amp;MINUTE(Sync!$K1926),2),IFERROR(RIGHT("00"&amp;VALUE(LEFT(Sync!$K1926,FIND(":",Sync!$K1926)-1)),2)&amp;RIGHT("00"&amp;VALUE(MID(Sync!$K1926,FIND(":",Sync!$K1926)+1,2)),2),"0000")))&amp;"|"&amp;"2"&amp;RIGHT("00000"&amp;1921,5))</f>
        <v/>
      </c>
      <c r="Q1926">
        <f>IF(Sync!$J1926="","",IF(ISNUMBER(Sync!$J1926),IF(AND(Sync!$J1926&gt;=10000101,Sync!$J1926&lt;=99991231),INT(Sync!$J1926/10000)&amp;"/"&amp;RIGHT("00"&amp;INT(MOD(Sync!$J1926,10000)/100),2)&amp;"/"&amp;RIGHT("00"&amp;MOD(Sync!$J1926,100),2),"نامعتبر"),IF(LEN(Sync!$J1926)=10,Sync!$J1926,"نامعتبر")))</f>
        <v/>
      </c>
      <c r="R1926">
        <f>IF($P1926="","",COUNTIFS($N$6:$N$2005,$N1926,$P$6:$P$2005,"&lt;"&amp;$P1926)+COUNTIFS($A$6:$A$1005,$N1926,$B$6:$B$1005,"&lt;"&amp;$P1926)+1)</f>
        <v/>
      </c>
      <c r="S1926">
        <f>IF($N1926="","",$N1926&amp;"|"&amp;RIGHT("000000"&amp;$R1926,6))</f>
        <v/>
      </c>
      <c r="T1926">
        <f>IF($N1926="","",IF(Sync!$N1926="",0,Sync!$N1926))</f>
        <v/>
      </c>
      <c r="U1926">
        <f>IF($N1926="","",IF(Sync!$O1926="",0,Sync!$O1926))</f>
        <v/>
      </c>
      <c r="V1926">
        <f>IF($N1926="","",Sync!$L1926)</f>
        <v/>
      </c>
      <c r="W1926">
        <f>IF($N1926="","",Sync!$P1926)</f>
        <v/>
      </c>
    </row>
    <row r="1927">
      <c r="N1927">
        <f>IF(OR(Sync!$M1927="",$Q1927="",$Q1927="نامعتبر"),"",Sync!$M1927)</f>
        <v/>
      </c>
      <c r="O1927">
        <f>IF($N1927="","",$Q1927)</f>
        <v/>
      </c>
      <c r="P1927">
        <f>IF($N1927="","",LEFT($Q1927,4)&amp;MID($Q1927,6,2)&amp;RIGHT($Q1927,2)&amp;IF(Sync!$K1927="","0000",IF(AND(ISNUMBER(Sync!$K1927),Sync!$K1927&gt;=0,Sync!$K1927&lt;1),RIGHT("00"&amp;HOUR(Sync!$K1927),2)&amp;RIGHT("00"&amp;MINUTE(Sync!$K1927),2),IFERROR(RIGHT("00"&amp;VALUE(LEFT(Sync!$K1927,FIND(":",Sync!$K1927)-1)),2)&amp;RIGHT("00"&amp;VALUE(MID(Sync!$K1927,FIND(":",Sync!$K1927)+1,2)),2),"0000")))&amp;"|"&amp;"2"&amp;RIGHT("00000"&amp;1922,5))</f>
        <v/>
      </c>
      <c r="Q1927">
        <f>IF(Sync!$J1927="","",IF(ISNUMBER(Sync!$J1927),IF(AND(Sync!$J1927&gt;=10000101,Sync!$J1927&lt;=99991231),INT(Sync!$J1927/10000)&amp;"/"&amp;RIGHT("00"&amp;INT(MOD(Sync!$J1927,10000)/100),2)&amp;"/"&amp;RIGHT("00"&amp;MOD(Sync!$J1927,100),2),"نامعتبر"),IF(LEN(Sync!$J1927)=10,Sync!$J1927,"نامعتبر")))</f>
        <v/>
      </c>
      <c r="R1927">
        <f>IF($P1927="","",COUNTIFS($N$6:$N$2005,$N1927,$P$6:$P$2005,"&lt;"&amp;$P1927)+COUNTIFS($A$6:$A$1005,$N1927,$B$6:$B$1005,"&lt;"&amp;$P1927)+1)</f>
        <v/>
      </c>
      <c r="S1927">
        <f>IF($N1927="","",$N1927&amp;"|"&amp;RIGHT("000000"&amp;$R1927,6))</f>
        <v/>
      </c>
      <c r="T1927">
        <f>IF($N1927="","",IF(Sync!$N1927="",0,Sync!$N1927))</f>
        <v/>
      </c>
      <c r="U1927">
        <f>IF($N1927="","",IF(Sync!$O1927="",0,Sync!$O1927))</f>
        <v/>
      </c>
      <c r="V1927">
        <f>IF($N1927="","",Sync!$L1927)</f>
        <v/>
      </c>
      <c r="W1927">
        <f>IF($N1927="","",Sync!$P1927)</f>
        <v/>
      </c>
    </row>
    <row r="1928">
      <c r="N1928">
        <f>IF(OR(Sync!$M1928="",$Q1928="",$Q1928="نامعتبر"),"",Sync!$M1928)</f>
        <v/>
      </c>
      <c r="O1928">
        <f>IF($N1928="","",$Q1928)</f>
        <v/>
      </c>
      <c r="P1928">
        <f>IF($N1928="","",LEFT($Q1928,4)&amp;MID($Q1928,6,2)&amp;RIGHT($Q1928,2)&amp;IF(Sync!$K1928="","0000",IF(AND(ISNUMBER(Sync!$K1928),Sync!$K1928&gt;=0,Sync!$K1928&lt;1),RIGHT("00"&amp;HOUR(Sync!$K1928),2)&amp;RIGHT("00"&amp;MINUTE(Sync!$K1928),2),IFERROR(RIGHT("00"&amp;VALUE(LEFT(Sync!$K1928,FIND(":",Sync!$K1928)-1)),2)&amp;RIGHT("00"&amp;VALUE(MID(Sync!$K1928,FIND(":",Sync!$K1928)+1,2)),2),"0000")))&amp;"|"&amp;"2"&amp;RIGHT("00000"&amp;1923,5))</f>
        <v/>
      </c>
      <c r="Q1928">
        <f>IF(Sync!$J1928="","",IF(ISNUMBER(Sync!$J1928),IF(AND(Sync!$J1928&gt;=10000101,Sync!$J1928&lt;=99991231),INT(Sync!$J1928/10000)&amp;"/"&amp;RIGHT("00"&amp;INT(MOD(Sync!$J1928,10000)/100),2)&amp;"/"&amp;RIGHT("00"&amp;MOD(Sync!$J1928,100),2),"نامعتبر"),IF(LEN(Sync!$J1928)=10,Sync!$J1928,"نامعتبر")))</f>
        <v/>
      </c>
      <c r="R1928">
        <f>IF($P1928="","",COUNTIFS($N$6:$N$2005,$N1928,$P$6:$P$2005,"&lt;"&amp;$P1928)+COUNTIFS($A$6:$A$1005,$N1928,$B$6:$B$1005,"&lt;"&amp;$P1928)+1)</f>
        <v/>
      </c>
      <c r="S1928">
        <f>IF($N1928="","",$N1928&amp;"|"&amp;RIGHT("000000"&amp;$R1928,6))</f>
        <v/>
      </c>
      <c r="T1928">
        <f>IF($N1928="","",IF(Sync!$N1928="",0,Sync!$N1928))</f>
        <v/>
      </c>
      <c r="U1928">
        <f>IF($N1928="","",IF(Sync!$O1928="",0,Sync!$O1928))</f>
        <v/>
      </c>
      <c r="V1928">
        <f>IF($N1928="","",Sync!$L1928)</f>
        <v/>
      </c>
      <c r="W1928">
        <f>IF($N1928="","",Sync!$P1928)</f>
        <v/>
      </c>
    </row>
    <row r="1929">
      <c r="N1929">
        <f>IF(OR(Sync!$M1929="",$Q1929="",$Q1929="نامعتبر"),"",Sync!$M1929)</f>
        <v/>
      </c>
      <c r="O1929">
        <f>IF($N1929="","",$Q1929)</f>
        <v/>
      </c>
      <c r="P1929">
        <f>IF($N1929="","",LEFT($Q1929,4)&amp;MID($Q1929,6,2)&amp;RIGHT($Q1929,2)&amp;IF(Sync!$K1929="","0000",IF(AND(ISNUMBER(Sync!$K1929),Sync!$K1929&gt;=0,Sync!$K1929&lt;1),RIGHT("00"&amp;HOUR(Sync!$K1929),2)&amp;RIGHT("00"&amp;MINUTE(Sync!$K1929),2),IFERROR(RIGHT("00"&amp;VALUE(LEFT(Sync!$K1929,FIND(":",Sync!$K1929)-1)),2)&amp;RIGHT("00"&amp;VALUE(MID(Sync!$K1929,FIND(":",Sync!$K1929)+1,2)),2),"0000")))&amp;"|"&amp;"2"&amp;RIGHT("00000"&amp;1924,5))</f>
        <v/>
      </c>
      <c r="Q1929">
        <f>IF(Sync!$J1929="","",IF(ISNUMBER(Sync!$J1929),IF(AND(Sync!$J1929&gt;=10000101,Sync!$J1929&lt;=99991231),INT(Sync!$J1929/10000)&amp;"/"&amp;RIGHT("00"&amp;INT(MOD(Sync!$J1929,10000)/100),2)&amp;"/"&amp;RIGHT("00"&amp;MOD(Sync!$J1929,100),2),"نامعتبر"),IF(LEN(Sync!$J1929)=10,Sync!$J1929,"نامعتبر")))</f>
        <v/>
      </c>
      <c r="R1929">
        <f>IF($P1929="","",COUNTIFS($N$6:$N$2005,$N1929,$P$6:$P$2005,"&lt;"&amp;$P1929)+COUNTIFS($A$6:$A$1005,$N1929,$B$6:$B$1005,"&lt;"&amp;$P1929)+1)</f>
        <v/>
      </c>
      <c r="S1929">
        <f>IF($N1929="","",$N1929&amp;"|"&amp;RIGHT("000000"&amp;$R1929,6))</f>
        <v/>
      </c>
      <c r="T1929">
        <f>IF($N1929="","",IF(Sync!$N1929="",0,Sync!$N1929))</f>
        <v/>
      </c>
      <c r="U1929">
        <f>IF($N1929="","",IF(Sync!$O1929="",0,Sync!$O1929))</f>
        <v/>
      </c>
      <c r="V1929">
        <f>IF($N1929="","",Sync!$L1929)</f>
        <v/>
      </c>
      <c r="W1929">
        <f>IF($N1929="","",Sync!$P1929)</f>
        <v/>
      </c>
    </row>
    <row r="1930">
      <c r="N1930">
        <f>IF(OR(Sync!$M1930="",$Q1930="",$Q1930="نامعتبر"),"",Sync!$M1930)</f>
        <v/>
      </c>
      <c r="O1930">
        <f>IF($N1930="","",$Q1930)</f>
        <v/>
      </c>
      <c r="P1930">
        <f>IF($N1930="","",LEFT($Q1930,4)&amp;MID($Q1930,6,2)&amp;RIGHT($Q1930,2)&amp;IF(Sync!$K1930="","0000",IF(AND(ISNUMBER(Sync!$K1930),Sync!$K1930&gt;=0,Sync!$K1930&lt;1),RIGHT("00"&amp;HOUR(Sync!$K1930),2)&amp;RIGHT("00"&amp;MINUTE(Sync!$K1930),2),IFERROR(RIGHT("00"&amp;VALUE(LEFT(Sync!$K1930,FIND(":",Sync!$K1930)-1)),2)&amp;RIGHT("00"&amp;VALUE(MID(Sync!$K1930,FIND(":",Sync!$K1930)+1,2)),2),"0000")))&amp;"|"&amp;"2"&amp;RIGHT("00000"&amp;1925,5))</f>
        <v/>
      </c>
      <c r="Q1930">
        <f>IF(Sync!$J1930="","",IF(ISNUMBER(Sync!$J1930),IF(AND(Sync!$J1930&gt;=10000101,Sync!$J1930&lt;=99991231),INT(Sync!$J1930/10000)&amp;"/"&amp;RIGHT("00"&amp;INT(MOD(Sync!$J1930,10000)/100),2)&amp;"/"&amp;RIGHT("00"&amp;MOD(Sync!$J1930,100),2),"نامعتبر"),IF(LEN(Sync!$J1930)=10,Sync!$J1930,"نامعتبر")))</f>
        <v/>
      </c>
      <c r="R1930">
        <f>IF($P1930="","",COUNTIFS($N$6:$N$2005,$N1930,$P$6:$P$2005,"&lt;"&amp;$P1930)+COUNTIFS($A$6:$A$1005,$N1930,$B$6:$B$1005,"&lt;"&amp;$P1930)+1)</f>
        <v/>
      </c>
      <c r="S1930">
        <f>IF($N1930="","",$N1930&amp;"|"&amp;RIGHT("000000"&amp;$R1930,6))</f>
        <v/>
      </c>
      <c r="T1930">
        <f>IF($N1930="","",IF(Sync!$N1930="",0,Sync!$N1930))</f>
        <v/>
      </c>
      <c r="U1930">
        <f>IF($N1930="","",IF(Sync!$O1930="",0,Sync!$O1930))</f>
        <v/>
      </c>
      <c r="V1930">
        <f>IF($N1930="","",Sync!$L1930)</f>
        <v/>
      </c>
      <c r="W1930">
        <f>IF($N1930="","",Sync!$P1930)</f>
        <v/>
      </c>
    </row>
    <row r="1931">
      <c r="N1931">
        <f>IF(OR(Sync!$M1931="",$Q1931="",$Q1931="نامعتبر"),"",Sync!$M1931)</f>
        <v/>
      </c>
      <c r="O1931">
        <f>IF($N1931="","",$Q1931)</f>
        <v/>
      </c>
      <c r="P1931">
        <f>IF($N1931="","",LEFT($Q1931,4)&amp;MID($Q1931,6,2)&amp;RIGHT($Q1931,2)&amp;IF(Sync!$K1931="","0000",IF(AND(ISNUMBER(Sync!$K1931),Sync!$K1931&gt;=0,Sync!$K1931&lt;1),RIGHT("00"&amp;HOUR(Sync!$K1931),2)&amp;RIGHT("00"&amp;MINUTE(Sync!$K1931),2),IFERROR(RIGHT("00"&amp;VALUE(LEFT(Sync!$K1931,FIND(":",Sync!$K1931)-1)),2)&amp;RIGHT("00"&amp;VALUE(MID(Sync!$K1931,FIND(":",Sync!$K1931)+1,2)),2),"0000")))&amp;"|"&amp;"2"&amp;RIGHT("00000"&amp;1926,5))</f>
        <v/>
      </c>
      <c r="Q1931">
        <f>IF(Sync!$J1931="","",IF(ISNUMBER(Sync!$J1931),IF(AND(Sync!$J1931&gt;=10000101,Sync!$J1931&lt;=99991231),INT(Sync!$J1931/10000)&amp;"/"&amp;RIGHT("00"&amp;INT(MOD(Sync!$J1931,10000)/100),2)&amp;"/"&amp;RIGHT("00"&amp;MOD(Sync!$J1931,100),2),"نامعتبر"),IF(LEN(Sync!$J1931)=10,Sync!$J1931,"نامعتبر")))</f>
        <v/>
      </c>
      <c r="R1931">
        <f>IF($P1931="","",COUNTIFS($N$6:$N$2005,$N1931,$P$6:$P$2005,"&lt;"&amp;$P1931)+COUNTIFS($A$6:$A$1005,$N1931,$B$6:$B$1005,"&lt;"&amp;$P1931)+1)</f>
        <v/>
      </c>
      <c r="S1931">
        <f>IF($N1931="","",$N1931&amp;"|"&amp;RIGHT("000000"&amp;$R1931,6))</f>
        <v/>
      </c>
      <c r="T1931">
        <f>IF($N1931="","",IF(Sync!$N1931="",0,Sync!$N1931))</f>
        <v/>
      </c>
      <c r="U1931">
        <f>IF($N1931="","",IF(Sync!$O1931="",0,Sync!$O1931))</f>
        <v/>
      </c>
      <c r="V1931">
        <f>IF($N1931="","",Sync!$L1931)</f>
        <v/>
      </c>
      <c r="W1931">
        <f>IF($N1931="","",Sync!$P1931)</f>
        <v/>
      </c>
    </row>
    <row r="1932">
      <c r="N1932">
        <f>IF(OR(Sync!$M1932="",$Q1932="",$Q1932="نامعتبر"),"",Sync!$M1932)</f>
        <v/>
      </c>
      <c r="O1932">
        <f>IF($N1932="","",$Q1932)</f>
        <v/>
      </c>
      <c r="P1932">
        <f>IF($N1932="","",LEFT($Q1932,4)&amp;MID($Q1932,6,2)&amp;RIGHT($Q1932,2)&amp;IF(Sync!$K1932="","0000",IF(AND(ISNUMBER(Sync!$K1932),Sync!$K1932&gt;=0,Sync!$K1932&lt;1),RIGHT("00"&amp;HOUR(Sync!$K1932),2)&amp;RIGHT("00"&amp;MINUTE(Sync!$K1932),2),IFERROR(RIGHT("00"&amp;VALUE(LEFT(Sync!$K1932,FIND(":",Sync!$K1932)-1)),2)&amp;RIGHT("00"&amp;VALUE(MID(Sync!$K1932,FIND(":",Sync!$K1932)+1,2)),2),"0000")))&amp;"|"&amp;"2"&amp;RIGHT("00000"&amp;1927,5))</f>
        <v/>
      </c>
      <c r="Q1932">
        <f>IF(Sync!$J1932="","",IF(ISNUMBER(Sync!$J1932),IF(AND(Sync!$J1932&gt;=10000101,Sync!$J1932&lt;=99991231),INT(Sync!$J1932/10000)&amp;"/"&amp;RIGHT("00"&amp;INT(MOD(Sync!$J1932,10000)/100),2)&amp;"/"&amp;RIGHT("00"&amp;MOD(Sync!$J1932,100),2),"نامعتبر"),IF(LEN(Sync!$J1932)=10,Sync!$J1932,"نامعتبر")))</f>
        <v/>
      </c>
      <c r="R1932">
        <f>IF($P1932="","",COUNTIFS($N$6:$N$2005,$N1932,$P$6:$P$2005,"&lt;"&amp;$P1932)+COUNTIFS($A$6:$A$1005,$N1932,$B$6:$B$1005,"&lt;"&amp;$P1932)+1)</f>
        <v/>
      </c>
      <c r="S1932">
        <f>IF($N1932="","",$N1932&amp;"|"&amp;RIGHT("000000"&amp;$R1932,6))</f>
        <v/>
      </c>
      <c r="T1932">
        <f>IF($N1932="","",IF(Sync!$N1932="",0,Sync!$N1932))</f>
        <v/>
      </c>
      <c r="U1932">
        <f>IF($N1932="","",IF(Sync!$O1932="",0,Sync!$O1932))</f>
        <v/>
      </c>
      <c r="V1932">
        <f>IF($N1932="","",Sync!$L1932)</f>
        <v/>
      </c>
      <c r="W1932">
        <f>IF($N1932="","",Sync!$P1932)</f>
        <v/>
      </c>
    </row>
    <row r="1933">
      <c r="N1933">
        <f>IF(OR(Sync!$M1933="",$Q1933="",$Q1933="نامعتبر"),"",Sync!$M1933)</f>
        <v/>
      </c>
      <c r="O1933">
        <f>IF($N1933="","",$Q1933)</f>
        <v/>
      </c>
      <c r="P1933">
        <f>IF($N1933="","",LEFT($Q1933,4)&amp;MID($Q1933,6,2)&amp;RIGHT($Q1933,2)&amp;IF(Sync!$K1933="","0000",IF(AND(ISNUMBER(Sync!$K1933),Sync!$K1933&gt;=0,Sync!$K1933&lt;1),RIGHT("00"&amp;HOUR(Sync!$K1933),2)&amp;RIGHT("00"&amp;MINUTE(Sync!$K1933),2),IFERROR(RIGHT("00"&amp;VALUE(LEFT(Sync!$K1933,FIND(":",Sync!$K1933)-1)),2)&amp;RIGHT("00"&amp;VALUE(MID(Sync!$K1933,FIND(":",Sync!$K1933)+1,2)),2),"0000")))&amp;"|"&amp;"2"&amp;RIGHT("00000"&amp;1928,5))</f>
        <v/>
      </c>
      <c r="Q1933">
        <f>IF(Sync!$J1933="","",IF(ISNUMBER(Sync!$J1933),IF(AND(Sync!$J1933&gt;=10000101,Sync!$J1933&lt;=99991231),INT(Sync!$J1933/10000)&amp;"/"&amp;RIGHT("00"&amp;INT(MOD(Sync!$J1933,10000)/100),2)&amp;"/"&amp;RIGHT("00"&amp;MOD(Sync!$J1933,100),2),"نامعتبر"),IF(LEN(Sync!$J1933)=10,Sync!$J1933,"نامعتبر")))</f>
        <v/>
      </c>
      <c r="R1933">
        <f>IF($P1933="","",COUNTIFS($N$6:$N$2005,$N1933,$P$6:$P$2005,"&lt;"&amp;$P1933)+COUNTIFS($A$6:$A$1005,$N1933,$B$6:$B$1005,"&lt;"&amp;$P1933)+1)</f>
        <v/>
      </c>
      <c r="S1933">
        <f>IF($N1933="","",$N1933&amp;"|"&amp;RIGHT("000000"&amp;$R1933,6))</f>
        <v/>
      </c>
      <c r="T1933">
        <f>IF($N1933="","",IF(Sync!$N1933="",0,Sync!$N1933))</f>
        <v/>
      </c>
      <c r="U1933">
        <f>IF($N1933="","",IF(Sync!$O1933="",0,Sync!$O1933))</f>
        <v/>
      </c>
      <c r="V1933">
        <f>IF($N1933="","",Sync!$L1933)</f>
        <v/>
      </c>
      <c r="W1933">
        <f>IF($N1933="","",Sync!$P1933)</f>
        <v/>
      </c>
    </row>
    <row r="1934">
      <c r="N1934">
        <f>IF(OR(Sync!$M1934="",$Q1934="",$Q1934="نامعتبر"),"",Sync!$M1934)</f>
        <v/>
      </c>
      <c r="O1934">
        <f>IF($N1934="","",$Q1934)</f>
        <v/>
      </c>
      <c r="P1934">
        <f>IF($N1934="","",LEFT($Q1934,4)&amp;MID($Q1934,6,2)&amp;RIGHT($Q1934,2)&amp;IF(Sync!$K1934="","0000",IF(AND(ISNUMBER(Sync!$K1934),Sync!$K1934&gt;=0,Sync!$K1934&lt;1),RIGHT("00"&amp;HOUR(Sync!$K1934),2)&amp;RIGHT("00"&amp;MINUTE(Sync!$K1934),2),IFERROR(RIGHT("00"&amp;VALUE(LEFT(Sync!$K1934,FIND(":",Sync!$K1934)-1)),2)&amp;RIGHT("00"&amp;VALUE(MID(Sync!$K1934,FIND(":",Sync!$K1934)+1,2)),2),"0000")))&amp;"|"&amp;"2"&amp;RIGHT("00000"&amp;1929,5))</f>
        <v/>
      </c>
      <c r="Q1934">
        <f>IF(Sync!$J1934="","",IF(ISNUMBER(Sync!$J1934),IF(AND(Sync!$J1934&gt;=10000101,Sync!$J1934&lt;=99991231),INT(Sync!$J1934/10000)&amp;"/"&amp;RIGHT("00"&amp;INT(MOD(Sync!$J1934,10000)/100),2)&amp;"/"&amp;RIGHT("00"&amp;MOD(Sync!$J1934,100),2),"نامعتبر"),IF(LEN(Sync!$J1934)=10,Sync!$J1934,"نامعتبر")))</f>
        <v/>
      </c>
      <c r="R1934">
        <f>IF($P1934="","",COUNTIFS($N$6:$N$2005,$N1934,$P$6:$P$2005,"&lt;"&amp;$P1934)+COUNTIFS($A$6:$A$1005,$N1934,$B$6:$B$1005,"&lt;"&amp;$P1934)+1)</f>
        <v/>
      </c>
      <c r="S1934">
        <f>IF($N1934="","",$N1934&amp;"|"&amp;RIGHT("000000"&amp;$R1934,6))</f>
        <v/>
      </c>
      <c r="T1934">
        <f>IF($N1934="","",IF(Sync!$N1934="",0,Sync!$N1934))</f>
        <v/>
      </c>
      <c r="U1934">
        <f>IF($N1934="","",IF(Sync!$O1934="",0,Sync!$O1934))</f>
        <v/>
      </c>
      <c r="V1934">
        <f>IF($N1934="","",Sync!$L1934)</f>
        <v/>
      </c>
      <c r="W1934">
        <f>IF($N1934="","",Sync!$P1934)</f>
        <v/>
      </c>
    </row>
    <row r="1935">
      <c r="N1935">
        <f>IF(OR(Sync!$M1935="",$Q1935="",$Q1935="نامعتبر"),"",Sync!$M1935)</f>
        <v/>
      </c>
      <c r="O1935">
        <f>IF($N1935="","",$Q1935)</f>
        <v/>
      </c>
      <c r="P1935">
        <f>IF($N1935="","",LEFT($Q1935,4)&amp;MID($Q1935,6,2)&amp;RIGHT($Q1935,2)&amp;IF(Sync!$K1935="","0000",IF(AND(ISNUMBER(Sync!$K1935),Sync!$K1935&gt;=0,Sync!$K1935&lt;1),RIGHT("00"&amp;HOUR(Sync!$K1935),2)&amp;RIGHT("00"&amp;MINUTE(Sync!$K1935),2),IFERROR(RIGHT("00"&amp;VALUE(LEFT(Sync!$K1935,FIND(":",Sync!$K1935)-1)),2)&amp;RIGHT("00"&amp;VALUE(MID(Sync!$K1935,FIND(":",Sync!$K1935)+1,2)),2),"0000")))&amp;"|"&amp;"2"&amp;RIGHT("00000"&amp;1930,5))</f>
        <v/>
      </c>
      <c r="Q1935">
        <f>IF(Sync!$J1935="","",IF(ISNUMBER(Sync!$J1935),IF(AND(Sync!$J1935&gt;=10000101,Sync!$J1935&lt;=99991231),INT(Sync!$J1935/10000)&amp;"/"&amp;RIGHT("00"&amp;INT(MOD(Sync!$J1935,10000)/100),2)&amp;"/"&amp;RIGHT("00"&amp;MOD(Sync!$J1935,100),2),"نامعتبر"),IF(LEN(Sync!$J1935)=10,Sync!$J1935,"نامعتبر")))</f>
        <v/>
      </c>
      <c r="R1935">
        <f>IF($P1935="","",COUNTIFS($N$6:$N$2005,$N1935,$P$6:$P$2005,"&lt;"&amp;$P1935)+COUNTIFS($A$6:$A$1005,$N1935,$B$6:$B$1005,"&lt;"&amp;$P1935)+1)</f>
        <v/>
      </c>
      <c r="S1935">
        <f>IF($N1935="","",$N1935&amp;"|"&amp;RIGHT("000000"&amp;$R1935,6))</f>
        <v/>
      </c>
      <c r="T1935">
        <f>IF($N1935="","",IF(Sync!$N1935="",0,Sync!$N1935))</f>
        <v/>
      </c>
      <c r="U1935">
        <f>IF($N1935="","",IF(Sync!$O1935="",0,Sync!$O1935))</f>
        <v/>
      </c>
      <c r="V1935">
        <f>IF($N1935="","",Sync!$L1935)</f>
        <v/>
      </c>
      <c r="W1935">
        <f>IF($N1935="","",Sync!$P1935)</f>
        <v/>
      </c>
    </row>
    <row r="1936">
      <c r="N1936">
        <f>IF(OR(Sync!$M1936="",$Q1936="",$Q1936="نامعتبر"),"",Sync!$M1936)</f>
        <v/>
      </c>
      <c r="O1936">
        <f>IF($N1936="","",$Q1936)</f>
        <v/>
      </c>
      <c r="P1936">
        <f>IF($N1936="","",LEFT($Q1936,4)&amp;MID($Q1936,6,2)&amp;RIGHT($Q1936,2)&amp;IF(Sync!$K1936="","0000",IF(AND(ISNUMBER(Sync!$K1936),Sync!$K1936&gt;=0,Sync!$K1936&lt;1),RIGHT("00"&amp;HOUR(Sync!$K1936),2)&amp;RIGHT("00"&amp;MINUTE(Sync!$K1936),2),IFERROR(RIGHT("00"&amp;VALUE(LEFT(Sync!$K1936,FIND(":",Sync!$K1936)-1)),2)&amp;RIGHT("00"&amp;VALUE(MID(Sync!$K1936,FIND(":",Sync!$K1936)+1,2)),2),"0000")))&amp;"|"&amp;"2"&amp;RIGHT("00000"&amp;1931,5))</f>
        <v/>
      </c>
      <c r="Q1936">
        <f>IF(Sync!$J1936="","",IF(ISNUMBER(Sync!$J1936),IF(AND(Sync!$J1936&gt;=10000101,Sync!$J1936&lt;=99991231),INT(Sync!$J1936/10000)&amp;"/"&amp;RIGHT("00"&amp;INT(MOD(Sync!$J1936,10000)/100),2)&amp;"/"&amp;RIGHT("00"&amp;MOD(Sync!$J1936,100),2),"نامعتبر"),IF(LEN(Sync!$J1936)=10,Sync!$J1936,"نامعتبر")))</f>
        <v/>
      </c>
      <c r="R1936">
        <f>IF($P1936="","",COUNTIFS($N$6:$N$2005,$N1936,$P$6:$P$2005,"&lt;"&amp;$P1936)+COUNTIFS($A$6:$A$1005,$N1936,$B$6:$B$1005,"&lt;"&amp;$P1936)+1)</f>
        <v/>
      </c>
      <c r="S1936">
        <f>IF($N1936="","",$N1936&amp;"|"&amp;RIGHT("000000"&amp;$R1936,6))</f>
        <v/>
      </c>
      <c r="T1936">
        <f>IF($N1936="","",IF(Sync!$N1936="",0,Sync!$N1936))</f>
        <v/>
      </c>
      <c r="U1936">
        <f>IF($N1936="","",IF(Sync!$O1936="",0,Sync!$O1936))</f>
        <v/>
      </c>
      <c r="V1936">
        <f>IF($N1936="","",Sync!$L1936)</f>
        <v/>
      </c>
      <c r="W1936">
        <f>IF($N1936="","",Sync!$P1936)</f>
        <v/>
      </c>
    </row>
    <row r="1937">
      <c r="N1937">
        <f>IF(OR(Sync!$M1937="",$Q1937="",$Q1937="نامعتبر"),"",Sync!$M1937)</f>
        <v/>
      </c>
      <c r="O1937">
        <f>IF($N1937="","",$Q1937)</f>
        <v/>
      </c>
      <c r="P1937">
        <f>IF($N1937="","",LEFT($Q1937,4)&amp;MID($Q1937,6,2)&amp;RIGHT($Q1937,2)&amp;IF(Sync!$K1937="","0000",IF(AND(ISNUMBER(Sync!$K1937),Sync!$K1937&gt;=0,Sync!$K1937&lt;1),RIGHT("00"&amp;HOUR(Sync!$K1937),2)&amp;RIGHT("00"&amp;MINUTE(Sync!$K1937),2),IFERROR(RIGHT("00"&amp;VALUE(LEFT(Sync!$K1937,FIND(":",Sync!$K1937)-1)),2)&amp;RIGHT("00"&amp;VALUE(MID(Sync!$K1937,FIND(":",Sync!$K1937)+1,2)),2),"0000")))&amp;"|"&amp;"2"&amp;RIGHT("00000"&amp;1932,5))</f>
        <v/>
      </c>
      <c r="Q1937">
        <f>IF(Sync!$J1937="","",IF(ISNUMBER(Sync!$J1937),IF(AND(Sync!$J1937&gt;=10000101,Sync!$J1937&lt;=99991231),INT(Sync!$J1937/10000)&amp;"/"&amp;RIGHT("00"&amp;INT(MOD(Sync!$J1937,10000)/100),2)&amp;"/"&amp;RIGHT("00"&amp;MOD(Sync!$J1937,100),2),"نامعتبر"),IF(LEN(Sync!$J1937)=10,Sync!$J1937,"نامعتبر")))</f>
        <v/>
      </c>
      <c r="R1937">
        <f>IF($P1937="","",COUNTIFS($N$6:$N$2005,$N1937,$P$6:$P$2005,"&lt;"&amp;$P1937)+COUNTIFS($A$6:$A$1005,$N1937,$B$6:$B$1005,"&lt;"&amp;$P1937)+1)</f>
        <v/>
      </c>
      <c r="S1937">
        <f>IF($N1937="","",$N1937&amp;"|"&amp;RIGHT("000000"&amp;$R1937,6))</f>
        <v/>
      </c>
      <c r="T1937">
        <f>IF($N1937="","",IF(Sync!$N1937="",0,Sync!$N1937))</f>
        <v/>
      </c>
      <c r="U1937">
        <f>IF($N1937="","",IF(Sync!$O1937="",0,Sync!$O1937))</f>
        <v/>
      </c>
      <c r="V1937">
        <f>IF($N1937="","",Sync!$L1937)</f>
        <v/>
      </c>
      <c r="W1937">
        <f>IF($N1937="","",Sync!$P1937)</f>
        <v/>
      </c>
    </row>
    <row r="1938">
      <c r="N1938">
        <f>IF(OR(Sync!$M1938="",$Q1938="",$Q1938="نامعتبر"),"",Sync!$M1938)</f>
        <v/>
      </c>
      <c r="O1938">
        <f>IF($N1938="","",$Q1938)</f>
        <v/>
      </c>
      <c r="P1938">
        <f>IF($N1938="","",LEFT($Q1938,4)&amp;MID($Q1938,6,2)&amp;RIGHT($Q1938,2)&amp;IF(Sync!$K1938="","0000",IF(AND(ISNUMBER(Sync!$K1938),Sync!$K1938&gt;=0,Sync!$K1938&lt;1),RIGHT("00"&amp;HOUR(Sync!$K1938),2)&amp;RIGHT("00"&amp;MINUTE(Sync!$K1938),2),IFERROR(RIGHT("00"&amp;VALUE(LEFT(Sync!$K1938,FIND(":",Sync!$K1938)-1)),2)&amp;RIGHT("00"&amp;VALUE(MID(Sync!$K1938,FIND(":",Sync!$K1938)+1,2)),2),"0000")))&amp;"|"&amp;"2"&amp;RIGHT("00000"&amp;1933,5))</f>
        <v/>
      </c>
      <c r="Q1938">
        <f>IF(Sync!$J1938="","",IF(ISNUMBER(Sync!$J1938),IF(AND(Sync!$J1938&gt;=10000101,Sync!$J1938&lt;=99991231),INT(Sync!$J1938/10000)&amp;"/"&amp;RIGHT("00"&amp;INT(MOD(Sync!$J1938,10000)/100),2)&amp;"/"&amp;RIGHT("00"&amp;MOD(Sync!$J1938,100),2),"نامعتبر"),IF(LEN(Sync!$J1938)=10,Sync!$J1938,"نامعتبر")))</f>
        <v/>
      </c>
      <c r="R1938">
        <f>IF($P1938="","",COUNTIFS($N$6:$N$2005,$N1938,$P$6:$P$2005,"&lt;"&amp;$P1938)+COUNTIFS($A$6:$A$1005,$N1938,$B$6:$B$1005,"&lt;"&amp;$P1938)+1)</f>
        <v/>
      </c>
      <c r="S1938">
        <f>IF($N1938="","",$N1938&amp;"|"&amp;RIGHT("000000"&amp;$R1938,6))</f>
        <v/>
      </c>
      <c r="T1938">
        <f>IF($N1938="","",IF(Sync!$N1938="",0,Sync!$N1938))</f>
        <v/>
      </c>
      <c r="U1938">
        <f>IF($N1938="","",IF(Sync!$O1938="",0,Sync!$O1938))</f>
        <v/>
      </c>
      <c r="V1938">
        <f>IF($N1938="","",Sync!$L1938)</f>
        <v/>
      </c>
      <c r="W1938">
        <f>IF($N1938="","",Sync!$P1938)</f>
        <v/>
      </c>
    </row>
    <row r="1939">
      <c r="N1939">
        <f>IF(OR(Sync!$M1939="",$Q1939="",$Q1939="نامعتبر"),"",Sync!$M1939)</f>
        <v/>
      </c>
      <c r="O1939">
        <f>IF($N1939="","",$Q1939)</f>
        <v/>
      </c>
      <c r="P1939">
        <f>IF($N1939="","",LEFT($Q1939,4)&amp;MID($Q1939,6,2)&amp;RIGHT($Q1939,2)&amp;IF(Sync!$K1939="","0000",IF(AND(ISNUMBER(Sync!$K1939),Sync!$K1939&gt;=0,Sync!$K1939&lt;1),RIGHT("00"&amp;HOUR(Sync!$K1939),2)&amp;RIGHT("00"&amp;MINUTE(Sync!$K1939),2),IFERROR(RIGHT("00"&amp;VALUE(LEFT(Sync!$K1939,FIND(":",Sync!$K1939)-1)),2)&amp;RIGHT("00"&amp;VALUE(MID(Sync!$K1939,FIND(":",Sync!$K1939)+1,2)),2),"0000")))&amp;"|"&amp;"2"&amp;RIGHT("00000"&amp;1934,5))</f>
        <v/>
      </c>
      <c r="Q1939">
        <f>IF(Sync!$J1939="","",IF(ISNUMBER(Sync!$J1939),IF(AND(Sync!$J1939&gt;=10000101,Sync!$J1939&lt;=99991231),INT(Sync!$J1939/10000)&amp;"/"&amp;RIGHT("00"&amp;INT(MOD(Sync!$J1939,10000)/100),2)&amp;"/"&amp;RIGHT("00"&amp;MOD(Sync!$J1939,100),2),"نامعتبر"),IF(LEN(Sync!$J1939)=10,Sync!$J1939,"نامعتبر")))</f>
        <v/>
      </c>
      <c r="R1939">
        <f>IF($P1939="","",COUNTIFS($N$6:$N$2005,$N1939,$P$6:$P$2005,"&lt;"&amp;$P1939)+COUNTIFS($A$6:$A$1005,$N1939,$B$6:$B$1005,"&lt;"&amp;$P1939)+1)</f>
        <v/>
      </c>
      <c r="S1939">
        <f>IF($N1939="","",$N1939&amp;"|"&amp;RIGHT("000000"&amp;$R1939,6))</f>
        <v/>
      </c>
      <c r="T1939">
        <f>IF($N1939="","",IF(Sync!$N1939="",0,Sync!$N1939))</f>
        <v/>
      </c>
      <c r="U1939">
        <f>IF($N1939="","",IF(Sync!$O1939="",0,Sync!$O1939))</f>
        <v/>
      </c>
      <c r="V1939">
        <f>IF($N1939="","",Sync!$L1939)</f>
        <v/>
      </c>
      <c r="W1939">
        <f>IF($N1939="","",Sync!$P1939)</f>
        <v/>
      </c>
    </row>
    <row r="1940">
      <c r="N1940">
        <f>IF(OR(Sync!$M1940="",$Q1940="",$Q1940="نامعتبر"),"",Sync!$M1940)</f>
        <v/>
      </c>
      <c r="O1940">
        <f>IF($N1940="","",$Q1940)</f>
        <v/>
      </c>
      <c r="P1940">
        <f>IF($N1940="","",LEFT($Q1940,4)&amp;MID($Q1940,6,2)&amp;RIGHT($Q1940,2)&amp;IF(Sync!$K1940="","0000",IF(AND(ISNUMBER(Sync!$K1940),Sync!$K1940&gt;=0,Sync!$K1940&lt;1),RIGHT("00"&amp;HOUR(Sync!$K1940),2)&amp;RIGHT("00"&amp;MINUTE(Sync!$K1940),2),IFERROR(RIGHT("00"&amp;VALUE(LEFT(Sync!$K1940,FIND(":",Sync!$K1940)-1)),2)&amp;RIGHT("00"&amp;VALUE(MID(Sync!$K1940,FIND(":",Sync!$K1940)+1,2)),2),"0000")))&amp;"|"&amp;"2"&amp;RIGHT("00000"&amp;1935,5))</f>
        <v/>
      </c>
      <c r="Q1940">
        <f>IF(Sync!$J1940="","",IF(ISNUMBER(Sync!$J1940),IF(AND(Sync!$J1940&gt;=10000101,Sync!$J1940&lt;=99991231),INT(Sync!$J1940/10000)&amp;"/"&amp;RIGHT("00"&amp;INT(MOD(Sync!$J1940,10000)/100),2)&amp;"/"&amp;RIGHT("00"&amp;MOD(Sync!$J1940,100),2),"نامعتبر"),IF(LEN(Sync!$J1940)=10,Sync!$J1940,"نامعتبر")))</f>
        <v/>
      </c>
      <c r="R1940">
        <f>IF($P1940="","",COUNTIFS($N$6:$N$2005,$N1940,$P$6:$P$2005,"&lt;"&amp;$P1940)+COUNTIFS($A$6:$A$1005,$N1940,$B$6:$B$1005,"&lt;"&amp;$P1940)+1)</f>
        <v/>
      </c>
      <c r="S1940">
        <f>IF($N1940="","",$N1940&amp;"|"&amp;RIGHT("000000"&amp;$R1940,6))</f>
        <v/>
      </c>
      <c r="T1940">
        <f>IF($N1940="","",IF(Sync!$N1940="",0,Sync!$N1940))</f>
        <v/>
      </c>
      <c r="U1940">
        <f>IF($N1940="","",IF(Sync!$O1940="",0,Sync!$O1940))</f>
        <v/>
      </c>
      <c r="V1940">
        <f>IF($N1940="","",Sync!$L1940)</f>
        <v/>
      </c>
      <c r="W1940">
        <f>IF($N1940="","",Sync!$P1940)</f>
        <v/>
      </c>
    </row>
    <row r="1941">
      <c r="N1941">
        <f>IF(OR(Sync!$M1941="",$Q1941="",$Q1941="نامعتبر"),"",Sync!$M1941)</f>
        <v/>
      </c>
      <c r="O1941">
        <f>IF($N1941="","",$Q1941)</f>
        <v/>
      </c>
      <c r="P1941">
        <f>IF($N1941="","",LEFT($Q1941,4)&amp;MID($Q1941,6,2)&amp;RIGHT($Q1941,2)&amp;IF(Sync!$K1941="","0000",IF(AND(ISNUMBER(Sync!$K1941),Sync!$K1941&gt;=0,Sync!$K1941&lt;1),RIGHT("00"&amp;HOUR(Sync!$K1941),2)&amp;RIGHT("00"&amp;MINUTE(Sync!$K1941),2),IFERROR(RIGHT("00"&amp;VALUE(LEFT(Sync!$K1941,FIND(":",Sync!$K1941)-1)),2)&amp;RIGHT("00"&amp;VALUE(MID(Sync!$K1941,FIND(":",Sync!$K1941)+1,2)),2),"0000")))&amp;"|"&amp;"2"&amp;RIGHT("00000"&amp;1936,5))</f>
        <v/>
      </c>
      <c r="Q1941">
        <f>IF(Sync!$J1941="","",IF(ISNUMBER(Sync!$J1941),IF(AND(Sync!$J1941&gt;=10000101,Sync!$J1941&lt;=99991231),INT(Sync!$J1941/10000)&amp;"/"&amp;RIGHT("00"&amp;INT(MOD(Sync!$J1941,10000)/100),2)&amp;"/"&amp;RIGHT("00"&amp;MOD(Sync!$J1941,100),2),"نامعتبر"),IF(LEN(Sync!$J1941)=10,Sync!$J1941,"نامعتبر")))</f>
        <v/>
      </c>
      <c r="R1941">
        <f>IF($P1941="","",COUNTIFS($N$6:$N$2005,$N1941,$P$6:$P$2005,"&lt;"&amp;$P1941)+COUNTIFS($A$6:$A$1005,$N1941,$B$6:$B$1005,"&lt;"&amp;$P1941)+1)</f>
        <v/>
      </c>
      <c r="S1941">
        <f>IF($N1941="","",$N1941&amp;"|"&amp;RIGHT("000000"&amp;$R1941,6))</f>
        <v/>
      </c>
      <c r="T1941">
        <f>IF($N1941="","",IF(Sync!$N1941="",0,Sync!$N1941))</f>
        <v/>
      </c>
      <c r="U1941">
        <f>IF($N1941="","",IF(Sync!$O1941="",0,Sync!$O1941))</f>
        <v/>
      </c>
      <c r="V1941">
        <f>IF($N1941="","",Sync!$L1941)</f>
        <v/>
      </c>
      <c r="W1941">
        <f>IF($N1941="","",Sync!$P1941)</f>
        <v/>
      </c>
    </row>
    <row r="1942">
      <c r="N1942">
        <f>IF(OR(Sync!$M1942="",$Q1942="",$Q1942="نامعتبر"),"",Sync!$M1942)</f>
        <v/>
      </c>
      <c r="O1942">
        <f>IF($N1942="","",$Q1942)</f>
        <v/>
      </c>
      <c r="P1942">
        <f>IF($N1942="","",LEFT($Q1942,4)&amp;MID($Q1942,6,2)&amp;RIGHT($Q1942,2)&amp;IF(Sync!$K1942="","0000",IF(AND(ISNUMBER(Sync!$K1942),Sync!$K1942&gt;=0,Sync!$K1942&lt;1),RIGHT("00"&amp;HOUR(Sync!$K1942),2)&amp;RIGHT("00"&amp;MINUTE(Sync!$K1942),2),IFERROR(RIGHT("00"&amp;VALUE(LEFT(Sync!$K1942,FIND(":",Sync!$K1942)-1)),2)&amp;RIGHT("00"&amp;VALUE(MID(Sync!$K1942,FIND(":",Sync!$K1942)+1,2)),2),"0000")))&amp;"|"&amp;"2"&amp;RIGHT("00000"&amp;1937,5))</f>
        <v/>
      </c>
      <c r="Q1942">
        <f>IF(Sync!$J1942="","",IF(ISNUMBER(Sync!$J1942),IF(AND(Sync!$J1942&gt;=10000101,Sync!$J1942&lt;=99991231),INT(Sync!$J1942/10000)&amp;"/"&amp;RIGHT("00"&amp;INT(MOD(Sync!$J1942,10000)/100),2)&amp;"/"&amp;RIGHT("00"&amp;MOD(Sync!$J1942,100),2),"نامعتبر"),IF(LEN(Sync!$J1942)=10,Sync!$J1942,"نامعتبر")))</f>
        <v/>
      </c>
      <c r="R1942">
        <f>IF($P1942="","",COUNTIFS($N$6:$N$2005,$N1942,$P$6:$P$2005,"&lt;"&amp;$P1942)+COUNTIFS($A$6:$A$1005,$N1942,$B$6:$B$1005,"&lt;"&amp;$P1942)+1)</f>
        <v/>
      </c>
      <c r="S1942">
        <f>IF($N1942="","",$N1942&amp;"|"&amp;RIGHT("000000"&amp;$R1942,6))</f>
        <v/>
      </c>
      <c r="T1942">
        <f>IF($N1942="","",IF(Sync!$N1942="",0,Sync!$N1942))</f>
        <v/>
      </c>
      <c r="U1942">
        <f>IF($N1942="","",IF(Sync!$O1942="",0,Sync!$O1942))</f>
        <v/>
      </c>
      <c r="V1942">
        <f>IF($N1942="","",Sync!$L1942)</f>
        <v/>
      </c>
      <c r="W1942">
        <f>IF($N1942="","",Sync!$P1942)</f>
        <v/>
      </c>
    </row>
    <row r="1943">
      <c r="N1943">
        <f>IF(OR(Sync!$M1943="",$Q1943="",$Q1943="نامعتبر"),"",Sync!$M1943)</f>
        <v/>
      </c>
      <c r="O1943">
        <f>IF($N1943="","",$Q1943)</f>
        <v/>
      </c>
      <c r="P1943">
        <f>IF($N1943="","",LEFT($Q1943,4)&amp;MID($Q1943,6,2)&amp;RIGHT($Q1943,2)&amp;IF(Sync!$K1943="","0000",IF(AND(ISNUMBER(Sync!$K1943),Sync!$K1943&gt;=0,Sync!$K1943&lt;1),RIGHT("00"&amp;HOUR(Sync!$K1943),2)&amp;RIGHT("00"&amp;MINUTE(Sync!$K1943),2),IFERROR(RIGHT("00"&amp;VALUE(LEFT(Sync!$K1943,FIND(":",Sync!$K1943)-1)),2)&amp;RIGHT("00"&amp;VALUE(MID(Sync!$K1943,FIND(":",Sync!$K1943)+1,2)),2),"0000")))&amp;"|"&amp;"2"&amp;RIGHT("00000"&amp;1938,5))</f>
        <v/>
      </c>
      <c r="Q1943">
        <f>IF(Sync!$J1943="","",IF(ISNUMBER(Sync!$J1943),IF(AND(Sync!$J1943&gt;=10000101,Sync!$J1943&lt;=99991231),INT(Sync!$J1943/10000)&amp;"/"&amp;RIGHT("00"&amp;INT(MOD(Sync!$J1943,10000)/100),2)&amp;"/"&amp;RIGHT("00"&amp;MOD(Sync!$J1943,100),2),"نامعتبر"),IF(LEN(Sync!$J1943)=10,Sync!$J1943,"نامعتبر")))</f>
        <v/>
      </c>
      <c r="R1943">
        <f>IF($P1943="","",COUNTIFS($N$6:$N$2005,$N1943,$P$6:$P$2005,"&lt;"&amp;$P1943)+COUNTIFS($A$6:$A$1005,$N1943,$B$6:$B$1005,"&lt;"&amp;$P1943)+1)</f>
        <v/>
      </c>
      <c r="S1943">
        <f>IF($N1943="","",$N1943&amp;"|"&amp;RIGHT("000000"&amp;$R1943,6))</f>
        <v/>
      </c>
      <c r="T1943">
        <f>IF($N1943="","",IF(Sync!$N1943="",0,Sync!$N1943))</f>
        <v/>
      </c>
      <c r="U1943">
        <f>IF($N1943="","",IF(Sync!$O1943="",0,Sync!$O1943))</f>
        <v/>
      </c>
      <c r="V1943">
        <f>IF($N1943="","",Sync!$L1943)</f>
        <v/>
      </c>
      <c r="W1943">
        <f>IF($N1943="","",Sync!$P1943)</f>
        <v/>
      </c>
    </row>
    <row r="1944">
      <c r="N1944">
        <f>IF(OR(Sync!$M1944="",$Q1944="",$Q1944="نامعتبر"),"",Sync!$M1944)</f>
        <v/>
      </c>
      <c r="O1944">
        <f>IF($N1944="","",$Q1944)</f>
        <v/>
      </c>
      <c r="P1944">
        <f>IF($N1944="","",LEFT($Q1944,4)&amp;MID($Q1944,6,2)&amp;RIGHT($Q1944,2)&amp;IF(Sync!$K1944="","0000",IF(AND(ISNUMBER(Sync!$K1944),Sync!$K1944&gt;=0,Sync!$K1944&lt;1),RIGHT("00"&amp;HOUR(Sync!$K1944),2)&amp;RIGHT("00"&amp;MINUTE(Sync!$K1944),2),IFERROR(RIGHT("00"&amp;VALUE(LEFT(Sync!$K1944,FIND(":",Sync!$K1944)-1)),2)&amp;RIGHT("00"&amp;VALUE(MID(Sync!$K1944,FIND(":",Sync!$K1944)+1,2)),2),"0000")))&amp;"|"&amp;"2"&amp;RIGHT("00000"&amp;1939,5))</f>
        <v/>
      </c>
      <c r="Q1944">
        <f>IF(Sync!$J1944="","",IF(ISNUMBER(Sync!$J1944),IF(AND(Sync!$J1944&gt;=10000101,Sync!$J1944&lt;=99991231),INT(Sync!$J1944/10000)&amp;"/"&amp;RIGHT("00"&amp;INT(MOD(Sync!$J1944,10000)/100),2)&amp;"/"&amp;RIGHT("00"&amp;MOD(Sync!$J1944,100),2),"نامعتبر"),IF(LEN(Sync!$J1944)=10,Sync!$J1944,"نامعتبر")))</f>
        <v/>
      </c>
      <c r="R1944">
        <f>IF($P1944="","",COUNTIFS($N$6:$N$2005,$N1944,$P$6:$P$2005,"&lt;"&amp;$P1944)+COUNTIFS($A$6:$A$1005,$N1944,$B$6:$B$1005,"&lt;"&amp;$P1944)+1)</f>
        <v/>
      </c>
      <c r="S1944">
        <f>IF($N1944="","",$N1944&amp;"|"&amp;RIGHT("000000"&amp;$R1944,6))</f>
        <v/>
      </c>
      <c r="T1944">
        <f>IF($N1944="","",IF(Sync!$N1944="",0,Sync!$N1944))</f>
        <v/>
      </c>
      <c r="U1944">
        <f>IF($N1944="","",IF(Sync!$O1944="",0,Sync!$O1944))</f>
        <v/>
      </c>
      <c r="V1944">
        <f>IF($N1944="","",Sync!$L1944)</f>
        <v/>
      </c>
      <c r="W1944">
        <f>IF($N1944="","",Sync!$P1944)</f>
        <v/>
      </c>
    </row>
    <row r="1945">
      <c r="N1945">
        <f>IF(OR(Sync!$M1945="",$Q1945="",$Q1945="نامعتبر"),"",Sync!$M1945)</f>
        <v/>
      </c>
      <c r="O1945">
        <f>IF($N1945="","",$Q1945)</f>
        <v/>
      </c>
      <c r="P1945">
        <f>IF($N1945="","",LEFT($Q1945,4)&amp;MID($Q1945,6,2)&amp;RIGHT($Q1945,2)&amp;IF(Sync!$K1945="","0000",IF(AND(ISNUMBER(Sync!$K1945),Sync!$K1945&gt;=0,Sync!$K1945&lt;1),RIGHT("00"&amp;HOUR(Sync!$K1945),2)&amp;RIGHT("00"&amp;MINUTE(Sync!$K1945),2),IFERROR(RIGHT("00"&amp;VALUE(LEFT(Sync!$K1945,FIND(":",Sync!$K1945)-1)),2)&amp;RIGHT("00"&amp;VALUE(MID(Sync!$K1945,FIND(":",Sync!$K1945)+1,2)),2),"0000")))&amp;"|"&amp;"2"&amp;RIGHT("00000"&amp;1940,5))</f>
        <v/>
      </c>
      <c r="Q1945">
        <f>IF(Sync!$J1945="","",IF(ISNUMBER(Sync!$J1945),IF(AND(Sync!$J1945&gt;=10000101,Sync!$J1945&lt;=99991231),INT(Sync!$J1945/10000)&amp;"/"&amp;RIGHT("00"&amp;INT(MOD(Sync!$J1945,10000)/100),2)&amp;"/"&amp;RIGHT("00"&amp;MOD(Sync!$J1945,100),2),"نامعتبر"),IF(LEN(Sync!$J1945)=10,Sync!$J1945,"نامعتبر")))</f>
        <v/>
      </c>
      <c r="R1945">
        <f>IF($P1945="","",COUNTIFS($N$6:$N$2005,$N1945,$P$6:$P$2005,"&lt;"&amp;$P1945)+COUNTIFS($A$6:$A$1005,$N1945,$B$6:$B$1005,"&lt;"&amp;$P1945)+1)</f>
        <v/>
      </c>
      <c r="S1945">
        <f>IF($N1945="","",$N1945&amp;"|"&amp;RIGHT("000000"&amp;$R1945,6))</f>
        <v/>
      </c>
      <c r="T1945">
        <f>IF($N1945="","",IF(Sync!$N1945="",0,Sync!$N1945))</f>
        <v/>
      </c>
      <c r="U1945">
        <f>IF($N1945="","",IF(Sync!$O1945="",0,Sync!$O1945))</f>
        <v/>
      </c>
      <c r="V1945">
        <f>IF($N1945="","",Sync!$L1945)</f>
        <v/>
      </c>
      <c r="W1945">
        <f>IF($N1945="","",Sync!$P1945)</f>
        <v/>
      </c>
    </row>
    <row r="1946">
      <c r="N1946">
        <f>IF(OR(Sync!$M1946="",$Q1946="",$Q1946="نامعتبر"),"",Sync!$M1946)</f>
        <v/>
      </c>
      <c r="O1946">
        <f>IF($N1946="","",$Q1946)</f>
        <v/>
      </c>
      <c r="P1946">
        <f>IF($N1946="","",LEFT($Q1946,4)&amp;MID($Q1946,6,2)&amp;RIGHT($Q1946,2)&amp;IF(Sync!$K1946="","0000",IF(AND(ISNUMBER(Sync!$K1946),Sync!$K1946&gt;=0,Sync!$K1946&lt;1),RIGHT("00"&amp;HOUR(Sync!$K1946),2)&amp;RIGHT("00"&amp;MINUTE(Sync!$K1946),2),IFERROR(RIGHT("00"&amp;VALUE(LEFT(Sync!$K1946,FIND(":",Sync!$K1946)-1)),2)&amp;RIGHT("00"&amp;VALUE(MID(Sync!$K1946,FIND(":",Sync!$K1946)+1,2)),2),"0000")))&amp;"|"&amp;"2"&amp;RIGHT("00000"&amp;1941,5))</f>
        <v/>
      </c>
      <c r="Q1946">
        <f>IF(Sync!$J1946="","",IF(ISNUMBER(Sync!$J1946),IF(AND(Sync!$J1946&gt;=10000101,Sync!$J1946&lt;=99991231),INT(Sync!$J1946/10000)&amp;"/"&amp;RIGHT("00"&amp;INT(MOD(Sync!$J1946,10000)/100),2)&amp;"/"&amp;RIGHT("00"&amp;MOD(Sync!$J1946,100),2),"نامعتبر"),IF(LEN(Sync!$J1946)=10,Sync!$J1946,"نامعتبر")))</f>
        <v/>
      </c>
      <c r="R1946">
        <f>IF($P1946="","",COUNTIFS($N$6:$N$2005,$N1946,$P$6:$P$2005,"&lt;"&amp;$P1946)+COUNTIFS($A$6:$A$1005,$N1946,$B$6:$B$1005,"&lt;"&amp;$P1946)+1)</f>
        <v/>
      </c>
      <c r="S1946">
        <f>IF($N1946="","",$N1946&amp;"|"&amp;RIGHT("000000"&amp;$R1946,6))</f>
        <v/>
      </c>
      <c r="T1946">
        <f>IF($N1946="","",IF(Sync!$N1946="",0,Sync!$N1946))</f>
        <v/>
      </c>
      <c r="U1946">
        <f>IF($N1946="","",IF(Sync!$O1946="",0,Sync!$O1946))</f>
        <v/>
      </c>
      <c r="V1946">
        <f>IF($N1946="","",Sync!$L1946)</f>
        <v/>
      </c>
      <c r="W1946">
        <f>IF($N1946="","",Sync!$P1946)</f>
        <v/>
      </c>
    </row>
    <row r="1947">
      <c r="N1947">
        <f>IF(OR(Sync!$M1947="",$Q1947="",$Q1947="نامعتبر"),"",Sync!$M1947)</f>
        <v/>
      </c>
      <c r="O1947">
        <f>IF($N1947="","",$Q1947)</f>
        <v/>
      </c>
      <c r="P1947">
        <f>IF($N1947="","",LEFT($Q1947,4)&amp;MID($Q1947,6,2)&amp;RIGHT($Q1947,2)&amp;IF(Sync!$K1947="","0000",IF(AND(ISNUMBER(Sync!$K1947),Sync!$K1947&gt;=0,Sync!$K1947&lt;1),RIGHT("00"&amp;HOUR(Sync!$K1947),2)&amp;RIGHT("00"&amp;MINUTE(Sync!$K1947),2),IFERROR(RIGHT("00"&amp;VALUE(LEFT(Sync!$K1947,FIND(":",Sync!$K1947)-1)),2)&amp;RIGHT("00"&amp;VALUE(MID(Sync!$K1947,FIND(":",Sync!$K1947)+1,2)),2),"0000")))&amp;"|"&amp;"2"&amp;RIGHT("00000"&amp;1942,5))</f>
        <v/>
      </c>
      <c r="Q1947">
        <f>IF(Sync!$J1947="","",IF(ISNUMBER(Sync!$J1947),IF(AND(Sync!$J1947&gt;=10000101,Sync!$J1947&lt;=99991231),INT(Sync!$J1947/10000)&amp;"/"&amp;RIGHT("00"&amp;INT(MOD(Sync!$J1947,10000)/100),2)&amp;"/"&amp;RIGHT("00"&amp;MOD(Sync!$J1947,100),2),"نامعتبر"),IF(LEN(Sync!$J1947)=10,Sync!$J1947,"نامعتبر")))</f>
        <v/>
      </c>
      <c r="R1947">
        <f>IF($P1947="","",COUNTIFS($N$6:$N$2005,$N1947,$P$6:$P$2005,"&lt;"&amp;$P1947)+COUNTIFS($A$6:$A$1005,$N1947,$B$6:$B$1005,"&lt;"&amp;$P1947)+1)</f>
        <v/>
      </c>
      <c r="S1947">
        <f>IF($N1947="","",$N1947&amp;"|"&amp;RIGHT("000000"&amp;$R1947,6))</f>
        <v/>
      </c>
      <c r="T1947">
        <f>IF($N1947="","",IF(Sync!$N1947="",0,Sync!$N1947))</f>
        <v/>
      </c>
      <c r="U1947">
        <f>IF($N1947="","",IF(Sync!$O1947="",0,Sync!$O1947))</f>
        <v/>
      </c>
      <c r="V1947">
        <f>IF($N1947="","",Sync!$L1947)</f>
        <v/>
      </c>
      <c r="W1947">
        <f>IF($N1947="","",Sync!$P1947)</f>
        <v/>
      </c>
    </row>
    <row r="1948">
      <c r="N1948">
        <f>IF(OR(Sync!$M1948="",$Q1948="",$Q1948="نامعتبر"),"",Sync!$M1948)</f>
        <v/>
      </c>
      <c r="O1948">
        <f>IF($N1948="","",$Q1948)</f>
        <v/>
      </c>
      <c r="P1948">
        <f>IF($N1948="","",LEFT($Q1948,4)&amp;MID($Q1948,6,2)&amp;RIGHT($Q1948,2)&amp;IF(Sync!$K1948="","0000",IF(AND(ISNUMBER(Sync!$K1948),Sync!$K1948&gt;=0,Sync!$K1948&lt;1),RIGHT("00"&amp;HOUR(Sync!$K1948),2)&amp;RIGHT("00"&amp;MINUTE(Sync!$K1948),2),IFERROR(RIGHT("00"&amp;VALUE(LEFT(Sync!$K1948,FIND(":",Sync!$K1948)-1)),2)&amp;RIGHT("00"&amp;VALUE(MID(Sync!$K1948,FIND(":",Sync!$K1948)+1,2)),2),"0000")))&amp;"|"&amp;"2"&amp;RIGHT("00000"&amp;1943,5))</f>
        <v/>
      </c>
      <c r="Q1948">
        <f>IF(Sync!$J1948="","",IF(ISNUMBER(Sync!$J1948),IF(AND(Sync!$J1948&gt;=10000101,Sync!$J1948&lt;=99991231),INT(Sync!$J1948/10000)&amp;"/"&amp;RIGHT("00"&amp;INT(MOD(Sync!$J1948,10000)/100),2)&amp;"/"&amp;RIGHT("00"&amp;MOD(Sync!$J1948,100),2),"نامعتبر"),IF(LEN(Sync!$J1948)=10,Sync!$J1948,"نامعتبر")))</f>
        <v/>
      </c>
      <c r="R1948">
        <f>IF($P1948="","",COUNTIFS($N$6:$N$2005,$N1948,$P$6:$P$2005,"&lt;"&amp;$P1948)+COUNTIFS($A$6:$A$1005,$N1948,$B$6:$B$1005,"&lt;"&amp;$P1948)+1)</f>
        <v/>
      </c>
      <c r="S1948">
        <f>IF($N1948="","",$N1948&amp;"|"&amp;RIGHT("000000"&amp;$R1948,6))</f>
        <v/>
      </c>
      <c r="T1948">
        <f>IF($N1948="","",IF(Sync!$N1948="",0,Sync!$N1948))</f>
        <v/>
      </c>
      <c r="U1948">
        <f>IF($N1948="","",IF(Sync!$O1948="",0,Sync!$O1948))</f>
        <v/>
      </c>
      <c r="V1948">
        <f>IF($N1948="","",Sync!$L1948)</f>
        <v/>
      </c>
      <c r="W1948">
        <f>IF($N1948="","",Sync!$P1948)</f>
        <v/>
      </c>
    </row>
    <row r="1949">
      <c r="N1949">
        <f>IF(OR(Sync!$M1949="",$Q1949="",$Q1949="نامعتبر"),"",Sync!$M1949)</f>
        <v/>
      </c>
      <c r="O1949">
        <f>IF($N1949="","",$Q1949)</f>
        <v/>
      </c>
      <c r="P1949">
        <f>IF($N1949="","",LEFT($Q1949,4)&amp;MID($Q1949,6,2)&amp;RIGHT($Q1949,2)&amp;IF(Sync!$K1949="","0000",IF(AND(ISNUMBER(Sync!$K1949),Sync!$K1949&gt;=0,Sync!$K1949&lt;1),RIGHT("00"&amp;HOUR(Sync!$K1949),2)&amp;RIGHT("00"&amp;MINUTE(Sync!$K1949),2),IFERROR(RIGHT("00"&amp;VALUE(LEFT(Sync!$K1949,FIND(":",Sync!$K1949)-1)),2)&amp;RIGHT("00"&amp;VALUE(MID(Sync!$K1949,FIND(":",Sync!$K1949)+1,2)),2),"0000")))&amp;"|"&amp;"2"&amp;RIGHT("00000"&amp;1944,5))</f>
        <v/>
      </c>
      <c r="Q1949">
        <f>IF(Sync!$J1949="","",IF(ISNUMBER(Sync!$J1949),IF(AND(Sync!$J1949&gt;=10000101,Sync!$J1949&lt;=99991231),INT(Sync!$J1949/10000)&amp;"/"&amp;RIGHT("00"&amp;INT(MOD(Sync!$J1949,10000)/100),2)&amp;"/"&amp;RIGHT("00"&amp;MOD(Sync!$J1949,100),2),"نامعتبر"),IF(LEN(Sync!$J1949)=10,Sync!$J1949,"نامعتبر")))</f>
        <v/>
      </c>
      <c r="R1949">
        <f>IF($P1949="","",COUNTIFS($N$6:$N$2005,$N1949,$P$6:$P$2005,"&lt;"&amp;$P1949)+COUNTIFS($A$6:$A$1005,$N1949,$B$6:$B$1005,"&lt;"&amp;$P1949)+1)</f>
        <v/>
      </c>
      <c r="S1949">
        <f>IF($N1949="","",$N1949&amp;"|"&amp;RIGHT("000000"&amp;$R1949,6))</f>
        <v/>
      </c>
      <c r="T1949">
        <f>IF($N1949="","",IF(Sync!$N1949="",0,Sync!$N1949))</f>
        <v/>
      </c>
      <c r="U1949">
        <f>IF($N1949="","",IF(Sync!$O1949="",0,Sync!$O1949))</f>
        <v/>
      </c>
      <c r="V1949">
        <f>IF($N1949="","",Sync!$L1949)</f>
        <v/>
      </c>
      <c r="W1949">
        <f>IF($N1949="","",Sync!$P1949)</f>
        <v/>
      </c>
    </row>
    <row r="1950">
      <c r="N1950">
        <f>IF(OR(Sync!$M1950="",$Q1950="",$Q1950="نامعتبر"),"",Sync!$M1950)</f>
        <v/>
      </c>
      <c r="O1950">
        <f>IF($N1950="","",$Q1950)</f>
        <v/>
      </c>
      <c r="P1950">
        <f>IF($N1950="","",LEFT($Q1950,4)&amp;MID($Q1950,6,2)&amp;RIGHT($Q1950,2)&amp;IF(Sync!$K1950="","0000",IF(AND(ISNUMBER(Sync!$K1950),Sync!$K1950&gt;=0,Sync!$K1950&lt;1),RIGHT("00"&amp;HOUR(Sync!$K1950),2)&amp;RIGHT("00"&amp;MINUTE(Sync!$K1950),2),IFERROR(RIGHT("00"&amp;VALUE(LEFT(Sync!$K1950,FIND(":",Sync!$K1950)-1)),2)&amp;RIGHT("00"&amp;VALUE(MID(Sync!$K1950,FIND(":",Sync!$K1950)+1,2)),2),"0000")))&amp;"|"&amp;"2"&amp;RIGHT("00000"&amp;1945,5))</f>
        <v/>
      </c>
      <c r="Q1950">
        <f>IF(Sync!$J1950="","",IF(ISNUMBER(Sync!$J1950),IF(AND(Sync!$J1950&gt;=10000101,Sync!$J1950&lt;=99991231),INT(Sync!$J1950/10000)&amp;"/"&amp;RIGHT("00"&amp;INT(MOD(Sync!$J1950,10000)/100),2)&amp;"/"&amp;RIGHT("00"&amp;MOD(Sync!$J1950,100),2),"نامعتبر"),IF(LEN(Sync!$J1950)=10,Sync!$J1950,"نامعتبر")))</f>
        <v/>
      </c>
      <c r="R1950">
        <f>IF($P1950="","",COUNTIFS($N$6:$N$2005,$N1950,$P$6:$P$2005,"&lt;"&amp;$P1950)+COUNTIFS($A$6:$A$1005,$N1950,$B$6:$B$1005,"&lt;"&amp;$P1950)+1)</f>
        <v/>
      </c>
      <c r="S1950">
        <f>IF($N1950="","",$N1950&amp;"|"&amp;RIGHT("000000"&amp;$R1950,6))</f>
        <v/>
      </c>
      <c r="T1950">
        <f>IF($N1950="","",IF(Sync!$N1950="",0,Sync!$N1950))</f>
        <v/>
      </c>
      <c r="U1950">
        <f>IF($N1950="","",IF(Sync!$O1950="",0,Sync!$O1950))</f>
        <v/>
      </c>
      <c r="V1950">
        <f>IF($N1950="","",Sync!$L1950)</f>
        <v/>
      </c>
      <c r="W1950">
        <f>IF($N1950="","",Sync!$P1950)</f>
        <v/>
      </c>
    </row>
    <row r="1951">
      <c r="N1951">
        <f>IF(OR(Sync!$M1951="",$Q1951="",$Q1951="نامعتبر"),"",Sync!$M1951)</f>
        <v/>
      </c>
      <c r="O1951">
        <f>IF($N1951="","",$Q1951)</f>
        <v/>
      </c>
      <c r="P1951">
        <f>IF($N1951="","",LEFT($Q1951,4)&amp;MID($Q1951,6,2)&amp;RIGHT($Q1951,2)&amp;IF(Sync!$K1951="","0000",IF(AND(ISNUMBER(Sync!$K1951),Sync!$K1951&gt;=0,Sync!$K1951&lt;1),RIGHT("00"&amp;HOUR(Sync!$K1951),2)&amp;RIGHT("00"&amp;MINUTE(Sync!$K1951),2),IFERROR(RIGHT("00"&amp;VALUE(LEFT(Sync!$K1951,FIND(":",Sync!$K1951)-1)),2)&amp;RIGHT("00"&amp;VALUE(MID(Sync!$K1951,FIND(":",Sync!$K1951)+1,2)),2),"0000")))&amp;"|"&amp;"2"&amp;RIGHT("00000"&amp;1946,5))</f>
        <v/>
      </c>
      <c r="Q1951">
        <f>IF(Sync!$J1951="","",IF(ISNUMBER(Sync!$J1951),IF(AND(Sync!$J1951&gt;=10000101,Sync!$J1951&lt;=99991231),INT(Sync!$J1951/10000)&amp;"/"&amp;RIGHT("00"&amp;INT(MOD(Sync!$J1951,10000)/100),2)&amp;"/"&amp;RIGHT("00"&amp;MOD(Sync!$J1951,100),2),"نامعتبر"),IF(LEN(Sync!$J1951)=10,Sync!$J1951,"نامعتبر")))</f>
        <v/>
      </c>
      <c r="R1951">
        <f>IF($P1951="","",COUNTIFS($N$6:$N$2005,$N1951,$P$6:$P$2005,"&lt;"&amp;$P1951)+COUNTIFS($A$6:$A$1005,$N1951,$B$6:$B$1005,"&lt;"&amp;$P1951)+1)</f>
        <v/>
      </c>
      <c r="S1951">
        <f>IF($N1951="","",$N1951&amp;"|"&amp;RIGHT("000000"&amp;$R1951,6))</f>
        <v/>
      </c>
      <c r="T1951">
        <f>IF($N1951="","",IF(Sync!$N1951="",0,Sync!$N1951))</f>
        <v/>
      </c>
      <c r="U1951">
        <f>IF($N1951="","",IF(Sync!$O1951="",0,Sync!$O1951))</f>
        <v/>
      </c>
      <c r="V1951">
        <f>IF($N1951="","",Sync!$L1951)</f>
        <v/>
      </c>
      <c r="W1951">
        <f>IF($N1951="","",Sync!$P1951)</f>
        <v/>
      </c>
    </row>
    <row r="1952">
      <c r="N1952">
        <f>IF(OR(Sync!$M1952="",$Q1952="",$Q1952="نامعتبر"),"",Sync!$M1952)</f>
        <v/>
      </c>
      <c r="O1952">
        <f>IF($N1952="","",$Q1952)</f>
        <v/>
      </c>
      <c r="P1952">
        <f>IF($N1952="","",LEFT($Q1952,4)&amp;MID($Q1952,6,2)&amp;RIGHT($Q1952,2)&amp;IF(Sync!$K1952="","0000",IF(AND(ISNUMBER(Sync!$K1952),Sync!$K1952&gt;=0,Sync!$K1952&lt;1),RIGHT("00"&amp;HOUR(Sync!$K1952),2)&amp;RIGHT("00"&amp;MINUTE(Sync!$K1952),2),IFERROR(RIGHT("00"&amp;VALUE(LEFT(Sync!$K1952,FIND(":",Sync!$K1952)-1)),2)&amp;RIGHT("00"&amp;VALUE(MID(Sync!$K1952,FIND(":",Sync!$K1952)+1,2)),2),"0000")))&amp;"|"&amp;"2"&amp;RIGHT("00000"&amp;1947,5))</f>
        <v/>
      </c>
      <c r="Q1952">
        <f>IF(Sync!$J1952="","",IF(ISNUMBER(Sync!$J1952),IF(AND(Sync!$J1952&gt;=10000101,Sync!$J1952&lt;=99991231),INT(Sync!$J1952/10000)&amp;"/"&amp;RIGHT("00"&amp;INT(MOD(Sync!$J1952,10000)/100),2)&amp;"/"&amp;RIGHT("00"&amp;MOD(Sync!$J1952,100),2),"نامعتبر"),IF(LEN(Sync!$J1952)=10,Sync!$J1952,"نامعتبر")))</f>
        <v/>
      </c>
      <c r="R1952">
        <f>IF($P1952="","",COUNTIFS($N$6:$N$2005,$N1952,$P$6:$P$2005,"&lt;"&amp;$P1952)+COUNTIFS($A$6:$A$1005,$N1952,$B$6:$B$1005,"&lt;"&amp;$P1952)+1)</f>
        <v/>
      </c>
      <c r="S1952">
        <f>IF($N1952="","",$N1952&amp;"|"&amp;RIGHT("000000"&amp;$R1952,6))</f>
        <v/>
      </c>
      <c r="T1952">
        <f>IF($N1952="","",IF(Sync!$N1952="",0,Sync!$N1952))</f>
        <v/>
      </c>
      <c r="U1952">
        <f>IF($N1952="","",IF(Sync!$O1952="",0,Sync!$O1952))</f>
        <v/>
      </c>
      <c r="V1952">
        <f>IF($N1952="","",Sync!$L1952)</f>
        <v/>
      </c>
      <c r="W1952">
        <f>IF($N1952="","",Sync!$P1952)</f>
        <v/>
      </c>
    </row>
    <row r="1953">
      <c r="N1953">
        <f>IF(OR(Sync!$M1953="",$Q1953="",$Q1953="نامعتبر"),"",Sync!$M1953)</f>
        <v/>
      </c>
      <c r="O1953">
        <f>IF($N1953="","",$Q1953)</f>
        <v/>
      </c>
      <c r="P1953">
        <f>IF($N1953="","",LEFT($Q1953,4)&amp;MID($Q1953,6,2)&amp;RIGHT($Q1953,2)&amp;IF(Sync!$K1953="","0000",IF(AND(ISNUMBER(Sync!$K1953),Sync!$K1953&gt;=0,Sync!$K1953&lt;1),RIGHT("00"&amp;HOUR(Sync!$K1953),2)&amp;RIGHT("00"&amp;MINUTE(Sync!$K1953),2),IFERROR(RIGHT("00"&amp;VALUE(LEFT(Sync!$K1953,FIND(":",Sync!$K1953)-1)),2)&amp;RIGHT("00"&amp;VALUE(MID(Sync!$K1953,FIND(":",Sync!$K1953)+1,2)),2),"0000")))&amp;"|"&amp;"2"&amp;RIGHT("00000"&amp;1948,5))</f>
        <v/>
      </c>
      <c r="Q1953">
        <f>IF(Sync!$J1953="","",IF(ISNUMBER(Sync!$J1953),IF(AND(Sync!$J1953&gt;=10000101,Sync!$J1953&lt;=99991231),INT(Sync!$J1953/10000)&amp;"/"&amp;RIGHT("00"&amp;INT(MOD(Sync!$J1953,10000)/100),2)&amp;"/"&amp;RIGHT("00"&amp;MOD(Sync!$J1953,100),2),"نامعتبر"),IF(LEN(Sync!$J1953)=10,Sync!$J1953,"نامعتبر")))</f>
        <v/>
      </c>
      <c r="R1953">
        <f>IF($P1953="","",COUNTIFS($N$6:$N$2005,$N1953,$P$6:$P$2005,"&lt;"&amp;$P1953)+COUNTIFS($A$6:$A$1005,$N1953,$B$6:$B$1005,"&lt;"&amp;$P1953)+1)</f>
        <v/>
      </c>
      <c r="S1953">
        <f>IF($N1953="","",$N1953&amp;"|"&amp;RIGHT("000000"&amp;$R1953,6))</f>
        <v/>
      </c>
      <c r="T1953">
        <f>IF($N1953="","",IF(Sync!$N1953="",0,Sync!$N1953))</f>
        <v/>
      </c>
      <c r="U1953">
        <f>IF($N1953="","",IF(Sync!$O1953="",0,Sync!$O1953))</f>
        <v/>
      </c>
      <c r="V1953">
        <f>IF($N1953="","",Sync!$L1953)</f>
        <v/>
      </c>
      <c r="W1953">
        <f>IF($N1953="","",Sync!$P1953)</f>
        <v/>
      </c>
    </row>
    <row r="1954">
      <c r="N1954">
        <f>IF(OR(Sync!$M1954="",$Q1954="",$Q1954="نامعتبر"),"",Sync!$M1954)</f>
        <v/>
      </c>
      <c r="O1954">
        <f>IF($N1954="","",$Q1954)</f>
        <v/>
      </c>
      <c r="P1954">
        <f>IF($N1954="","",LEFT($Q1954,4)&amp;MID($Q1954,6,2)&amp;RIGHT($Q1954,2)&amp;IF(Sync!$K1954="","0000",IF(AND(ISNUMBER(Sync!$K1954),Sync!$K1954&gt;=0,Sync!$K1954&lt;1),RIGHT("00"&amp;HOUR(Sync!$K1954),2)&amp;RIGHT("00"&amp;MINUTE(Sync!$K1954),2),IFERROR(RIGHT("00"&amp;VALUE(LEFT(Sync!$K1954,FIND(":",Sync!$K1954)-1)),2)&amp;RIGHT("00"&amp;VALUE(MID(Sync!$K1954,FIND(":",Sync!$K1954)+1,2)),2),"0000")))&amp;"|"&amp;"2"&amp;RIGHT("00000"&amp;1949,5))</f>
        <v/>
      </c>
      <c r="Q1954">
        <f>IF(Sync!$J1954="","",IF(ISNUMBER(Sync!$J1954),IF(AND(Sync!$J1954&gt;=10000101,Sync!$J1954&lt;=99991231),INT(Sync!$J1954/10000)&amp;"/"&amp;RIGHT("00"&amp;INT(MOD(Sync!$J1954,10000)/100),2)&amp;"/"&amp;RIGHT("00"&amp;MOD(Sync!$J1954,100),2),"نامعتبر"),IF(LEN(Sync!$J1954)=10,Sync!$J1954,"نامعتبر")))</f>
        <v/>
      </c>
      <c r="R1954">
        <f>IF($P1954="","",COUNTIFS($N$6:$N$2005,$N1954,$P$6:$P$2005,"&lt;"&amp;$P1954)+COUNTIFS($A$6:$A$1005,$N1954,$B$6:$B$1005,"&lt;"&amp;$P1954)+1)</f>
        <v/>
      </c>
      <c r="S1954">
        <f>IF($N1954="","",$N1954&amp;"|"&amp;RIGHT("000000"&amp;$R1954,6))</f>
        <v/>
      </c>
      <c r="T1954">
        <f>IF($N1954="","",IF(Sync!$N1954="",0,Sync!$N1954))</f>
        <v/>
      </c>
      <c r="U1954">
        <f>IF($N1954="","",IF(Sync!$O1954="",0,Sync!$O1954))</f>
        <v/>
      </c>
      <c r="V1954">
        <f>IF($N1954="","",Sync!$L1954)</f>
        <v/>
      </c>
      <c r="W1954">
        <f>IF($N1954="","",Sync!$P1954)</f>
        <v/>
      </c>
    </row>
    <row r="1955">
      <c r="N1955">
        <f>IF(OR(Sync!$M1955="",$Q1955="",$Q1955="نامعتبر"),"",Sync!$M1955)</f>
        <v/>
      </c>
      <c r="O1955">
        <f>IF($N1955="","",$Q1955)</f>
        <v/>
      </c>
      <c r="P1955">
        <f>IF($N1955="","",LEFT($Q1955,4)&amp;MID($Q1955,6,2)&amp;RIGHT($Q1955,2)&amp;IF(Sync!$K1955="","0000",IF(AND(ISNUMBER(Sync!$K1955),Sync!$K1955&gt;=0,Sync!$K1955&lt;1),RIGHT("00"&amp;HOUR(Sync!$K1955),2)&amp;RIGHT("00"&amp;MINUTE(Sync!$K1955),2),IFERROR(RIGHT("00"&amp;VALUE(LEFT(Sync!$K1955,FIND(":",Sync!$K1955)-1)),2)&amp;RIGHT("00"&amp;VALUE(MID(Sync!$K1955,FIND(":",Sync!$K1955)+1,2)),2),"0000")))&amp;"|"&amp;"2"&amp;RIGHT("00000"&amp;1950,5))</f>
        <v/>
      </c>
      <c r="Q1955">
        <f>IF(Sync!$J1955="","",IF(ISNUMBER(Sync!$J1955),IF(AND(Sync!$J1955&gt;=10000101,Sync!$J1955&lt;=99991231),INT(Sync!$J1955/10000)&amp;"/"&amp;RIGHT("00"&amp;INT(MOD(Sync!$J1955,10000)/100),2)&amp;"/"&amp;RIGHT("00"&amp;MOD(Sync!$J1955,100),2),"نامعتبر"),IF(LEN(Sync!$J1955)=10,Sync!$J1955,"نامعتبر")))</f>
        <v/>
      </c>
      <c r="R1955">
        <f>IF($P1955="","",COUNTIFS($N$6:$N$2005,$N1955,$P$6:$P$2005,"&lt;"&amp;$P1955)+COUNTIFS($A$6:$A$1005,$N1955,$B$6:$B$1005,"&lt;"&amp;$P1955)+1)</f>
        <v/>
      </c>
      <c r="S1955">
        <f>IF($N1955="","",$N1955&amp;"|"&amp;RIGHT("000000"&amp;$R1955,6))</f>
        <v/>
      </c>
      <c r="T1955">
        <f>IF($N1955="","",IF(Sync!$N1955="",0,Sync!$N1955))</f>
        <v/>
      </c>
      <c r="U1955">
        <f>IF($N1955="","",IF(Sync!$O1955="",0,Sync!$O1955))</f>
        <v/>
      </c>
      <c r="V1955">
        <f>IF($N1955="","",Sync!$L1955)</f>
        <v/>
      </c>
      <c r="W1955">
        <f>IF($N1955="","",Sync!$P1955)</f>
        <v/>
      </c>
    </row>
    <row r="1956">
      <c r="N1956">
        <f>IF(OR(Sync!$M1956="",$Q1956="",$Q1956="نامعتبر"),"",Sync!$M1956)</f>
        <v/>
      </c>
      <c r="O1956">
        <f>IF($N1956="","",$Q1956)</f>
        <v/>
      </c>
      <c r="P1956">
        <f>IF($N1956="","",LEFT($Q1956,4)&amp;MID($Q1956,6,2)&amp;RIGHT($Q1956,2)&amp;IF(Sync!$K1956="","0000",IF(AND(ISNUMBER(Sync!$K1956),Sync!$K1956&gt;=0,Sync!$K1956&lt;1),RIGHT("00"&amp;HOUR(Sync!$K1956),2)&amp;RIGHT("00"&amp;MINUTE(Sync!$K1956),2),IFERROR(RIGHT("00"&amp;VALUE(LEFT(Sync!$K1956,FIND(":",Sync!$K1956)-1)),2)&amp;RIGHT("00"&amp;VALUE(MID(Sync!$K1956,FIND(":",Sync!$K1956)+1,2)),2),"0000")))&amp;"|"&amp;"2"&amp;RIGHT("00000"&amp;1951,5))</f>
        <v/>
      </c>
      <c r="Q1956">
        <f>IF(Sync!$J1956="","",IF(ISNUMBER(Sync!$J1956),IF(AND(Sync!$J1956&gt;=10000101,Sync!$J1956&lt;=99991231),INT(Sync!$J1956/10000)&amp;"/"&amp;RIGHT("00"&amp;INT(MOD(Sync!$J1956,10000)/100),2)&amp;"/"&amp;RIGHT("00"&amp;MOD(Sync!$J1956,100),2),"نامعتبر"),IF(LEN(Sync!$J1956)=10,Sync!$J1956,"نامعتبر")))</f>
        <v/>
      </c>
      <c r="R1956">
        <f>IF($P1956="","",COUNTIFS($N$6:$N$2005,$N1956,$P$6:$P$2005,"&lt;"&amp;$P1956)+COUNTIFS($A$6:$A$1005,$N1956,$B$6:$B$1005,"&lt;"&amp;$P1956)+1)</f>
        <v/>
      </c>
      <c r="S1956">
        <f>IF($N1956="","",$N1956&amp;"|"&amp;RIGHT("000000"&amp;$R1956,6))</f>
        <v/>
      </c>
      <c r="T1956">
        <f>IF($N1956="","",IF(Sync!$N1956="",0,Sync!$N1956))</f>
        <v/>
      </c>
      <c r="U1956">
        <f>IF($N1956="","",IF(Sync!$O1956="",0,Sync!$O1956))</f>
        <v/>
      </c>
      <c r="V1956">
        <f>IF($N1956="","",Sync!$L1956)</f>
        <v/>
      </c>
      <c r="W1956">
        <f>IF($N1956="","",Sync!$P1956)</f>
        <v/>
      </c>
    </row>
    <row r="1957">
      <c r="N1957">
        <f>IF(OR(Sync!$M1957="",$Q1957="",$Q1957="نامعتبر"),"",Sync!$M1957)</f>
        <v/>
      </c>
      <c r="O1957">
        <f>IF($N1957="","",$Q1957)</f>
        <v/>
      </c>
      <c r="P1957">
        <f>IF($N1957="","",LEFT($Q1957,4)&amp;MID($Q1957,6,2)&amp;RIGHT($Q1957,2)&amp;IF(Sync!$K1957="","0000",IF(AND(ISNUMBER(Sync!$K1957),Sync!$K1957&gt;=0,Sync!$K1957&lt;1),RIGHT("00"&amp;HOUR(Sync!$K1957),2)&amp;RIGHT("00"&amp;MINUTE(Sync!$K1957),2),IFERROR(RIGHT("00"&amp;VALUE(LEFT(Sync!$K1957,FIND(":",Sync!$K1957)-1)),2)&amp;RIGHT("00"&amp;VALUE(MID(Sync!$K1957,FIND(":",Sync!$K1957)+1,2)),2),"0000")))&amp;"|"&amp;"2"&amp;RIGHT("00000"&amp;1952,5))</f>
        <v/>
      </c>
      <c r="Q1957">
        <f>IF(Sync!$J1957="","",IF(ISNUMBER(Sync!$J1957),IF(AND(Sync!$J1957&gt;=10000101,Sync!$J1957&lt;=99991231),INT(Sync!$J1957/10000)&amp;"/"&amp;RIGHT("00"&amp;INT(MOD(Sync!$J1957,10000)/100),2)&amp;"/"&amp;RIGHT("00"&amp;MOD(Sync!$J1957,100),2),"نامعتبر"),IF(LEN(Sync!$J1957)=10,Sync!$J1957,"نامعتبر")))</f>
        <v/>
      </c>
      <c r="R1957">
        <f>IF($P1957="","",COUNTIFS($N$6:$N$2005,$N1957,$P$6:$P$2005,"&lt;"&amp;$P1957)+COUNTIFS($A$6:$A$1005,$N1957,$B$6:$B$1005,"&lt;"&amp;$P1957)+1)</f>
        <v/>
      </c>
      <c r="S1957">
        <f>IF($N1957="","",$N1957&amp;"|"&amp;RIGHT("000000"&amp;$R1957,6))</f>
        <v/>
      </c>
      <c r="T1957">
        <f>IF($N1957="","",IF(Sync!$N1957="",0,Sync!$N1957))</f>
        <v/>
      </c>
      <c r="U1957">
        <f>IF($N1957="","",IF(Sync!$O1957="",0,Sync!$O1957))</f>
        <v/>
      </c>
      <c r="V1957">
        <f>IF($N1957="","",Sync!$L1957)</f>
        <v/>
      </c>
      <c r="W1957">
        <f>IF($N1957="","",Sync!$P1957)</f>
        <v/>
      </c>
    </row>
    <row r="1958">
      <c r="N1958">
        <f>IF(OR(Sync!$M1958="",$Q1958="",$Q1958="نامعتبر"),"",Sync!$M1958)</f>
        <v/>
      </c>
      <c r="O1958">
        <f>IF($N1958="","",$Q1958)</f>
        <v/>
      </c>
      <c r="P1958">
        <f>IF($N1958="","",LEFT($Q1958,4)&amp;MID($Q1958,6,2)&amp;RIGHT($Q1958,2)&amp;IF(Sync!$K1958="","0000",IF(AND(ISNUMBER(Sync!$K1958),Sync!$K1958&gt;=0,Sync!$K1958&lt;1),RIGHT("00"&amp;HOUR(Sync!$K1958),2)&amp;RIGHT("00"&amp;MINUTE(Sync!$K1958),2),IFERROR(RIGHT("00"&amp;VALUE(LEFT(Sync!$K1958,FIND(":",Sync!$K1958)-1)),2)&amp;RIGHT("00"&amp;VALUE(MID(Sync!$K1958,FIND(":",Sync!$K1958)+1,2)),2),"0000")))&amp;"|"&amp;"2"&amp;RIGHT("00000"&amp;1953,5))</f>
        <v/>
      </c>
      <c r="Q1958">
        <f>IF(Sync!$J1958="","",IF(ISNUMBER(Sync!$J1958),IF(AND(Sync!$J1958&gt;=10000101,Sync!$J1958&lt;=99991231),INT(Sync!$J1958/10000)&amp;"/"&amp;RIGHT("00"&amp;INT(MOD(Sync!$J1958,10000)/100),2)&amp;"/"&amp;RIGHT("00"&amp;MOD(Sync!$J1958,100),2),"نامعتبر"),IF(LEN(Sync!$J1958)=10,Sync!$J1958,"نامعتبر")))</f>
        <v/>
      </c>
      <c r="R1958">
        <f>IF($P1958="","",COUNTIFS($N$6:$N$2005,$N1958,$P$6:$P$2005,"&lt;"&amp;$P1958)+COUNTIFS($A$6:$A$1005,$N1958,$B$6:$B$1005,"&lt;"&amp;$P1958)+1)</f>
        <v/>
      </c>
      <c r="S1958">
        <f>IF($N1958="","",$N1958&amp;"|"&amp;RIGHT("000000"&amp;$R1958,6))</f>
        <v/>
      </c>
      <c r="T1958">
        <f>IF($N1958="","",IF(Sync!$N1958="",0,Sync!$N1958))</f>
        <v/>
      </c>
      <c r="U1958">
        <f>IF($N1958="","",IF(Sync!$O1958="",0,Sync!$O1958))</f>
        <v/>
      </c>
      <c r="V1958">
        <f>IF($N1958="","",Sync!$L1958)</f>
        <v/>
      </c>
      <c r="W1958">
        <f>IF($N1958="","",Sync!$P1958)</f>
        <v/>
      </c>
    </row>
    <row r="1959">
      <c r="N1959">
        <f>IF(OR(Sync!$M1959="",$Q1959="",$Q1959="نامعتبر"),"",Sync!$M1959)</f>
        <v/>
      </c>
      <c r="O1959">
        <f>IF($N1959="","",$Q1959)</f>
        <v/>
      </c>
      <c r="P1959">
        <f>IF($N1959="","",LEFT($Q1959,4)&amp;MID($Q1959,6,2)&amp;RIGHT($Q1959,2)&amp;IF(Sync!$K1959="","0000",IF(AND(ISNUMBER(Sync!$K1959),Sync!$K1959&gt;=0,Sync!$K1959&lt;1),RIGHT("00"&amp;HOUR(Sync!$K1959),2)&amp;RIGHT("00"&amp;MINUTE(Sync!$K1959),2),IFERROR(RIGHT("00"&amp;VALUE(LEFT(Sync!$K1959,FIND(":",Sync!$K1959)-1)),2)&amp;RIGHT("00"&amp;VALUE(MID(Sync!$K1959,FIND(":",Sync!$K1959)+1,2)),2),"0000")))&amp;"|"&amp;"2"&amp;RIGHT("00000"&amp;1954,5))</f>
        <v/>
      </c>
      <c r="Q1959">
        <f>IF(Sync!$J1959="","",IF(ISNUMBER(Sync!$J1959),IF(AND(Sync!$J1959&gt;=10000101,Sync!$J1959&lt;=99991231),INT(Sync!$J1959/10000)&amp;"/"&amp;RIGHT("00"&amp;INT(MOD(Sync!$J1959,10000)/100),2)&amp;"/"&amp;RIGHT("00"&amp;MOD(Sync!$J1959,100),2),"نامعتبر"),IF(LEN(Sync!$J1959)=10,Sync!$J1959,"نامعتبر")))</f>
        <v/>
      </c>
      <c r="R1959">
        <f>IF($P1959="","",COUNTIFS($N$6:$N$2005,$N1959,$P$6:$P$2005,"&lt;"&amp;$P1959)+COUNTIFS($A$6:$A$1005,$N1959,$B$6:$B$1005,"&lt;"&amp;$P1959)+1)</f>
        <v/>
      </c>
      <c r="S1959">
        <f>IF($N1959="","",$N1959&amp;"|"&amp;RIGHT("000000"&amp;$R1959,6))</f>
        <v/>
      </c>
      <c r="T1959">
        <f>IF($N1959="","",IF(Sync!$N1959="",0,Sync!$N1959))</f>
        <v/>
      </c>
      <c r="U1959">
        <f>IF($N1959="","",IF(Sync!$O1959="",0,Sync!$O1959))</f>
        <v/>
      </c>
      <c r="V1959">
        <f>IF($N1959="","",Sync!$L1959)</f>
        <v/>
      </c>
      <c r="W1959">
        <f>IF($N1959="","",Sync!$P1959)</f>
        <v/>
      </c>
    </row>
    <row r="1960">
      <c r="N1960">
        <f>IF(OR(Sync!$M1960="",$Q1960="",$Q1960="نامعتبر"),"",Sync!$M1960)</f>
        <v/>
      </c>
      <c r="O1960">
        <f>IF($N1960="","",$Q1960)</f>
        <v/>
      </c>
      <c r="P1960">
        <f>IF($N1960="","",LEFT($Q1960,4)&amp;MID($Q1960,6,2)&amp;RIGHT($Q1960,2)&amp;IF(Sync!$K1960="","0000",IF(AND(ISNUMBER(Sync!$K1960),Sync!$K1960&gt;=0,Sync!$K1960&lt;1),RIGHT("00"&amp;HOUR(Sync!$K1960),2)&amp;RIGHT("00"&amp;MINUTE(Sync!$K1960),2),IFERROR(RIGHT("00"&amp;VALUE(LEFT(Sync!$K1960,FIND(":",Sync!$K1960)-1)),2)&amp;RIGHT("00"&amp;VALUE(MID(Sync!$K1960,FIND(":",Sync!$K1960)+1,2)),2),"0000")))&amp;"|"&amp;"2"&amp;RIGHT("00000"&amp;1955,5))</f>
        <v/>
      </c>
      <c r="Q1960">
        <f>IF(Sync!$J1960="","",IF(ISNUMBER(Sync!$J1960),IF(AND(Sync!$J1960&gt;=10000101,Sync!$J1960&lt;=99991231),INT(Sync!$J1960/10000)&amp;"/"&amp;RIGHT("00"&amp;INT(MOD(Sync!$J1960,10000)/100),2)&amp;"/"&amp;RIGHT("00"&amp;MOD(Sync!$J1960,100),2),"نامعتبر"),IF(LEN(Sync!$J1960)=10,Sync!$J1960,"نامعتبر")))</f>
        <v/>
      </c>
      <c r="R1960">
        <f>IF($P1960="","",COUNTIFS($N$6:$N$2005,$N1960,$P$6:$P$2005,"&lt;"&amp;$P1960)+COUNTIFS($A$6:$A$1005,$N1960,$B$6:$B$1005,"&lt;"&amp;$P1960)+1)</f>
        <v/>
      </c>
      <c r="S1960">
        <f>IF($N1960="","",$N1960&amp;"|"&amp;RIGHT("000000"&amp;$R1960,6))</f>
        <v/>
      </c>
      <c r="T1960">
        <f>IF($N1960="","",IF(Sync!$N1960="",0,Sync!$N1960))</f>
        <v/>
      </c>
      <c r="U1960">
        <f>IF($N1960="","",IF(Sync!$O1960="",0,Sync!$O1960))</f>
        <v/>
      </c>
      <c r="V1960">
        <f>IF($N1960="","",Sync!$L1960)</f>
        <v/>
      </c>
      <c r="W1960">
        <f>IF($N1960="","",Sync!$P1960)</f>
        <v/>
      </c>
    </row>
    <row r="1961">
      <c r="N1961">
        <f>IF(OR(Sync!$M1961="",$Q1961="",$Q1961="نامعتبر"),"",Sync!$M1961)</f>
        <v/>
      </c>
      <c r="O1961">
        <f>IF($N1961="","",$Q1961)</f>
        <v/>
      </c>
      <c r="P1961">
        <f>IF($N1961="","",LEFT($Q1961,4)&amp;MID($Q1961,6,2)&amp;RIGHT($Q1961,2)&amp;IF(Sync!$K1961="","0000",IF(AND(ISNUMBER(Sync!$K1961),Sync!$K1961&gt;=0,Sync!$K1961&lt;1),RIGHT("00"&amp;HOUR(Sync!$K1961),2)&amp;RIGHT("00"&amp;MINUTE(Sync!$K1961),2),IFERROR(RIGHT("00"&amp;VALUE(LEFT(Sync!$K1961,FIND(":",Sync!$K1961)-1)),2)&amp;RIGHT("00"&amp;VALUE(MID(Sync!$K1961,FIND(":",Sync!$K1961)+1,2)),2),"0000")))&amp;"|"&amp;"2"&amp;RIGHT("00000"&amp;1956,5))</f>
        <v/>
      </c>
      <c r="Q1961">
        <f>IF(Sync!$J1961="","",IF(ISNUMBER(Sync!$J1961),IF(AND(Sync!$J1961&gt;=10000101,Sync!$J1961&lt;=99991231),INT(Sync!$J1961/10000)&amp;"/"&amp;RIGHT("00"&amp;INT(MOD(Sync!$J1961,10000)/100),2)&amp;"/"&amp;RIGHT("00"&amp;MOD(Sync!$J1961,100),2),"نامعتبر"),IF(LEN(Sync!$J1961)=10,Sync!$J1961,"نامعتبر")))</f>
        <v/>
      </c>
      <c r="R1961">
        <f>IF($P1961="","",COUNTIFS($N$6:$N$2005,$N1961,$P$6:$P$2005,"&lt;"&amp;$P1961)+COUNTIFS($A$6:$A$1005,$N1961,$B$6:$B$1005,"&lt;"&amp;$P1961)+1)</f>
        <v/>
      </c>
      <c r="S1961">
        <f>IF($N1961="","",$N1961&amp;"|"&amp;RIGHT("000000"&amp;$R1961,6))</f>
        <v/>
      </c>
      <c r="T1961">
        <f>IF($N1961="","",IF(Sync!$N1961="",0,Sync!$N1961))</f>
        <v/>
      </c>
      <c r="U1961">
        <f>IF($N1961="","",IF(Sync!$O1961="",0,Sync!$O1961))</f>
        <v/>
      </c>
      <c r="V1961">
        <f>IF($N1961="","",Sync!$L1961)</f>
        <v/>
      </c>
      <c r="W1961">
        <f>IF($N1961="","",Sync!$P1961)</f>
        <v/>
      </c>
    </row>
    <row r="1962">
      <c r="N1962">
        <f>IF(OR(Sync!$M1962="",$Q1962="",$Q1962="نامعتبر"),"",Sync!$M1962)</f>
        <v/>
      </c>
      <c r="O1962">
        <f>IF($N1962="","",$Q1962)</f>
        <v/>
      </c>
      <c r="P1962">
        <f>IF($N1962="","",LEFT($Q1962,4)&amp;MID($Q1962,6,2)&amp;RIGHT($Q1962,2)&amp;IF(Sync!$K1962="","0000",IF(AND(ISNUMBER(Sync!$K1962),Sync!$K1962&gt;=0,Sync!$K1962&lt;1),RIGHT("00"&amp;HOUR(Sync!$K1962),2)&amp;RIGHT("00"&amp;MINUTE(Sync!$K1962),2),IFERROR(RIGHT("00"&amp;VALUE(LEFT(Sync!$K1962,FIND(":",Sync!$K1962)-1)),2)&amp;RIGHT("00"&amp;VALUE(MID(Sync!$K1962,FIND(":",Sync!$K1962)+1,2)),2),"0000")))&amp;"|"&amp;"2"&amp;RIGHT("00000"&amp;1957,5))</f>
        <v/>
      </c>
      <c r="Q1962">
        <f>IF(Sync!$J1962="","",IF(ISNUMBER(Sync!$J1962),IF(AND(Sync!$J1962&gt;=10000101,Sync!$J1962&lt;=99991231),INT(Sync!$J1962/10000)&amp;"/"&amp;RIGHT("00"&amp;INT(MOD(Sync!$J1962,10000)/100),2)&amp;"/"&amp;RIGHT("00"&amp;MOD(Sync!$J1962,100),2),"نامعتبر"),IF(LEN(Sync!$J1962)=10,Sync!$J1962,"نامعتبر")))</f>
        <v/>
      </c>
      <c r="R1962">
        <f>IF($P1962="","",COUNTIFS($N$6:$N$2005,$N1962,$P$6:$P$2005,"&lt;"&amp;$P1962)+COUNTIFS($A$6:$A$1005,$N1962,$B$6:$B$1005,"&lt;"&amp;$P1962)+1)</f>
        <v/>
      </c>
      <c r="S1962">
        <f>IF($N1962="","",$N1962&amp;"|"&amp;RIGHT("000000"&amp;$R1962,6))</f>
        <v/>
      </c>
      <c r="T1962">
        <f>IF($N1962="","",IF(Sync!$N1962="",0,Sync!$N1962))</f>
        <v/>
      </c>
      <c r="U1962">
        <f>IF($N1962="","",IF(Sync!$O1962="",0,Sync!$O1962))</f>
        <v/>
      </c>
      <c r="V1962">
        <f>IF($N1962="","",Sync!$L1962)</f>
        <v/>
      </c>
      <c r="W1962">
        <f>IF($N1962="","",Sync!$P1962)</f>
        <v/>
      </c>
    </row>
    <row r="1963">
      <c r="N1963">
        <f>IF(OR(Sync!$M1963="",$Q1963="",$Q1963="نامعتبر"),"",Sync!$M1963)</f>
        <v/>
      </c>
      <c r="O1963">
        <f>IF($N1963="","",$Q1963)</f>
        <v/>
      </c>
      <c r="P1963">
        <f>IF($N1963="","",LEFT($Q1963,4)&amp;MID($Q1963,6,2)&amp;RIGHT($Q1963,2)&amp;IF(Sync!$K1963="","0000",IF(AND(ISNUMBER(Sync!$K1963),Sync!$K1963&gt;=0,Sync!$K1963&lt;1),RIGHT("00"&amp;HOUR(Sync!$K1963),2)&amp;RIGHT("00"&amp;MINUTE(Sync!$K1963),2),IFERROR(RIGHT("00"&amp;VALUE(LEFT(Sync!$K1963,FIND(":",Sync!$K1963)-1)),2)&amp;RIGHT("00"&amp;VALUE(MID(Sync!$K1963,FIND(":",Sync!$K1963)+1,2)),2),"0000")))&amp;"|"&amp;"2"&amp;RIGHT("00000"&amp;1958,5))</f>
        <v/>
      </c>
      <c r="Q1963">
        <f>IF(Sync!$J1963="","",IF(ISNUMBER(Sync!$J1963),IF(AND(Sync!$J1963&gt;=10000101,Sync!$J1963&lt;=99991231),INT(Sync!$J1963/10000)&amp;"/"&amp;RIGHT("00"&amp;INT(MOD(Sync!$J1963,10000)/100),2)&amp;"/"&amp;RIGHT("00"&amp;MOD(Sync!$J1963,100),2),"نامعتبر"),IF(LEN(Sync!$J1963)=10,Sync!$J1963,"نامعتبر")))</f>
        <v/>
      </c>
      <c r="R1963">
        <f>IF($P1963="","",COUNTIFS($N$6:$N$2005,$N1963,$P$6:$P$2005,"&lt;"&amp;$P1963)+COUNTIFS($A$6:$A$1005,$N1963,$B$6:$B$1005,"&lt;"&amp;$P1963)+1)</f>
        <v/>
      </c>
      <c r="S1963">
        <f>IF($N1963="","",$N1963&amp;"|"&amp;RIGHT("000000"&amp;$R1963,6))</f>
        <v/>
      </c>
      <c r="T1963">
        <f>IF($N1963="","",IF(Sync!$N1963="",0,Sync!$N1963))</f>
        <v/>
      </c>
      <c r="U1963">
        <f>IF($N1963="","",IF(Sync!$O1963="",0,Sync!$O1963))</f>
        <v/>
      </c>
      <c r="V1963">
        <f>IF($N1963="","",Sync!$L1963)</f>
        <v/>
      </c>
      <c r="W1963">
        <f>IF($N1963="","",Sync!$P1963)</f>
        <v/>
      </c>
    </row>
    <row r="1964">
      <c r="N1964">
        <f>IF(OR(Sync!$M1964="",$Q1964="",$Q1964="نامعتبر"),"",Sync!$M1964)</f>
        <v/>
      </c>
      <c r="O1964">
        <f>IF($N1964="","",$Q1964)</f>
        <v/>
      </c>
      <c r="P1964">
        <f>IF($N1964="","",LEFT($Q1964,4)&amp;MID($Q1964,6,2)&amp;RIGHT($Q1964,2)&amp;IF(Sync!$K1964="","0000",IF(AND(ISNUMBER(Sync!$K1964),Sync!$K1964&gt;=0,Sync!$K1964&lt;1),RIGHT("00"&amp;HOUR(Sync!$K1964),2)&amp;RIGHT("00"&amp;MINUTE(Sync!$K1964),2),IFERROR(RIGHT("00"&amp;VALUE(LEFT(Sync!$K1964,FIND(":",Sync!$K1964)-1)),2)&amp;RIGHT("00"&amp;VALUE(MID(Sync!$K1964,FIND(":",Sync!$K1964)+1,2)),2),"0000")))&amp;"|"&amp;"2"&amp;RIGHT("00000"&amp;1959,5))</f>
        <v/>
      </c>
      <c r="Q1964">
        <f>IF(Sync!$J1964="","",IF(ISNUMBER(Sync!$J1964),IF(AND(Sync!$J1964&gt;=10000101,Sync!$J1964&lt;=99991231),INT(Sync!$J1964/10000)&amp;"/"&amp;RIGHT("00"&amp;INT(MOD(Sync!$J1964,10000)/100),2)&amp;"/"&amp;RIGHT("00"&amp;MOD(Sync!$J1964,100),2),"نامعتبر"),IF(LEN(Sync!$J1964)=10,Sync!$J1964,"نامعتبر")))</f>
        <v/>
      </c>
      <c r="R1964">
        <f>IF($P1964="","",COUNTIFS($N$6:$N$2005,$N1964,$P$6:$P$2005,"&lt;"&amp;$P1964)+COUNTIFS($A$6:$A$1005,$N1964,$B$6:$B$1005,"&lt;"&amp;$P1964)+1)</f>
        <v/>
      </c>
      <c r="S1964">
        <f>IF($N1964="","",$N1964&amp;"|"&amp;RIGHT("000000"&amp;$R1964,6))</f>
        <v/>
      </c>
      <c r="T1964">
        <f>IF($N1964="","",IF(Sync!$N1964="",0,Sync!$N1964))</f>
        <v/>
      </c>
      <c r="U1964">
        <f>IF($N1964="","",IF(Sync!$O1964="",0,Sync!$O1964))</f>
        <v/>
      </c>
      <c r="V1964">
        <f>IF($N1964="","",Sync!$L1964)</f>
        <v/>
      </c>
      <c r="W1964">
        <f>IF($N1964="","",Sync!$P1964)</f>
        <v/>
      </c>
    </row>
    <row r="1965">
      <c r="N1965">
        <f>IF(OR(Sync!$M1965="",$Q1965="",$Q1965="نامعتبر"),"",Sync!$M1965)</f>
        <v/>
      </c>
      <c r="O1965">
        <f>IF($N1965="","",$Q1965)</f>
        <v/>
      </c>
      <c r="P1965">
        <f>IF($N1965="","",LEFT($Q1965,4)&amp;MID($Q1965,6,2)&amp;RIGHT($Q1965,2)&amp;IF(Sync!$K1965="","0000",IF(AND(ISNUMBER(Sync!$K1965),Sync!$K1965&gt;=0,Sync!$K1965&lt;1),RIGHT("00"&amp;HOUR(Sync!$K1965),2)&amp;RIGHT("00"&amp;MINUTE(Sync!$K1965),2),IFERROR(RIGHT("00"&amp;VALUE(LEFT(Sync!$K1965,FIND(":",Sync!$K1965)-1)),2)&amp;RIGHT("00"&amp;VALUE(MID(Sync!$K1965,FIND(":",Sync!$K1965)+1,2)),2),"0000")))&amp;"|"&amp;"2"&amp;RIGHT("00000"&amp;1960,5))</f>
        <v/>
      </c>
      <c r="Q1965">
        <f>IF(Sync!$J1965="","",IF(ISNUMBER(Sync!$J1965),IF(AND(Sync!$J1965&gt;=10000101,Sync!$J1965&lt;=99991231),INT(Sync!$J1965/10000)&amp;"/"&amp;RIGHT("00"&amp;INT(MOD(Sync!$J1965,10000)/100),2)&amp;"/"&amp;RIGHT("00"&amp;MOD(Sync!$J1965,100),2),"نامعتبر"),IF(LEN(Sync!$J1965)=10,Sync!$J1965,"نامعتبر")))</f>
        <v/>
      </c>
      <c r="R1965">
        <f>IF($P1965="","",COUNTIFS($N$6:$N$2005,$N1965,$P$6:$P$2005,"&lt;"&amp;$P1965)+COUNTIFS($A$6:$A$1005,$N1965,$B$6:$B$1005,"&lt;"&amp;$P1965)+1)</f>
        <v/>
      </c>
      <c r="S1965">
        <f>IF($N1965="","",$N1965&amp;"|"&amp;RIGHT("000000"&amp;$R1965,6))</f>
        <v/>
      </c>
      <c r="T1965">
        <f>IF($N1965="","",IF(Sync!$N1965="",0,Sync!$N1965))</f>
        <v/>
      </c>
      <c r="U1965">
        <f>IF($N1965="","",IF(Sync!$O1965="",0,Sync!$O1965))</f>
        <v/>
      </c>
      <c r="V1965">
        <f>IF($N1965="","",Sync!$L1965)</f>
        <v/>
      </c>
      <c r="W1965">
        <f>IF($N1965="","",Sync!$P1965)</f>
        <v/>
      </c>
    </row>
    <row r="1966">
      <c r="N1966">
        <f>IF(OR(Sync!$M1966="",$Q1966="",$Q1966="نامعتبر"),"",Sync!$M1966)</f>
        <v/>
      </c>
      <c r="O1966">
        <f>IF($N1966="","",$Q1966)</f>
        <v/>
      </c>
      <c r="P1966">
        <f>IF($N1966="","",LEFT($Q1966,4)&amp;MID($Q1966,6,2)&amp;RIGHT($Q1966,2)&amp;IF(Sync!$K1966="","0000",IF(AND(ISNUMBER(Sync!$K1966),Sync!$K1966&gt;=0,Sync!$K1966&lt;1),RIGHT("00"&amp;HOUR(Sync!$K1966),2)&amp;RIGHT("00"&amp;MINUTE(Sync!$K1966),2),IFERROR(RIGHT("00"&amp;VALUE(LEFT(Sync!$K1966,FIND(":",Sync!$K1966)-1)),2)&amp;RIGHT("00"&amp;VALUE(MID(Sync!$K1966,FIND(":",Sync!$K1966)+1,2)),2),"0000")))&amp;"|"&amp;"2"&amp;RIGHT("00000"&amp;1961,5))</f>
        <v/>
      </c>
      <c r="Q1966">
        <f>IF(Sync!$J1966="","",IF(ISNUMBER(Sync!$J1966),IF(AND(Sync!$J1966&gt;=10000101,Sync!$J1966&lt;=99991231),INT(Sync!$J1966/10000)&amp;"/"&amp;RIGHT("00"&amp;INT(MOD(Sync!$J1966,10000)/100),2)&amp;"/"&amp;RIGHT("00"&amp;MOD(Sync!$J1966,100),2),"نامعتبر"),IF(LEN(Sync!$J1966)=10,Sync!$J1966,"نامعتبر")))</f>
        <v/>
      </c>
      <c r="R1966">
        <f>IF($P1966="","",COUNTIFS($N$6:$N$2005,$N1966,$P$6:$P$2005,"&lt;"&amp;$P1966)+COUNTIFS($A$6:$A$1005,$N1966,$B$6:$B$1005,"&lt;"&amp;$P1966)+1)</f>
        <v/>
      </c>
      <c r="S1966">
        <f>IF($N1966="","",$N1966&amp;"|"&amp;RIGHT("000000"&amp;$R1966,6))</f>
        <v/>
      </c>
      <c r="T1966">
        <f>IF($N1966="","",IF(Sync!$N1966="",0,Sync!$N1966))</f>
        <v/>
      </c>
      <c r="U1966">
        <f>IF($N1966="","",IF(Sync!$O1966="",0,Sync!$O1966))</f>
        <v/>
      </c>
      <c r="V1966">
        <f>IF($N1966="","",Sync!$L1966)</f>
        <v/>
      </c>
      <c r="W1966">
        <f>IF($N1966="","",Sync!$P1966)</f>
        <v/>
      </c>
    </row>
    <row r="1967">
      <c r="N1967">
        <f>IF(OR(Sync!$M1967="",$Q1967="",$Q1967="نامعتبر"),"",Sync!$M1967)</f>
        <v/>
      </c>
      <c r="O1967">
        <f>IF($N1967="","",$Q1967)</f>
        <v/>
      </c>
      <c r="P1967">
        <f>IF($N1967="","",LEFT($Q1967,4)&amp;MID($Q1967,6,2)&amp;RIGHT($Q1967,2)&amp;IF(Sync!$K1967="","0000",IF(AND(ISNUMBER(Sync!$K1967),Sync!$K1967&gt;=0,Sync!$K1967&lt;1),RIGHT("00"&amp;HOUR(Sync!$K1967),2)&amp;RIGHT("00"&amp;MINUTE(Sync!$K1967),2),IFERROR(RIGHT("00"&amp;VALUE(LEFT(Sync!$K1967,FIND(":",Sync!$K1967)-1)),2)&amp;RIGHT("00"&amp;VALUE(MID(Sync!$K1967,FIND(":",Sync!$K1967)+1,2)),2),"0000")))&amp;"|"&amp;"2"&amp;RIGHT("00000"&amp;1962,5))</f>
        <v/>
      </c>
      <c r="Q1967">
        <f>IF(Sync!$J1967="","",IF(ISNUMBER(Sync!$J1967),IF(AND(Sync!$J1967&gt;=10000101,Sync!$J1967&lt;=99991231),INT(Sync!$J1967/10000)&amp;"/"&amp;RIGHT("00"&amp;INT(MOD(Sync!$J1967,10000)/100),2)&amp;"/"&amp;RIGHT("00"&amp;MOD(Sync!$J1967,100),2),"نامعتبر"),IF(LEN(Sync!$J1967)=10,Sync!$J1967,"نامعتبر")))</f>
        <v/>
      </c>
      <c r="R1967">
        <f>IF($P1967="","",COUNTIFS($N$6:$N$2005,$N1967,$P$6:$P$2005,"&lt;"&amp;$P1967)+COUNTIFS($A$6:$A$1005,$N1967,$B$6:$B$1005,"&lt;"&amp;$P1967)+1)</f>
        <v/>
      </c>
      <c r="S1967">
        <f>IF($N1967="","",$N1967&amp;"|"&amp;RIGHT("000000"&amp;$R1967,6))</f>
        <v/>
      </c>
      <c r="T1967">
        <f>IF($N1967="","",IF(Sync!$N1967="",0,Sync!$N1967))</f>
        <v/>
      </c>
      <c r="U1967">
        <f>IF($N1967="","",IF(Sync!$O1967="",0,Sync!$O1967))</f>
        <v/>
      </c>
      <c r="V1967">
        <f>IF($N1967="","",Sync!$L1967)</f>
        <v/>
      </c>
      <c r="W1967">
        <f>IF($N1967="","",Sync!$P1967)</f>
        <v/>
      </c>
    </row>
    <row r="1968">
      <c r="N1968">
        <f>IF(OR(Sync!$M1968="",$Q1968="",$Q1968="نامعتبر"),"",Sync!$M1968)</f>
        <v/>
      </c>
      <c r="O1968">
        <f>IF($N1968="","",$Q1968)</f>
        <v/>
      </c>
      <c r="P1968">
        <f>IF($N1968="","",LEFT($Q1968,4)&amp;MID($Q1968,6,2)&amp;RIGHT($Q1968,2)&amp;IF(Sync!$K1968="","0000",IF(AND(ISNUMBER(Sync!$K1968),Sync!$K1968&gt;=0,Sync!$K1968&lt;1),RIGHT("00"&amp;HOUR(Sync!$K1968),2)&amp;RIGHT("00"&amp;MINUTE(Sync!$K1968),2),IFERROR(RIGHT("00"&amp;VALUE(LEFT(Sync!$K1968,FIND(":",Sync!$K1968)-1)),2)&amp;RIGHT("00"&amp;VALUE(MID(Sync!$K1968,FIND(":",Sync!$K1968)+1,2)),2),"0000")))&amp;"|"&amp;"2"&amp;RIGHT("00000"&amp;1963,5))</f>
        <v/>
      </c>
      <c r="Q1968">
        <f>IF(Sync!$J1968="","",IF(ISNUMBER(Sync!$J1968),IF(AND(Sync!$J1968&gt;=10000101,Sync!$J1968&lt;=99991231),INT(Sync!$J1968/10000)&amp;"/"&amp;RIGHT("00"&amp;INT(MOD(Sync!$J1968,10000)/100),2)&amp;"/"&amp;RIGHT("00"&amp;MOD(Sync!$J1968,100),2),"نامعتبر"),IF(LEN(Sync!$J1968)=10,Sync!$J1968,"نامعتبر")))</f>
        <v/>
      </c>
      <c r="R1968">
        <f>IF($P1968="","",COUNTIFS($N$6:$N$2005,$N1968,$P$6:$P$2005,"&lt;"&amp;$P1968)+COUNTIFS($A$6:$A$1005,$N1968,$B$6:$B$1005,"&lt;"&amp;$P1968)+1)</f>
        <v/>
      </c>
      <c r="S1968">
        <f>IF($N1968="","",$N1968&amp;"|"&amp;RIGHT("000000"&amp;$R1968,6))</f>
        <v/>
      </c>
      <c r="T1968">
        <f>IF($N1968="","",IF(Sync!$N1968="",0,Sync!$N1968))</f>
        <v/>
      </c>
      <c r="U1968">
        <f>IF($N1968="","",IF(Sync!$O1968="",0,Sync!$O1968))</f>
        <v/>
      </c>
      <c r="V1968">
        <f>IF($N1968="","",Sync!$L1968)</f>
        <v/>
      </c>
      <c r="W1968">
        <f>IF($N1968="","",Sync!$P1968)</f>
        <v/>
      </c>
    </row>
    <row r="1969">
      <c r="N1969">
        <f>IF(OR(Sync!$M1969="",$Q1969="",$Q1969="نامعتبر"),"",Sync!$M1969)</f>
        <v/>
      </c>
      <c r="O1969">
        <f>IF($N1969="","",$Q1969)</f>
        <v/>
      </c>
      <c r="P1969">
        <f>IF($N1969="","",LEFT($Q1969,4)&amp;MID($Q1969,6,2)&amp;RIGHT($Q1969,2)&amp;IF(Sync!$K1969="","0000",IF(AND(ISNUMBER(Sync!$K1969),Sync!$K1969&gt;=0,Sync!$K1969&lt;1),RIGHT("00"&amp;HOUR(Sync!$K1969),2)&amp;RIGHT("00"&amp;MINUTE(Sync!$K1969),2),IFERROR(RIGHT("00"&amp;VALUE(LEFT(Sync!$K1969,FIND(":",Sync!$K1969)-1)),2)&amp;RIGHT("00"&amp;VALUE(MID(Sync!$K1969,FIND(":",Sync!$K1969)+1,2)),2),"0000")))&amp;"|"&amp;"2"&amp;RIGHT("00000"&amp;1964,5))</f>
        <v/>
      </c>
      <c r="Q1969">
        <f>IF(Sync!$J1969="","",IF(ISNUMBER(Sync!$J1969),IF(AND(Sync!$J1969&gt;=10000101,Sync!$J1969&lt;=99991231),INT(Sync!$J1969/10000)&amp;"/"&amp;RIGHT("00"&amp;INT(MOD(Sync!$J1969,10000)/100),2)&amp;"/"&amp;RIGHT("00"&amp;MOD(Sync!$J1969,100),2),"نامعتبر"),IF(LEN(Sync!$J1969)=10,Sync!$J1969,"نامعتبر")))</f>
        <v/>
      </c>
      <c r="R1969">
        <f>IF($P1969="","",COUNTIFS($N$6:$N$2005,$N1969,$P$6:$P$2005,"&lt;"&amp;$P1969)+COUNTIFS($A$6:$A$1005,$N1969,$B$6:$B$1005,"&lt;"&amp;$P1969)+1)</f>
        <v/>
      </c>
      <c r="S1969">
        <f>IF($N1969="","",$N1969&amp;"|"&amp;RIGHT("000000"&amp;$R1969,6))</f>
        <v/>
      </c>
      <c r="T1969">
        <f>IF($N1969="","",IF(Sync!$N1969="",0,Sync!$N1969))</f>
        <v/>
      </c>
      <c r="U1969">
        <f>IF($N1969="","",IF(Sync!$O1969="",0,Sync!$O1969))</f>
        <v/>
      </c>
      <c r="V1969">
        <f>IF($N1969="","",Sync!$L1969)</f>
        <v/>
      </c>
      <c r="W1969">
        <f>IF($N1969="","",Sync!$P1969)</f>
        <v/>
      </c>
    </row>
    <row r="1970">
      <c r="N1970">
        <f>IF(OR(Sync!$M1970="",$Q1970="",$Q1970="نامعتبر"),"",Sync!$M1970)</f>
        <v/>
      </c>
      <c r="O1970">
        <f>IF($N1970="","",$Q1970)</f>
        <v/>
      </c>
      <c r="P1970">
        <f>IF($N1970="","",LEFT($Q1970,4)&amp;MID($Q1970,6,2)&amp;RIGHT($Q1970,2)&amp;IF(Sync!$K1970="","0000",IF(AND(ISNUMBER(Sync!$K1970),Sync!$K1970&gt;=0,Sync!$K1970&lt;1),RIGHT("00"&amp;HOUR(Sync!$K1970),2)&amp;RIGHT("00"&amp;MINUTE(Sync!$K1970),2),IFERROR(RIGHT("00"&amp;VALUE(LEFT(Sync!$K1970,FIND(":",Sync!$K1970)-1)),2)&amp;RIGHT("00"&amp;VALUE(MID(Sync!$K1970,FIND(":",Sync!$K1970)+1,2)),2),"0000")))&amp;"|"&amp;"2"&amp;RIGHT("00000"&amp;1965,5))</f>
        <v/>
      </c>
      <c r="Q1970">
        <f>IF(Sync!$J1970="","",IF(ISNUMBER(Sync!$J1970),IF(AND(Sync!$J1970&gt;=10000101,Sync!$J1970&lt;=99991231),INT(Sync!$J1970/10000)&amp;"/"&amp;RIGHT("00"&amp;INT(MOD(Sync!$J1970,10000)/100),2)&amp;"/"&amp;RIGHT("00"&amp;MOD(Sync!$J1970,100),2),"نامعتبر"),IF(LEN(Sync!$J1970)=10,Sync!$J1970,"نامعتبر")))</f>
        <v/>
      </c>
      <c r="R1970">
        <f>IF($P1970="","",COUNTIFS($N$6:$N$2005,$N1970,$P$6:$P$2005,"&lt;"&amp;$P1970)+COUNTIFS($A$6:$A$1005,$N1970,$B$6:$B$1005,"&lt;"&amp;$P1970)+1)</f>
        <v/>
      </c>
      <c r="S1970">
        <f>IF($N1970="","",$N1970&amp;"|"&amp;RIGHT("000000"&amp;$R1970,6))</f>
        <v/>
      </c>
      <c r="T1970">
        <f>IF($N1970="","",IF(Sync!$N1970="",0,Sync!$N1970))</f>
        <v/>
      </c>
      <c r="U1970">
        <f>IF($N1970="","",IF(Sync!$O1970="",0,Sync!$O1970))</f>
        <v/>
      </c>
      <c r="V1970">
        <f>IF($N1970="","",Sync!$L1970)</f>
        <v/>
      </c>
      <c r="W1970">
        <f>IF($N1970="","",Sync!$P1970)</f>
        <v/>
      </c>
    </row>
    <row r="1971">
      <c r="N1971">
        <f>IF(OR(Sync!$M1971="",$Q1971="",$Q1971="نامعتبر"),"",Sync!$M1971)</f>
        <v/>
      </c>
      <c r="O1971">
        <f>IF($N1971="","",$Q1971)</f>
        <v/>
      </c>
      <c r="P1971">
        <f>IF($N1971="","",LEFT($Q1971,4)&amp;MID($Q1971,6,2)&amp;RIGHT($Q1971,2)&amp;IF(Sync!$K1971="","0000",IF(AND(ISNUMBER(Sync!$K1971),Sync!$K1971&gt;=0,Sync!$K1971&lt;1),RIGHT("00"&amp;HOUR(Sync!$K1971),2)&amp;RIGHT("00"&amp;MINUTE(Sync!$K1971),2),IFERROR(RIGHT("00"&amp;VALUE(LEFT(Sync!$K1971,FIND(":",Sync!$K1971)-1)),2)&amp;RIGHT("00"&amp;VALUE(MID(Sync!$K1971,FIND(":",Sync!$K1971)+1,2)),2),"0000")))&amp;"|"&amp;"2"&amp;RIGHT("00000"&amp;1966,5))</f>
        <v/>
      </c>
      <c r="Q1971">
        <f>IF(Sync!$J1971="","",IF(ISNUMBER(Sync!$J1971),IF(AND(Sync!$J1971&gt;=10000101,Sync!$J1971&lt;=99991231),INT(Sync!$J1971/10000)&amp;"/"&amp;RIGHT("00"&amp;INT(MOD(Sync!$J1971,10000)/100),2)&amp;"/"&amp;RIGHT("00"&amp;MOD(Sync!$J1971,100),2),"نامعتبر"),IF(LEN(Sync!$J1971)=10,Sync!$J1971,"نامعتبر")))</f>
        <v/>
      </c>
      <c r="R1971">
        <f>IF($P1971="","",COUNTIFS($N$6:$N$2005,$N1971,$P$6:$P$2005,"&lt;"&amp;$P1971)+COUNTIFS($A$6:$A$1005,$N1971,$B$6:$B$1005,"&lt;"&amp;$P1971)+1)</f>
        <v/>
      </c>
      <c r="S1971">
        <f>IF($N1971="","",$N1971&amp;"|"&amp;RIGHT("000000"&amp;$R1971,6))</f>
        <v/>
      </c>
      <c r="T1971">
        <f>IF($N1971="","",IF(Sync!$N1971="",0,Sync!$N1971))</f>
        <v/>
      </c>
      <c r="U1971">
        <f>IF($N1971="","",IF(Sync!$O1971="",0,Sync!$O1971))</f>
        <v/>
      </c>
      <c r="V1971">
        <f>IF($N1971="","",Sync!$L1971)</f>
        <v/>
      </c>
      <c r="W1971">
        <f>IF($N1971="","",Sync!$P1971)</f>
        <v/>
      </c>
    </row>
    <row r="1972">
      <c r="N1972">
        <f>IF(OR(Sync!$M1972="",$Q1972="",$Q1972="نامعتبر"),"",Sync!$M1972)</f>
        <v/>
      </c>
      <c r="O1972">
        <f>IF($N1972="","",$Q1972)</f>
        <v/>
      </c>
      <c r="P1972">
        <f>IF($N1972="","",LEFT($Q1972,4)&amp;MID($Q1972,6,2)&amp;RIGHT($Q1972,2)&amp;IF(Sync!$K1972="","0000",IF(AND(ISNUMBER(Sync!$K1972),Sync!$K1972&gt;=0,Sync!$K1972&lt;1),RIGHT("00"&amp;HOUR(Sync!$K1972),2)&amp;RIGHT("00"&amp;MINUTE(Sync!$K1972),2),IFERROR(RIGHT("00"&amp;VALUE(LEFT(Sync!$K1972,FIND(":",Sync!$K1972)-1)),2)&amp;RIGHT("00"&amp;VALUE(MID(Sync!$K1972,FIND(":",Sync!$K1972)+1,2)),2),"0000")))&amp;"|"&amp;"2"&amp;RIGHT("00000"&amp;1967,5))</f>
        <v/>
      </c>
      <c r="Q1972">
        <f>IF(Sync!$J1972="","",IF(ISNUMBER(Sync!$J1972),IF(AND(Sync!$J1972&gt;=10000101,Sync!$J1972&lt;=99991231),INT(Sync!$J1972/10000)&amp;"/"&amp;RIGHT("00"&amp;INT(MOD(Sync!$J1972,10000)/100),2)&amp;"/"&amp;RIGHT("00"&amp;MOD(Sync!$J1972,100),2),"نامعتبر"),IF(LEN(Sync!$J1972)=10,Sync!$J1972,"نامعتبر")))</f>
        <v/>
      </c>
      <c r="R1972">
        <f>IF($P1972="","",COUNTIFS($N$6:$N$2005,$N1972,$P$6:$P$2005,"&lt;"&amp;$P1972)+COUNTIFS($A$6:$A$1005,$N1972,$B$6:$B$1005,"&lt;"&amp;$P1972)+1)</f>
        <v/>
      </c>
      <c r="S1972">
        <f>IF($N1972="","",$N1972&amp;"|"&amp;RIGHT("000000"&amp;$R1972,6))</f>
        <v/>
      </c>
      <c r="T1972">
        <f>IF($N1972="","",IF(Sync!$N1972="",0,Sync!$N1972))</f>
        <v/>
      </c>
      <c r="U1972">
        <f>IF($N1972="","",IF(Sync!$O1972="",0,Sync!$O1972))</f>
        <v/>
      </c>
      <c r="V1972">
        <f>IF($N1972="","",Sync!$L1972)</f>
        <v/>
      </c>
      <c r="W1972">
        <f>IF($N1972="","",Sync!$P1972)</f>
        <v/>
      </c>
    </row>
    <row r="1973">
      <c r="N1973">
        <f>IF(OR(Sync!$M1973="",$Q1973="",$Q1973="نامعتبر"),"",Sync!$M1973)</f>
        <v/>
      </c>
      <c r="O1973">
        <f>IF($N1973="","",$Q1973)</f>
        <v/>
      </c>
      <c r="P1973">
        <f>IF($N1973="","",LEFT($Q1973,4)&amp;MID($Q1973,6,2)&amp;RIGHT($Q1973,2)&amp;IF(Sync!$K1973="","0000",IF(AND(ISNUMBER(Sync!$K1973),Sync!$K1973&gt;=0,Sync!$K1973&lt;1),RIGHT("00"&amp;HOUR(Sync!$K1973),2)&amp;RIGHT("00"&amp;MINUTE(Sync!$K1973),2),IFERROR(RIGHT("00"&amp;VALUE(LEFT(Sync!$K1973,FIND(":",Sync!$K1973)-1)),2)&amp;RIGHT("00"&amp;VALUE(MID(Sync!$K1973,FIND(":",Sync!$K1973)+1,2)),2),"0000")))&amp;"|"&amp;"2"&amp;RIGHT("00000"&amp;1968,5))</f>
        <v/>
      </c>
      <c r="Q1973">
        <f>IF(Sync!$J1973="","",IF(ISNUMBER(Sync!$J1973),IF(AND(Sync!$J1973&gt;=10000101,Sync!$J1973&lt;=99991231),INT(Sync!$J1973/10000)&amp;"/"&amp;RIGHT("00"&amp;INT(MOD(Sync!$J1973,10000)/100),2)&amp;"/"&amp;RIGHT("00"&amp;MOD(Sync!$J1973,100),2),"نامعتبر"),IF(LEN(Sync!$J1973)=10,Sync!$J1973,"نامعتبر")))</f>
        <v/>
      </c>
      <c r="R1973">
        <f>IF($P1973="","",COUNTIFS($N$6:$N$2005,$N1973,$P$6:$P$2005,"&lt;"&amp;$P1973)+COUNTIFS($A$6:$A$1005,$N1973,$B$6:$B$1005,"&lt;"&amp;$P1973)+1)</f>
        <v/>
      </c>
      <c r="S1973">
        <f>IF($N1973="","",$N1973&amp;"|"&amp;RIGHT("000000"&amp;$R1973,6))</f>
        <v/>
      </c>
      <c r="T1973">
        <f>IF($N1973="","",IF(Sync!$N1973="",0,Sync!$N1973))</f>
        <v/>
      </c>
      <c r="U1973">
        <f>IF($N1973="","",IF(Sync!$O1973="",0,Sync!$O1973))</f>
        <v/>
      </c>
      <c r="V1973">
        <f>IF($N1973="","",Sync!$L1973)</f>
        <v/>
      </c>
      <c r="W1973">
        <f>IF($N1973="","",Sync!$P1973)</f>
        <v/>
      </c>
    </row>
    <row r="1974">
      <c r="N1974">
        <f>IF(OR(Sync!$M1974="",$Q1974="",$Q1974="نامعتبر"),"",Sync!$M1974)</f>
        <v/>
      </c>
      <c r="O1974">
        <f>IF($N1974="","",$Q1974)</f>
        <v/>
      </c>
      <c r="P1974">
        <f>IF($N1974="","",LEFT($Q1974,4)&amp;MID($Q1974,6,2)&amp;RIGHT($Q1974,2)&amp;IF(Sync!$K1974="","0000",IF(AND(ISNUMBER(Sync!$K1974),Sync!$K1974&gt;=0,Sync!$K1974&lt;1),RIGHT("00"&amp;HOUR(Sync!$K1974),2)&amp;RIGHT("00"&amp;MINUTE(Sync!$K1974),2),IFERROR(RIGHT("00"&amp;VALUE(LEFT(Sync!$K1974,FIND(":",Sync!$K1974)-1)),2)&amp;RIGHT("00"&amp;VALUE(MID(Sync!$K1974,FIND(":",Sync!$K1974)+1,2)),2),"0000")))&amp;"|"&amp;"2"&amp;RIGHT("00000"&amp;1969,5))</f>
        <v/>
      </c>
      <c r="Q1974">
        <f>IF(Sync!$J1974="","",IF(ISNUMBER(Sync!$J1974),IF(AND(Sync!$J1974&gt;=10000101,Sync!$J1974&lt;=99991231),INT(Sync!$J1974/10000)&amp;"/"&amp;RIGHT("00"&amp;INT(MOD(Sync!$J1974,10000)/100),2)&amp;"/"&amp;RIGHT("00"&amp;MOD(Sync!$J1974,100),2),"نامعتبر"),IF(LEN(Sync!$J1974)=10,Sync!$J1974,"نامعتبر")))</f>
        <v/>
      </c>
      <c r="R1974">
        <f>IF($P1974="","",COUNTIFS($N$6:$N$2005,$N1974,$P$6:$P$2005,"&lt;"&amp;$P1974)+COUNTIFS($A$6:$A$1005,$N1974,$B$6:$B$1005,"&lt;"&amp;$P1974)+1)</f>
        <v/>
      </c>
      <c r="S1974">
        <f>IF($N1974="","",$N1974&amp;"|"&amp;RIGHT("000000"&amp;$R1974,6))</f>
        <v/>
      </c>
      <c r="T1974">
        <f>IF($N1974="","",IF(Sync!$N1974="",0,Sync!$N1974))</f>
        <v/>
      </c>
      <c r="U1974">
        <f>IF($N1974="","",IF(Sync!$O1974="",0,Sync!$O1974))</f>
        <v/>
      </c>
      <c r="V1974">
        <f>IF($N1974="","",Sync!$L1974)</f>
        <v/>
      </c>
      <c r="W1974">
        <f>IF($N1974="","",Sync!$P1974)</f>
        <v/>
      </c>
    </row>
    <row r="1975">
      <c r="N1975">
        <f>IF(OR(Sync!$M1975="",$Q1975="",$Q1975="نامعتبر"),"",Sync!$M1975)</f>
        <v/>
      </c>
      <c r="O1975">
        <f>IF($N1975="","",$Q1975)</f>
        <v/>
      </c>
      <c r="P1975">
        <f>IF($N1975="","",LEFT($Q1975,4)&amp;MID($Q1975,6,2)&amp;RIGHT($Q1975,2)&amp;IF(Sync!$K1975="","0000",IF(AND(ISNUMBER(Sync!$K1975),Sync!$K1975&gt;=0,Sync!$K1975&lt;1),RIGHT("00"&amp;HOUR(Sync!$K1975),2)&amp;RIGHT("00"&amp;MINUTE(Sync!$K1975),2),IFERROR(RIGHT("00"&amp;VALUE(LEFT(Sync!$K1975,FIND(":",Sync!$K1975)-1)),2)&amp;RIGHT("00"&amp;VALUE(MID(Sync!$K1975,FIND(":",Sync!$K1975)+1,2)),2),"0000")))&amp;"|"&amp;"2"&amp;RIGHT("00000"&amp;1970,5))</f>
        <v/>
      </c>
      <c r="Q1975">
        <f>IF(Sync!$J1975="","",IF(ISNUMBER(Sync!$J1975),IF(AND(Sync!$J1975&gt;=10000101,Sync!$J1975&lt;=99991231),INT(Sync!$J1975/10000)&amp;"/"&amp;RIGHT("00"&amp;INT(MOD(Sync!$J1975,10000)/100),2)&amp;"/"&amp;RIGHT("00"&amp;MOD(Sync!$J1975,100),2),"نامعتبر"),IF(LEN(Sync!$J1975)=10,Sync!$J1975,"نامعتبر")))</f>
        <v/>
      </c>
      <c r="R1975">
        <f>IF($P1975="","",COUNTIFS($N$6:$N$2005,$N1975,$P$6:$P$2005,"&lt;"&amp;$P1975)+COUNTIFS($A$6:$A$1005,$N1975,$B$6:$B$1005,"&lt;"&amp;$P1975)+1)</f>
        <v/>
      </c>
      <c r="S1975">
        <f>IF($N1975="","",$N1975&amp;"|"&amp;RIGHT("000000"&amp;$R1975,6))</f>
        <v/>
      </c>
      <c r="T1975">
        <f>IF($N1975="","",IF(Sync!$N1975="",0,Sync!$N1975))</f>
        <v/>
      </c>
      <c r="U1975">
        <f>IF($N1975="","",IF(Sync!$O1975="",0,Sync!$O1975))</f>
        <v/>
      </c>
      <c r="V1975">
        <f>IF($N1975="","",Sync!$L1975)</f>
        <v/>
      </c>
      <c r="W1975">
        <f>IF($N1975="","",Sync!$P1975)</f>
        <v/>
      </c>
    </row>
    <row r="1976">
      <c r="N1976">
        <f>IF(OR(Sync!$M1976="",$Q1976="",$Q1976="نامعتبر"),"",Sync!$M1976)</f>
        <v/>
      </c>
      <c r="O1976">
        <f>IF($N1976="","",$Q1976)</f>
        <v/>
      </c>
      <c r="P1976">
        <f>IF($N1976="","",LEFT($Q1976,4)&amp;MID($Q1976,6,2)&amp;RIGHT($Q1976,2)&amp;IF(Sync!$K1976="","0000",IF(AND(ISNUMBER(Sync!$K1976),Sync!$K1976&gt;=0,Sync!$K1976&lt;1),RIGHT("00"&amp;HOUR(Sync!$K1976),2)&amp;RIGHT("00"&amp;MINUTE(Sync!$K1976),2),IFERROR(RIGHT("00"&amp;VALUE(LEFT(Sync!$K1976,FIND(":",Sync!$K1976)-1)),2)&amp;RIGHT("00"&amp;VALUE(MID(Sync!$K1976,FIND(":",Sync!$K1976)+1,2)),2),"0000")))&amp;"|"&amp;"2"&amp;RIGHT("00000"&amp;1971,5))</f>
        <v/>
      </c>
      <c r="Q1976">
        <f>IF(Sync!$J1976="","",IF(ISNUMBER(Sync!$J1976),IF(AND(Sync!$J1976&gt;=10000101,Sync!$J1976&lt;=99991231),INT(Sync!$J1976/10000)&amp;"/"&amp;RIGHT("00"&amp;INT(MOD(Sync!$J1976,10000)/100),2)&amp;"/"&amp;RIGHT("00"&amp;MOD(Sync!$J1976,100),2),"نامعتبر"),IF(LEN(Sync!$J1976)=10,Sync!$J1976,"نامعتبر")))</f>
        <v/>
      </c>
      <c r="R1976">
        <f>IF($P1976="","",COUNTIFS($N$6:$N$2005,$N1976,$P$6:$P$2005,"&lt;"&amp;$P1976)+COUNTIFS($A$6:$A$1005,$N1976,$B$6:$B$1005,"&lt;"&amp;$P1976)+1)</f>
        <v/>
      </c>
      <c r="S1976">
        <f>IF($N1976="","",$N1976&amp;"|"&amp;RIGHT("000000"&amp;$R1976,6))</f>
        <v/>
      </c>
      <c r="T1976">
        <f>IF($N1976="","",IF(Sync!$N1976="",0,Sync!$N1976))</f>
        <v/>
      </c>
      <c r="U1976">
        <f>IF($N1976="","",IF(Sync!$O1976="",0,Sync!$O1976))</f>
        <v/>
      </c>
      <c r="V1976">
        <f>IF($N1976="","",Sync!$L1976)</f>
        <v/>
      </c>
      <c r="W1976">
        <f>IF($N1976="","",Sync!$P1976)</f>
        <v/>
      </c>
    </row>
    <row r="1977">
      <c r="N1977">
        <f>IF(OR(Sync!$M1977="",$Q1977="",$Q1977="نامعتبر"),"",Sync!$M1977)</f>
        <v/>
      </c>
      <c r="O1977">
        <f>IF($N1977="","",$Q1977)</f>
        <v/>
      </c>
      <c r="P1977">
        <f>IF($N1977="","",LEFT($Q1977,4)&amp;MID($Q1977,6,2)&amp;RIGHT($Q1977,2)&amp;IF(Sync!$K1977="","0000",IF(AND(ISNUMBER(Sync!$K1977),Sync!$K1977&gt;=0,Sync!$K1977&lt;1),RIGHT("00"&amp;HOUR(Sync!$K1977),2)&amp;RIGHT("00"&amp;MINUTE(Sync!$K1977),2),IFERROR(RIGHT("00"&amp;VALUE(LEFT(Sync!$K1977,FIND(":",Sync!$K1977)-1)),2)&amp;RIGHT("00"&amp;VALUE(MID(Sync!$K1977,FIND(":",Sync!$K1977)+1,2)),2),"0000")))&amp;"|"&amp;"2"&amp;RIGHT("00000"&amp;1972,5))</f>
        <v/>
      </c>
      <c r="Q1977">
        <f>IF(Sync!$J1977="","",IF(ISNUMBER(Sync!$J1977),IF(AND(Sync!$J1977&gt;=10000101,Sync!$J1977&lt;=99991231),INT(Sync!$J1977/10000)&amp;"/"&amp;RIGHT("00"&amp;INT(MOD(Sync!$J1977,10000)/100),2)&amp;"/"&amp;RIGHT("00"&amp;MOD(Sync!$J1977,100),2),"نامعتبر"),IF(LEN(Sync!$J1977)=10,Sync!$J1977,"نامعتبر")))</f>
        <v/>
      </c>
      <c r="R1977">
        <f>IF($P1977="","",COUNTIFS($N$6:$N$2005,$N1977,$P$6:$P$2005,"&lt;"&amp;$P1977)+COUNTIFS($A$6:$A$1005,$N1977,$B$6:$B$1005,"&lt;"&amp;$P1977)+1)</f>
        <v/>
      </c>
      <c r="S1977">
        <f>IF($N1977="","",$N1977&amp;"|"&amp;RIGHT("000000"&amp;$R1977,6))</f>
        <v/>
      </c>
      <c r="T1977">
        <f>IF($N1977="","",IF(Sync!$N1977="",0,Sync!$N1977))</f>
        <v/>
      </c>
      <c r="U1977">
        <f>IF($N1977="","",IF(Sync!$O1977="",0,Sync!$O1977))</f>
        <v/>
      </c>
      <c r="V1977">
        <f>IF($N1977="","",Sync!$L1977)</f>
        <v/>
      </c>
      <c r="W1977">
        <f>IF($N1977="","",Sync!$P1977)</f>
        <v/>
      </c>
    </row>
    <row r="1978">
      <c r="N1978">
        <f>IF(OR(Sync!$M1978="",$Q1978="",$Q1978="نامعتبر"),"",Sync!$M1978)</f>
        <v/>
      </c>
      <c r="O1978">
        <f>IF($N1978="","",$Q1978)</f>
        <v/>
      </c>
      <c r="P1978">
        <f>IF($N1978="","",LEFT($Q1978,4)&amp;MID($Q1978,6,2)&amp;RIGHT($Q1978,2)&amp;IF(Sync!$K1978="","0000",IF(AND(ISNUMBER(Sync!$K1978),Sync!$K1978&gt;=0,Sync!$K1978&lt;1),RIGHT("00"&amp;HOUR(Sync!$K1978),2)&amp;RIGHT("00"&amp;MINUTE(Sync!$K1978),2),IFERROR(RIGHT("00"&amp;VALUE(LEFT(Sync!$K1978,FIND(":",Sync!$K1978)-1)),2)&amp;RIGHT("00"&amp;VALUE(MID(Sync!$K1978,FIND(":",Sync!$K1978)+1,2)),2),"0000")))&amp;"|"&amp;"2"&amp;RIGHT("00000"&amp;1973,5))</f>
        <v/>
      </c>
      <c r="Q1978">
        <f>IF(Sync!$J1978="","",IF(ISNUMBER(Sync!$J1978),IF(AND(Sync!$J1978&gt;=10000101,Sync!$J1978&lt;=99991231),INT(Sync!$J1978/10000)&amp;"/"&amp;RIGHT("00"&amp;INT(MOD(Sync!$J1978,10000)/100),2)&amp;"/"&amp;RIGHT("00"&amp;MOD(Sync!$J1978,100),2),"نامعتبر"),IF(LEN(Sync!$J1978)=10,Sync!$J1978,"نامعتبر")))</f>
        <v/>
      </c>
      <c r="R1978">
        <f>IF($P1978="","",COUNTIFS($N$6:$N$2005,$N1978,$P$6:$P$2005,"&lt;"&amp;$P1978)+COUNTIFS($A$6:$A$1005,$N1978,$B$6:$B$1005,"&lt;"&amp;$P1978)+1)</f>
        <v/>
      </c>
      <c r="S1978">
        <f>IF($N1978="","",$N1978&amp;"|"&amp;RIGHT("000000"&amp;$R1978,6))</f>
        <v/>
      </c>
      <c r="T1978">
        <f>IF($N1978="","",IF(Sync!$N1978="",0,Sync!$N1978))</f>
        <v/>
      </c>
      <c r="U1978">
        <f>IF($N1978="","",IF(Sync!$O1978="",0,Sync!$O1978))</f>
        <v/>
      </c>
      <c r="V1978">
        <f>IF($N1978="","",Sync!$L1978)</f>
        <v/>
      </c>
      <c r="W1978">
        <f>IF($N1978="","",Sync!$P1978)</f>
        <v/>
      </c>
    </row>
    <row r="1979">
      <c r="N1979">
        <f>IF(OR(Sync!$M1979="",$Q1979="",$Q1979="نامعتبر"),"",Sync!$M1979)</f>
        <v/>
      </c>
      <c r="O1979">
        <f>IF($N1979="","",$Q1979)</f>
        <v/>
      </c>
      <c r="P1979">
        <f>IF($N1979="","",LEFT($Q1979,4)&amp;MID($Q1979,6,2)&amp;RIGHT($Q1979,2)&amp;IF(Sync!$K1979="","0000",IF(AND(ISNUMBER(Sync!$K1979),Sync!$K1979&gt;=0,Sync!$K1979&lt;1),RIGHT("00"&amp;HOUR(Sync!$K1979),2)&amp;RIGHT("00"&amp;MINUTE(Sync!$K1979),2),IFERROR(RIGHT("00"&amp;VALUE(LEFT(Sync!$K1979,FIND(":",Sync!$K1979)-1)),2)&amp;RIGHT("00"&amp;VALUE(MID(Sync!$K1979,FIND(":",Sync!$K1979)+1,2)),2),"0000")))&amp;"|"&amp;"2"&amp;RIGHT("00000"&amp;1974,5))</f>
        <v/>
      </c>
      <c r="Q1979">
        <f>IF(Sync!$J1979="","",IF(ISNUMBER(Sync!$J1979),IF(AND(Sync!$J1979&gt;=10000101,Sync!$J1979&lt;=99991231),INT(Sync!$J1979/10000)&amp;"/"&amp;RIGHT("00"&amp;INT(MOD(Sync!$J1979,10000)/100),2)&amp;"/"&amp;RIGHT("00"&amp;MOD(Sync!$J1979,100),2),"نامعتبر"),IF(LEN(Sync!$J1979)=10,Sync!$J1979,"نامعتبر")))</f>
        <v/>
      </c>
      <c r="R1979">
        <f>IF($P1979="","",COUNTIFS($N$6:$N$2005,$N1979,$P$6:$P$2005,"&lt;"&amp;$P1979)+COUNTIFS($A$6:$A$1005,$N1979,$B$6:$B$1005,"&lt;"&amp;$P1979)+1)</f>
        <v/>
      </c>
      <c r="S1979">
        <f>IF($N1979="","",$N1979&amp;"|"&amp;RIGHT("000000"&amp;$R1979,6))</f>
        <v/>
      </c>
      <c r="T1979">
        <f>IF($N1979="","",IF(Sync!$N1979="",0,Sync!$N1979))</f>
        <v/>
      </c>
      <c r="U1979">
        <f>IF($N1979="","",IF(Sync!$O1979="",0,Sync!$O1979))</f>
        <v/>
      </c>
      <c r="V1979">
        <f>IF($N1979="","",Sync!$L1979)</f>
        <v/>
      </c>
      <c r="W1979">
        <f>IF($N1979="","",Sync!$P1979)</f>
        <v/>
      </c>
    </row>
    <row r="1980">
      <c r="N1980">
        <f>IF(OR(Sync!$M1980="",$Q1980="",$Q1980="نامعتبر"),"",Sync!$M1980)</f>
        <v/>
      </c>
      <c r="O1980">
        <f>IF($N1980="","",$Q1980)</f>
        <v/>
      </c>
      <c r="P1980">
        <f>IF($N1980="","",LEFT($Q1980,4)&amp;MID($Q1980,6,2)&amp;RIGHT($Q1980,2)&amp;IF(Sync!$K1980="","0000",IF(AND(ISNUMBER(Sync!$K1980),Sync!$K1980&gt;=0,Sync!$K1980&lt;1),RIGHT("00"&amp;HOUR(Sync!$K1980),2)&amp;RIGHT("00"&amp;MINUTE(Sync!$K1980),2),IFERROR(RIGHT("00"&amp;VALUE(LEFT(Sync!$K1980,FIND(":",Sync!$K1980)-1)),2)&amp;RIGHT("00"&amp;VALUE(MID(Sync!$K1980,FIND(":",Sync!$K1980)+1,2)),2),"0000")))&amp;"|"&amp;"2"&amp;RIGHT("00000"&amp;1975,5))</f>
        <v/>
      </c>
      <c r="Q1980">
        <f>IF(Sync!$J1980="","",IF(ISNUMBER(Sync!$J1980),IF(AND(Sync!$J1980&gt;=10000101,Sync!$J1980&lt;=99991231),INT(Sync!$J1980/10000)&amp;"/"&amp;RIGHT("00"&amp;INT(MOD(Sync!$J1980,10000)/100),2)&amp;"/"&amp;RIGHT("00"&amp;MOD(Sync!$J1980,100),2),"نامعتبر"),IF(LEN(Sync!$J1980)=10,Sync!$J1980,"نامعتبر")))</f>
        <v/>
      </c>
      <c r="R1980">
        <f>IF($P1980="","",COUNTIFS($N$6:$N$2005,$N1980,$P$6:$P$2005,"&lt;"&amp;$P1980)+COUNTIFS($A$6:$A$1005,$N1980,$B$6:$B$1005,"&lt;"&amp;$P1980)+1)</f>
        <v/>
      </c>
      <c r="S1980">
        <f>IF($N1980="","",$N1980&amp;"|"&amp;RIGHT("000000"&amp;$R1980,6))</f>
        <v/>
      </c>
      <c r="T1980">
        <f>IF($N1980="","",IF(Sync!$N1980="",0,Sync!$N1980))</f>
        <v/>
      </c>
      <c r="U1980">
        <f>IF($N1980="","",IF(Sync!$O1980="",0,Sync!$O1980))</f>
        <v/>
      </c>
      <c r="V1980">
        <f>IF($N1980="","",Sync!$L1980)</f>
        <v/>
      </c>
      <c r="W1980">
        <f>IF($N1980="","",Sync!$P1980)</f>
        <v/>
      </c>
    </row>
    <row r="1981">
      <c r="N1981">
        <f>IF(OR(Sync!$M1981="",$Q1981="",$Q1981="نامعتبر"),"",Sync!$M1981)</f>
        <v/>
      </c>
      <c r="O1981">
        <f>IF($N1981="","",$Q1981)</f>
        <v/>
      </c>
      <c r="P1981">
        <f>IF($N1981="","",LEFT($Q1981,4)&amp;MID($Q1981,6,2)&amp;RIGHT($Q1981,2)&amp;IF(Sync!$K1981="","0000",IF(AND(ISNUMBER(Sync!$K1981),Sync!$K1981&gt;=0,Sync!$K1981&lt;1),RIGHT("00"&amp;HOUR(Sync!$K1981),2)&amp;RIGHT("00"&amp;MINUTE(Sync!$K1981),2),IFERROR(RIGHT("00"&amp;VALUE(LEFT(Sync!$K1981,FIND(":",Sync!$K1981)-1)),2)&amp;RIGHT("00"&amp;VALUE(MID(Sync!$K1981,FIND(":",Sync!$K1981)+1,2)),2),"0000")))&amp;"|"&amp;"2"&amp;RIGHT("00000"&amp;1976,5))</f>
        <v/>
      </c>
      <c r="Q1981">
        <f>IF(Sync!$J1981="","",IF(ISNUMBER(Sync!$J1981),IF(AND(Sync!$J1981&gt;=10000101,Sync!$J1981&lt;=99991231),INT(Sync!$J1981/10000)&amp;"/"&amp;RIGHT("00"&amp;INT(MOD(Sync!$J1981,10000)/100),2)&amp;"/"&amp;RIGHT("00"&amp;MOD(Sync!$J1981,100),2),"نامعتبر"),IF(LEN(Sync!$J1981)=10,Sync!$J1981,"نامعتبر")))</f>
        <v/>
      </c>
      <c r="R1981">
        <f>IF($P1981="","",COUNTIFS($N$6:$N$2005,$N1981,$P$6:$P$2005,"&lt;"&amp;$P1981)+COUNTIFS($A$6:$A$1005,$N1981,$B$6:$B$1005,"&lt;"&amp;$P1981)+1)</f>
        <v/>
      </c>
      <c r="S1981">
        <f>IF($N1981="","",$N1981&amp;"|"&amp;RIGHT("000000"&amp;$R1981,6))</f>
        <v/>
      </c>
      <c r="T1981">
        <f>IF($N1981="","",IF(Sync!$N1981="",0,Sync!$N1981))</f>
        <v/>
      </c>
      <c r="U1981">
        <f>IF($N1981="","",IF(Sync!$O1981="",0,Sync!$O1981))</f>
        <v/>
      </c>
      <c r="V1981">
        <f>IF($N1981="","",Sync!$L1981)</f>
        <v/>
      </c>
      <c r="W1981">
        <f>IF($N1981="","",Sync!$P1981)</f>
        <v/>
      </c>
    </row>
    <row r="1982">
      <c r="N1982">
        <f>IF(OR(Sync!$M1982="",$Q1982="",$Q1982="نامعتبر"),"",Sync!$M1982)</f>
        <v/>
      </c>
      <c r="O1982">
        <f>IF($N1982="","",$Q1982)</f>
        <v/>
      </c>
      <c r="P1982">
        <f>IF($N1982="","",LEFT($Q1982,4)&amp;MID($Q1982,6,2)&amp;RIGHT($Q1982,2)&amp;IF(Sync!$K1982="","0000",IF(AND(ISNUMBER(Sync!$K1982),Sync!$K1982&gt;=0,Sync!$K1982&lt;1),RIGHT("00"&amp;HOUR(Sync!$K1982),2)&amp;RIGHT("00"&amp;MINUTE(Sync!$K1982),2),IFERROR(RIGHT("00"&amp;VALUE(LEFT(Sync!$K1982,FIND(":",Sync!$K1982)-1)),2)&amp;RIGHT("00"&amp;VALUE(MID(Sync!$K1982,FIND(":",Sync!$K1982)+1,2)),2),"0000")))&amp;"|"&amp;"2"&amp;RIGHT("00000"&amp;1977,5))</f>
        <v/>
      </c>
      <c r="Q1982">
        <f>IF(Sync!$J1982="","",IF(ISNUMBER(Sync!$J1982),IF(AND(Sync!$J1982&gt;=10000101,Sync!$J1982&lt;=99991231),INT(Sync!$J1982/10000)&amp;"/"&amp;RIGHT("00"&amp;INT(MOD(Sync!$J1982,10000)/100),2)&amp;"/"&amp;RIGHT("00"&amp;MOD(Sync!$J1982,100),2),"نامعتبر"),IF(LEN(Sync!$J1982)=10,Sync!$J1982,"نامعتبر")))</f>
        <v/>
      </c>
      <c r="R1982">
        <f>IF($P1982="","",COUNTIFS($N$6:$N$2005,$N1982,$P$6:$P$2005,"&lt;"&amp;$P1982)+COUNTIFS($A$6:$A$1005,$N1982,$B$6:$B$1005,"&lt;"&amp;$P1982)+1)</f>
        <v/>
      </c>
      <c r="S1982">
        <f>IF($N1982="","",$N1982&amp;"|"&amp;RIGHT("000000"&amp;$R1982,6))</f>
        <v/>
      </c>
      <c r="T1982">
        <f>IF($N1982="","",IF(Sync!$N1982="",0,Sync!$N1982))</f>
        <v/>
      </c>
      <c r="U1982">
        <f>IF($N1982="","",IF(Sync!$O1982="",0,Sync!$O1982))</f>
        <v/>
      </c>
      <c r="V1982">
        <f>IF($N1982="","",Sync!$L1982)</f>
        <v/>
      </c>
      <c r="W1982">
        <f>IF($N1982="","",Sync!$P1982)</f>
        <v/>
      </c>
    </row>
    <row r="1983">
      <c r="N1983">
        <f>IF(OR(Sync!$M1983="",$Q1983="",$Q1983="نامعتبر"),"",Sync!$M1983)</f>
        <v/>
      </c>
      <c r="O1983">
        <f>IF($N1983="","",$Q1983)</f>
        <v/>
      </c>
      <c r="P1983">
        <f>IF($N1983="","",LEFT($Q1983,4)&amp;MID($Q1983,6,2)&amp;RIGHT($Q1983,2)&amp;IF(Sync!$K1983="","0000",IF(AND(ISNUMBER(Sync!$K1983),Sync!$K1983&gt;=0,Sync!$K1983&lt;1),RIGHT("00"&amp;HOUR(Sync!$K1983),2)&amp;RIGHT("00"&amp;MINUTE(Sync!$K1983),2),IFERROR(RIGHT("00"&amp;VALUE(LEFT(Sync!$K1983,FIND(":",Sync!$K1983)-1)),2)&amp;RIGHT("00"&amp;VALUE(MID(Sync!$K1983,FIND(":",Sync!$K1983)+1,2)),2),"0000")))&amp;"|"&amp;"2"&amp;RIGHT("00000"&amp;1978,5))</f>
        <v/>
      </c>
      <c r="Q1983">
        <f>IF(Sync!$J1983="","",IF(ISNUMBER(Sync!$J1983),IF(AND(Sync!$J1983&gt;=10000101,Sync!$J1983&lt;=99991231),INT(Sync!$J1983/10000)&amp;"/"&amp;RIGHT("00"&amp;INT(MOD(Sync!$J1983,10000)/100),2)&amp;"/"&amp;RIGHT("00"&amp;MOD(Sync!$J1983,100),2),"نامعتبر"),IF(LEN(Sync!$J1983)=10,Sync!$J1983,"نامعتبر")))</f>
        <v/>
      </c>
      <c r="R1983">
        <f>IF($P1983="","",COUNTIFS($N$6:$N$2005,$N1983,$P$6:$P$2005,"&lt;"&amp;$P1983)+COUNTIFS($A$6:$A$1005,$N1983,$B$6:$B$1005,"&lt;"&amp;$P1983)+1)</f>
        <v/>
      </c>
      <c r="S1983">
        <f>IF($N1983="","",$N1983&amp;"|"&amp;RIGHT("000000"&amp;$R1983,6))</f>
        <v/>
      </c>
      <c r="T1983">
        <f>IF($N1983="","",IF(Sync!$N1983="",0,Sync!$N1983))</f>
        <v/>
      </c>
      <c r="U1983">
        <f>IF($N1983="","",IF(Sync!$O1983="",0,Sync!$O1983))</f>
        <v/>
      </c>
      <c r="V1983">
        <f>IF($N1983="","",Sync!$L1983)</f>
        <v/>
      </c>
      <c r="W1983">
        <f>IF($N1983="","",Sync!$P1983)</f>
        <v/>
      </c>
    </row>
    <row r="1984">
      <c r="N1984">
        <f>IF(OR(Sync!$M1984="",$Q1984="",$Q1984="نامعتبر"),"",Sync!$M1984)</f>
        <v/>
      </c>
      <c r="O1984">
        <f>IF($N1984="","",$Q1984)</f>
        <v/>
      </c>
      <c r="P1984">
        <f>IF($N1984="","",LEFT($Q1984,4)&amp;MID($Q1984,6,2)&amp;RIGHT($Q1984,2)&amp;IF(Sync!$K1984="","0000",IF(AND(ISNUMBER(Sync!$K1984),Sync!$K1984&gt;=0,Sync!$K1984&lt;1),RIGHT("00"&amp;HOUR(Sync!$K1984),2)&amp;RIGHT("00"&amp;MINUTE(Sync!$K1984),2),IFERROR(RIGHT("00"&amp;VALUE(LEFT(Sync!$K1984,FIND(":",Sync!$K1984)-1)),2)&amp;RIGHT("00"&amp;VALUE(MID(Sync!$K1984,FIND(":",Sync!$K1984)+1,2)),2),"0000")))&amp;"|"&amp;"2"&amp;RIGHT("00000"&amp;1979,5))</f>
        <v/>
      </c>
      <c r="Q1984">
        <f>IF(Sync!$J1984="","",IF(ISNUMBER(Sync!$J1984),IF(AND(Sync!$J1984&gt;=10000101,Sync!$J1984&lt;=99991231),INT(Sync!$J1984/10000)&amp;"/"&amp;RIGHT("00"&amp;INT(MOD(Sync!$J1984,10000)/100),2)&amp;"/"&amp;RIGHT("00"&amp;MOD(Sync!$J1984,100),2),"نامعتبر"),IF(LEN(Sync!$J1984)=10,Sync!$J1984,"نامعتبر")))</f>
        <v/>
      </c>
      <c r="R1984">
        <f>IF($P1984="","",COUNTIFS($N$6:$N$2005,$N1984,$P$6:$P$2005,"&lt;"&amp;$P1984)+COUNTIFS($A$6:$A$1005,$N1984,$B$6:$B$1005,"&lt;"&amp;$P1984)+1)</f>
        <v/>
      </c>
      <c r="S1984">
        <f>IF($N1984="","",$N1984&amp;"|"&amp;RIGHT("000000"&amp;$R1984,6))</f>
        <v/>
      </c>
      <c r="T1984">
        <f>IF($N1984="","",IF(Sync!$N1984="",0,Sync!$N1984))</f>
        <v/>
      </c>
      <c r="U1984">
        <f>IF($N1984="","",IF(Sync!$O1984="",0,Sync!$O1984))</f>
        <v/>
      </c>
      <c r="V1984">
        <f>IF($N1984="","",Sync!$L1984)</f>
        <v/>
      </c>
      <c r="W1984">
        <f>IF($N1984="","",Sync!$P1984)</f>
        <v/>
      </c>
    </row>
    <row r="1985">
      <c r="N1985">
        <f>IF(OR(Sync!$M1985="",$Q1985="",$Q1985="نامعتبر"),"",Sync!$M1985)</f>
        <v/>
      </c>
      <c r="O1985">
        <f>IF($N1985="","",$Q1985)</f>
        <v/>
      </c>
      <c r="P1985">
        <f>IF($N1985="","",LEFT($Q1985,4)&amp;MID($Q1985,6,2)&amp;RIGHT($Q1985,2)&amp;IF(Sync!$K1985="","0000",IF(AND(ISNUMBER(Sync!$K1985),Sync!$K1985&gt;=0,Sync!$K1985&lt;1),RIGHT("00"&amp;HOUR(Sync!$K1985),2)&amp;RIGHT("00"&amp;MINUTE(Sync!$K1985),2),IFERROR(RIGHT("00"&amp;VALUE(LEFT(Sync!$K1985,FIND(":",Sync!$K1985)-1)),2)&amp;RIGHT("00"&amp;VALUE(MID(Sync!$K1985,FIND(":",Sync!$K1985)+1,2)),2),"0000")))&amp;"|"&amp;"2"&amp;RIGHT("00000"&amp;1980,5))</f>
        <v/>
      </c>
      <c r="Q1985">
        <f>IF(Sync!$J1985="","",IF(ISNUMBER(Sync!$J1985),IF(AND(Sync!$J1985&gt;=10000101,Sync!$J1985&lt;=99991231),INT(Sync!$J1985/10000)&amp;"/"&amp;RIGHT("00"&amp;INT(MOD(Sync!$J1985,10000)/100),2)&amp;"/"&amp;RIGHT("00"&amp;MOD(Sync!$J1985,100),2),"نامعتبر"),IF(LEN(Sync!$J1985)=10,Sync!$J1985,"نامعتبر")))</f>
        <v/>
      </c>
      <c r="R1985">
        <f>IF($P1985="","",COUNTIFS($N$6:$N$2005,$N1985,$P$6:$P$2005,"&lt;"&amp;$P1985)+COUNTIFS($A$6:$A$1005,$N1985,$B$6:$B$1005,"&lt;"&amp;$P1985)+1)</f>
        <v/>
      </c>
      <c r="S1985">
        <f>IF($N1985="","",$N1985&amp;"|"&amp;RIGHT("000000"&amp;$R1985,6))</f>
        <v/>
      </c>
      <c r="T1985">
        <f>IF($N1985="","",IF(Sync!$N1985="",0,Sync!$N1985))</f>
        <v/>
      </c>
      <c r="U1985">
        <f>IF($N1985="","",IF(Sync!$O1985="",0,Sync!$O1985))</f>
        <v/>
      </c>
      <c r="V1985">
        <f>IF($N1985="","",Sync!$L1985)</f>
        <v/>
      </c>
      <c r="W1985">
        <f>IF($N1985="","",Sync!$P1985)</f>
        <v/>
      </c>
    </row>
    <row r="1986">
      <c r="N1986">
        <f>IF(OR(Sync!$M1986="",$Q1986="",$Q1986="نامعتبر"),"",Sync!$M1986)</f>
        <v/>
      </c>
      <c r="O1986">
        <f>IF($N1986="","",$Q1986)</f>
        <v/>
      </c>
      <c r="P1986">
        <f>IF($N1986="","",LEFT($Q1986,4)&amp;MID($Q1986,6,2)&amp;RIGHT($Q1986,2)&amp;IF(Sync!$K1986="","0000",IF(AND(ISNUMBER(Sync!$K1986),Sync!$K1986&gt;=0,Sync!$K1986&lt;1),RIGHT("00"&amp;HOUR(Sync!$K1986),2)&amp;RIGHT("00"&amp;MINUTE(Sync!$K1986),2),IFERROR(RIGHT("00"&amp;VALUE(LEFT(Sync!$K1986,FIND(":",Sync!$K1986)-1)),2)&amp;RIGHT("00"&amp;VALUE(MID(Sync!$K1986,FIND(":",Sync!$K1986)+1,2)),2),"0000")))&amp;"|"&amp;"2"&amp;RIGHT("00000"&amp;1981,5))</f>
        <v/>
      </c>
      <c r="Q1986">
        <f>IF(Sync!$J1986="","",IF(ISNUMBER(Sync!$J1986),IF(AND(Sync!$J1986&gt;=10000101,Sync!$J1986&lt;=99991231),INT(Sync!$J1986/10000)&amp;"/"&amp;RIGHT("00"&amp;INT(MOD(Sync!$J1986,10000)/100),2)&amp;"/"&amp;RIGHT("00"&amp;MOD(Sync!$J1986,100),2),"نامعتبر"),IF(LEN(Sync!$J1986)=10,Sync!$J1986,"نامعتبر")))</f>
        <v/>
      </c>
      <c r="R1986">
        <f>IF($P1986="","",COUNTIFS($N$6:$N$2005,$N1986,$P$6:$P$2005,"&lt;"&amp;$P1986)+COUNTIFS($A$6:$A$1005,$N1986,$B$6:$B$1005,"&lt;"&amp;$P1986)+1)</f>
        <v/>
      </c>
      <c r="S1986">
        <f>IF($N1986="","",$N1986&amp;"|"&amp;RIGHT("000000"&amp;$R1986,6))</f>
        <v/>
      </c>
      <c r="T1986">
        <f>IF($N1986="","",IF(Sync!$N1986="",0,Sync!$N1986))</f>
        <v/>
      </c>
      <c r="U1986">
        <f>IF($N1986="","",IF(Sync!$O1986="",0,Sync!$O1986))</f>
        <v/>
      </c>
      <c r="V1986">
        <f>IF($N1986="","",Sync!$L1986)</f>
        <v/>
      </c>
      <c r="W1986">
        <f>IF($N1986="","",Sync!$P1986)</f>
        <v/>
      </c>
    </row>
    <row r="1987">
      <c r="N1987">
        <f>IF(OR(Sync!$M1987="",$Q1987="",$Q1987="نامعتبر"),"",Sync!$M1987)</f>
        <v/>
      </c>
      <c r="O1987">
        <f>IF($N1987="","",$Q1987)</f>
        <v/>
      </c>
      <c r="P1987">
        <f>IF($N1987="","",LEFT($Q1987,4)&amp;MID($Q1987,6,2)&amp;RIGHT($Q1987,2)&amp;IF(Sync!$K1987="","0000",IF(AND(ISNUMBER(Sync!$K1987),Sync!$K1987&gt;=0,Sync!$K1987&lt;1),RIGHT("00"&amp;HOUR(Sync!$K1987),2)&amp;RIGHT("00"&amp;MINUTE(Sync!$K1987),2),IFERROR(RIGHT("00"&amp;VALUE(LEFT(Sync!$K1987,FIND(":",Sync!$K1987)-1)),2)&amp;RIGHT("00"&amp;VALUE(MID(Sync!$K1987,FIND(":",Sync!$K1987)+1,2)),2),"0000")))&amp;"|"&amp;"2"&amp;RIGHT("00000"&amp;1982,5))</f>
        <v/>
      </c>
      <c r="Q1987">
        <f>IF(Sync!$J1987="","",IF(ISNUMBER(Sync!$J1987),IF(AND(Sync!$J1987&gt;=10000101,Sync!$J1987&lt;=99991231),INT(Sync!$J1987/10000)&amp;"/"&amp;RIGHT("00"&amp;INT(MOD(Sync!$J1987,10000)/100),2)&amp;"/"&amp;RIGHT("00"&amp;MOD(Sync!$J1987,100),2),"نامعتبر"),IF(LEN(Sync!$J1987)=10,Sync!$J1987,"نامعتبر")))</f>
        <v/>
      </c>
      <c r="R1987">
        <f>IF($P1987="","",COUNTIFS($N$6:$N$2005,$N1987,$P$6:$P$2005,"&lt;"&amp;$P1987)+COUNTIFS($A$6:$A$1005,$N1987,$B$6:$B$1005,"&lt;"&amp;$P1987)+1)</f>
        <v/>
      </c>
      <c r="S1987">
        <f>IF($N1987="","",$N1987&amp;"|"&amp;RIGHT("000000"&amp;$R1987,6))</f>
        <v/>
      </c>
      <c r="T1987">
        <f>IF($N1987="","",IF(Sync!$N1987="",0,Sync!$N1987))</f>
        <v/>
      </c>
      <c r="U1987">
        <f>IF($N1987="","",IF(Sync!$O1987="",0,Sync!$O1987))</f>
        <v/>
      </c>
      <c r="V1987">
        <f>IF($N1987="","",Sync!$L1987)</f>
        <v/>
      </c>
      <c r="W1987">
        <f>IF($N1987="","",Sync!$P1987)</f>
        <v/>
      </c>
    </row>
    <row r="1988">
      <c r="N1988">
        <f>IF(OR(Sync!$M1988="",$Q1988="",$Q1988="نامعتبر"),"",Sync!$M1988)</f>
        <v/>
      </c>
      <c r="O1988">
        <f>IF($N1988="","",$Q1988)</f>
        <v/>
      </c>
      <c r="P1988">
        <f>IF($N1988="","",LEFT($Q1988,4)&amp;MID($Q1988,6,2)&amp;RIGHT($Q1988,2)&amp;IF(Sync!$K1988="","0000",IF(AND(ISNUMBER(Sync!$K1988),Sync!$K1988&gt;=0,Sync!$K1988&lt;1),RIGHT("00"&amp;HOUR(Sync!$K1988),2)&amp;RIGHT("00"&amp;MINUTE(Sync!$K1988),2),IFERROR(RIGHT("00"&amp;VALUE(LEFT(Sync!$K1988,FIND(":",Sync!$K1988)-1)),2)&amp;RIGHT("00"&amp;VALUE(MID(Sync!$K1988,FIND(":",Sync!$K1988)+1,2)),2),"0000")))&amp;"|"&amp;"2"&amp;RIGHT("00000"&amp;1983,5))</f>
        <v/>
      </c>
      <c r="Q1988">
        <f>IF(Sync!$J1988="","",IF(ISNUMBER(Sync!$J1988),IF(AND(Sync!$J1988&gt;=10000101,Sync!$J1988&lt;=99991231),INT(Sync!$J1988/10000)&amp;"/"&amp;RIGHT("00"&amp;INT(MOD(Sync!$J1988,10000)/100),2)&amp;"/"&amp;RIGHT("00"&amp;MOD(Sync!$J1988,100),2),"نامعتبر"),IF(LEN(Sync!$J1988)=10,Sync!$J1988,"نامعتبر")))</f>
        <v/>
      </c>
      <c r="R1988">
        <f>IF($P1988="","",COUNTIFS($N$6:$N$2005,$N1988,$P$6:$P$2005,"&lt;"&amp;$P1988)+COUNTIFS($A$6:$A$1005,$N1988,$B$6:$B$1005,"&lt;"&amp;$P1988)+1)</f>
        <v/>
      </c>
      <c r="S1988">
        <f>IF($N1988="","",$N1988&amp;"|"&amp;RIGHT("000000"&amp;$R1988,6))</f>
        <v/>
      </c>
      <c r="T1988">
        <f>IF($N1988="","",IF(Sync!$N1988="",0,Sync!$N1988))</f>
        <v/>
      </c>
      <c r="U1988">
        <f>IF($N1988="","",IF(Sync!$O1988="",0,Sync!$O1988))</f>
        <v/>
      </c>
      <c r="V1988">
        <f>IF($N1988="","",Sync!$L1988)</f>
        <v/>
      </c>
      <c r="W1988">
        <f>IF($N1988="","",Sync!$P1988)</f>
        <v/>
      </c>
    </row>
    <row r="1989">
      <c r="N1989">
        <f>IF(OR(Sync!$M1989="",$Q1989="",$Q1989="نامعتبر"),"",Sync!$M1989)</f>
        <v/>
      </c>
      <c r="O1989">
        <f>IF($N1989="","",$Q1989)</f>
        <v/>
      </c>
      <c r="P1989">
        <f>IF($N1989="","",LEFT($Q1989,4)&amp;MID($Q1989,6,2)&amp;RIGHT($Q1989,2)&amp;IF(Sync!$K1989="","0000",IF(AND(ISNUMBER(Sync!$K1989),Sync!$K1989&gt;=0,Sync!$K1989&lt;1),RIGHT("00"&amp;HOUR(Sync!$K1989),2)&amp;RIGHT("00"&amp;MINUTE(Sync!$K1989),2),IFERROR(RIGHT("00"&amp;VALUE(LEFT(Sync!$K1989,FIND(":",Sync!$K1989)-1)),2)&amp;RIGHT("00"&amp;VALUE(MID(Sync!$K1989,FIND(":",Sync!$K1989)+1,2)),2),"0000")))&amp;"|"&amp;"2"&amp;RIGHT("00000"&amp;1984,5))</f>
        <v/>
      </c>
      <c r="Q1989">
        <f>IF(Sync!$J1989="","",IF(ISNUMBER(Sync!$J1989),IF(AND(Sync!$J1989&gt;=10000101,Sync!$J1989&lt;=99991231),INT(Sync!$J1989/10000)&amp;"/"&amp;RIGHT("00"&amp;INT(MOD(Sync!$J1989,10000)/100),2)&amp;"/"&amp;RIGHT("00"&amp;MOD(Sync!$J1989,100),2),"نامعتبر"),IF(LEN(Sync!$J1989)=10,Sync!$J1989,"نامعتبر")))</f>
        <v/>
      </c>
      <c r="R1989">
        <f>IF($P1989="","",COUNTIFS($N$6:$N$2005,$N1989,$P$6:$P$2005,"&lt;"&amp;$P1989)+COUNTIFS($A$6:$A$1005,$N1989,$B$6:$B$1005,"&lt;"&amp;$P1989)+1)</f>
        <v/>
      </c>
      <c r="S1989">
        <f>IF($N1989="","",$N1989&amp;"|"&amp;RIGHT("000000"&amp;$R1989,6))</f>
        <v/>
      </c>
      <c r="T1989">
        <f>IF($N1989="","",IF(Sync!$N1989="",0,Sync!$N1989))</f>
        <v/>
      </c>
      <c r="U1989">
        <f>IF($N1989="","",IF(Sync!$O1989="",0,Sync!$O1989))</f>
        <v/>
      </c>
      <c r="V1989">
        <f>IF($N1989="","",Sync!$L1989)</f>
        <v/>
      </c>
      <c r="W1989">
        <f>IF($N1989="","",Sync!$P1989)</f>
        <v/>
      </c>
    </row>
    <row r="1990">
      <c r="N1990">
        <f>IF(OR(Sync!$M1990="",$Q1990="",$Q1990="نامعتبر"),"",Sync!$M1990)</f>
        <v/>
      </c>
      <c r="O1990">
        <f>IF($N1990="","",$Q1990)</f>
        <v/>
      </c>
      <c r="P1990">
        <f>IF($N1990="","",LEFT($Q1990,4)&amp;MID($Q1990,6,2)&amp;RIGHT($Q1990,2)&amp;IF(Sync!$K1990="","0000",IF(AND(ISNUMBER(Sync!$K1990),Sync!$K1990&gt;=0,Sync!$K1990&lt;1),RIGHT("00"&amp;HOUR(Sync!$K1990),2)&amp;RIGHT("00"&amp;MINUTE(Sync!$K1990),2),IFERROR(RIGHT("00"&amp;VALUE(LEFT(Sync!$K1990,FIND(":",Sync!$K1990)-1)),2)&amp;RIGHT("00"&amp;VALUE(MID(Sync!$K1990,FIND(":",Sync!$K1990)+1,2)),2),"0000")))&amp;"|"&amp;"2"&amp;RIGHT("00000"&amp;1985,5))</f>
        <v/>
      </c>
      <c r="Q1990">
        <f>IF(Sync!$J1990="","",IF(ISNUMBER(Sync!$J1990),IF(AND(Sync!$J1990&gt;=10000101,Sync!$J1990&lt;=99991231),INT(Sync!$J1990/10000)&amp;"/"&amp;RIGHT("00"&amp;INT(MOD(Sync!$J1990,10000)/100),2)&amp;"/"&amp;RIGHT("00"&amp;MOD(Sync!$J1990,100),2),"نامعتبر"),IF(LEN(Sync!$J1990)=10,Sync!$J1990,"نامعتبر")))</f>
        <v/>
      </c>
      <c r="R1990">
        <f>IF($P1990="","",COUNTIFS($N$6:$N$2005,$N1990,$P$6:$P$2005,"&lt;"&amp;$P1990)+COUNTIFS($A$6:$A$1005,$N1990,$B$6:$B$1005,"&lt;"&amp;$P1990)+1)</f>
        <v/>
      </c>
      <c r="S1990">
        <f>IF($N1990="","",$N1990&amp;"|"&amp;RIGHT("000000"&amp;$R1990,6))</f>
        <v/>
      </c>
      <c r="T1990">
        <f>IF($N1990="","",IF(Sync!$N1990="",0,Sync!$N1990))</f>
        <v/>
      </c>
      <c r="U1990">
        <f>IF($N1990="","",IF(Sync!$O1990="",0,Sync!$O1990))</f>
        <v/>
      </c>
      <c r="V1990">
        <f>IF($N1990="","",Sync!$L1990)</f>
        <v/>
      </c>
      <c r="W1990">
        <f>IF($N1990="","",Sync!$P1990)</f>
        <v/>
      </c>
    </row>
    <row r="1991">
      <c r="N1991">
        <f>IF(OR(Sync!$M1991="",$Q1991="",$Q1991="نامعتبر"),"",Sync!$M1991)</f>
        <v/>
      </c>
      <c r="O1991">
        <f>IF($N1991="","",$Q1991)</f>
        <v/>
      </c>
      <c r="P1991">
        <f>IF($N1991="","",LEFT($Q1991,4)&amp;MID($Q1991,6,2)&amp;RIGHT($Q1991,2)&amp;IF(Sync!$K1991="","0000",IF(AND(ISNUMBER(Sync!$K1991),Sync!$K1991&gt;=0,Sync!$K1991&lt;1),RIGHT("00"&amp;HOUR(Sync!$K1991),2)&amp;RIGHT("00"&amp;MINUTE(Sync!$K1991),2),IFERROR(RIGHT("00"&amp;VALUE(LEFT(Sync!$K1991,FIND(":",Sync!$K1991)-1)),2)&amp;RIGHT("00"&amp;VALUE(MID(Sync!$K1991,FIND(":",Sync!$K1991)+1,2)),2),"0000")))&amp;"|"&amp;"2"&amp;RIGHT("00000"&amp;1986,5))</f>
        <v/>
      </c>
      <c r="Q1991">
        <f>IF(Sync!$J1991="","",IF(ISNUMBER(Sync!$J1991),IF(AND(Sync!$J1991&gt;=10000101,Sync!$J1991&lt;=99991231),INT(Sync!$J1991/10000)&amp;"/"&amp;RIGHT("00"&amp;INT(MOD(Sync!$J1991,10000)/100),2)&amp;"/"&amp;RIGHT("00"&amp;MOD(Sync!$J1991,100),2),"نامعتبر"),IF(LEN(Sync!$J1991)=10,Sync!$J1991,"نامعتبر")))</f>
        <v/>
      </c>
      <c r="R1991">
        <f>IF($P1991="","",COUNTIFS($N$6:$N$2005,$N1991,$P$6:$P$2005,"&lt;"&amp;$P1991)+COUNTIFS($A$6:$A$1005,$N1991,$B$6:$B$1005,"&lt;"&amp;$P1991)+1)</f>
        <v/>
      </c>
      <c r="S1991">
        <f>IF($N1991="","",$N1991&amp;"|"&amp;RIGHT("000000"&amp;$R1991,6))</f>
        <v/>
      </c>
      <c r="T1991">
        <f>IF($N1991="","",IF(Sync!$N1991="",0,Sync!$N1991))</f>
        <v/>
      </c>
      <c r="U1991">
        <f>IF($N1991="","",IF(Sync!$O1991="",0,Sync!$O1991))</f>
        <v/>
      </c>
      <c r="V1991">
        <f>IF($N1991="","",Sync!$L1991)</f>
        <v/>
      </c>
      <c r="W1991">
        <f>IF($N1991="","",Sync!$P1991)</f>
        <v/>
      </c>
    </row>
    <row r="1992">
      <c r="N1992">
        <f>IF(OR(Sync!$M1992="",$Q1992="",$Q1992="نامعتبر"),"",Sync!$M1992)</f>
        <v/>
      </c>
      <c r="O1992">
        <f>IF($N1992="","",$Q1992)</f>
        <v/>
      </c>
      <c r="P1992">
        <f>IF($N1992="","",LEFT($Q1992,4)&amp;MID($Q1992,6,2)&amp;RIGHT($Q1992,2)&amp;IF(Sync!$K1992="","0000",IF(AND(ISNUMBER(Sync!$K1992),Sync!$K1992&gt;=0,Sync!$K1992&lt;1),RIGHT("00"&amp;HOUR(Sync!$K1992),2)&amp;RIGHT("00"&amp;MINUTE(Sync!$K1992),2),IFERROR(RIGHT("00"&amp;VALUE(LEFT(Sync!$K1992,FIND(":",Sync!$K1992)-1)),2)&amp;RIGHT("00"&amp;VALUE(MID(Sync!$K1992,FIND(":",Sync!$K1992)+1,2)),2),"0000")))&amp;"|"&amp;"2"&amp;RIGHT("00000"&amp;1987,5))</f>
        <v/>
      </c>
      <c r="Q1992">
        <f>IF(Sync!$J1992="","",IF(ISNUMBER(Sync!$J1992),IF(AND(Sync!$J1992&gt;=10000101,Sync!$J1992&lt;=99991231),INT(Sync!$J1992/10000)&amp;"/"&amp;RIGHT("00"&amp;INT(MOD(Sync!$J1992,10000)/100),2)&amp;"/"&amp;RIGHT("00"&amp;MOD(Sync!$J1992,100),2),"نامعتبر"),IF(LEN(Sync!$J1992)=10,Sync!$J1992,"نامعتبر")))</f>
        <v/>
      </c>
      <c r="R1992">
        <f>IF($P1992="","",COUNTIFS($N$6:$N$2005,$N1992,$P$6:$P$2005,"&lt;"&amp;$P1992)+COUNTIFS($A$6:$A$1005,$N1992,$B$6:$B$1005,"&lt;"&amp;$P1992)+1)</f>
        <v/>
      </c>
      <c r="S1992">
        <f>IF($N1992="","",$N1992&amp;"|"&amp;RIGHT("000000"&amp;$R1992,6))</f>
        <v/>
      </c>
      <c r="T1992">
        <f>IF($N1992="","",IF(Sync!$N1992="",0,Sync!$N1992))</f>
        <v/>
      </c>
      <c r="U1992">
        <f>IF($N1992="","",IF(Sync!$O1992="",0,Sync!$O1992))</f>
        <v/>
      </c>
      <c r="V1992">
        <f>IF($N1992="","",Sync!$L1992)</f>
        <v/>
      </c>
      <c r="W1992">
        <f>IF($N1992="","",Sync!$P1992)</f>
        <v/>
      </c>
    </row>
    <row r="1993">
      <c r="N1993">
        <f>IF(OR(Sync!$M1993="",$Q1993="",$Q1993="نامعتبر"),"",Sync!$M1993)</f>
        <v/>
      </c>
      <c r="O1993">
        <f>IF($N1993="","",$Q1993)</f>
        <v/>
      </c>
      <c r="P1993">
        <f>IF($N1993="","",LEFT($Q1993,4)&amp;MID($Q1993,6,2)&amp;RIGHT($Q1993,2)&amp;IF(Sync!$K1993="","0000",IF(AND(ISNUMBER(Sync!$K1993),Sync!$K1993&gt;=0,Sync!$K1993&lt;1),RIGHT("00"&amp;HOUR(Sync!$K1993),2)&amp;RIGHT("00"&amp;MINUTE(Sync!$K1993),2),IFERROR(RIGHT("00"&amp;VALUE(LEFT(Sync!$K1993,FIND(":",Sync!$K1993)-1)),2)&amp;RIGHT("00"&amp;VALUE(MID(Sync!$K1993,FIND(":",Sync!$K1993)+1,2)),2),"0000")))&amp;"|"&amp;"2"&amp;RIGHT("00000"&amp;1988,5))</f>
        <v/>
      </c>
      <c r="Q1993">
        <f>IF(Sync!$J1993="","",IF(ISNUMBER(Sync!$J1993),IF(AND(Sync!$J1993&gt;=10000101,Sync!$J1993&lt;=99991231),INT(Sync!$J1993/10000)&amp;"/"&amp;RIGHT("00"&amp;INT(MOD(Sync!$J1993,10000)/100),2)&amp;"/"&amp;RIGHT("00"&amp;MOD(Sync!$J1993,100),2),"نامعتبر"),IF(LEN(Sync!$J1993)=10,Sync!$J1993,"نامعتبر")))</f>
        <v/>
      </c>
      <c r="R1993">
        <f>IF($P1993="","",COUNTIFS($N$6:$N$2005,$N1993,$P$6:$P$2005,"&lt;"&amp;$P1993)+COUNTIFS($A$6:$A$1005,$N1993,$B$6:$B$1005,"&lt;"&amp;$P1993)+1)</f>
        <v/>
      </c>
      <c r="S1993">
        <f>IF($N1993="","",$N1993&amp;"|"&amp;RIGHT("000000"&amp;$R1993,6))</f>
        <v/>
      </c>
      <c r="T1993">
        <f>IF($N1993="","",IF(Sync!$N1993="",0,Sync!$N1993))</f>
        <v/>
      </c>
      <c r="U1993">
        <f>IF($N1993="","",IF(Sync!$O1993="",0,Sync!$O1993))</f>
        <v/>
      </c>
      <c r="V1993">
        <f>IF($N1993="","",Sync!$L1993)</f>
        <v/>
      </c>
      <c r="W1993">
        <f>IF($N1993="","",Sync!$P1993)</f>
        <v/>
      </c>
    </row>
    <row r="1994">
      <c r="N1994">
        <f>IF(OR(Sync!$M1994="",$Q1994="",$Q1994="نامعتبر"),"",Sync!$M1994)</f>
        <v/>
      </c>
      <c r="O1994">
        <f>IF($N1994="","",$Q1994)</f>
        <v/>
      </c>
      <c r="P1994">
        <f>IF($N1994="","",LEFT($Q1994,4)&amp;MID($Q1994,6,2)&amp;RIGHT($Q1994,2)&amp;IF(Sync!$K1994="","0000",IF(AND(ISNUMBER(Sync!$K1994),Sync!$K1994&gt;=0,Sync!$K1994&lt;1),RIGHT("00"&amp;HOUR(Sync!$K1994),2)&amp;RIGHT("00"&amp;MINUTE(Sync!$K1994),2),IFERROR(RIGHT("00"&amp;VALUE(LEFT(Sync!$K1994,FIND(":",Sync!$K1994)-1)),2)&amp;RIGHT("00"&amp;VALUE(MID(Sync!$K1994,FIND(":",Sync!$K1994)+1,2)),2),"0000")))&amp;"|"&amp;"2"&amp;RIGHT("00000"&amp;1989,5))</f>
        <v/>
      </c>
      <c r="Q1994">
        <f>IF(Sync!$J1994="","",IF(ISNUMBER(Sync!$J1994),IF(AND(Sync!$J1994&gt;=10000101,Sync!$J1994&lt;=99991231),INT(Sync!$J1994/10000)&amp;"/"&amp;RIGHT("00"&amp;INT(MOD(Sync!$J1994,10000)/100),2)&amp;"/"&amp;RIGHT("00"&amp;MOD(Sync!$J1994,100),2),"نامعتبر"),IF(LEN(Sync!$J1994)=10,Sync!$J1994,"نامعتبر")))</f>
        <v/>
      </c>
      <c r="R1994">
        <f>IF($P1994="","",COUNTIFS($N$6:$N$2005,$N1994,$P$6:$P$2005,"&lt;"&amp;$P1994)+COUNTIFS($A$6:$A$1005,$N1994,$B$6:$B$1005,"&lt;"&amp;$P1994)+1)</f>
        <v/>
      </c>
      <c r="S1994">
        <f>IF($N1994="","",$N1994&amp;"|"&amp;RIGHT("000000"&amp;$R1994,6))</f>
        <v/>
      </c>
      <c r="T1994">
        <f>IF($N1994="","",IF(Sync!$N1994="",0,Sync!$N1994))</f>
        <v/>
      </c>
      <c r="U1994">
        <f>IF($N1994="","",IF(Sync!$O1994="",0,Sync!$O1994))</f>
        <v/>
      </c>
      <c r="V1994">
        <f>IF($N1994="","",Sync!$L1994)</f>
        <v/>
      </c>
      <c r="W1994">
        <f>IF($N1994="","",Sync!$P1994)</f>
        <v/>
      </c>
    </row>
    <row r="1995">
      <c r="N1995">
        <f>IF(OR(Sync!$M1995="",$Q1995="",$Q1995="نامعتبر"),"",Sync!$M1995)</f>
        <v/>
      </c>
      <c r="O1995">
        <f>IF($N1995="","",$Q1995)</f>
        <v/>
      </c>
      <c r="P1995">
        <f>IF($N1995="","",LEFT($Q1995,4)&amp;MID($Q1995,6,2)&amp;RIGHT($Q1995,2)&amp;IF(Sync!$K1995="","0000",IF(AND(ISNUMBER(Sync!$K1995),Sync!$K1995&gt;=0,Sync!$K1995&lt;1),RIGHT("00"&amp;HOUR(Sync!$K1995),2)&amp;RIGHT("00"&amp;MINUTE(Sync!$K1995),2),IFERROR(RIGHT("00"&amp;VALUE(LEFT(Sync!$K1995,FIND(":",Sync!$K1995)-1)),2)&amp;RIGHT("00"&amp;VALUE(MID(Sync!$K1995,FIND(":",Sync!$K1995)+1,2)),2),"0000")))&amp;"|"&amp;"2"&amp;RIGHT("00000"&amp;1990,5))</f>
        <v/>
      </c>
      <c r="Q1995">
        <f>IF(Sync!$J1995="","",IF(ISNUMBER(Sync!$J1995),IF(AND(Sync!$J1995&gt;=10000101,Sync!$J1995&lt;=99991231),INT(Sync!$J1995/10000)&amp;"/"&amp;RIGHT("00"&amp;INT(MOD(Sync!$J1995,10000)/100),2)&amp;"/"&amp;RIGHT("00"&amp;MOD(Sync!$J1995,100),2),"نامعتبر"),IF(LEN(Sync!$J1995)=10,Sync!$J1995,"نامعتبر")))</f>
        <v/>
      </c>
      <c r="R1995">
        <f>IF($P1995="","",COUNTIFS($N$6:$N$2005,$N1995,$P$6:$P$2005,"&lt;"&amp;$P1995)+COUNTIFS($A$6:$A$1005,$N1995,$B$6:$B$1005,"&lt;"&amp;$P1995)+1)</f>
        <v/>
      </c>
      <c r="S1995">
        <f>IF($N1995="","",$N1995&amp;"|"&amp;RIGHT("000000"&amp;$R1995,6))</f>
        <v/>
      </c>
      <c r="T1995">
        <f>IF($N1995="","",IF(Sync!$N1995="",0,Sync!$N1995))</f>
        <v/>
      </c>
      <c r="U1995">
        <f>IF($N1995="","",IF(Sync!$O1995="",0,Sync!$O1995))</f>
        <v/>
      </c>
      <c r="V1995">
        <f>IF($N1995="","",Sync!$L1995)</f>
        <v/>
      </c>
      <c r="W1995">
        <f>IF($N1995="","",Sync!$P1995)</f>
        <v/>
      </c>
    </row>
    <row r="1996">
      <c r="N1996">
        <f>IF(OR(Sync!$M1996="",$Q1996="",$Q1996="نامعتبر"),"",Sync!$M1996)</f>
        <v/>
      </c>
      <c r="O1996">
        <f>IF($N1996="","",$Q1996)</f>
        <v/>
      </c>
      <c r="P1996">
        <f>IF($N1996="","",LEFT($Q1996,4)&amp;MID($Q1996,6,2)&amp;RIGHT($Q1996,2)&amp;IF(Sync!$K1996="","0000",IF(AND(ISNUMBER(Sync!$K1996),Sync!$K1996&gt;=0,Sync!$K1996&lt;1),RIGHT("00"&amp;HOUR(Sync!$K1996),2)&amp;RIGHT("00"&amp;MINUTE(Sync!$K1996),2),IFERROR(RIGHT("00"&amp;VALUE(LEFT(Sync!$K1996,FIND(":",Sync!$K1996)-1)),2)&amp;RIGHT("00"&amp;VALUE(MID(Sync!$K1996,FIND(":",Sync!$K1996)+1,2)),2),"0000")))&amp;"|"&amp;"2"&amp;RIGHT("00000"&amp;1991,5))</f>
        <v/>
      </c>
      <c r="Q1996">
        <f>IF(Sync!$J1996="","",IF(ISNUMBER(Sync!$J1996),IF(AND(Sync!$J1996&gt;=10000101,Sync!$J1996&lt;=99991231),INT(Sync!$J1996/10000)&amp;"/"&amp;RIGHT("00"&amp;INT(MOD(Sync!$J1996,10000)/100),2)&amp;"/"&amp;RIGHT("00"&amp;MOD(Sync!$J1996,100),2),"نامعتبر"),IF(LEN(Sync!$J1996)=10,Sync!$J1996,"نامعتبر")))</f>
        <v/>
      </c>
      <c r="R1996">
        <f>IF($P1996="","",COUNTIFS($N$6:$N$2005,$N1996,$P$6:$P$2005,"&lt;"&amp;$P1996)+COUNTIFS($A$6:$A$1005,$N1996,$B$6:$B$1005,"&lt;"&amp;$P1996)+1)</f>
        <v/>
      </c>
      <c r="S1996">
        <f>IF($N1996="","",$N1996&amp;"|"&amp;RIGHT("000000"&amp;$R1996,6))</f>
        <v/>
      </c>
      <c r="T1996">
        <f>IF($N1996="","",IF(Sync!$N1996="",0,Sync!$N1996))</f>
        <v/>
      </c>
      <c r="U1996">
        <f>IF($N1996="","",IF(Sync!$O1996="",0,Sync!$O1996))</f>
        <v/>
      </c>
      <c r="V1996">
        <f>IF($N1996="","",Sync!$L1996)</f>
        <v/>
      </c>
      <c r="W1996">
        <f>IF($N1996="","",Sync!$P1996)</f>
        <v/>
      </c>
    </row>
    <row r="1997">
      <c r="N1997">
        <f>IF(OR(Sync!$M1997="",$Q1997="",$Q1997="نامعتبر"),"",Sync!$M1997)</f>
        <v/>
      </c>
      <c r="O1997">
        <f>IF($N1997="","",$Q1997)</f>
        <v/>
      </c>
      <c r="P1997">
        <f>IF($N1997="","",LEFT($Q1997,4)&amp;MID($Q1997,6,2)&amp;RIGHT($Q1997,2)&amp;IF(Sync!$K1997="","0000",IF(AND(ISNUMBER(Sync!$K1997),Sync!$K1997&gt;=0,Sync!$K1997&lt;1),RIGHT("00"&amp;HOUR(Sync!$K1997),2)&amp;RIGHT("00"&amp;MINUTE(Sync!$K1997),2),IFERROR(RIGHT("00"&amp;VALUE(LEFT(Sync!$K1997,FIND(":",Sync!$K1997)-1)),2)&amp;RIGHT("00"&amp;VALUE(MID(Sync!$K1997,FIND(":",Sync!$K1997)+1,2)),2),"0000")))&amp;"|"&amp;"2"&amp;RIGHT("00000"&amp;1992,5))</f>
        <v/>
      </c>
      <c r="Q1997">
        <f>IF(Sync!$J1997="","",IF(ISNUMBER(Sync!$J1997),IF(AND(Sync!$J1997&gt;=10000101,Sync!$J1997&lt;=99991231),INT(Sync!$J1997/10000)&amp;"/"&amp;RIGHT("00"&amp;INT(MOD(Sync!$J1997,10000)/100),2)&amp;"/"&amp;RIGHT("00"&amp;MOD(Sync!$J1997,100),2),"نامعتبر"),IF(LEN(Sync!$J1997)=10,Sync!$J1997,"نامعتبر")))</f>
        <v/>
      </c>
      <c r="R1997">
        <f>IF($P1997="","",COUNTIFS($N$6:$N$2005,$N1997,$P$6:$P$2005,"&lt;"&amp;$P1997)+COUNTIFS($A$6:$A$1005,$N1997,$B$6:$B$1005,"&lt;"&amp;$P1997)+1)</f>
        <v/>
      </c>
      <c r="S1997">
        <f>IF($N1997="","",$N1997&amp;"|"&amp;RIGHT("000000"&amp;$R1997,6))</f>
        <v/>
      </c>
      <c r="T1997">
        <f>IF($N1997="","",IF(Sync!$N1997="",0,Sync!$N1997))</f>
        <v/>
      </c>
      <c r="U1997">
        <f>IF($N1997="","",IF(Sync!$O1997="",0,Sync!$O1997))</f>
        <v/>
      </c>
      <c r="V1997">
        <f>IF($N1997="","",Sync!$L1997)</f>
        <v/>
      </c>
      <c r="W1997">
        <f>IF($N1997="","",Sync!$P1997)</f>
        <v/>
      </c>
    </row>
    <row r="1998">
      <c r="N1998">
        <f>IF(OR(Sync!$M1998="",$Q1998="",$Q1998="نامعتبر"),"",Sync!$M1998)</f>
        <v/>
      </c>
      <c r="O1998">
        <f>IF($N1998="","",$Q1998)</f>
        <v/>
      </c>
      <c r="P1998">
        <f>IF($N1998="","",LEFT($Q1998,4)&amp;MID($Q1998,6,2)&amp;RIGHT($Q1998,2)&amp;IF(Sync!$K1998="","0000",IF(AND(ISNUMBER(Sync!$K1998),Sync!$K1998&gt;=0,Sync!$K1998&lt;1),RIGHT("00"&amp;HOUR(Sync!$K1998),2)&amp;RIGHT("00"&amp;MINUTE(Sync!$K1998),2),IFERROR(RIGHT("00"&amp;VALUE(LEFT(Sync!$K1998,FIND(":",Sync!$K1998)-1)),2)&amp;RIGHT("00"&amp;VALUE(MID(Sync!$K1998,FIND(":",Sync!$K1998)+1,2)),2),"0000")))&amp;"|"&amp;"2"&amp;RIGHT("00000"&amp;1993,5))</f>
        <v/>
      </c>
      <c r="Q1998">
        <f>IF(Sync!$J1998="","",IF(ISNUMBER(Sync!$J1998),IF(AND(Sync!$J1998&gt;=10000101,Sync!$J1998&lt;=99991231),INT(Sync!$J1998/10000)&amp;"/"&amp;RIGHT("00"&amp;INT(MOD(Sync!$J1998,10000)/100),2)&amp;"/"&amp;RIGHT("00"&amp;MOD(Sync!$J1998,100),2),"نامعتبر"),IF(LEN(Sync!$J1998)=10,Sync!$J1998,"نامعتبر")))</f>
        <v/>
      </c>
      <c r="R1998">
        <f>IF($P1998="","",COUNTIFS($N$6:$N$2005,$N1998,$P$6:$P$2005,"&lt;"&amp;$P1998)+COUNTIFS($A$6:$A$1005,$N1998,$B$6:$B$1005,"&lt;"&amp;$P1998)+1)</f>
        <v/>
      </c>
      <c r="S1998">
        <f>IF($N1998="","",$N1998&amp;"|"&amp;RIGHT("000000"&amp;$R1998,6))</f>
        <v/>
      </c>
      <c r="T1998">
        <f>IF($N1998="","",IF(Sync!$N1998="",0,Sync!$N1998))</f>
        <v/>
      </c>
      <c r="U1998">
        <f>IF($N1998="","",IF(Sync!$O1998="",0,Sync!$O1998))</f>
        <v/>
      </c>
      <c r="V1998">
        <f>IF($N1998="","",Sync!$L1998)</f>
        <v/>
      </c>
      <c r="W1998">
        <f>IF($N1998="","",Sync!$P1998)</f>
        <v/>
      </c>
    </row>
    <row r="1999">
      <c r="N1999">
        <f>IF(OR(Sync!$M1999="",$Q1999="",$Q1999="نامعتبر"),"",Sync!$M1999)</f>
        <v/>
      </c>
      <c r="O1999">
        <f>IF($N1999="","",$Q1999)</f>
        <v/>
      </c>
      <c r="P1999">
        <f>IF($N1999="","",LEFT($Q1999,4)&amp;MID($Q1999,6,2)&amp;RIGHT($Q1999,2)&amp;IF(Sync!$K1999="","0000",IF(AND(ISNUMBER(Sync!$K1999),Sync!$K1999&gt;=0,Sync!$K1999&lt;1),RIGHT("00"&amp;HOUR(Sync!$K1999),2)&amp;RIGHT("00"&amp;MINUTE(Sync!$K1999),2),IFERROR(RIGHT("00"&amp;VALUE(LEFT(Sync!$K1999,FIND(":",Sync!$K1999)-1)),2)&amp;RIGHT("00"&amp;VALUE(MID(Sync!$K1999,FIND(":",Sync!$K1999)+1,2)),2),"0000")))&amp;"|"&amp;"2"&amp;RIGHT("00000"&amp;1994,5))</f>
        <v/>
      </c>
      <c r="Q1999">
        <f>IF(Sync!$J1999="","",IF(ISNUMBER(Sync!$J1999),IF(AND(Sync!$J1999&gt;=10000101,Sync!$J1999&lt;=99991231),INT(Sync!$J1999/10000)&amp;"/"&amp;RIGHT("00"&amp;INT(MOD(Sync!$J1999,10000)/100),2)&amp;"/"&amp;RIGHT("00"&amp;MOD(Sync!$J1999,100),2),"نامعتبر"),IF(LEN(Sync!$J1999)=10,Sync!$J1999,"نامعتبر")))</f>
        <v/>
      </c>
      <c r="R1999">
        <f>IF($P1999="","",COUNTIFS($N$6:$N$2005,$N1999,$P$6:$P$2005,"&lt;"&amp;$P1999)+COUNTIFS($A$6:$A$1005,$N1999,$B$6:$B$1005,"&lt;"&amp;$P1999)+1)</f>
        <v/>
      </c>
      <c r="S1999">
        <f>IF($N1999="","",$N1999&amp;"|"&amp;RIGHT("000000"&amp;$R1999,6))</f>
        <v/>
      </c>
      <c r="T1999">
        <f>IF($N1999="","",IF(Sync!$N1999="",0,Sync!$N1999))</f>
        <v/>
      </c>
      <c r="U1999">
        <f>IF($N1999="","",IF(Sync!$O1999="",0,Sync!$O1999))</f>
        <v/>
      </c>
      <c r="V1999">
        <f>IF($N1999="","",Sync!$L1999)</f>
        <v/>
      </c>
      <c r="W1999">
        <f>IF($N1999="","",Sync!$P1999)</f>
        <v/>
      </c>
    </row>
    <row r="2000">
      <c r="N2000">
        <f>IF(OR(Sync!$M2000="",$Q2000="",$Q2000="نامعتبر"),"",Sync!$M2000)</f>
        <v/>
      </c>
      <c r="O2000">
        <f>IF($N2000="","",$Q2000)</f>
        <v/>
      </c>
      <c r="P2000">
        <f>IF($N2000="","",LEFT($Q2000,4)&amp;MID($Q2000,6,2)&amp;RIGHT($Q2000,2)&amp;IF(Sync!$K2000="","0000",IF(AND(ISNUMBER(Sync!$K2000),Sync!$K2000&gt;=0,Sync!$K2000&lt;1),RIGHT("00"&amp;HOUR(Sync!$K2000),2)&amp;RIGHT("00"&amp;MINUTE(Sync!$K2000),2),IFERROR(RIGHT("00"&amp;VALUE(LEFT(Sync!$K2000,FIND(":",Sync!$K2000)-1)),2)&amp;RIGHT("00"&amp;VALUE(MID(Sync!$K2000,FIND(":",Sync!$K2000)+1,2)),2),"0000")))&amp;"|"&amp;"2"&amp;RIGHT("00000"&amp;1995,5))</f>
        <v/>
      </c>
      <c r="Q2000">
        <f>IF(Sync!$J2000="","",IF(ISNUMBER(Sync!$J2000),IF(AND(Sync!$J2000&gt;=10000101,Sync!$J2000&lt;=99991231),INT(Sync!$J2000/10000)&amp;"/"&amp;RIGHT("00"&amp;INT(MOD(Sync!$J2000,10000)/100),2)&amp;"/"&amp;RIGHT("00"&amp;MOD(Sync!$J2000,100),2),"نامعتبر"),IF(LEN(Sync!$J2000)=10,Sync!$J2000,"نامعتبر")))</f>
        <v/>
      </c>
      <c r="R2000">
        <f>IF($P2000="","",COUNTIFS($N$6:$N$2005,$N2000,$P$6:$P$2005,"&lt;"&amp;$P2000)+COUNTIFS($A$6:$A$1005,$N2000,$B$6:$B$1005,"&lt;"&amp;$P2000)+1)</f>
        <v/>
      </c>
      <c r="S2000">
        <f>IF($N2000="","",$N2000&amp;"|"&amp;RIGHT("000000"&amp;$R2000,6))</f>
        <v/>
      </c>
      <c r="T2000">
        <f>IF($N2000="","",IF(Sync!$N2000="",0,Sync!$N2000))</f>
        <v/>
      </c>
      <c r="U2000">
        <f>IF($N2000="","",IF(Sync!$O2000="",0,Sync!$O2000))</f>
        <v/>
      </c>
      <c r="V2000">
        <f>IF($N2000="","",Sync!$L2000)</f>
        <v/>
      </c>
      <c r="W2000">
        <f>IF($N2000="","",Sync!$P2000)</f>
        <v/>
      </c>
    </row>
    <row r="2001">
      <c r="N2001">
        <f>IF(OR(Sync!$M2001="",$Q2001="",$Q2001="نامعتبر"),"",Sync!$M2001)</f>
        <v/>
      </c>
      <c r="O2001">
        <f>IF($N2001="","",$Q2001)</f>
        <v/>
      </c>
      <c r="P2001">
        <f>IF($N2001="","",LEFT($Q2001,4)&amp;MID($Q2001,6,2)&amp;RIGHT($Q2001,2)&amp;IF(Sync!$K2001="","0000",IF(AND(ISNUMBER(Sync!$K2001),Sync!$K2001&gt;=0,Sync!$K2001&lt;1),RIGHT("00"&amp;HOUR(Sync!$K2001),2)&amp;RIGHT("00"&amp;MINUTE(Sync!$K2001),2),IFERROR(RIGHT("00"&amp;VALUE(LEFT(Sync!$K2001,FIND(":",Sync!$K2001)-1)),2)&amp;RIGHT("00"&amp;VALUE(MID(Sync!$K2001,FIND(":",Sync!$K2001)+1,2)),2),"0000")))&amp;"|"&amp;"2"&amp;RIGHT("00000"&amp;1996,5))</f>
        <v/>
      </c>
      <c r="Q2001">
        <f>IF(Sync!$J2001="","",IF(ISNUMBER(Sync!$J2001),IF(AND(Sync!$J2001&gt;=10000101,Sync!$J2001&lt;=99991231),INT(Sync!$J2001/10000)&amp;"/"&amp;RIGHT("00"&amp;INT(MOD(Sync!$J2001,10000)/100),2)&amp;"/"&amp;RIGHT("00"&amp;MOD(Sync!$J2001,100),2),"نامعتبر"),IF(LEN(Sync!$J2001)=10,Sync!$J2001,"نامعتبر")))</f>
        <v/>
      </c>
      <c r="R2001">
        <f>IF($P2001="","",COUNTIFS($N$6:$N$2005,$N2001,$P$6:$P$2005,"&lt;"&amp;$P2001)+COUNTIFS($A$6:$A$1005,$N2001,$B$6:$B$1005,"&lt;"&amp;$P2001)+1)</f>
        <v/>
      </c>
      <c r="S2001">
        <f>IF($N2001="","",$N2001&amp;"|"&amp;RIGHT("000000"&amp;$R2001,6))</f>
        <v/>
      </c>
      <c r="T2001">
        <f>IF($N2001="","",IF(Sync!$N2001="",0,Sync!$N2001))</f>
        <v/>
      </c>
      <c r="U2001">
        <f>IF($N2001="","",IF(Sync!$O2001="",0,Sync!$O2001))</f>
        <v/>
      </c>
      <c r="V2001">
        <f>IF($N2001="","",Sync!$L2001)</f>
        <v/>
      </c>
      <c r="W2001">
        <f>IF($N2001="","",Sync!$P2001)</f>
        <v/>
      </c>
    </row>
    <row r="2002">
      <c r="N2002">
        <f>IF(OR(Sync!$M2002="",$Q2002="",$Q2002="نامعتبر"),"",Sync!$M2002)</f>
        <v/>
      </c>
      <c r="O2002">
        <f>IF($N2002="","",$Q2002)</f>
        <v/>
      </c>
      <c r="P2002">
        <f>IF($N2002="","",LEFT($Q2002,4)&amp;MID($Q2002,6,2)&amp;RIGHT($Q2002,2)&amp;IF(Sync!$K2002="","0000",IF(AND(ISNUMBER(Sync!$K2002),Sync!$K2002&gt;=0,Sync!$K2002&lt;1),RIGHT("00"&amp;HOUR(Sync!$K2002),2)&amp;RIGHT("00"&amp;MINUTE(Sync!$K2002),2),IFERROR(RIGHT("00"&amp;VALUE(LEFT(Sync!$K2002,FIND(":",Sync!$K2002)-1)),2)&amp;RIGHT("00"&amp;VALUE(MID(Sync!$K2002,FIND(":",Sync!$K2002)+1,2)),2),"0000")))&amp;"|"&amp;"2"&amp;RIGHT("00000"&amp;1997,5))</f>
        <v/>
      </c>
      <c r="Q2002">
        <f>IF(Sync!$J2002="","",IF(ISNUMBER(Sync!$J2002),IF(AND(Sync!$J2002&gt;=10000101,Sync!$J2002&lt;=99991231),INT(Sync!$J2002/10000)&amp;"/"&amp;RIGHT("00"&amp;INT(MOD(Sync!$J2002,10000)/100),2)&amp;"/"&amp;RIGHT("00"&amp;MOD(Sync!$J2002,100),2),"نامعتبر"),IF(LEN(Sync!$J2002)=10,Sync!$J2002,"نامعتبر")))</f>
        <v/>
      </c>
      <c r="R2002">
        <f>IF($P2002="","",COUNTIFS($N$6:$N$2005,$N2002,$P$6:$P$2005,"&lt;"&amp;$P2002)+COUNTIFS($A$6:$A$1005,$N2002,$B$6:$B$1005,"&lt;"&amp;$P2002)+1)</f>
        <v/>
      </c>
      <c r="S2002">
        <f>IF($N2002="","",$N2002&amp;"|"&amp;RIGHT("000000"&amp;$R2002,6))</f>
        <v/>
      </c>
      <c r="T2002">
        <f>IF($N2002="","",IF(Sync!$N2002="",0,Sync!$N2002))</f>
        <v/>
      </c>
      <c r="U2002">
        <f>IF($N2002="","",IF(Sync!$O2002="",0,Sync!$O2002))</f>
        <v/>
      </c>
      <c r="V2002">
        <f>IF($N2002="","",Sync!$L2002)</f>
        <v/>
      </c>
      <c r="W2002">
        <f>IF($N2002="","",Sync!$P2002)</f>
        <v/>
      </c>
    </row>
    <row r="2003">
      <c r="N2003">
        <f>IF(OR(Sync!$M2003="",$Q2003="",$Q2003="نامعتبر"),"",Sync!$M2003)</f>
        <v/>
      </c>
      <c r="O2003">
        <f>IF($N2003="","",$Q2003)</f>
        <v/>
      </c>
      <c r="P2003">
        <f>IF($N2003="","",LEFT($Q2003,4)&amp;MID($Q2003,6,2)&amp;RIGHT($Q2003,2)&amp;IF(Sync!$K2003="","0000",IF(AND(ISNUMBER(Sync!$K2003),Sync!$K2003&gt;=0,Sync!$K2003&lt;1),RIGHT("00"&amp;HOUR(Sync!$K2003),2)&amp;RIGHT("00"&amp;MINUTE(Sync!$K2003),2),IFERROR(RIGHT("00"&amp;VALUE(LEFT(Sync!$K2003,FIND(":",Sync!$K2003)-1)),2)&amp;RIGHT("00"&amp;VALUE(MID(Sync!$K2003,FIND(":",Sync!$K2003)+1,2)),2),"0000")))&amp;"|"&amp;"2"&amp;RIGHT("00000"&amp;1998,5))</f>
        <v/>
      </c>
      <c r="Q2003">
        <f>IF(Sync!$J2003="","",IF(ISNUMBER(Sync!$J2003),IF(AND(Sync!$J2003&gt;=10000101,Sync!$J2003&lt;=99991231),INT(Sync!$J2003/10000)&amp;"/"&amp;RIGHT("00"&amp;INT(MOD(Sync!$J2003,10000)/100),2)&amp;"/"&amp;RIGHT("00"&amp;MOD(Sync!$J2003,100),2),"نامعتبر"),IF(LEN(Sync!$J2003)=10,Sync!$J2003,"نامعتبر")))</f>
        <v/>
      </c>
      <c r="R2003">
        <f>IF($P2003="","",COUNTIFS($N$6:$N$2005,$N2003,$P$6:$P$2005,"&lt;"&amp;$P2003)+COUNTIFS($A$6:$A$1005,$N2003,$B$6:$B$1005,"&lt;"&amp;$P2003)+1)</f>
        <v/>
      </c>
      <c r="S2003">
        <f>IF($N2003="","",$N2003&amp;"|"&amp;RIGHT("000000"&amp;$R2003,6))</f>
        <v/>
      </c>
      <c r="T2003">
        <f>IF($N2003="","",IF(Sync!$N2003="",0,Sync!$N2003))</f>
        <v/>
      </c>
      <c r="U2003">
        <f>IF($N2003="","",IF(Sync!$O2003="",0,Sync!$O2003))</f>
        <v/>
      </c>
      <c r="V2003">
        <f>IF($N2003="","",Sync!$L2003)</f>
        <v/>
      </c>
      <c r="W2003">
        <f>IF($N2003="","",Sync!$P2003)</f>
        <v/>
      </c>
    </row>
    <row r="2004">
      <c r="N2004">
        <f>IF(OR(Sync!$M2004="",$Q2004="",$Q2004="نامعتبر"),"",Sync!$M2004)</f>
        <v/>
      </c>
      <c r="O2004">
        <f>IF($N2004="","",$Q2004)</f>
        <v/>
      </c>
      <c r="P2004">
        <f>IF($N2004="","",LEFT($Q2004,4)&amp;MID($Q2004,6,2)&amp;RIGHT($Q2004,2)&amp;IF(Sync!$K2004="","0000",IF(AND(ISNUMBER(Sync!$K2004),Sync!$K2004&gt;=0,Sync!$K2004&lt;1),RIGHT("00"&amp;HOUR(Sync!$K2004),2)&amp;RIGHT("00"&amp;MINUTE(Sync!$K2004),2),IFERROR(RIGHT("00"&amp;VALUE(LEFT(Sync!$K2004,FIND(":",Sync!$K2004)-1)),2)&amp;RIGHT("00"&amp;VALUE(MID(Sync!$K2004,FIND(":",Sync!$K2004)+1,2)),2),"0000")))&amp;"|"&amp;"2"&amp;RIGHT("00000"&amp;1999,5))</f>
        <v/>
      </c>
      <c r="Q2004">
        <f>IF(Sync!$J2004="","",IF(ISNUMBER(Sync!$J2004),IF(AND(Sync!$J2004&gt;=10000101,Sync!$J2004&lt;=99991231),INT(Sync!$J2004/10000)&amp;"/"&amp;RIGHT("00"&amp;INT(MOD(Sync!$J2004,10000)/100),2)&amp;"/"&amp;RIGHT("00"&amp;MOD(Sync!$J2004,100),2),"نامعتبر"),IF(LEN(Sync!$J2004)=10,Sync!$J2004,"نامعتبر")))</f>
        <v/>
      </c>
      <c r="R2004">
        <f>IF($P2004="","",COUNTIFS($N$6:$N$2005,$N2004,$P$6:$P$2005,"&lt;"&amp;$P2004)+COUNTIFS($A$6:$A$1005,$N2004,$B$6:$B$1005,"&lt;"&amp;$P2004)+1)</f>
        <v/>
      </c>
      <c r="S2004">
        <f>IF($N2004="","",$N2004&amp;"|"&amp;RIGHT("000000"&amp;$R2004,6))</f>
        <v/>
      </c>
      <c r="T2004">
        <f>IF($N2004="","",IF(Sync!$N2004="",0,Sync!$N2004))</f>
        <v/>
      </c>
      <c r="U2004">
        <f>IF($N2004="","",IF(Sync!$O2004="",0,Sync!$O2004))</f>
        <v/>
      </c>
      <c r="V2004">
        <f>IF($N2004="","",Sync!$L2004)</f>
        <v/>
      </c>
      <c r="W2004">
        <f>IF($N2004="","",Sync!$P2004)</f>
        <v/>
      </c>
    </row>
    <row r="2005">
      <c r="N2005">
        <f>IF(OR(Sync!$M2005="",$Q2005="",$Q2005="نامعتبر"),"",Sync!$M2005)</f>
        <v/>
      </c>
      <c r="O2005">
        <f>IF($N2005="","",$Q2005)</f>
        <v/>
      </c>
      <c r="P2005">
        <f>IF($N2005="","",LEFT($Q2005,4)&amp;MID($Q2005,6,2)&amp;RIGHT($Q2005,2)&amp;IF(Sync!$K2005="","0000",IF(AND(ISNUMBER(Sync!$K2005),Sync!$K2005&gt;=0,Sync!$K2005&lt;1),RIGHT("00"&amp;HOUR(Sync!$K2005),2)&amp;RIGHT("00"&amp;MINUTE(Sync!$K2005),2),IFERROR(RIGHT("00"&amp;VALUE(LEFT(Sync!$K2005,FIND(":",Sync!$K2005)-1)),2)&amp;RIGHT("00"&amp;VALUE(MID(Sync!$K2005,FIND(":",Sync!$K2005)+1,2)),2),"0000")))&amp;"|"&amp;"2"&amp;RIGHT("00000"&amp;2000,5))</f>
        <v/>
      </c>
      <c r="Q2005">
        <f>IF(Sync!$J2005="","",IF(ISNUMBER(Sync!$J2005),IF(AND(Sync!$J2005&gt;=10000101,Sync!$J2005&lt;=99991231),INT(Sync!$J2005/10000)&amp;"/"&amp;RIGHT("00"&amp;INT(MOD(Sync!$J2005,10000)/100),2)&amp;"/"&amp;RIGHT("00"&amp;MOD(Sync!$J2005,100),2),"نامعتبر"),IF(LEN(Sync!$J2005)=10,Sync!$J2005,"نامعتبر")))</f>
        <v/>
      </c>
      <c r="R2005">
        <f>IF($P2005="","",COUNTIFS($N$6:$N$2005,$N2005,$P$6:$P$2005,"&lt;"&amp;$P2005)+COUNTIFS($A$6:$A$1005,$N2005,$B$6:$B$1005,"&lt;"&amp;$P2005)+1)</f>
        <v/>
      </c>
      <c r="S2005">
        <f>IF($N2005="","",$N2005&amp;"|"&amp;RIGHT("000000"&amp;$R2005,6))</f>
        <v/>
      </c>
      <c r="T2005">
        <f>IF($N2005="","",IF(Sync!$N2005="",0,Sync!$N2005))</f>
        <v/>
      </c>
      <c r="U2005">
        <f>IF($N2005="","",IF(Sync!$O2005="",0,Sync!$O2005))</f>
        <v/>
      </c>
      <c r="V2005">
        <f>IF($N2005="","",Sync!$L2005)</f>
        <v/>
      </c>
      <c r="W2005">
        <f>IF($N2005="","",Sync!$P2005)</f>
        <v/>
      </c>
    </row>
  </sheetData>
  <mergeCells count="3">
    <mergeCell ref="A3:AD3"/>
    <mergeCell ref="A2:AD2"/>
    <mergeCell ref="A1:A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H30"/>
  <sheetViews>
    <sheetView showGridLines="0" rightToLeft="1" zoomScale="10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6" customHeight="1">
      <c r="A1" s="1" t="inlineStr">
        <is>
          <t>مازندشت — سورتینگ و بسته‌بندی مرکبات</t>
        </is>
      </c>
      <c r="B1" s="1" t="n"/>
      <c r="C1" s="1" t="n"/>
      <c r="D1" s="1" t="n"/>
      <c r="E1" s="1" t="n"/>
      <c r="F1" s="1" t="n"/>
      <c r="G1" s="1" t="n"/>
      <c r="H1" s="1" t="n"/>
    </row>
    <row r="2" ht="14" customHeight="1">
      <c r="A2" s="2" t="inlineStr">
        <is>
          <t>باغدشت، بخش مرکزی، شهرستان قائم‌شهر، استان مازندران، ایران     |     MAZANDASHT · CITRUS SORTING &amp; PACKING</t>
        </is>
      </c>
      <c r="B2" s="2" t="n"/>
      <c r="C2" s="2" t="n"/>
      <c r="D2" s="2" t="n"/>
      <c r="E2" s="2" t="n"/>
      <c r="F2" s="2" t="n"/>
      <c r="G2" s="2" t="n"/>
      <c r="H2" s="2" t="n"/>
    </row>
    <row r="3" ht="22" customHeight="1">
      <c r="A3" s="44" t="inlineStr">
        <is>
          <t>راهنمای دفتر سبد (Baskets.xlsx)</t>
        </is>
      </c>
      <c r="B3" s="44" t="n"/>
      <c r="C3" s="44" t="n"/>
      <c r="D3" s="44" t="n"/>
      <c r="E3" s="44" t="n"/>
      <c r="F3" s="44" t="n"/>
      <c r="G3" s="44" t="n"/>
      <c r="H3" s="44" t="n"/>
    </row>
    <row r="5" ht="19" customHeight="1">
      <c r="A5" s="45" t="inlineStr">
        <is>
          <t>۱) این فایل چیست؟</t>
        </is>
      </c>
      <c r="B5" s="45" t="n"/>
      <c r="C5" s="45" t="n"/>
      <c r="D5" s="45" t="n"/>
      <c r="E5" s="45" t="n"/>
      <c r="F5" s="45" t="n"/>
      <c r="G5" s="45" t="n"/>
      <c r="H5" s="45" t="n"/>
    </row>
    <row r="6" ht="17" customHeight="1">
      <c r="A6" s="46" t="inlineStr">
        <is>
          <t>• دفتر خرید سبد و ظروف از فروشندگان سبد + کارتکس هر فروشنده — مثل فایل‌های فروش/خرید مرکبات ولی مخصوص سبد.</t>
        </is>
      </c>
      <c r="B6" s="46" t="n"/>
      <c r="C6" s="46" t="n"/>
      <c r="D6" s="46" t="n"/>
      <c r="E6" s="46" t="n"/>
      <c r="F6" s="46" t="n"/>
      <c r="G6" s="46" t="n"/>
      <c r="H6" s="46" t="n"/>
    </row>
    <row r="7" ht="17" customHeight="1">
      <c r="A7" s="47" t="inlineStr">
        <is>
          <t>• فروشنده سبد یک حساب عادی است: در INFO ← Accounts با ماهیت «تأمین‌کننده» و زیرمجموعه «فروشنده سبد» تعریف می‌شود (کد S…).</t>
        </is>
      </c>
      <c r="B7" s="47" t="n"/>
      <c r="C7" s="47" t="n"/>
      <c r="D7" s="47" t="n"/>
      <c r="E7" s="47" t="n"/>
      <c r="F7" s="47" t="n"/>
      <c r="G7" s="47" t="n"/>
      <c r="H7" s="47" t="n"/>
    </row>
    <row r="8" ht="17" customHeight="1">
      <c r="A8" s="46" t="inlineStr">
        <is>
          <t>• انواع سبد در INFO ← Baskets تعریف می‌شوند (BK…: سبد ۵ کیلویی، جعبه ۱۰ کیلویی و…).</t>
        </is>
      </c>
      <c r="B8" s="46" t="n"/>
      <c r="C8" s="46" t="n"/>
      <c r="D8" s="46" t="n"/>
      <c r="E8" s="46" t="n"/>
      <c r="F8" s="46" t="n"/>
      <c r="G8" s="46" t="n"/>
      <c r="H8" s="46" t="n"/>
    </row>
    <row r="10" ht="19" customHeight="1">
      <c r="A10" s="45" t="inlineStr">
        <is>
          <t>۲) شیت Entry — ورود خرید سبد</t>
        </is>
      </c>
      <c r="B10" s="45" t="n"/>
      <c r="C10" s="45" t="n"/>
      <c r="D10" s="45" t="n"/>
      <c r="E10" s="45" t="n"/>
      <c r="F10" s="45" t="n"/>
      <c r="G10" s="45" t="n"/>
      <c r="H10" s="45" t="n"/>
    </row>
    <row r="11" ht="17" customHeight="1">
      <c r="A11" s="46" t="inlineStr">
        <is>
          <t>• هر ردیف: تاریخ | ساعت | شماره سند | کد فروشنده | نام (خودکار) | نوع سبد (کشویی) | تعداد | فی | مبلغ (خودکار = تعداد × فی) | مانده حساب (خودکار) | توضیح.</t>
        </is>
      </c>
      <c r="B11" s="46" t="n"/>
      <c r="C11" s="46" t="n"/>
      <c r="D11" s="46" t="n"/>
      <c r="E11" s="46" t="n"/>
      <c r="F11" s="46" t="n"/>
      <c r="G11" s="46" t="n"/>
      <c r="H11" s="46" t="n"/>
    </row>
    <row r="12" ht="17" customHeight="1">
      <c r="A12" s="47" t="inlineStr">
        <is>
          <t>• «مانده حساب» در هر سطر = جمع خرید سبد تا آن لحظه − پرداخت‌های بانکی تا آن لحظه + دریافت‌ها؛ با افزودن هر ردیف، مانده همه ردیف‌های همان حساب به‌روز می‌شود.</t>
        </is>
      </c>
      <c r="B12" s="47" t="n"/>
      <c r="C12" s="47" t="n"/>
      <c r="D12" s="47" t="n"/>
      <c r="E12" s="47" t="n"/>
      <c r="F12" s="47" t="n"/>
      <c r="G12" s="47" t="n"/>
      <c r="H12" s="47" t="n"/>
    </row>
    <row r="13" ht="17" customHeight="1">
      <c r="A13" s="46" t="inlineStr">
        <is>
          <t>• مثبت = بستانکار — به او بدهکاریم · منفی = بدهکار — به ما بدهکار است.</t>
        </is>
      </c>
      <c r="B13" s="46" t="n"/>
      <c r="C13" s="46" t="n"/>
      <c r="D13" s="46" t="n"/>
      <c r="E13" s="46" t="n"/>
      <c r="F13" s="46" t="n"/>
      <c r="G13" s="46" t="n"/>
      <c r="H13" s="46" t="n"/>
    </row>
    <row r="14" ht="17" customHeight="1">
      <c r="A14" s="47" t="inlineStr">
        <is>
          <t>• ترتیب وارد کردن ردیف‌ها مهم نیست؛ مانده‌ها بر اساس تاریخ و ساعت مرتب می‌شوند.</t>
        </is>
      </c>
      <c r="B14" s="47" t="n"/>
      <c r="C14" s="47" t="n"/>
      <c r="D14" s="47" t="n"/>
      <c r="E14" s="47" t="n"/>
      <c r="F14" s="47" t="n"/>
      <c r="G14" s="47" t="n"/>
      <c r="H14" s="47" t="n"/>
    </row>
    <row r="16" ht="19" customHeight="1">
      <c r="A16" s="45" t="inlineStr">
        <is>
          <t>۳) پرداخت به فروشنده سبد</t>
        </is>
      </c>
      <c r="B16" s="45" t="n"/>
      <c r="C16" s="45" t="n"/>
      <c r="D16" s="45" t="n"/>
      <c r="E16" s="45" t="n"/>
      <c r="F16" s="45" t="n"/>
      <c r="G16" s="45" t="n"/>
      <c r="H16" s="45" t="n"/>
    </row>
    <row r="17" ht="17" customHeight="1">
      <c r="A17" s="46" t="inlineStr">
        <is>
          <t>• پرداخت در Transactions.xlsx ثبت می‌شود: برداشت با کد همان فروشنده (مثل S004).</t>
        </is>
      </c>
      <c r="B17" s="46" t="n"/>
      <c r="C17" s="46" t="n"/>
      <c r="D17" s="46" t="n"/>
      <c r="E17" s="46" t="n"/>
      <c r="F17" s="46" t="n"/>
      <c r="G17" s="46" t="n"/>
      <c r="H17" s="46" t="n"/>
    </row>
    <row r="18" ht="17" customHeight="1">
      <c r="A18" s="47" t="inlineStr">
        <is>
          <t>• پرداخت در Entry و کارتکس خودکار کم می‌شود — اینجا چیزی ثبت نکنید.</t>
        </is>
      </c>
      <c r="B18" s="47" t="n"/>
      <c r="C18" s="47" t="n"/>
      <c r="D18" s="47" t="n"/>
      <c r="E18" s="47" t="n"/>
      <c r="F18" s="47" t="n"/>
      <c r="G18" s="47" t="n"/>
      <c r="H18" s="47" t="n"/>
    </row>
    <row r="20" ht="19" customHeight="1">
      <c r="A20" s="45" t="inlineStr">
        <is>
          <t>۴) شیت Report — کارتکس فروشنده</t>
        </is>
      </c>
      <c r="B20" s="45" t="n"/>
      <c r="C20" s="45" t="n"/>
      <c r="D20" s="45" t="n"/>
      <c r="E20" s="45" t="n"/>
      <c r="F20" s="45" t="n"/>
      <c r="G20" s="45" t="n"/>
      <c r="H20" s="45" t="n"/>
    </row>
    <row r="21" ht="17" customHeight="1">
      <c r="A21" s="46" t="inlineStr">
        <is>
          <t>• کد فروشنده را در سلول زرد وارد کنید: کل رویدادها (خرید سبد + پرداخت/دریافت بانکی) به ترتیب تاریخ با مانده تجمعی.</t>
        </is>
      </c>
      <c r="B21" s="46" t="n"/>
      <c r="C21" s="46" t="n"/>
      <c r="D21" s="46" t="n"/>
      <c r="E21" s="46" t="n"/>
      <c r="F21" s="46" t="n"/>
      <c r="G21" s="46" t="n"/>
      <c r="H21" s="46" t="n"/>
    </row>
    <row r="22" ht="17" customHeight="1">
      <c r="A22" s="47" t="inlineStr">
        <is>
          <t>• برای فروشنده دیگر، شیت را کپی و کد را عوض کنید.</t>
        </is>
      </c>
      <c r="B22" s="47" t="n"/>
      <c r="C22" s="47" t="n"/>
      <c r="D22" s="47" t="n"/>
      <c r="E22" s="47" t="n"/>
      <c r="F22" s="47" t="n"/>
      <c r="G22" s="47" t="n"/>
      <c r="H22" s="47" t="n"/>
    </row>
    <row r="24" ht="19" customHeight="1">
      <c r="A24" s="45" t="inlineStr">
        <is>
          <t>۵) شیت Summary — خلاصه</t>
        </is>
      </c>
      <c r="B24" s="45" t="n"/>
      <c r="C24" s="45" t="n"/>
      <c r="D24" s="45" t="n"/>
      <c r="E24" s="45" t="n"/>
      <c r="F24" s="45" t="n"/>
      <c r="G24" s="45" t="n"/>
      <c r="H24" s="45" t="n"/>
    </row>
    <row r="25" ht="17" customHeight="1">
      <c r="A25" s="46" t="inlineStr">
        <is>
          <t>• جدول الف: گردش همه فروشندگان سبد (تعداد، جمع خرید، پرداخت، مانده).</t>
        </is>
      </c>
      <c r="B25" s="46" t="n"/>
      <c r="C25" s="46" t="n"/>
      <c r="D25" s="46" t="n"/>
      <c r="E25" s="46" t="n"/>
      <c r="F25" s="46" t="n"/>
      <c r="G25" s="46" t="n"/>
      <c r="H25" s="46" t="n"/>
    </row>
    <row r="26" ht="17" customHeight="1">
      <c r="A26" s="47" t="inlineStr">
        <is>
          <t>• جدول ب: جمع خرید به تفکیک نوع سبد (تعداد و مبلغ و سهم).</t>
        </is>
      </c>
      <c r="B26" s="47" t="n"/>
      <c r="C26" s="47" t="n"/>
      <c r="D26" s="47" t="n"/>
      <c r="E26" s="47" t="n"/>
      <c r="F26" s="47" t="n"/>
      <c r="G26" s="47" t="n"/>
      <c r="H26" s="47" t="n"/>
    </row>
    <row r="28" ht="19" customHeight="1">
      <c r="A28" s="45" t="inlineStr">
        <is>
          <t>۶) ارتباط با حسابداری</t>
        </is>
      </c>
      <c r="B28" s="45" t="n"/>
      <c r="C28" s="45" t="n"/>
      <c r="D28" s="45" t="n"/>
      <c r="E28" s="45" t="n"/>
      <c r="F28" s="45" t="n"/>
      <c r="G28" s="45" t="n"/>
      <c r="H28" s="45" t="n"/>
    </row>
    <row r="29" ht="17" customHeight="1">
      <c r="A29" s="46" t="inlineStr">
        <is>
          <t>• تراز آزمایشی (Accounting.xlsx) مبنا نقدی است: خرید نسیه سبد وقتی اثر ترازنامه‌ای می‌گذارد که پرداخت شود.</t>
        </is>
      </c>
      <c r="B29" s="46" t="n"/>
      <c r="C29" s="46" t="n"/>
      <c r="D29" s="46" t="n"/>
      <c r="E29" s="46" t="n"/>
      <c r="F29" s="46" t="n"/>
      <c r="G29" s="46" t="n"/>
      <c r="H29" s="46" t="n"/>
    </row>
    <row r="30" ht="17" customHeight="1">
      <c r="A30" s="47" t="inlineStr">
        <is>
          <t>• بدهی تسویه‌نشده سبد را کارتکس و خلاصه همین فایل نشان می‌دهد — مانده هر فروشنده را همین‌جا دنبال کنید.</t>
        </is>
      </c>
      <c r="B30" s="47" t="n"/>
      <c r="C30" s="47" t="n"/>
      <c r="D30" s="47" t="n"/>
      <c r="E30" s="47" t="n"/>
      <c r="F30" s="47" t="n"/>
      <c r="G30" s="47" t="n"/>
      <c r="H30" s="47" t="n"/>
    </row>
  </sheetData>
  <mergeCells count="24">
    <mergeCell ref="A30:H30"/>
    <mergeCell ref="A24:H24"/>
    <mergeCell ref="A11:H11"/>
    <mergeCell ref="A1:H1"/>
    <mergeCell ref="A6:H6"/>
    <mergeCell ref="A7:H7"/>
    <mergeCell ref="A25:H25"/>
    <mergeCell ref="A16:H16"/>
    <mergeCell ref="A12:H12"/>
    <mergeCell ref="A18:H18"/>
    <mergeCell ref="A3:H3"/>
    <mergeCell ref="A21:H21"/>
    <mergeCell ref="A26:H26"/>
    <mergeCell ref="A2:H2"/>
    <mergeCell ref="A14:H14"/>
    <mergeCell ref="A5:H5"/>
    <mergeCell ref="A8:H8"/>
    <mergeCell ref="A22:H22"/>
    <mergeCell ref="A17:H17"/>
    <mergeCell ref="A29:H29"/>
    <mergeCell ref="A20:H20"/>
    <mergeCell ref="A10:H10"/>
    <mergeCell ref="A28:H28"/>
    <mergeCell ref="A13:H13"/>
  </mergeCells>
  <printOptions horizontalCentered="1"/>
  <pageMargins left="0.35" right="0.35" top="0.62" bottom="0.55" header="0.28" footer="0.25"/>
  <pageSetup orientation="portrait" paperSize="9" fitToHeight="0" fitToWidth="1"/>
  <headerFooter>
    <oddHeader>&amp;L&amp;"Tahoma"&amp;8 مازندشت — سامانه حساب‌های بانکی&amp;C&amp;"Tahoma"&amp;8 راهنما — دفتر سبد&amp;R&amp;"Tahoma"&amp;8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مازندشت</dc:creator>
  <dc:title>Mazandasht Baskets — دفتر سبد</dc:title>
  <dcterms:created xsi:type="dcterms:W3CDTF">2026-10-05T19:49:38Z</dcterms:created>
  <dcterms:modified xsi:type="dcterms:W3CDTF">2026-10-05T19:49:42Z</dcterms:modified>
</cp:coreProperties>
</file>